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DIDOS" sheetId="1" r:id="rId4"/>
    <sheet state="visible" name="CONSULTAS" sheetId="2" r:id="rId5"/>
    <sheet state="visible" name="Estoque V2" sheetId="3" r:id="rId6"/>
    <sheet state="visible" name="AGUARDAR CONTAINER" sheetId="4" r:id="rId7"/>
    <sheet state="visible" name="PREV CHEGADA" sheetId="5" r:id="rId8"/>
    <sheet state="visible" name="LEGENDAS" sheetId="6" r:id="rId9"/>
    <sheet state="hidden" name="ETIQUETAS IMPRESSAS" sheetId="7" r:id="rId10"/>
    <sheet state="hidden" name="App Logins" sheetId="8" r:id="rId11"/>
    <sheet state="hidden" name="App Metadata" sheetId="9" r:id="rId12"/>
  </sheets>
  <definedNames>
    <definedName name="LISTA2">#REF!</definedName>
    <definedName localSheetId="0" name="LISTA2">#REF!</definedName>
    <definedName localSheetId="0" name="LISTA">#REF!</definedName>
    <definedName name="LISTA">#REF!</definedName>
    <definedName name="CONDIÇÕES">LEGENDAS!$B$2:$B$15</definedName>
    <definedName localSheetId="0" name="Z_924C3F12_84CF_4ABF_87A7_8BDDD9B8FFC3_.wvu.Cols">#REF!</definedName>
    <definedName localSheetId="0" name="Z_8ACAB7D4_A245_4B01_A455_8574F923850F_.wvu.Cols">#REF!</definedName>
    <definedName localSheetId="0" name="QD">#REF!</definedName>
    <definedName localSheetId="0" name="Z_211FD241_5063_4A4F_BCF7_C47C7F4BF783_.wvu.Cols">#REF!</definedName>
    <definedName name="listadoida">#REF!</definedName>
    <definedName name="QD">#REF!</definedName>
    <definedName name="listaprodutos">#REF!</definedName>
    <definedName hidden="1" localSheetId="2" name="_xlnm._FilterDatabase">'Estoque V2'!$A$150:$H$5106</definedName>
    <definedName hidden="1" localSheetId="4" name="_xlnm._FilterDatabase">'PREV CHEGADA'!$A$1:$Z$948</definedName>
    <definedName hidden="1" localSheetId="5" name="_xlnm._FilterDatabase">LEGENDAS!$A$1:$J$239</definedName>
    <definedName hidden="1" localSheetId="6" name="_xlnm._FilterDatabase">'ETIQUETAS IMPRESSAS'!$A$1:$K$1583</definedName>
    <definedName hidden="1" localSheetId="0" name="Z_273D851F_780D_4836_926F_B82AD9F90C41_.wvu.FilterData">PEDIDOS!$A$1:$AB$3212</definedName>
    <definedName hidden="1" localSheetId="0" name="Z_6C612A31_3EDB_4DAA_8AD6_0C1C6CD2309B_.wvu.FilterData">PEDIDOS!$A$1:$AB$3212</definedName>
    <definedName hidden="1" localSheetId="0" name="Z_8A6A61C5_EE80_46F9_BD52_4E0C578F95E4_.wvu.FilterData">PEDIDOS!$A$1:$O$2041</definedName>
    <definedName hidden="1" localSheetId="0" name="Z_F0874127_E7C4_43A8_9E18_0B8478D7D56F_.wvu.FilterData">PEDIDOS!$A$1:$O$2221</definedName>
    <definedName hidden="1" localSheetId="1" name="Z_F0874127_E7C4_43A8_9E18_0B8478D7D56F_.wvu.FilterData">CONSULTAS!$A$1:$M$18</definedName>
    <definedName hidden="1" localSheetId="2" name="Z_F0874127_E7C4_43A8_9E18_0B8478D7D56F_.wvu.FilterData">'Estoque V2'!$A$2:$G$423</definedName>
    <definedName hidden="1" localSheetId="0" name="Z_72EA36B5_9AFA_4388_8F9C_275476250A23_.wvu.FilterData">PEDIDOS!$A$1:$O$2041</definedName>
    <definedName hidden="1" localSheetId="0" name="Z_EBA41990_B6FE_4113_BFDD_C8FB908E6110_.wvu.FilterData">PEDIDOS!$A$1:$O$2041</definedName>
    <definedName hidden="1" localSheetId="0" name="Z_ED81DAA4_7466_48B8_8815_7F8D8F4BFC00_.wvu.FilterData">PEDIDOS!$A$1:$O$2041</definedName>
    <definedName hidden="1" localSheetId="0" name="Z_3D5A84D9_0263_4841_AC82_9641E9CA2702_.wvu.FilterData">PEDIDOS!$A$1:$O$2041</definedName>
    <definedName hidden="1" localSheetId="0" name="Z_8B736A10_A4AF_4443_A63F_B576747451BE_.wvu.FilterData">PEDIDOS!$A$1:$AB$3204</definedName>
  </definedNames>
  <calcPr/>
  <customWorkbookViews>
    <customWorkbookView activeSheetId="0" maximized="1" windowHeight="0" windowWidth="0" guid="{8B736A10-A4AF-4443-A63F-B576747451BE}" name="aguardar container"/>
    <customWorkbookView activeSheetId="0" maximized="1" windowHeight="0" windowWidth="0" guid="{EBA41990-B6FE-4113-BFDD-C8FB908E6110}" name="FILIAL PARANA"/>
    <customWorkbookView activeSheetId="0" maximized="1" windowHeight="0" windowWidth="0" guid="{8A6A61C5-EE80-46F9-BD52-4E0C578F95E4}" name="40 maq"/>
    <customWorkbookView activeSheetId="0" maximized="1" windowHeight="0" windowWidth="0" guid="{6C612A31-3EDB-4DAA-8AD6-0C1C6CD2309B}" name="FITLOG"/>
    <customWorkbookView activeSheetId="0" maximized="1" windowHeight="0" windowWidth="0" guid="{F0874127-E7C4-43A8-9E18-0B8478D7D56F}" name="Filtro 1"/>
    <customWorkbookView activeSheetId="0" maximized="1" windowHeight="0" windowWidth="0" guid="{72EA36B5-9AFA-4388-8F9C-275476250A23}" name="LEANDRO - PCP"/>
    <customWorkbookView activeSheetId="0" maximized="1" windowHeight="0" windowWidth="0" guid="{3D5A84D9-0263-4841-AC82-9641E9CA2702}" name="Filtro 2"/>
    <customWorkbookView activeSheetId="0" maximized="1" windowHeight="0" windowWidth="0" guid="{ED81DAA4-7466-48B8-8815-7F8D8F4BFC00}" name="INVERTER EM ABERTO"/>
    <customWorkbookView activeSheetId="0" maximized="1" windowHeight="0" windowWidth="0" guid="{273D851F-780D-4836-926F-B82AD9F90C41}" name="SAO MIGUEL"/>
  </customWorkbookViews>
</workbook>
</file>

<file path=xl/sharedStrings.xml><?xml version="1.0" encoding="utf-8"?>
<sst xmlns="http://schemas.openxmlformats.org/spreadsheetml/2006/main" count="124657" uniqueCount="25021">
  <si>
    <t>PEDIDO</t>
  </si>
  <si>
    <t>CLIENTE</t>
  </si>
  <si>
    <t>QTY EM ESTOQUE</t>
  </si>
  <si>
    <t>ORDEM DE PRODUCAO</t>
  </si>
  <si>
    <t>MODELO</t>
  </si>
  <si>
    <t>CONTROL</t>
  </si>
  <si>
    <t>OPCIONAL</t>
  </si>
  <si>
    <t>ESQ
 ESF</t>
  </si>
  <si>
    <t>SITUACAO</t>
  </si>
  <si>
    <t>TRANSPORTADORA</t>
  </si>
  <si>
    <t>REDESPACHO</t>
  </si>
  <si>
    <t>NOTA FISCAL</t>
  </si>
  <si>
    <t>EXPEDIDO POR</t>
  </si>
  <si>
    <t>VEICULO</t>
  </si>
  <si>
    <t>DATA ENTREGA</t>
  </si>
  <si>
    <t>OBSERVAÇÃO</t>
  </si>
  <si>
    <t>INTEGRADO POR</t>
  </si>
  <si>
    <t>APROVADO POR</t>
  </si>
  <si>
    <t>FINALIZADO POR</t>
  </si>
  <si>
    <t>DATA INTEGRAÇÃO</t>
  </si>
  <si>
    <t>DATA APROVAÇÃO</t>
  </si>
  <si>
    <t>DATA FINALIZAÇÃO</t>
  </si>
  <si>
    <t>VOLUMES</t>
  </si>
  <si>
    <t>DATA DA ENTREGA FUTURA</t>
  </si>
  <si>
    <t>IMPRESSAO LOGISTICA</t>
  </si>
  <si>
    <t>IMPRESSAO PRODUCAO</t>
  </si>
  <si>
    <t>Estado</t>
  </si>
  <si>
    <t>🔒 Row ID</t>
  </si>
  <si>
    <t>Qty</t>
  </si>
  <si>
    <t>9315</t>
  </si>
  <si>
    <t>ODY PARK</t>
  </si>
  <si>
    <t>N INF</t>
  </si>
  <si>
    <t>FT240H35T</t>
  </si>
  <si>
    <t>TOUCH</t>
  </si>
  <si>
    <t>SOBREPOR</t>
  </si>
  <si>
    <t>NAO</t>
  </si>
  <si>
    <t>ENTREGUE</t>
  </si>
  <si>
    <t>DESTAK</t>
  </si>
  <si>
    <t>SEM REDESPACHO</t>
  </si>
  <si>
    <t>10979</t>
  </si>
  <si>
    <t>RUBENS F</t>
  </si>
  <si>
    <t>QJC5G74 - DESTAK - MOHAMAD KASSEM RAHHAL JUNIOR  - 75084600954 - FIAT / DUCATO CHASSI L / PRATA / 2018</t>
  </si>
  <si>
    <t>RETORNO OS - 2605</t>
  </si>
  <si>
    <t>CEpVgkCBTDG1O.g7S56G7g</t>
  </si>
  <si>
    <t>18684-A</t>
  </si>
  <si>
    <t>ANDRADES PISCINAS E AQUECEDORES LTDA</t>
  </si>
  <si>
    <t>8A00240411003121</t>
  </si>
  <si>
    <t>FTI125D40PT</t>
  </si>
  <si>
    <t>WI-FI</t>
  </si>
  <si>
    <t>FITLOG</t>
  </si>
  <si>
    <t>Eduardo Gasperi (Expedição)</t>
  </si>
  <si>
    <t>KKY4B29 - V2 - RODRIGO NEZIO GRADICI - 07157615959 - FORD/CARGO 1317 E / CARAGA CAMINHAO  / PRATA  / 2010</t>
  </si>
  <si>
    <t>PR170 - PEDIDO 15704 DA ANDRADE PISCINAS AGUARDANDO PAGAMENTO</t>
  </si>
  <si>
    <t>gP.DutRRSzK5nyW2GD.yJw</t>
  </si>
  <si>
    <t>18684-B</t>
  </si>
  <si>
    <t>8A00240411003124</t>
  </si>
  <si>
    <t>PR176 - PEDIDO 15704 DA ANDRADE PISCINAS AGUARDANDO PAGAMENTO</t>
  </si>
  <si>
    <t>w7Hs2zo1Sj21Y-qGz5Gqew</t>
  </si>
  <si>
    <t>PR177</t>
  </si>
  <si>
    <t>8A00240411003144</t>
  </si>
  <si>
    <t>FILIAL PARANA</t>
  </si>
  <si>
    <t>PR177 - DISPONIVEL ULT CONTAGEM 04/11</t>
  </si>
  <si>
    <t>Tcma2JeES9W00VrrQ1zhPg</t>
  </si>
  <si>
    <t>PISCINA E LAZER</t>
  </si>
  <si>
    <t>8A00240411003115</t>
  </si>
  <si>
    <t>EXPRESSO SAO MIGUEL</t>
  </si>
  <si>
    <t>PR184 - DISPONIVEL ULT CONTAGEM 04/11
ESTOQUE CURITIBA - PR 184
 Pedido nº 1585 enviado pelo vendedor Renato criado em 11/11/2024 09:31:28 integrado por meio do Bendito no dia 11/11/2024 às 14:32:34</t>
  </si>
  <si>
    <t>Juliana Vieira</t>
  </si>
  <si>
    <t>DWaTaqF8Su6ghTDxnrqqjw</t>
  </si>
  <si>
    <t>R14817</t>
  </si>
  <si>
    <t>BR CERT LABORATORIOS LTDA.</t>
  </si>
  <si>
    <t>8F00240723280519</t>
  </si>
  <si>
    <t>FTI45D40PT</t>
  </si>
  <si>
    <t>Jair Rodrigues (Logística)</t>
  </si>
  <si>
    <t>ORÇAMENTO Nº1287/2025</t>
  </si>
  <si>
    <t>Eline Velho</t>
  </si>
  <si>
    <t>ho69gK3ERAS9-bddCsfFdQ</t>
  </si>
  <si>
    <t>UNIAO BR DE EDUCACAO E ASSITENCIA PUCRS</t>
  </si>
  <si>
    <t>13832</t>
  </si>
  <si>
    <t>FT40B35T</t>
  </si>
  <si>
    <t>QJL1E51 - EXPRESSO SÃO MIGUEL - CLEIMAR CRESTANI - 07899108969 - VW / 17280 CRM 4X2 / BRANCO / 2017</t>
  </si>
  <si>
    <t>MAQUINA CERTIFICAÇÃO INMETRO - PROVA</t>
  </si>
  <si>
    <t>5Smk4sB6RcqWjfxga99eZg</t>
  </si>
  <si>
    <t>BERCHA E TENCIANO LTDA</t>
  </si>
  <si>
    <t>8B00240106003041</t>
  </si>
  <si>
    <t>FTI55D40PT</t>
  </si>
  <si>
    <t>OMG6C25 - FIT LOG - PAULO SERGIO AMARO  - 03705266942 - M.BENZ  / CARGA CAMINHAO  / BRANCA / 2012</t>
  </si>
  <si>
    <t>PR118</t>
  </si>
  <si>
    <t>cf1q6-QBQXmncHAlD5IvMw</t>
  </si>
  <si>
    <t>NAUSSAT PISCINAS</t>
  </si>
  <si>
    <t>8B00231215003187</t>
  </si>
  <si>
    <t>FTI75D40PT</t>
  </si>
  <si>
    <t>RETIRA</t>
  </si>
  <si>
    <t>MAQUINA ESTOQUE PARTICULAR RENATO - COD.BARRAS - 31110003000092- 8B00231215003187
ANTES DA TABELA NOVA - ESSA MAQUINA ERA DO RENATO, FOI VENDIDA PRA ELE, ELE ATENDEU A NECESSIDADE DE UM CLIENTE VENDENDO A MAQUINA DELE PRO CLIENTE, SENDO ESSES DADOS ACIMA. NAO SEI QUAL É O PEDIDO ANTERIOR</t>
  </si>
  <si>
    <t>PR</t>
  </si>
  <si>
    <t>d6ixmBOgQnqJNVzraY5xuQ</t>
  </si>
  <si>
    <t>AQUALAR E/OU AQUALAR WATER SOLUTIONS</t>
  </si>
  <si>
    <t>13514</t>
  </si>
  <si>
    <t>FT180F35T</t>
  </si>
  <si>
    <t>MGH1012 - FIT LOG - ELIVELTO GONÇALVES DIAS - 07704779923 - VW / 8.150E DELIVERY / BRANCA  / 2005</t>
  </si>
  <si>
    <t>Quadro deslocado sobrepor. ENTRGAR N AQUALAR 
Mario-Autorizado( Composição de fechamento dos pre pedidos 751.752.823 e 824(integrados juntos)
 Pedido nº 752 enviado pelo vendedor Ricardo Henrique  criado em 08/07/2024 14:18:08 integrado por meio do Bendito no dia 19/07/2024 às 10:27:08
POR FAVOR, NÃO ENTREGAR S/ENTRAR EM CONTATO COM O TELEFONE: 21 99512-4022 AO MENOS C/ 24H DE ANTECEDÊNCIA</t>
  </si>
  <si>
    <t>Francisco/Rubens (Teste)</t>
  </si>
  <si>
    <t>RJ</t>
  </si>
  <si>
    <t>c8EoQN2fTsSTZrvQ1MM6Uw</t>
  </si>
  <si>
    <t>WILLIAN RAFAEL ALVES 06251787694</t>
  </si>
  <si>
    <t>8A00240514003010</t>
  </si>
  <si>
    <t>ASE2851 - FIT LOG - RICARDO JORGE HAVIARA - 87153955968 - PEUGEOT / BOXER F350LH 23S / BRANCA / 2010</t>
  </si>
  <si>
    <t>Frete com redespacho pela GRIFE  - CNPJ: 25.406.384/0005-00 - GUARULHOS - R. IRAQUARA 24 - JARDIM IV CENTENARIO, GUARULHOS - SP,
O cliente está com urgência da máquina.
 Pedido nº 1131 enviado pelo vendedor Luiz  criado em 11/09/2024 10:34:20 integrado por meio do Bendito no dia 11/09/2024 às 10:36:18
O REDESPACHO SERA FOB - TRANSP. GRIFE - CNPJ:25.406.384/0005-00 - END: R IRAQUARA, 24, CEP: 07.161-550</t>
  </si>
  <si>
    <t>MG</t>
  </si>
  <si>
    <t>YE7yE-wZR6mYhh-R7oi5kg</t>
  </si>
  <si>
    <t>AQUAFIX EQUIPAMENTOS PARA PISCINAS</t>
  </si>
  <si>
    <t>8B00240322003239</t>
  </si>
  <si>
    <t>FTI105D40PT</t>
  </si>
  <si>
    <t>ESTOQUE CURITIBA PR162 - O PEDIDO JA FOI RETIRADO PELO CLIENTE DA FILIAL PARANA, O PEDIDO ANTERIOR 15801 HAVIA SIDO CANCELADO, REABRIMOS O PEDIDO E MANTEREMOS A FORMA DE PAGAMENTO A VISTA, O PEDIDO AINDA NÃO CONSTA COMO PAGO. QUANDO O PEDIDO FOR PAGO FAVOR, FATURAR A NF E INFORMAR O JAIR</t>
  </si>
  <si>
    <t>OVd2mcz0RSecKYwngcpZYg</t>
  </si>
  <si>
    <t>VERANO</t>
  </si>
  <si>
    <t>13787</t>
  </si>
  <si>
    <t>FT20B35T</t>
  </si>
  <si>
    <t>RHE5C97 - RETIRA - MARCOS VINICIUS DA SILVA CRUZ  - 93307217291 - VW / CARGA CAMIONETE  / BRANCA  / 2022</t>
  </si>
  <si>
    <t>CLIENTE TEM DESCONTO EXTRA DE + 8% NA LINHA FT  PREÇO R$ 6.297,51
PEDIDO CLIENTE 24811
 Pedido nº 1649 enviado pelo vendedor Carlos Augusto  criado em 20/11/2024 08:15:58 integrado por meio do Bendito no dia 20/11/2024 às 09:18:03</t>
  </si>
  <si>
    <t>SC</t>
  </si>
  <si>
    <t>SORlhv1sRsCwRr2qBjI9kw</t>
  </si>
  <si>
    <t>MULTCOLOR</t>
  </si>
  <si>
    <t>8F00241005160010</t>
  </si>
  <si>
    <t>12243</t>
  </si>
  <si>
    <t>KET4256 - FITLOG - LEONARDO DE SOUSA ROCHA - 02043623931 - VW / 18.310 / BRANCA  / 2003</t>
  </si>
  <si>
    <t>cliente : ricardo martinez (parana) - (constar em NF)
 Pedido nº 1755 enviado pelo vendedor Fábio criado em 04/12/2024 10:09:17 integrado por meio do Bendito no dia 04/12/2024 às 10:16:40</t>
  </si>
  <si>
    <t>SP</t>
  </si>
  <si>
    <t>vmtL7lMAS7ixxlsqVkDCrQ</t>
  </si>
  <si>
    <t>ROGER A.D BOARO</t>
  </si>
  <si>
    <t>8F00240812180128</t>
  </si>
  <si>
    <t xml:space="preserve">AGUARDANDO ANALISE FINANCEIRA.
O desconto no pedido foi autorizado pelo Mario pelo frete cotado no valor de R$163,33 
Número da cotação: 164133
Mario-autorizado </t>
  </si>
  <si>
    <t>yZR1RvSzRsWtnLP.QAtaMg</t>
  </si>
  <si>
    <t>Laboratório do Sol Aquecedores</t>
  </si>
  <si>
    <t>13818</t>
  </si>
  <si>
    <t>FTI145DPTBR</t>
  </si>
  <si>
    <t>RLL3I15 - RETIRA - GUILHERME OURIQUES -  - RENAUT / MASTER  / BRANCA  / 2022</t>
  </si>
  <si>
    <t>VALOR DA BOMBA R$20852,00 - NA COR PRETA 
entrada+30/45/60/75/90 ds 
 Pedido nº 1724 enviado pelo vendedor Carlos Augusto  criado em 29/11/2024 15:02:54 integrado por meio do Bendito no dia 30/11/2024 às 07:28:48</t>
  </si>
  <si>
    <t>Rubens</t>
  </si>
  <si>
    <t>Ar3bnGnURhOWGqeCabtJkQ</t>
  </si>
  <si>
    <t>ILUSTRE SISTEMA DE ILUMINACAO</t>
  </si>
  <si>
    <t>8F00241118050033</t>
  </si>
  <si>
    <t>FORMATO</t>
  </si>
  <si>
    <t>MGH1012 - FITLOG - GIORLY BOMBUL - 11305672224 - VW / DELIVERY / BRANCA / 2015</t>
  </si>
  <si>
    <t>R$10.221,86 em 10 x no cartão . Passar o link para Bruno Sampaio . TRANSPORTADORA : FORMATO TRANSPORTES LTDA-CNPJ: 13.727.240/0001-34 RUA RIO GRANDE DP PIAUI-130 CIDADE ARACILIA GUARULHOS SP -FONE 11 25367215- 
 Pedido nº 2043 enviado pelo vendedor Mario  criado em 31/01/2025 14:01:01 integrado por meio do Bendito no dia 31/01/2025 às 14:01:11
FORMATO TRANSPORTES LTDA-CNPJ: 13.727.240/0001-34 RUA RIO GRANDE DP PIAUI-130 CIDADE ARACILIA GUARULHOS SP -FONE 1125367215</t>
  </si>
  <si>
    <t>BA</t>
  </si>
  <si>
    <t>WTZySRbTRCSmb3.GCvH.iA</t>
  </si>
  <si>
    <t>NERCI MOREIRA</t>
  </si>
  <si>
    <t>8F00241021270016</t>
  </si>
  <si>
    <t>RAA3F11 - EXPRESSO SÃO MIGUEL - ALIDEIA JUCHEM CRESTANI - 04171883903 - I KIA / UK2500 HD SC / BRANCA  / 2022</t>
  </si>
  <si>
    <t>OP ANTIGA 13958 ESTE PEDIDO COMPLETA O PEDIDO 17002, QUE DEVEERIA TER SIDO ENTREGUE 2 MAQUINAS E FOI ENTREGUE APENAS 1. Pedido nº 2032 enviado pelo vendedor Renato criado em 30/01/2025 13:24:04 integrado por meio do Bendito no dia 30/01/2025 às 14:19:51</t>
  </si>
  <si>
    <t>Jair Rodrigues</t>
  </si>
  <si>
    <t>ZB5icL8hQR-R.Fu.y94tEA</t>
  </si>
  <si>
    <t>GAROPABA PISCINAS</t>
  </si>
  <si>
    <t>13954</t>
  </si>
  <si>
    <t>FTI55DPTBR</t>
  </si>
  <si>
    <t>MHL9974 - RETIRA - VERA LUCIA CARDOSO LEMOS  - 46915338004 - VW / SAVEIRO / PRETA  / 2015</t>
  </si>
  <si>
    <t>cliente retira . 07/03/25 
 Pedido nº 2186 enviado pelo vendedor Mario  criado em 07/03/2025 15:01:18 integrado por meio do Bendito no dia 07/03/2025 às 15:01:28</t>
  </si>
  <si>
    <t>gr9Z3G9uSsWBLLxTf44U6A</t>
  </si>
  <si>
    <t>8F00240723280539</t>
  </si>
  <si>
    <t>SAÍDA REFERENTE A RESSARCIMENTO DE MÁQUINA AVARIADA. - PEDIDO 17284 - NF-e 12866
APÓLICE DE SEGURO Nº</t>
  </si>
  <si>
    <t>WKuDpHSHRv2HpZudKA7Uuw</t>
  </si>
  <si>
    <t>11488</t>
  </si>
  <si>
    <t>BENE E BENI COMÉRCIO DE PISCINAS LTDA</t>
  </si>
  <si>
    <t>11831</t>
  </si>
  <si>
    <t>FT160F35T</t>
  </si>
  <si>
    <t>FRETE CIF.</t>
  </si>
  <si>
    <t>0ih7WFstRquMj-AVoJEftw</t>
  </si>
  <si>
    <t>13619-A</t>
  </si>
  <si>
    <t>ACQUANEW PISCINAS LTDA</t>
  </si>
  <si>
    <t>8B00230924003126</t>
  </si>
  <si>
    <t>FTI55D40CZ</t>
  </si>
  <si>
    <t>9813-10212</t>
  </si>
  <si>
    <t>CONDIÇÃO DE PAGAMENTO APROVADA PELO MARIO</t>
  </si>
  <si>
    <t>GENH4wujRJCgI4PfoqIHxw</t>
  </si>
  <si>
    <t>13619-B</t>
  </si>
  <si>
    <t>8B00230927003031</t>
  </si>
  <si>
    <t>FTI75D40CZ</t>
  </si>
  <si>
    <t>dy6GHuyzTkiwO3DgMRdHBA</t>
  </si>
  <si>
    <t>13619-C</t>
  </si>
  <si>
    <t>8B00230927003060</t>
  </si>
  <si>
    <t>lUdU1o.kSiO2CsJ4CE7PAw</t>
  </si>
  <si>
    <t>13619-D</t>
  </si>
  <si>
    <t>8B00230927003098</t>
  </si>
  <si>
    <t>FTI105D40CZ</t>
  </si>
  <si>
    <t>JhmbP0IbQUO7fTsPqLQvYQ</t>
  </si>
  <si>
    <t>13619-E</t>
  </si>
  <si>
    <t>8B00230927003112</t>
  </si>
  <si>
    <t>FTI125D40CZ</t>
  </si>
  <si>
    <t>J2ywZGqNRv2edywv8Ilq4Q</t>
  </si>
  <si>
    <t>13619-F</t>
  </si>
  <si>
    <t>8B00230924003178</t>
  </si>
  <si>
    <t>DDu1qcXZQR6OJohn2Jj57g</t>
  </si>
  <si>
    <t>13621-A</t>
  </si>
  <si>
    <t>ADRIANI APARECIDA BOTTEGA</t>
  </si>
  <si>
    <t>8B00230927003077</t>
  </si>
  <si>
    <t>zLu7RaOaTBmZmmGDutM2YA</t>
  </si>
  <si>
    <t>13621-B</t>
  </si>
  <si>
    <t>8B00230927003055</t>
  </si>
  <si>
    <t>TvJvz-r3Sp6dwFEKpGdOsg</t>
  </si>
  <si>
    <t>13623-A</t>
  </si>
  <si>
    <t>CR DOS SANTOS</t>
  </si>
  <si>
    <t>11715</t>
  </si>
  <si>
    <t>EXPRESSO M.LOG</t>
  </si>
  <si>
    <t>zxFZlTq5SbKsdbm4k6o1UA</t>
  </si>
  <si>
    <t>13623-B</t>
  </si>
  <si>
    <t>11789</t>
  </si>
  <si>
    <t>E0L224e-TYmQ1tWfYhX84g</t>
  </si>
  <si>
    <t>13623-C</t>
  </si>
  <si>
    <t>11790</t>
  </si>
  <si>
    <t>Cp20CV7mTcWAK8KzHaOmpA</t>
  </si>
  <si>
    <t>13623-D</t>
  </si>
  <si>
    <t>11791</t>
  </si>
  <si>
    <t>FT50B35T</t>
  </si>
  <si>
    <t>VqSwe38xRAmxh-3OI8hbKg</t>
  </si>
  <si>
    <t>13623-E</t>
  </si>
  <si>
    <t>11806</t>
  </si>
  <si>
    <t>AMOSTRA FT-25/40</t>
  </si>
  <si>
    <t>UlFQ9IlvQgSTs8fJH30gVg</t>
  </si>
  <si>
    <t>13625</t>
  </si>
  <si>
    <t>11793</t>
  </si>
  <si>
    <t>o6Kxd5G1SBm3WbEKUDVzWA</t>
  </si>
  <si>
    <t>13627-A</t>
  </si>
  <si>
    <t>8B00230924003185</t>
  </si>
  <si>
    <t>9814-10249</t>
  </si>
  <si>
    <t>BTa..KDLSG-3OwZW2864TA</t>
  </si>
  <si>
    <t>13627-B</t>
  </si>
  <si>
    <t>8B00230927003064</t>
  </si>
  <si>
    <t>a-5d1CQR5S2W1vugvBQGg3g</t>
  </si>
  <si>
    <t>13629</t>
  </si>
  <si>
    <t>ESSENCIAL CASA LAZER LTDA</t>
  </si>
  <si>
    <t>11166</t>
  </si>
  <si>
    <t>FT60D35T</t>
  </si>
  <si>
    <t>VENDA PELA FROMTHERM, MAS RETIRA PELO ESTOQUE DA BOLHA AZUL ENTRADA 5MIL + 30/60 -NS 12639 -NF 9107-OP 11166</t>
  </si>
  <si>
    <t>1S3pWmqkSRucEb88040hjg</t>
  </si>
  <si>
    <t>13631</t>
  </si>
  <si>
    <t>ELIANE MARIA DOS SANTOS PINHEIRO</t>
  </si>
  <si>
    <t>11794</t>
  </si>
  <si>
    <t>BOM JESUS</t>
  </si>
  <si>
    <t>X8pmrO5dSBmNmXVnw1SWig</t>
  </si>
  <si>
    <t>13633</t>
  </si>
  <si>
    <t>SIMONE COMÉRCIO DE PISCINAS EIRELLI</t>
  </si>
  <si>
    <t>11783</t>
  </si>
  <si>
    <t>FT40B35</t>
  </si>
  <si>
    <t>PDX</t>
  </si>
  <si>
    <t>BRUSVILLE</t>
  </si>
  <si>
    <t>QUADRO PDX SERÁ EXTERNO - ENVIAR PRONTO PARA ESTE USO</t>
  </si>
  <si>
    <t>iY-tnz0bTp64X08qNf550g</t>
  </si>
  <si>
    <t>13638</t>
  </si>
  <si>
    <t>BROGNONI &amp; BASSO CONSTRUCOES DE PISCINAS LTDA</t>
  </si>
  <si>
    <t>11799</t>
  </si>
  <si>
    <t>FT80B35T</t>
  </si>
  <si>
    <t>50% DE SINAL E 50% NO DESPACHO DO EQUIPAMENTO COM FRETE CIF</t>
  </si>
  <si>
    <t>vhiB-MnzSbq3sFd6JWZEKQ</t>
  </si>
  <si>
    <t>13640</t>
  </si>
  <si>
    <t>FLIPPER PISCINAS</t>
  </si>
  <si>
    <t>11521</t>
  </si>
  <si>
    <t>FT20B35</t>
  </si>
  <si>
    <t>DISK &amp; TENHA</t>
  </si>
  <si>
    <t>bXGt67XGQcieV.WDykkKXA</t>
  </si>
  <si>
    <t>13642</t>
  </si>
  <si>
    <t>ACQUATHERM</t>
  </si>
  <si>
    <t>11800</t>
  </si>
  <si>
    <t>ESTE PEDIDO SUBSTITUI O PEDIDO 13503 - ACQUATHERM POR ERRO DE DIGITAÇÃO DO REPRESENTANTE, FOI COMPRADO FT50 E DIGITADO FT40 - JÁ ESTÁ PAGO ESTA BOMBA</t>
  </si>
  <si>
    <t>XWXor2U1QgmgLRl-ahShkw</t>
  </si>
  <si>
    <t>13645</t>
  </si>
  <si>
    <t>LS BOMBAS E ASSISTENCIA TECNICA LTDA</t>
  </si>
  <si>
    <t>11634</t>
  </si>
  <si>
    <t>FT100F35T</t>
  </si>
  <si>
    <t>VALEN</t>
  </si>
  <si>
    <t>xUNwbZnyTZKadanLkfYKgQ</t>
  </si>
  <si>
    <t>13649</t>
  </si>
  <si>
    <t>SÓ LAZER PISCINAS</t>
  </si>
  <si>
    <t>10594</t>
  </si>
  <si>
    <t>CLIENTE : 500708 MICHAEL BANI - CONSTAR EM NF DESCONTAR DA CONTA CORRENTE - DESCONTO DE 10% + 3%</t>
  </si>
  <si>
    <t>8XklGGM8QhiCGTW7e.6PDQ</t>
  </si>
  <si>
    <t>13651</t>
  </si>
  <si>
    <t>11809</t>
  </si>
  <si>
    <t>PAGAMENTO: 50% DE SINAL E 50% QUANDO EQUIPAMENTO FOR DESPACHADO COM FRETE CIF.</t>
  </si>
  <si>
    <t>VRwqK7NcSuepSpPL6pPzgQ</t>
  </si>
  <si>
    <t>13653</t>
  </si>
  <si>
    <t>GRANEL PISCINAS INDÚSTRIA E COMÉRCIO LTDA</t>
  </si>
  <si>
    <t>11788</t>
  </si>
  <si>
    <t>VT</t>
  </si>
  <si>
    <t>REDESPACHO PELA V.T. TRANSPORTES</t>
  </si>
  <si>
    <t>UhNfFYWVQvS2rVOKINgsZg</t>
  </si>
  <si>
    <t>13655-A</t>
  </si>
  <si>
    <t>STEINFIBER PISCINAS</t>
  </si>
  <si>
    <t>11784</t>
  </si>
  <si>
    <t>FT240L35T</t>
  </si>
  <si>
    <t>PEDIDO ACCR DEGELO COBRADO ADICIONAL DE 4%</t>
  </si>
  <si>
    <t>91xBOQPWRrWuKIpC.8kNQg</t>
  </si>
  <si>
    <t>13657</t>
  </si>
  <si>
    <t>SÉRGIO R. HANG</t>
  </si>
  <si>
    <t>11617</t>
  </si>
  <si>
    <t>FT80J35T</t>
  </si>
  <si>
    <t>CLIENTE: SOLTEC COM. DE PISC E BANH. LTDA PAGA AO RETIRAR NA FÁBRICA</t>
  </si>
  <si>
    <t>dYrUMxDWR0qOn7o65Fxv.g</t>
  </si>
  <si>
    <t>13659</t>
  </si>
  <si>
    <t>STILLO DAGUA</t>
  </si>
  <si>
    <t>11786</t>
  </si>
  <si>
    <t>FT100J35T</t>
  </si>
  <si>
    <t>PEDIDO 12982 - TALMIDIN</t>
  </si>
  <si>
    <t>Zae-jjBGS9qvUge07CgSaQ</t>
  </si>
  <si>
    <t>13661-A</t>
  </si>
  <si>
    <t>SPECIAN LUZ PISCINAS</t>
  </si>
  <si>
    <t>8B00230927003082</t>
  </si>
  <si>
    <t>9767-10223</t>
  </si>
  <si>
    <t>dmJuvT6qTe2NPHEB1oyAow</t>
  </si>
  <si>
    <t>13661-B</t>
  </si>
  <si>
    <t>8B00230927003110</t>
  </si>
  <si>
    <t>wtLSZOQETfCjXiPSjfg3Zw</t>
  </si>
  <si>
    <t>13661-C</t>
  </si>
  <si>
    <t>8B00230927003120</t>
  </si>
  <si>
    <t>zh9hjEeoTEuZb03h4OBJqA</t>
  </si>
  <si>
    <t>13661-D</t>
  </si>
  <si>
    <t>8B00230924003189</t>
  </si>
  <si>
    <t>CZJuaN-RSyWo96HmsFi6dQ</t>
  </si>
  <si>
    <t>13661-E</t>
  </si>
  <si>
    <t>8B00230924003184</t>
  </si>
  <si>
    <t>5Ay2e7TeQ0qYlws3QSCdkQ</t>
  </si>
  <si>
    <t>13661-F</t>
  </si>
  <si>
    <t>8B00230924003192</t>
  </si>
  <si>
    <t>waXqrj3YR-WV0l5wTmlUVQ</t>
  </si>
  <si>
    <t>13661-G</t>
  </si>
  <si>
    <t>8B00230924003193</t>
  </si>
  <si>
    <t>h2eza9tFRtuC6OrabI5LWw</t>
  </si>
  <si>
    <t>13661-H</t>
  </si>
  <si>
    <t>8B00230924003191</t>
  </si>
  <si>
    <t>Lyu8b.DBS7mdSy6NLMLzOA</t>
  </si>
  <si>
    <t>13663</t>
  </si>
  <si>
    <t>JULIANA DANTAS DE ARAÚJO SANTOS CAMARGO</t>
  </si>
  <si>
    <t>11787</t>
  </si>
  <si>
    <t>VENDA INDICADA PELA AGUAS E VAPORES</t>
  </si>
  <si>
    <t>zoI0JI-sQm2izzoynU-e7A</t>
  </si>
  <si>
    <t>13665</t>
  </si>
  <si>
    <t>AVIZ</t>
  </si>
  <si>
    <t>11587</t>
  </si>
  <si>
    <t>FT25B35T</t>
  </si>
  <si>
    <t>TW</t>
  </si>
  <si>
    <t>RESERVA 11587</t>
  </si>
  <si>
    <t>xh5A8TcMRI-5gdmNsLAW8Q</t>
  </si>
  <si>
    <t>13667-A</t>
  </si>
  <si>
    <t>AG INCORPORADORA DE IMOVEIS LTDA</t>
  </si>
  <si>
    <t>8B00230927003093</t>
  </si>
  <si>
    <t>9688-10219</t>
  </si>
  <si>
    <t>KwxvMDWkSGm.n9aWqR3Ysg</t>
  </si>
  <si>
    <t>13667-B</t>
  </si>
  <si>
    <t>8B00230927003108</t>
  </si>
  <si>
    <t>gafIGf.kQzOO8KLdE9baaA</t>
  </si>
  <si>
    <t>13667-C</t>
  </si>
  <si>
    <t>8B00230924003170</t>
  </si>
  <si>
    <t>wAneqJD9RjuyRmpViiQ1QA</t>
  </si>
  <si>
    <t>13667-D</t>
  </si>
  <si>
    <t>8B00230924003145</t>
  </si>
  <si>
    <t>ZHCXNQHUTZetBJFmMdRwkw</t>
  </si>
  <si>
    <t>13667-E</t>
  </si>
  <si>
    <t>8B00230924003134</t>
  </si>
  <si>
    <t>7vZYGxejTymiD-0oiCjfxw</t>
  </si>
  <si>
    <t>13667-F</t>
  </si>
  <si>
    <t>8B00230924003175</t>
  </si>
  <si>
    <t>eNgcElZBRb2Vakv1ejBBfQ</t>
  </si>
  <si>
    <t>13667-G</t>
  </si>
  <si>
    <t>8B00230924003124</t>
  </si>
  <si>
    <t>eAW6w1E4S2it8YRDkmrGuw</t>
  </si>
  <si>
    <t>13669</t>
  </si>
  <si>
    <t>CASA &amp; VERDE- ARTIGOS PARA LAZER LTDA</t>
  </si>
  <si>
    <t>11792</t>
  </si>
  <si>
    <t>EMBUTIR</t>
  </si>
  <si>
    <t>m.DqDvv4SLG3cThkKLSgxg</t>
  </si>
  <si>
    <t>13674-A</t>
  </si>
  <si>
    <t>FARNEZZI MATERIAIS DE CONTRUÇÃO LTDA</t>
  </si>
  <si>
    <t>11583</t>
  </si>
  <si>
    <t>RODOCAP</t>
  </si>
  <si>
    <t>TRANSPORTADORA RODOCAP - VOU ENVIAR POR EMAIL A COTAÇÃO DO FRETE PARA ANEXAR A NF. DESCONTO 40% + 5%</t>
  </si>
  <si>
    <t>sF-8i9d7TxuYk86cpe-a6g</t>
  </si>
  <si>
    <t>13674-B</t>
  </si>
  <si>
    <t>11795</t>
  </si>
  <si>
    <t>FT100D35T</t>
  </si>
  <si>
    <t>Lo3XtTl-RnSWqqpptyrBLA</t>
  </si>
  <si>
    <t>13676</t>
  </si>
  <si>
    <t>SOL E AR</t>
  </si>
  <si>
    <t>11644</t>
  </si>
  <si>
    <t>FT40D35T</t>
  </si>
  <si>
    <t>MINAS STAR</t>
  </si>
  <si>
    <t>TRANSPORTADORA MINAS STAR DESCONTO 40% + 10% NR OC 24177, CONSTAR NA OBS DA NF.</t>
  </si>
  <si>
    <t>W0xnC582SVijDxxC8C3NQQ</t>
  </si>
  <si>
    <t>13678</t>
  </si>
  <si>
    <t>DONATTI DISTRIBUIDORA LTDA</t>
  </si>
  <si>
    <t>11796</t>
  </si>
  <si>
    <t>nkEQK0PpSSqI.ehKwNiSdA</t>
  </si>
  <si>
    <t>13680</t>
  </si>
  <si>
    <t>IMPERIO COMERCIO DE PISCINAS E PRODUTOS</t>
  </si>
  <si>
    <t>11329</t>
  </si>
  <si>
    <t>PEDIDO RETIRADO PELO ESTOQUE BOLHA NS 13308 NF 9493</t>
  </si>
  <si>
    <t>h2h26U90R.C.52GTc4TKrw</t>
  </si>
  <si>
    <t>13684</t>
  </si>
  <si>
    <t>11716</t>
  </si>
  <si>
    <t>TRANSPORTADORA :MINAS STAR DESCONTOS : 40% + 10% OC 24167 CONSTAR NA OBS DA NF</t>
  </si>
  <si>
    <t>dWLTPvi-T9-eUET309nW5g</t>
  </si>
  <si>
    <t>13686</t>
  </si>
  <si>
    <t>BOLHA AZUL COM. VAREJISTA DE PISCINAS</t>
  </si>
  <si>
    <t>11630</t>
  </si>
  <si>
    <t>RETIRA DO ESTOQUE BOLHA AZUL -NS 13308 - NF 9493</t>
  </si>
  <si>
    <t>a-Wm3ca6kTwWWIHDohGOqKQ</t>
  </si>
  <si>
    <t>13688</t>
  </si>
  <si>
    <t>JOÃO CARLOS SOUZA DA SILVA LTDA</t>
  </si>
  <si>
    <t>11811</t>
  </si>
  <si>
    <t>FT80F35T</t>
  </si>
  <si>
    <t>JoZuQKikQz-WzgFQrWGeDg</t>
  </si>
  <si>
    <t>13692</t>
  </si>
  <si>
    <t>AGUA VIVA PISCINAS</t>
  </si>
  <si>
    <t>8B00230927003085</t>
  </si>
  <si>
    <t>DICA</t>
  </si>
  <si>
    <t>9687-10250</t>
  </si>
  <si>
    <t>VENDA PROGRAMADA, ENVIAR O BOLETO DA ENTRADA.</t>
  </si>
  <si>
    <t>xL0GfMH7Rwq.19Ue7H1BXA</t>
  </si>
  <si>
    <t>13694-A</t>
  </si>
  <si>
    <t>INFRAH HIDRAULICA</t>
  </si>
  <si>
    <t>11797</t>
  </si>
  <si>
    <t>ACEVILLE</t>
  </si>
  <si>
    <t>ATENÇÃO: ENTREGAR NO ENDEREÇO RUA JOAQUIM FERREIRA,124, BAIRRO AGUA BRANCA-SÃO PAULO(COND. RAIL)  COPIAR EMIAL: ALISSON@INFRAH.COM ENTREGA: 7 DIAS - Q DESL SOB.</t>
  </si>
  <si>
    <t>a-xty5fgiTd23nGjBPzZOiw</t>
  </si>
  <si>
    <t>13694-B</t>
  </si>
  <si>
    <t>11798</t>
  </si>
  <si>
    <t>RBvCMLMfTsmp903Z5qwlkw</t>
  </si>
  <si>
    <t>13696</t>
  </si>
  <si>
    <t>ANDRÉ DANTAS DE OLIVEIRA</t>
  </si>
  <si>
    <t>11841</t>
  </si>
  <si>
    <t>ANDREZINHODANTAS@GMAIL.COM - VENDA INDICADA AGUAS E VAPORES (RN)</t>
  </si>
  <si>
    <t>a-rJXXojMQg6oneO2I-h6jg</t>
  </si>
  <si>
    <t>13698</t>
  </si>
  <si>
    <t>VITORIA PISCINAS E ECO JARDIM PROD EQUIP</t>
  </si>
  <si>
    <t>11713</t>
  </si>
  <si>
    <t>MOVVI</t>
  </si>
  <si>
    <t>COTAR FRETE E EMBUTIR NA NF</t>
  </si>
  <si>
    <t>AT3ZP3wES36f067.gGb5Cw</t>
  </si>
  <si>
    <t>13700</t>
  </si>
  <si>
    <t>11464</t>
  </si>
  <si>
    <t>y0scsR4DQbuAbCI6amfVqg</t>
  </si>
  <si>
    <t>13704</t>
  </si>
  <si>
    <t>11712</t>
  </si>
  <si>
    <t>PAGAMENTO: 50% DE SINAL + 50% QUANDO EQUIPAMENTO FOR DESPACHADO POR FRETE CIF.</t>
  </si>
  <si>
    <t>7bexcYlHQyiF1xzwS9tNsg</t>
  </si>
  <si>
    <t>13706</t>
  </si>
  <si>
    <t>ROGER JOSÉ DE AMORIM 89158520600</t>
  </si>
  <si>
    <t>11482</t>
  </si>
  <si>
    <t>EXPRESSO RAQUEL</t>
  </si>
  <si>
    <t>NUM. RESERVA 11482. REDESPACHO PELA EXPRESSO RAQUEL</t>
  </si>
  <si>
    <t>R5VXMrpCSQGC70MxtMKn3Q</t>
  </si>
  <si>
    <t>13708-A</t>
  </si>
  <si>
    <t>LAR PISCINAS</t>
  </si>
  <si>
    <t>11819</t>
  </si>
  <si>
    <t>FT160F35</t>
  </si>
  <si>
    <t>1+7 X COM ENTRADA VIA PIX R$8.025,00  ATENÇÃO NA ENTREGA, MANDAR COM DISPOSITIVO PARA DESCAGARREGAR OU AJUDANTES.</t>
  </si>
  <si>
    <t>nqG7pUzVSGeWGoVYADVahA</t>
  </si>
  <si>
    <t>13708-B</t>
  </si>
  <si>
    <t>11820</t>
  </si>
  <si>
    <t>FLMofZzhSy-Xc3tiEeyw5g</t>
  </si>
  <si>
    <t>13708-C</t>
  </si>
  <si>
    <t>11589</t>
  </si>
  <si>
    <t>FT25B35</t>
  </si>
  <si>
    <t>kjClJZUCSuiGS-RV42DQ6g</t>
  </si>
  <si>
    <t>13708-D</t>
  </si>
  <si>
    <t>11465</t>
  </si>
  <si>
    <t>Vc36FhBfTDS8-vrijZJmbw</t>
  </si>
  <si>
    <t>13708-E</t>
  </si>
  <si>
    <t>11466</t>
  </si>
  <si>
    <t>QTBZsNhRTcSJGMV5kcv6gg</t>
  </si>
  <si>
    <t>13708-F</t>
  </si>
  <si>
    <t>11588</t>
  </si>
  <si>
    <t>OScsqg42QSi.Mmf4p-ayhg</t>
  </si>
  <si>
    <t>13710</t>
  </si>
  <si>
    <t>CENTER POOL PISCINAS E AQUECEDORES</t>
  </si>
  <si>
    <t>11807</t>
  </si>
  <si>
    <t>j0.wdtS7TWqWpAPdZTMOog</t>
  </si>
  <si>
    <t>13712</t>
  </si>
  <si>
    <t>NADE PISCINAS LTDA</t>
  </si>
  <si>
    <t>11635</t>
  </si>
  <si>
    <t>FRETE CIF</t>
  </si>
  <si>
    <t>oQY5kkHWQcGWQKduxjfQMQ</t>
  </si>
  <si>
    <t>13714-A</t>
  </si>
  <si>
    <t>CASA DO ELETRICISTA MCR</t>
  </si>
  <si>
    <t>8B00230924003119</t>
  </si>
  <si>
    <t>VltpHpuSTjOa4jlltCfcZA</t>
  </si>
  <si>
    <t>13714-B</t>
  </si>
  <si>
    <t>8B00230924003149</t>
  </si>
  <si>
    <t>2cWUpKbwSqWc-ZX1E1Kz8Q</t>
  </si>
  <si>
    <t>13716</t>
  </si>
  <si>
    <t>MICHEL ANGELO PETENUCI</t>
  </si>
  <si>
    <t>11606</t>
  </si>
  <si>
    <t>FT160H35T</t>
  </si>
  <si>
    <t>nmL218j5S8m8Z21-8.RCNQ</t>
  </si>
  <si>
    <t>13718</t>
  </si>
  <si>
    <t>11714</t>
  </si>
  <si>
    <t>SUBSTITUIÇÃO PEDIDO 12063 - OS: 2312</t>
  </si>
  <si>
    <t>mV-brqX5SwyYSIPdnEzMfA</t>
  </si>
  <si>
    <t>13719</t>
  </si>
  <si>
    <t>JATO DAGUA PISCINAS</t>
  </si>
  <si>
    <t>11801</t>
  </si>
  <si>
    <t>S7PCPj-zQC24JLKy-UXA2g</t>
  </si>
  <si>
    <t>13721</t>
  </si>
  <si>
    <t>11808</t>
  </si>
  <si>
    <t>a-1UwE.9tSSa69soAEwSkKg</t>
  </si>
  <si>
    <t>13725</t>
  </si>
  <si>
    <t>11274 &lt;- OP DA BOLHA</t>
  </si>
  <si>
    <t>FT100H35T</t>
  </si>
  <si>
    <t>RETIRA DO ESTOQUE BOLHA - OP 11274 - NS 12639 - NF 9135</t>
  </si>
  <si>
    <t>lid752IIQiucBFt8xWYvfQ</t>
  </si>
  <si>
    <t>13727</t>
  </si>
  <si>
    <t>11802</t>
  </si>
  <si>
    <t>FT160J35T</t>
  </si>
  <si>
    <t>9746-9747 - 35</t>
  </si>
  <si>
    <t>PEDIDO URGENTE</t>
  </si>
  <si>
    <t>n9o9m09KRrGHsjpi-10apQ</t>
  </si>
  <si>
    <t>13729</t>
  </si>
  <si>
    <t>FABIO PAES ALVIM</t>
  </si>
  <si>
    <t>11803</t>
  </si>
  <si>
    <t>RODONAVES</t>
  </si>
  <si>
    <t>TRANSPORTADORA RODONAVES - DIRETO - SEM REDESPACHO. DESCONTOS : 40% + 3% + 3%  ACRÉSCIMO : 6,4% PESSOA FÍSICA</t>
  </si>
  <si>
    <t>WjrYIf19QP-Pg8WHNzyb1w</t>
  </si>
  <si>
    <t>13731</t>
  </si>
  <si>
    <t>11804</t>
  </si>
  <si>
    <t>PEDIDO: RAFAEL MACARIO DA ROCHA</t>
  </si>
  <si>
    <t>HRC9faFBTUW70FgrAr7zcA</t>
  </si>
  <si>
    <t>13735</t>
  </si>
  <si>
    <t>8B00230924003186</t>
  </si>
  <si>
    <t>9765-10213</t>
  </si>
  <si>
    <t>VBEtlxRNSbut-JVcJw4iMA</t>
  </si>
  <si>
    <t>13737-A</t>
  </si>
  <si>
    <t>PISCINAS BALNEÁRIO LTDA</t>
  </si>
  <si>
    <t>11805</t>
  </si>
  <si>
    <t>FT160J35</t>
  </si>
  <si>
    <t>aveej2MvQG2G0Jni5-BNng</t>
  </si>
  <si>
    <t>13737-B</t>
  </si>
  <si>
    <t>11810</t>
  </si>
  <si>
    <t>w2FlK1sUTx6-VGzVVyjkxQ</t>
  </si>
  <si>
    <t>13739</t>
  </si>
  <si>
    <t>ULTRASOL EQUIPAMETNOS PARA AQUECEDORES E PISCINAS LTDA</t>
  </si>
  <si>
    <t>8B00230927003066</t>
  </si>
  <si>
    <t>TRANSAPUCARANA</t>
  </si>
  <si>
    <t>8OnmUaKkR--bftSjN8HllA</t>
  </si>
  <si>
    <t>13741</t>
  </si>
  <si>
    <t>PISCINAS H2O LTDA</t>
  </si>
  <si>
    <t>11655</t>
  </si>
  <si>
    <t>FT120J35T</t>
  </si>
  <si>
    <t>Lgq0DN8BQrK9IZJ7O69ZYg</t>
  </si>
  <si>
    <t>13743-A</t>
  </si>
  <si>
    <t>ARCO IRIS PISCINAS</t>
  </si>
  <si>
    <t>11933</t>
  </si>
  <si>
    <t>FT60J35T</t>
  </si>
  <si>
    <t>DESCONTO A VISTA DE 4% AUTORIZADO PELO MÁRIO</t>
  </si>
  <si>
    <t>V8PuHgdTSDqHqly9e2AW0Q</t>
  </si>
  <si>
    <t>13743-B</t>
  </si>
  <si>
    <t>11932</t>
  </si>
  <si>
    <t>d9pcsoc5RvyPqOUGU1a-HA</t>
  </si>
  <si>
    <t>13745</t>
  </si>
  <si>
    <t>WELLINGTON LUIS ALESSI</t>
  </si>
  <si>
    <t>11469</t>
  </si>
  <si>
    <t>CLIENTE: HIDROESTE PISCINAS -PAGAMENTO EM SETEMBRO</t>
  </si>
  <si>
    <t>mbYhVDsZRpqaxPojZfYmIA</t>
  </si>
  <si>
    <t>13747-A</t>
  </si>
  <si>
    <t>8B00230924003150</t>
  </si>
  <si>
    <t>10031-10243</t>
  </si>
  <si>
    <t>8B00230924003096 ESSA ERA A OP Q TAVA, MAS N ERA ELA Q TA NO CLIENTE[ ///  PODE SER ESSA 8B00230924003150 OU ESSA 8B00230924003181</t>
  </si>
  <si>
    <t>yIX5deVESO6pTIdHH0GYsg</t>
  </si>
  <si>
    <t>13747-B</t>
  </si>
  <si>
    <t>8B00230924003139</t>
  </si>
  <si>
    <t>ENTRADA 30/60/90/120/150 DIAS</t>
  </si>
  <si>
    <t>xlH2-a.DQXiacSzGYxewAA</t>
  </si>
  <si>
    <t>13747-C</t>
  </si>
  <si>
    <t>8B00230924003146</t>
  </si>
  <si>
    <t>RBrYOL51QcGUIHPqYVKC5w</t>
  </si>
  <si>
    <t>13747-D</t>
  </si>
  <si>
    <t>8B00230927003043</t>
  </si>
  <si>
    <t>kDgA2HbLQTS5rPMG8THRiw</t>
  </si>
  <si>
    <t>13747-E</t>
  </si>
  <si>
    <t>8B00230927003046</t>
  </si>
  <si>
    <t>vOfK8gNPR2S5ye3sMRtgtg</t>
  </si>
  <si>
    <t>13747-F</t>
  </si>
  <si>
    <t>8B00230927003038</t>
  </si>
  <si>
    <t>k-5OwypmRKuYAPfSrHPWAA</t>
  </si>
  <si>
    <t>13747-G</t>
  </si>
  <si>
    <t>8B00230927003106</t>
  </si>
  <si>
    <t>E6W8XONuTYaz0GvItgbCDQ</t>
  </si>
  <si>
    <t>13749-A</t>
  </si>
  <si>
    <t>8B00230924003114</t>
  </si>
  <si>
    <t>9763-10246</t>
  </si>
  <si>
    <t>uQC.DOqETmuGhSuOD7-ipg</t>
  </si>
  <si>
    <t>13749-B</t>
  </si>
  <si>
    <t>8B00230924003121</t>
  </si>
  <si>
    <t>dhVcpNu6RVGUO3j.r5l52A</t>
  </si>
  <si>
    <t>13749-C</t>
  </si>
  <si>
    <t>8B00230924003154</t>
  </si>
  <si>
    <t>9LSfd.wSTE29IE1pZ8Jb9A</t>
  </si>
  <si>
    <t>13749-D</t>
  </si>
  <si>
    <t>8B00230924003127</t>
  </si>
  <si>
    <t>6PXHd0GoQ1KSJpsZe7MuMg</t>
  </si>
  <si>
    <t>13749-E</t>
  </si>
  <si>
    <t>8B00230927003040</t>
  </si>
  <si>
    <t>IHdYd7tgR0CTisoUQH84CA</t>
  </si>
  <si>
    <t>13749-F</t>
  </si>
  <si>
    <t>8B00230927003025</t>
  </si>
  <si>
    <t>uINILbjwRgGcgZurZfWo4A</t>
  </si>
  <si>
    <t>13749-G</t>
  </si>
  <si>
    <t>8B00230927003016</t>
  </si>
  <si>
    <t>kJqqtUpAQbCjLyUohtme0Q</t>
  </si>
  <si>
    <t>13749-H</t>
  </si>
  <si>
    <t>8B00230927003021</t>
  </si>
  <si>
    <t>UJixXKLbRbiETq0zGCiB0Q</t>
  </si>
  <si>
    <t>13749-I</t>
  </si>
  <si>
    <t>8B00230927003097</t>
  </si>
  <si>
    <t>BUqKiteLQ96YQNtZjmENXA</t>
  </si>
  <si>
    <t>13749-J</t>
  </si>
  <si>
    <t>8B00230927003103</t>
  </si>
  <si>
    <t>V-0qHb8zQNOPvqpb6SpvUg</t>
  </si>
  <si>
    <t>13749-K</t>
  </si>
  <si>
    <t>8B00231215003253</t>
  </si>
  <si>
    <t>9763- 10421</t>
  </si>
  <si>
    <t>ENTRADA 30/60/90/120/150 DIAS   ( MARIO REMANEJOU ESSAS MAQUINAS PARA O PEDIDO 14621 NA DATA DE 17/01/2024)</t>
  </si>
  <si>
    <t>zK-fdu.jRnubMC0MAnVSZQ</t>
  </si>
  <si>
    <t>13749-L</t>
  </si>
  <si>
    <t>8B00231215003239</t>
  </si>
  <si>
    <t>trKMxXsLTIqT163eZstFYg</t>
  </si>
  <si>
    <t>13749-M</t>
  </si>
  <si>
    <t>8B00231215003225</t>
  </si>
  <si>
    <t>ZUpozaYDRve972As2WZ3vQ</t>
  </si>
  <si>
    <t>13749-N</t>
  </si>
  <si>
    <t>8B00231215003234</t>
  </si>
  <si>
    <t>RZaqW0ANSii-qPzbo80JNw</t>
  </si>
  <si>
    <t>13751-A</t>
  </si>
  <si>
    <t>PISCINA E CIA - MJ PINHEIRO</t>
  </si>
  <si>
    <t>8B00230924003181</t>
  </si>
  <si>
    <t>9764-10273</t>
  </si>
  <si>
    <t>8B00230924003120 // PODE SER ESSA 8B00230924003150 OU ESSA 8B00230924003181</t>
  </si>
  <si>
    <t>va4Z8L64QW2hSIVB3.03yA</t>
  </si>
  <si>
    <t>13751-B</t>
  </si>
  <si>
    <t>8B00230924003141</t>
  </si>
  <si>
    <t>fL.7hHbIRLe0znSsvDsHSA</t>
  </si>
  <si>
    <t>13751-C</t>
  </si>
  <si>
    <t>8B00230927003061</t>
  </si>
  <si>
    <t>l6c1y01iTJqmCG8l.4pgmw</t>
  </si>
  <si>
    <t>13751-D</t>
  </si>
  <si>
    <t>8B00230927003080</t>
  </si>
  <si>
    <t>lJAC8M9sSkamUVTmSrClKw</t>
  </si>
  <si>
    <t>13751-E</t>
  </si>
  <si>
    <t>8B00230927003078</t>
  </si>
  <si>
    <t>KIFFOK05QjOou23MpFaE2g</t>
  </si>
  <si>
    <t>13751-F</t>
  </si>
  <si>
    <t>8B00230927003054</t>
  </si>
  <si>
    <t>kCsU0owOR5Ofp66R7ss65Q</t>
  </si>
  <si>
    <t>13751-G</t>
  </si>
  <si>
    <t>8B00230927003104</t>
  </si>
  <si>
    <t>fYC0V7P.ShGRgVwEujSqpw</t>
  </si>
  <si>
    <t>13751-H</t>
  </si>
  <si>
    <t>8B00230927003091</t>
  </si>
  <si>
    <t>4PoJXmZlRPiuFaY5VRVloA</t>
  </si>
  <si>
    <t>13751-I</t>
  </si>
  <si>
    <t>8B00230927003100</t>
  </si>
  <si>
    <t>i0dso1WTSiOEXg3Te5B.rQ</t>
  </si>
  <si>
    <t>13751-J</t>
  </si>
  <si>
    <t>8B00230927003101</t>
  </si>
  <si>
    <t>owDPCdDoS3C6loP4F9OnYA</t>
  </si>
  <si>
    <t>13751-K</t>
  </si>
  <si>
    <t>FTI125L40CZ</t>
  </si>
  <si>
    <t>DEVOLVIDO</t>
  </si>
  <si>
    <t>OP 8B00230927003148, DEVOLUÇÃO OS - 2571</t>
  </si>
  <si>
    <t>4maeKf7PTemDS0K12uSsow</t>
  </si>
  <si>
    <t>13756-A</t>
  </si>
  <si>
    <t>HIDRO AMBIENTAL PISC</t>
  </si>
  <si>
    <t>11843</t>
  </si>
  <si>
    <t>EWPEcqWtRD-hCR2NxllQbQ</t>
  </si>
  <si>
    <t>13756-B</t>
  </si>
  <si>
    <t>11830</t>
  </si>
  <si>
    <t>kaXJ0vTMSFSvugSFzuph8w</t>
  </si>
  <si>
    <t>13758-A</t>
  </si>
  <si>
    <t>R. FIRMIANO PEREIRA COMERCIO DE PISCINAS EIRELI</t>
  </si>
  <si>
    <t>11825</t>
  </si>
  <si>
    <t>kI7vOa8rTN2gm25sGBccDQ</t>
  </si>
  <si>
    <t>13758-B</t>
  </si>
  <si>
    <t>11542</t>
  </si>
  <si>
    <t>FT60B35</t>
  </si>
  <si>
    <t>qAl0.SxFQt-MjpmU6nHTrQ</t>
  </si>
  <si>
    <t>13758-C</t>
  </si>
  <si>
    <t>11866</t>
  </si>
  <si>
    <t>P6EvI8rnSwO9bPpptRE9XA</t>
  </si>
  <si>
    <t>13760</t>
  </si>
  <si>
    <t>LUIZ HENRIQUE FOPPA SOUZA</t>
  </si>
  <si>
    <t>11852</t>
  </si>
  <si>
    <t>9705-9757</t>
  </si>
  <si>
    <t>PEDIDO FEITO PELO CLIENTE: STEINFIBER - PAGAMENTO VIA PIX - 02/10/23 - PEDIDO TEVE ENTRADA COMO FT50D35T, PORÉM ERA PRA SER FT50B35T, ERRO NA PLANILHA</t>
  </si>
  <si>
    <t>ln0cTTLAQOWkyev6NaJl4g</t>
  </si>
  <si>
    <t>13761-A</t>
  </si>
  <si>
    <t>LAZER PISCINAS</t>
  </si>
  <si>
    <t>11822</t>
  </si>
  <si>
    <t>8zU1YKjLQEuTVbtGKrRD7Q</t>
  </si>
  <si>
    <t>13761-B</t>
  </si>
  <si>
    <t>11823</t>
  </si>
  <si>
    <t>ePMm2D6nQ3iKFtv-Rnnwng</t>
  </si>
  <si>
    <t>13763</t>
  </si>
  <si>
    <t>11838</t>
  </si>
  <si>
    <t>FT60B35T</t>
  </si>
  <si>
    <t>rHiBTmBDTCKLFlFpm4t5eg</t>
  </si>
  <si>
    <t>13765</t>
  </si>
  <si>
    <t>11826</t>
  </si>
  <si>
    <t>CLIENTE LEANDRO</t>
  </si>
  <si>
    <t>nEUC5pMYQfyIffDrjG-jiA</t>
  </si>
  <si>
    <t>13767-B</t>
  </si>
  <si>
    <t>11832</t>
  </si>
  <si>
    <t>UHWDYpplQpCJsTYrt7oEjA</t>
  </si>
  <si>
    <t>13769</t>
  </si>
  <si>
    <t>CAREGNATO</t>
  </si>
  <si>
    <t>8083</t>
  </si>
  <si>
    <t>FT160L35T</t>
  </si>
  <si>
    <t>uNLUQQGjTr-cb.cieOkcTw</t>
  </si>
  <si>
    <t>13771-A</t>
  </si>
  <si>
    <t>MULT COLOR</t>
  </si>
  <si>
    <t>11834</t>
  </si>
  <si>
    <t>ALIANÇA</t>
  </si>
  <si>
    <t>OBRA UBATUBA CSR SANDIM (CONSTAR EM NF) DESCONTO DE -10% -4% AUTORIZADO PELO GV MÁRIO.</t>
  </si>
  <si>
    <t>7LsYMRroRMe3crBqSyEKnw</t>
  </si>
  <si>
    <t>13771-B</t>
  </si>
  <si>
    <t>11835</t>
  </si>
  <si>
    <t>50LYi.boTAy4cWxTyLlp-w</t>
  </si>
  <si>
    <t>13773-A</t>
  </si>
  <si>
    <t>ELESOLTEC E PISCINAS</t>
  </si>
  <si>
    <t>11836</t>
  </si>
  <si>
    <t>CIF</t>
  </si>
  <si>
    <t>5-9yqHBRSPm7bpEoEMn5FA</t>
  </si>
  <si>
    <t>13773-B</t>
  </si>
  <si>
    <t>11813</t>
  </si>
  <si>
    <t>FT240F35T</t>
  </si>
  <si>
    <t>7yCOCvwgRoilsoGjMjedtA</t>
  </si>
  <si>
    <t>13775-A</t>
  </si>
  <si>
    <t>S.C COIMBRA COMERCIO</t>
  </si>
  <si>
    <t>11837</t>
  </si>
  <si>
    <t>Qv6OzLrEQeG-HK5DITbtxw</t>
  </si>
  <si>
    <t>13775-B</t>
  </si>
  <si>
    <t>11839</t>
  </si>
  <si>
    <t>vlj7MYR4TNe9.-i1Q0Ex4Q</t>
  </si>
  <si>
    <t>13777</t>
  </si>
  <si>
    <t>CIPRIANI ENGENHARIA ELETRICA EIRELI</t>
  </si>
  <si>
    <t>11840</t>
  </si>
  <si>
    <t>INFORMAR AO CIDARTA QUANDO A MÁQUINA ESTÁ PRONTA NO WHATSAPP 48 999384322</t>
  </si>
  <si>
    <t>ECxhjmJfRlGpUEY6R17tIQ</t>
  </si>
  <si>
    <t>13780-A</t>
  </si>
  <si>
    <t>NAUGLASMAR PISCINAS LTDA</t>
  </si>
  <si>
    <t>8B00230924003187</t>
  </si>
  <si>
    <t>9808-10251</t>
  </si>
  <si>
    <t>ENTRADA DE 25%+30/60/90/120/150/180 DIAS -FRETE CIF - ENVIAR JUNTO COM O PEDIDO 13813</t>
  </si>
  <si>
    <t>nEX78jJuTwKVKR51cPTPEw</t>
  </si>
  <si>
    <t>13780-B</t>
  </si>
  <si>
    <t>8B00230924003190</t>
  </si>
  <si>
    <t>UX63MKuwRmOItb-neQB0cQ</t>
  </si>
  <si>
    <t>13780-C</t>
  </si>
  <si>
    <t>8B00230927003084</t>
  </si>
  <si>
    <t>K1HRXbVNQoOEmsL6yVTLog</t>
  </si>
  <si>
    <t>13780-D</t>
  </si>
  <si>
    <t>8B00230927003083</t>
  </si>
  <si>
    <t>2g5nKLn6Qses8ggIjoynkw</t>
  </si>
  <si>
    <t>13780-E</t>
  </si>
  <si>
    <t>8B00230927003090</t>
  </si>
  <si>
    <t>BftLdEUWSbWmizBNHs7Uqg</t>
  </si>
  <si>
    <t>13780-F</t>
  </si>
  <si>
    <t>8B00230927003088</t>
  </si>
  <si>
    <t>TORHRzVzSSuaWzwgCZ-oUg</t>
  </si>
  <si>
    <t>13780-G</t>
  </si>
  <si>
    <t>8B00230927003089</t>
  </si>
  <si>
    <t>Go8qWQnYSz-MESIRamtrDw</t>
  </si>
  <si>
    <t>13780-H</t>
  </si>
  <si>
    <t>8B00230927003087</t>
  </si>
  <si>
    <t>Iy4qOlVCT463QDj8UVRuxw</t>
  </si>
  <si>
    <t>13780-I</t>
  </si>
  <si>
    <t>8B00230927003081</t>
  </si>
  <si>
    <t>nXzdXFZMQvqImDsptS2b-Q</t>
  </si>
  <si>
    <t>13780-J</t>
  </si>
  <si>
    <t>8B00230927003109</t>
  </si>
  <si>
    <t>WOgYnEXiSSWLlqLVlT0HSA</t>
  </si>
  <si>
    <t>13783</t>
  </si>
  <si>
    <t>CONTROLLE SOLUÇÕES INDUSTRIAIS LTDA</t>
  </si>
  <si>
    <t>11842</t>
  </si>
  <si>
    <t>PREÇO ESPECIAL SEM COMISSÃO  PARA O REPRESENTANTE A VISTA NO PEDIDO R$ 3.456,60 UM DIA ANTES EMITIR A NOTA R$ 8.065,40</t>
  </si>
  <si>
    <t>1gXE8QSvQHW6kxbpJ-luWQ</t>
  </si>
  <si>
    <t>13785</t>
  </si>
  <si>
    <t>HENRIQUE DE JESUS ARAUJO 08018390681</t>
  </si>
  <si>
    <t>11847</t>
  </si>
  <si>
    <t>TRANSPORTADORA :EXPRESSO RAQUEL ENTRADA : 2.605,68 DESCONTO: 40%</t>
  </si>
  <si>
    <t>ZRPlWga2SSuvgguSaXax6w</t>
  </si>
  <si>
    <t>S2 IMPORTAÇÃO E COMÉRCIO DE AR CONDICIONADO EPP</t>
  </si>
  <si>
    <t>11845</t>
  </si>
  <si>
    <t>TROCA DO PEDIDO 012133 (01/03/2023). ENDEREÇO DE ENTREGA: COND. ILHAS PARK - PEDRA DA GUARITA - LOTE C21 R. DO PARQUE, 189 - TORRES/RS CEP 95560-000</t>
  </si>
  <si>
    <t>rqnMRULyTJaTeXA2733meg</t>
  </si>
  <si>
    <t>13789</t>
  </si>
  <si>
    <t>11566</t>
  </si>
  <si>
    <t>FH160H60T</t>
  </si>
  <si>
    <t>TROCA DO PEDIDO 012592 (01/03/2023) ENDEREÇO DE ENTREGA: COND. ILHAS PARK - PEDRA DA GUARITA - LOTE C21 R. DO PARQUE, 189 - TORRES/RS CEP 95560-000</t>
  </si>
  <si>
    <t>OarAGuZxTzKpVPI6cGMmdA</t>
  </si>
  <si>
    <t>13791</t>
  </si>
  <si>
    <t>FRANCIELLE DE PAULA 07701656995</t>
  </si>
  <si>
    <t>11848</t>
  </si>
  <si>
    <t>mL2IsLXBT5ezj46cWhroTw</t>
  </si>
  <si>
    <t>13793-A</t>
  </si>
  <si>
    <t>AGUAS E VAPORES</t>
  </si>
  <si>
    <t>11858</t>
  </si>
  <si>
    <t>FT180J35</t>
  </si>
  <si>
    <t>RAPIDO FIGUEIREDO</t>
  </si>
  <si>
    <t>TABELAESPECIAL 40%+10% + 5% ADICIONAL PARA MAQUINA ESTOQUE</t>
  </si>
  <si>
    <t>esGeixOOQvelgCKCyur8pA</t>
  </si>
  <si>
    <t>13793-B</t>
  </si>
  <si>
    <t>11859</t>
  </si>
  <si>
    <t>Q6mISecCS8yLoxcLrzz3QQ</t>
  </si>
  <si>
    <t>13795</t>
  </si>
  <si>
    <t>H20 PISCINAS LTDA</t>
  </si>
  <si>
    <t>11846</t>
  </si>
  <si>
    <t>TRANSFORT</t>
  </si>
  <si>
    <t>QUADRO DE COMANDO DESLOCADO</t>
  </si>
  <si>
    <t>DvurV8mUSK2Gq95mC.06wQ</t>
  </si>
  <si>
    <t>13797</t>
  </si>
  <si>
    <t>GLOBALTECH BRASIL COMERCIO ELETRÔNICO EIRELI</t>
  </si>
  <si>
    <t>PEDIDO DE COMPRA Nº 4248 (CONSTAR EM NF) DESCONTAR DO CRÉDITO DE DEVOLUÇÃO. DESCONTO DE 10% + 3% OP - 11850 OS - 2586</t>
  </si>
  <si>
    <t>aCeK3wjYR0mnwCok9Ng-8w</t>
  </si>
  <si>
    <t>13799-A</t>
  </si>
  <si>
    <t>VERTICAL SOLAR SERVI</t>
  </si>
  <si>
    <t>8B00230927003116</t>
  </si>
  <si>
    <t>KCVcXEnDS9m8Hk7jxU.lXg</t>
  </si>
  <si>
    <t>13799-B</t>
  </si>
  <si>
    <t>8B00230927003119</t>
  </si>
  <si>
    <t>COTAR FRETE E EMBUTIR NA NF / MARIO AUTORIZOU TROCAR PARA MODELO PT (17/01/24)</t>
  </si>
  <si>
    <t>Uz0hUtOIQRyYDdXEJEUy-Q</t>
  </si>
  <si>
    <t>13801</t>
  </si>
  <si>
    <t>DPI INSTALACOES, LOCACOES E COMERCIO EIRELI</t>
  </si>
  <si>
    <t>11849</t>
  </si>
  <si>
    <t>MARAJÁ</t>
  </si>
  <si>
    <t>REDESPACHO MARAJÁ TRANSPORTES - QUADRO TOUCH SCREEN SOBREPOR</t>
  </si>
  <si>
    <t>KNH.aMLFTTyjM3K.htgLDQ</t>
  </si>
  <si>
    <t>13803</t>
  </si>
  <si>
    <t>AGRO MAQUINÁS LTDA</t>
  </si>
  <si>
    <t>8B00230927003058</t>
  </si>
  <si>
    <t>ST</t>
  </si>
  <si>
    <t>9812-10297</t>
  </si>
  <si>
    <t>QUADRO DE COMANDO DESLOCADO . TRANSP. ST SOLUÇÕES SÃO PAULO SP FONE (11) 4304-3400  END.AV. TENENTE AMARO FELICISSIMO DA SILVEIRA S/N CNPJ 13.327.196/0002-56</t>
  </si>
  <si>
    <t>ZwhQhw0ASymJ-2ntX5YI5A</t>
  </si>
  <si>
    <t>13805</t>
  </si>
  <si>
    <t>CHAMA INDUSTRIA COMERCIO E INSTALAÇÕES LTDA</t>
  </si>
  <si>
    <t>11916</t>
  </si>
  <si>
    <t>ORDEM DE COMPRA NO. 14193 (CONSTAR EM NF) CLIENTE NÃO RECEBE MATERIAIS E NEM NFS EMITIDAS APÓS O DIA 27 DO MÊS. ENTREGA 2° A 6° DAS 09HS ÀS 1145 E 13:30HS ÀS 15</t>
  </si>
  <si>
    <t>gMkbKmkwQtOkvphERjxToQ</t>
  </si>
  <si>
    <t>13807</t>
  </si>
  <si>
    <t>11853</t>
  </si>
  <si>
    <t>7TOS.APnRSWU0mltkf6www</t>
  </si>
  <si>
    <t>13809-A</t>
  </si>
  <si>
    <t>COMERCIAL AGUA MARIN</t>
  </si>
  <si>
    <t>11854</t>
  </si>
  <si>
    <t>mEtqGPWATTOQxC.blZ8ojw</t>
  </si>
  <si>
    <t>13809-B</t>
  </si>
  <si>
    <t>11855</t>
  </si>
  <si>
    <t>8uJfot4aTN-1OpMMA8FIeg</t>
  </si>
  <si>
    <t>13811-A</t>
  </si>
  <si>
    <t>PISCINAS ANDERLE</t>
  </si>
  <si>
    <t>11856</t>
  </si>
  <si>
    <t>PRAZO PAGAMENTO AUTORIZADO PELO MÁRIO</t>
  </si>
  <si>
    <t>BRPAXS9KSe-0UvTGaWX-Wg</t>
  </si>
  <si>
    <t>13811-B</t>
  </si>
  <si>
    <t>11857</t>
  </si>
  <si>
    <t>qeg5ZiTSS1CRVHvdlYCovw</t>
  </si>
  <si>
    <t>13811-C</t>
  </si>
  <si>
    <t>11851</t>
  </si>
  <si>
    <t>8pPqh4uEQRilHc8OCDs1Uw</t>
  </si>
  <si>
    <t>13811-D</t>
  </si>
  <si>
    <t>11869</t>
  </si>
  <si>
    <t>FDM3Q198Ree47jufa4WABQ</t>
  </si>
  <si>
    <t>13813</t>
  </si>
  <si>
    <t>8B00231215003233</t>
  </si>
  <si>
    <t>9850- 10416</t>
  </si>
  <si>
    <t>ENTRADA+30/60/90/120/150-SE POSSIVEL ENVIAR JUNTO COM O PEDIDO 13780</t>
  </si>
  <si>
    <t>BydVrb1PSHOZ22lHR1fnWw</t>
  </si>
  <si>
    <t>13816</t>
  </si>
  <si>
    <t>8B00230927003086</t>
  </si>
  <si>
    <t>9811-10214</t>
  </si>
  <si>
    <t>dLot57MaT9WU54upf0Ryhw</t>
  </si>
  <si>
    <t>DAN PISCINAS</t>
  </si>
  <si>
    <t>11860</t>
  </si>
  <si>
    <t>FT180H35T</t>
  </si>
  <si>
    <t>VAI PAGAR NA SEGUNDA FEIRA -PODE IR PRODUZINDO</t>
  </si>
  <si>
    <t>mUvBLOqFTYWBbnOOfIIGCA</t>
  </si>
  <si>
    <t>13821</t>
  </si>
  <si>
    <t>DE BONA DINO</t>
  </si>
  <si>
    <t>11485</t>
  </si>
  <si>
    <t>MAQUINA PELO ESTOQUE DO BOLHA AZUL -NS 12019 -NF 8813</t>
  </si>
  <si>
    <t>CcwSjNt3QpmFPVHwJlEABA</t>
  </si>
  <si>
    <t>13823</t>
  </si>
  <si>
    <t>11289</t>
  </si>
  <si>
    <t>FT50B35</t>
  </si>
  <si>
    <t>A OP UTILIZADA NESTE PEDIDO É FRUTO DE DEVOLUÇÃO O.S 2248 - ANTIGO N.S 12730</t>
  </si>
  <si>
    <t>BvVSUFjvTdOs62wSglMhbA</t>
  </si>
  <si>
    <t>13825-A</t>
  </si>
  <si>
    <t>LAMINA D AGUA PISCINAS LTDA</t>
  </si>
  <si>
    <t>8B00230924003167</t>
  </si>
  <si>
    <t>9810-10296</t>
  </si>
  <si>
    <t>ENTRADA+30/60/90/120</t>
  </si>
  <si>
    <t>IPpcKiJGRbmiKcyCSr.WhA</t>
  </si>
  <si>
    <t>13825-B</t>
  </si>
  <si>
    <t>8B00230924003131</t>
  </si>
  <si>
    <t>Zd8k-EaRSXipVnnR1FijAg</t>
  </si>
  <si>
    <t>13825-C</t>
  </si>
  <si>
    <t>8B00230924003103</t>
  </si>
  <si>
    <t>UKOclV7cRQeChfsruY4Gzw</t>
  </si>
  <si>
    <t>13825-D</t>
  </si>
  <si>
    <t>8B00230924003125</t>
  </si>
  <si>
    <t>okqLLWAGSBCctXhP59o5-g</t>
  </si>
  <si>
    <t>13827-A</t>
  </si>
  <si>
    <t>RECOL COMÉRCIO E ENERGIA</t>
  </si>
  <si>
    <t>11861</t>
  </si>
  <si>
    <t>FT240J35T</t>
  </si>
  <si>
    <t>FRETE CIF, ENVIAR 1 PROTÓTIPO FT40, AUTORIZADO POR MARIO</t>
  </si>
  <si>
    <t>NQxrRjrqQMeUaO.0VfYN6g</t>
  </si>
  <si>
    <t>13827-B</t>
  </si>
  <si>
    <t>11862</t>
  </si>
  <si>
    <t>5RNchKFQRmaXqioQ7vnueA</t>
  </si>
  <si>
    <t>13827-C</t>
  </si>
  <si>
    <t>11863</t>
  </si>
  <si>
    <t>Y7-7nRAhQ2i.9Vr.wzR3qA</t>
  </si>
  <si>
    <t>13827-D</t>
  </si>
  <si>
    <t>11864</t>
  </si>
  <si>
    <t>zMm8nw6qRuuUAEUB9UnA3A</t>
  </si>
  <si>
    <t>13827-E</t>
  </si>
  <si>
    <t>11865</t>
  </si>
  <si>
    <t>Fx1gZU8RSzOWo09f5Zhz5g</t>
  </si>
  <si>
    <t>13827-F</t>
  </si>
  <si>
    <t>11867</t>
  </si>
  <si>
    <t>Au.AdxAGT3iZGdHPGkj3HA</t>
  </si>
  <si>
    <t>13829</t>
  </si>
  <si>
    <t>OCEANE PISCINAS</t>
  </si>
  <si>
    <t>11876</t>
  </si>
  <si>
    <t>T9JJc6c3Qdi8KXOBpGoAlw</t>
  </si>
  <si>
    <t>13831</t>
  </si>
  <si>
    <t>SOL &amp; LAZER PISCINAS LTDA</t>
  </si>
  <si>
    <t>8B00230927003144</t>
  </si>
  <si>
    <t>DEPOSITO NA PRIMEIRA SEMANA DE OUTUBRO DESCONTO EXTRA - PRÉ LANÇAMENTO 10%</t>
  </si>
  <si>
    <t>wBlj9TroSKOd0Dl7zucvlw</t>
  </si>
  <si>
    <t>13835</t>
  </si>
  <si>
    <t>NAKAX PRODUÇÕES ARTISTICAS</t>
  </si>
  <si>
    <t>11899</t>
  </si>
  <si>
    <t>BONIFICAÇÃO AUT. POR PRISCILLA E ABEL , SEM PAGAMENTO . SERÁ FEITA CAMPANHA DIGITAL COM CAROL NAKAMURA . LOCAL DE DIFÍCIL ACESSO , MORREBA  ÍNGREME .</t>
  </si>
  <si>
    <t>qSHy-EWmSvuGZ5T10y3G1Q</t>
  </si>
  <si>
    <t>13837-A</t>
  </si>
  <si>
    <t>APENG SERVIÇOS E CONTRUÇÕES LTDA</t>
  </si>
  <si>
    <t>11946</t>
  </si>
  <si>
    <t>J0dKWQpuRXSooT5WlyftJQ</t>
  </si>
  <si>
    <t>13837-B</t>
  </si>
  <si>
    <t>11947</t>
  </si>
  <si>
    <t>6iX2W3sxQeWz.eDmKP2lxQ</t>
  </si>
  <si>
    <t>13837-C</t>
  </si>
  <si>
    <t>11948</t>
  </si>
  <si>
    <t>I97n2ipqTt678U5ep4TJ8g</t>
  </si>
  <si>
    <t>13837-D</t>
  </si>
  <si>
    <t>11949</t>
  </si>
  <si>
    <t>JwJVyP6KTyafQ1jgQdyY6g</t>
  </si>
  <si>
    <t>13837-E</t>
  </si>
  <si>
    <t>11950</t>
  </si>
  <si>
    <t>y8KNT.iDSIWW4ExGxAXdHg</t>
  </si>
  <si>
    <t>13837-F</t>
  </si>
  <si>
    <t>11951</t>
  </si>
  <si>
    <t>De-kbcXnQaK7ap01EDwvQg</t>
  </si>
  <si>
    <t>13837-G</t>
  </si>
  <si>
    <t>11952</t>
  </si>
  <si>
    <t>QKdhYF8bT4-jm2C16gHlXQ</t>
  </si>
  <si>
    <t>13837-H</t>
  </si>
  <si>
    <t>11953</t>
  </si>
  <si>
    <t>kSI-Pea2RiGRdqg7SIp39A</t>
  </si>
  <si>
    <t>13837-I</t>
  </si>
  <si>
    <t>11954</t>
  </si>
  <si>
    <t>T3OhMR1mQO-SFpvRu77ZUQ</t>
  </si>
  <si>
    <t>13839</t>
  </si>
  <si>
    <t>AQUALAR</t>
  </si>
  <si>
    <t>11871</t>
  </si>
  <si>
    <t>a-wTuaUThRbKGesSoI2.JJg</t>
  </si>
  <si>
    <t>13841</t>
  </si>
  <si>
    <t>11872</t>
  </si>
  <si>
    <t>5</t>
  </si>
  <si>
    <t>SIM</t>
  </si>
  <si>
    <t>Nd90YijQSJmAXb5ZYF0h-Q</t>
  </si>
  <si>
    <t>13843-A</t>
  </si>
  <si>
    <t>NUNCA FOI PRODUZIDA</t>
  </si>
  <si>
    <t>ENTREGA FUTURA</t>
  </si>
  <si>
    <t>CIF. CLIENTE VAI INFORMAR OC. ENTREGA RUA SOLDADO BENTO DE ABREU 70 BARRA DA TIJUCA RJ. CLIENTE VAI SOLICITAR DATA DE DESPACHO.</t>
  </si>
  <si>
    <t>qMbh..h6QrqWtwqq6yZGsA</t>
  </si>
  <si>
    <t>13843-B</t>
  </si>
  <si>
    <t>FH80F60T</t>
  </si>
  <si>
    <t>Gdz7k7pURi-9vr-09M3pYg</t>
  </si>
  <si>
    <t>13847</t>
  </si>
  <si>
    <t>ROMANHOLI SUPRIMENTOS INDUSTRIAIS LTDA</t>
  </si>
  <si>
    <t>11880</t>
  </si>
  <si>
    <t>CAMILO</t>
  </si>
  <si>
    <t>TRANSPORTADORA CAMILO DOS SANTOS CNPJ 25.335.282/003-70 END. R. NATALIA ZARIF,660 UNIDADE 6 - JARDIM S. GERALDO - GUARULHOS</t>
  </si>
  <si>
    <t>6B-dp1EGQPmgRXeH6AnGPw</t>
  </si>
  <si>
    <t>13849-A</t>
  </si>
  <si>
    <t>11877</t>
  </si>
  <si>
    <t>FATURAR AS 3 MAQUINAS JUNTAS</t>
  </si>
  <si>
    <t>b.4HI1V7R1amuNWqEo7uLw</t>
  </si>
  <si>
    <t>13849-B</t>
  </si>
  <si>
    <t>11878</t>
  </si>
  <si>
    <t>gUWrlGgBSHaIDz7tXZ5GnQ</t>
  </si>
  <si>
    <t>13849-C</t>
  </si>
  <si>
    <t>11879</t>
  </si>
  <si>
    <t>4LCecp1zRseDD3MAmjd4Ew</t>
  </si>
  <si>
    <t>13851-A</t>
  </si>
  <si>
    <t>11881</t>
  </si>
  <si>
    <t>DEV NFE 3677</t>
  </si>
  <si>
    <t>dofmYLFFTMiwXD5k5VBC7g</t>
  </si>
  <si>
    <t>13851-B</t>
  </si>
  <si>
    <t>11940</t>
  </si>
  <si>
    <t>DEV NFE 3860</t>
  </si>
  <si>
    <t>0zT.TyAuTCSS7-Ru18b0yg</t>
  </si>
  <si>
    <t>13851-C</t>
  </si>
  <si>
    <t>11883</t>
  </si>
  <si>
    <t>DEV NFE 3836</t>
  </si>
  <si>
    <t>CuAzbl-jTOydBDEPHj6w2w</t>
  </si>
  <si>
    <t>13851-D</t>
  </si>
  <si>
    <t>11723</t>
  </si>
  <si>
    <t>DEV NFE 3710</t>
  </si>
  <si>
    <t>rj0sexGQRyOuR01PhU0oiA</t>
  </si>
  <si>
    <t>13851-E</t>
  </si>
  <si>
    <t>11884</t>
  </si>
  <si>
    <t>DEV NFE 3859</t>
  </si>
  <si>
    <t>lW.VYYT-THO-lU4eI7PKuw</t>
  </si>
  <si>
    <t>13851-F</t>
  </si>
  <si>
    <t>FT80D35T</t>
  </si>
  <si>
    <t>11942 DEI COMO DEVOLVIDA POIS ESTA SOB POSSE DA FROMTHERM, ASS JAIR</t>
  </si>
  <si>
    <t>KZTQ4TtpRjC8elC1LnN4yw</t>
  </si>
  <si>
    <t>13851-G</t>
  </si>
  <si>
    <t>11886</t>
  </si>
  <si>
    <t>]</t>
  </si>
  <si>
    <t>jeKxzJ9rQGqxTo6uarlYag</t>
  </si>
  <si>
    <t>13851-H</t>
  </si>
  <si>
    <t>11887</t>
  </si>
  <si>
    <t>DEV NFE 3728</t>
  </si>
  <si>
    <t>3Y3XVG38QIeW6WRYeVFz9g</t>
  </si>
  <si>
    <t>13851-I</t>
  </si>
  <si>
    <t>11888</t>
  </si>
  <si>
    <t>FT50D35T</t>
  </si>
  <si>
    <t>DEV NFE 3795</t>
  </si>
  <si>
    <t>V9WyehA4SkyzV3mArTCS5g</t>
  </si>
  <si>
    <t>13851-J</t>
  </si>
  <si>
    <t>11941</t>
  </si>
  <si>
    <t>DEV NFE 3917</t>
  </si>
  <si>
    <t>jFbXzO8SShO7tQ9yVvD3vQ</t>
  </si>
  <si>
    <t>13851-K</t>
  </si>
  <si>
    <t>11943</t>
  </si>
  <si>
    <t>DEV NFE 3711</t>
  </si>
  <si>
    <t>P-.OFgf-QlevfVZF66XT5w</t>
  </si>
  <si>
    <t>13851-L</t>
  </si>
  <si>
    <t>11891</t>
  </si>
  <si>
    <t>DEV NFE 3747</t>
  </si>
  <si>
    <t>6xSwIe19RxuH7ItE2pvd2A</t>
  </si>
  <si>
    <t>13853-A</t>
  </si>
  <si>
    <t>11898</t>
  </si>
  <si>
    <t>AAhcEfP2ScaOLW36cFwdqQ</t>
  </si>
  <si>
    <t>13853-B</t>
  </si>
  <si>
    <t>11645</t>
  </si>
  <si>
    <t>64IuiUF7RkCfQsE26GY2Eg</t>
  </si>
  <si>
    <t>13855</t>
  </si>
  <si>
    <t>SOLUÇÃO PRODUTOS SOLARES LTDA</t>
  </si>
  <si>
    <t>11875</t>
  </si>
  <si>
    <t>tccoLOenSFaVg8KfJfztcQ</t>
  </si>
  <si>
    <t>13857</t>
  </si>
  <si>
    <t>11906</t>
  </si>
  <si>
    <t>FTApgQXCQXW2b8SVm8Cv9A</t>
  </si>
  <si>
    <t>13860-A</t>
  </si>
  <si>
    <t>FG SISTEMAS DE AQUECIMENTO LTDA</t>
  </si>
  <si>
    <t>8B00230927003107</t>
  </si>
  <si>
    <t>Fc2PMiS5SDijttzlbOOy2Q</t>
  </si>
  <si>
    <t>13860-B</t>
  </si>
  <si>
    <t>8B00230927003102</t>
  </si>
  <si>
    <t>I.fqhISjS-KV38Ly.1cU6g</t>
  </si>
  <si>
    <t>13869-A</t>
  </si>
  <si>
    <t>10960</t>
  </si>
  <si>
    <t>FT60F35T</t>
  </si>
  <si>
    <t>CIF. OC 5355  CLIENTE VAI CONFIRMAR DATA PARA DESPACHO DEVIDO FALTA DE ESOAÃ§O NA OBRA E NA AQUALAR.</t>
  </si>
  <si>
    <t>a-XlRaTV4SuaLPwR8rm7bNQ</t>
  </si>
  <si>
    <t>13869-B</t>
  </si>
  <si>
    <t>10877</t>
  </si>
  <si>
    <t>Qemos68nQxqgeyb0-fqlqg</t>
  </si>
  <si>
    <t>13869-C</t>
  </si>
  <si>
    <t>13298</t>
  </si>
  <si>
    <t>OXXB5g2AQ8WbmZ1nMNgFcw</t>
  </si>
  <si>
    <t>13871</t>
  </si>
  <si>
    <t>8B00230927003105</t>
  </si>
  <si>
    <t>9809-10215</t>
  </si>
  <si>
    <t>ENTRADA +30/60/90/120 DIAS</t>
  </si>
  <si>
    <t>axmM3DUbRHqyCNQGVgWVTA</t>
  </si>
  <si>
    <t>13873</t>
  </si>
  <si>
    <t>PEDIDO ESTAVA PRONTO COMO UMA FT20 DE OP 11917, MAS O MODELO ESTAVA EQUIVOCADO, NOVA PRODUÇÃO DO MODELO CERTO FT25 NO DIA 17/10/2023 DAREMOS PRIORIDADE</t>
  </si>
  <si>
    <t>3Rj1XGAYR5WIjEINIvMqNg</t>
  </si>
  <si>
    <t>13875-A</t>
  </si>
  <si>
    <t>MONIQUE REZENDE DA SILVA INSTALAÇÃO DE MÁQUINAS E EQUIPAMENTOS INDUSTRIAIS</t>
  </si>
  <si>
    <t>11221</t>
  </si>
  <si>
    <t>FH240F60T</t>
  </si>
  <si>
    <t>JAMEF</t>
  </si>
  <si>
    <t>OTipCHyMSjSzCpB0ERJVKQ</t>
  </si>
  <si>
    <t>13875-B</t>
  </si>
  <si>
    <t>11222</t>
  </si>
  <si>
    <t>A1lLQ6cESCaBGrRashxcCg</t>
  </si>
  <si>
    <t>13877</t>
  </si>
  <si>
    <t>CARRAPETA BARRA PISC</t>
  </si>
  <si>
    <t>11908</t>
  </si>
  <si>
    <t>8iO5pHztTrunG4LQKLTLJg</t>
  </si>
  <si>
    <t>13879</t>
  </si>
  <si>
    <t>11905</t>
  </si>
  <si>
    <t>PcH7gJ0jT3CMQc7ySKJj7w</t>
  </si>
  <si>
    <t>13881</t>
  </si>
  <si>
    <t>11914</t>
  </si>
  <si>
    <t>LAyio13bTZata-ppQEotPw</t>
  </si>
  <si>
    <t>13883-A</t>
  </si>
  <si>
    <t>11903</t>
  </si>
  <si>
    <t>FATURAR AS DUAS BOMBAS JUNTAS</t>
  </si>
  <si>
    <t>zigG29AIRHuaw41hTZiJig</t>
  </si>
  <si>
    <t>13883-B</t>
  </si>
  <si>
    <t>11911</t>
  </si>
  <si>
    <t>FT180J35T</t>
  </si>
  <si>
    <t>5aFjAYQbQuiIA0A7UphN9Q</t>
  </si>
  <si>
    <t>13885</t>
  </si>
  <si>
    <t>JEFERSON DA ROCHA DIAS</t>
  </si>
  <si>
    <t>11889</t>
  </si>
  <si>
    <t>CLIENTE: CRICIUMA PISCINAS LTDA NO CELULAR NESTE PEDIDO, AVISAR O LITI QUANDO ESTÁ PRONTO PARA IR RETIRAR</t>
  </si>
  <si>
    <t>x3hTuW86R5uJ2uOe7SnTOA</t>
  </si>
  <si>
    <t>13887</t>
  </si>
  <si>
    <t>EMPORIO PISCINAS</t>
  </si>
  <si>
    <t>11909</t>
  </si>
  <si>
    <t>ngoviKpMRVaRACAVsyRzQg</t>
  </si>
  <si>
    <t>13889</t>
  </si>
  <si>
    <t>PAULO ROBERTO T FERREIRA PISCINAS</t>
  </si>
  <si>
    <t>11904</t>
  </si>
  <si>
    <t>TROCA E DEVOLUÇÃO: OS - 2340, NS - 13081 - FRETE POR CONTA DA FROMTHERM</t>
  </si>
  <si>
    <t>zAxCJrIGQmOea0mAPDWNnQ</t>
  </si>
  <si>
    <t>13890-A</t>
  </si>
  <si>
    <t>SANTINA DE FENDI</t>
  </si>
  <si>
    <t>11912</t>
  </si>
  <si>
    <t>6zJ5xMxmTIaMNzth-k.VLQ</t>
  </si>
  <si>
    <t>13890-B</t>
  </si>
  <si>
    <t>11907</t>
  </si>
  <si>
    <t>2jvS5IHsRQmDLHC1qQL4zg</t>
  </si>
  <si>
    <t>13892-A</t>
  </si>
  <si>
    <t>8B00230924003095</t>
  </si>
  <si>
    <t>7PWkZBb.TV2Z1KYVv.eH8g</t>
  </si>
  <si>
    <t>13892-B</t>
  </si>
  <si>
    <t>8B00230924003097</t>
  </si>
  <si>
    <t>Sh-EyZg3RxK-GvSZ1h-v-w</t>
  </si>
  <si>
    <t>13892-C</t>
  </si>
  <si>
    <t>8B00231215003183</t>
  </si>
  <si>
    <t>soFpTIczTgSQFV.SQinnwg</t>
  </si>
  <si>
    <t>13892-D</t>
  </si>
  <si>
    <t>8A00240411003100</t>
  </si>
  <si>
    <t>OP - 8A00240411003075</t>
  </si>
  <si>
    <t>QxoZtxixSOCi-watiLWxew</t>
  </si>
  <si>
    <t>13894</t>
  </si>
  <si>
    <t>NASCENTE SERV E COM</t>
  </si>
  <si>
    <t>11447</t>
  </si>
  <si>
    <t>DESCONTO DE 6% AUT PELO GV MÁRIO</t>
  </si>
  <si>
    <t>BnY13eGvSomWoZGaFdQOag</t>
  </si>
  <si>
    <t>13896</t>
  </si>
  <si>
    <t>MONTE PASCOAL HOTEIS LTDA</t>
  </si>
  <si>
    <t>11934</t>
  </si>
  <si>
    <t>FH100F60T</t>
  </si>
  <si>
    <t>PRIMEIRA DO NORDESTE</t>
  </si>
  <si>
    <t>FRETE CIF ATÉ SÃO PAULO CAPITAL. O CLIENTE INDICARÁ TRANSPORTADORA DE REDESPACHO.</t>
  </si>
  <si>
    <t>TL7EO2dMQf6pcEvFaJrUWw</t>
  </si>
  <si>
    <t>13898-A</t>
  </si>
  <si>
    <t>RAMIRO PISCINAS</t>
  </si>
  <si>
    <t>8B00230927003028</t>
  </si>
  <si>
    <t>ALFA</t>
  </si>
  <si>
    <t>3XeDArUlTgGjyhmt6KmyBw</t>
  </si>
  <si>
    <t>13898-B</t>
  </si>
  <si>
    <t>8B00230927003018</t>
  </si>
  <si>
    <t>RETORNO DE REMESSA DE CONSERTO</t>
  </si>
  <si>
    <t>L.q7VsZISIKflYj6optEnQ</t>
  </si>
  <si>
    <t>ORIGINAL</t>
  </si>
  <si>
    <t>Rbk8CXNnSB-En-kayNRIng</t>
  </si>
  <si>
    <t>13902</t>
  </si>
  <si>
    <t>ESPAÇO PISCINAS</t>
  </si>
  <si>
    <t>11910</t>
  </si>
  <si>
    <t>XtaWva4kRsKKatIuWcoi6g</t>
  </si>
  <si>
    <t>13904</t>
  </si>
  <si>
    <t>11929</t>
  </si>
  <si>
    <t>GRIFE</t>
  </si>
  <si>
    <t>WqQj1pDiTgSY2XWFBXSsdQ</t>
  </si>
  <si>
    <t>13906</t>
  </si>
  <si>
    <t>CMIX</t>
  </si>
  <si>
    <t>11944</t>
  </si>
  <si>
    <t>FRETE CIF. 50% DE SINAL E 50% QUANDO EQUIPAMENTO FOR DESPACHADO.</t>
  </si>
  <si>
    <t>wSmc0XW1QJ6qdqVzehlcYg</t>
  </si>
  <si>
    <t>13908</t>
  </si>
  <si>
    <t>ELITON PISCINAS</t>
  </si>
  <si>
    <t>11885</t>
  </si>
  <si>
    <t>H5OwXlmyR2GHKVfV4wXzfg</t>
  </si>
  <si>
    <t>13910</t>
  </si>
  <si>
    <t>8B00230927003094</t>
  </si>
  <si>
    <t>9862-10216</t>
  </si>
  <si>
    <t>y0YvfHFnQu6UxylK-TfH7g</t>
  </si>
  <si>
    <t>13912-A</t>
  </si>
  <si>
    <t>11918</t>
  </si>
  <si>
    <t>FRETE CIF, UTILIZAR GAS R-32 CONFORME SOLICITADO, ATESTADO E AUTORIZADO POR MARIO, PROJETO ESPECIAL.</t>
  </si>
  <si>
    <t>WnwQIy62StC7MpMhp24zGg</t>
  </si>
  <si>
    <t>13912-B</t>
  </si>
  <si>
    <t>11919</t>
  </si>
  <si>
    <t>ynIdhfUGR3eoqGiqcyqakw</t>
  </si>
  <si>
    <t>13912-C</t>
  </si>
  <si>
    <t>11920</t>
  </si>
  <si>
    <t>IQq7hsliQVqT2OUptJsjVw</t>
  </si>
  <si>
    <t>13912-D</t>
  </si>
  <si>
    <t>11921</t>
  </si>
  <si>
    <t>XWoXOWMyQ5CrSj1eoIrvKw</t>
  </si>
  <si>
    <t>13912-E</t>
  </si>
  <si>
    <t>11922</t>
  </si>
  <si>
    <t>I7UWiCWER22HsJoQS37nCg</t>
  </si>
  <si>
    <t>13912-F</t>
  </si>
  <si>
    <t>11923</t>
  </si>
  <si>
    <t>pKUkDByEST6LRq3jBU6GcQ</t>
  </si>
  <si>
    <t>13912-G</t>
  </si>
  <si>
    <t>11924</t>
  </si>
  <si>
    <t>Z3lSM6A2Qj2uDCS.ZBvNDA</t>
  </si>
  <si>
    <t>13912-H</t>
  </si>
  <si>
    <t>11925</t>
  </si>
  <si>
    <t>CSzOqX4uR4CvNCwOlIqijg</t>
  </si>
  <si>
    <t>13912-I</t>
  </si>
  <si>
    <t>11926</t>
  </si>
  <si>
    <t>cenrHFgIQAeu7B5EXsHe1A</t>
  </si>
  <si>
    <t>13912-J</t>
  </si>
  <si>
    <t>11927</t>
  </si>
  <si>
    <t>rL3HOHFJRWyR.3ihU1EodA</t>
  </si>
  <si>
    <t>13914</t>
  </si>
  <si>
    <t>11895</t>
  </si>
  <si>
    <t>CLIENTE: RONI</t>
  </si>
  <si>
    <t>At0lJjxDSLSG.PDb8Pd3sg</t>
  </si>
  <si>
    <t>13916</t>
  </si>
  <si>
    <t>11937</t>
  </si>
  <si>
    <t>CLIENTE|: EXCELÊNCIA CONTR. INCORP. PEDIDO 12052</t>
  </si>
  <si>
    <t>kC5itsMBRAO11mNkkg7zhA</t>
  </si>
  <si>
    <t>13918</t>
  </si>
  <si>
    <t>TORPEDO ESCOLA DE NATAÇÃO</t>
  </si>
  <si>
    <t>11901</t>
  </si>
  <si>
    <t>REDESPACHO RADLOG ENDEREÇO DE ENTREGA: RUA 10A, CHÁCARA 121, VICENTE PIRES CEP: 72007-150</t>
  </si>
  <si>
    <t>ODsVZMmdRqOfgqDNqHKIuA</t>
  </si>
  <si>
    <t>13920</t>
  </si>
  <si>
    <t>8B00230927003095</t>
  </si>
  <si>
    <t>BybdG2EfSBS0zm9f5PEkzQ</t>
  </si>
  <si>
    <t>13922</t>
  </si>
  <si>
    <t>SOCIAL POOL LTDA</t>
  </si>
  <si>
    <t>FT60H35T</t>
  </si>
  <si>
    <t>MAQUINA DA PROMOÇÃO/ ESTÁ NO BARRACÃO BOLHA AZUL EM PINHAIS-PR</t>
  </si>
  <si>
    <t>VjkE0xmfStKXr87.0Yj7vQ</t>
  </si>
  <si>
    <t>13924</t>
  </si>
  <si>
    <t>HIPERPOOL COMERCIO DE PISCINAS LTDA</t>
  </si>
  <si>
    <t>11994</t>
  </si>
  <si>
    <t>BbRNAdReT2qG0L-41klsrg</t>
  </si>
  <si>
    <t>13926</t>
  </si>
  <si>
    <t>11930</t>
  </si>
  <si>
    <t>uJTQoXpnRsyUGsokP-t5kA</t>
  </si>
  <si>
    <t>13928</t>
  </si>
  <si>
    <t>11643</t>
  </si>
  <si>
    <t>TSP06S4TQZ--gd6e7gd4Fg</t>
  </si>
  <si>
    <t>13930</t>
  </si>
  <si>
    <t>11931</t>
  </si>
  <si>
    <t>CLIENTE: ALLURE JURERÊ PRAZO DE PAGAMENTO AUTORIZADO PELE MÁRIO (COM O DESCONTO EXTRA DE 4%)</t>
  </si>
  <si>
    <t>DnYuPZy7Rwmao6wCBOFZuQ</t>
  </si>
  <si>
    <t>13934</t>
  </si>
  <si>
    <t>ITA FILTROS AQUECIMENTO E PRESSURIZAÇÃO</t>
  </si>
  <si>
    <t>11650</t>
  </si>
  <si>
    <t>FT80H35T</t>
  </si>
  <si>
    <t>CAMILO DOS S.</t>
  </si>
  <si>
    <t>O-kDJUdnQTq.hgkE6e6XNw</t>
  </si>
  <si>
    <t>13936</t>
  </si>
  <si>
    <t>EMAUS MANUTENÇÃO E COMÉRCIO LTDA</t>
  </si>
  <si>
    <t>11938</t>
  </si>
  <si>
    <t>rxQP62IFTri8aB18PnoQMw</t>
  </si>
  <si>
    <t>13938</t>
  </si>
  <si>
    <t>Y. H. M. VERGANI SERVICOS EM PISCINAS LTDA</t>
  </si>
  <si>
    <t>12264</t>
  </si>
  <si>
    <t>AbkaQ.0SQcqGCO9wTaLEQA</t>
  </si>
  <si>
    <t>13940-A</t>
  </si>
  <si>
    <t>HIGH TECH SOLAR BANHEIRAS E PISCINAS</t>
  </si>
  <si>
    <t>8B00230924003118</t>
  </si>
  <si>
    <t>10024-10233</t>
  </si>
  <si>
    <t>a..l5xTNfRuCflTkgp4e4Ig</t>
  </si>
  <si>
    <t>13940-B</t>
  </si>
  <si>
    <t>8B00230924003111</t>
  </si>
  <si>
    <t>ZoR9PabNSNWn4axpBz3bzA</t>
  </si>
  <si>
    <t>13940-C</t>
  </si>
  <si>
    <t>8B00230924003143</t>
  </si>
  <si>
    <t>ScS067UgSxiK9ixjdpkGqg</t>
  </si>
  <si>
    <t>13940-D</t>
  </si>
  <si>
    <t>8B00230924003132</t>
  </si>
  <si>
    <t>a-1-BmFvdSy-YMdSlh6z7rw</t>
  </si>
  <si>
    <t>13945</t>
  </si>
  <si>
    <t>IT HOME DESIGN E DECORAÇÃO EIRELI</t>
  </si>
  <si>
    <t>11647</t>
  </si>
  <si>
    <t>MAQUINA SERÁ RETIRADA NO BARRACÃO BOLHA AZUL EM PINHAIS-PR OBS: ESTÁ SEM O NÚMERO DA OP NA ETIQUETA</t>
  </si>
  <si>
    <t>w6OHW49KRgi6aoFVd7RDXw</t>
  </si>
  <si>
    <t>13947</t>
  </si>
  <si>
    <t>AGUA DO VALE</t>
  </si>
  <si>
    <t>11939</t>
  </si>
  <si>
    <t>ogStn3cSQUKtVtvIMgioQg</t>
  </si>
  <si>
    <t>13949</t>
  </si>
  <si>
    <t>11979</t>
  </si>
  <si>
    <t>FH50B60T</t>
  </si>
  <si>
    <t>x6zR4yaKQC-zR6tV8Ek5Vg</t>
  </si>
  <si>
    <t>13950-A</t>
  </si>
  <si>
    <t>8B00230924003100</t>
  </si>
  <si>
    <t>CONDIÇÃO ESPECIAL AUTORIZADA PELO MÁRIO: ENTRADA+ 30/60/90/120 DIAS (ENTRADA SERÁ PAGA ATÉ O FIM  DE OUTUBRO)</t>
  </si>
  <si>
    <t>00f3Z-XrR3iP6BAjTcDB8Q</t>
  </si>
  <si>
    <t>13950-B</t>
  </si>
  <si>
    <t>8B00230924003129</t>
  </si>
  <si>
    <t>sY9UaFPrQlGV-ADCSbC76g</t>
  </si>
  <si>
    <t>13950-C</t>
  </si>
  <si>
    <t>8B00230927003027</t>
  </si>
  <si>
    <t>m2fhdMm4ToW1dzIL4Wh4VQ</t>
  </si>
  <si>
    <t>13950-D</t>
  </si>
  <si>
    <t>8B00230927003050</t>
  </si>
  <si>
    <t>36QE8SD8TZifoBiR0hUicw</t>
  </si>
  <si>
    <t>13950-E</t>
  </si>
  <si>
    <t>8B00230927003065</t>
  </si>
  <si>
    <t>c0FVWbZLTY-FOUjr02MlmA</t>
  </si>
  <si>
    <t>13950-F</t>
  </si>
  <si>
    <t>8B00230927003013</t>
  </si>
  <si>
    <t>uHBTyVZjQc2AaYULSPPjgw</t>
  </si>
  <si>
    <t>13950-G</t>
  </si>
  <si>
    <t>8B00231215003230</t>
  </si>
  <si>
    <t>mBwKB3aLS1Om4E4DORVMWw</t>
  </si>
  <si>
    <t>13952-A</t>
  </si>
  <si>
    <t>8B00230924003115</t>
  </si>
  <si>
    <t>cye-em3mR8-2ZxhyIgufSw</t>
  </si>
  <si>
    <t>13952-B</t>
  </si>
  <si>
    <t>8B00230924003165</t>
  </si>
  <si>
    <t>hx9dYvtdQzuETHr4OfGoHA</t>
  </si>
  <si>
    <t>13952-C</t>
  </si>
  <si>
    <t>8B00230927003048</t>
  </si>
  <si>
    <t>4LMJ-U1jQgSLO-yfhA8DwQ</t>
  </si>
  <si>
    <t>13952-D</t>
  </si>
  <si>
    <t>8B00231215003215</t>
  </si>
  <si>
    <t>rib56f-ETAOLjhUE0xFANA</t>
  </si>
  <si>
    <t>13958</t>
  </si>
  <si>
    <t>VANDERLEI SOELA</t>
  </si>
  <si>
    <t>11980</t>
  </si>
  <si>
    <t>m-mYHVVOQGqpmcIVNdyRLw</t>
  </si>
  <si>
    <t>13962-A</t>
  </si>
  <si>
    <t>VITAL PISCINAS</t>
  </si>
  <si>
    <t>8B00230924003180</t>
  </si>
  <si>
    <t>10027 - 10224</t>
  </si>
  <si>
    <t>I4gSyl7yRhqAuM7W18sVJg</t>
  </si>
  <si>
    <t>13962-B</t>
  </si>
  <si>
    <t>8B00230924003147</t>
  </si>
  <si>
    <t>Sv9G.q1ySHGmEUBlC1dl2Q</t>
  </si>
  <si>
    <t>13962-C</t>
  </si>
  <si>
    <t>8B00230927003071</t>
  </si>
  <si>
    <t>Cf4e9NVSQT6yKrlE8Ixnhw</t>
  </si>
  <si>
    <t>13962-D</t>
  </si>
  <si>
    <t>8B00230927003039</t>
  </si>
  <si>
    <t>wwCHwlaHSw2LWgxd1DlGig</t>
  </si>
  <si>
    <t>13966-A</t>
  </si>
  <si>
    <t>FRIGEMAR</t>
  </si>
  <si>
    <t>8B00230927003114</t>
  </si>
  <si>
    <t>OBS - ENTRADA ATÉ O DIA 25/10  /  MARIO AUTORIZOU, TIROU DA GLOBALTECH</t>
  </si>
  <si>
    <t>IYWXSCEIQ9WeecyD8qUTKg</t>
  </si>
  <si>
    <t>13966-B</t>
  </si>
  <si>
    <t>8B00230927003111</t>
  </si>
  <si>
    <t>OBS - ENTRADA ATÉ O DIA 25/10 /  MARIO AUTORIZOU, TIROU DA GLOBALTECH</t>
  </si>
  <si>
    <t>VM0l0serTfCrjWzFaubC6A</t>
  </si>
  <si>
    <t>13968</t>
  </si>
  <si>
    <t>EMPREENDIMENTOS FL LTDA</t>
  </si>
  <si>
    <t>11486</t>
  </si>
  <si>
    <t>RETIRADA ESTOQUE CURITIBA - NFE: 9287 - OP: 11486 - N°SÉRIE: 12873</t>
  </si>
  <si>
    <t>FFZP7yneSnu4msIcRpaCiA</t>
  </si>
  <si>
    <t>13970-A</t>
  </si>
  <si>
    <t>ANDRADE PISCINAS</t>
  </si>
  <si>
    <t>8B00230924003144</t>
  </si>
  <si>
    <t>PEDIDO AUTORIZADO PELO GC MARIO</t>
  </si>
  <si>
    <t>jeOigVmzTleU2nA.s4QFfg</t>
  </si>
  <si>
    <t>13972-A</t>
  </si>
  <si>
    <t>11955</t>
  </si>
  <si>
    <t>SbPgx6BGTJODK-hpmXiHPg</t>
  </si>
  <si>
    <t>13972-B</t>
  </si>
  <si>
    <t>11956</t>
  </si>
  <si>
    <t>gnKYmW2KSKWiXiCN70cPwg</t>
  </si>
  <si>
    <t>13975</t>
  </si>
  <si>
    <t>EQUIPER ENGENHARIA ELETRICA LTDA M.E</t>
  </si>
  <si>
    <t>11958</t>
  </si>
  <si>
    <t>CIF. OC 3372</t>
  </si>
  <si>
    <t>6a2-ndX3S9i-E30NOT1oHw</t>
  </si>
  <si>
    <t>13977</t>
  </si>
  <si>
    <t>ENVAIR SEM O QUADRO/CONTROLADOR TOUCH - JÁ TEM INSTALDO DE OUTRA MÁUINA FT80 E O LEANDRO VAI APROVEITAR - JÁ CONVERSOU COM O ABEL SOBRE A PARTE TÉCNICA // DEVOL OS - 2385, OP 11957</t>
  </si>
  <si>
    <t>a.6jrmKa4SgOPI5oHKmHIHQ</t>
  </si>
  <si>
    <t>13979</t>
  </si>
  <si>
    <t>ELETRO STAR EQUIPAMENTOS E PRODUTOS PARA PISCINAS LTDA</t>
  </si>
  <si>
    <t>11870</t>
  </si>
  <si>
    <t>FT100B35T</t>
  </si>
  <si>
    <t>kG3GRMLMR.S3DDM7KF1njA</t>
  </si>
  <si>
    <t>13981</t>
  </si>
  <si>
    <t>11964</t>
  </si>
  <si>
    <t>vPcgH6PeRdCNT8gFA8O9aw</t>
  </si>
  <si>
    <t>13983-A</t>
  </si>
  <si>
    <t>CONDOMÍNIO DO GRUPAMENTO RESIDENCIAL PAÇO REAL</t>
  </si>
  <si>
    <t>OP 12023, DEVOL OS - 2513</t>
  </si>
  <si>
    <t>ADyrkNWNTdWSZ.HLr5O.mw</t>
  </si>
  <si>
    <t>13983-B</t>
  </si>
  <si>
    <t>11965</t>
  </si>
  <si>
    <t>pcsdsfXOSlW5V0nWmYi3qA</t>
  </si>
  <si>
    <t>13985</t>
  </si>
  <si>
    <t>11963</t>
  </si>
  <si>
    <t>KdhbG.1aTimL7kRy4aaEyQ</t>
  </si>
  <si>
    <t>13987</t>
  </si>
  <si>
    <t>HIDROTOP PISCINAS</t>
  </si>
  <si>
    <t>11978</t>
  </si>
  <si>
    <t>A6EieveNQamjZBYppkiNrg</t>
  </si>
  <si>
    <t>13989-A</t>
  </si>
  <si>
    <t>TUMA INDUSTRIAL LTDA</t>
  </si>
  <si>
    <t>BH MINAS</t>
  </si>
  <si>
    <t>TRANSPORTADORA : BH MINAS PEDIDO AF70992 DESCONTO CONCEDIDO : 40% // OP 11972 DEVOLVIDA OS - 2378</t>
  </si>
  <si>
    <t>DrFZ.yvTSRK5Flh1b3hpZQ</t>
  </si>
  <si>
    <t>13989-B</t>
  </si>
  <si>
    <t>TRANSPORTADORA : BH MINAS PEDIDO AF70992 DESCONTO CONCEDIDO : 40% // OP 11973 DEVOLVIDA OS - 2379</t>
  </si>
  <si>
    <t>8v1MNlc-SeyqEIx9Kh1e8A</t>
  </si>
  <si>
    <t>13991</t>
  </si>
  <si>
    <t>11960</t>
  </si>
  <si>
    <t>TPxc1HA1SSqMFeDL5Rdenw</t>
  </si>
  <si>
    <t>13993</t>
  </si>
  <si>
    <t>11981</t>
  </si>
  <si>
    <t>aPoToQRTQhqUEE51Yg1CWw</t>
  </si>
  <si>
    <t>13995</t>
  </si>
  <si>
    <t>AQUATICA</t>
  </si>
  <si>
    <t>11470</t>
  </si>
  <si>
    <t>WJT</t>
  </si>
  <si>
    <t>REDESPACHO TRANSLAN W.J.T CNPJ: 18.992.731/0002-07 TELEFONE (11) 4292-3383 NÚMERO DE RESERVA 11047.</t>
  </si>
  <si>
    <t>wVYJEVkGSvSzShoembo8Lg</t>
  </si>
  <si>
    <t>13997</t>
  </si>
  <si>
    <t>AGS PISCINA E LAZER</t>
  </si>
  <si>
    <t>11961</t>
  </si>
  <si>
    <t>COTAR FRETE E EMBUTIR NA NFE</t>
  </si>
  <si>
    <t>UUJ646XbQySKNIkQydghzQ</t>
  </si>
  <si>
    <t>13999</t>
  </si>
  <si>
    <t>ALFA MATERIAL DE PISCINA, TINTA E LIMPEZA LTDA</t>
  </si>
  <si>
    <t>11967</t>
  </si>
  <si>
    <t>nuUDTnsBRTK4Yt1CekDDlA</t>
  </si>
  <si>
    <t>14003</t>
  </si>
  <si>
    <t>11945</t>
  </si>
  <si>
    <t>PEDIDO DE COMPRA Nº 4354 - CONSTAR EM NF DESCONTO DE 10% + 3% DESCONTAR DO CRÉDITO DA DEVOLUÇÃO</t>
  </si>
  <si>
    <t>Vq6Pd59ASCCPUAw6OQ5zBw</t>
  </si>
  <si>
    <t>14005</t>
  </si>
  <si>
    <t>F-OZON COM. DE MAT. ELÉTRICOS LTDA</t>
  </si>
  <si>
    <t>11968</t>
  </si>
  <si>
    <t>4KS7yknMS0OOqCpEAOtuZw</t>
  </si>
  <si>
    <t>14007</t>
  </si>
  <si>
    <t>11977</t>
  </si>
  <si>
    <t>PEDIDO DE COMPRA Nº 4382 - CONSTAR EM NF DESCONTO DE 10% + 3% DESCONTAR DO CRÉDITO DE DEVOLUÇÃO</t>
  </si>
  <si>
    <t>oc.P.IvjSrqWNWSEyfhapw</t>
  </si>
  <si>
    <t>14009</t>
  </si>
  <si>
    <t>KRONUS INDÚSTRIA DE MÁQUINAS E EQUIPAMENTOS LTDA.</t>
  </si>
  <si>
    <t>12013</t>
  </si>
  <si>
    <t>AMOSTRA FT-20</t>
  </si>
  <si>
    <t>ENVIO DE MOSTRUÁRIO EM CORTESIA, AUTORIZADO PELO MÁRIO. FT-20 COM QUADRO TOUCH FUNCIONAL. FRETE CIF.</t>
  </si>
  <si>
    <t>l8uxltFaTXebsSDKiLbyxw</t>
  </si>
  <si>
    <t>14011</t>
  </si>
  <si>
    <t>AQUECEBEM COMERCIO DE AQUECEDORES LTDA ME</t>
  </si>
  <si>
    <t>11446</t>
  </si>
  <si>
    <t>ESTOQUE BOLHA AZUL CURITIBA NÚMERO SÉRIE MÁQUINA  13308-I  ( MONOFÁSICO) CLIENTE  RETIRA NA BOLHA AZUL APÓS O PAGAMENTO</t>
  </si>
  <si>
    <t>Bq.LUj4DRTaOuJTACCs3Ww</t>
  </si>
  <si>
    <t>14013-A</t>
  </si>
  <si>
    <t>F O MARTINS COMERCIO PISCINAS EIRELLI</t>
  </si>
  <si>
    <t>11543</t>
  </si>
  <si>
    <t>FT80J35</t>
  </si>
  <si>
    <t>OS BOLETOS DA NF 9459 VÃO SE MANTER ATIVOS E ESSE NÃO GERARÁ FINANCEIRO</t>
  </si>
  <si>
    <t>dcBzfWOlTtWfMi1CcW7p7Q</t>
  </si>
  <si>
    <t>14013-B</t>
  </si>
  <si>
    <t>12007</t>
  </si>
  <si>
    <t>pjdUX6hrRomrPX09YLTdXg</t>
  </si>
  <si>
    <t>14013-C</t>
  </si>
  <si>
    <t>12008</t>
  </si>
  <si>
    <t>KtQ4qvf8RbOPXiTv6dDotQ</t>
  </si>
  <si>
    <t>14013-D</t>
  </si>
  <si>
    <t>12009</t>
  </si>
  <si>
    <t>INP49azCQvGbzpmaacCGPA</t>
  </si>
  <si>
    <t>14013-E</t>
  </si>
  <si>
    <t>12010</t>
  </si>
  <si>
    <t>DX1-c7qTRQ2cRVRNbOKSpw</t>
  </si>
  <si>
    <t>14016</t>
  </si>
  <si>
    <t>8B00230927003045</t>
  </si>
  <si>
    <t>mzBsU97iQQi-5RCnFyq16g</t>
  </si>
  <si>
    <t>14018</t>
  </si>
  <si>
    <t>CLIENTE JOÃO FERREIRA (CONSTAR EM NF) - TINHAM UM CRÉDITO DE 99,00; DEVOLUÇÃO OS - 2519, OP 11731</t>
  </si>
  <si>
    <t>4DN44R.6SQqleaa8Te7rbg</t>
  </si>
  <si>
    <t>14020</t>
  </si>
  <si>
    <t>11982</t>
  </si>
  <si>
    <t>ib8ndYfXRoWWENiaywxkpQ</t>
  </si>
  <si>
    <t>14022</t>
  </si>
  <si>
    <t>RAIAR DO SOL PISCINAS</t>
  </si>
  <si>
    <t>8B00230927003079</t>
  </si>
  <si>
    <t>joUgSE6hQAiOL9vgd-pC-Q</t>
  </si>
  <si>
    <t>14024-A</t>
  </si>
  <si>
    <t>CASA E PISCINA UMUAR</t>
  </si>
  <si>
    <t>8B00230927003041</t>
  </si>
  <si>
    <t>5.1NlDNjQqCRVI4OlPfwaQ</t>
  </si>
  <si>
    <t>14024-B</t>
  </si>
  <si>
    <t>8B00230924003171</t>
  </si>
  <si>
    <t>7ZiqpkskTjGahp5tdYZy.Q</t>
  </si>
  <si>
    <t>14028</t>
  </si>
  <si>
    <t>CHAMA ALTERNATIVA</t>
  </si>
  <si>
    <t>12004</t>
  </si>
  <si>
    <t>RADLOG</t>
  </si>
  <si>
    <t>REDESPACHO RADLOG OBS: DESCONTO AUTORIZADO POR MARIO</t>
  </si>
  <si>
    <t>xZZl8NcvQIeJX2dzbyk5Bg</t>
  </si>
  <si>
    <t>14030-A</t>
  </si>
  <si>
    <t>AMUR FERREIRA JUNIOR</t>
  </si>
  <si>
    <t>11993</t>
  </si>
  <si>
    <t>CLIENTE VAI DAR R$33 MIL DE ENTRADA, QUANDO A MAQUINA ESTIVER PRONTA ELE PAGA O RESTANTE ANTES DE FATURAR O PEDIDO!</t>
  </si>
  <si>
    <t>19D7VsT9Qm2hFFUj03twZg</t>
  </si>
  <si>
    <t>14030-B</t>
  </si>
  <si>
    <t>12018</t>
  </si>
  <si>
    <t>pjkEyvbUQ2iTpWvi9rl35Q</t>
  </si>
  <si>
    <t>14032</t>
  </si>
  <si>
    <t>TAMACA INVESTIMENTOS</t>
  </si>
  <si>
    <t>12002</t>
  </si>
  <si>
    <t>FT80L35T</t>
  </si>
  <si>
    <t>TROCA DO PEDIDO 13515 - 30/08/2023. CLIENTE RETIRA - PEDIDO JA PAGO</t>
  </si>
  <si>
    <t>E7F7JueeRfu9bHNy8Y-ebQ</t>
  </si>
  <si>
    <t>14034</t>
  </si>
  <si>
    <t>11471</t>
  </si>
  <si>
    <t>RETIRA DIA 23/10 NA FÁBRICA  PEDIDO CLIENTE INBBEL BEBIDAS  RESERVA: 11471</t>
  </si>
  <si>
    <t>g1yJtbR9SWOCBt.HqM9asg</t>
  </si>
  <si>
    <t>14036</t>
  </si>
  <si>
    <t>IVANA GERMANO</t>
  </si>
  <si>
    <t>12017</t>
  </si>
  <si>
    <t>FH160L60T</t>
  </si>
  <si>
    <t>ENTRADA DE 50% NO DIA 23/10 SALDO  AO RETIRAR A MÁQUINA</t>
  </si>
  <si>
    <t>19t3VMluTWu-Ixg2TuhxGQ</t>
  </si>
  <si>
    <t>14038</t>
  </si>
  <si>
    <t>ACQUA PISCINAS DF EIRELLI</t>
  </si>
  <si>
    <t>12003</t>
  </si>
  <si>
    <t>Wo1DfT4XTQ-ZMWwn2dKSXg</t>
  </si>
  <si>
    <t>14040</t>
  </si>
  <si>
    <t>12012</t>
  </si>
  <si>
    <t>a5g8OGDmT-OYBfWtOI2c6g</t>
  </si>
  <si>
    <t>14042</t>
  </si>
  <si>
    <t>12011</t>
  </si>
  <si>
    <t>URGENTE DEIXAR PRONTA DIA 25/10/23</t>
  </si>
  <si>
    <t>2YKgUuotQBe3ii43etf.7g</t>
  </si>
  <si>
    <t>14046</t>
  </si>
  <si>
    <t>8B00230927003011</t>
  </si>
  <si>
    <t>ENTRADA + 30/60/90 - TABELA PRÉ-VENDA (SETEMBRO/OUTUBRO)</t>
  </si>
  <si>
    <t>vBKsBUTzTeCiEnWylhnPow</t>
  </si>
  <si>
    <t>14050</t>
  </si>
  <si>
    <t>3 L PISCINAS</t>
  </si>
  <si>
    <t>8B00230927003166</t>
  </si>
  <si>
    <t>CLIENTE VAI PAGAR 20% DE SINAL DE PEDIDO E O RESTANTE NO MOMENTO DO EMBARQUE.</t>
  </si>
  <si>
    <t>0MbfQgwDQrmkoEekHVpyHA</t>
  </si>
  <si>
    <t>14052</t>
  </si>
  <si>
    <t>11896</t>
  </si>
  <si>
    <t>PRE-VENDA</t>
  </si>
  <si>
    <t>H-tv6vEZSSeCt6cbD14qwA</t>
  </si>
  <si>
    <t>14054-A</t>
  </si>
  <si>
    <t>NAVI ENGENHARIA</t>
  </si>
  <si>
    <t>12014</t>
  </si>
  <si>
    <t>CIF. ENTREGAR EM AV BRASIL, 10590 PENHA/RIO JANEIRO CEP 21012-350 (NA FRENTE DO CEFAM). OBS: LIGAR 24 HORAS ANTES DA ENTREGA P/ O NÚMERO (21) 99525-0601 SERGIO</t>
  </si>
  <si>
    <t>rSiFpatdSdW0KuQzwXMChQ</t>
  </si>
  <si>
    <t>14054-B</t>
  </si>
  <si>
    <t>12015</t>
  </si>
  <si>
    <t>udLxIQ7mQoeALSCvP1hcIw</t>
  </si>
  <si>
    <t>14054-C</t>
  </si>
  <si>
    <t>12016</t>
  </si>
  <si>
    <t>w1xV0Eu3T1GGwX7Pec1ucA</t>
  </si>
  <si>
    <t>14058</t>
  </si>
  <si>
    <t>PISCINACENTER COMERCIO E PRODUTOS PARA PISCINAS LTDA</t>
  </si>
  <si>
    <t>12019</t>
  </si>
  <si>
    <t>DESCONTO ESPECIAL DE 4% + 3% AUT PELO MÁRIO MERCADORIA COM REDESPACHO EM SÃO PAULO PELA JAMEF</t>
  </si>
  <si>
    <t>2rNuYOzSR6CFHxQYcBVv1w</t>
  </si>
  <si>
    <t>14060</t>
  </si>
  <si>
    <t>SERÁ RETIRADA DO ESTOQUE DE CURITIBA</t>
  </si>
  <si>
    <t>ht6-Y1qlQeik1LtgpJHsYw</t>
  </si>
  <si>
    <t>14062-A</t>
  </si>
  <si>
    <t>11971</t>
  </si>
  <si>
    <t>CIF. RESERVA 11816 (MAQUINAS PARA CASA DO NEYMAR EM MANGARATIBA)</t>
  </si>
  <si>
    <t>s2ZHs3BsTKaF7Q8-uMveJQ</t>
  </si>
  <si>
    <t>14062-B</t>
  </si>
  <si>
    <t>CIF. RESERVA 11816 (MAQUINAS PARA CASA DO NEYMAR EM MANGARATIBA) - NO DIA 04.03.2024 ACHEI ESSA MAQ NO ESTOQUE, RETIREI DO CAMPO OP - 11816</t>
  </si>
  <si>
    <t>UZlObOeYQAiXiAoOIaMapA</t>
  </si>
  <si>
    <t>14066</t>
  </si>
  <si>
    <t>RAY 82 EMPREENDIMENTOS EIRELI</t>
  </si>
  <si>
    <t>12001</t>
  </si>
  <si>
    <t>COTAR FRETE E EMBUTIR NA NOTA</t>
  </si>
  <si>
    <t>5cxjbPckTqOtHxknrJptnw</t>
  </si>
  <si>
    <t>14068</t>
  </si>
  <si>
    <t>11976</t>
  </si>
  <si>
    <t>FATURAR DIA 13/11 - NÃO FATURAR ANTES CONDIÇÃO ESPECIAL DE PRAZO AUTORIZADA PELO MARIO</t>
  </si>
  <si>
    <t>wX8DNOrfRcGmVGB864ZlSA</t>
  </si>
  <si>
    <t>14070</t>
  </si>
  <si>
    <t>PLAY POOL PISCINAS E EQUIPAMENTOS LTDA</t>
  </si>
  <si>
    <t>11373</t>
  </si>
  <si>
    <t>FT120F35T</t>
  </si>
  <si>
    <t>NIT</t>
  </si>
  <si>
    <t>CLIENTE AINDA INFORMARÁ O ENDEREÇO DE ENTREGA. O ENDEREÇO DEVERÁ CONSTAR NA NOTA FISCAL</t>
  </si>
  <si>
    <t>dg1zferdRKGDqDLvhnqiqw</t>
  </si>
  <si>
    <t>14072</t>
  </si>
  <si>
    <t>11913</t>
  </si>
  <si>
    <t>s4LrWhBNTwmu-AqlP67tqA</t>
  </si>
  <si>
    <t>14076</t>
  </si>
  <si>
    <t>11962</t>
  </si>
  <si>
    <t>q07.76BOT9aFlFJKM2v-lA</t>
  </si>
  <si>
    <t>14078</t>
  </si>
  <si>
    <t>12022</t>
  </si>
  <si>
    <t>CLIENTE TABELA ESPECIAL - 40%+10%</t>
  </si>
  <si>
    <t>evUlo8VeRuSE6mVeXqPgsw</t>
  </si>
  <si>
    <t>14080</t>
  </si>
  <si>
    <t>8B00230927003022</t>
  </si>
  <si>
    <t>10026-10234</t>
  </si>
  <si>
    <t>PRAZO DE PAGAMENTO: ENTRADA/30/60/90 DIAS  - ENTRADA ATÉ 31/10/2023</t>
  </si>
  <si>
    <t>84zh2gaAQDa8aduCYTTIaQ</t>
  </si>
  <si>
    <t>14082-A</t>
  </si>
  <si>
    <t>NEOENERGY BRASIL ENGENHARIA LTDA</t>
  </si>
  <si>
    <t>8B00230927003023</t>
  </si>
  <si>
    <t>10028-10230</t>
  </si>
  <si>
    <t>a-9I.c3IoQSmHmlR38WFOZg</t>
  </si>
  <si>
    <t>14082-B</t>
  </si>
  <si>
    <t>8B00230927003069</t>
  </si>
  <si>
    <t>Q8VfuUzoRLeZBGCCh5S2fw</t>
  </si>
  <si>
    <t>14084</t>
  </si>
  <si>
    <t>MULTISERV COMERCIO DE PRODUTOS E REPARO DE AQUECEDORES EIRELI</t>
  </si>
  <si>
    <t>11874</t>
  </si>
  <si>
    <t>WRJ</t>
  </si>
  <si>
    <t>39vQ7MAMR9WwrLT-p3Bt1Q</t>
  </si>
  <si>
    <t>14087</t>
  </si>
  <si>
    <t>FRANCISCO PEDRO DA SILVA EIRELI</t>
  </si>
  <si>
    <t>12091</t>
  </si>
  <si>
    <t>FT70B35</t>
  </si>
  <si>
    <t>TRANSPORTADORA FORMATO TRANSPORTES TEL 11 - 2536-7215</t>
  </si>
  <si>
    <t>j-dWAH0uR8mWG-KHBZ0kfA</t>
  </si>
  <si>
    <t>14089-A</t>
  </si>
  <si>
    <t>10568348 LAZER &amp; CIA COMERCIO DE PISCINAS EIRELI</t>
  </si>
  <si>
    <t>8B00230927003096</t>
  </si>
  <si>
    <t>AGUIAR</t>
  </si>
  <si>
    <t>TRANSPORTADORA AGUIAR TRANSPORTES TEL - 11 - 2412-5193</t>
  </si>
  <si>
    <t>13ZGhtu1THqXXtO94.NVhg</t>
  </si>
  <si>
    <t>14089-B</t>
  </si>
  <si>
    <t>LAZER &amp; CIA COMERCIO DE PISCINAS EIRELI</t>
  </si>
  <si>
    <t>TRANSPORTADORA AGUIAR TRANSPORTES TEL - 11 - 2412-5193 - OP DEVOLVIDA 8B00230927003056</t>
  </si>
  <si>
    <t>p8QwjERYR8KpYvTCjuyTFA</t>
  </si>
  <si>
    <t>14091</t>
  </si>
  <si>
    <t>11969</t>
  </si>
  <si>
    <t>xP8pJ4BmRhGVZe8jnAqe.g</t>
  </si>
  <si>
    <t>14093</t>
  </si>
  <si>
    <t>GLAITON MARQUES FIGUEIREDO</t>
  </si>
  <si>
    <t>8B00230927003051</t>
  </si>
  <si>
    <t>VALOR NF R$ 18.890,00  TABELA R$ 9.906,83  DIF TABXNF R$ 8.983,17  IMPOSTO 17% R$ 1.527,14  DIFAL R$ 944,50 TOTAL R$ 12.378,47</t>
  </si>
  <si>
    <t>HMGUrlpbQnmV-TTxxUzI8w</t>
  </si>
  <si>
    <t>14095</t>
  </si>
  <si>
    <t>SANDRA CINI BONATTO</t>
  </si>
  <si>
    <t>12037</t>
  </si>
  <si>
    <t>VALOR NF R$ 19.167,20  VALOR TABELA R$ 10.058,75 DIF VAL TABXNF R$ 9.108,45  IMPOSTO 17% R$ 1.548,44  DIFAL R$ 958,36 TOTAL R$ 12.565,55</t>
  </si>
  <si>
    <t>ydiHOTO8RNSsK3q5PgDL7w</t>
  </si>
  <si>
    <t>14097-A</t>
  </si>
  <si>
    <t>8B00230924003122</t>
  </si>
  <si>
    <t>PRÉ-VENDA</t>
  </si>
  <si>
    <t>W0I.9eeFSX-tfqXZMz7RiA</t>
  </si>
  <si>
    <t>14097-B</t>
  </si>
  <si>
    <t>8B00230924003123</t>
  </si>
  <si>
    <t>TE37WxCiSDyYY4znIS71hg</t>
  </si>
  <si>
    <t>14097-C</t>
  </si>
  <si>
    <t>8B00230924003172</t>
  </si>
  <si>
    <t>a-atGwqRaRtq-WNPkasB15w</t>
  </si>
  <si>
    <t>14097-D</t>
  </si>
  <si>
    <t>8B00230927003026</t>
  </si>
  <si>
    <t>UxZsT3kSTdit3eCXwl8JBQ</t>
  </si>
  <si>
    <t>14097-E</t>
  </si>
  <si>
    <t>8B00230927003059</t>
  </si>
  <si>
    <t>7zhhjNP-T5eBstREY9QvQA</t>
  </si>
  <si>
    <t>14097-F</t>
  </si>
  <si>
    <t>8B00230927003012</t>
  </si>
  <si>
    <t>7IJ-TucwSaa4313LF9w11Q</t>
  </si>
  <si>
    <t>14099</t>
  </si>
  <si>
    <t>DS CONFORTO E LAZER LTDA.</t>
  </si>
  <si>
    <t>8B00230927003099</t>
  </si>
  <si>
    <t>PREÇO ESPECIAL PARA AÇÃO PROMOCIONAL. AUTORIZADO PELO MÁRIO.</t>
  </si>
  <si>
    <t>2WB6ffKzQGmWhodKGMdwrg</t>
  </si>
  <si>
    <t>14101</t>
  </si>
  <si>
    <t>PLANETA PISCINAS</t>
  </si>
  <si>
    <t>FT80B35</t>
  </si>
  <si>
    <t>URGENTE PAGAMENTO NA RETIRADA DA ´MAQUINA // SUSPEITAMOS NÃO SER ESSA OP 11345</t>
  </si>
  <si>
    <t>1MrYFav.RMKO0w1S2oy.Fw</t>
  </si>
  <si>
    <t>14103</t>
  </si>
  <si>
    <t>LUIZ CARLOS CANHESTO PEREIRA 10318102773</t>
  </si>
  <si>
    <t>11998</t>
  </si>
  <si>
    <t>IGUAÇU</t>
  </si>
  <si>
    <t>Mlt2w.c6S92Mf6ZMwBTu6Q</t>
  </si>
  <si>
    <t>14106</t>
  </si>
  <si>
    <t>4L IND. E COM. DE PISCINAS LTDA.</t>
  </si>
  <si>
    <t>8B00230927003133</t>
  </si>
  <si>
    <t>FTI105L40CZ</t>
  </si>
  <si>
    <t>10030-10226</t>
  </si>
  <si>
    <t>DDAF0n-bTv2a.NmevBm.dA</t>
  </si>
  <si>
    <t>14108</t>
  </si>
  <si>
    <t>DONATTI PISCINAS LTDA</t>
  </si>
  <si>
    <t>12025</t>
  </si>
  <si>
    <t>kjH9J1ZmQZG2lE267yfFxg</t>
  </si>
  <si>
    <t>14110</t>
  </si>
  <si>
    <t>PISCINAS CAMPO LARGO</t>
  </si>
  <si>
    <t>11275</t>
  </si>
  <si>
    <t>RENATO</t>
  </si>
  <si>
    <t>PRODUTO DENTRO  DO BARRACÃO BOLHA AZUL</t>
  </si>
  <si>
    <t>Do1qjg37Sk6rCZvaxiOtXQ</t>
  </si>
  <si>
    <t>14112-A</t>
  </si>
  <si>
    <t>12047</t>
  </si>
  <si>
    <t>TROCA REF AO PEDIDO 13989 - OS - 2378 E OS - 2379 FRETE E REENVIO E REDESPACHO POR CONTA DO CLIENTE, JA ACORDADO.</t>
  </si>
  <si>
    <t>Gxjz4CkiTIe1vvZQ8XaHHQ</t>
  </si>
  <si>
    <t>14112-B</t>
  </si>
  <si>
    <t>12048</t>
  </si>
  <si>
    <t>QjQhkY2wQBKbEftAlIcDpg</t>
  </si>
  <si>
    <t>14116</t>
  </si>
  <si>
    <t>11995</t>
  </si>
  <si>
    <t>XJhO918eSxOauPP.NZozSw</t>
  </si>
  <si>
    <t>14118</t>
  </si>
  <si>
    <t>DAYANE SCOPEL FERRAZZA</t>
  </si>
  <si>
    <t>12153</t>
  </si>
  <si>
    <t>VALOR NF R$ 15.520,00 VALOR TABELA R$ 8.857,81 DIF TABXNF R$ 6.662,19 IMPOSTO 17% R$ 1.132,57 DIFAL R$ 776,00 TOTAL R$ 10.776,38</t>
  </si>
  <si>
    <t>VND-wE8cTP6hiG6FfMllDw</t>
  </si>
  <si>
    <t>14120</t>
  </si>
  <si>
    <t>CRISTAL PISCINAS EIRELI</t>
  </si>
  <si>
    <t>12040</t>
  </si>
  <si>
    <t>FT120L35T</t>
  </si>
  <si>
    <t>Mj8MrPqpRE2uerc-M4Hiow</t>
  </si>
  <si>
    <t>14123</t>
  </si>
  <si>
    <t>8B00230927003020</t>
  </si>
  <si>
    <t>PRAZO DE PAGAMENTO: ENTRADA/30/60/90 DIAS DEPÓSITO EM NO MÁXIMO 5 DIAS</t>
  </si>
  <si>
    <t>EvJyS88IRg6YJgCjNzR-yA</t>
  </si>
  <si>
    <t>14125</t>
  </si>
  <si>
    <t>11966</t>
  </si>
  <si>
    <t>9oFdNf3ORGekQEOc8-zTYg</t>
  </si>
  <si>
    <t>14127</t>
  </si>
  <si>
    <t>12035</t>
  </si>
  <si>
    <t>2dFR3EwIQhGc-sq2Z9cxRg</t>
  </si>
  <si>
    <t>14129</t>
  </si>
  <si>
    <t>12033</t>
  </si>
  <si>
    <t>S6MGEKNpTfacMeu0VG3S2w</t>
  </si>
  <si>
    <t>14131-A</t>
  </si>
  <si>
    <t>AF CONSTRUTORA LTDA</t>
  </si>
  <si>
    <t>11970</t>
  </si>
  <si>
    <t>pHJS.ZSiRAmXVR2WeOzX3A</t>
  </si>
  <si>
    <t>14131-B</t>
  </si>
  <si>
    <t>11986</t>
  </si>
  <si>
    <t>t96i.ohVRM-SfuyV0UHxKw</t>
  </si>
  <si>
    <t>14131-C</t>
  </si>
  <si>
    <t>11987</t>
  </si>
  <si>
    <t>v5ST3mQ5Sb62oUYIfJa7Qg</t>
  </si>
  <si>
    <t>14131-D</t>
  </si>
  <si>
    <t>11988</t>
  </si>
  <si>
    <t>p.wXjP2YQ5WiQ9GQmk0TjA</t>
  </si>
  <si>
    <t>14131-E</t>
  </si>
  <si>
    <t>11989</t>
  </si>
  <si>
    <t>N7Qb.XxGQyW1ccL.PgW1Lw</t>
  </si>
  <si>
    <t>14131-F</t>
  </si>
  <si>
    <t>11775</t>
  </si>
  <si>
    <t>lmIARVL-TY22uXzyr9XiSw</t>
  </si>
  <si>
    <t>14142</t>
  </si>
  <si>
    <t>TECPOOL PISCINAS LTDA</t>
  </si>
  <si>
    <t>8B00230924003155</t>
  </si>
  <si>
    <t>LEALDADE</t>
  </si>
  <si>
    <t>APLICADO DESCONTO 10% PRÉ-VENDA</t>
  </si>
  <si>
    <t>9dEx37.7RQyJWSrf0s7rvQ</t>
  </si>
  <si>
    <t>14144</t>
  </si>
  <si>
    <t>12032</t>
  </si>
  <si>
    <t>a-DuAzShTRpiCxOuErZHhdg</t>
  </si>
  <si>
    <t>14146-A</t>
  </si>
  <si>
    <t>MERGULHOS PISCINAS</t>
  </si>
  <si>
    <t>8B00230927003047</t>
  </si>
  <si>
    <t>PRAZO DE PAGAMENTO ESPECIAL, AUTORIZADO PELO MÁRIO: ENTRADA/30/60/90/120 DIAS</t>
  </si>
  <si>
    <t>mcYSgkVaQmW83wpMqwC3Mw</t>
  </si>
  <si>
    <t>14146-B</t>
  </si>
  <si>
    <t>8B00230927003075</t>
  </si>
  <si>
    <t>tTchUk-fTkq8qWS4CaRllw</t>
  </si>
  <si>
    <t>14146-C</t>
  </si>
  <si>
    <t>8B00230927003070</t>
  </si>
  <si>
    <t>v5-6Re5EQyW74QSRbwyxsw</t>
  </si>
  <si>
    <t>14146-D</t>
  </si>
  <si>
    <t>8B00230927003035</t>
  </si>
  <si>
    <t>kkZ8LwfxRLmgcKYY8PUrgw</t>
  </si>
  <si>
    <t>14148</t>
  </si>
  <si>
    <t>GOLDEN FOX REPRESENTAÇÕES COMERCIAIS LTDA</t>
  </si>
  <si>
    <t>12034</t>
  </si>
  <si>
    <t>CLIENTE VAI DEVOLVER UMA FT40 DO PEDIDO 13554 POR ESTAR MAL DIMENSIONADA, ABATER DESTE PEDIDO O VALOR DE R$ 9.841,00  - SALDO PAGARÁ EM BOLETO PARA 30 DIAS</t>
  </si>
  <si>
    <t>dTr-JSicScqGOGbbqTIgbQ</t>
  </si>
  <si>
    <t>14150-A</t>
  </si>
  <si>
    <t>12041</t>
  </si>
  <si>
    <t>581CcjlpRKeQ8ElG6CXKRw</t>
  </si>
  <si>
    <t>14150-B</t>
  </si>
  <si>
    <t>12042</t>
  </si>
  <si>
    <t>ITvGuymBTkKmZwYJDsa4AQ</t>
  </si>
  <si>
    <t>14150-C</t>
  </si>
  <si>
    <t>12043</t>
  </si>
  <si>
    <t>dtF-bRoDRbGa3g.LDPe-bg</t>
  </si>
  <si>
    <t>14150-D</t>
  </si>
  <si>
    <t>12044</t>
  </si>
  <si>
    <t>AKwq9L5LQ62Hhu-pYfic9Q</t>
  </si>
  <si>
    <t>14152</t>
  </si>
  <si>
    <t>8B00230927003136</t>
  </si>
  <si>
    <t>10029-10278</t>
  </si>
  <si>
    <t>a.OCl2cS4QviHaAISKM0Q7w</t>
  </si>
  <si>
    <t>14154-A</t>
  </si>
  <si>
    <t>AGUA AZUL MANUTENCAO DE PISCINA</t>
  </si>
  <si>
    <t>11996</t>
  </si>
  <si>
    <t>FATURAR COM URGÊNCIA, EM ATÉ UMA SEMANA.</t>
  </si>
  <si>
    <t>H2.jhywtSYSjpyzvB4smIg</t>
  </si>
  <si>
    <t>14154-B</t>
  </si>
  <si>
    <t>11997</t>
  </si>
  <si>
    <t>u.xXoIvsRMaKBQunt5nsPw</t>
  </si>
  <si>
    <t>14158</t>
  </si>
  <si>
    <t>BSB PISCINAS</t>
  </si>
  <si>
    <t>12036</t>
  </si>
  <si>
    <t>REDESPACHO RADLOG NÚMERO DE RESERVA 11997</t>
  </si>
  <si>
    <t>nfENTulSS76PinlvV4ztaQ</t>
  </si>
  <si>
    <t>14160</t>
  </si>
  <si>
    <t>NATAL DUNNAS HOTEL</t>
  </si>
  <si>
    <t>12020</t>
  </si>
  <si>
    <t>SINAL SERÁ DE R$15.000,00 - FAVOR ENVIAR CÓPIA DO PEDIDO PARA A AGUAS E VAPORES - VENDA DIRETA INDICADA. - OK COMISSÃO PAGA AGUAS E VAPORES DIA 28/12</t>
  </si>
  <si>
    <t>7Onfam-ZSpqBrWtADwwJ7Q</t>
  </si>
  <si>
    <t>14166-A</t>
  </si>
  <si>
    <t>12052</t>
  </si>
  <si>
    <t>CLIENTE COM TABELA ESPECIAL (40/10) - QUADROS PDX</t>
  </si>
  <si>
    <t>4XYdKYJhTf2qYjnVQpi2wg</t>
  </si>
  <si>
    <t>14166-B</t>
  </si>
  <si>
    <t>12053</t>
  </si>
  <si>
    <t>Sqwtcv3YSaiHdK-iuMWZOA</t>
  </si>
  <si>
    <t>14166-C</t>
  </si>
  <si>
    <t>12054</t>
  </si>
  <si>
    <t>qXTigklVQ26hW-ab.Fj4vA</t>
  </si>
  <si>
    <t>14166-D</t>
  </si>
  <si>
    <t>12055</t>
  </si>
  <si>
    <t>r-zZFxKoRvaqRfzXZJOIfw</t>
  </si>
  <si>
    <t>14166-E</t>
  </si>
  <si>
    <t>12056</t>
  </si>
  <si>
    <t>I5uIbFETTpi9l2pfNG96cg</t>
  </si>
  <si>
    <t>14168</t>
  </si>
  <si>
    <t>HDR AQUECEDOR SOLAR</t>
  </si>
  <si>
    <t>11991</t>
  </si>
  <si>
    <t>REDESPACHO EXP. RAQUEL. FATURAR/DESPACHAR DIA 08/11 CONF. CONVERSADO MARIO DICK. PAGAMENTO EM 07/11</t>
  </si>
  <si>
    <t>8luRkScMRju-u0Qqk5y5bg</t>
  </si>
  <si>
    <t>14170</t>
  </si>
  <si>
    <t>11894</t>
  </si>
  <si>
    <t>RESERVA 11111-FRETE CIF - ENVIAR O MAIS RAPIDO POSSIVEL</t>
  </si>
  <si>
    <t>q-rLuHYBQiOrA7BRag.ldw</t>
  </si>
  <si>
    <t>14172</t>
  </si>
  <si>
    <t>PEDIDO DE COMPRA Nº 4483 - CONSTAR EM NF / DESBLOQUEAR PARA 40°C DESCONTO ESPECIAL DE 10% + 3% AUT PELO MÁRIO DESCONTAR DO CRÉDITO DE DEVOLUÇÃO - 11327</t>
  </si>
  <si>
    <t>FcKK8HLKSEKN0AHDGEhPtA</t>
  </si>
  <si>
    <t>14174-A</t>
  </si>
  <si>
    <t>JL CARVALHO PISCINAS LTDA EPP</t>
  </si>
  <si>
    <t>12071</t>
  </si>
  <si>
    <t>COTAR FRETE E EMBUTIR NA NF. CLIENTE VAI DESLOCAR QUADRO PDX, ENVIAR TAMPA CEGA PARA AS DUAS MAQUINAS</t>
  </si>
  <si>
    <t>JYg3IgKLRSqhJBAvvp2ZLg</t>
  </si>
  <si>
    <t>14174-B</t>
  </si>
  <si>
    <t>12038</t>
  </si>
  <si>
    <t>6uC4aEBoQvePPK5sNSF.0A</t>
  </si>
  <si>
    <t>14176</t>
  </si>
  <si>
    <t>12039</t>
  </si>
  <si>
    <t>FT70B35T</t>
  </si>
  <si>
    <t>fOKDWM4nTeqGBHecYS3O7w</t>
  </si>
  <si>
    <t>14178</t>
  </si>
  <si>
    <t>PISCINAS &amp; CIA</t>
  </si>
  <si>
    <t>12046</t>
  </si>
  <si>
    <t>RAZÃO SOCIAL CORRETA:  IOHANA DE BRUM KROTH PISCINAS</t>
  </si>
  <si>
    <t>Yx.sVEyZQuGtsii8RfYIEw</t>
  </si>
  <si>
    <t>14180</t>
  </si>
  <si>
    <t>ALCATÉIA PRODUTOS E SERVIÇOS MEI</t>
  </si>
  <si>
    <t>12059</t>
  </si>
  <si>
    <t>aLVe3oobRE6BmYlVDzfe2Q</t>
  </si>
  <si>
    <t>14184</t>
  </si>
  <si>
    <t>12000</t>
  </si>
  <si>
    <t>Uv43HKNESRyVtCI0UFDtpA</t>
  </si>
  <si>
    <t>14186</t>
  </si>
  <si>
    <t>MINEIA IZIS OJCZENASZ</t>
  </si>
  <si>
    <t>11526</t>
  </si>
  <si>
    <t>VALOR NF R$ 38.250,00 VALOR TABELA R$ 20.021,64 DIF TABXNF R$ 18.228,36 IMPOSTO 17% R$ 3.098,82 DIFAL R$ 1.912,50 TOTAL R$ 25.032,96</t>
  </si>
  <si>
    <t>UHHzph8LTT6KcMiGRH8lKQ</t>
  </si>
  <si>
    <t>14188</t>
  </si>
  <si>
    <t>11974</t>
  </si>
  <si>
    <t>CLIENTE: LUCIANA PARMA DE FREITAS</t>
  </si>
  <si>
    <t>6-DrwxorQ9C02krYLznJfg</t>
  </si>
  <si>
    <t>14191</t>
  </si>
  <si>
    <t>GRAU INSTALACOES DE GAS</t>
  </si>
  <si>
    <t>12062</t>
  </si>
  <si>
    <t>JAOOFMVnRTSB58yeNX.pqg</t>
  </si>
  <si>
    <t>14195-A</t>
  </si>
  <si>
    <t>DJA COMERCIO DE PISCINAS LTDA</t>
  </si>
  <si>
    <t>11897</t>
  </si>
  <si>
    <t>uILrI7qcTkO9DKWGqFzaAQ</t>
  </si>
  <si>
    <t>14195-B</t>
  </si>
  <si>
    <t>12068</t>
  </si>
  <si>
    <t>xvW0vHxpR8KEgQaEOlM3yA</t>
  </si>
  <si>
    <t>14195-C</t>
  </si>
  <si>
    <t>12069</t>
  </si>
  <si>
    <t>8DU1QsHOTXCiLl1RP.o2oA</t>
  </si>
  <si>
    <t>14197-A</t>
  </si>
  <si>
    <t>12049</t>
  </si>
  <si>
    <t>PEDIDO DE COMPRA Nº 4518 - CONSTAR EM NF DESCONTO DE 10% + 3% AUT PELO MÁRIO SAÍDA EM 48 HORAS (AUT PELO MÁRIO)</t>
  </si>
  <si>
    <t>3wl1LbZOQ.6Hf3zF8RxgeA</t>
  </si>
  <si>
    <t>14197-B</t>
  </si>
  <si>
    <t>12050 04.03.2024 - ACHEI A OP NO NOSSO ESTOQUE, ENTAO RETIREI</t>
  </si>
  <si>
    <t>oFGEnE.ESkqU6ZAyr.iK1A</t>
  </si>
  <si>
    <t>14199</t>
  </si>
  <si>
    <t>9867</t>
  </si>
  <si>
    <t>LmfiozABR.2hUybCJBHMZA</t>
  </si>
  <si>
    <t>14201</t>
  </si>
  <si>
    <t>12063</t>
  </si>
  <si>
    <t>TROCA DO PEDIDO DE COMPRA Nº 4114 - CONSTAR EM NF PEDIDO PARA ABATER DE SALDO DE DEVOLUÇÃO. DESCONTO ESPECIAL DE 10% + 3% - TROCA DO PEDIDO 13554</t>
  </si>
  <si>
    <t>9QBqJBsCRYCKXfBKJWitWw</t>
  </si>
  <si>
    <t>14202-A</t>
  </si>
  <si>
    <t>11684</t>
  </si>
  <si>
    <t>FT180F35</t>
  </si>
  <si>
    <t>AQUIM FERREIRA,147, BAIRRO POMPÉIA -SÃO PAULO CEP: 05033080 - CONDOMÍNIO PATEO POMPEIA - COPIAR ALISSON@IN</t>
  </si>
  <si>
    <t>ttWnWDviRkSnWckc3UKLGg</t>
  </si>
  <si>
    <t>14202-B</t>
  </si>
  <si>
    <t>11683</t>
  </si>
  <si>
    <t>yi-fbskYRDK6my1LnTm58w</t>
  </si>
  <si>
    <t>14205-A</t>
  </si>
  <si>
    <t>UL TESTTECH LAB DE AVALIAÇÕES</t>
  </si>
  <si>
    <t>12029</t>
  </si>
  <si>
    <t>u.7vctVGQLyoZg49czyNwA</t>
  </si>
  <si>
    <t>14205-B</t>
  </si>
  <si>
    <t>12030</t>
  </si>
  <si>
    <t>OBS: Aguardar</t>
  </si>
  <si>
    <t>0g.SW.-cTe2BtzsMvoW3bQ</t>
  </si>
  <si>
    <t>14205-C</t>
  </si>
  <si>
    <t>12031</t>
  </si>
  <si>
    <t>5VJoagfySuqyrR0Ez1tNKQ</t>
  </si>
  <si>
    <t>14205-D</t>
  </si>
  <si>
    <t>12028</t>
  </si>
  <si>
    <t>y6j3HRuhRQianbQLohDQlA</t>
  </si>
  <si>
    <t>14205-E</t>
  </si>
  <si>
    <t>12027</t>
  </si>
  <si>
    <t>5hqzEXJORxGObH1EG97mDA</t>
  </si>
  <si>
    <t>14205-F</t>
  </si>
  <si>
    <t>12026</t>
  </si>
  <si>
    <t>aLvV7EKZQYmZyGEamtRx3g</t>
  </si>
  <si>
    <t>14206</t>
  </si>
  <si>
    <t>PLAMAX</t>
  </si>
  <si>
    <t>11985</t>
  </si>
  <si>
    <t>h1OjzYgaTFWAwi9vzZ1ECg</t>
  </si>
  <si>
    <t>14207-A</t>
  </si>
  <si>
    <t>11868</t>
  </si>
  <si>
    <t>a.pErUNhuQpGa9uMFI34CSA</t>
  </si>
  <si>
    <t>14207-B</t>
  </si>
  <si>
    <t>12057</t>
  </si>
  <si>
    <t>6qdYxTv4QsK4cT9HismrcQ</t>
  </si>
  <si>
    <t>14212</t>
  </si>
  <si>
    <t>12058</t>
  </si>
  <si>
    <t>s4NicnbuTIGtx3acWRwskA</t>
  </si>
  <si>
    <t>14214</t>
  </si>
  <si>
    <t>11529</t>
  </si>
  <si>
    <t>VALOR DEPOSITADO DIA 07/11</t>
  </si>
  <si>
    <t>dDrfbBX8TP-uIl25aM4bjg</t>
  </si>
  <si>
    <t>14216</t>
  </si>
  <si>
    <t>AGUA QUENTE SOLAR EIRELI - EPP</t>
  </si>
  <si>
    <t>12064</t>
  </si>
  <si>
    <t>541 AK</t>
  </si>
  <si>
    <t>DIJe.3A1RX-R5PgaymwIWA</t>
  </si>
  <si>
    <t>14218</t>
  </si>
  <si>
    <t>12085</t>
  </si>
  <si>
    <t>VAI ENVIAR 5MIL E SALDO QUANDO FATURAR A MAQUINA</t>
  </si>
  <si>
    <t>gyjF49dXSC-vuzdzLh-wow</t>
  </si>
  <si>
    <t>14220</t>
  </si>
  <si>
    <t>ROGER TIAGO DA SILVA CARNEIRO SANTOS</t>
  </si>
  <si>
    <t>ESTOQUE BOLHA- NF 9786-O 11723-NS 13851</t>
  </si>
  <si>
    <t>O8Ds2NCuR7iP7CfHbemCQg</t>
  </si>
  <si>
    <t>14222</t>
  </si>
  <si>
    <t>8B00230927003092</t>
  </si>
  <si>
    <t>COMPRA DE PRÉ-VENDA</t>
  </si>
  <si>
    <t>y0wdTcS8Qq-UZwsJnAZj8g</t>
  </si>
  <si>
    <t>14224-A</t>
  </si>
  <si>
    <t>LAR LAPEANO DE SAUDE LTDA</t>
  </si>
  <si>
    <t>GAS R32 APROVADO PELO GV MARIO; DEVOL OS - 2491, OP - 12065</t>
  </si>
  <si>
    <t>fwvvoIYERMyrqyM6DEVhBg</t>
  </si>
  <si>
    <t>14224-B</t>
  </si>
  <si>
    <t>GAS R32 APROVADO PELO GV MARIO; DEVOL OS - 2491, OP - 12066</t>
  </si>
  <si>
    <t>rU0-vgVgTiGK.nwyaH2asA</t>
  </si>
  <si>
    <t>14224-C</t>
  </si>
  <si>
    <t>GAS R32 APROVADO PELO GV MARIO; DEVOL OS - 2491, OP - 12067</t>
  </si>
  <si>
    <t>dV-DXhlMQZ2EcSwZJapEGA</t>
  </si>
  <si>
    <t>14229</t>
  </si>
  <si>
    <t>DARCI DE LIMA JUNIOR</t>
  </si>
  <si>
    <t>11975</t>
  </si>
  <si>
    <t>VALOR NF R$ 32.800,00  VALOR TABELA R$ 17.982,40  DIF TABXNF R$ 14.817,60  IMPOSTO 17% R$ 2.518,99  DIFAL R$ 1.640,00 TOTAL R$ 22.141,39</t>
  </si>
  <si>
    <t>ECAYnp5tQh2vFn03j0iEeg</t>
  </si>
  <si>
    <t>14231</t>
  </si>
  <si>
    <t>12060</t>
  </si>
  <si>
    <t>a-LwbRT4RREylO3As4QmKhw</t>
  </si>
  <si>
    <t>14233</t>
  </si>
  <si>
    <t>7484 PISCINAS E MAT CONSTRUÇAO</t>
  </si>
  <si>
    <t>11999</t>
  </si>
  <si>
    <t>2Vx3UO-qQA-NM7GQvDhDTg</t>
  </si>
  <si>
    <t>14238</t>
  </si>
  <si>
    <t>wRruOYozTIqAf6b5GQGc6Q</t>
  </si>
  <si>
    <t>14242</t>
  </si>
  <si>
    <t>IGREJA MISSIONARIA JESUS ESTA VOLTANDO</t>
  </si>
  <si>
    <t>12086</t>
  </si>
  <si>
    <t>ENTREGA NO ENDEREÇO: RUA BENTO GONÇALVES, 1966 - CENTRO - SANTIAGO/RS - CEP 97700-225</t>
  </si>
  <si>
    <t>SYxj140qSCyVKl0LVO.3kA</t>
  </si>
  <si>
    <t>14244-A</t>
  </si>
  <si>
    <t>SOBRE HIDRAULICA</t>
  </si>
  <si>
    <t>12084</t>
  </si>
  <si>
    <t>MÁQUINA COM DEGELO P/ RESFRIAMENTO. FRETE CIF. CLIENTE INFORMARÁ LOCAL DE ENTREGA</t>
  </si>
  <si>
    <t>iQFWis0CQ5GQDBCNpTX.Bw</t>
  </si>
  <si>
    <t>14244-B</t>
  </si>
  <si>
    <t>12083</t>
  </si>
  <si>
    <t>TlTurAfXQA-d-5N5VmBZbg</t>
  </si>
  <si>
    <t>14246</t>
  </si>
  <si>
    <t>12070</t>
  </si>
  <si>
    <t>FIrINYeeQcaVXp0EtEDdrw</t>
  </si>
  <si>
    <t>14248-A</t>
  </si>
  <si>
    <t>11984</t>
  </si>
  <si>
    <t>PEDIDO : ED ESSENCE RESIDENCE //</t>
  </si>
  <si>
    <t>kdKCDRNHSFKjzdRA3susog</t>
  </si>
  <si>
    <t>14248-B</t>
  </si>
  <si>
    <t>11990</t>
  </si>
  <si>
    <t>PEDIDO : ED ESSENCE RESIDENCE</t>
  </si>
  <si>
    <t>AGoEdUeaTSmqzKUte.i8Vw</t>
  </si>
  <si>
    <t>14250</t>
  </si>
  <si>
    <t>8B00230927003155</t>
  </si>
  <si>
    <t>ENTREGA EM JANEIRO 2024</t>
  </si>
  <si>
    <t>Ijdh5gX2Sqqmd5EiK-l2ww</t>
  </si>
  <si>
    <t>14253-A</t>
  </si>
  <si>
    <t>11957</t>
  </si>
  <si>
    <t>DESCONTO EXTRA AUTORIZADO PELO MARIO + 6%</t>
  </si>
  <si>
    <t>HtazeYngT0aMbvZ4hXsy0Q</t>
  </si>
  <si>
    <t>14253-B</t>
  </si>
  <si>
    <t>12079</t>
  </si>
  <si>
    <t>jRz-Sav4RNSh2zwMe--Drg</t>
  </si>
  <si>
    <t>14253-C</t>
  </si>
  <si>
    <t>12021</t>
  </si>
  <si>
    <t>RA9g1GXFROibuSS53sIrqg</t>
  </si>
  <si>
    <t>14255</t>
  </si>
  <si>
    <t>12072</t>
  </si>
  <si>
    <t>XX5rwP7UShyjQPwtt4z9gg</t>
  </si>
  <si>
    <t>14257</t>
  </si>
  <si>
    <t>8B00230927003161</t>
  </si>
  <si>
    <t>IoOxA4aeQDGfIJ0a9SR8Fg</t>
  </si>
  <si>
    <t>14259</t>
  </si>
  <si>
    <t>IVSAN TRIVELLATO</t>
  </si>
  <si>
    <t>12092</t>
  </si>
  <si>
    <t>bwMMC51.Qz6BX.trW9vJlQ</t>
  </si>
  <si>
    <t>14261</t>
  </si>
  <si>
    <t>12081</t>
  </si>
  <si>
    <t>PRAZO PAGAMENTO ESPECIAL EXCLUSIVO PARA ESTE PEDIDO</t>
  </si>
  <si>
    <t>gvGYrwXlTpOFb1TVFyjd-g</t>
  </si>
  <si>
    <t>14263</t>
  </si>
  <si>
    <t>12073</t>
  </si>
  <si>
    <t>ZzVWAf0hTfaNxd1p8AkxbQ</t>
  </si>
  <si>
    <t>14265</t>
  </si>
  <si>
    <t>BRASIL PISCINAS E SERVIÇOS EIRELI ME</t>
  </si>
  <si>
    <t>12104</t>
  </si>
  <si>
    <t>TRANSPORTADORA : EXPRESSO RAQUEL DESCONTO CONCEDIDO : 40% + 5%</t>
  </si>
  <si>
    <t>KbtMZ-TKQ7ys8eEobLuu4Q</t>
  </si>
  <si>
    <t>14267-A</t>
  </si>
  <si>
    <t>ESTOQUE BOLHA - FT 40-OP11886-NS13851 NF9788/ FT50 NS12356 NF 9821</t>
  </si>
  <si>
    <t>a-QwxO-KGRp6BxQl6Dg63RQ</t>
  </si>
  <si>
    <t>14267-B</t>
  </si>
  <si>
    <t>vV4LNUrwSjGTuakNn4MA8A</t>
  </si>
  <si>
    <t>14269</t>
  </si>
  <si>
    <t>LITORAL PISCINAS</t>
  </si>
  <si>
    <t>10794</t>
  </si>
  <si>
    <t>vol95Jf4QEG214pL98O8bQ</t>
  </si>
  <si>
    <t>14271</t>
  </si>
  <si>
    <t>12082</t>
  </si>
  <si>
    <t>qkwpGfQMQlmhkSlzcUFwNQ</t>
  </si>
  <si>
    <t>14273</t>
  </si>
  <si>
    <t>DIL PISCINAS LTDA</t>
  </si>
  <si>
    <t>8b00230924003094</t>
  </si>
  <si>
    <t>6SqbzSXBS5GoO5RDkjuQcA</t>
  </si>
  <si>
    <t>14275</t>
  </si>
  <si>
    <t>R DOS SANTOS SCHAFF LTDA</t>
  </si>
  <si>
    <t>12090</t>
  </si>
  <si>
    <t>BwmOGSkvT-uHIjt-gSzQ-g</t>
  </si>
  <si>
    <t>14279</t>
  </si>
  <si>
    <t>8B00230927003073</t>
  </si>
  <si>
    <t>ORH8ZPDNSc-ok7fW7kR4zQ</t>
  </si>
  <si>
    <t>14281</t>
  </si>
  <si>
    <t>12076</t>
  </si>
  <si>
    <t>bXaEtG1HSKCK7MFTNrZKYg</t>
  </si>
  <si>
    <t>14283-A</t>
  </si>
  <si>
    <t>12103</t>
  </si>
  <si>
    <t>Fk1IE80TSB-QPwgzPXXJBA</t>
  </si>
  <si>
    <t>14283-B</t>
  </si>
  <si>
    <t>12105</t>
  </si>
  <si>
    <t>aSNWpUajTXO-mUX-tG5Ejw</t>
  </si>
  <si>
    <t>14283-C</t>
  </si>
  <si>
    <t>12094</t>
  </si>
  <si>
    <t>FT120H35T</t>
  </si>
  <si>
    <t>VLRFCBWWTfuQV3JSrCRBGg</t>
  </si>
  <si>
    <t>14286</t>
  </si>
  <si>
    <t>12087</t>
  </si>
  <si>
    <t>RuDlOJqrT9WFHTshV4vr3w</t>
  </si>
  <si>
    <t>14288</t>
  </si>
  <si>
    <t>12077</t>
  </si>
  <si>
    <t>ZHGLqebXQ3qkIPQAU9soxQ</t>
  </si>
  <si>
    <t>14290</t>
  </si>
  <si>
    <t>12088</t>
  </si>
  <si>
    <t>JGwLpge0Q7K8Ua59Pi5Wpg</t>
  </si>
  <si>
    <t>14292</t>
  </si>
  <si>
    <t>12089</t>
  </si>
  <si>
    <t>bjNmnk19TLeMB8iVQ26bLA</t>
  </si>
  <si>
    <t>14294-A</t>
  </si>
  <si>
    <t>CS3 TERMOTECNOLOGIA SP LTDA</t>
  </si>
  <si>
    <t>12115</t>
  </si>
  <si>
    <t>FT120F35</t>
  </si>
  <si>
    <t>a.jJ61aKTSVWnf9LmSii0Hw</t>
  </si>
  <si>
    <t>14294-B</t>
  </si>
  <si>
    <t>12116</t>
  </si>
  <si>
    <t>nv53MwzIRpeMd9wWEFWhyA</t>
  </si>
  <si>
    <t>14294-C</t>
  </si>
  <si>
    <t>12149/</t>
  </si>
  <si>
    <t>IEUji.yxRhysCLJCYZNuqw</t>
  </si>
  <si>
    <t>14296</t>
  </si>
  <si>
    <t>DE TUDO E MAIS UM POUCO PECAS E ACESSORIOS LTDA</t>
  </si>
  <si>
    <t>11882</t>
  </si>
  <si>
    <t>NlCg62nGSXuXmsFl1m-RTw</t>
  </si>
  <si>
    <t>14298</t>
  </si>
  <si>
    <t>ESTOQUE BOLHA - NS:11891-NS13851-NF9791</t>
  </si>
  <si>
    <t>OiFIVg5LTyWjR0bKd1ONzA</t>
  </si>
  <si>
    <t>14302</t>
  </si>
  <si>
    <t>ADRIANO SOARES GUMS</t>
  </si>
  <si>
    <t>12078</t>
  </si>
  <si>
    <t>ESTA CASO A MAQUINA INCENDIOU, ACORDO COM CLIENTE , PARA MINIMIZAR OS DANOS . MANDAR QUADRO DESLOCADO SOBREPOR</t>
  </si>
  <si>
    <t>c5akltozSWuIhG9rwFENAg</t>
  </si>
  <si>
    <t>14304-A</t>
  </si>
  <si>
    <t>8B00230924003137</t>
  </si>
  <si>
    <t>10035-10218</t>
  </si>
  <si>
    <t>h6sJqGl5Sf6vOWDk.XbiHw</t>
  </si>
  <si>
    <t>14304-B</t>
  </si>
  <si>
    <t>8B00230924003142</t>
  </si>
  <si>
    <t>vMte5m4MR-yr6ueHT-u6nQ</t>
  </si>
  <si>
    <t>14306</t>
  </si>
  <si>
    <t>R&amp;J MATERIAIS TERMICOS LTDA ME</t>
  </si>
  <si>
    <t>12118</t>
  </si>
  <si>
    <t>979MLZlcRCGAp33UCJcKWg</t>
  </si>
  <si>
    <t>14308</t>
  </si>
  <si>
    <t>PISCINAS MUNDIAL</t>
  </si>
  <si>
    <t>8B00230927003036</t>
  </si>
  <si>
    <t>wFQlzTcESwi3jyVswoc-qw</t>
  </si>
  <si>
    <t>14310</t>
  </si>
  <si>
    <t>FENSI INC EMPREENDIMENTOS LTDA</t>
  </si>
  <si>
    <t>12098</t>
  </si>
  <si>
    <t>ZDAKdKRDRQO3R.BUc9Rc.g</t>
  </si>
  <si>
    <t>14312-A</t>
  </si>
  <si>
    <t>FABIO RAFAEL DOS SANTOS RIGO</t>
  </si>
  <si>
    <t>MIE5956 - TW - EDSON DE MORAES VIEIRA  - 00933070985 - FORD / CARGA CAMINHAO / BRANCA / 2023</t>
  </si>
  <si>
    <t>VALOR NF R$ 128.000,00 VALOR TABELA R$ 66.085,65  DIF TABXNF R$ 61.914,35  IMPOSTO 17% R$ 10.525,44  DIFAL R$ 6.400,00 TOTAL R$ 83.011,09</t>
  </si>
  <si>
    <t>2025-01-10T00:00:00.000Z</t>
  </si>
  <si>
    <t>31diyy.pQc6xqrvS5.xZbg</t>
  </si>
  <si>
    <t>14312-B</t>
  </si>
  <si>
    <t>13880</t>
  </si>
  <si>
    <t>zaJD2dzDRXCKgT1lTjT8Vw</t>
  </si>
  <si>
    <t>14314</t>
  </si>
  <si>
    <t>LUMAR COMERCIO E MANUTENCAO DE MAQUINAS INDUSTRIAIS LTDA</t>
  </si>
  <si>
    <t>12102</t>
  </si>
  <si>
    <t>FATURAR ESTA MÁQUINA ATÉ O DIA 22/11</t>
  </si>
  <si>
    <t>sKFE5QSrTCe4xRNuBCUjMQ</t>
  </si>
  <si>
    <t>14316-A</t>
  </si>
  <si>
    <t>J L C JUNIOR STAGNUM</t>
  </si>
  <si>
    <t>12157</t>
  </si>
  <si>
    <t>1908 PJ</t>
  </si>
  <si>
    <t>CIF ATE SP. DE SP PARA O DEST. CIDADE DE CAMPINAS SP / CEP13092-902 SHOPPING IGUATEMI/ VILA BRANDINA .CLIENTE QUER COT DE FRETE COM A MLOG .DEGELO RESFRIAMENTO</t>
  </si>
  <si>
    <t>M.95a.uLScCWEsH-dyh83Q</t>
  </si>
  <si>
    <t>14316-B</t>
  </si>
  <si>
    <t>12107</t>
  </si>
  <si>
    <t>FT180L35T</t>
  </si>
  <si>
    <t>f3XK1n4qT8SHoMpKHhxtZA</t>
  </si>
  <si>
    <t>14316-C</t>
  </si>
  <si>
    <t>12108</t>
  </si>
  <si>
    <t>OLM1x8I2S9GXTfthn7crGw</t>
  </si>
  <si>
    <t>14316-D</t>
  </si>
  <si>
    <t>12109</t>
  </si>
  <si>
    <t>DC2zqAp3RrKSVFeWElj9qw</t>
  </si>
  <si>
    <t>14318</t>
  </si>
  <si>
    <t>12097</t>
  </si>
  <si>
    <t>CIF. OC 5456. AUT MARIO.ENTREGA ROD MARIO COVAS KM 458,7 SN GLEBA 12 PORTOGALO ANGRA DOS REIS CEP 23.917.010 LIGAR ANTES DE ENTREGAR</t>
  </si>
  <si>
    <t>8vY8Lte8TS29tQEkzYnRzg</t>
  </si>
  <si>
    <t>14320</t>
  </si>
  <si>
    <t>12100</t>
  </si>
  <si>
    <t>CIF,. OC 5458 . ENTREGAR AV EPITACIO PESSOA 670 APTO 501 IPANEMA RJ CEP 22.410.090 . LIGAR ANTES DE ENTREGAR</t>
  </si>
  <si>
    <t>F0lW6hJbTtOFKpttimzHwA</t>
  </si>
  <si>
    <t>14322</t>
  </si>
  <si>
    <t>12110</t>
  </si>
  <si>
    <t>CIF . OC 5459. ENTREGA ESTRADA LEOPOLDO FROES 208 SAO FRANCISCO NITEROI CEP 24.360.005 LIGAR ANTES DE ENTREGAR</t>
  </si>
  <si>
    <t>qxBtMdhPQBaYm9u6TcT.xw</t>
  </si>
  <si>
    <t>14327</t>
  </si>
  <si>
    <t>TIMBRE PARTICIPAÇÕES LTDA</t>
  </si>
  <si>
    <t>12119</t>
  </si>
  <si>
    <t>MÁQUINA BONIFICADA AUTORIZADO PELO MÁRIO PARA O PROPRIETÁRIO DA CONSTRUTORA LAER. ENDEREÇO DE ENTREGA O MESMO DO CADASTRO</t>
  </si>
  <si>
    <t>bi45mhCFTnGNewK1rgsKmg</t>
  </si>
  <si>
    <t>14329-A</t>
  </si>
  <si>
    <t>CARLOS ALBERTO ODORISSI</t>
  </si>
  <si>
    <t>12159</t>
  </si>
  <si>
    <t>BOLETO PARA 10/01/2024</t>
  </si>
  <si>
    <t>MdHGFb9LRXay-QJ.oAfeJA</t>
  </si>
  <si>
    <t>14329-B</t>
  </si>
  <si>
    <t>12124</t>
  </si>
  <si>
    <t>PLB6VmeLRQukEb99kF-Kkw</t>
  </si>
  <si>
    <t>14329-C</t>
  </si>
  <si>
    <t>12233</t>
  </si>
  <si>
    <t>x.lnwNFXSOqt9ifm6X4i.w</t>
  </si>
  <si>
    <t>14331</t>
  </si>
  <si>
    <t>12099</t>
  </si>
  <si>
    <t>FT60L35T</t>
  </si>
  <si>
    <t>CLIENTE EDUARDO STOCKER</t>
  </si>
  <si>
    <t>EKFVFkmNQ.6sVJR5Nzb9ZQ</t>
  </si>
  <si>
    <t>14333</t>
  </si>
  <si>
    <t>TECNOSOL</t>
  </si>
  <si>
    <t>12096</t>
  </si>
  <si>
    <t>6OPuIvqwRTWjtd3e3-WM8A</t>
  </si>
  <si>
    <t>14335</t>
  </si>
  <si>
    <t>12101</t>
  </si>
  <si>
    <t>CLIENTE RAFAEL</t>
  </si>
  <si>
    <t>LUtxveBVQrWD1NEC7r0Z2w</t>
  </si>
  <si>
    <t>14337</t>
  </si>
  <si>
    <t>12112</t>
  </si>
  <si>
    <t>AVISAR QUANDO PRONTO</t>
  </si>
  <si>
    <t>X.tDPxyoRDO4ZCqTu4SNNg</t>
  </si>
  <si>
    <t>14339-A</t>
  </si>
  <si>
    <t>12113</t>
  </si>
  <si>
    <t>hO3A0YOsQm-Om8Zz.J3iHg</t>
  </si>
  <si>
    <t>14339-B</t>
  </si>
  <si>
    <t>12114</t>
  </si>
  <si>
    <t>UcUDBr.dTiCvB6g-P61TyA</t>
  </si>
  <si>
    <t>14341</t>
  </si>
  <si>
    <t>AMANDA C. B. ZEN</t>
  </si>
  <si>
    <t>12123</t>
  </si>
  <si>
    <t>UuYAB4xVTd2tTkQV0oYJXQ</t>
  </si>
  <si>
    <t>14343</t>
  </si>
  <si>
    <t>10952</t>
  </si>
  <si>
    <t>CLIENTE MAISON BLANCHE - CONSTAR EM NF DESCONTO DE 10% AUTORIZADO PELO GV MÁRIO</t>
  </si>
  <si>
    <t>mv2r0rxARTCgs1HK74hpIA</t>
  </si>
  <si>
    <t>14345</t>
  </si>
  <si>
    <t>12120</t>
  </si>
  <si>
    <t>1907 PJ</t>
  </si>
  <si>
    <t>CLIENTE SPHERA CHA KLABIN - CONSTAR EM NF DESCONTO DE 10% AUT PELO GV MÁRIO</t>
  </si>
  <si>
    <t>EN5YfYoqRnebYtVvkLTvfg</t>
  </si>
  <si>
    <t>14347</t>
  </si>
  <si>
    <t>12146</t>
  </si>
  <si>
    <t>M1dPl4rjSiqf1MyDBuaZVw</t>
  </si>
  <si>
    <t>14350</t>
  </si>
  <si>
    <t>12121</t>
  </si>
  <si>
    <t>TRANSPORTADORA MINAS STAR OC 66526, CONSTAR NA OBS DA NF</t>
  </si>
  <si>
    <t>j1cYSXcbQGWQYpnKqL2iEA</t>
  </si>
  <si>
    <t>14352</t>
  </si>
  <si>
    <t>12122</t>
  </si>
  <si>
    <t>W605hAluQxKaIVxk33NfJg</t>
  </si>
  <si>
    <t>14354-A</t>
  </si>
  <si>
    <t>12261</t>
  </si>
  <si>
    <t>r6PAriy6T3uQaVZG47QjYQ</t>
  </si>
  <si>
    <t>14354-B</t>
  </si>
  <si>
    <t>12262</t>
  </si>
  <si>
    <t>FH80H60T</t>
  </si>
  <si>
    <t>HkNLzhTER8iBaIkJO-LmUA</t>
  </si>
  <si>
    <t>14356</t>
  </si>
  <si>
    <t>12128</t>
  </si>
  <si>
    <t>U6l09LkZSyOeS79vt0dV9Q</t>
  </si>
  <si>
    <t>14358-A</t>
  </si>
  <si>
    <t>12129</t>
  </si>
  <si>
    <t>ORDEM DE COMPRA 03388</t>
  </si>
  <si>
    <t>qeNHqyVWR9iIJd0Le8PuHQ</t>
  </si>
  <si>
    <t>14358-B</t>
  </si>
  <si>
    <t>12130</t>
  </si>
  <si>
    <t>kJFq.I.aTD2EzGH1OJjoDQ</t>
  </si>
  <si>
    <t>14358-C</t>
  </si>
  <si>
    <t>12131</t>
  </si>
  <si>
    <t>v6WrOfEpQpCYQ23H9HjQTA</t>
  </si>
  <si>
    <t>14361</t>
  </si>
  <si>
    <t>CARLOS ROBERTO DE SA GIMENES</t>
  </si>
  <si>
    <t>7422-H</t>
  </si>
  <si>
    <t>p.MnQ96PTyKs7uoZtsJV-g</t>
  </si>
  <si>
    <t>14363</t>
  </si>
  <si>
    <t>ADRIANA DA FONTE PORTO CARREIRO</t>
  </si>
  <si>
    <t>12181</t>
  </si>
  <si>
    <t>FxXq4uA3T6mTBDFLOVpQVg</t>
  </si>
  <si>
    <t>14365</t>
  </si>
  <si>
    <t>12133</t>
  </si>
  <si>
    <t>bEqZ2TuASX6SfxLJx.hWVw</t>
  </si>
  <si>
    <t>14367</t>
  </si>
  <si>
    <t>12134</t>
  </si>
  <si>
    <t>t20oJtZ8TFeMf1e5g4t3YA</t>
  </si>
  <si>
    <t>14369</t>
  </si>
  <si>
    <t>12135</t>
  </si>
  <si>
    <t>735u8ePtSN259sha3GwkZw</t>
  </si>
  <si>
    <t>14371</t>
  </si>
  <si>
    <t>12136</t>
  </si>
  <si>
    <t>FH40D60T</t>
  </si>
  <si>
    <t>USO PARTICULAR DA VERA - SEM NOTA FISCAL - CHEQUES  AUTORIZADO POR MÁRIO</t>
  </si>
  <si>
    <t>PQZLJipuRwiey9g35-Ap3g</t>
  </si>
  <si>
    <t>14374-A</t>
  </si>
  <si>
    <t>ECOVOLT ENGENHARIA ELETRICA LTDA</t>
  </si>
  <si>
    <t>12138</t>
  </si>
  <si>
    <t>1906 PJ</t>
  </si>
  <si>
    <t>TRANSPORTADORA EXPRESSO RAQUEL</t>
  </si>
  <si>
    <t>3BjTn0fyQW2rQAQ6AgNXKA</t>
  </si>
  <si>
    <t>14374-B</t>
  </si>
  <si>
    <t>12139</t>
  </si>
  <si>
    <t>KIk3pxoTRaqBs7bS.SKgJw</t>
  </si>
  <si>
    <t>14374-C</t>
  </si>
  <si>
    <t>12140</t>
  </si>
  <si>
    <t>KAXZP7.VT5uyLU7QLjOySw</t>
  </si>
  <si>
    <t>14374-D</t>
  </si>
  <si>
    <t>12141</t>
  </si>
  <si>
    <t>C-EO2iKvQiuq4E7ur0Ig1w</t>
  </si>
  <si>
    <t>14376</t>
  </si>
  <si>
    <t>LUZIANNA ADMINISTRADORA E INCORPORADORA DE IMOVEIS LTDA</t>
  </si>
  <si>
    <t>12132</t>
  </si>
  <si>
    <t>ENTRADA DE 50%+BOLETO PARA 30 DIAS</t>
  </si>
  <si>
    <t>9QvkPg-JTsaoWtDkIqIOsQ</t>
  </si>
  <si>
    <t>14378</t>
  </si>
  <si>
    <t>11724</t>
  </si>
  <si>
    <t>TRANSPORTADORA EXPRESSO RAQUEL ENTRADA R$ 3.000,00 RESTANTE DE 2X 60 /60</t>
  </si>
  <si>
    <t>ESTOQUE</t>
  </si>
  <si>
    <t>kabyFPGiQ4eZnpx3m6wvyQ</t>
  </si>
  <si>
    <t>14381</t>
  </si>
  <si>
    <t>12143</t>
  </si>
  <si>
    <t>PEDIDO FABIO EMMERENCIANO - DESCONTO ESPECIAL DE 8%</t>
  </si>
  <si>
    <t>fMlAxc7kReu9A4sIdrdalg</t>
  </si>
  <si>
    <t>14383</t>
  </si>
  <si>
    <t>12144</t>
  </si>
  <si>
    <t>PEDIDO 12988 - NE CONSTRUTORA - DESCONTO EXTRA DE 8%</t>
  </si>
  <si>
    <t>bFp-.n4cSbWwrJikyoTKyQ</t>
  </si>
  <si>
    <t>14385</t>
  </si>
  <si>
    <t>12145</t>
  </si>
  <si>
    <t>czA2HteqS7Oppd5Es3rH8w</t>
  </si>
  <si>
    <t>14387</t>
  </si>
  <si>
    <t>8B00230927003017</t>
  </si>
  <si>
    <t>6sSxc18RTami7WUOCb1N2w</t>
  </si>
  <si>
    <t>14390</t>
  </si>
  <si>
    <t>MD ELETROTECNICA</t>
  </si>
  <si>
    <t>12166</t>
  </si>
  <si>
    <t>REDESPACHO RADLOG LOCAL DE ENTREGA: ACQUA LIVE 3 ACADEMIA DE NATACAO E HIDROGINASTICA0 - ENDEREÇO Q SGAN 906 , CONJ C ASA NORTE , CEP 70.790-060</t>
  </si>
  <si>
    <t>9sxGZa.ZQ.if8caqlKfgtA</t>
  </si>
  <si>
    <t>14392</t>
  </si>
  <si>
    <t>12156</t>
  </si>
  <si>
    <t>FT120D35T</t>
  </si>
  <si>
    <t>J9BCs6zCQyiIOOkBBrzjKA</t>
  </si>
  <si>
    <t>14394-A</t>
  </si>
  <si>
    <t>LIMPA MAIS PISCINAS LTDA</t>
  </si>
  <si>
    <t>12161</t>
  </si>
  <si>
    <t>RllyiwwGS0ODjvAEMSD4gw</t>
  </si>
  <si>
    <t>14394-B</t>
  </si>
  <si>
    <t>12162</t>
  </si>
  <si>
    <t>3iEaziijSGKmt1KWmZDAvQ</t>
  </si>
  <si>
    <t>14394-C</t>
  </si>
  <si>
    <t>12163</t>
  </si>
  <si>
    <t>tTSgl1ToQSWSl6VtM7SAFw</t>
  </si>
  <si>
    <t>14394-D</t>
  </si>
  <si>
    <t>12164</t>
  </si>
  <si>
    <t>5bBl-c9HQtirnu.Z3h4aug</t>
  </si>
  <si>
    <t>14396</t>
  </si>
  <si>
    <t>12147</t>
  </si>
  <si>
    <t>0q6CGnazSXWaocV.wY1JRw</t>
  </si>
  <si>
    <t>14400</t>
  </si>
  <si>
    <t>PEROLA AZUL PISCINAS</t>
  </si>
  <si>
    <t>12167</t>
  </si>
  <si>
    <t>Tot0pQ56SCqmpVgxRPISBg</t>
  </si>
  <si>
    <t>14402</t>
  </si>
  <si>
    <t>12148</t>
  </si>
  <si>
    <t>MERCADO LIVRE</t>
  </si>
  <si>
    <t>PEDIDO DE COMPRA Nº 4607 - DESC. 10% + 3%  ML -- VOCÊ FATURA E NOS AVISA (SE ATENTAR À DATA LIMITE 30/11) - ENVIAMOS A ETIQUETA DO ML PARA COLAR NA CAIXA</t>
  </si>
  <si>
    <t>UTgV3B3FSemDwrskDyTQhw</t>
  </si>
  <si>
    <t>14404</t>
  </si>
  <si>
    <t>12024</t>
  </si>
  <si>
    <t>PEDIDO DE COMPRA Nº 4672 - DESC. 10% + 3% AUT GV MÁRIO DESCONTAR DO CRÉDITO DE DEVOLUÇÃO</t>
  </si>
  <si>
    <t>MRZGd5CWSHSF193amTxVVQ</t>
  </si>
  <si>
    <t>14406</t>
  </si>
  <si>
    <t>12165</t>
  </si>
  <si>
    <t>1910 - PJ</t>
  </si>
  <si>
    <t>CSstkl.lQu69NYlzrrdZLg</t>
  </si>
  <si>
    <t>14408</t>
  </si>
  <si>
    <t>CLEISLA DIAS FERREIRA - PB SAUNAS AQUECIMENTO</t>
  </si>
  <si>
    <t>11619</t>
  </si>
  <si>
    <t>CAMPINENSE</t>
  </si>
  <si>
    <t>fh6S8wstRzq5i6cnxXBhnA</t>
  </si>
  <si>
    <t>14410</t>
  </si>
  <si>
    <t>CLARA BEZERRA DE MEDEIROS</t>
  </si>
  <si>
    <t>12075</t>
  </si>
  <si>
    <t>VENDA INDICADA POR AGUAS E VAPORES - PARNAMIRIM - RN</t>
  </si>
  <si>
    <t>CeSJk5YJQnWroZ6QxUARHw</t>
  </si>
  <si>
    <t>14412</t>
  </si>
  <si>
    <t>IRMÃOS MARQUES COMÉRCIO E SERVIÇOS LTDA</t>
  </si>
  <si>
    <t>12195</t>
  </si>
  <si>
    <t>VFy0LCS9T7SOgcuQtXs6UA</t>
  </si>
  <si>
    <t>14414</t>
  </si>
  <si>
    <t>12171</t>
  </si>
  <si>
    <t>ENVIAR JUNTO 2 QUADROS DESLOCADOS(SOMENTE A CAIXA)</t>
  </si>
  <si>
    <t>Rd2pmf6bRkKaApOVVcJwdQ</t>
  </si>
  <si>
    <t>14416</t>
  </si>
  <si>
    <t>12172</t>
  </si>
  <si>
    <t>8x9HLXyGQsO1rZ1bv6Yznw</t>
  </si>
  <si>
    <t>14418</t>
  </si>
  <si>
    <t>12155</t>
  </si>
  <si>
    <t>1909 - PJ</t>
  </si>
  <si>
    <t>PEDIDO GUILHERME</t>
  </si>
  <si>
    <t>lkawpCFMTyWG1beFsWf86g</t>
  </si>
  <si>
    <t>14420</t>
  </si>
  <si>
    <t>12191</t>
  </si>
  <si>
    <t>dJ-e4E9wST6rjnkqC-tAYA</t>
  </si>
  <si>
    <t>14422</t>
  </si>
  <si>
    <t>JACSON COMÉRCIO DE PISCINAS E JARDINS LTDA.</t>
  </si>
  <si>
    <t>12152</t>
  </si>
  <si>
    <t>kp35g5Z7SfmeD9huc8xEQg</t>
  </si>
  <si>
    <t>14424</t>
  </si>
  <si>
    <t>12178</t>
  </si>
  <si>
    <t>AUTORIZADO PELO MÁRIO</t>
  </si>
  <si>
    <t>J3mWbKMHTLyAcbabRfy43A</t>
  </si>
  <si>
    <t>14428</t>
  </si>
  <si>
    <t>QUIMIPOOL COMERCIO DE PRODUTOS PARA PISCINAS E SERVICOS LTDA</t>
  </si>
  <si>
    <t>12173</t>
  </si>
  <si>
    <t>FT100J35</t>
  </si>
  <si>
    <t>O PAINEL PDX SERÁ DESLOCADO DA MÁQUINA</t>
  </si>
  <si>
    <t>UGohlZDnSbuuJxzlevCpYg</t>
  </si>
  <si>
    <t>14430</t>
  </si>
  <si>
    <t>JRG CONSTRUÇÕES LTDA - ME</t>
  </si>
  <si>
    <t>12080</t>
  </si>
  <si>
    <t>G.55-MUpS02wpf-.TxLC0A</t>
  </si>
  <si>
    <t>14432-A</t>
  </si>
  <si>
    <t>11900</t>
  </si>
  <si>
    <t>CIF. OC 5432. ENTREGAR : RUA SOLDADO BENTO DE ABREU 70 BARRA DA TIJUCA RJ CEP 22 640 290</t>
  </si>
  <si>
    <t>sTw72YAcSSi-ZOGyxFY7Cg</t>
  </si>
  <si>
    <t>14432-B</t>
  </si>
  <si>
    <t>12154</t>
  </si>
  <si>
    <t>twvtAWJ1Szim0-HO83Q80A</t>
  </si>
  <si>
    <t>14434</t>
  </si>
  <si>
    <t>12174</t>
  </si>
  <si>
    <t>upDeOBzDSHOZ5xeJVYlgSA</t>
  </si>
  <si>
    <t>14436</t>
  </si>
  <si>
    <t>12175</t>
  </si>
  <si>
    <t>FT100F35</t>
  </si>
  <si>
    <t>LI9rO5XkQFe3ixl8fomM4w</t>
  </si>
  <si>
    <t>14438-A</t>
  </si>
  <si>
    <t>12169</t>
  </si>
  <si>
    <t>REDESPACHO PELA VT TRANSPORTES.</t>
  </si>
  <si>
    <t>Pao-CxkCTOazqGwJyH7jQw</t>
  </si>
  <si>
    <t>14438-B</t>
  </si>
  <si>
    <t>12170</t>
  </si>
  <si>
    <t>cjBArJlyTbmnxFA0yCIqHQ</t>
  </si>
  <si>
    <t>14440</t>
  </si>
  <si>
    <t>CASA DA PISCINA E PRODUTOS PETS LTDA</t>
  </si>
  <si>
    <t>12176</t>
  </si>
  <si>
    <t>BYoYRp29SWOi3y4I776eug</t>
  </si>
  <si>
    <t>14442</t>
  </si>
  <si>
    <t>FAP PISCINAS LTDA. - ME</t>
  </si>
  <si>
    <t>7422-D</t>
  </si>
  <si>
    <t>dgLeiCKNSzGg68Xs-uGXfg</t>
  </si>
  <si>
    <t>14446</t>
  </si>
  <si>
    <t>PISCINA E LAZER GUARATUBA</t>
  </si>
  <si>
    <t>11625</t>
  </si>
  <si>
    <t>ENTREGA PELO BARRACÃO DA BOLHA - NS 13308G- NF 9493</t>
  </si>
  <si>
    <t>0KlvwKafSC2O94QlgFLNtg</t>
  </si>
  <si>
    <t>14448</t>
  </si>
  <si>
    <t>DR DAS AGUAS</t>
  </si>
  <si>
    <t>MÁQUINA PARA SHOWROOM EM PRONTA ENTREGA. FRETE CIF (CLIENTE PAGARÁ O FRETE QUANDO VENDER A MÁQUINA). AUTORIZADO PELO MÁRIO // DEVOL OS - 2547, OP -12177</t>
  </si>
  <si>
    <t>lTUMipJTR6-mjbZ.nke4oA</t>
  </si>
  <si>
    <t>14450-A</t>
  </si>
  <si>
    <t>COND HORIZONTAL DE LOTES PLAYA VISTA</t>
  </si>
  <si>
    <t>12106</t>
  </si>
  <si>
    <t>1915 - PJ</t>
  </si>
  <si>
    <t>VALOR NF R$ 76.300,00  VALOR TABELA R$ 40.043,29  DIF TABXNF R$ 36.256,71  IMPOSTO 17% R$ 6.163,64  DIFAL R$ 3.815,00 TOTAL R$ 50.021,93</t>
  </si>
  <si>
    <t>bao-Cz3yTHKRw2PLSx.HNw</t>
  </si>
  <si>
    <t>14450-B</t>
  </si>
  <si>
    <t>12158</t>
  </si>
  <si>
    <t>mvDqb8FWQjC2Y4lr-A6q5w</t>
  </si>
  <si>
    <t>14452</t>
  </si>
  <si>
    <t>12240</t>
  </si>
  <si>
    <t>TRANSPORTADORA MINAS STAR DESCONTO CONCEDIDO 40% + 10%</t>
  </si>
  <si>
    <t>mzVcLyoQQ4aM4aAf6gRWSA</t>
  </si>
  <si>
    <t>14454</t>
  </si>
  <si>
    <t>8B00230927003044</t>
  </si>
  <si>
    <t>CLIENTE ALEXANDRE RODRIGUES - CONSTAR EM NF COMPRA PRÉ-VENDA (DESCONTO ADICIONAL DE 10% AUT PELO GV MÁRIO)</t>
  </si>
  <si>
    <t>c.Z0LdFsTayO4sgoYiyL8g</t>
  </si>
  <si>
    <t>14456</t>
  </si>
  <si>
    <t>PELA BOLHA AZUL - NS 13851-NF 9790- OP 11888</t>
  </si>
  <si>
    <t>EfMFY9QpQrOXlvORhNLiOQ</t>
  </si>
  <si>
    <t>14467</t>
  </si>
  <si>
    <t>11624</t>
  </si>
  <si>
    <t>3WzLj.DYSjKBoCWdvucZ2Q</t>
  </si>
  <si>
    <t>14472</t>
  </si>
  <si>
    <t>PHD PISCINAS LTDA</t>
  </si>
  <si>
    <t>7266</t>
  </si>
  <si>
    <t>SmJ23F7hQTOGO9FzTcvNXw</t>
  </si>
  <si>
    <t>HIDRAULICA JABO</t>
  </si>
  <si>
    <t>12182</t>
  </si>
  <si>
    <t>aleajWPHQOitUdEvizxZtA</t>
  </si>
  <si>
    <t>14474-A</t>
  </si>
  <si>
    <t>MAXITEMP SISTEMAS DE AQUECIMENTO EIRELI</t>
  </si>
  <si>
    <t>12184</t>
  </si>
  <si>
    <t>uSpLNZ8URYaRcstOqtZhjQ</t>
  </si>
  <si>
    <t>14474-B</t>
  </si>
  <si>
    <t>12185</t>
  </si>
  <si>
    <t>XqLtiAY3SbKBya6k2ZQThQ</t>
  </si>
  <si>
    <t>14474-C</t>
  </si>
  <si>
    <t>10616</t>
  </si>
  <si>
    <t>Qa-ojIw1SmOV-43b3.EY0A</t>
  </si>
  <si>
    <t>14476</t>
  </si>
  <si>
    <t>MARETTI GARDEN CENTER LTDA</t>
  </si>
  <si>
    <t>12186</t>
  </si>
  <si>
    <t>FRETE CIF. EMPRESA PERTENCENTE AO GRUPO CASA E VERDE.</t>
  </si>
  <si>
    <t>ff2cvbB9SKq2C2R4bnDm2Q</t>
  </si>
  <si>
    <t>14480</t>
  </si>
  <si>
    <t>8B00230927003034</t>
  </si>
  <si>
    <t>10075-10232</t>
  </si>
  <si>
    <t>TRANSPORTADORA TRANFORT SÃO PAULO</t>
  </si>
  <si>
    <t>rbMVRWRbSGqVOLrf5dU7xw</t>
  </si>
  <si>
    <t>14482</t>
  </si>
  <si>
    <t>12239</t>
  </si>
  <si>
    <t>HZwAkipgSG28Z5pL6rSOXA</t>
  </si>
  <si>
    <t>14484</t>
  </si>
  <si>
    <t>GM FIBRAS IRATI LTDA</t>
  </si>
  <si>
    <t>rxBfpWYESgutd0h17MbXUw</t>
  </si>
  <si>
    <t>14486</t>
  </si>
  <si>
    <t>12241</t>
  </si>
  <si>
    <t>PQQIoixKRde7zKMpraP4-w</t>
  </si>
  <si>
    <t>14488</t>
  </si>
  <si>
    <t>8B00230924003102</t>
  </si>
  <si>
    <t>10045-10286</t>
  </si>
  <si>
    <t>DICA - TRANSPORTE</t>
  </si>
  <si>
    <t>febA9z..T42xCcIsCoucNA</t>
  </si>
  <si>
    <t>14490</t>
  </si>
  <si>
    <t>8B00230924003105</t>
  </si>
  <si>
    <t>bri1tc6SR12R2jziDuN9OA</t>
  </si>
  <si>
    <t>14492-A</t>
  </si>
  <si>
    <t>12187</t>
  </si>
  <si>
    <t>MGB107LQR0e6ZU.KuHJK1g</t>
  </si>
  <si>
    <t>14492-B</t>
  </si>
  <si>
    <t>EQUIPAMENTOS DEVOLVIDOS NO DIA 02/10/24 - OS 2748, PRESENTES GIULIANO JAIR, A DEVOLUÇÃO NÃO TINHA O.S NO MOMENTO FOI APROVADA PELO MÁRIO, MOTIVO NÃO PAGAMENTO DOS EQUIPAMENTOS, APENAS 2 VOLUMES FORAM DEVOLVIDOS, E A NF CONSTAVA COM CFOP ERRADO - 12188</t>
  </si>
  <si>
    <t>EQUIPAMENTOS DEVOLVIDOS NO DIA 02/10/24 - OS 2748, PRESENTES GIULIANO JAIR, A DEVOLUÇÃO NÃO TINHA O.S NO MOMENTO FOI APROVADA PELO MÁRIO, MOTIVO NÃO PAGAMENTO DOS EQUIPAMENTOS, APENAS 2 VOLUMES FORAM DEVOLVIDOS, E A NF CONSTAVA COM CFOP ERRADO</t>
  </si>
  <si>
    <t>PyVjDyLaScmNyCNFGnQcbg</t>
  </si>
  <si>
    <t>14492-C</t>
  </si>
  <si>
    <t>12189</t>
  </si>
  <si>
    <t>wH0XaniNQ367BykzXo60Ew</t>
  </si>
  <si>
    <t>14492-D</t>
  </si>
  <si>
    <t>12190</t>
  </si>
  <si>
    <t>Ech.jCftTyqCmSSLQTIt2A</t>
  </si>
  <si>
    <t>14492-E</t>
  </si>
  <si>
    <t>EQUIPAMENTOS DEVOLVIDOS NO DIA 02/10/24 - OS 2748, PRESENTES GIULIANO JAIR, A DEVOLUÇÃO NÃO TINHA O.S NO MOMENTO FOI APROVADA PELO MÁRIO, MOTIVO NÃO PAGAMENTO DOS EQUIPAMENTOS, APENAS 2 VOLUMES FORAM DEVOLVIDOS, E A NF CONSTAVA COM CFOP ERRADO - 12074</t>
  </si>
  <si>
    <t>a-V2uwfdATPS9j3jfsBRFBw</t>
  </si>
  <si>
    <t>14494</t>
  </si>
  <si>
    <t>AGUA E SOL</t>
  </si>
  <si>
    <t>12192</t>
  </si>
  <si>
    <t>Rw4IovSfR4CxWTJF1IgbyA</t>
  </si>
  <si>
    <t>14496-A</t>
  </si>
  <si>
    <t>12198</t>
  </si>
  <si>
    <t>MÁQUINAS PARA SHOWROOM E PRONTA-ENTREGA NA LOJA. CLIENTE PARCEIRO. AUTORIZADO PELO MÁRIO. ENVIAR COM FRETE CIF (COBRAR O FRETE QUANDO CLIENTE EFETIVAR A VENDA)</t>
  </si>
  <si>
    <t>M8OVkSxPRoGlRU3Ilk37CA</t>
  </si>
  <si>
    <t>14496-B</t>
  </si>
  <si>
    <t>12180</t>
  </si>
  <si>
    <t>HUxgGNudQ22XadOwEU-Vgw</t>
  </si>
  <si>
    <t>14498-A</t>
  </si>
  <si>
    <t>SWIMFLORIPA GESTAO ESPORTIVA LTDA</t>
  </si>
  <si>
    <t>12214</t>
  </si>
  <si>
    <t>FH240L60T</t>
  </si>
  <si>
    <t>ENTRADA DE R$ 60.346,73 IMEDIATA. SALDO EM 4X DE R$ 50.000,00 - 10/12, 10/01, 10/02, 10/03</t>
  </si>
  <si>
    <t>JJ01erwtSe-41VHfH7qDmw</t>
  </si>
  <si>
    <t>14498-B</t>
  </si>
  <si>
    <t>12215</t>
  </si>
  <si>
    <t>nLyEZixJSCCSDTgCpJjf3g</t>
  </si>
  <si>
    <t>14498-C</t>
  </si>
  <si>
    <t>12216</t>
  </si>
  <si>
    <t>a.InHlp9ZTDuvB9QE-cfgcg</t>
  </si>
  <si>
    <t>14498-D</t>
  </si>
  <si>
    <t>12217</t>
  </si>
  <si>
    <t>bVYL7GO6TKOUxagabta1zQ</t>
  </si>
  <si>
    <t>14498-E</t>
  </si>
  <si>
    <t>12218</t>
  </si>
  <si>
    <t>PWT8RUM5RF-qU.9NoTtUFw</t>
  </si>
  <si>
    <t>14498-F</t>
  </si>
  <si>
    <t>12219</t>
  </si>
  <si>
    <t>BZyGfFkDReCTEt3lptsK1w</t>
  </si>
  <si>
    <t>14498-G</t>
  </si>
  <si>
    <t>12220</t>
  </si>
  <si>
    <t>N5Jae5cpQ-iXcVJOKma-RA</t>
  </si>
  <si>
    <t>14498-H</t>
  </si>
  <si>
    <t>12221</t>
  </si>
  <si>
    <t>AG1Ig1pRS9m8GgyW2GXpRg</t>
  </si>
  <si>
    <t>14502</t>
  </si>
  <si>
    <t>12194</t>
  </si>
  <si>
    <t>QMCvb6edQM6sUX19tMeNvQ</t>
  </si>
  <si>
    <t>14504</t>
  </si>
  <si>
    <t>SOLARINI SERVIÇOS ELETRICOS LTDA</t>
  </si>
  <si>
    <t>8B00230927003029</t>
  </si>
  <si>
    <t>ihSFehOORYCPoq.PKmlvLw</t>
  </si>
  <si>
    <t>14509</t>
  </si>
  <si>
    <t>12179</t>
  </si>
  <si>
    <t>0uD3aCN6QROygKXjsB7oOw</t>
  </si>
  <si>
    <t>14511</t>
  </si>
  <si>
    <t>8B00230927003030</t>
  </si>
  <si>
    <t>qzFZxVmeSr-x7YE9DK8Bkg</t>
  </si>
  <si>
    <t>14513-A</t>
  </si>
  <si>
    <t>PEDIDO PARA SUBSITUR FTI75 PROMETIDA PARA DEZEMBRO</t>
  </si>
  <si>
    <t>a-GfCQdwLTZuzuokqLllpMA</t>
  </si>
  <si>
    <t>14513-B</t>
  </si>
  <si>
    <t>12193</t>
  </si>
  <si>
    <t>ub6vTsokQ4m.czYUUFuUPg</t>
  </si>
  <si>
    <t>14515</t>
  </si>
  <si>
    <t>RS PISCINAS - BRENDA SANTOS</t>
  </si>
  <si>
    <t>12208</t>
  </si>
  <si>
    <t>EXPRESSO LEOMAR</t>
  </si>
  <si>
    <t>L6wnfbvqRxSWmYpbFxUzhQ</t>
  </si>
  <si>
    <t>14517</t>
  </si>
  <si>
    <t>11892</t>
  </si>
  <si>
    <t>PELA BOLHA AZUL - FT60-OP-11892-NF9846-NS 13851 - FT 70 -NF 8906-NS:12019J</t>
  </si>
  <si>
    <t>M5ZgGGnfRnWTOYh7lMI6gw</t>
  </si>
  <si>
    <t>14520</t>
  </si>
  <si>
    <t>12196</t>
  </si>
  <si>
    <t>i2EhBGjnTFaWKQfowBxz0g</t>
  </si>
  <si>
    <t>14522</t>
  </si>
  <si>
    <t>PISCINAS HIDROTEC LTDA</t>
  </si>
  <si>
    <t>eGI8RDBHR4SHqDNBLp1LEA</t>
  </si>
  <si>
    <t>14524</t>
  </si>
  <si>
    <t>10907</t>
  </si>
  <si>
    <t>FT70D35T</t>
  </si>
  <si>
    <t>PELA BOLHA -NS:12019J- NF8906</t>
  </si>
  <si>
    <t>fETM9trRSmO9wRyd6DrjFA</t>
  </si>
  <si>
    <t>14528</t>
  </si>
  <si>
    <t>FT120B35T</t>
  </si>
  <si>
    <t>EMPRÉSTIMO, ATÉ A FTI DO PEDIDO 14099 CHEGAR END. ENTREGA: R. MARQUÊS DO HERVAL, 528 - SOSSEGO CEP 98801-640 SANTO ÂNGELO/RS // OP ORIGINAL 12197</t>
  </si>
  <si>
    <t>2NlgvrL0Rwyq0w0ZrP-EqQ</t>
  </si>
  <si>
    <t>14530-A</t>
  </si>
  <si>
    <t>12201</t>
  </si>
  <si>
    <t>lLqs7HyvTbyAcDRKBi5brA</t>
  </si>
  <si>
    <t>14530-B</t>
  </si>
  <si>
    <t>12202</t>
  </si>
  <si>
    <t>FDmSk4maRwGCy.z2YhsE4Q</t>
  </si>
  <si>
    <t>14530-C</t>
  </si>
  <si>
    <t>12203</t>
  </si>
  <si>
    <t>pd7ZSSCsTgWCKD.gCk6T2Q</t>
  </si>
  <si>
    <t>14530-D</t>
  </si>
  <si>
    <t>12204</t>
  </si>
  <si>
    <t>fiVkYSe-QFekNNJM1NSPOw</t>
  </si>
  <si>
    <t>14530-E</t>
  </si>
  <si>
    <t>12205</t>
  </si>
  <si>
    <t>BrjsNh.dS0qmEawWH.W1Pw</t>
  </si>
  <si>
    <t>14530-F</t>
  </si>
  <si>
    <t>12206</t>
  </si>
  <si>
    <t>4jS6CxwyQOemk06QexioVQ</t>
  </si>
  <si>
    <t>14530-G</t>
  </si>
  <si>
    <t>12207</t>
  </si>
  <si>
    <t>doSBNC1.SnKiZIgkxYCPWw</t>
  </si>
  <si>
    <t>14534</t>
  </si>
  <si>
    <t>PABLO MENDONÇA</t>
  </si>
  <si>
    <t>ZYdKDfS.Swu60tDPSu4Erg</t>
  </si>
  <si>
    <t>14538-A</t>
  </si>
  <si>
    <t>MASTER PISCINAS LTDA</t>
  </si>
  <si>
    <t>12222</t>
  </si>
  <si>
    <t>J47yMiWBSSiL2sd.-MdLPw</t>
  </si>
  <si>
    <t>14538-B</t>
  </si>
  <si>
    <t>11044</t>
  </si>
  <si>
    <t>tXDx15g9RcadKiuuoyYHLg</t>
  </si>
  <si>
    <t>14538-C</t>
  </si>
  <si>
    <t>11815</t>
  </si>
  <si>
    <t>BYHwqRJ3RGi1pF4w.N4knQ</t>
  </si>
  <si>
    <t>14540</t>
  </si>
  <si>
    <t>12200</t>
  </si>
  <si>
    <t>gaIhWUWHTFWU9GuykF-iWw</t>
  </si>
  <si>
    <t>14544-A</t>
  </si>
  <si>
    <t>12210</t>
  </si>
  <si>
    <t>1914 - PJ</t>
  </si>
  <si>
    <t>CLIENTE: GLOBAL</t>
  </si>
  <si>
    <t>4-LnByzmRkaMcY1JI8qoiw</t>
  </si>
  <si>
    <t>14544-B</t>
  </si>
  <si>
    <t>12211</t>
  </si>
  <si>
    <t>sblHcoGFRJWJP789d79N5A</t>
  </si>
  <si>
    <t>14548</t>
  </si>
  <si>
    <t>12213</t>
  </si>
  <si>
    <t>PWcI6WdbQLCShDgqsNnOzg</t>
  </si>
  <si>
    <t>14551-A</t>
  </si>
  <si>
    <t>8B00231215003226</t>
  </si>
  <si>
    <t>gmjtEumCROWeg5yBrL4-pA</t>
  </si>
  <si>
    <t>14551-B</t>
  </si>
  <si>
    <t>8B00231215003228</t>
  </si>
  <si>
    <t>wFOjSe4bQR-dZc1vC4kjdg</t>
  </si>
  <si>
    <t>14551-C</t>
  </si>
  <si>
    <t>8B00231215003236</t>
  </si>
  <si>
    <t>WYVl65TTTDSoIjom.ERtvA</t>
  </si>
  <si>
    <t>14551-D</t>
  </si>
  <si>
    <t>8B00231215003227</t>
  </si>
  <si>
    <t>BQWCeMR6TKmQ03NMJSCyaA</t>
  </si>
  <si>
    <t>14551-E</t>
  </si>
  <si>
    <t>8B00231215003231</t>
  </si>
  <si>
    <t>o.8H1475RKCO45OEMAa4fg</t>
  </si>
  <si>
    <t>14553</t>
  </si>
  <si>
    <t>12235</t>
  </si>
  <si>
    <t>MARIO LIBEROU PRIORIDADE NESSE PEDIDO, PEDIDO VAI SAIR NO DIA  11/12/2023</t>
  </si>
  <si>
    <t>4OI2BsjCSA2E3fB8Qy2OVQ</t>
  </si>
  <si>
    <t>14555</t>
  </si>
  <si>
    <t>12225</t>
  </si>
  <si>
    <t>L4W-QlNBTzS6Dk9Hn6M73A</t>
  </si>
  <si>
    <t>14557-A</t>
  </si>
  <si>
    <t>12226</t>
  </si>
  <si>
    <t>xCSh4CcXTx6iv.QL3wnAVQ</t>
  </si>
  <si>
    <t>14557-B</t>
  </si>
  <si>
    <t>12227</t>
  </si>
  <si>
    <t>wyNdC9dtQryZ90RbnenrQw</t>
  </si>
  <si>
    <t>14559</t>
  </si>
  <si>
    <t>CONNECTA AQUECIMENTO SOLAR E HIDRAULICA EIRELI</t>
  </si>
  <si>
    <t>8B00230927003076</t>
  </si>
  <si>
    <t>AhKIGN3NRcq5dpc2OTHY2w</t>
  </si>
  <si>
    <t>14561</t>
  </si>
  <si>
    <t>12006</t>
  </si>
  <si>
    <t>dKjCpE2.T1KWd19dBXB9XA</t>
  </si>
  <si>
    <t>14563</t>
  </si>
  <si>
    <t>12228</t>
  </si>
  <si>
    <t>dZvpfApQSf6qru6rsuiIkA</t>
  </si>
  <si>
    <t>14565-A</t>
  </si>
  <si>
    <t>8B00230924003162</t>
  </si>
  <si>
    <t>COMPRA DE PRÉ-VENDA DEZEMBRO 23(ENTREGA NA 1° REMESSA) - 8B00230924003138</t>
  </si>
  <si>
    <t>i6t.CmrGTlSuW7VKdBTTew</t>
  </si>
  <si>
    <t>14565-b</t>
  </si>
  <si>
    <t>8B00230924003116</t>
  </si>
  <si>
    <t>COMPRA DE PRÉ-VENDA DEZEMBRO 23(ENTREGA NA 1° REMESSA)</t>
  </si>
  <si>
    <t>S0e5RTz5RSWYtbOj2u4jDw</t>
  </si>
  <si>
    <t>14565-c</t>
  </si>
  <si>
    <t>8B00230924003151</t>
  </si>
  <si>
    <t>aqRoziRiQJKoP4-snw78dw</t>
  </si>
  <si>
    <t>14565-d</t>
  </si>
  <si>
    <t>8B00230924003104</t>
  </si>
  <si>
    <t>EDIbyCoeQ1e-fFtP4qJieA</t>
  </si>
  <si>
    <t>14565-E</t>
  </si>
  <si>
    <t>8B00230927003032</t>
  </si>
  <si>
    <t>hi2LxFAQQ5SupEE3KN4A8A</t>
  </si>
  <si>
    <t>14565-F</t>
  </si>
  <si>
    <t>8B00230927003014</t>
  </si>
  <si>
    <t>frQmUepbSYymZUKJ-OYCmQ</t>
  </si>
  <si>
    <t>14565-G</t>
  </si>
  <si>
    <t>8B00230927003063</t>
  </si>
  <si>
    <t>IVoxwN89Q0ub9qHGZkLcFA</t>
  </si>
  <si>
    <t>14565-H</t>
  </si>
  <si>
    <t>8B00230927003033</t>
  </si>
  <si>
    <t>WSa.s77FTqCMkerm8sLH7A</t>
  </si>
  <si>
    <t>14567</t>
  </si>
  <si>
    <t>12229</t>
  </si>
  <si>
    <t>aYhQBZVISKudTlI3oUS5hg</t>
  </si>
  <si>
    <t>14569</t>
  </si>
  <si>
    <t>8B00230927003124</t>
  </si>
  <si>
    <t>sb70Jp9JSj-27tuP2jdKIQ</t>
  </si>
  <si>
    <t>14572</t>
  </si>
  <si>
    <t>12230</t>
  </si>
  <si>
    <t>CyhGt6YqTOi8z5TqP0Y4UA</t>
  </si>
  <si>
    <t>14574</t>
  </si>
  <si>
    <t>12231</t>
  </si>
  <si>
    <t>CLIENTE: CLARICE CARRÃO</t>
  </si>
  <si>
    <t>fstDqZbkRtiscjgUQ1DhNg</t>
  </si>
  <si>
    <t>14576</t>
  </si>
  <si>
    <t>8B00230927003053</t>
  </si>
  <si>
    <t>l07tWR6wQf2YpcpX87eT.w</t>
  </si>
  <si>
    <t>14578</t>
  </si>
  <si>
    <t>SERÁ RETIRADA DO ESTOQUE CURITIBA</t>
  </si>
  <si>
    <t>trPuKLKsQ4GY2YX7zWJWvA</t>
  </si>
  <si>
    <t>14580</t>
  </si>
  <si>
    <t>CESAR HASS</t>
  </si>
  <si>
    <t>PELA BOLHA AZUL - OP 11940- NS13851 - NF 9830</t>
  </si>
  <si>
    <t>fscYr3dbSXSdciz5pN1veQ</t>
  </si>
  <si>
    <t>14582</t>
  </si>
  <si>
    <t>12232</t>
  </si>
  <si>
    <t>2bcSKjSkSuaBlOHMwsKiyg</t>
  </si>
  <si>
    <t>14584</t>
  </si>
  <si>
    <t>MAQUINA QUE FOI DEVOLVIDA DO PED. 14396 - OP 12147</t>
  </si>
  <si>
    <t>tV0gmDX8Rl2TSDUSUHdmEQ</t>
  </si>
  <si>
    <t>14586-A</t>
  </si>
  <si>
    <t>12125</t>
  </si>
  <si>
    <t>1913 - PJ</t>
  </si>
  <si>
    <t>CLIENTE: DILSON SARDÁ JARDIM NASCENTE.</t>
  </si>
  <si>
    <t>Y6rZUjFmS5Sp3p9hi8Vd7A</t>
  </si>
  <si>
    <t>14586-B</t>
  </si>
  <si>
    <t>12095</t>
  </si>
  <si>
    <t>wlA1Z2pPSW-DENEZUnLs6Q</t>
  </si>
  <si>
    <t>14588</t>
  </si>
  <si>
    <t>12237</t>
  </si>
  <si>
    <t>CONDIÇÃO ESPECIAL AUTORIZADO PELO MARIO EM SUBSTITUIÇÃO LINHA FTI</t>
  </si>
  <si>
    <t>x.KtgJ73QiiFAjE1lkFliQ</t>
  </si>
  <si>
    <t>14590-A</t>
  </si>
  <si>
    <t>8B00230927003130</t>
  </si>
  <si>
    <t>COMBINADO COM O MARIO</t>
  </si>
  <si>
    <t>q6FREzZrQ8edQCcaGoAd1w</t>
  </si>
  <si>
    <t>14590-B</t>
  </si>
  <si>
    <t>8b00230924003158</t>
  </si>
  <si>
    <t>I5.JHG5-STWthQGLJKGGjA</t>
  </si>
  <si>
    <t>14592</t>
  </si>
  <si>
    <t>EQP BOMBAS E SOLUCOES LTDA</t>
  </si>
  <si>
    <t>12238</t>
  </si>
  <si>
    <t>FRETE CIF. ESTE PEDIDO É DE UMA EMPRESA DO GRUPO EQUIPER</t>
  </si>
  <si>
    <t>ryMVdGC4QqupXznIvkPY4g</t>
  </si>
  <si>
    <t>14595</t>
  </si>
  <si>
    <t>12234</t>
  </si>
  <si>
    <t>PEDIDO 14049 - MARCEL CONCEIÇÃO DA SILVA  URGENTE</t>
  </si>
  <si>
    <t>uOJWnfvYTAusbvVSKAX7uQ</t>
  </si>
  <si>
    <t>14597</t>
  </si>
  <si>
    <t>12242</t>
  </si>
  <si>
    <t>VENDA TRIANGULAR AVISAR QUANDO FICAR PRONTO PARA ENVIAR OS DADOS DO CLIENTE</t>
  </si>
  <si>
    <t>eZERikCBR-OAyUUV8AGJqQ</t>
  </si>
  <si>
    <t>14599</t>
  </si>
  <si>
    <t>SONDA CLIMA</t>
  </si>
  <si>
    <t>MARIO DICK</t>
  </si>
  <si>
    <t>ENTREGAR NO SEGUINTE ENDEREÇO: ENSEADA LAGOS DE XANGRI-LÁ R. RIO JACUÍ, 1331 - CENTRO, XANGRI-LÁ/RS CEP 95588-000 QUADRA E - LOTE 22</t>
  </si>
  <si>
    <t>giF4AyNOSjOsbXs3o825Rg</t>
  </si>
  <si>
    <t>14602</t>
  </si>
  <si>
    <t>CONDOMINIO DO EDIFÍCIO SION ABSOLUTE</t>
  </si>
  <si>
    <t>11388</t>
  </si>
  <si>
    <t>TRANSPORTADORA MINAS STAR DESCONTO : 40% + 10%  ACRÉSCIMO 6,4%</t>
  </si>
  <si>
    <t>a-O8E.ITmQuCg9NaBfz8V6w</t>
  </si>
  <si>
    <t>14604</t>
  </si>
  <si>
    <t>PASETTO COMÉRCIO E TRANSPORTE LTDA</t>
  </si>
  <si>
    <t>12244</t>
  </si>
  <si>
    <t>7u0.k1R7Qw-m9uVaHsdntA</t>
  </si>
  <si>
    <t>14607</t>
  </si>
  <si>
    <t>12245</t>
  </si>
  <si>
    <t>fn7lIFeoRAmlX9mXvsAnvQ</t>
  </si>
  <si>
    <t>14609</t>
  </si>
  <si>
    <t>SOLARPLUS IND E COMERCIO EIRELI</t>
  </si>
  <si>
    <t>12247</t>
  </si>
  <si>
    <t>9GMu4O8FQxywS5nz.U8flg</t>
  </si>
  <si>
    <t>14611</t>
  </si>
  <si>
    <t>12246</t>
  </si>
  <si>
    <t>Xe.7A.EuRy-yMhp0nL8OKw</t>
  </si>
  <si>
    <t>14613</t>
  </si>
  <si>
    <t>11344</t>
  </si>
  <si>
    <t>EXPRESSO RAQUEL DESCONTO CONCEDIDO : 40% + 5% PEDIDO RESERVADO NR 11343 METADE DO PAGTO NA ENTRADA, RESTANTE NO FATURAMENTO.</t>
  </si>
  <si>
    <t>1SkS-gHdSXOUyCSwRyig5Q</t>
  </si>
  <si>
    <t>14615</t>
  </si>
  <si>
    <t>12248</t>
  </si>
  <si>
    <t>DESCONTO ESPECIAL AUTORIZADO PELO GERENTE MÁRIO, EXCLUSIVO PARA ESTE PEDIDO</t>
  </si>
  <si>
    <t>BCKmOXxWTJKmCPgGN3DY5A</t>
  </si>
  <si>
    <t>14619</t>
  </si>
  <si>
    <t>12249</t>
  </si>
  <si>
    <t>TRANSPORTADORA EXPRESSO RAQUEL DESCONTO : 40% + 5%</t>
  </si>
  <si>
    <t>bGvN.DXNSFiz81kytuZdBw</t>
  </si>
  <si>
    <t>14621-A</t>
  </si>
  <si>
    <t>EMERSON MARTINS</t>
  </si>
  <si>
    <t>8B00230927003117</t>
  </si>
  <si>
    <t>jlGXw8fnRFKFXOi8tHg12Q</t>
  </si>
  <si>
    <t>14621-B</t>
  </si>
  <si>
    <t>8B00230927003115</t>
  </si>
  <si>
    <t>QH4D5BzyS16JSISlNUUg9g</t>
  </si>
  <si>
    <t>14621-C</t>
  </si>
  <si>
    <t>8B00230927003118</t>
  </si>
  <si>
    <t>r3zfPLOeSraYPlSm1JMexA</t>
  </si>
  <si>
    <t>14621-D</t>
  </si>
  <si>
    <t>8B00230927003113</t>
  </si>
  <si>
    <t>EhxITh17Qyq4qJHpPlXR9A</t>
  </si>
  <si>
    <t>14623-A</t>
  </si>
  <si>
    <t>SOLAGUA COMERCIO E SERVIÇOS</t>
  </si>
  <si>
    <t>12250</t>
  </si>
  <si>
    <t>PMEC8IQeRhOVcl0tO9HamQ</t>
  </si>
  <si>
    <t>14623-B</t>
  </si>
  <si>
    <t>12251</t>
  </si>
  <si>
    <t>N2PLRIkRR2yiLisStPNuSw</t>
  </si>
  <si>
    <t>14625</t>
  </si>
  <si>
    <t>12263</t>
  </si>
  <si>
    <t>saCw08T0TmaxgJc8qsiYhQ</t>
  </si>
  <si>
    <t>14627</t>
  </si>
  <si>
    <t>8B00230927003042</t>
  </si>
  <si>
    <t>PLdVCjGNQMOKV3pwU7dscg</t>
  </si>
  <si>
    <t>14629-A</t>
  </si>
  <si>
    <t>CARLOS ANDRE TEIXEIRA MAIA</t>
  </si>
  <si>
    <t>12252</t>
  </si>
  <si>
    <t>19sF6uo5Q.6BX5OZmWRA1Q</t>
  </si>
  <si>
    <t>14629-B</t>
  </si>
  <si>
    <t>12253</t>
  </si>
  <si>
    <t>VX2eN8lbR0K5soNy5q5DSw</t>
  </si>
  <si>
    <t>14631</t>
  </si>
  <si>
    <t>CIA DAS PISCINAS - OZIO</t>
  </si>
  <si>
    <t>12254</t>
  </si>
  <si>
    <t>DeYnqkgCT.uTVmyLRhWEog</t>
  </si>
  <si>
    <t>14633-A</t>
  </si>
  <si>
    <t>8B00230927003015</t>
  </si>
  <si>
    <t>3At-bg0JTMeVl9lkEhfrJw</t>
  </si>
  <si>
    <t>14633-B</t>
  </si>
  <si>
    <t>8B00230927003052</t>
  </si>
  <si>
    <t>j1sxW4LrRM-RZP1ejjEZdA</t>
  </si>
  <si>
    <t>14635</t>
  </si>
  <si>
    <t>11203</t>
  </si>
  <si>
    <t>eHRDFT0ERdi9ieZpQ3CZ8w</t>
  </si>
  <si>
    <t>14637</t>
  </si>
  <si>
    <t>BOMBAS DE CALOR E AQUECEDORES</t>
  </si>
  <si>
    <t>12255</t>
  </si>
  <si>
    <t>I8CIzbi8QJ6SzTsDOMKUxQ</t>
  </si>
  <si>
    <t>14639</t>
  </si>
  <si>
    <t>BARRACÃO DA BOLHA -  NF 9960 - NS 14269 - OP 10794</t>
  </si>
  <si>
    <t>NGYRhRlKSvGLdQEMzcHalw</t>
  </si>
  <si>
    <t>14641</t>
  </si>
  <si>
    <t>OSVALDO  OLIVEIRA DE LARA JUNIOR</t>
  </si>
  <si>
    <t>P8IqkLnfT-yirLnnk3gbaw</t>
  </si>
  <si>
    <t>14643</t>
  </si>
  <si>
    <t>12265</t>
  </si>
  <si>
    <t>TRANSPORTADORA : EXPRESSO RAQUEL DESCONTO 40% + 5% FAVOR VERIFICAR SE CONSEGUEM ENVIAR JUNTO COM O PEDIDO 14619</t>
  </si>
  <si>
    <t>TxXmCn5VRHW7b8V5Ao-5NA</t>
  </si>
  <si>
    <t>14645-A</t>
  </si>
  <si>
    <t>CONDOMINIO DO VIVACE</t>
  </si>
  <si>
    <t>12256</t>
  </si>
  <si>
    <t>fqjcqf2URz6b5cgJeyylKA</t>
  </si>
  <si>
    <t>14645-B</t>
  </si>
  <si>
    <t>12257</t>
  </si>
  <si>
    <t>OTbHQtmGTdGLawAvI3m1.w</t>
  </si>
  <si>
    <t>14645-C</t>
  </si>
  <si>
    <t>12258</t>
  </si>
  <si>
    <t>cZkd7gb-RpiXj0PQeV6RFA</t>
  </si>
  <si>
    <t>14645-D</t>
  </si>
  <si>
    <t>11345</t>
  </si>
  <si>
    <t>T5dU9QuFQCSdbiN7bLXjKg</t>
  </si>
  <si>
    <t>14646</t>
  </si>
  <si>
    <t>12212</t>
  </si>
  <si>
    <t>CLIENTE: BRASIL CABBO</t>
  </si>
  <si>
    <t>pybp9-l7Smy6utdzGtJeTw</t>
  </si>
  <si>
    <t>14647</t>
  </si>
  <si>
    <t>12667</t>
  </si>
  <si>
    <t>EMITIR A NOTA FISCAL DEPOIS DO DIA 05 DE JANEIRO 2024</t>
  </si>
  <si>
    <t>2Fy2NYgKT9--mEk2VZbYgQ</t>
  </si>
  <si>
    <t>14649</t>
  </si>
  <si>
    <t>VIA BOLHA AZUL -OP:11941-NS 13851 NF 9831</t>
  </si>
  <si>
    <t>Vpcj1DUqQQ2EMuSIkU9WLQ</t>
  </si>
  <si>
    <t>14651</t>
  </si>
  <si>
    <t>12260</t>
  </si>
  <si>
    <t>xSjzTBBOSymqI38Xsx99dw</t>
  </si>
  <si>
    <t>14654</t>
  </si>
  <si>
    <t>8B00230927003037</t>
  </si>
  <si>
    <t>DjXQMjEoToSffx2J4pKXSg</t>
  </si>
  <si>
    <t>14656-A</t>
  </si>
  <si>
    <t>DAN PISCINAS VEIO A FABRICA NO PROPRIO DIA 20/12 E SOLICITOU AS MAQUINAS NA HORA, AS MAQUINAS FORAM COLETADAS DE ULTIMA HORA NO GALPAO E IDENTIFICADAS E ENTREGUE, ENVOLVIDOS GV MARIO C. GUILHERME; DEVOL. OS - 2480, OP - 10958</t>
  </si>
  <si>
    <t>19APp1pNQqaDv13wuV9OAg</t>
  </si>
  <si>
    <t>14656-B</t>
  </si>
  <si>
    <t>DAN PISCINAS VEIO A FABRICA NO PROPRIO DIA 20/12 E SOLICITOU AS MAQUINAS NA HORA, AS MAQUINAS FORAM COLETADAS DE ULTIMA HORA NO GALPAO E IDENTIFICADAS E ENTREGUE, ENVOLVIDOS GV MARIO C. GUILHERME; DEVOL. OS - 2480, OP - 7626-B</t>
  </si>
  <si>
    <t>BzqLkLbqRJil-i1K92kmXQ</t>
  </si>
  <si>
    <t>14656-C</t>
  </si>
  <si>
    <t>DAN PISCINAS VEIO A FABRICA NO PROPRIO DIA 20/12 E SOLICITOU AS MAQUINAS NA HORA, AS MAQUINAS FORAM COLETADAS DE ULTIMA HORA NO GALPAO E IDENTIFICADAS E ENTREGUE, ENVOLVIDOS GV MARIO C. GUILHERME; DEVOL. OS - 2480, OP - 111111</t>
  </si>
  <si>
    <t>kdpF6ZfJRtOYJJyGO4GrGQ</t>
  </si>
  <si>
    <t>14659</t>
  </si>
  <si>
    <t>BK INDÚSTRIA E COMÉRCIO LTDA</t>
  </si>
  <si>
    <t>12266/</t>
  </si>
  <si>
    <t>a.rg5AtwjTwSdyXO48CZWhQ</t>
  </si>
  <si>
    <t>14661</t>
  </si>
  <si>
    <t>AQUALINE COM.DE ACESSORIOS E EQUIPAMENTOS PARA PISCINAS LTDA</t>
  </si>
  <si>
    <t>10334</t>
  </si>
  <si>
    <t>Y8M-4vz0RUaBmYyT9a1K6Q</t>
  </si>
  <si>
    <t>14663</t>
  </si>
  <si>
    <t>11873</t>
  </si>
  <si>
    <t>ATENÇÃO - FATURAR SOMENTE APÓS O DIA 05/01/24  PEDIDO N° 1005 - CONSTAR EM NF DESCONTO DE 5% AUT PELO GV MÁRIO</t>
  </si>
  <si>
    <t>wA-8iDchRNawuVof-WJZ0Q</t>
  </si>
  <si>
    <t>14665-A</t>
  </si>
  <si>
    <t>ELEV CONSTRUÇÕES LTDA</t>
  </si>
  <si>
    <t>13165</t>
  </si>
  <si>
    <t>FH160J60</t>
  </si>
  <si>
    <t>ENTRADA 25% +30/60/90 DS BOLETO  MANDAR EMAIL : COMERCIAL@REPMED.COM.BR COMISSÃO DE 10% CALIDA AQUA.</t>
  </si>
  <si>
    <t>qDR.FiUATeCbIk49Opd7QA</t>
  </si>
  <si>
    <t>14665-B</t>
  </si>
  <si>
    <t>13169</t>
  </si>
  <si>
    <t>51z9ELfsTZ-fpvg.ghbPNg</t>
  </si>
  <si>
    <t>14667</t>
  </si>
  <si>
    <t>11618</t>
  </si>
  <si>
    <t>0LLrVAJfRHyKB69CCZce9A</t>
  </si>
  <si>
    <t>14669-A</t>
  </si>
  <si>
    <t>MAIS EMPREENDIMENTOS HOTELARIA LTDA</t>
  </si>
  <si>
    <t>12673</t>
  </si>
  <si>
    <t>FH100J45T</t>
  </si>
  <si>
    <t>ENTRADA 25%+30/60/90 DS  COMISSÃO 10 % CALIDA AQUA</t>
  </si>
  <si>
    <t>efY5WVBKQnKMaUpJsTdI6Q</t>
  </si>
  <si>
    <t>14669-B</t>
  </si>
  <si>
    <t>12674</t>
  </si>
  <si>
    <t>FH160J45T</t>
  </si>
  <si>
    <t>Cro48DBaRgKVuivRv1BSHw</t>
  </si>
  <si>
    <t>14669-C</t>
  </si>
  <si>
    <t>12675</t>
  </si>
  <si>
    <t>PDbWKaBpSVGSnZXqWS5KzQ</t>
  </si>
  <si>
    <t>14669-D</t>
  </si>
  <si>
    <t>12676</t>
  </si>
  <si>
    <t>v7nCaiJJQimf-O6aQzMxlg</t>
  </si>
  <si>
    <t>14669-E</t>
  </si>
  <si>
    <t>12677</t>
  </si>
  <si>
    <t>5GK.SJo9QUma8x3F6bWXoA</t>
  </si>
  <si>
    <t>14669-F</t>
  </si>
  <si>
    <t>12678</t>
  </si>
  <si>
    <t>HLVEmrCXRBK3HSMrpLWgKA</t>
  </si>
  <si>
    <t>14671</t>
  </si>
  <si>
    <t>COMERCIAL ÁGUA E LAZER LTDA</t>
  </si>
  <si>
    <t>8B00230927003074</t>
  </si>
  <si>
    <t>SETE LAGOAS</t>
  </si>
  <si>
    <t>TRANSPORTADORA SETE LAGOAS DESCONTO PRE VENDA - 40% + 10%</t>
  </si>
  <si>
    <t>z5CL8SQWRfWeI9XmBFfIPw</t>
  </si>
  <si>
    <t>14673-A</t>
  </si>
  <si>
    <t>12668</t>
  </si>
  <si>
    <t>USAR CRÉDITO DAS COMISSÕES DEVIDAS À HIDROTEC PARA PAGAR POR ESSE PEDIDO.</t>
  </si>
  <si>
    <t>LwVIIdYCTk2PxRCwYn4.Mg</t>
  </si>
  <si>
    <t>14673-B</t>
  </si>
  <si>
    <t>12669</t>
  </si>
  <si>
    <t>USv2zoT4SsqP.JOdUQo8tA</t>
  </si>
  <si>
    <t>14673-C</t>
  </si>
  <si>
    <t>12670</t>
  </si>
  <si>
    <t>73ruW19wSfaLkSI1FFn.pA</t>
  </si>
  <si>
    <t>14675</t>
  </si>
  <si>
    <t>MQcEHAt4SKSO9KnuvWJJ0A</t>
  </si>
  <si>
    <t>14677</t>
  </si>
  <si>
    <t>12671</t>
  </si>
  <si>
    <t>7J97FLZhRiKSuLE1-oWTGQ</t>
  </si>
  <si>
    <t>14681-A</t>
  </si>
  <si>
    <t>NOLANDIS EMPR. E PART. LTDA</t>
  </si>
  <si>
    <t>13179</t>
  </si>
  <si>
    <t>10188-10415</t>
  </si>
  <si>
    <t>50% ENTRADA+ 50% 30 DS .(ENTREGA FUTURA) OC 95582/23 COPIAR : ANDRÉ MELO</t>
  </si>
  <si>
    <t>MFo5WPWpQGquV7AlQ5YEMA</t>
  </si>
  <si>
    <t>14681-B</t>
  </si>
  <si>
    <t>13180</t>
  </si>
  <si>
    <t>4cnV3f0LTk6mMDJ6tAEPTg</t>
  </si>
  <si>
    <t>14681-C</t>
  </si>
  <si>
    <t>13181</t>
  </si>
  <si>
    <t>0qHRRZiyR4Wt1.cX3QMFUw</t>
  </si>
  <si>
    <t>14681-D</t>
  </si>
  <si>
    <t>13182</t>
  </si>
  <si>
    <t>x..Zwv0YRo6Gs4maAMJTpQ</t>
  </si>
  <si>
    <t>14681-E</t>
  </si>
  <si>
    <t>13183</t>
  </si>
  <si>
    <t>a.j.ZDMc2Sw26JEenk5EO6Q</t>
  </si>
  <si>
    <t>14681-F</t>
  </si>
  <si>
    <t>13184</t>
  </si>
  <si>
    <t>10188-10473</t>
  </si>
  <si>
    <t>a-.4UXMauRwKxmmfpTjrP0g</t>
  </si>
  <si>
    <t>14681-G</t>
  </si>
  <si>
    <t>13185</t>
  </si>
  <si>
    <t>m3UDCIIkTb2jzB4XK10b8A</t>
  </si>
  <si>
    <t>14681-H</t>
  </si>
  <si>
    <t>13186</t>
  </si>
  <si>
    <t>9dMtXb3ISg-doYnrm7mXtg</t>
  </si>
  <si>
    <t>14681-I</t>
  </si>
  <si>
    <t>t2UAbN2BSEmsiajSpZGCDg</t>
  </si>
  <si>
    <t>14681-J</t>
  </si>
  <si>
    <t>8B00230924003117</t>
  </si>
  <si>
    <t>7mG3v49yT9ejj4O-Wt1W6Q</t>
  </si>
  <si>
    <t>14683-A</t>
  </si>
  <si>
    <t>8B00230924003135</t>
  </si>
  <si>
    <t>4MKcb.rLQR2GAIRfv7GF5g</t>
  </si>
  <si>
    <t>14683-B</t>
  </si>
  <si>
    <t>8B00230927003019</t>
  </si>
  <si>
    <t>MU3RKTp.QUmFoetyElsJqg</t>
  </si>
  <si>
    <t>14685</t>
  </si>
  <si>
    <t>DORIVAL DELFINO - PISCINAS LTDA</t>
  </si>
  <si>
    <t>a.7PSjmZ-TYqDMHviBmnopA</t>
  </si>
  <si>
    <t>14732</t>
  </si>
  <si>
    <t>GLADSON RAMALHO DE OLIVEIRA</t>
  </si>
  <si>
    <t>13071</t>
  </si>
  <si>
    <t>O PAINEL É DESTACADO DE SOBREPOR PEDIDO Nº 4 ENVIADO PELO VENDEDOR MARIO CRIADO EM 03/01/2024 14:55:21 INTEGRADO POR MEIO DO BENDITO NO DIA 03/01/2024 ÀS 18:51:23</t>
  </si>
  <si>
    <t>OqR6IgMmT3a3uVM.cWfPjg</t>
  </si>
  <si>
    <t>14735</t>
  </si>
  <si>
    <t>GUILHERME PARREIRAS PASSOS</t>
  </si>
  <si>
    <t>13072</t>
  </si>
  <si>
    <t>NOVA VENDA EM SUBSTITUIÇÃO A NFE 4118 DEVOLVIDA PELA NFE 10189</t>
  </si>
  <si>
    <t>WgUDBggJTqezEzx1Q3pvnA</t>
  </si>
  <si>
    <t>14736</t>
  </si>
  <si>
    <t>SUN MANUTENCOES SERVICOS</t>
  </si>
  <si>
    <t>13070</t>
  </si>
  <si>
    <t>ABM</t>
  </si>
  <si>
    <t>REDESPACHO ABM TRANSPORTES PEDIDO Nº 7 ENVIADO PELO VENDEDOR ANDERSON CRIADO EM 05/01/2024 10:35:03 INTEGRADO POR MEIO DO BENDITO NO DIA 05/01/2024 ÀS 15:12:41</t>
  </si>
  <si>
    <t>DF</t>
  </si>
  <si>
    <t>JbDDU4.UR-ekF061pPkZMw</t>
  </si>
  <si>
    <t>14737-A</t>
  </si>
  <si>
    <t>MELNICK PITANGUEIRA</t>
  </si>
  <si>
    <t>10191-</t>
  </si>
  <si>
    <t>REMESSA DE ENTREGA FUTURA PARA DEZEMBRO 2024. VALORES PARA A NF: 02 - TROCADOR DE CALOR FT-240 TEMP. POSITIVA 220V-TRIFÁSICO - R$60.090,00 01 - TROCADOR DE CALOR FT-40 TEMP. POSITIVA 220V - MONOFÁSICA - R$ 17.400,00 01 - TROCADOR DE CALOR FT-40 TEMP. POSITIVA 220V- MONOFÁSICA - R$17.400,00 01 - TROCADOR DE CALOR FT-40 TEMP. POSITIVA 220V- TRIFÁSICO - R$17.400,00 01 - TROCADOR DE CALOR FT-240 TEMP. POSITIVA 220V- TRIFÁSICO - R$60.088,00 01 - TROCADOR DE CALOR FT-25 TEMP. POSITIVA 220V- TRIFÁSICO - R$15.070,00 ENDEREÇO DE ENTREGA: AVENIDA NILO PEÇANHA 1700, PETRÓPOLIS - PORTO ALEGRE/RS CEP 91330-002 PEDIDO Nº 8 ENVIADO PELO VENDEDOR THIAGO CRIADO EM 05/01/2024 11:52:05 INTEGRADO POR MEIO DO BENDITO NO DIA 05/01/2024 ÀS 15:14:18</t>
  </si>
  <si>
    <t>RS</t>
  </si>
  <si>
    <t>a-bEYfckaQrCzvv.Ih-NNCQ</t>
  </si>
  <si>
    <t>Us2Zqs-0ShK2dxmpcepHOw</t>
  </si>
  <si>
    <t>14737-B</t>
  </si>
  <si>
    <t>qDXQo7fFTdKTi4CiHqSIwg</t>
  </si>
  <si>
    <t>YH162fzKQmCjwGjJ2nGLPw</t>
  </si>
  <si>
    <t>14737-C</t>
  </si>
  <si>
    <t>kUf6RDYVTHaUQ4XtgE4ilA</t>
  </si>
  <si>
    <t>rWin3-buQIuYBTwczi5p.A</t>
  </si>
  <si>
    <t>usVte.2ISXSVMCjEd36mvA</t>
  </si>
  <si>
    <t>14739</t>
  </si>
  <si>
    <t>CARRAPETA BARRA PISCINAS EIRELI  BR116</t>
  </si>
  <si>
    <t>13074</t>
  </si>
  <si>
    <t>MAQUINA COM QUADRO DESLOCADO DE SOBREPOR</t>
  </si>
  <si>
    <t>D.RkGPgQTbyjc14ygg-Zyg</t>
  </si>
  <si>
    <t>14740</t>
  </si>
  <si>
    <t>GLOBALTECH BRASIL COMERCIO ELETRONICO</t>
  </si>
  <si>
    <t>13073</t>
  </si>
  <si>
    <t>FT70J35</t>
  </si>
  <si>
    <t>FATURAMENTO PELA GLOBALTECH E ENTREGA DIRETA AO CLIENTE FINAL. AGUARDO CONFIRMAÇÃO DO FATURAMENTO PARA ENVIO DA NOSSA NF. SEGUE DADOS DO CLIENTE PARA ENVIO VIA TRANSPORTADORA: DESTINATÁRIO: ANTONIO CARLOS GRISCI RODOVIA ERS-235, NÚMERO 31400 BAIRRO: ASPEN COMPLEMENTO: LOTE I13 - 501 REFERENCIA: CONDOMINIO ASPEN MOUNTAIN GRAMADO-RS CEP 95.675-430 VALOR DA NF PARA COTAÇÃO NA TRANSPORTADORA: R$ 19.995,23 AGUARDO DADOS E VALOR DO TRANSPORTE.</t>
  </si>
  <si>
    <t>uKtpygd6Rfey1mhFlLaadw</t>
  </si>
  <si>
    <t>14741</t>
  </si>
  <si>
    <t>MARCELO MOREIRA MORAES</t>
  </si>
  <si>
    <t>13075</t>
  </si>
  <si>
    <t>PAINEL DESTACADO DE EMBUTIR VALOR DA MAQUINA R$ 8.000,000 (APROVADO PELO MARIO) FORMA DE PAGAMENTO - BOLETO ANTECIPADO</t>
  </si>
  <si>
    <t>c2214TFIRPGqJ7ARg1nkTw</t>
  </si>
  <si>
    <t>14742-A</t>
  </si>
  <si>
    <t>STUDIO CRIARTE LTDA</t>
  </si>
  <si>
    <t>13076</t>
  </si>
  <si>
    <t>TODAS AS 3 MAQUINAS COM PAINEL EXTERNO DE SOBREPOR - PAGTO ANTECIPADO - ENTRADA E O RESTANTE NO FATURAMENTO</t>
  </si>
  <si>
    <t>Oi1nNsEyRt2j3gu70Fs79A</t>
  </si>
  <si>
    <t>14742-B</t>
  </si>
  <si>
    <t>13077</t>
  </si>
  <si>
    <t>jM3HPorMTamH35IQOnQLSg</t>
  </si>
  <si>
    <t>14742-C</t>
  </si>
  <si>
    <t>13078</t>
  </si>
  <si>
    <t>UR3Aun9nRGOgBT-tTGwh2A</t>
  </si>
  <si>
    <t>14743-A</t>
  </si>
  <si>
    <t>CS3 TERMOTECNOLOGIA SP LTDA EPP</t>
  </si>
  <si>
    <t>13080</t>
  </si>
  <si>
    <t>DESCONTO AUTORIZADO PELO GV MÁRIO PRAZO DE ENTREGA AUTORIZADO PELO GV MÁRIO 12/01/24</t>
  </si>
  <si>
    <t>dUVVBcl5QTKIZimoUmKsAQ</t>
  </si>
  <si>
    <t>14743-B</t>
  </si>
  <si>
    <t>13081</t>
  </si>
  <si>
    <t>g54bb5rwS2CBq59jlgQ2Xg</t>
  </si>
  <si>
    <t>14744-A</t>
  </si>
  <si>
    <t>PORTOBELLO SISTEMAS DE AQUECIMENTO EIRELI</t>
  </si>
  <si>
    <t>13082</t>
  </si>
  <si>
    <t>PAINEL DESLOCADO DE SOBREPOR</t>
  </si>
  <si>
    <t>e5JYFYPJSfq3up.wnzHLMw</t>
  </si>
  <si>
    <t>14744-B</t>
  </si>
  <si>
    <t>13083</t>
  </si>
  <si>
    <t>Ko6X7mwgSKau..XAnfqQvA</t>
  </si>
  <si>
    <t>14745</t>
  </si>
  <si>
    <t>13079</t>
  </si>
  <si>
    <t>PAINEL DESTACADO DE SOBREPOR REDESPACHO PELA EXPRESSO RAQUEL</t>
  </si>
  <si>
    <t>YX7G.CeRR.aLVFgOUkVIFw</t>
  </si>
  <si>
    <t>14746</t>
  </si>
  <si>
    <t>13084</t>
  </si>
  <si>
    <t>PEDIDO Nº 15 ENVIADO PELO VENDEDOR CARLOS AUGUSTO CRIADO EM 09/01/2024 09:24:53 INTEGRADO POR MEIO DO BENDITO NO DIA 09/01/2024 ÀS 13:00:49</t>
  </si>
  <si>
    <t>WWr80SSNR-u2BbwJil3Mcw</t>
  </si>
  <si>
    <t>14748</t>
  </si>
  <si>
    <t>BK FIBRAS</t>
  </si>
  <si>
    <t>8B00231215003217</t>
  </si>
  <si>
    <t>CONDIÇÃO DE PAGAMENTO CORRETA: ENTRADA/30/60/90 DIAS PEDIDO Nº 18 ENVIADO PELO VENDEDOR CARLOS AUGUSTO CRIADO EM 09/01/2024 11:09:58 INTEGRADO POR MEIO DO BENDITO NO DIA 09/01/2024 ÀS 14:54:35</t>
  </si>
  <si>
    <t>s6lMztJtRzmMSnQSkQUXRQ</t>
  </si>
  <si>
    <t>14749</t>
  </si>
  <si>
    <t>8B00230927003068</t>
  </si>
  <si>
    <t>PRAZO DE PAGAMENTO CORRETO: ENTRADA/30/60/90 DIAS PEDIDO Nº 17 ENVIADO PELO VENDEDOR CARLOS AUGUSTO CRIADO EM 09/01/2024 11:05:31 INTEGRADO POR MEIO DO BENDITO NO DIA 09/01/2024 ÀS 14:55:13</t>
  </si>
  <si>
    <t>xeJnjOFRQpStSPA1ABbHcw</t>
  </si>
  <si>
    <t>14750</t>
  </si>
  <si>
    <t>13086</t>
  </si>
  <si>
    <t>PEDIDO Nº 19 ENVIADO PELO VENDEDOR RENATO CRIADO EM 09/01/2024 11:19:10 INTEGRADO POR MEIO DO BENDITO NO DIA 09/01/2024 ÀS 17:25:32</t>
  </si>
  <si>
    <t>tW2TvN8OQciBSNDM89eh7A</t>
  </si>
  <si>
    <t>14751</t>
  </si>
  <si>
    <t>13085</t>
  </si>
  <si>
    <t>NIT LAGOS</t>
  </si>
  <si>
    <t>QUADRO DE SOBREPOR. CLIENTE VAI INFORMAR TRANSP E ENDEREÇO DE ENTREGA. ENDEREÇO DE ENTREGA: AV. VISCONDE DE ALBUQUERQUE, 237 APTO 601 LEBLON. RJ. SR. JOÃO CLÁUDIO T. VIANNA. CEP: 22.450-001 PEDIDO Nº 21 ENVIADO PELO VENDEDOR RICARDO HENRIQUE CRIADO EM 09/01/2024 13:43:22 INTEGRADO POR MEIO DO BENDITO NO DIA 09/01/2024 ÀS 17:26:25</t>
  </si>
  <si>
    <t>w44-4S.dTgWx072TFhlCDQ</t>
  </si>
  <si>
    <t>14752</t>
  </si>
  <si>
    <t>JD CONSTRUTORA</t>
  </si>
  <si>
    <t>8B00230924003169</t>
  </si>
  <si>
    <t>PEDIDO Nº 20 ENVIADO PELO VENDEDOR RENATO CRIADO EM 09/01/2024 12:18:34 INTEGRADO POR MEIO DO BENDITO NO DIA 09/01/2024 ÀS 17:41:38</t>
  </si>
  <si>
    <t>3USF2YCdQMmU2lWV1kH5jA</t>
  </si>
  <si>
    <t>14753</t>
  </si>
  <si>
    <t>13088</t>
  </si>
  <si>
    <t>OC 3409</t>
  </si>
  <si>
    <t>2-tvY790Sjqk3Z.JX3oSPQ</t>
  </si>
  <si>
    <t>14754</t>
  </si>
  <si>
    <t>NAUSSAT PISCINAS LDTA ME</t>
  </si>
  <si>
    <t>8B00230924003168</t>
  </si>
  <si>
    <t>PEDIDO Nº 23 ENVIADO PELO VENDEDOR RENATO CRIADO EM 09/01/2024 15:15:18 INTEGRADO POR MEIO DO BENDITO NO DIA 09/01/2024 ÀS 19:33:25</t>
  </si>
  <si>
    <t>dzX2g8HAQtmZdSUaTBXbbA</t>
  </si>
  <si>
    <t>14755</t>
  </si>
  <si>
    <t>R D R FERNANDES COMERCIO DE PISCINAS</t>
  </si>
  <si>
    <t>13087</t>
  </si>
  <si>
    <t>PEDIDO Nº 26 ENVIADO PELO VENDEDOR RENATO CRIADO EM 10/01/2024 19:26:45 INTEGRADO POR MEIO DO BENDITO NO DIA 11/01/2024 ÀS 01:25:09</t>
  </si>
  <si>
    <t>eH-0B8erTkOWds.ZNBZIZA</t>
  </si>
  <si>
    <t>14756</t>
  </si>
  <si>
    <t>TAINAN DA SILVEIRA RODRIGUES</t>
  </si>
  <si>
    <t>13096</t>
  </si>
  <si>
    <t>EXP. LEOMAR</t>
  </si>
  <si>
    <t>COTAÇÃO 16500566 PEDIDO Nº 25 ENVIADO PELO VENDEDOR THIAGO CRIADO EM 10/01/2024 17:30:42 INTEGRADO POR MEIO DO BENDITO NO DIA 11/01/2024 ÀS 01:29:29</t>
  </si>
  <si>
    <t>Ig9XMZPeRry513cXof61pg</t>
  </si>
  <si>
    <t>14757</t>
  </si>
  <si>
    <t>SOL E AR COMERCIAL EIRELI</t>
  </si>
  <si>
    <t>13090</t>
  </si>
  <si>
    <t>PAINEL DESTACADO SOBREPOR - FORMA DE PAGTO 30/45/60/75/90 (NÃO ESTÁ CADASTRADO NO SISTEMA)</t>
  </si>
  <si>
    <t>lwnKQxedSLGMlcJf7eJFhQ</t>
  </si>
  <si>
    <t>14758</t>
  </si>
  <si>
    <t>13089</t>
  </si>
  <si>
    <t>FORMA DE PAGTO: 30/45/60/75/90 - ORDEM DE COMPRA 66131 - COLOCA NA OBS. DA NF</t>
  </si>
  <si>
    <t>oS.rcZALTqGK-JJPJ.nVMg</t>
  </si>
  <si>
    <t>14761-A</t>
  </si>
  <si>
    <t>13091</t>
  </si>
  <si>
    <t>PEDIDO Nº 30 ENVIADO PELO VENDEDOR MARCELO CRIADO EM 12/01/2024 17:40:43 INTEGRADO POR MEIO DO BENDITO NO DIA 13/01/2024 ÀS 13:25:15</t>
  </si>
  <si>
    <t>ife0DmzsT.a.k.cyDh-R6w</t>
  </si>
  <si>
    <t>14761-B</t>
  </si>
  <si>
    <t>13092</t>
  </si>
  <si>
    <t>dGH2veDhSM-VbsPN9rA2yw</t>
  </si>
  <si>
    <t>14761-C</t>
  </si>
  <si>
    <t>13095</t>
  </si>
  <si>
    <t>aE9TlMRtTCSTODnIgBUvCw</t>
  </si>
  <si>
    <t>14762-A</t>
  </si>
  <si>
    <t>STILLO DAGUA COMERCIO DE BANHEIRAS E ACESSORIOS LTDA</t>
  </si>
  <si>
    <t>8B00230927003062</t>
  </si>
  <si>
    <t>DESCONTO DE 10% ESPECIAL DO CLIENTE E PELA PRE VENDA + 10% POLÍTICA COMERCIAL ANTERIOR AUTORIZADO POR PRISCILA . PEDIDO Nº 29 ENVIADO PELO VENDEDOR CARLOS AUGUSTO CRIADO EM 12/01/2024 16:27:00 INTEGRADO POR MEIO DO BENDITO NO DIA 13/01/2024 ÀS 13:27:19</t>
  </si>
  <si>
    <t>BnkBogGyQE-vs6WdOGZJPA</t>
  </si>
  <si>
    <t>14762-B</t>
  </si>
  <si>
    <t>8B00230927003067</t>
  </si>
  <si>
    <t>AJvwx50bRKGuNAnOVJ6RfA</t>
  </si>
  <si>
    <t>14762-C</t>
  </si>
  <si>
    <t>8B00230927003024</t>
  </si>
  <si>
    <t>9qhkGN5wSDeILfDRu.sieA</t>
  </si>
  <si>
    <t>14762-D</t>
  </si>
  <si>
    <t>8B00230927003153</t>
  </si>
  <si>
    <t>2lb1eNJtQrGYRC1wJ8LFhg</t>
  </si>
  <si>
    <t>14763</t>
  </si>
  <si>
    <t>AQUALIFE COMERCIO E MANUTENCAO DE PISCINAS LTDA</t>
  </si>
  <si>
    <t>13104</t>
  </si>
  <si>
    <t>PEDIDO ANTECIPADO - 50% ENTRADA - RESTANTE NO FATURAMENTO TRANSPORTADORA DE REDESPACHO - JAMEF</t>
  </si>
  <si>
    <t>njMWdD4zQU644odOz2G8aQ</t>
  </si>
  <si>
    <t>14766</t>
  </si>
  <si>
    <t>13103</t>
  </si>
  <si>
    <t>SEGUE NO LINK ABAIXO PEDIDO DE COMPRA PARA FATURAMENTO PELA GLOBALTECH E ENTREGA DIRETA AO CLIENTE FINAL. AGUARDO CONFIRMAÇÃO DO FATURAMENTO PARA ENVIO DA NOSSA NF. SEGUE DADOS DO CLIENTE PARA ENVIO VIA TRANSPORTADORA: MARCOS DOS SANTOS ARAUJO CPF: 311.169.058-09 DESTINATÁRIO: MARCOS DOS SANTOS ARAUJO RUA PEDRO MOTTA, N° 280 JARDIM ALTOS DO KLAVIN NOVA ODESSA/SP - BRASIL 13382-368 VALOR DA NF PARA COTAÇÃO NA TRANSPORTADORA: R$ 13.024,44 E-MAIL - LKOGISTICA02@GLOBALTECHBRASIL.COM AGUARDO DADOS E VALOR DO TRANSPORTE</t>
  </si>
  <si>
    <t>CXGGfBiVS4K0WNf4rfDUCg</t>
  </si>
  <si>
    <t>14769</t>
  </si>
  <si>
    <t>ILHA MAR PISCINAS</t>
  </si>
  <si>
    <t>13102</t>
  </si>
  <si>
    <t>ENTRADA: DEPOSITADO NO DIA 15/01 R$ 3.000,00</t>
  </si>
  <si>
    <t>5uZ9-RFGSs2z6JRfFIhenQ</t>
  </si>
  <si>
    <t>14770</t>
  </si>
  <si>
    <t>ARCO-IRIS PISCINAS</t>
  </si>
  <si>
    <t>8B00230924003166</t>
  </si>
  <si>
    <t>PEDIDO FINAL DE DEZEMBRO - CLIENTE NÃO ESTAVA CADASTRADO NO BENDITO DESCONTOS:  + 10% ESEPCIAL DO CLIENTE + 10% PRÉ VENDA - AUTORIZADO POR MARIO</t>
  </si>
  <si>
    <t>Fe.IotB8QFua37WTiW8Kww</t>
  </si>
  <si>
    <t>14773</t>
  </si>
  <si>
    <t>QUADRO DESLOCADO DE SOBREPOR PEDIDO Nº 36 ENVIADO PELO VENDEDOR RICARDO HENRIQUE CRIADO EM 16/01/2024 11:04:10 INTEGRADO POR MEIO DO BENDITO NO DIA 16/01/2024 ÀS 22:19:49</t>
  </si>
  <si>
    <t>QoqYLDWETIqIKp.8M0wVEQ</t>
  </si>
  <si>
    <t>14774</t>
  </si>
  <si>
    <t>8B00231215003223</t>
  </si>
  <si>
    <t>ENVIAR AS DUAS MAQUINAS DESTE CLIENTE JUNTAS. MAQUINA AUTORIZADA PELO MARIO PARA ATENDER DEMANDA ESPECIFICA DESTE CLIENTE QUE NECESSITA DO TROCADOR PARA FISIOTERAPIA DE CRIANÇA . PEDIDO Nº 37 ENVIADO PELO VENDEDOR RICARDO HENRIQUE CRIADO EM 16/01/2024 11:07:17 INTEGRADO POR MEIO DO BENDITO NO DIA 16/01/2024 ÀS 22:20:44</t>
  </si>
  <si>
    <t>G-DN4-z6QC-v2N5ATaRwng</t>
  </si>
  <si>
    <t>14775</t>
  </si>
  <si>
    <t>13099</t>
  </si>
  <si>
    <t>COM QUADRO EXTERNO SOBREPOR PEDIDO Nº 38 ENVIADO PELO VENDEDOR RICARDO HENRIQUE CRIADO EM 16/01/2024 16:14:55 INTEGRADO POR MEIO DO BENDITO NO DIA 16/01/2024 ÀS 22:21:12</t>
  </si>
  <si>
    <t>0E2dOoCtQOWR1esybQ3tdg</t>
  </si>
  <si>
    <t>14776</t>
  </si>
  <si>
    <t>13098</t>
  </si>
  <si>
    <t>TRANSPORTADOR DO REDESPACHO - MINAS STAR PEDIDO Nº 39 ENVIADO PELO VENDEDOR LUIZ CRIADO EM 16/01/2024 17:30:53 INTEGRADO POR MEIO DO BENDITO NO DIA 16/01/2024 ÀS 22:23:14</t>
  </si>
  <si>
    <t>6kHIA8g4QWynRW8o2ga16w</t>
  </si>
  <si>
    <t>14777-A</t>
  </si>
  <si>
    <t>8B00231215003219</t>
  </si>
  <si>
    <t>PEDIDO Nº 40 ENVIADO PELO VENDEDOR RENATO CRIADO EM 16/01/2024 17:55:09 INTEGRADO POR MEIO DO BENDITO NO DIA 16/01/2024 ÀS 22:24:02</t>
  </si>
  <si>
    <t>kb9sEoK8Q6Cy7X7p58uRdQ</t>
  </si>
  <si>
    <t>14777-B</t>
  </si>
  <si>
    <t>8B00231215003210</t>
  </si>
  <si>
    <t>9Gmvr5mwSFakOd4gVpIDag</t>
  </si>
  <si>
    <t>14777-C</t>
  </si>
  <si>
    <t>8B00231215003221</t>
  </si>
  <si>
    <t>Wz-yC.V1ThS.WA1wMytHUw</t>
  </si>
  <si>
    <t>14777-D</t>
  </si>
  <si>
    <t>8B00231215003218</t>
  </si>
  <si>
    <t>z-KqaL3LTpKAO6--YzA.Zg</t>
  </si>
  <si>
    <t>14780-A</t>
  </si>
  <si>
    <t>DEVOL OS - 2525, OP 8B00230924003162</t>
  </si>
  <si>
    <t>JKtXA4wfTkO2TEREKuDiLA</t>
  </si>
  <si>
    <t>14780-B</t>
  </si>
  <si>
    <t>8B00230924003161</t>
  </si>
  <si>
    <t>PEDIDO Nº 41 ENVIADO PELO VENDEDOR RICARDO HENRIQUE CRIADO EM 17/01/2024 09:54:11 INTEGRADO POR MEIO DO BENDITO NO DIA 17/01/2024 ÀS 17:26:49</t>
  </si>
  <si>
    <t>ospQ1UnmTNi9fceP7HJraQ</t>
  </si>
  <si>
    <t>14781</t>
  </si>
  <si>
    <t>OCEANO PISCINAS</t>
  </si>
  <si>
    <t>13101</t>
  </si>
  <si>
    <t>PEDIDO Nº 42 ENVIADO PELO VENDEDOR THIAGO CRIADO EM 17/01/2024 10:39:20 INTEGRADO POR MEIO DO BENDITO NO DIA 17/01/2024 ÀS 17:31:02</t>
  </si>
  <si>
    <t>tZnP71KRQZiTWb64tYj5Bg</t>
  </si>
  <si>
    <t>14783</t>
  </si>
  <si>
    <t>JATO D AGUA BANHEIRAS E PISCINAS LTDA</t>
  </si>
  <si>
    <t>13097</t>
  </si>
  <si>
    <t>PRAZO DE PAGAMENTO BOLETO 7 DIAS  - QUADRO TOUCH SEPARADO - DESCONTO DO CLIENTE: +10 % E + 3% A VISTA</t>
  </si>
  <si>
    <t>a.QyK7FlxQyK-wRUGEIcGfA</t>
  </si>
  <si>
    <t>14790</t>
  </si>
  <si>
    <t>THERMOCOP</t>
  </si>
  <si>
    <t>12183</t>
  </si>
  <si>
    <t>CLIENTE VAI RETIRAR A MÁQUINA NA TRANSPORTADORA EM SP - AGUARDANDO OS DADOS DA PESSOA QUE IRÁ RETIRAR!!</t>
  </si>
  <si>
    <t>a-Bfj5q8mRJqq1NMD2qPtEQ</t>
  </si>
  <si>
    <t>14791-A</t>
  </si>
  <si>
    <t>HIDROTOP</t>
  </si>
  <si>
    <t>13126</t>
  </si>
  <si>
    <t>PEDIDO Nº 44 ENVIADO PELO VENDEDOR RENATO CRIADO EM 18/01/2024 17:30:15 INTEGRADO POR MEIO DO BENDITO NO DIA 19/01/2024 ÀS 20:28:42</t>
  </si>
  <si>
    <t>W1KKUGHpTt6fxnEWbZPlRw</t>
  </si>
  <si>
    <t>14791-B</t>
  </si>
  <si>
    <t>11448</t>
  </si>
  <si>
    <t>zCO7R138TrmkC6RKebZwrA</t>
  </si>
  <si>
    <t>14792-A</t>
  </si>
  <si>
    <t>11649</t>
  </si>
  <si>
    <t>PEDIDO Nº 45 ENVIADO PELO VENDEDOR RENATO CRIADO EM 18/01/2024 18:11:51 INTEGRADO POR MEIO DO BENDITO NO DIA 19/01/2024 ÀS 20:29:13</t>
  </si>
  <si>
    <t>QU5ObbDqT9S7dyUrVBPJ4w</t>
  </si>
  <si>
    <t>14792-B</t>
  </si>
  <si>
    <t>11443 04.03.24 ACHEI ESSA OP NO MEU ESTOQUE, APAGUEI A OP, ASS JAIR</t>
  </si>
  <si>
    <t>V5xe.L35TsWPSj-SgM98vA</t>
  </si>
  <si>
    <t>14792-C</t>
  </si>
  <si>
    <t>11444</t>
  </si>
  <si>
    <t>0aJY0sD-QAWwx-jZSJ6SbQ</t>
  </si>
  <si>
    <t>14793</t>
  </si>
  <si>
    <t>CHAMA ALTERNATIVA ATACADISTA DA CONSTRUCAO LTDA</t>
  </si>
  <si>
    <t>13117</t>
  </si>
  <si>
    <t>TRANSPORTADORA DESTAK DE SC-SP, E REDESPACHO RADLOG SP-DF PEDIDO Nº 46 ENVIADO PELO VENDEDOR ANDERSON CRIADO EM 19/01/2024 10:48:24 INTEGRADO POR MEIO DO BENDITO NO DIA 19/01/2024 ÀS 20:29:37</t>
  </si>
  <si>
    <t>MXCrWvkzTPuAk0d8cvn3XA</t>
  </si>
  <si>
    <t>14795</t>
  </si>
  <si>
    <t>STEINFIBER</t>
  </si>
  <si>
    <t>13120</t>
  </si>
  <si>
    <t>CLIENTE : LIDERANÇA QUADRO TOUCH NA MÁQUINA PEDIDO Nº 48 ENVIADO PELO VENDEDOR CARLOS AUGUSTO CRIADO EM 19/01/2024 17:23:59 INTEGRADO POR MEIO DO BENDITO NO DIA 19/01/2024 ÀS 20:30:46</t>
  </si>
  <si>
    <t>qf6ULMjhQhW3EgKQ5uJHDQ</t>
  </si>
  <si>
    <t>14796</t>
  </si>
  <si>
    <t>13116</t>
  </si>
  <si>
    <t>PEDIDO Nº 49 ENVIADO PELO VENDEDOR CARLOS AUGUSTO CRIADO EM 19/01/2024 17:26:17 INTEGRADO POR MEIO DO BENDITO NO DIA 19/01/2024 ÀS 20:31:12</t>
  </si>
  <si>
    <t>fn9sz11XQ8ybqUMIbW5.wA</t>
  </si>
  <si>
    <t>14797</t>
  </si>
  <si>
    <t>8B00230927003072</t>
  </si>
  <si>
    <t>DESCONTOS: 10% ESPECIAL DO CLIENTE - + 3% DO AVISTA AUTORIZADO PELO MARIO PEDIDO Nº 50 ENVIADO PELO VENDEDOR CARLOS AUGUSTO CRIADO EM 22/01/2024 09:35:29 INTEGRADO POR MEIO DO BENDITO NO DIA 22/01/2024 ÀS 19:18:51</t>
  </si>
  <si>
    <t>a.TfYhPOuS2yAKa45BJZhzw</t>
  </si>
  <si>
    <t>14801</t>
  </si>
  <si>
    <t>13121</t>
  </si>
  <si>
    <t>PEDIDO CLIENTE 12433 DESONTOS ESPECIAIS DO CLIENTE: +10% E + 8 % - QUADRO TOUCH NA FÁBRICA PEDIDO Nº 55 ENVIADO PELO VENDEDOR CARLOS AUGUSTO CRIADO EM 23/01/2024 12:12:41 INTEGRADO POR MEIO DO BENDITO NO DIA 23/01/2024 ÀS 16:16:56</t>
  </si>
  <si>
    <t>iN8bVS2.Sm6OPJs9lVb7AQ</t>
  </si>
  <si>
    <t>14802</t>
  </si>
  <si>
    <t>13114</t>
  </si>
  <si>
    <t>PEDIDO CLIENTE: 13375 - QUADRO TOUCH NA MÁQUINA PEDIDO Nº 56 ENVIADO PELO VENDEDOR CARLOS AUGUSTO CRIADO EM 23/01/2024 12:17:23 INTEGRADO POR MEIO DO BENDITO NO DIA 23/01/2024 ÀS 16:17:25</t>
  </si>
  <si>
    <t>R5n-UGSJTSGtplQew6E-Uw</t>
  </si>
  <si>
    <t>14805</t>
  </si>
  <si>
    <t>13119</t>
  </si>
  <si>
    <t>PEDIDO Nº 53 ENVIADO PELO VENDEDOR RENATO CRIADO EM 23/01/2024 10:24:16 INTEGRADO POR MEIO DO BENDITO NO DIA 23/01/2024 ÀS 19:29:04</t>
  </si>
  <si>
    <t>fXTqwsrXQ5uRGqEHavHHEw</t>
  </si>
  <si>
    <t>14806</t>
  </si>
  <si>
    <t>CONDOMINIO VIVACE</t>
  </si>
  <si>
    <t>13136</t>
  </si>
  <si>
    <t>TRANSPORTADORA DESTAK FRETE CIF, TROCA DE MAQUINA, AUTORIZADA POR PABLO/GIULIANO - TROCA REFERENTE AO PEDIDO 14645 - SEM PAGAMENTO PEDIDO Nº 57 ENVIADO PELO VENDEDOR ANDERSON CRIADO EM 23/01/2024 16:47:00 INTEGRADO POR MEIO DO BENDITO NO DIA 24/01/2024 ÀS 20:11:04</t>
  </si>
  <si>
    <t>dF6ApwrRTUStt7PSn7CNqA</t>
  </si>
  <si>
    <t>14807</t>
  </si>
  <si>
    <t>8B00230927003049</t>
  </si>
  <si>
    <t>NEGOCIAÇÃO ESPECIAL AUTORIZADA PELO MÁRIO. MÁQUINA SERÁ INSTALADA NA CASA DO PROPRIETÁRIO DA LOJA. AUTORIZADO. MARIO DICK PEDIDO Nº 52 ENVIADO PELO VENDEDOR THIAGO CRIADO EM 23/01/2024 10:02:30 INTEGRADO POR MEIO DO BENDITO NO DIA 24/01/2024 ÀS 23:19:17</t>
  </si>
  <si>
    <t>kergnDu0TdiOOnPLDy4mZA</t>
  </si>
  <si>
    <t>14808</t>
  </si>
  <si>
    <t>PISCINAS E CIA LTDA</t>
  </si>
  <si>
    <t>13137</t>
  </si>
  <si>
    <t>PEDIDO Nº 58 ENVIADO PELO VENDEDOR RENATO CRIADO EM 25/01/2024 10:09:29 INTEGRADO POR MEIO DO BENDITO NO DIA 25/01/2024 ÀS 19:24:38</t>
  </si>
  <si>
    <t>IESoL2HkS8Oz5XNpSCspCg</t>
  </si>
  <si>
    <t>14809-A</t>
  </si>
  <si>
    <t>13132</t>
  </si>
  <si>
    <t>PRAZO DE PAGAMENTO: BOLETO PARA 7 DIAS DESCONTOS +10% E + 3% - A VISTA   -- QUADRO TOUCH NA MÁQUINA</t>
  </si>
  <si>
    <t>NUGbCsS9TYOhqZajlyYt5w</t>
  </si>
  <si>
    <t>14809-B</t>
  </si>
  <si>
    <t>13133</t>
  </si>
  <si>
    <t>2YBZ8B5GTw-5.aY874J6rw</t>
  </si>
  <si>
    <t>14810-A</t>
  </si>
  <si>
    <t>ENGESAN</t>
  </si>
  <si>
    <t>13131</t>
  </si>
  <si>
    <t>FATURAR SOMENTE EM FEVEREIRO - PODE SER NO INICIO DO MÊS PRAZO ESPECIAL AUTORIZADO PELO MÁRIO</t>
  </si>
  <si>
    <t>ynSrmkoBSLC7N41N90oN8g</t>
  </si>
  <si>
    <t>14810-B</t>
  </si>
  <si>
    <t>13135</t>
  </si>
  <si>
    <t>u0bbzUl6Rnig2fd2OY4dQA</t>
  </si>
  <si>
    <t>14811-A</t>
  </si>
  <si>
    <t>13127</t>
  </si>
  <si>
    <t>PRAZO DE PAGAMENTO CORRETO:  ENTRADA/30/60 DIAS DESCONTO EXTRA DE + 5% AUTORIZADO PELO MÁRIO ,</t>
  </si>
  <si>
    <t>wMafk0XGRVKbAW4ji1dnAg</t>
  </si>
  <si>
    <t>14811-B</t>
  </si>
  <si>
    <t>13128</t>
  </si>
  <si>
    <t>pSE3tINdTqyJ9btLIjAawQ</t>
  </si>
  <si>
    <t>14811-C</t>
  </si>
  <si>
    <t>13129</t>
  </si>
  <si>
    <t>IQu91t-GQi2-5rqKE4xpxQ</t>
  </si>
  <si>
    <t>14812-A</t>
  </si>
  <si>
    <t>13224</t>
  </si>
  <si>
    <t>ALTERAR PRAZO DE PAGAMENTO PARA: ENTRADA/30/60 DIAS DESCONTO EXTRA DE 5% AUTORIZADO PELO MÁRIO</t>
  </si>
  <si>
    <t>NnSKP441Q3KRh-1JLEEGgg</t>
  </si>
  <si>
    <t>14812-B</t>
  </si>
  <si>
    <t>13418</t>
  </si>
  <si>
    <t>MLM7C01 - RETIRA - ROGER SOARES ATRAO DE ALMEIDA  - 08148085900 - I/KIA  / UK200 HD SC CARGA  / BRANCA  / 2014</t>
  </si>
  <si>
    <t>T0tJg2ecS1Kwj5pg7Dl0WQ</t>
  </si>
  <si>
    <t>14812-C</t>
  </si>
  <si>
    <t>13124</t>
  </si>
  <si>
    <t>noJCz3TZRoSl.Z.aCAfqOA</t>
  </si>
  <si>
    <t>14812-D</t>
  </si>
  <si>
    <t>13419</t>
  </si>
  <si>
    <t>smGNNA33Tj6cvSxXsncwXQ</t>
  </si>
  <si>
    <t>14812-E</t>
  </si>
  <si>
    <t>13134</t>
  </si>
  <si>
    <t>mlLiv9sSRJW1crAEwQv8gg</t>
  </si>
  <si>
    <t>14813-A</t>
  </si>
  <si>
    <t>8B00231215003224</t>
  </si>
  <si>
    <t>ENTREGA EM MARÇO DESCONTO EXTRA DE + 3% AUTORIZADO POR MÁRIO</t>
  </si>
  <si>
    <t>Bn5FTHOUR-6h1CLWYog.zA</t>
  </si>
  <si>
    <t>14813-B</t>
  </si>
  <si>
    <t>8B00231215003222</t>
  </si>
  <si>
    <t>gIYXHnlqSQCesrrgLbWpHQ</t>
  </si>
  <si>
    <t>14814</t>
  </si>
  <si>
    <t>REAL PISCINAS LTDA</t>
  </si>
  <si>
    <t>8B00231215003169</t>
  </si>
  <si>
    <t>PEDIDO Nº 64 ENVIADO PELO VENDEDOR RENATO CRIADO EM 26/01/2024 14:19:46 INTEGRADO POR MEIO DO BENDITO NO DIA 26/01/2024 ÀS 19:08:04</t>
  </si>
  <si>
    <t>okuGMwVNRKeJk9BT0FEPPw</t>
  </si>
  <si>
    <t>14815-A</t>
  </si>
  <si>
    <t>AGUAS E VAPORES COMERCIO VAREJISTA DE MATERIAIS HIDRAULICOS</t>
  </si>
  <si>
    <t>13138</t>
  </si>
  <si>
    <t>ENVIAR 2 MÁQUINAS DE IMEDIATO E A 3A MÁQUINA APÓS 20 DIAS DO 1O FATURAMENTO PEDIDO Nº 65 ENVIADO PELO VENDEDOR SADI CRIADO EM 29/01/2024 10:40:39 INTEGRADO POR MEIO DO BENDITO NO DIA 30/01/2024 ÀS 11:29:44</t>
  </si>
  <si>
    <t>PE</t>
  </si>
  <si>
    <t>Fp6Oz1ZoQV-h9Y6s3-ZtwA</t>
  </si>
  <si>
    <t>14815-B</t>
  </si>
  <si>
    <t>13139</t>
  </si>
  <si>
    <t>ydUEaQlOS6u-yKDj3RV2pA</t>
  </si>
  <si>
    <t>14815-C</t>
  </si>
  <si>
    <t>13140</t>
  </si>
  <si>
    <t>j7YMSwAdRRSy1dYesGAEAw</t>
  </si>
  <si>
    <t>14816-A</t>
  </si>
  <si>
    <t>8B00240122003233</t>
  </si>
  <si>
    <t>FTI25D40PT</t>
  </si>
  <si>
    <t>COBREI 08/03 A ENTARDA</t>
  </si>
  <si>
    <t>If1WL4jYR6eoxZRS89OGbA</t>
  </si>
  <si>
    <t>14816-D</t>
  </si>
  <si>
    <t>8B00240122003412</t>
  </si>
  <si>
    <t>HjSqAYNOSYywsFBPciDqdA</t>
  </si>
  <si>
    <t>14816-E</t>
  </si>
  <si>
    <t>8B00240122003437</t>
  </si>
  <si>
    <t>D2oZw2zzSXu5AhEWWw7x9A</t>
  </si>
  <si>
    <t>14816-F</t>
  </si>
  <si>
    <t>8B00231215003214</t>
  </si>
  <si>
    <t>wYquGsw9SQiV-HqfMpa8zQ</t>
  </si>
  <si>
    <t>14816-G</t>
  </si>
  <si>
    <t>8B00231215003213</t>
  </si>
  <si>
    <t>InPGUOArQjeSPhux9emE7w</t>
  </si>
  <si>
    <t>14816-H</t>
  </si>
  <si>
    <t>8B00231215003241</t>
  </si>
  <si>
    <t>kcA7h1jUQAWLGqKDM0r1qA</t>
  </si>
  <si>
    <t>14817-A</t>
  </si>
  <si>
    <t>8B00231215003161</t>
  </si>
  <si>
    <t>PEDIDO Nº 69 ENVIADO PELO VENDEDOR RENATO CRIADO EM 30/01/2024 08:35:34 INTEGRADO POR MEIO DO BENDITO NO DIA 30/01/2024 ÀS 11:37:26</t>
  </si>
  <si>
    <t>YOBNO1NOQ5qoS2bvZZfuFg</t>
  </si>
  <si>
    <t>14817-B</t>
  </si>
  <si>
    <t>8B00231215003194</t>
  </si>
  <si>
    <t>6CODJxOWSZWhbvGn7a4n2g</t>
  </si>
  <si>
    <t>14817-C</t>
  </si>
  <si>
    <t>8B00231215003173</t>
  </si>
  <si>
    <t>vbVlZkfyQKismLL-ok4JaA</t>
  </si>
  <si>
    <t>14817-D</t>
  </si>
  <si>
    <t>8B00230924003108</t>
  </si>
  <si>
    <t>lzfcXIIaSaurB6pYOnhwwA</t>
  </si>
  <si>
    <t>14817-E</t>
  </si>
  <si>
    <t>8B00230924003110</t>
  </si>
  <si>
    <t>zFXQ47BBQ-qYvn0S.0fHEg</t>
  </si>
  <si>
    <t>14818-A</t>
  </si>
  <si>
    <t>MJ PINHEIRO</t>
  </si>
  <si>
    <t>8B00240122003268</t>
  </si>
  <si>
    <t>AgMgz1gcTO61Ij3CmK.4AQ</t>
  </si>
  <si>
    <t>14818-B</t>
  </si>
  <si>
    <t>8B00240122003257</t>
  </si>
  <si>
    <t>VXsAcV7HT6uhkVCUVbSZ1g</t>
  </si>
  <si>
    <t>14818-C</t>
  </si>
  <si>
    <t>8B00240122003230</t>
  </si>
  <si>
    <t>YMkw8fERRsixnVuRX0bK8g</t>
  </si>
  <si>
    <t>14818-D</t>
  </si>
  <si>
    <t>8B00240322003051</t>
  </si>
  <si>
    <t>FTI35D40PT</t>
  </si>
  <si>
    <t>RDU7J74 - EXPRESSO SÃO MIGUEL - FABIO ADRIANO MEURER SILVINO - 91255783915 - M.BENZ / CARGA / BRANCA / 2020</t>
  </si>
  <si>
    <t>33MVYuoAQIOIei-EJ3xa2A</t>
  </si>
  <si>
    <t>14818-E</t>
  </si>
  <si>
    <t>8B00240322003017</t>
  </si>
  <si>
    <t>Xd7ZtjgaT9miR0rBRQ6v7g</t>
  </si>
  <si>
    <t>14818-F</t>
  </si>
  <si>
    <t>8B00240322003004</t>
  </si>
  <si>
    <t>LL3goeo-Q3arcRzcxdHwiA</t>
  </si>
  <si>
    <t>14818-G</t>
  </si>
  <si>
    <t>8B00240122003419</t>
  </si>
  <si>
    <t>ToIx6kPISwGajUlwfEhbjg</t>
  </si>
  <si>
    <t>14818-H</t>
  </si>
  <si>
    <t>8B00240122003422</t>
  </si>
  <si>
    <t>YoTQTNRgRPSkkf1PrydsuQ</t>
  </si>
  <si>
    <t>14818-I</t>
  </si>
  <si>
    <t>8B00240122003459</t>
  </si>
  <si>
    <t>tc.lfDr.SHClPYa6KlPsQA</t>
  </si>
  <si>
    <t>14818-J</t>
  </si>
  <si>
    <t>8B00240122003415</t>
  </si>
  <si>
    <t>RXZ6G36 - EXPRESSO SÃO MIGUEL - YAGO PIERRI  - 08410816970 - M.BENZ / ACCELO 1016 CE / BRANCO / 2022</t>
  </si>
  <si>
    <t>CLIENTE SOLICITOU FORMA DE PAGAMENTO ENTRADA + 30/60 PEDIDO Nº 68 ENVIADO PELO VENDEDOR RENATO CRIADO EM 29/01/2024 21:34:23 INTEGRADO POR MEIO DO BENDITO NO DIA 30/01/2024 ÀS 11:44:39</t>
  </si>
  <si>
    <t>a-1kI1YwuQYOJBhQelng5Tw</t>
  </si>
  <si>
    <t>14818-K</t>
  </si>
  <si>
    <t>8B00240122003480</t>
  </si>
  <si>
    <t>rvSHDqBbSFGXQwrdcNF9qg</t>
  </si>
  <si>
    <t>14821</t>
  </si>
  <si>
    <t>13141</t>
  </si>
  <si>
    <t>PEDIDO VENDA: 20726 DESCONTOS: + 10% E + 8% ESPECIAIS PARA O CLIENTE PEDIDO Nº 70 ENVIADO PELO VENDEDOR CARLOS AUGUSTO CRIADO EM 30/01/2024 10:00:55 INTEGRADO POR MEIO DO BENDITO NO DIA 30/01/2024 ÀS 13:11:30</t>
  </si>
  <si>
    <t>6.SR3r2HQeizyq4easOSGA</t>
  </si>
  <si>
    <t>14822</t>
  </si>
  <si>
    <t>8B00230927003143</t>
  </si>
  <si>
    <t>DESCONTO ESPECIAL AUTORIZADO PELO MARIO COMPOSIÇÃO DO DESCONTO: + 10% + 10% E A VISTA + 4% DESCONTO CONCEDIDO PEDIDO Nº 71 ENVIADO PELO VENDEDOR CARLOS AUGUSTO CRIADO EM 30/01/2024 10:06:14 INTEGRADO POR MEIO DO BENDITO NO DIA 30/01/2024 ÀS 13:12:10</t>
  </si>
  <si>
    <t>kTx445r9TF6RZ46zCz4ojA</t>
  </si>
  <si>
    <t>14823</t>
  </si>
  <si>
    <t>8B00230927003057</t>
  </si>
  <si>
    <t>PEDIDO 14814 PEDIDO Nº 72 ENVIADO PELO VENDEDOR CARLOS AUGUSTO CRIADO EM 30/01/2024 10:21:41 INTEGRADO POR MEIO DO BENDITO NO DIA 30/01/2024 ÀS 13:34:32</t>
  </si>
  <si>
    <t>oYmjwQM4QgKxXU90d55VZA</t>
  </si>
  <si>
    <t>14824</t>
  </si>
  <si>
    <t>13145</t>
  </si>
  <si>
    <t>PEDIDO Nº 73 ENVIADO PELO VENDEDOR RENATO CRIADO EM 30/01/2024 13:56:05 INTEGRADO POR MEIO DO BENDITO NO DIA 30/01/2024 ÀS 23:03:51</t>
  </si>
  <si>
    <t>UEMQUWfMTkmLBpeY.PYTiw</t>
  </si>
  <si>
    <t>14826-A</t>
  </si>
  <si>
    <t>LAPINHA SPA</t>
  </si>
  <si>
    <t>8B00230927003147</t>
  </si>
  <si>
    <t>ESTE CASO , FAREMOS A ENTRADA DAS MAQUINAS DO PEDIDO 14224 LAR LAPEANO DE VOLTA NO ESTOQUE , FISCAL FAZER A NF DE DEVOLUÇÃO, POIS CLIENTE NÃO PODE FAZER, MOTIVOS FISCAIS . FINANCEIRO - ESSE PEDIDO NÃO IRÁ GERAR FINANCEIRO - OS BOLETOS ANTERIORES IRÃO SE MANTER FISCAL EM ANEXO A DECLARAÇÃO DO LAR LAPEANO . DUVIDAS , MARIO FIZ ESTAS OBS. PEDIDO Nº 75 ENVIADO PELO VENDEDOR RENATO CRIADO EM 30/01/2024 14:37:41 INTEGRADO POR MEIO DO BENDITO NO DIA 30/01/2024 ÀS 23:13:08</t>
  </si>
  <si>
    <t>OIN5w5RZSLS4BObjRgefnQ</t>
  </si>
  <si>
    <t>14826-B</t>
  </si>
  <si>
    <t>8B00230927003151</t>
  </si>
  <si>
    <t>nLX2JDxuQIKFdpDblVxomQ</t>
  </si>
  <si>
    <t>14826-C</t>
  </si>
  <si>
    <t>8B00230927003174</t>
  </si>
  <si>
    <t>kOZ1xbCPRuicR1gH3zeSxQ</t>
  </si>
  <si>
    <t>14826-D</t>
  </si>
  <si>
    <t>DEVOLVIDO NFE 10556; OP 8B00230927003168</t>
  </si>
  <si>
    <t>a-9jm-DTaRWi86Bz3gx9xqQ</t>
  </si>
  <si>
    <t>14827-A</t>
  </si>
  <si>
    <t>HIDRO AMBIENTAL</t>
  </si>
  <si>
    <t>13146</t>
  </si>
  <si>
    <t>PEDIDO Nº 76 ENVIADO PELO VENDEDOR THIAGO CRIADO EM 30/01/2024 14:48:40 INTEGRADO POR MEIO DO BENDITO NO DIA 30/01/2024 ÀS 23:14:28</t>
  </si>
  <si>
    <t>0mPshmGPQ-eWa2VYzwJA9Q</t>
  </si>
  <si>
    <t>14827-B</t>
  </si>
  <si>
    <t>13142</t>
  </si>
  <si>
    <t>a-OyvPmVXRgCeDoocaZWTZg</t>
  </si>
  <si>
    <t>14828</t>
  </si>
  <si>
    <t>8B00230924003188</t>
  </si>
  <si>
    <t>PEDIDO Nº 77 ENVIADO PELO VENDEDOR RENATO CRIADO EM 30/01/2024 18:01:55 INTEGRADO POR MEIO DO BENDITO NO DIA 30/01/2024 ÀS 23:15:11</t>
  </si>
  <si>
    <t>qMUl65R1RU2w2cnpI6.tqA</t>
  </si>
  <si>
    <t>14829</t>
  </si>
  <si>
    <t>SENSOR LIGHT SAUDE AMBIENTAL E DO LAR LTDA - ME</t>
  </si>
  <si>
    <t>13143</t>
  </si>
  <si>
    <t>KGR</t>
  </si>
  <si>
    <t>- PEDIDO Nº 78 ENVIADO PELO VENDEDOR SADI CRIADO EM 30/01/2024 18:02:13 INTEGRADO POR MEIO DO BENDITO NO DIA 30/01/2024 ÀS 23:15:40</t>
  </si>
  <si>
    <t>PjXMHtkGQDilIamm0lsoeQ</t>
  </si>
  <si>
    <t>14830</t>
  </si>
  <si>
    <t>BOLHA AZUL COMERCIO VAREJISTA DE PISCINAS E EQUIPAMENTOS PAR</t>
  </si>
  <si>
    <t>8A00240514003047</t>
  </si>
  <si>
    <t>DESCONTAR EM 10X DA COMISSÃO - 8B00231215003193 tirada do renato para da ao rojanski</t>
  </si>
  <si>
    <t>toYTA.E.Smq2Hbc5pa4neA</t>
  </si>
  <si>
    <t>14831</t>
  </si>
  <si>
    <t>13144</t>
  </si>
  <si>
    <t>MAQUINA COM QUADRO DESLOCADO! PEDIDO Nº 80 ENVIADO PELO VENDEDOR RENATO CRIADO EM 31/01/2024 08:49:34 INTEGRADO POR MEIO DO BENDITO NO DIA 31/01/2024 ÀS 12:33:37</t>
  </si>
  <si>
    <t>P3hbP8WEQOCDU0YFYa6u9Q</t>
  </si>
  <si>
    <t>14832</t>
  </si>
  <si>
    <t>13147</t>
  </si>
  <si>
    <t>DESCONTO DE +10% E + 4% (ESPECIAL E A VISTA) CLIENTE: RAFFAELLA BOTTINI PEDIDO Nº 81 ENVIADO PELO VENDEDOR CARLOS AUGUSTO CRIADO EM 31/01/2024 10:19:54 INTEGRADO POR MEIO DO BENDITO NO DIA 31/01/2024 ÀS 13:36:29</t>
  </si>
  <si>
    <t>BqRxyezoSTmzyzgJGKMGpw</t>
  </si>
  <si>
    <t>14833</t>
  </si>
  <si>
    <t>13148</t>
  </si>
  <si>
    <t>ESTE PEDIDO SE TRATA DE UMA TROCA DA MÁQUINA 13191-B, CONFORME OS - 2472 PEDIDO NÃO VAI GERAR FINANCEIRO PEDIDO Nº 82 ENVIADO PELO VENDEDOR RICARDO HENRIQUE CRIADO EM 31/01/2024 11:06:39 INTEGRADO POR MEIO DO BENDITO NO DIA 31/01/2024 ÀS 17:45:00</t>
  </si>
  <si>
    <t>VFqiK2QAT5itLAN.N7e1Pw</t>
  </si>
  <si>
    <t>14835</t>
  </si>
  <si>
    <t>CLAVE INCORPORACOES E CONSTRUCOES LTDA</t>
  </si>
  <si>
    <t>13150</t>
  </si>
  <si>
    <t>HIDROTEC</t>
  </si>
  <si>
    <t>JUr2-u7dS-WfTD2wkE53oA</t>
  </si>
  <si>
    <t>14836</t>
  </si>
  <si>
    <t>AMD SERVIÇOS DE INSTALAÇÃO LTDA</t>
  </si>
  <si>
    <t>8B00231215003212</t>
  </si>
  <si>
    <t>PEDIDO Nº 85 ENVIADO PELO VENDEDOR RENATO CRIADO EM 31/01/2024 15:10:16 INTEGRADO POR MEIO DO BENDITO NO DIA 31/01/2024 ÀS 19:08:11</t>
  </si>
  <si>
    <t>4STico.rSaCvnOtWyEaCpQ</t>
  </si>
  <si>
    <t>14837-A</t>
  </si>
  <si>
    <t>8B00231215003232</t>
  </si>
  <si>
    <t>PEDIDO Nº 86 ENVIADO PELO VENDEDOR RENATO CRIADO EM 31/01/2024 15:47:16 INTEGRADO POR MEIO DO BENDITO NO DIA 31/01/2024 ÀS 19:09:02</t>
  </si>
  <si>
    <t>vklXoA5CTt2vqmV9eccr7w</t>
  </si>
  <si>
    <t>14837-B</t>
  </si>
  <si>
    <t>8B00231215003220</t>
  </si>
  <si>
    <t>116G5Jo8SJCYuRzcCa9MOg</t>
  </si>
  <si>
    <t>14838</t>
  </si>
  <si>
    <t>DEVOLVIDO POR SOLICITAÇÃO DO CLIENTE DIA 05/03/24 - NFE 10445 - OP 13151</t>
  </si>
  <si>
    <t>x0Q1klyySD2V6XO42G.96A</t>
  </si>
  <si>
    <t>14839</t>
  </si>
  <si>
    <t>13164</t>
  </si>
  <si>
    <t>REDESPACHO PELA MINAS STAR CONSTAR NA OBSERVAÇÃO DA NOTA FISCAL O NR DA OF 24423 PEDIDO Nº 88 ENVIADO PELO VENDEDOR LUIZ CRIADO EM 31/01/2024 16:43:58 INTEGRADO POR MEIO DO BENDITO NO DIA 31/01/2024 ÀS 20:04:40</t>
  </si>
  <si>
    <t>rJdcqAEMTJ-hNXg9jygKIQ</t>
  </si>
  <si>
    <t>14840</t>
  </si>
  <si>
    <t>PLUG SOLAR ENERGIA LTDA</t>
  </si>
  <si>
    <t>13130</t>
  </si>
  <si>
    <t>TROCA DO PEDIDO 12784, REF. OS - 2432, SEM CUSTOS AO CLIENTE AUTORIZADO POR MARIO PEDIDO SEM COBRANÇA PEDIDO Nº 89 ENVIADO PELO VENDEDOR MARCELO CRIADO EM 31/01/2024 17:23:18 INTEGRADO POR MEIO DO BENDITO NO DIA 31/01/2024 ÀS 22:10:49</t>
  </si>
  <si>
    <t>ZIeSQ2-xS2C9MHaQ5ZHvIg</t>
  </si>
  <si>
    <t>14841-A</t>
  </si>
  <si>
    <t>13160</t>
  </si>
  <si>
    <t>OC 5488. QUADRO DESLOCADO DE EMBUTIR. ENTREGAR : RUA DOS IPES S/N LOTE 22 ITAIPAVA /PETROPOLIS CEP 22.745.360 PEDIDO Nº 90 ENVIADO PELO VENDEDOR RICARDO HENRIQUE CRIADO EM 31/01/2024 17:34:14 INTEGRADO POR MEIO DO BENDITO NO DIA 31/01/2024 ÀS 22:11:52</t>
  </si>
  <si>
    <t>anKvl2fZShidwvjaz1iqmg</t>
  </si>
  <si>
    <t>14841-B</t>
  </si>
  <si>
    <t>13161</t>
  </si>
  <si>
    <t>a-rrVbW.1SiW9BxQoEs3EiA</t>
  </si>
  <si>
    <t>14842</t>
  </si>
  <si>
    <t>13159</t>
  </si>
  <si>
    <t>13.03.24 REPARAMOS QUE ESSA MAQUINA NAO FOI ENTREGUE, E NAO CONSTAVA NOTA FISCAL, ENCONTREI ELA FISICAMENTE AQUI NA FABRICA, ACREDITO QUE A AQUALAR VAI DA FALTA</t>
  </si>
  <si>
    <t>q8sal-w4RSW4gLN568D33w</t>
  </si>
  <si>
    <t>14843</t>
  </si>
  <si>
    <t>13163</t>
  </si>
  <si>
    <t>OC 5580. PAINEL DESLOCADO SOBREPOR. ENTREGAR: RUA JARDIM BOTANICO 448 JARDIM BOTANICO RJ CEP 22 461 000 PEDIDO Nº 92 ENVIADO PELO VENDEDOR RICARDO HENRIQUE CRIADO EM 31/01/2024 17:46:22 INTEGRADO POR MEIO DO BENDITO NO DIA 31/01/2024 ÀS 22:13:09</t>
  </si>
  <si>
    <t>flcIlGaISxCsSR7r.f15Xg</t>
  </si>
  <si>
    <t>14844-A</t>
  </si>
  <si>
    <t>13156</t>
  </si>
  <si>
    <t>OC 5457. PAINEL DESLOCADO SOBREPOR. ENTREGAR : AV LUCIO COSTA 3560 BARRA DA TIJUCA RJ CEP 22 630 101 PEDIDO Nº 93 ENVIADO PELO VENDEDOR RICARDO HENRIQUE CRIADO EM 31/01/2024 17:50:10 INTEGRADO POR MEIO DO BENDITO NO DIA 31/01/2024 ÀS 22:14:09</t>
  </si>
  <si>
    <t>bHnmijRvRgezO2AJ.S1Riw</t>
  </si>
  <si>
    <t>14844-B</t>
  </si>
  <si>
    <t>13157</t>
  </si>
  <si>
    <t>NBwOFRuZRBmPLSIc4b2NqQ</t>
  </si>
  <si>
    <t>14844-C</t>
  </si>
  <si>
    <t>13283</t>
  </si>
  <si>
    <t>jrBzVrr8T02GVv05QOxe6g</t>
  </si>
  <si>
    <t>14845</t>
  </si>
  <si>
    <t>13158</t>
  </si>
  <si>
    <t>OC 5581 . PAINEL DESLOCADO SOBREPOR. ENTREGAR: RUA FELIX PACHECO 291 LEBLON RJ CEP 22 450 080 PEDIDO Nº 94 ENVIADO PELO VENDEDOR RICARDO HENRIQUE CRIADO EM 31/01/2024 17:54:06 INTEGRADO POR MEIO DO BENDITO NO DIA 31/01/2024 ÀS 22:14:43</t>
  </si>
  <si>
    <t>p2jujbPnQMy8ZarXFg0tkA</t>
  </si>
  <si>
    <t>14846</t>
  </si>
  <si>
    <t>13162</t>
  </si>
  <si>
    <t>OC 5583. PAINEL DESLOCADO SOBREPOR. ENTREGAR: AV EPITACIO PESSOA 670 APTO 501 IPANEMA RJ PEDIDO Nº 95 ENVIADO PELO VENDEDOR RICARDO HENRIQUE CRIADO EM 31/01/2024 17:58:09 INTEGRADO POR MEIO DO BENDITO NO DIA 31/01/2024 ÀS 22:15:13</t>
  </si>
  <si>
    <t>1RUBmD.CQKmREv7CVVNWcg</t>
  </si>
  <si>
    <t>14849-A</t>
  </si>
  <si>
    <t>8B00230924003098</t>
  </si>
  <si>
    <t>N/D</t>
  </si>
  <si>
    <t>h3EDlx.bS.W9Pk0HxTUbig</t>
  </si>
  <si>
    <t>14849-B</t>
  </si>
  <si>
    <t>8B00230924003099</t>
  </si>
  <si>
    <t>C-eem1dXSqqk-bo.QKoGKw</t>
  </si>
  <si>
    <t>14851</t>
  </si>
  <si>
    <t>13166</t>
  </si>
  <si>
    <t>OC 5582 . TOUCH DESLOCADO SOBREPOR. ENTREGAR: AV JOAO CARLOS MACHADO 140 COBERTURA BARRA DA TIJUCA CEP 22 620 082 LIGAR ANTES DE ENTREGAR. PEDIDO Nº 96 ENVIADO PELO VENDEDOR RICARDO HENRIQUE CRIADO EM 01/02/2024 17:18:28 INTEGRADO POR MEIO DO BENDITO NO DIA 02/02/2024 ÀS 12:17:47</t>
  </si>
  <si>
    <t>HUlapgfhT2uesFqvm2TIvw</t>
  </si>
  <si>
    <t>14852</t>
  </si>
  <si>
    <t>MILENA LOPES AGUIAR XAVIER</t>
  </si>
  <si>
    <t>11844</t>
  </si>
  <si>
    <t>PEDIDO PARA ATENDER AT SOLICITADO PELO GERENTE DE VENDAS - MÁRIO REFERENTE AO PEDIDO 10143 - NF 7618 PEDIDO Nº 97 ENVIADO PELO VENDEDOR FÁBIO CRIADO EM 02/02/2024 13:38:36 INTEGRADO POR MEIO DO BENDITO NO DIA 02/02/2024 ÀS 16:54:19</t>
  </si>
  <si>
    <t>V81f4HIrTpa.7gV.ypuB0w</t>
  </si>
  <si>
    <t>14853-A</t>
  </si>
  <si>
    <t>C. I. ENERGIA SOLAR</t>
  </si>
  <si>
    <t>8B00231215003245</t>
  </si>
  <si>
    <t>CLIENTE VAI FAZER O PIX NO DIA 10 DE FEVEREIRO PEDIDO Nº 98 ENVIADO PELO VENDEDOR RENATO CRIADO EM 02/02/2024 14:31:50 INTEGRADO POR MEIO DO BENDITO NO DIA 02/02/2024 ÀS 17:44:50</t>
  </si>
  <si>
    <t>sfUdR3YlR2KrtDFB2v788Q</t>
  </si>
  <si>
    <t>14853-B</t>
  </si>
  <si>
    <t>8B00231215003238</t>
  </si>
  <si>
    <t>MCHLQzueQByjSrNf1ph3Ug</t>
  </si>
  <si>
    <t>14854</t>
  </si>
  <si>
    <t>IOHANA DE BRUM KROTH PISCINAS &amp; CIA</t>
  </si>
  <si>
    <t>13168</t>
  </si>
  <si>
    <t>PEDIDO Nº 99 ENVIADO PELO VENDEDOR CARLOS AUGUSTO CRIADO EM 02/02/2024 14:44:04 INTEGRADO POR MEIO DO BENDITO NO DIA 02/02/2024 ÀS 17:45:47</t>
  </si>
  <si>
    <t>c9waICR.Ta2w4u438dLBMA</t>
  </si>
  <si>
    <t>14855-A</t>
  </si>
  <si>
    <t>8B00231215003181</t>
  </si>
  <si>
    <t>ENVIADO EMAIL P/ RENATO PARA VERIFICAR SOBRE O PAGAMENTO - 08/03</t>
  </si>
  <si>
    <t>ETO1-4NkRtWzXFiJpV3Seg</t>
  </si>
  <si>
    <t>14856</t>
  </si>
  <si>
    <t>8B00230924003152</t>
  </si>
  <si>
    <t>CLIENTE HERALDO DESCONTOS + 10% E A VISTA + 4% PEDIDO Nº 102 ENVIADO PELO VENDEDOR CARLOS AUGUSTO CRIADO EM 05/02/2024 07:21:34 INTEGRADO POR MEIO DO BENDITO NO DIA 05/02/2024 ÀS 11:10:23</t>
  </si>
  <si>
    <t>AvLd7HeURNWVlgdX.h39Fw</t>
  </si>
  <si>
    <t>14858</t>
  </si>
  <si>
    <t>13171</t>
  </si>
  <si>
    <t>CIF - COM REDESPACHO PELA GRIFE - PAINEL DESLOCADO DE EMBUTIR PEDIDO Nº 104 ENVIADO PELO VENDEDOR LUIZ CRIADO EM 05/02/2024 15:10:43 INTEGRADO POR MEIO DO BENDITO NO DIA 06/02/2024 ÀS 12:55:42</t>
  </si>
  <si>
    <t>BADekd8mQoapeSJlvmFjdg</t>
  </si>
  <si>
    <t>14859</t>
  </si>
  <si>
    <t>SPG ENERGIA SOLAR</t>
  </si>
  <si>
    <t>8B00230924003164</t>
  </si>
  <si>
    <t>ENVIAR SOLICITAÇÃO DE DEPÓSITO DO SINAL PARA EDIVALDO NOS SEGUINTES E-MAILS: FINANCEIRO@SPGENERGIA.COM.BR E CORDEIRO@SPGENERGIA.COM.BR PEDIDO Nº 105 ENVIADO PELO VENDEDOR FÁBIO CRIADO EM 06/02/2024 08:54:52 INTEGRADO POR MEIO DO BENDITO NO DIA 06/02/2024 ÀS 12:56:23</t>
  </si>
  <si>
    <t>1LoEuOm5TImz.SaY3UHZfw</t>
  </si>
  <si>
    <t>14860</t>
  </si>
  <si>
    <t>13172</t>
  </si>
  <si>
    <t>PEDIDO Nº 106 ENVIADO PELO VENDEDOR FÁBIO CRIADO EM 06/02/2024 09:17:18 INTEGRADO POR MEIO DO BENDITO NO DIA 06/02/2024 ÀS 13:00:28</t>
  </si>
  <si>
    <t>a-ruxFUg5RWm8dN2daTodmg</t>
  </si>
  <si>
    <t>14862</t>
  </si>
  <si>
    <t>GLOBAL TECH BRASIL COMERCIO ELETRONICO LTDA</t>
  </si>
  <si>
    <t>13173</t>
  </si>
  <si>
    <t>DESCONTO ESPECIAL DE 10% - 3% DESCONTAR DO SALDO DE CRÉDITO DO CLIENTE PEDIDO DO CLIENTE N° 5107 - CONSTAR EM NF PEDIDO Nº 107 ENVIADO PELO VENDEDOR FÁBIO CRIADO EM 06/02/2024 16:37:18 INTEGRADO POR MEIO DO BENDITO NO DIA 07/02/2024 ÀS 13:14:08</t>
  </si>
  <si>
    <t>o0yScAN9Qpi3wlbCpSyjXg</t>
  </si>
  <si>
    <t>14863</t>
  </si>
  <si>
    <t>13174</t>
  </si>
  <si>
    <t>DESCONTO ESPECIAL ANTECIPADO PEDIDO Nº 108 ENVIADO PELO VENDEDOR SADI CRIADO EM 06/02/2024 17:26:49 INTEGRADO POR MEIO DO BENDITO NO DIA 07/02/2024 ÀS 13:14:33</t>
  </si>
  <si>
    <t>9hWvXh8wS-yUWIXjP99xZg</t>
  </si>
  <si>
    <t>14867</t>
  </si>
  <si>
    <t>8B00230927003173</t>
  </si>
  <si>
    <t>BONIFICAÇÃO DE DESCONTO PARA VICTOR . PEDIDO Nº 110 ENVIADO PELO VENDEDOR CARLOS AUGUSTO CRIADO EM 08/02/2024 08:39:34 INTEGRADO POR MEIO DO BENDITO NO DIA 08/02/2024 ÀS 11:46:25</t>
  </si>
  <si>
    <t>i84Tp3zIQOunTLO7.Axzkg</t>
  </si>
  <si>
    <t>14868</t>
  </si>
  <si>
    <t>13175</t>
  </si>
  <si>
    <t>PAINEL DESTADO DE EMBUTIR FRETE COM REDESPACHO PELA MINAS STAR NR DA ORDEM DE COMPRA 002. PEDIDO Nº 111 ENVIADO PELO VENDEDOR LUIZ CRIADO EM 08/02/2024 09:20:55 INTEGRADO POR MEIO DO BENDITO NO DIA 08/02/2024 ÀS 18:19:18</t>
  </si>
  <si>
    <t>S143-gCLTB-b5VhLND..pw</t>
  </si>
  <si>
    <t>14869-A</t>
  </si>
  <si>
    <t>8B00231215003184</t>
  </si>
  <si>
    <t>PEDIDO Nº 112 ENVIADO PELO VENDEDOR CARLOS AUGUSTO CRIADO EM 08/02/2024 14:30:20 INTEGRADO POR MEIO DO BENDITO NO DIA 08/02/2024 ÀS 18:19:51</t>
  </si>
  <si>
    <t>tRFFhkqwSryP-LBZt6mjkw</t>
  </si>
  <si>
    <t>14869-B</t>
  </si>
  <si>
    <t>8B00231215003191</t>
  </si>
  <si>
    <t>AvClF8nKRjSprcR6tV94-g</t>
  </si>
  <si>
    <t>14870</t>
  </si>
  <si>
    <t>HI-TECH BANHEIRAS E PISCINAS</t>
  </si>
  <si>
    <t>13176</t>
  </si>
  <si>
    <t>DESCONTO EXTRA DE 5% QUADRO TOUCH DESLOCADO DE SOBREPOR PEDIDO Nº 114 ENVIADO PELO VENDEDOR CARLOS AUGUSTO CRIADO EM 08/02/2024 18:02:19 INTEGRADO POR MEIO DO BENDITO NO DIA 09/02/2024 ÀS 14:38:41</t>
  </si>
  <si>
    <t>enFWE2p-RSeVbX.opiKeKQ</t>
  </si>
  <si>
    <t>14871</t>
  </si>
  <si>
    <t>DONATTI DISTRIBUIDORA</t>
  </si>
  <si>
    <t>13177</t>
  </si>
  <si>
    <t>PEDIDO Nº 113 ENVIADO PELO VENDEDOR RENATO CRIADO EM 08/02/2024 16:38:49 INTEGRADO POR MEIO DO BENDITO NO DIA 09/02/2024 ÀS 14:42:39</t>
  </si>
  <si>
    <t>60A93LRNQaCwM3Ki08ml6w</t>
  </si>
  <si>
    <t>14872</t>
  </si>
  <si>
    <t>13178</t>
  </si>
  <si>
    <t>CLIENTE: GREEN PARK (CONSTAR EM NF) DESCONTO DE 10% AUT. PELO GERENTE MÁRIO URGENTE PEDIDO Nº 115 ENVIADO PELO VENDEDOR FÁBIO CRIADO EM 08/02/2024 18:53:51 INTEGRADO POR MEIO DO BENDITO NO DIA 09/02/2024 ÀS 14:44:48</t>
  </si>
  <si>
    <t>HuFwGlhUTqixQrZmo09Jug</t>
  </si>
  <si>
    <t>14873</t>
  </si>
  <si>
    <t>8B00230924003163</t>
  </si>
  <si>
    <t>PEDIDO Nº 116 ENVIADO PELO VENDEDOR RENATO CRIADO EM 09/02/2024 15:16:51 INTEGRADO POR MEIO DO BENDITO NO DIA 12/02/2024 ÀS 20:59:28</t>
  </si>
  <si>
    <t>S0MrPu7hTF-O-T504wsfcg</t>
  </si>
  <si>
    <t>14874</t>
  </si>
  <si>
    <t>SYLVIA RODRIGUES DE CARVALHO &amp; CIA LTDA - ME</t>
  </si>
  <si>
    <t>13188</t>
  </si>
  <si>
    <t>FRETE FOB. COTAR E EMBUTIR NA NF. LIGAR ANTES DE SEGUIR COM A ENTREGA 24 99855 6505 RAFAEL OU 24 98854 1280 SYLVIA PEDIDO Nº 118 ENVIADO PELO VENDEDOR RICARDO HENRIQUE CRIADO EM 14/02/2024 09:04:48 INTEGRADO POR MEIO DO BENDITO NO DIA 14/02/2024 ÀS 12:31:33 COTAÇÃO: 202991</t>
  </si>
  <si>
    <t>skgrpoD7Sn-ukJzXN52VZw</t>
  </si>
  <si>
    <t>14876-A</t>
  </si>
  <si>
    <t>KYP COMERCIO DE EQUIPAMENTOS PARA PISCINAS EIRELI</t>
  </si>
  <si>
    <t>8B00240122003463</t>
  </si>
  <si>
    <t>MJK3956 - FIT LOG - NEILSON DE JESUS FARIAS  - 06054254502 - FIAT / DUCATO MAXICARGO / AMARELA / 2012</t>
  </si>
  <si>
    <t>ORIGINALMENTE ERA UMA FTI35D40PT APROVADO PELO GC MARIO NO DIA 03/05 PARA ENVIAR FTI45D NO MESMO PREÇO</t>
  </si>
  <si>
    <t>kWCJ47AWS2azdzIyHN82kw</t>
  </si>
  <si>
    <t>14876-B</t>
  </si>
  <si>
    <t>8B00240122003279</t>
  </si>
  <si>
    <t>PEDIDO Nº 119 ENVIADO PELO VENDEDOR FÁBIO CRIADO EM 14/02/2024 15:14:11 INTEGRADO POR MEIO DO BENDITO NO DIA 15/02/2024 ÀS 01:05:24</t>
  </si>
  <si>
    <t>TF7xG5xpQ5e69lYaxvS-sA</t>
  </si>
  <si>
    <t>14876-C</t>
  </si>
  <si>
    <t>8B00240122003420</t>
  </si>
  <si>
    <t>mivJmANGRTuXG.h9lCvh5w</t>
  </si>
  <si>
    <t>14877</t>
  </si>
  <si>
    <t>8B00231215003143</t>
  </si>
  <si>
    <t>PEDIDO Nº 120 ENVIADO PELO VENDEDOR FÁBIO CRIADO EM 14/02/2024 15:16:56 INTEGRADO POR MEIO DO BENDITO NO DIA 15/02/2024 ÀS 01:05:36</t>
  </si>
  <si>
    <t>5vmHTPnWSiGM0W4auWoKOA</t>
  </si>
  <si>
    <t>14878</t>
  </si>
  <si>
    <t>NEO ENERGY</t>
  </si>
  <si>
    <t>13189</t>
  </si>
  <si>
    <t>QUADRO TOUCH DESLOCADO DE SOBREPOR PEDIDO Nº 121 ENVIADO PELO VENDEDOR CARLOS AUGUSTO CRIADO EM 14/02/2024 16:37:08 INTEGRADO POR MEIO DO BENDITO NO DIA 15/02/2024 ÀS 01:06:15</t>
  </si>
  <si>
    <t>CKkar7B8QS-u7mImplFPcA</t>
  </si>
  <si>
    <t>14881</t>
  </si>
  <si>
    <t>FT60F35</t>
  </si>
  <si>
    <t>PEDIDO Nº 123 ENVIADO PELO VENDEDOR SADI - REDESPACHO: RAPIDO FIGUEIREDO - OP DEVOLVIDA 13190</t>
  </si>
  <si>
    <t>3uoke4hyTYe5Rf7P8FX67g</t>
  </si>
  <si>
    <t>14882</t>
  </si>
  <si>
    <t>13191</t>
  </si>
  <si>
    <t>PEDIDO Nº 124 ENVIADO PELO VENDEDOR CARLOS AUGUSTO CRIADO EM 16/02/2024 16:20:25 INTEGRADO POR MEIO DO BENDITO NO DIA 16/02/2024 ÀS 19:25:58</t>
  </si>
  <si>
    <t>X8fxfEHyQkCEoBSfRHDVkg</t>
  </si>
  <si>
    <t>14884</t>
  </si>
  <si>
    <t>ISAAC AURELIO DE VASCONCELOS</t>
  </si>
  <si>
    <t>11983</t>
  </si>
  <si>
    <t>4pIGHzcNTrKVdwHYJxHxwQ</t>
  </si>
  <si>
    <t>14885</t>
  </si>
  <si>
    <t>OP 13193</t>
  </si>
  <si>
    <t>sk.Z96F6RzuwnXHIIlkQNQ</t>
  </si>
  <si>
    <t>14886-A</t>
  </si>
  <si>
    <t>13194</t>
  </si>
  <si>
    <t>PEDIDO CLIENTE 12784 DESCONTO EXTRA DE 8%, AUT. PRISCILLA PEDIDO Nº 126 ENVIADO PELO VENDEDOR CARLOS AUGUSTO CRIADO EM 19/02/2024 09:08:53 INTEGRADO POR MEIO DO BENDITO NO DIA 19/02/2024 ÀS 15:00:46</t>
  </si>
  <si>
    <t>9OikhhxbRlKQBHHg.jYztQ</t>
  </si>
  <si>
    <t>14886-B</t>
  </si>
  <si>
    <t>13195</t>
  </si>
  <si>
    <t>RgOfFkKBR3S9Dt6IFY6h9g</t>
  </si>
  <si>
    <t>14887-A</t>
  </si>
  <si>
    <t>LAR PISCINAS SERVICOS E COMERCIO LTDA</t>
  </si>
  <si>
    <t>13196</t>
  </si>
  <si>
    <t>CLIENTE RETORNOU AO ATENDIMENTO DA GERENCIA . POR OPÇÃO DO CLIENTE .  NÃO PRECISA COPIAR O REPRESENTANTE NO EMAIL .</t>
  </si>
  <si>
    <t>zXXfgmJKT9-uwjcgcBpUHQ</t>
  </si>
  <si>
    <t>14887-B</t>
  </si>
  <si>
    <t>13197</t>
  </si>
  <si>
    <t>z-mhb.AfSx-Z.UuBZVjZyg</t>
  </si>
  <si>
    <t>14887-C</t>
  </si>
  <si>
    <t>13198</t>
  </si>
  <si>
    <t>9vxsox-LSkG353VMvMFnQA</t>
  </si>
  <si>
    <t>14887-D</t>
  </si>
  <si>
    <t>13199</t>
  </si>
  <si>
    <t>RoKvoKDCRFSCsLF7Fdfm1g</t>
  </si>
  <si>
    <t>14887-E</t>
  </si>
  <si>
    <t>13200</t>
  </si>
  <si>
    <t>syVbVKpLRwe9fb.oyoQdbQ</t>
  </si>
  <si>
    <t>14887-F</t>
  </si>
  <si>
    <t>13201</t>
  </si>
  <si>
    <t>D9TFG3K3Qguo-z-F7fsFeg</t>
  </si>
  <si>
    <t>14887-G</t>
  </si>
  <si>
    <t>13202</t>
  </si>
  <si>
    <t>wp6hZaamTv2K2WsgeH.Elw</t>
  </si>
  <si>
    <t>14887-H</t>
  </si>
  <si>
    <t>13203</t>
  </si>
  <si>
    <t>NIYvKIOoTCW2e2y5Vsxm.g</t>
  </si>
  <si>
    <t>14888-A</t>
  </si>
  <si>
    <t>DE LARA PISCINAS</t>
  </si>
  <si>
    <t>8B00230924003159</t>
  </si>
  <si>
    <t>PEDIDO Nº 128 ENVIADO PELO VENDEDOR RENATO CRIADO EM 20/02/2024 14:20:56 INTEGRADO POR MEIO DO BENDITO NO DIA 20/02/2024 ÀS 18:04:28</t>
  </si>
  <si>
    <t>1Sw6zl1DREeMRKsuvLqbRQ</t>
  </si>
  <si>
    <t>14888-B</t>
  </si>
  <si>
    <t>8B00230924003109</t>
  </si>
  <si>
    <t>TEnnAvWiSsO.HYC-8r1Omg</t>
  </si>
  <si>
    <t>14888-C</t>
  </si>
  <si>
    <t>8B00230924003106</t>
  </si>
  <si>
    <t>R9vKVx0WQNu0VRWRU.FAbw</t>
  </si>
  <si>
    <t>14889</t>
  </si>
  <si>
    <t>13206</t>
  </si>
  <si>
    <t>FRETE CIF, REDESPACHO RADLOG, QUADRO DE COMANDO DESLOCADO SOBREPOR.</t>
  </si>
  <si>
    <t>7FmqshvnQMuSrJL4q3xEAw</t>
  </si>
  <si>
    <t>14890</t>
  </si>
  <si>
    <t>13207</t>
  </si>
  <si>
    <t>MAQUINA FT 60 COM VALOR DE FT 50 AUTORIZADA PELO MARIO.</t>
  </si>
  <si>
    <t>lE4ogmGRQF-NveGr0rSl5g</t>
  </si>
  <si>
    <t>14892</t>
  </si>
  <si>
    <t>13210</t>
  </si>
  <si>
    <t>QUADRO DESLOCADO DE SOBREPOR, FRETE CIF REDESPACHO RADLOG.</t>
  </si>
  <si>
    <t>9cpiGgH6TcqS11GV2wIsFA</t>
  </si>
  <si>
    <t>14893</t>
  </si>
  <si>
    <t>13208</t>
  </si>
  <si>
    <t>CLIENTE - QUARTIER LATIN (CONSTAR EM NF) DESCONTO DE 10% AUT PELO GV MÁRIO</t>
  </si>
  <si>
    <t>jdwPrRLiRLOi-Tr4YeHk5g</t>
  </si>
  <si>
    <t>14894-A</t>
  </si>
  <si>
    <t>PODYUM CONSTRUCOES E PISCINAS LTDA - ME</t>
  </si>
  <si>
    <t>13235</t>
  </si>
  <si>
    <t>PRIMEIRO BOLETO PARA 17/04 E OS DEMAIS PARA 30/60. PEDIDO Nº 134 ENVIADO PELO VENDEDOR THIAGO CRIADO EM 23/02/2024 14:33:25 INTEGRADO POR MEIO DO BENDITO NO DIA 26/02/2024 ÀS 11:27:18</t>
  </si>
  <si>
    <t>UlPeVWwkSiKeg3s7bFf1AQ</t>
  </si>
  <si>
    <t>14894-B</t>
  </si>
  <si>
    <t>13236</t>
  </si>
  <si>
    <t>8TPaLzSJRVWG2aCGB.7OJQ</t>
  </si>
  <si>
    <t>14894-C</t>
  </si>
  <si>
    <t>13237</t>
  </si>
  <si>
    <t>0bIOiHDZT32CyPHalxPq6Q</t>
  </si>
  <si>
    <t>14895</t>
  </si>
  <si>
    <t>ELETRO COELHO</t>
  </si>
  <si>
    <t>13211</t>
  </si>
  <si>
    <t>FH80L60T</t>
  </si>
  <si>
    <t>EMAIL DO CLIENTE: FINANCEIRO@ELETROCOELHO.COM.BR PEDIDO Nº 135 ENVIADO PELO VENDEDOR CARLOS AUGUSTO CRIADO EM 26/02/2024 08:29:54 INTEGRADO POR MEIO DO BENDITO NO DIA 26/02/2024 ÀS 11:34:25</t>
  </si>
  <si>
    <t>wjq2mNY2RfGL-jAlqWRWJA</t>
  </si>
  <si>
    <t>14896</t>
  </si>
  <si>
    <t>13212</t>
  </si>
  <si>
    <t>TRANSPORTADORA BOM JESUS. VENDA INDICADA PELA AGUAS E VAPORES - RN</t>
  </si>
  <si>
    <t>RN</t>
  </si>
  <si>
    <t>a.92JjYVlSg6oGZs9D4BTOw</t>
  </si>
  <si>
    <t>14899</t>
  </si>
  <si>
    <t>8B00231215003229</t>
  </si>
  <si>
    <t>PEDIDO Nº 138 ENVIADO PELO VENDEDOR THIAGO CRIADO EM 26/02/2024 15:14:46 INTEGRADO POR MEIO DO BENDITO NO DIA 26/02/2024 ÀS 19:06:25</t>
  </si>
  <si>
    <t>7Qpxo-jvS.ilyUxHtMnhTQ</t>
  </si>
  <si>
    <t>14900</t>
  </si>
  <si>
    <t>ACADEMIA NOVA GERACAO LTDA</t>
  </si>
  <si>
    <t>13213</t>
  </si>
  <si>
    <t>FRETE CIF, REDESPACHO RADLOG. PEDIDO Nº 139 ENVIADO PELO VENDEDOR ANDERSON CRIADO EM 26/02/2024 17:18:20 INTEGRADO POR MEIO DO BENDITO NO DIA 26/02/2024 ÀS 21:04:24</t>
  </si>
  <si>
    <t>vMDz9uR7S.6tbG9JCDlqhA</t>
  </si>
  <si>
    <t>14901</t>
  </si>
  <si>
    <t>8B00231215003216</t>
  </si>
  <si>
    <t>DESCONTO DE 10% + 3% AUT PELO GV MÁRIO PEDIDO Nº 140 ENVIADO PELO VENDEDOR FÁBIO CRIADO EM 26/02/2024 18:45:47 INTEGRADO POR MEIO DO BENDITO NO DIA 27/02/2024 ÀS 12:13:04</t>
  </si>
  <si>
    <t>rWXYiB8kQaKY7TqV-oQx8g</t>
  </si>
  <si>
    <t>14902</t>
  </si>
  <si>
    <t>EQUIPAMENTO PARA SHOW ROOM AUTORIZADO PELO GV MÁRIO. PEDIDO Nº 137 ENVIADO PELO VENDEDOR FÁBIO CRIADO EM 26/02/2024 15:05:12 INTEGRADO POR MEIO DO BENDITO NO DIA 27/02/2024 ÀS 13:13:27 - 8B00231215003172</t>
  </si>
  <si>
    <t>xB8CFjM2SR-aYeA5O-vIJQ</t>
  </si>
  <si>
    <t>14903</t>
  </si>
  <si>
    <t>UNIVERSIDADE LUTERANA DO BRASIL - CAMPUS CANOAS</t>
  </si>
  <si>
    <t>13221</t>
  </si>
  <si>
    <t>ORÇAMENTO PEDIDO Nº 127 ENVIADO PELO VENDEDOR THIAGO CRIADO EM 19/02/2024 09:37:26 INTEGRADO POR MEIO DO BENDITO NO DIA 27/02/2024 ÀS 14:50:09</t>
  </si>
  <si>
    <t>IbuxKr3YSDuMfWL8XZxUkA</t>
  </si>
  <si>
    <t>14905</t>
  </si>
  <si>
    <t>CLAUDIO PISCINAS</t>
  </si>
  <si>
    <t>13215</t>
  </si>
  <si>
    <t>FH160F60T</t>
  </si>
  <si>
    <t>REDESPACHO EXPRESSO RAQUEL. PREÇO AUTORIZADO POR MÁRIO DICK. SINAL R$ 5.250,00 POR PIX. ENVIAREMOS COMPROVANTE.</t>
  </si>
  <si>
    <t>kj-1bjtTSQmrSeo1mCg2kg</t>
  </si>
  <si>
    <t>14906</t>
  </si>
  <si>
    <t>13170</t>
  </si>
  <si>
    <t>ENTREGA PARA DIA 04/03 - SAIR DA FÁBRICA COM PRIORIDADE NA TRANSPORTADORA PARA ENTREGA ATÉ SEXTA, DIA 08/03. AUTORIZADO PELO GV MÁRIO.</t>
  </si>
  <si>
    <t>oOT2lsJuQTCGm7.lh08Yag</t>
  </si>
  <si>
    <t>14907-A</t>
  </si>
  <si>
    <t>13216</t>
  </si>
  <si>
    <t>PEDIDO Nº 143 ENVIADO PELO VENDEDOR RENATO CRIADO EM 28/02/2024 10:38:13 INTEGRADO POR MEIO DO BENDITO NO DIA 28/02/2024 ÀS 21:45:56</t>
  </si>
  <si>
    <t>a--jj-AneS.GtMr7iH.bELQ</t>
  </si>
  <si>
    <t>14907-B</t>
  </si>
  <si>
    <t>13217</t>
  </si>
  <si>
    <t>zdvxTu5bRZu-aBRMbpxbXA</t>
  </si>
  <si>
    <t>14908</t>
  </si>
  <si>
    <t>EDSON SERINEU SCHIMIDT SOCIEDADE UNIPESSOAL LTDA</t>
  </si>
  <si>
    <t>8B00231215003240</t>
  </si>
  <si>
    <t>20gZUMjiRKqa11zRRYn-zg</t>
  </si>
  <si>
    <t>14909</t>
  </si>
  <si>
    <t>8B00230924003148</t>
  </si>
  <si>
    <t>PEDIDO Nº 145 ENVIADO PELO VENDEDOR RENATO CRIADO EM 28/02/2024 16:26:03 INTEGRADO POR MEIO DO BENDITO NO DIA 28/02/2024 ÀS 21:47:10</t>
  </si>
  <si>
    <t>QrUEEZNiSe28xn0moustTA</t>
  </si>
  <si>
    <t>14910</t>
  </si>
  <si>
    <t>13218</t>
  </si>
  <si>
    <t>PEDIDO Nº 146 ENVIADO PELO VENDEDOR CARLOS AUGUSTO CRIADO EM 28/02/2024 17:13:26 INTEGRADO POR MEIO DO BENDITO NO DIA 28/02/2024 ÀS 21:47:44</t>
  </si>
  <si>
    <t>YXYC0DgHTqmABPJ-vIpIJQ</t>
  </si>
  <si>
    <t>14911</t>
  </si>
  <si>
    <t>CONDOMINIO DO GRUPAMENTO RESIDENCIAL PACO REAL</t>
  </si>
  <si>
    <t>13220</t>
  </si>
  <si>
    <t>FT240F35</t>
  </si>
  <si>
    <t>PEDIDO EM SUBSTITUIÇÃO AO PEDIDO 13983, UMA MAQUINA COM A VOLTAGEM ERRADO, ERRO DO CLIENTE . FRETE POR CONTA DO CLIENTE .</t>
  </si>
  <si>
    <t>QQzAfu3IQ9SXHJTkJY3b5w</t>
  </si>
  <si>
    <t>14912</t>
  </si>
  <si>
    <t>8B00231215003201</t>
  </si>
  <si>
    <t>TRANSPORTADORA DESTAK - ENVIAR JUNTO COM O PEDIDO 14869 PEDIDO Nº 148 ENVIADO PELO VENDEDOR CARLOS AUGUSTO CRIADO EM 29/02/2024 09:04:44 INTEGRADO POR MEIO DO BENDITO NO DIA 29/02/2024 ÀS 17:49:58</t>
  </si>
  <si>
    <t>p-BFbqT2TiOMWCtFI1gyNA</t>
  </si>
  <si>
    <t>14913</t>
  </si>
  <si>
    <t>SOLUCOES D' AGUA LTDA</t>
  </si>
  <si>
    <t>13225</t>
  </si>
  <si>
    <t>ESSE PEDIDO SERÁ PARA SOLUÇÕES DÁGUA, MESMO GRUPO DA THV SANEAMENTO</t>
  </si>
  <si>
    <t>a-U1P5yqBRQqEnw57WAO8ow</t>
  </si>
  <si>
    <t>14914-A</t>
  </si>
  <si>
    <t>13232</t>
  </si>
  <si>
    <t>DESCONTOS E PRAZO AUTORIZADO PELO MÁRIO: 10% + 4% + 2% VILA CELIMONTANA</t>
  </si>
  <si>
    <t>pkI004sCSoeXyLXNSucimQ</t>
  </si>
  <si>
    <t>14914-B</t>
  </si>
  <si>
    <t>13233</t>
  </si>
  <si>
    <t>fsT4ua8bT3uSvitFx9RAiw</t>
  </si>
  <si>
    <t>14917</t>
  </si>
  <si>
    <t>AVIZ MATERIAIS DE CONSTRUCAO LTDA</t>
  </si>
  <si>
    <t>13219</t>
  </si>
  <si>
    <t>PEDIDO Nº 152 ENVIADO PELO VENDEDOR RENATO CRIADO EM 29/02/2024 18:02:26 INTEGRADO POR MEIO DO BENDITO NO DIA 01/03/2024 ÀS 12:14:19</t>
  </si>
  <si>
    <t>FY3HZdJ8TmyALrKlnxvWoQ</t>
  </si>
  <si>
    <t>14918-A</t>
  </si>
  <si>
    <t>AGUA E LAZER</t>
  </si>
  <si>
    <t>8B00231215003211</t>
  </si>
  <si>
    <t>FRETE COM REDESPACHO PELA SETE LAGOAS PEDIDO Nº 153 ENVIADO PELO VENDEDOR LUIZ CRIADO EM 29/02/2024 08:47:50 INTEGRADO POR MEIO DO BENDITO NO DIA 01/03/2024 ÀS 16:57:19</t>
  </si>
  <si>
    <t>yLBgMv-qT1u6Uyj4-PJHjw</t>
  </si>
  <si>
    <t>14918-B</t>
  </si>
  <si>
    <t>8B00231215003129</t>
  </si>
  <si>
    <t>PiF24qlIQPqxQjbILhVOvg</t>
  </si>
  <si>
    <t>14918-C</t>
  </si>
  <si>
    <t>8B00231215003155</t>
  </si>
  <si>
    <t>s6qJABPxRKqG5chUJkcQVw</t>
  </si>
  <si>
    <t>14919</t>
  </si>
  <si>
    <t>13238</t>
  </si>
  <si>
    <t>CAMPANHA DE MARÇO . PEDIDO Nº 154 ENVIADO PELO VENDEDOR RENATO CRIADO EM 01/03/2024 18:05:53 INTEGRADO POR MEIO DO BENDITO NO DIA 04/03/2024 ÀS 18:11:30</t>
  </si>
  <si>
    <t>3cF-GYpgRQKDzksshWcdcg</t>
  </si>
  <si>
    <t>14920</t>
  </si>
  <si>
    <t>13100</t>
  </si>
  <si>
    <t>QUADRO DESLOCADO DE SOBREPOR - CLIENTE - COSMOPOLITAN (CONSTAR EM NF) - DESCONTO DE 10% AUT PELO GV MÁRIO PEDIDO Nº 155 ENVIADO PELO VENDEDOR FÁBIO CRIADO EM 03/03/2024 21:48:09 INTEGRADO POR MEIO DO BENDITO NO DIA 04/03/2024 ÀS 18:12:02</t>
  </si>
  <si>
    <t>d4pLdGYCSe-qSs24czY0PA</t>
  </si>
  <si>
    <t>14921</t>
  </si>
  <si>
    <t>FAP PISCINAS EIRELI</t>
  </si>
  <si>
    <t>11816</t>
  </si>
  <si>
    <t>PEDIDO Nº 156 ENVIADO PELO VENDEDOR FÁBIO CRIADO EM 03/03/2024 21:52:25 INTEGRADO POR MEIO DO BENDITO NO DIA 04/03/2024 ÀS 18:12:29</t>
  </si>
  <si>
    <t>xsqdCm1yTOeG7sh-xkcgOw</t>
  </si>
  <si>
    <t>14922</t>
  </si>
  <si>
    <t>13226</t>
  </si>
  <si>
    <t>PEDIDO Nº 157 ENVIADO PELO VENDEDOR RENATO CRIADO EM 04/03/2024 12:07:10 INTEGRADO POR MEIO DO BENDITO NO DIA 04/03/2024 ÀS 18:13:07</t>
  </si>
  <si>
    <t>U-NmV-SqTu-bYszRlEs.0Q</t>
  </si>
  <si>
    <t>14923</t>
  </si>
  <si>
    <t>10958</t>
  </si>
  <si>
    <t>PEDIDO Nº 149 ENVIADO PELO VENDEDOR RENATO CRIADO EM 29/02/2024 09:35:00 INTEGRADO POR MEIO DO BENDITO NO DIA 04/03/2024 ÀS 18:14:08</t>
  </si>
  <si>
    <t>AgFVsrCqSZOs6gKrPDbDDw</t>
  </si>
  <si>
    <t>14924</t>
  </si>
  <si>
    <t>8B00230924003128</t>
  </si>
  <si>
    <t>PEDIDO Nº 158 ENVIADO PELO VENDEDOR CARLOS AUGUSTO CRIADO EM 05/03/2024 09:38:12 INTEGRADO POR MEIO DO BENDITO NO DIA 05/03/2024 ÀS 20:51:20</t>
  </si>
  <si>
    <t>Nj0IwZsNQ1O3OQOQ-SxXfQ</t>
  </si>
  <si>
    <t>14925</t>
  </si>
  <si>
    <t>RUSTFER MOVEIS ARTESANAIS</t>
  </si>
  <si>
    <t>8B00231215003242</t>
  </si>
  <si>
    <t>PEDIDO Nº 159 ENVIADO PELO VENDEDOR RENATO CRIADO EM 05/03/2024 10:55:50 INTEGRADO POR MEIO DO BENDITO NO DIA 05/03/2024 ÀS 20:52:10</t>
  </si>
  <si>
    <t>V3Fw8hs7RX-4-nK7CKXhxQ</t>
  </si>
  <si>
    <t>14930-A</t>
  </si>
  <si>
    <t>13239</t>
  </si>
  <si>
    <t>FT 40 QUADRO DESLOCADO DE SOBREPOR PEDIDO Nº 164 ENVIADO PELO VENDEDOR RENATO CRIADO EM 06/03/2024 14:16:38 INTEGRADO POR MEIO DO BENDITO NO DIA 07/03/2024 ÀS 11:54:53</t>
  </si>
  <si>
    <t>H3tr5P3IQYOOl33SyhHIog</t>
  </si>
  <si>
    <t>14930-B</t>
  </si>
  <si>
    <t>13244</t>
  </si>
  <si>
    <t>xu907Cl9R5e0GRRIY2Bafg</t>
  </si>
  <si>
    <t>14930-C</t>
  </si>
  <si>
    <t>13227</t>
  </si>
  <si>
    <t>tyaORPseRd2svUL9DwalMA</t>
  </si>
  <si>
    <t>14930-D</t>
  </si>
  <si>
    <t>13241</t>
  </si>
  <si>
    <t>ZYCIboPHSs6dFuLGh9sfpA</t>
  </si>
  <si>
    <t>14931</t>
  </si>
  <si>
    <t>8B00231215003195</t>
  </si>
  <si>
    <t>DESCONTO EVENTO NA LOJA: +4 + 2 % AUT. MARIO CLIENTE: ANNITA PETRY PEDIDO Nº 162 ENVIADO PELO VENDEDOR CARLOS AUGUSTO CRIADO EM 06/03/2024 06:47:47 INTEGRADO POR MEIO DO BENDITO NO DIA 07/03/2024 ÀS 11:56:06</t>
  </si>
  <si>
    <t>pro6KspwT0KENLeU7zmpcQ</t>
  </si>
  <si>
    <t>14932</t>
  </si>
  <si>
    <t>8B00231215003160</t>
  </si>
  <si>
    <t>ESTE PEDIDO SUBSTITUI A FT80 DA NOTA FISCAL 10369 (ESSA NF TEVE OS BOLETOS CANCELADOS, LOGO ESSE PEDIDO IRÁ GERAR BOLETOS. PEDIDO VENDA 13900 PEDIDO Nº 163 ENVIADO PELO VENDEDOR CARLOS AUGUSTO CRIADO EM 06/03/2024 06:50:14 INTEGRADO POR MEIO DO BENDITO NO DIA 07/03/2024 ÀS 11:56:22</t>
  </si>
  <si>
    <t>mcuxoGd9S6WPK4cZSlljEA</t>
  </si>
  <si>
    <t>14933</t>
  </si>
  <si>
    <t>8B00231215003174</t>
  </si>
  <si>
    <t>PEDIDO Nº 166 ENVIADO PELO VENDEDOR MARCELO CRIADO EM 07/03/2024 10:36:30 INTEGRADO POR MEIO DO BENDITO NO DIA 07/03/2024 ÀS 15:07:07</t>
  </si>
  <si>
    <t>F06.ik8hT0uSPDziaGekbw</t>
  </si>
  <si>
    <t>14934</t>
  </si>
  <si>
    <t>PISCINAS CAMPO LARGO LTDA - ME</t>
  </si>
  <si>
    <t>13240</t>
  </si>
  <si>
    <t>PRIORIDADE</t>
  </si>
  <si>
    <t>C1GDBSCdTveQt4oaGqDXhQ</t>
  </si>
  <si>
    <t>14935</t>
  </si>
  <si>
    <t>MIRANDA PISCINAS - EIRELI</t>
  </si>
  <si>
    <t>8B00240122003309</t>
  </si>
  <si>
    <t>FAVOR ALTERAR A CONDIÇÃO DE PGTO PARA 120 DIAS PEDIDO Nº 167 ENVIADO PELO VENDEDOR RENATO CRIADO EM 07/03/2024 13:58:58 INTEGRADO POR MEIO DO BENDITO NO DIA 07/03/2024 ÀS 17:16:36</t>
  </si>
  <si>
    <t>wgL9MzhnS9eFBDsUTRaU7A</t>
  </si>
  <si>
    <t>14936-A</t>
  </si>
  <si>
    <t>ELETRO STAR EQUIPAMENTOS E PRODUTOS PARA PISCINA LTDA</t>
  </si>
  <si>
    <t>PEDIDO Nº 168 ENVIADO PELO VENDEDOR MARCELO CRIADO EM 07/03/2024 14:58:24 INTEGRADO POR MEIO DO BENDITO NO DIA 07/03/2024 ÀS 18:18:59</t>
  </si>
  <si>
    <t>NQf0QrcAT6mXpHY77qqV.A</t>
  </si>
  <si>
    <t>14936-B</t>
  </si>
  <si>
    <t>13243</t>
  </si>
  <si>
    <t>JeKuuw4xTeOJWx9gI.KZgQ</t>
  </si>
  <si>
    <t>14937</t>
  </si>
  <si>
    <t>13245</t>
  </si>
  <si>
    <t>FRETE CIF DESTAK SC ATÉ SP E FOB DE SP ATÉ DF RADLOG PEDIDO Nº 169 ENVIADO PELO VENDEDOR ANDERSON CRIADO EM 07/03/2024 16:25:05 INTEGRADO POR MEIO DO BENDITO NO DIA 07/03/2024 ÀS 20:09:19</t>
  </si>
  <si>
    <t>s6tJgcMWQ2Wtoqwibp6wnA</t>
  </si>
  <si>
    <t>14938</t>
  </si>
  <si>
    <t>BERNHARDT</t>
  </si>
  <si>
    <t>8B00231215003132</t>
  </si>
  <si>
    <t>ENDEREÇO DE ENTREGA: LOGRADOURO: RUA LIBIA, 533 BAIRRO: PINEVILLE CEP: 83320-020, MUNICÍPIO: PINHAIS ,ESTADO: PARANÁ PEDIDO Nº 170 ENVIADO PELO VENDEDOR RENATO CRIADO EM 07/03/2024 17:48:07 INTEGRADO POR MEIO DO BENDITO NO DIA 08/03/2024 ÀS 14:45:11</t>
  </si>
  <si>
    <t>bhlx22GCSPOyKEgMR-S3oQ</t>
  </si>
  <si>
    <t>14940</t>
  </si>
  <si>
    <t>WAGNER OZIO PISCINAS</t>
  </si>
  <si>
    <t>13246</t>
  </si>
  <si>
    <t>TROCA DO PEDIDO 12693, REFERENTE OS 2510</t>
  </si>
  <si>
    <t>vCfDIhnxRAmWbJhAhj-McA</t>
  </si>
  <si>
    <t>14942</t>
  </si>
  <si>
    <t>8B00231215003180</t>
  </si>
  <si>
    <t>CLIENTE: ALEXANDRE PEDIDO Nº 172 ENVIADO PELO VENDEDOR CARLOS AUGUSTO CRIADO EM 11/03/2024 07:01:15 INTEGRADO POR MEIO DO BENDITO NO DIA 11/03/2024 ÀS 15:42:31</t>
  </si>
  <si>
    <t>8TVKFunFRReMa.MSrxkx1g</t>
  </si>
  <si>
    <t>14943</t>
  </si>
  <si>
    <t>8B00231215003138</t>
  </si>
  <si>
    <t>PEDIDO: ANDRÉIA PEDIDO Nº 173 ENVIADO PELO VENDEDOR CARLOS AUGUSTO CRIADO EM 11/03/2024 07:03:46 INTEGRADO POR MEIO DO BENDITO NO DIA 11/03/2024 ÀS 15:43:02</t>
  </si>
  <si>
    <t>By0jn0TbTJqEwdQFdK2v1w</t>
  </si>
  <si>
    <t>14946</t>
  </si>
  <si>
    <t>13247</t>
  </si>
  <si>
    <t>DESCONTO DE 10% AUTORIZADO PELO GV MÁRIO. PEDIDO Nº 174 ENVIADO PELO VENDEDOR FÁBIO CRIADO EM 11/03/2024 13:28:33 INTEGRADO POR MEIO DO BENDITO NO DIA 11/03/2024 ÀS 21:34:16</t>
  </si>
  <si>
    <t>Zh1eha33ScWYX8C35wJHzQ</t>
  </si>
  <si>
    <t>14947</t>
  </si>
  <si>
    <t>DE TUDO UM POUCO</t>
  </si>
  <si>
    <t>8B00240106003128</t>
  </si>
  <si>
    <t>URGENTE PEDIDO Nº 175 ENVIADO PELO VENDEDOR FÁBIO CRIADO EM 11/03/2024 13:38:30 INTEGRADO POR MEIO DO BENDITO NO DIA 11/03/2024 ÀS 21:34:46</t>
  </si>
  <si>
    <t>W8i7adk0RAyR-lIltuXnRw</t>
  </si>
  <si>
    <t>14948</t>
  </si>
  <si>
    <t>BOLETO PARA 14/03/2024 - ENTREGA FUTURA VALOR NF - R$ 65.900,00 VALOR TABELA - R$ 32.381,97 DIF TABXNF - R$ 33.518,03 DIF IMPOSTO - R$ 5.698,07 DIFAL - R$ 3.295,00 TOTAL - R$ 41.375,04 PEDIDO Nº 176 ENVIADO PELO VENDEDOR THIAGO CRIADO EM 11/03/2024 17:13:56 INTEGRADO POR MEIO DO BENDITO NO DIA 11/03/2024 ÀS 21:35:48</t>
  </si>
  <si>
    <t>cd5r6oa.Q666WLJdt7XWlQ</t>
  </si>
  <si>
    <t>14949-A</t>
  </si>
  <si>
    <t>CR DOS SANTOS CANUTO SOC UNIPESSOAL LTDA</t>
  </si>
  <si>
    <t>13264</t>
  </si>
  <si>
    <t>TRIANGULAÇÃO</t>
  </si>
  <si>
    <t>T7QvmKAoQWStnfmCkp2NOw</t>
  </si>
  <si>
    <t>14949-B</t>
  </si>
  <si>
    <t>13250</t>
  </si>
  <si>
    <t>RmMg41O-Tn2p3lBDtD933g</t>
  </si>
  <si>
    <t>14949-C</t>
  </si>
  <si>
    <t>13251</t>
  </si>
  <si>
    <t>0UbLc8pTQjKmih5OOq11-g</t>
  </si>
  <si>
    <t>14950</t>
  </si>
  <si>
    <t>MACHADO PAIVA PARTICIPACOES LTDA</t>
  </si>
  <si>
    <t>8B00231215003163</t>
  </si>
  <si>
    <t>VALOR NF - R$ 18.000,00 VALOR TABELA - R$ 9.332,46 DIF TABXNF - R$ 8.667,54 DIF IMPOSTO - R$ 1.473,48 DIFAL - R$ 900,0 TOTAL - R$ 11.705,94</t>
  </si>
  <si>
    <t>jrhk.rlzQ7ObVI1OTejflw</t>
  </si>
  <si>
    <t>14952</t>
  </si>
  <si>
    <t>8B00231215003120</t>
  </si>
  <si>
    <t>MAQUINA PARA SUBSTUICAO DE OUTRO NO MESMO MODELO COM PROBLEMA. PEDIDO NÃO IRÁ GERAR FINANCEIRO PEDIDO Nº 179 ENVIADO PELO VENDEDOR RICARDO HENRIQUE CRIADO EM 11/03/2024 21:02:41 INTEGRADO POR MEIO DO BENDITO NO DIA 12/03/2024 ÀS 19:06:50</t>
  </si>
  <si>
    <t>uPlZpQEBSFKPqmx3VmgUhQ</t>
  </si>
  <si>
    <t>14954</t>
  </si>
  <si>
    <t>SOL &amp; LAZER PISCINAS</t>
  </si>
  <si>
    <t>8B00240106003026</t>
  </si>
  <si>
    <t>PREÇO ESPECIAL AUTORIZADO PELO MARIO PRAZO DE PAGAMENTO - ALTERAR PARA 30/45/60;75/90/105 DIAS PEDIDO Nº 181 ENVIADO PELO VENDEDOR CARLOS AUGUSTO CRIADO EM 12/03/2024 11:24:16 INTEGRADO POR MEIO DO BENDITO NO DIA 12/03/2024 ÀS 19:08:18</t>
  </si>
  <si>
    <t>RAaOhf77QQiIv.gNo4h3sw</t>
  </si>
  <si>
    <t>14955</t>
  </si>
  <si>
    <t>8B00240322003009</t>
  </si>
  <si>
    <t>LXW3F15 - ACEVILLE - RICARDO MARCOS FERNANDES  - 00368262944 - VW / 7100 / BRANCA  / 1996</t>
  </si>
  <si>
    <t>TRANSPORTADORA A CONFIRMAR - PREÇO AUTORIZADO PELO MÁRIO PRÉ VENDA ALTERAR PRAZO DE PAGAMENTO PARA: 30/45/60/75/90/105 DIAS PEDIDO Nº 182 ENVIADO PELO VENDEDOR CARLOS AUGUSTO CRIADO EM 12/03/2024 11:28:53 INTEGRADO POR MEIO DO BENDITO NO DIA 12/03/2024 ÀS 19:11:10</t>
  </si>
  <si>
    <t>GfF16FICSPG1.F63E6vwwA</t>
  </si>
  <si>
    <t>14956</t>
  </si>
  <si>
    <t>ROJANSKI</t>
  </si>
  <si>
    <t>8B00231215003167</t>
  </si>
  <si>
    <t>PEDIDO Nº 183 ENVIADO PELO VENDEDOR RENATO CRIADO EM 12/03/2024 12:04:16 INTEGRADO POR MEIO DO BENDITO NO DIA 12/03/2024 ÀS 19:12:00</t>
  </si>
  <si>
    <t>N4Sdah8KS6u9HN-mk70LQQ</t>
  </si>
  <si>
    <t>14957</t>
  </si>
  <si>
    <t>8B00231215003176</t>
  </si>
  <si>
    <t>CLIENTE: ROGÉRIO PEDIDO Nº 184 ENVIADO PELO VENDEDOR CARLOS AUGUSTO CRIADO EM 12/03/2024 16:15:31 INTEGRADO POR MEIO DO BENDITO NO DIA 13/03/2024 ÀS 00:54:05</t>
  </si>
  <si>
    <t>1T89dou7T-uhqtC71IZ2-w</t>
  </si>
  <si>
    <t>14958</t>
  </si>
  <si>
    <t>HOTEL BHALLY</t>
  </si>
  <si>
    <t>8B00231215003136</t>
  </si>
  <si>
    <t>COMISSÃO DE 10% PARA AGUA DO VALE, CONFORME RELAÇÃO COMERCIAL .</t>
  </si>
  <si>
    <t>jMBELGwhRn6GFl1FWGoTrQ</t>
  </si>
  <si>
    <t>14960</t>
  </si>
  <si>
    <t>AQUALY LIMPEZA E COSERVACAO DE PISCINAS LTDA</t>
  </si>
  <si>
    <t>8B00231215003200</t>
  </si>
  <si>
    <t>ENDEREÇO DE ENTREGA: R LIBIA, 533, PINEVILLE, PINHAIS, CEP: 83320020, PARANÁ.</t>
  </si>
  <si>
    <t>3Y-S7.tlQDiVhj0wfJ3eWQ</t>
  </si>
  <si>
    <t>14961-A</t>
  </si>
  <si>
    <t>PEDIDO N° 35, TODOS OS ITENS COM QUADRO DESLOCADO DE SOBREPOR. ENDEREÇO DE ENTREGA: RUA MARQUÊS DE SÃO VICENTE, 268 - LEBLON CEP 22451-042 (LIGAR COM ANTECEDÊNCIA ANTES DA ENTREGA NO TEL (21) 99512-4022</t>
  </si>
  <si>
    <t>iZDnNXUQTz6zccX-zXaOag</t>
  </si>
  <si>
    <t>14961-B</t>
  </si>
  <si>
    <t>jl.KMpgXRz2TZRHDwfp4nw</t>
  </si>
  <si>
    <t>14961-C</t>
  </si>
  <si>
    <t>aDcSDj05SfuR7wriD0T1JQ</t>
  </si>
  <si>
    <t>14961-D</t>
  </si>
  <si>
    <t>245YQNsPTZePR2tjss3SMg</t>
  </si>
  <si>
    <t>14962</t>
  </si>
  <si>
    <t>13387</t>
  </si>
  <si>
    <t>ENDEREÇO DE ENTREGA: AVENIDA RACHEL DE QUEIROZ, 100. COND. QUINTAS DO RIO, QUADRA 12 CASA 60. BARRA DA TIJUCA CEP 20540-146.  AGENDAR ENTREGA COM 24HS DE ANTECEDENCIA PELO TELEFONE 21 99512-4022 ( JORGE OU GUSTAVO )</t>
  </si>
  <si>
    <t>a.PyLnEinSAKs90j1StPSqQ</t>
  </si>
  <si>
    <t>14964</t>
  </si>
  <si>
    <t>7626-A</t>
  </si>
  <si>
    <t>REDESPACHO RADLOG PEDIDO Nº 191 ENVIADO PELO VENDEDOR ANDERSON CRIADO EM 13/03/2024 08:40:17 INTEGRADO POR MEIO DO BENDITO NO DIA 13/03/2024 ÀS 20:33:49</t>
  </si>
  <si>
    <t>t4EcAGYfS3yikueg-8sGKQ</t>
  </si>
  <si>
    <t>14965</t>
  </si>
  <si>
    <t>8B00231215003100</t>
  </si>
  <si>
    <t>PEDIDO Nº 192 ENVIADO PELO VENDEDOR RICARDO HENRIQUE CRIADO EM 13/03/2024 10:15:02 INTEGRADO POR MEIO DO BENDITO NO DIA 13/03/2024 ÀS 20:34:16</t>
  </si>
  <si>
    <t>tJHI3E67TfS3DSR6vSjHQw</t>
  </si>
  <si>
    <t>14966</t>
  </si>
  <si>
    <t>13258</t>
  </si>
  <si>
    <t>LIGAR ANTES ENTREGAR 21 99512 4022. ENTREGAR : RUA LEONCIO CORREA 15 LEBLON CEP 22450 120</t>
  </si>
  <si>
    <t>Pg1dyXWUTL252APFYb5YPQ</t>
  </si>
  <si>
    <t>14967</t>
  </si>
  <si>
    <t>13259</t>
  </si>
  <si>
    <t>uuQT1W2NQOCFRCIyuIE0fw</t>
  </si>
  <si>
    <t>14968</t>
  </si>
  <si>
    <t>13187</t>
  </si>
  <si>
    <t>QUADRO DESLOCADO SOBREPOR. LIGAR ANTES 21 99512 4022 . ENTREGAR : RUA PROFESSOR JULIO LOHMAN 606 JOA RJ CEP 22611 170</t>
  </si>
  <si>
    <t>R9dwIBvWS9SEUlBsRqsGXg</t>
  </si>
  <si>
    <t>14969</t>
  </si>
  <si>
    <t>13262</t>
  </si>
  <si>
    <t>LIGAR ANTES DA ENTREGA : 21 99512 4022 ENTREGAR : AV LUCIO COSTA 3560 BARRA DA TIJUCA CEP 22630 101</t>
  </si>
  <si>
    <t>gmd5MX2iQBWZtrN09amTdg</t>
  </si>
  <si>
    <t>14970</t>
  </si>
  <si>
    <t>FAP PISCINAS LTDA</t>
  </si>
  <si>
    <t>13273</t>
  </si>
  <si>
    <t>PEDIDO Nº 197 ENVIADO PELO VENDEDOR FÁBIO CRIADO EM 14/03/2024 08:40:47 INTEGRADO POR MEIO DO BENDITO NO DIA 14/03/2024 ÀS 13:08:30</t>
  </si>
  <si>
    <t>wRM.hCzHTMWzMR6JLBBQQQ</t>
  </si>
  <si>
    <t>14971-A</t>
  </si>
  <si>
    <t>CONSTRUTORA JN</t>
  </si>
  <si>
    <t>13325</t>
  </si>
  <si>
    <t>FH100H60T</t>
  </si>
  <si>
    <t>PEDIDO NR.6371 ALTERAR O GÁS PARA R 32 . ENDEREÇO DE ENTREGA, RUA HERMES FONTES, 431, BATEL, CURITIBA, PARANÁ PEDIDO Nº 198 ENVIADO PELO VENDEDOR RENATO CRIADO EM 14/03/2024 11:03:22 INTEGRADO POR MEIO DO BENDITO NO DIA 15/03/2024 ÀS 00:06:33</t>
  </si>
  <si>
    <t>587NKN4EQyWPEmR2irovrQ</t>
  </si>
  <si>
    <t>14971-B</t>
  </si>
  <si>
    <t>13326</t>
  </si>
  <si>
    <t>of80WcJGRNuvOz1Ziu.DTg</t>
  </si>
  <si>
    <t>14973</t>
  </si>
  <si>
    <t>13271</t>
  </si>
  <si>
    <t>TRANSPORTADORA KGR</t>
  </si>
  <si>
    <t>P7dxj0pVRtuOsjNWqzIAgQ</t>
  </si>
  <si>
    <t>14974</t>
  </si>
  <si>
    <t>RICARDO ALEXANDRE LEITE ROCHA 31458205835</t>
  </si>
  <si>
    <t>8B00231215003188</t>
  </si>
  <si>
    <t>ENDEREÇO DE ENTREGA AVENIDA SÃO PAULO, 211 (CORREDOR CASA 01) - JARDIM ALVINÓPOLIS - ATIBAIA SP CEP - 12943000 CNPJ: 41.634.959/0001-66 11916151760 RICARDO ALEXANDRE LEITE ROCHA I.E - 190.349.471.112</t>
  </si>
  <si>
    <t>CViAF6FMQUeMbS2UomqFgg</t>
  </si>
  <si>
    <t>14975</t>
  </si>
  <si>
    <t>13287</t>
  </si>
  <si>
    <t>CAMPANHA MÊS DO CONSUMIDOR PEDIDO Nº 200 ENVIADO PELO VENDEDOR RENATO CRIADO EM 15/03/2024 14:09:11 INTEGRADO POR MEIO DO BENDITO NO DIA 18/03/2024 ÀS 11:18:49</t>
  </si>
  <si>
    <t>TWVve8owQheQ4wVpUIWfGQ</t>
  </si>
  <si>
    <t>14977</t>
  </si>
  <si>
    <t>13301</t>
  </si>
  <si>
    <t>MÁQUINA  COM QUADRO DESLOCADO  SOBREPOR</t>
  </si>
  <si>
    <t>LGIO6f.jTFG3s0VoLHKmTQ</t>
  </si>
  <si>
    <t>14978</t>
  </si>
  <si>
    <t>COSTA LIMA COMERCIO DE PISCINAS</t>
  </si>
  <si>
    <t>8B00240106003111</t>
  </si>
  <si>
    <t>PEDIDO Nº 205 ENVIADO PELO VENDEDOR RICARDO HENRIQUE CRIADO EM 19/03/2024 08:29:08 INTEGRADO POR MEIO DO BENDITO NO DIA 19/03/2024 ÀS 11:32:39</t>
  </si>
  <si>
    <t>fAkd51NbRoeBYsNA7jDDoQ</t>
  </si>
  <si>
    <t>14979-A</t>
  </si>
  <si>
    <t>GM PISCINAS</t>
  </si>
  <si>
    <t>8B00240322003041</t>
  </si>
  <si>
    <t>PEDIDO Nº 206 ENVIADO PELO VENDEDOR RENATO CRIADO EM 19/03/2024 08:55:39 INTEGRADO POR MEIO DO BENDITO NO DIA 19/03/2024 ÀS 16:30:40</t>
  </si>
  <si>
    <t>N/A</t>
  </si>
  <si>
    <t>lSM1vfMARCq0jKT50AiReg</t>
  </si>
  <si>
    <t>14979-B</t>
  </si>
  <si>
    <t>8B00240122003456</t>
  </si>
  <si>
    <t>pNt.2zOiQ5SG2cMQkvAXTw</t>
  </si>
  <si>
    <t>14980</t>
  </si>
  <si>
    <t>13281</t>
  </si>
  <si>
    <t>PEDIDO Nº 207 ENVIADO PELO VENDEDOR RENATO CRIADO EM 19/03/2024 09:31:52 INTEGRADO POR MEIO DO BENDITO NO DIA 19/03/2024 ÀS 16:31:15</t>
  </si>
  <si>
    <t>yVakJkYqQImnr0dm1Fy8cg</t>
  </si>
  <si>
    <t>14981</t>
  </si>
  <si>
    <t>8B00240106003122</t>
  </si>
  <si>
    <t>SINAL DE 50% NO ATO DO PEDIDO E 50% BOLETO PRA 15 DIAS APÓS EMISSÃO DA NOTA. AUTORIZADO PELO GV MÁRIO. PEDIDO Nº 209 ENVIADO PELO VENDEDOR FÁBIO CRIADO EM 19/03/2024 16:46:23 INTEGRADO POR MEIO DO BENDITO NO DIA 21/03/2024 ÀS 01:27:28</t>
  </si>
  <si>
    <t>7z0H6rCHSPOxC0hjDXv8gQ</t>
  </si>
  <si>
    <t>14982</t>
  </si>
  <si>
    <t>8B00231215003121</t>
  </si>
  <si>
    <t>PEDIDO 62 PEDIDO Nº 210 ENVIADO PELO VENDEDOR RICARDO HENRIQUE CRIADO EM 19/03/2024 19:27:47 INTEGRADO POR MEIO DO BENDITO NO DIA 21/03/2024 ÀS 01:28:03</t>
  </si>
  <si>
    <t>e9.Uxi-eStCSD2OZ4g9eBQ</t>
  </si>
  <si>
    <t>14983</t>
  </si>
  <si>
    <t>DJA COMERCIO DE PISCINAS LTDA - ME</t>
  </si>
  <si>
    <t>8B00240122003414</t>
  </si>
  <si>
    <t>PEDIDO Nº 212 ENVIADO PELO VENDEDOR MARCELO CRIADO EM 20/03/2024 14:07:28 INTEGRADO POR MEIO DO BENDITO NO DIA 21/03/2024 ÀS 01:29:21</t>
  </si>
  <si>
    <t>YrKXSylqQCaBdvO-cAI-Ig</t>
  </si>
  <si>
    <t>14984-A</t>
  </si>
  <si>
    <t>13268</t>
  </si>
  <si>
    <t>OBS: FRETE CIF POR CONTA DO REMETENTE! PEDIDO Nº 213 ENVIADO PELO VENDEDOR ANDERSON CRIADO EM 20/03/2024 14:21:49 INTEGRADO POR MEIO DO BENDITO NO DIA 21/03/2024 ÀS 01:30:16</t>
  </si>
  <si>
    <t>0G8ahsE1R3iHE5GlebdwnQ</t>
  </si>
  <si>
    <t>14984-B</t>
  </si>
  <si>
    <t>13282</t>
  </si>
  <si>
    <t>a-XsV7GTUQXKn3VqlFgAq4w</t>
  </si>
  <si>
    <t>14984-C</t>
  </si>
  <si>
    <t>13303</t>
  </si>
  <si>
    <t>4xTLRFYQQOygr4T0J3YSQQ</t>
  </si>
  <si>
    <t>14984-D</t>
  </si>
  <si>
    <t>13305</t>
  </si>
  <si>
    <t>eKLfHDRHQrCn9.9lk-EghQ</t>
  </si>
  <si>
    <t>14984-E</t>
  </si>
  <si>
    <t>13234</t>
  </si>
  <si>
    <t>a.qbohnFpRfeNDhNIq0EU7w</t>
  </si>
  <si>
    <t>14984-F</t>
  </si>
  <si>
    <t>13115</t>
  </si>
  <si>
    <t>EGkUEVAVRlShHgiGXZUjkQ</t>
  </si>
  <si>
    <t>14984-G</t>
  </si>
  <si>
    <t>13118</t>
  </si>
  <si>
    <t>DzLd81iwTDK9D0cnR0x.aw</t>
  </si>
  <si>
    <t>14984-H</t>
  </si>
  <si>
    <t>13265</t>
  </si>
  <si>
    <t>C.TnfBInSNSkTPW7dg.QIg</t>
  </si>
  <si>
    <t>14985</t>
  </si>
  <si>
    <t>O REI DAS PISCINAS</t>
  </si>
  <si>
    <t>DEVOLUÇÃO OP 13209, OS - 2557</t>
  </si>
  <si>
    <t>65ZvU-jTQ-yVK13gMRAiww</t>
  </si>
  <si>
    <t>14986</t>
  </si>
  <si>
    <t>B Y D Info</t>
  </si>
  <si>
    <t>13329</t>
  </si>
  <si>
    <t>MGH1012 - FIT LOG - JOAO DA SILVEIRA - 75461749968 - VW / 8.150E DELIVERY / BRANCA  / 2005</t>
  </si>
  <si>
    <t>COTAR FRETE E COLOCAR NO PDD</t>
  </si>
  <si>
    <t>zS96.-AhTfy5KBMIxOo1Ag</t>
  </si>
  <si>
    <t>14987</t>
  </si>
  <si>
    <t>SPECIAN PISCINAS</t>
  </si>
  <si>
    <t>8B00231215003125</t>
  </si>
  <si>
    <t>DESCONTO AUTORIZADO MÁRIO SHOW ROOM LOJA SPECIAN LUZ LONDRINA PEDIDO Nº 211 ENVIADO PELO VENDEDOR RENATO CRIADO EM 20/03/2024 14:01:43 INTEGRADO POR MEIO DO BENDITO NO DIA 21/03/2024 ÀS 12:10:33</t>
  </si>
  <si>
    <t>FtUMy5dmR5OIMziIWI65lA</t>
  </si>
  <si>
    <t>14988</t>
  </si>
  <si>
    <t>8B00240322003030</t>
  </si>
  <si>
    <t>FDW2B48 - DISK &amp; TENHA - VINICIUS MARIANO DE SAOUZA  - 10908390907 - MONTANA  / CARGO / BRANCO / 2012</t>
  </si>
  <si>
    <t>ALTERAR PRAZO DE PAGAMENTO PARA: 30/45/60/75/90/105 DIAS TRANSPORTADORA: DISK TENHA PEDIDO Nº 218 ENVIADO PELO VENDEDOR CARLOS AUGUSTO CRIADO EM 21/03/2024 06:31:30 INTEGRADO POR MEIO DO BENDITO NO DIA 21/03/2024 ÀS 12:13:27</t>
  </si>
  <si>
    <t>iXJDJsR8RuWYm-bFXJtcnA</t>
  </si>
  <si>
    <t>14989</t>
  </si>
  <si>
    <t>MERGULHO ' S COMERCIO DE PISCINAS LTDA</t>
  </si>
  <si>
    <t>8B00231215003203</t>
  </si>
  <si>
    <t>PEDIDO Nº 217 ENVIADO PELO VENDEDOR CARLOS AUGUSTO CRIADO EM 21/03/2024 06:25:10 INTEGRADO POR MEIO DO BENDITO NO DIA 21/03/2024 ÀS 12:14:13</t>
  </si>
  <si>
    <t>iLq-CtLETtm4fDGO6-cyhw</t>
  </si>
  <si>
    <t>14990</t>
  </si>
  <si>
    <t>RIO DEPOSITO DE MATERIAIS PARA CONSTRUCAO LTDA</t>
  </si>
  <si>
    <t>MÁQUINA COM QUADRO DESLOCADO SOBRE POR PEDIDO Nº 219 ENVIADO PELO VENDEDOR RENATO CRIADO EM 21/03/2024 07:10:22 INTEGRADO POR MEIO DO BENDITO NO DIA 21/03/2024 ÀS 12:15:10 - op devolvida 12051</t>
  </si>
  <si>
    <t>yLU3naVhRn2vTbUzo7ktSQ</t>
  </si>
  <si>
    <t>14992</t>
  </si>
  <si>
    <t>LAZER PISCINAS MODULAGO</t>
  </si>
  <si>
    <t>13248</t>
  </si>
  <si>
    <t>TROCA REF. OS - 2544, NS - 13355 - PEDIDO SEM COBRANÇA - CLIENTE RETIRA</t>
  </si>
  <si>
    <t>H1OHnjV5Rd6Txc1fO4anCw</t>
  </si>
  <si>
    <t>14993</t>
  </si>
  <si>
    <t>8B00240122003307</t>
  </si>
  <si>
    <t>PEDIDO Nº 221 ENVIADO PELO VENDEDOR RENATO CRIADO EM 21/03/2024 09:42:12 INTEGRADO POR MEIO DO BENDITO NO DIA 21/03/2024 ÀS 21:18:00</t>
  </si>
  <si>
    <t>nK4fZ3OgRtad4kbyqyeJoQ</t>
  </si>
  <si>
    <t>14994-A</t>
  </si>
  <si>
    <t>JATO D'AGUA BANHEIRAS E PISCINAS LTDA</t>
  </si>
  <si>
    <t>13293</t>
  </si>
  <si>
    <t>PRAZO DE PAGAMENTO: BOLETO PARA 7 DIAS PEDIDO URGENTE PEDIDO Nº 222 ENVIADO PELO VENDEDOR CARLOS AUGUSTO CRIADO EM 22/03/2024 08:07:58 INTEGRADO POR MEIO DO BENDITO NO DIA 22/03/2024 ÀS 11:28:02</t>
  </si>
  <si>
    <t>eUCqREI7RtiZFB-ENsOTsg</t>
  </si>
  <si>
    <t>14994-B</t>
  </si>
  <si>
    <t>11959</t>
  </si>
  <si>
    <t>zgJwSr-7ScGItVDpDB3xmQ</t>
  </si>
  <si>
    <t>14996</t>
  </si>
  <si>
    <t>SOLIS INDUSTRIA E COMERCIO DE AQUECEDOR SOLAR S.A.</t>
  </si>
  <si>
    <t>W44D89KOR5ChZGjkhCxNjA</t>
  </si>
  <si>
    <t>14997-A</t>
  </si>
  <si>
    <t>13274</t>
  </si>
  <si>
    <t>PREÇO PROMOCIONAL MES DO CONSUMIDOR PEDIDO Nº 223 ENVIADO PELO VENDEDOR CARLOS AUGUSTO CRIADO EM 22/03/2024 11:22:50 INTEGRADO POR MEIO DO BENDITO NO DIA 22/03/2024 ÀS 18:53:09</t>
  </si>
  <si>
    <t>a5mFg0kaRiGMjJLsyby-CA</t>
  </si>
  <si>
    <t>14997-B</t>
  </si>
  <si>
    <t>12177</t>
  </si>
  <si>
    <t>2SH7v9HLSTS0cOspW61JTg</t>
  </si>
  <si>
    <t>14998</t>
  </si>
  <si>
    <t>13304</t>
  </si>
  <si>
    <t>PEDIDO DE TROCA . POIS CLIENTE APROVOU A TENSÃO ERRADA. FRETE SAÍDA E RETORNO DA MAQUINA A SER SUBSTITUÍDA POR CONTA DO CLIENTE</t>
  </si>
  <si>
    <t>Ej5-ZtU5R.ONl.EeQZS.Sw</t>
  </si>
  <si>
    <t>15001</t>
  </si>
  <si>
    <t>CMIX 7 - SOLUCOES EM CONSTRUCAO EIRELI'</t>
  </si>
  <si>
    <t>8B00240106003110</t>
  </si>
  <si>
    <t>PAGAMENTO 50% DE ENTRADA + 50% QUANDO MÁQUINA FOR DESPACHADA</t>
  </si>
  <si>
    <t>iVrkuMD2Rv-I-r721IzSsg</t>
  </si>
  <si>
    <t>15002</t>
  </si>
  <si>
    <t>8B00231215003208</t>
  </si>
  <si>
    <t>CARTÃO DE CRÉDITO EM 10 VEZES - ENVIAR O LINK AO CLIENTE PARA PAGAMENTO. PEDIDO Nº 227 ENVIADO PELO VENDEDOR ANDRE CRIADO EM 25/03/2024 17:53:51 INTEGRADO POR MEIO DO BENDITO NO DIA 25/03/2024 ÀS 21:12:59</t>
  </si>
  <si>
    <t>3s5unVHESn-mWyS1fzjJsQ</t>
  </si>
  <si>
    <t>15003</t>
  </si>
  <si>
    <t>NCC CERTIFICACOES</t>
  </si>
  <si>
    <t>L0ctNT9uQ2mJ6yXF-gHdHg</t>
  </si>
  <si>
    <t>15005-A</t>
  </si>
  <si>
    <t>13317</t>
  </si>
  <si>
    <t>QUX2A81 - RETIRA - VANDERLEI PEDRO PEREIRA  - 03000784985 - VW / NOVA SAVEIRO RB MBVS / BRANCA / 2019</t>
  </si>
  <si>
    <t>PEDIDO Nº 228 ENVIADO PELO VENDEDOR CARLOS AUGUSTO CRIADO EM 25/03/2024 18:24:52 INTEGRADO POR MEIO DO BENDITO NO DIA 26/03/2024 ÀS 16:05:51</t>
  </si>
  <si>
    <t>euEVj2kFTUSCcBEf8Unp2g</t>
  </si>
  <si>
    <t>15005-B</t>
  </si>
  <si>
    <t>13309</t>
  </si>
  <si>
    <t>KMGXBK6yTsuHlnHtQ.N1nA</t>
  </si>
  <si>
    <t>15006-A</t>
  </si>
  <si>
    <t>13291</t>
  </si>
  <si>
    <t>PDD 73. QUADRO DESLOCADO DE SOBREPOR. ENTREGAR: RUA LOURENÇO FILHO 170 BARRA DA TIJUCA RJ CEP 22.630 140. LIGAR PARA AQUALAR 24H ANTES DA ENTREGA . PEDIDO Nº 229 ENVIADO PELO VENDEDOR RICARDO HENRIQUE CRIADO EM 25/03/2024 21:53:23 INTEGRADO POR MEIO DO BENDITO NO DIA 26/03/2024 ÀS 16:07:15</t>
  </si>
  <si>
    <t>yQFey.wyTPmtOMS.awEN-A</t>
  </si>
  <si>
    <t>15006-B</t>
  </si>
  <si>
    <t>13292</t>
  </si>
  <si>
    <t>xEthVk6xS7-A4mcQ-bGH.A</t>
  </si>
  <si>
    <t>15007</t>
  </si>
  <si>
    <t>8B00240122003416</t>
  </si>
  <si>
    <t>FRETE COM REDESPACHO PELA EXPRESSO RAQUEL - FOB A ENTRADA DESTE PEDIDO, SERÁ UTIULIZADO O QUE FOI PAGO NO PEDIDO 214. DESPACAHAR URGENTE, NA SEGUNDA FEIRA</t>
  </si>
  <si>
    <t>ojFisRAfRdSCqLgeIcA0Bg</t>
  </si>
  <si>
    <t>15008</t>
  </si>
  <si>
    <t>DS CONFORTO</t>
  </si>
  <si>
    <t>8B00240122003454</t>
  </si>
  <si>
    <t>PROMO 20%. MES DE MARÇO</t>
  </si>
  <si>
    <t>T3fTQLkXRMiuKw2xTTh1cA</t>
  </si>
  <si>
    <t>15009</t>
  </si>
  <si>
    <t>AQUATEC PISCINAS</t>
  </si>
  <si>
    <t>8B00240122003389</t>
  </si>
  <si>
    <t>PEDIDO Nº 230 ENVIADO PELO VENDEDOR RENATO CRIADO EM 26/03/2024 09:16:40 INTEGRADO POR MEIO DO BENDITO NO DIA 26/03/2024 ÀS 16:36:20</t>
  </si>
  <si>
    <t>PnNnufDOQO26-p-KIPy1sw</t>
  </si>
  <si>
    <t>15010-A</t>
  </si>
  <si>
    <t>8B00240106003114</t>
  </si>
  <si>
    <t>DESCONTO ADICIONAL AUTORIZADO PELO GV MÁRIO PEDIDO DE COMPRA Nº 5385 - CONSTAR EM NF PEDIDO Nº 234 ENVIADO PELO VENDEDOR FÁBIO CRIADO EM 26/03/2024 14:35:17 INTEGRADO POR MEIO DO BENDITO NO DIA 26/03/2024 ÀS 19:40:48</t>
  </si>
  <si>
    <t>kSxYHNp2SXeOKpSMBz56Tw</t>
  </si>
  <si>
    <t>15010-B</t>
  </si>
  <si>
    <t>8B00240106003134</t>
  </si>
  <si>
    <t>tlFGHpfTSiKPIm7hgxA1rg</t>
  </si>
  <si>
    <t>15011</t>
  </si>
  <si>
    <t>13260</t>
  </si>
  <si>
    <t>COM QUADRO DESLOCADO SOBREPOR PEDIDO Nº 235 ENVIADO PELO VENDEDOR RENATO CRIADO EM 26/03/2024 14:36:44 INTEGRADO POR MEIO DO BENDITO NO DIA 26/03/2024 ÀS 19:41:23</t>
  </si>
  <si>
    <t>utK8Tc-fSCebE-1CxaxOiw</t>
  </si>
  <si>
    <t>15012</t>
  </si>
  <si>
    <t>13321</t>
  </si>
  <si>
    <t>ATENÇÃO - ENVIO SOMENTE NO DIA 01 DE ABRIL - CUMPRIR PRAZO DE ENTREGA, CONVERSADO COM O MÁRIO DESCONTO E PRAZO AUTORIZADO PELO GV MÁRIO - ENDEREÇO DE ENTREGA: R. RELÍQUIA, 419 - JARDIM DAS LARANJEIRAS, CASA VERDE, SÃO PAULO - SP, 02517-000</t>
  </si>
  <si>
    <t>JAWa6AcHSEacq.4Hn0ag4Q</t>
  </si>
  <si>
    <t>15013-A</t>
  </si>
  <si>
    <t>DISK PISCINAS</t>
  </si>
  <si>
    <t>8B00240122003471</t>
  </si>
  <si>
    <t>PEDIDO Nº 237 ENVIADO PELO VENDEDOR RENATO CRIADO EM 26/03/2024 17:10:15 INTEGRADO POR MEIO DO BENDITO NO DIA 26/03/2024 ÀS 20:22:26</t>
  </si>
  <si>
    <t>KH0x-VyzT6SjD3TrLZq77Q</t>
  </si>
  <si>
    <t>15013-B</t>
  </si>
  <si>
    <t>8B00240122003472</t>
  </si>
  <si>
    <t>G7bLPc7dTVyl16YX8ZOuxQ</t>
  </si>
  <si>
    <t>15013-C</t>
  </si>
  <si>
    <t>8B00240122003442</t>
  </si>
  <si>
    <t>gMiORlOGSxu9AX1XWqWEjw</t>
  </si>
  <si>
    <t>15014</t>
  </si>
  <si>
    <t>8B00240106003133</t>
  </si>
  <si>
    <t>DESCONTOS APLICADOS: +10% +4% E + 2% CLIENTE: JOÃO HENRIQUE PEDIDO Nº 240 ENVIADO PELO VENDEDOR CARLOS AUGUSTO CRIADO EM 27/03/2024 07:06:29 INTEGRADO POR MEIO DO BENDITO NO DIA 27/03/2024 ÀS 12:02:47</t>
  </si>
  <si>
    <t>nim407zJRQKpSuAMeUzfSg</t>
  </si>
  <si>
    <t>15015</t>
  </si>
  <si>
    <t>PLANETA PISCINAS COMERCIO LTDA</t>
  </si>
  <si>
    <t>8B00231215003190</t>
  </si>
  <si>
    <t>PEDIDO Nº 233 ENVIADO PELO VENDEDOR CARLOS AUGUSTO CRIADO EM 26/03/2024 11:01:18 INTEGRADO POR MEIO DO BENDITO NO DIA 27/03/2024 ÀS 12:47:58</t>
  </si>
  <si>
    <t>vrddJ6OmRPOm5E748tUVjQ</t>
  </si>
  <si>
    <t>15016-A</t>
  </si>
  <si>
    <t>STILLO D'AGUA</t>
  </si>
  <si>
    <t>8B00231215003101</t>
  </si>
  <si>
    <t>RHE5C97 - VW / NOVA SAVEIRO TL MBVS / BRANCA / 2021  JOCEMAR FERNANDES DOS SANTOS - 06103781981 RETIRA</t>
  </si>
  <si>
    <t>VENDA CONFIRMADA PEDIDO Nº 203 ENVIADO PELO VENDEDOR CARLOS AUGUSTO CRIADO EM 18/03/2024 11:40:58 INTEGRADO POR MEIO DO BENDITO NO DIA 27/03/2024 ÀS 12:52:36</t>
  </si>
  <si>
    <t>q7VhHfAbSnqqmCG1Nv4HAg</t>
  </si>
  <si>
    <t>15016-B</t>
  </si>
  <si>
    <t>8B00240106003072</t>
  </si>
  <si>
    <t>ukAtJbunTI255M0ZvZ51Xg</t>
  </si>
  <si>
    <t>15017-A</t>
  </si>
  <si>
    <t>8B00240122003425</t>
  </si>
  <si>
    <t>VENDA CONFIRMADA - PREÇOS PROMOCIONAIS - MÊS DO CONSUMIDOR PEDIDO Nº 202 ENVIADO PELO VENDEDOR CARLOS AUGUSTO CRIADO EM 18/03/2024 11:39:32 INTEGRADO POR MEIO DO BENDITO NO DIA 27/03/2024 ÀS 12:54:27 IAPP WEB QUANTIDADES KARDEX ID: 9753949</t>
  </si>
  <si>
    <t>KwxzPxPqQTSPM4hv2kn75g</t>
  </si>
  <si>
    <t>15017-B</t>
  </si>
  <si>
    <t>8B00240122003464</t>
  </si>
  <si>
    <t>sOAYcemQRbigvJn8-8amUg</t>
  </si>
  <si>
    <t>15017-C</t>
  </si>
  <si>
    <t>8B00240122003392</t>
  </si>
  <si>
    <t>UOlBOHEJS3m7hm1JQMPQvQ</t>
  </si>
  <si>
    <t>15017-D</t>
  </si>
  <si>
    <t>8B00240122003402</t>
  </si>
  <si>
    <t>YcsnBr.TQ.eVtPH.EGOriw</t>
  </si>
  <si>
    <t>15018-A</t>
  </si>
  <si>
    <t>13330</t>
  </si>
  <si>
    <t>OPE5C23 - FIT LOG - TATIUSSA PADILHA - 03759338917 - FIAT / FIORINO FLEX / BRANCA  / 2013</t>
  </si>
  <si>
    <t>PREÇO PROMOCIONAL MÊS DO CONSUMIDOR - PEDIDO 10515 - ROFLA INCORP. PEDIDO Nº 243 ENVIADO PELO VENDEDOR CARLOS AUGUSTO CRIADO EM 27/03/2024 09:54:21 INTEGRADO POR MEIO DO BENDITO NO DIA 27/03/2024 ÀS 12:55:07</t>
  </si>
  <si>
    <t>88AVtYN-SZq4vseO.hV8dg</t>
  </si>
  <si>
    <t>15018-B</t>
  </si>
  <si>
    <t>13231</t>
  </si>
  <si>
    <t>wZPy4JjYTuGpEkO6-8c5kQ</t>
  </si>
  <si>
    <t>15020</t>
  </si>
  <si>
    <t>13284</t>
  </si>
  <si>
    <t>QJC5G74 - FIAT / DUCATO CHASSI L / PRATA / 2018  MOHAMAD KASSEM RAHHAL JUNIOR  - 75084600954 DESTAK</t>
  </si>
  <si>
    <t>PREÇO PROMOCIONAL - MÊS DO CONSUMIDOR PEDIDO Nº 241 ENVIADO PELO VENDEDOR CARLOS AUGUSTO CRIADO EM 27/03/2024 07:09:29 INTEGRADO POR MEIO DO BENDITO NO DIA 27/03/2024 ÀS 12:57:25</t>
  </si>
  <si>
    <t>LbY6iMRtQD2mPHgyp2HIAA</t>
  </si>
  <si>
    <t>15021</t>
  </si>
  <si>
    <t>13257</t>
  </si>
  <si>
    <t>QUADRO TOUCH SEPARADO DE SOBREPOR - DESCONTO ADICIONA DE + 5% PEDIDO Nº 239 ENVIADO PELO VENDEDOR CARLOS AUGUSTO CRIADO EM 27/03/2024 07:02:56 INTEGRADO POR MEIO DO BENDITO NO DIA 27/03/2024 ÀS 12:57:53</t>
  </si>
  <si>
    <t>Me-lYLjCTcCQoStjQKWHDw</t>
  </si>
  <si>
    <t>15022</t>
  </si>
  <si>
    <t>KYP COMERCIO DE EQUIPAMENTOS PARA PISCINAS LTDA</t>
  </si>
  <si>
    <t>8B00240106003104</t>
  </si>
  <si>
    <t>CLIENTE: DAISE CRISTINA KOVALSKI (CONSTAR EM NF) DESCONTO AUTORIZADO PELO GV MÁRIO PEDIDO Nº 238 ENVIADO PELO VENDEDOR FÁBIO CRIADO EM 26/03/2024 21:39:58 INTEGRADO POR MEIO DO BENDITO NO DIA 27/03/2024 ÀS 13:01:35</t>
  </si>
  <si>
    <t>sDbZUieiQWSUoon9bJnAgw</t>
  </si>
  <si>
    <t>15024</t>
  </si>
  <si>
    <t>8B00231215003179</t>
  </si>
  <si>
    <t>ENTREGAR NO ENDEREÇO DO CLIENTE EM CURITIBA-PR PEDIDO Nº 245 ENVIADO PELO VENDEDOR RENATO CRIADO EM 27/03/2024 11:52:00 INTEGRADO POR MEIO DO BENDITO NO DIA 27/03/2024 ÀS 14:59:46</t>
  </si>
  <si>
    <t>zCwwIXw1QValjWP8zIs3SQ</t>
  </si>
  <si>
    <t>15025</t>
  </si>
  <si>
    <t>8B00240322003047</t>
  </si>
  <si>
    <t>MIY8690 - RETIRA - ALEX SANDRO RODRIGUES DE ALMEIDA - 05175081926 - HYUNDAI / HR HDB / BRANCA / 2013</t>
  </si>
  <si>
    <t>CLIENTE ANDRÉ PEDIDO Nº 247 ENVIADO PELO VENDEDOR CARLOS AUGUSTO CRIADO EM 27/03/2024 16:04:58 INTEGRADO POR MEIO DO BENDITO NO DIA 27/03/2024 ÀS 20:59:24</t>
  </si>
  <si>
    <t>wvFAVLsASuiIW6oAlIhi8w</t>
  </si>
  <si>
    <t>15026</t>
  </si>
  <si>
    <t>8B00231215003202</t>
  </si>
  <si>
    <t>PEDIDO GUILHERME CORBETTA PEDIDO Nº 246 ENVIADO PELO VENDEDOR CARLOS AUGUSTO CRIADO EM 27/03/2024 15:31:50 INTEGRADO POR MEIO DO BENDITO NO DIA 27/03/2024 ÀS 21:00:00</t>
  </si>
  <si>
    <t>V4F9altgT2OryuVz1YiDeg</t>
  </si>
  <si>
    <t>15028</t>
  </si>
  <si>
    <t>Cláudia Kelly Contareli de Souza</t>
  </si>
  <si>
    <t>13288</t>
  </si>
  <si>
    <t>MAQUINA COM PAINEL EXTERNO DE SOBREPOR TRANSPORTE COM REDES PACHO PELA EXPRESSO RAQUEL PREÇO : PROMOÇÃO MARÇO</t>
  </si>
  <si>
    <t>giiIyuTRSIyA8wW2i9TPcQ</t>
  </si>
  <si>
    <t>15029-A</t>
  </si>
  <si>
    <t>AMD SERVICOS DE INSTALACAO LTDA</t>
  </si>
  <si>
    <t>8B00240122003289</t>
  </si>
  <si>
    <t>PEDIDO Nº 249 ENVIADO PELO VENDEDOR RENATO CRIADO EM 28/03/2024 10:02:06 INTEGRADO POR MEIO DO BENDITO NO DIA 28/03/2024 ÀS 20:00:25</t>
  </si>
  <si>
    <t>NJ4f.YVJRja-qKgIu0ixcQ</t>
  </si>
  <si>
    <t>15029-B</t>
  </si>
  <si>
    <t>gl</t>
  </si>
  <si>
    <t>HvreLc4VTLSiJgtf1SncOw</t>
  </si>
  <si>
    <t>15030</t>
  </si>
  <si>
    <t>8B00240122003484</t>
  </si>
  <si>
    <t>PEDIDO Nº 250 ENVIADO PELO VENDEDOR RENATO CRIADO EM 28/03/2024 11:19:07 INTEGRADO POR MEIO DO BENDITO NO DIA 28/03/2024 ÀS 20:00:52</t>
  </si>
  <si>
    <t>a-FWsExEtQIquurBtcTZ4fQ</t>
  </si>
  <si>
    <t>15031</t>
  </si>
  <si>
    <t>8B00240122003485</t>
  </si>
  <si>
    <t>PEDIDO Nº 251 ENVIADO PELO VENDEDOR RENATO CRIADO EM 28/03/2024 11:44:44 INTEGRADO POR MEIO DO BENDITO NO DIA 28/03/2024 ÀS 20:01:18</t>
  </si>
  <si>
    <t>JfIF-u-BQE2IjsVHhkCaSw</t>
  </si>
  <si>
    <t>15032-A</t>
  </si>
  <si>
    <t>13306</t>
  </si>
  <si>
    <t>OOY6240 - DESTAK - LUIS HENRIQUE SOARES - 04765077233 - RENAULT / MASTER CC 25DCI / BRANCO / 2012</t>
  </si>
  <si>
    <t>PEDIDO 14980 PEDIDO Nº 252 ENVIADO PELO VENDEDOR CARLOS AUGUSTO CRIADO EM 28/03/2024 16:22:22 INTEGRADO POR MEIO DO BENDITO NO DIA 28/03/2024 ÀS 20:01:47</t>
  </si>
  <si>
    <t>W8DUtSqCQ06jrhSCRq85aA</t>
  </si>
  <si>
    <t>15032-B</t>
  </si>
  <si>
    <t>12023</t>
  </si>
  <si>
    <t>ENTREGUE PELA FROMTHERM COM A MASTER</t>
  </si>
  <si>
    <t>Zj4wDbCxT0uzxuRmONDrgw</t>
  </si>
  <si>
    <t>15032-C</t>
  </si>
  <si>
    <t>13355</t>
  </si>
  <si>
    <t>a-H-0M1UMQAWfj70AQyWEAw</t>
  </si>
  <si>
    <t>15033</t>
  </si>
  <si>
    <t>8B00230927003128</t>
  </si>
  <si>
    <t>DESCONTO AUTORIZADO POR MÁRIO PEDIDO Nº 253 ENVIADO PELO VENDEDOR CARLOS AUGUSTO CRIADO EM 28/03/2024 16:25:46 INTEGRADO POR MEIO DO BENDITO NO DIA 28/03/2024 ÀS 20:02:14</t>
  </si>
  <si>
    <t>FAxMYgc9QBK.er2qohzXag</t>
  </si>
  <si>
    <t>15034</t>
  </si>
  <si>
    <t>8B00231215003171</t>
  </si>
  <si>
    <t>DESCONTO EXTRA DE +4% - AVISTA E +2% CAMPANHA STEINFIBER PEDIDO Nº 254 ENVIADO PELO VENDEDOR CARLOS AUGUSTO CRIADO EM 28/03/2024 16:27:52 INTEGRADO POR MEIO DO BENDITO NO DIA 28/03/2024 ÀS 20:02:40</t>
  </si>
  <si>
    <t>5T645gxTS9i0SHJ8Z.XJOA</t>
  </si>
  <si>
    <t>15035</t>
  </si>
  <si>
    <t>8B00231215003204</t>
  </si>
  <si>
    <t>PEDIDO Nº 255 ENVIADO PELO VENDEDOR RENATO CRIADO EM 01/04/2024 08:59:15 INTEGRADO POR MEIO DO BENDITO NO DIA 01/04/2024 ÀS 13:02:16</t>
  </si>
  <si>
    <t>ai-iNcdGTp-kKz-WvzQDrA</t>
  </si>
  <si>
    <t>15037</t>
  </si>
  <si>
    <t>8B00231215003109</t>
  </si>
  <si>
    <t>RDU8A04 - EXPRESSO SÃO MIGUEL - DENILSON TELES DE SOUZA  - 04013864908 - MBENZ  / ACCELO 1016 CE / BRANCA  / 2020</t>
  </si>
  <si>
    <t>PR011</t>
  </si>
  <si>
    <t>d4lKC-V-QDuU7IwCVQeJPw</t>
  </si>
  <si>
    <t>15038</t>
  </si>
  <si>
    <t>8B00240106003064</t>
  </si>
  <si>
    <t>RELATO 29/04/2024 - OCORREU ALGUM ERRO NESTE PEDIDO ONDE CONSTAVA COMO ENTREGUE NA DATA 04/04 PORÉM SEM NOTA FISCAL, NÃO FOI ENCONTRADA NENHUMA UNIDADE PERDIDA DESTE PEDIDO PELA FABRICA, ACREDITAMOS QUE NÃO TENHA SIDO MESMO ENVIADO, OP QUE CONSTAVA NO PEDIDO QUANDO ENTREGUE ERA - 8B00231215003147, CASO SEJA ATRELADA EM OUTRO EQUIPAMENTO TEREMOS CERTEZA DE QUE NUNCA SAIU. DECIDIMOS ENVIAR OUTRA MAQUINA FTI55 PARA O CLIENTE DJA NO DIA 30/04</t>
  </si>
  <si>
    <t>oxszvylbTDqjK4wpXN3HOg</t>
  </si>
  <si>
    <t>15039</t>
  </si>
  <si>
    <t>DE BONA - DINO</t>
  </si>
  <si>
    <t>13328</t>
  </si>
  <si>
    <t>PROMOCIONAL MÊS MARÇO . PEDIDO Nº 258 ENVIADO PELO VENDEDOR RENATO CRIADO EM 01/04/2024 13:56:41 INTEGRADO POR MEIO DO BENDITO NO DIA 01/04/2024 ÀS 18:38:55</t>
  </si>
  <si>
    <t>fXrc7h0ITOC621avyLD2iw</t>
  </si>
  <si>
    <t>15040</t>
  </si>
  <si>
    <t>8B00230927003178</t>
  </si>
  <si>
    <t>FTI125L40PT</t>
  </si>
  <si>
    <t>PEDIDO Nº 75 ENVIADO PELO VENDEDOR RENATO CRIADO EM 30/01/2024 14:37:41 INTEGRADO POR MEIO DO BENDITO NO DIA 30/01/2024 ÀS 23:13:08</t>
  </si>
  <si>
    <t>8XFm4tFPSM-56vRwvLlMnQ</t>
  </si>
  <si>
    <t>15041</t>
  </si>
  <si>
    <t>13272</t>
  </si>
  <si>
    <t>PAGAMENTO SERÁ REALIZADO EM 2 BOLETOS SENDO O PRIMEIRO NO VALOR DE 5 MIL COM VENCIMENTO NO DIA 10 DE ABRIL E O RESTANTE PARA 30 DIAS, A CONDIÇÃO DE PAGAMENTO FOI AUTORIZADA PELO MARIO, A MAQUINA É COM QUADRO DESLOCADO DE SOBREPOR</t>
  </si>
  <si>
    <t>owchWRcLS7efphjDALZugg</t>
  </si>
  <si>
    <t>15042</t>
  </si>
  <si>
    <t>8B00240106003103</t>
  </si>
  <si>
    <t>PEDIDO Nº 260 ENVIADO PELO VENDEDOR RENATO CRIADO EM 01/04/2024 17:55:36 INTEGRADO POR MEIO DO BENDITO NO DIA 02/04/2024 ÀS 01:38:44</t>
  </si>
  <si>
    <t>p0YU7n9QTxy2tY0o5YN6OA</t>
  </si>
  <si>
    <t>15053</t>
  </si>
  <si>
    <t>13285</t>
  </si>
  <si>
    <t>QUADRO TOUCH DESLOCADO DE SOBREPOR - PROMOÇÃO MÊS DO CONSUMIDOR PEDIDO Nº 261 ENVIADO PELO VENDEDOR CARLOS AUGUSTO CRIADO EM 02/04/2024 06:44:25 INTEGRADO POR MEIO DO BENDITO NO DIA 02/04/2024 ÀS 21:06:22</t>
  </si>
  <si>
    <t>RJ3xDZgVTqWEs2LB.m5yiw</t>
  </si>
  <si>
    <t>15054</t>
  </si>
  <si>
    <t>13333</t>
  </si>
  <si>
    <t>QUADRO TOUCH SEPARADO DE SOBREPOR - PROMOÇÃO MÊS DO CONSUMIDOR PEDIDO Nº 262 ENVIADO PELO VENDEDOR CARLOS AUGUSTO CRIADO EM 02/04/2024 06:46:37 INTEGRADO POR MEIO DO BENDITO NO DIA 02/04/2024 ÀS 21:06:52</t>
  </si>
  <si>
    <t>v-coSTxIQ3Kt6fhooEf6rw</t>
  </si>
  <si>
    <t>15055</t>
  </si>
  <si>
    <t>SOS PISCINAS</t>
  </si>
  <si>
    <t>8A00240514003085</t>
  </si>
  <si>
    <t>ENTREGA FUTURA PRAZO DE PAGMANETO ESPECIAL: 28/42/56/70/84/98/112/126/40 DIAS - CLIENTE PRECISA DA BOMBA EM SETEMBRO - CASO NÃO QUEIRAM ENTREGAR LOGO PODE FATURAR COM ENTREGA FUTURA E COMEÇAR A COBRANÇA. PEDIDO Nº 263 ENVIADO PELO VENDEDOR CARLOS AUGUSTO CRIADO EM 02/04/2024 06:50:48 INTEGRADO POR MEIO DO BENDITO NO DIA 02/04/2024 ÀS 21:08:13</t>
  </si>
  <si>
    <t>4so6zV5OQOOtaWoshy6vTA</t>
  </si>
  <si>
    <t>15056-A</t>
  </si>
  <si>
    <t>BERTEN PISCINAS</t>
  </si>
  <si>
    <t>EQUIPAMENTOS SERÃO DEVOLVIDOS E IRÃO DIRETO PARA O ESTOQUE DA BOLHA AZUL, PR081</t>
  </si>
  <si>
    <t>sePSepQIRLCqO3UoEjXKZw</t>
  </si>
  <si>
    <t>15056-B</t>
  </si>
  <si>
    <t>EQUIPAMENTOS SERÃO DEVOLVIDOS E IRÃO DIRETO PARA O ESTOQUE DA BOLHA AZUL, PR082</t>
  </si>
  <si>
    <t>b0x.XFzBSMiK.wLlMVGS8w</t>
  </si>
  <si>
    <t>15056-C</t>
  </si>
  <si>
    <t>EQUIPAMENTOS SERÃO DEVOLVIDOS E IRÃO DIRETO PARA O ESTOQUE DA BOLHA AZUL, PR083</t>
  </si>
  <si>
    <t>4g1yEvbHR-qzPHm7.watcA</t>
  </si>
  <si>
    <t>15057</t>
  </si>
  <si>
    <t>8B00240122003439</t>
  </si>
  <si>
    <t>PEDIDO Nº 265 ENVIADO PELO VENDEDOR RENATO CRIADO EM 02/04/2024 13:59:57 INTEGRADO POR MEIO DO BENDITO NO DIA 02/04/2024 ÀS 21:10:16</t>
  </si>
  <si>
    <t>HmDMlvk.RB6J3RNtAs.B6w</t>
  </si>
  <si>
    <t>15061</t>
  </si>
  <si>
    <t>8B00231215003115</t>
  </si>
  <si>
    <t>BFPloQXrRvGNQEcztXn-cw</t>
  </si>
  <si>
    <t>15063</t>
  </si>
  <si>
    <t>CARRAPETA BARRA PISCINAS LTDA</t>
  </si>
  <si>
    <t>13279</t>
  </si>
  <si>
    <t>MAQUINA COM QUADRO DESLOCADO DE SOBREPOR . PEDIDO Nº 271 ENVIADO PELO VENDEDOR RICARDO HENRIQUE CRIADO EM 03/04/2024 16:04:36 INTEGRADO POR MEIO DO BENDITO NO DIA 04/04/2024 ÀS 14:43:33</t>
  </si>
  <si>
    <t>tMi2tjBXQfaYAZXNqGYKcA</t>
  </si>
  <si>
    <t>15064</t>
  </si>
  <si>
    <t>8B00240122003448</t>
  </si>
  <si>
    <t>PEDIDO Nº 273 ENVIADO PELO VENDEDOR RENATO CRIADO EM 03/04/2024 17:42:36 INTEGRADO POR MEIO DO BENDITO NO DIA 04/04/2024 ÀS 14:44:22</t>
  </si>
  <si>
    <t>EjO5JdiUQYWK3GOcr9kW6A</t>
  </si>
  <si>
    <t>15065</t>
  </si>
  <si>
    <t>ELETRICA COSTA OESTE</t>
  </si>
  <si>
    <t>13336</t>
  </si>
  <si>
    <t>CAMPANHA MES MARÇO ESTENDIDA . PEDIDO Nº 272 ENVIADO PELO VENDEDOR RENATO CRIADO EM 03/04/2024 16:11:29 INTEGRADO POR MEIO DO BENDITO NO DIA 04/04/2024 ÀS 14:45:31</t>
  </si>
  <si>
    <t>38RRCWueRc61-JNnOsDZHQ</t>
  </si>
  <si>
    <t>15067</t>
  </si>
  <si>
    <t>8B00240122003445</t>
  </si>
  <si>
    <t>PEDIDOS 15681 E 15682 - DESCONTO EXTRA DA CAMAPNHA MARÇO 20%</t>
  </si>
  <si>
    <t>2UkotFFaR8azl-IQ.cXxuw</t>
  </si>
  <si>
    <t>15068</t>
  </si>
  <si>
    <t>8B00231215003235</t>
  </si>
  <si>
    <t>PEDIDOS 15681 E 15682 DESCONTOS: +10% E +8% PEDIDO Nº 276 ENVIADO PELO VENDEDOR CARLOS AUGUSTO CRIADO EM 04/04/2024 07:03:11 INTEGRADO POR MEIO DO BENDITO NO DIA 04/04/2024 ÀS 14:47:59</t>
  </si>
  <si>
    <t>GHgJO0QLT9u0irEK6mT43w</t>
  </si>
  <si>
    <t>15069</t>
  </si>
  <si>
    <t>13267</t>
  </si>
  <si>
    <t>PEDIDOS 15681 E 15682 DESCONTO DE 10% PEDIDO Nº 277 ENVIADO PELO VENDEDOR CARLOS AUGUSTO CRIADO EM 04/04/2024 07:04:59 INTEGRADO POR MEIO DO BENDITO NO DIA 04/04/2024 ÀS 14:48:31</t>
  </si>
  <si>
    <t>mHGi0Q5cR-aHq0FLvqMJww</t>
  </si>
  <si>
    <t>15070-A</t>
  </si>
  <si>
    <t>8B00240122003432</t>
  </si>
  <si>
    <t>BOLETO 90-120-150 DIAS PEDIDO Nº 278 ENVIADO PELO VENDEDOR RENATO CRIADO EM 04/04/2024 08:43:58 INTEGRADO POR MEIO DO BENDITO NO DIA 04/04/2024 ÀS 14:50:05</t>
  </si>
  <si>
    <t>VPkjiSGEQiqokpg7orb5kA</t>
  </si>
  <si>
    <t>15070-B</t>
  </si>
  <si>
    <t>8B00240122003406</t>
  </si>
  <si>
    <t>ZfDt3ZKiT6OqSHxhZFi3Yg</t>
  </si>
  <si>
    <t>15070-C</t>
  </si>
  <si>
    <t>8B00240106003063</t>
  </si>
  <si>
    <t>haQfZ8w0TLCHmcXI.eKT0A</t>
  </si>
  <si>
    <t>15070-D</t>
  </si>
  <si>
    <t>8B00231215003151</t>
  </si>
  <si>
    <t>PNzopwAqSEKd5WssY5Gnew</t>
  </si>
  <si>
    <t>15070-E</t>
  </si>
  <si>
    <t>8B00231215003205</t>
  </si>
  <si>
    <t>razej0aBTYGtYe5octvIGA</t>
  </si>
  <si>
    <t>15070-F</t>
  </si>
  <si>
    <t>8B00240106003108</t>
  </si>
  <si>
    <t>EaPRB8OURzWhXtq9z4pbFw</t>
  </si>
  <si>
    <t>15071-A</t>
  </si>
  <si>
    <t>13340</t>
  </si>
  <si>
    <t>RAA3F11 - EXPRESSO SÃO MIGUEL - ORDNAEL DE SOUZA BRUM - 37985655034 - I KIA / UK2500 HD SC / BRANCA  / 2022</t>
  </si>
  <si>
    <t>PEDIDO Nº 279 ENVIADO PELO VENDEDOR RENATO CRIADO EM 04/04/2024 09:34:11 INTEGRADO POR MEIO DO BENDITO NO DIA 04/04/2024 ÀS 14:50:34</t>
  </si>
  <si>
    <t>AXTP7sirSAaeEdfEnH319g</t>
  </si>
  <si>
    <t>15071-B</t>
  </si>
  <si>
    <t>13341</t>
  </si>
  <si>
    <t>KM-Wwto.QvCvK-f5fVxKXg</t>
  </si>
  <si>
    <t>15072-A</t>
  </si>
  <si>
    <t>AQUAFAN EDUCACAO AQUATICA</t>
  </si>
  <si>
    <t>13337</t>
  </si>
  <si>
    <t>JYP9897 - DESTAK - LUCIO JOAO DA SILVA  - 59352930991 - M BENZ / 710 / BRANCA  / 2003</t>
  </si>
  <si>
    <t>REDESPACHO - RADLOG</t>
  </si>
  <si>
    <t>zpcpcF5xTK6p8lzYXp4uQw</t>
  </si>
  <si>
    <t>15072-B</t>
  </si>
  <si>
    <t>13338</t>
  </si>
  <si>
    <t>o11oKO4LQbyr2XrRQ8cGrw</t>
  </si>
  <si>
    <t>15072-C</t>
  </si>
  <si>
    <t>13339</t>
  </si>
  <si>
    <t>rFLTiGgtS52eWQZmltpkIQ</t>
  </si>
  <si>
    <t>15073-A</t>
  </si>
  <si>
    <t>13342</t>
  </si>
  <si>
    <t>PREÇOS DA PROMOÇÃO PÁSCOA - AUTORIZADO PELO MARIO AS DUAS MÁQUINAS PAINEL DESLOCADO DE EMBUTIR FRETE FOB COM REDESPACHO PELA GRIFE TRANSPORTES PEDIDO Nº 281 ENVIADO PELO VENDEDOR LUIZ CRIADO EM 04/04/2024 13:27:24 INTEGRADO POR MEIO DO BENDITO NO DIA 04/04/2024 ÀS 16:50:08</t>
  </si>
  <si>
    <t>1yioSo-BRpCTyj3Jx9BO7w</t>
  </si>
  <si>
    <t>15073-B</t>
  </si>
  <si>
    <t>13335</t>
  </si>
  <si>
    <t>xo-X4LuJRpywCl7uxi0g7Q</t>
  </si>
  <si>
    <t>15074-A</t>
  </si>
  <si>
    <t>8B00240122003269</t>
  </si>
  <si>
    <t>BOLETO 90 - 120 - 150 DIAS PEDIDO Nº 269 ENVIADO PELO VENDEDOR RENATO CRIADO EM 03/04/2024 10:07:55 INTEGRADO POR MEIO DO BENDITO NO DIA 04/04/2024 ÀS 16:59:26</t>
  </si>
  <si>
    <t>eouDy2zeS8yJGsCXJBufOQ</t>
  </si>
  <si>
    <t>15074-B</t>
  </si>
  <si>
    <t>8B00240122003241</t>
  </si>
  <si>
    <t>a.2AAq1pJRJm6iD10hRomRQ</t>
  </si>
  <si>
    <t>15074-C</t>
  </si>
  <si>
    <t>BOLETO 90 - 120 - 150 DIAS PEDIDO Nº 269 ENVIADO PELO VENDEDOR RENATO CRIADO EM 03/04/2024 10:07:55 INTEGRADO POR MEIO DO BENDITO NO DIA 04/04/2024 ÀS 16:59:26 // OP DEVOLVIDA 8B00240122003271</t>
  </si>
  <si>
    <t>lNSOcg6zQ4y7Lf9w3xpYOw</t>
  </si>
  <si>
    <t>15074-D</t>
  </si>
  <si>
    <t>MAQUINA DELE FOI REVENDIDA, FALTA O CLIENTE FAZER DEVOLUÇÃO - OP ANTIGA 8B00240122003244</t>
  </si>
  <si>
    <t>wq8hUvDMSZab4d4Q0FWORQ</t>
  </si>
  <si>
    <t>15074-E</t>
  </si>
  <si>
    <t>8B00240122003430</t>
  </si>
  <si>
    <t>aIs0TnYbTHikSFRKiAxrgA</t>
  </si>
  <si>
    <t>15074-F</t>
  </si>
  <si>
    <t>8B00240122003440</t>
  </si>
  <si>
    <t>s2mlozBISoKxQ9CtFff7jg</t>
  </si>
  <si>
    <t>15074-G</t>
  </si>
  <si>
    <t>8B00240106003101</t>
  </si>
  <si>
    <t>GoXyTf7JTPae0LZtXnC6wA</t>
  </si>
  <si>
    <t>15075</t>
  </si>
  <si>
    <t>8B00240122003455</t>
  </si>
  <si>
    <t>PEDIDO ALTERADO DE FTI35 PARA FTI45 NO DIA 29/04/2024, APROVADO PELO GC MARIO, MEDIANTE AS FTI35 SO CHEGAREM NO DIA 15/05</t>
  </si>
  <si>
    <t>2zs9lY4VRCSWxq4CmrXvmw</t>
  </si>
  <si>
    <t>15076</t>
  </si>
  <si>
    <t>13299</t>
  </si>
  <si>
    <t>MÁQUINA COM QUADRO DE COMANDO SOBREPOR PEDIDO Nº 267 ENVIADO PELO VENDEDOR RENATO CRIADO EM 03/04/2024 06:23:20 INTEGRADO POR MEIO DO BENDITO NO DIA 04/04/2024 ÀS 17:00:36</t>
  </si>
  <si>
    <t>WYEMQC-SSpqnQd0fypifWQ</t>
  </si>
  <si>
    <t>15077</t>
  </si>
  <si>
    <t>8B00240122003308</t>
  </si>
  <si>
    <t>MAQUINA BONIFICADA PELO MARIO CLIENTE TERÁ EM EXPOSIÇÃO A MAQUINA E FARÁ DIVULGAÇÃO NO INSTA E NA FAIXADA DA LOJA , PLOTER NO VIDRO . A CONFIRMAÇÃO, PODE IR P MEU E MAIL . NÃO TERÁ COBRANÇA . PEDIDO Nº 282 ENVIADO PELO VENDEDOR RENATO CRIADO EM 04/04/2024 13:55:21 INTEGRADO POR MEIO DO BENDITO NO DIA 04/04/2024 ÀS 17:03:14</t>
  </si>
  <si>
    <t>EKH16wEuQMG-v45YLMXvBg</t>
  </si>
  <si>
    <t>15078</t>
  </si>
  <si>
    <t>8B00240122003427</t>
  </si>
  <si>
    <t>PEDIDO Nº 283 ENVIADO PELO VENDEDOR RICARDO HENRIQUE CRIADO EM 04/04/2024 14:37:46 INTEGRADO POR MEIO DO BENDITO NO DIA 05/04/2024 ÀS 01:28:23</t>
  </si>
  <si>
    <t>f8pcnbvYRee9lXL65kjdKg</t>
  </si>
  <si>
    <t>15079</t>
  </si>
  <si>
    <t>Rayana Alves de Oliveira França</t>
  </si>
  <si>
    <t>8B00240122003467</t>
  </si>
  <si>
    <t>REDESPACHO TRANSPORTADORA BOM JESUS. VENDA INDICADA PELA AGUAS E VAPORES. E-MAIL PARA CONFIRMAÇÃO DO PEDIDO: AGUASEVAPORES@YAHOO.COM.BR PEDIDO Nº 284 ENVIADO PELO VENDEDOR SADI CRIADO EM 04/04/2024 14:57:26 INTEGRADO POR MEIO DO BENDITO NO DIA 05/04/2024 ÀS 01:29:36</t>
  </si>
  <si>
    <t>ZF1d1RcWSteDIb1T8CY.fg</t>
  </si>
  <si>
    <t>15084</t>
  </si>
  <si>
    <t>HIDRO AQUECE</t>
  </si>
  <si>
    <t>8B00231215003196</t>
  </si>
  <si>
    <t>PEDIDO Nº 266 ENVIADO PELO VENDEDOR THIAGO CRIADO EM 02/04/2024 21:04:31 INTEGRADO POR MEIO DO BENDITO NO DIA 08/04/2024 ÀS 13:39:13</t>
  </si>
  <si>
    <t>b6vpy3yWS0WpMqO5OCyZcA</t>
  </si>
  <si>
    <t>15085</t>
  </si>
  <si>
    <t>8B00240122003465</t>
  </si>
  <si>
    <t>CLIENTE - EVANILTON PEREIRA DIAS (CONSTAR EM NF) DESCONTO DE 10% + 3% AUT PELO GV MÁRIO PEDIDO Nº 285 ENVIADO PELO VENDEDOR FÁBIO CRIADO EM 05/04/2024 08:34:48 INTEGRADO POR MEIO DO BENDITO NO DIA 08/04/2024 ÀS 13:46:48</t>
  </si>
  <si>
    <t>o7IkAtvEQ1S-Vb7jFf1rlw</t>
  </si>
  <si>
    <t>15086</t>
  </si>
  <si>
    <t>8B00240322003008</t>
  </si>
  <si>
    <t>PEDIDO Nº 286 ENVIADO PELO VENDEDOR MARCELO CRIADO EM 05/04/2024 13:11:07 INTEGRADO POR MEIO DO BENDITO NO DIA 08/04/2024 ÀS 13:47:12</t>
  </si>
  <si>
    <t>aWQgS-eqTguAv1j2E705Ng</t>
  </si>
  <si>
    <t>15087</t>
  </si>
  <si>
    <t>8B00231215003103</t>
  </si>
  <si>
    <t>PR015</t>
  </si>
  <si>
    <t>Ek7CtyCYTba77ctd3pvVmA</t>
  </si>
  <si>
    <t>15089</t>
  </si>
  <si>
    <t>RS CONSTRUTORA E ENGENHARIA &amp; DELARA PISCINAS</t>
  </si>
  <si>
    <t>8B00240322003012</t>
  </si>
  <si>
    <t>PEDIDO Nº 291 ENVIADO PELO VENDEDOR RENATO CRIADO EM 08/04/2024 13:17:52 INTEGRADO POR MEIO DO BENDITO NO DIA 08/04/2024 ÀS 17:49:49</t>
  </si>
  <si>
    <t>HAytVn9-T6-j5bZJ3iOFAg</t>
  </si>
  <si>
    <t>15090</t>
  </si>
  <si>
    <t>Condominio Syline</t>
  </si>
  <si>
    <t>13345</t>
  </si>
  <si>
    <t>ORDEM DE COMPRA 110 - CONSTAR NA OBSERVAÇÃO DA NOTA FISCAL. FRETE FOB, COM REDESPACHO PELA MINAS STAR PAINEL EXTERNO DE SOBREPOR PEDIDO Nº 290 ENVIADO PELO VENDEDOR LUIZ CRIADO EM 08/04/2024 11:11:39 INTEGRADO POR MEIO DO BENDITO NO DIA 08/04/2024 ÀS 19:36:10</t>
  </si>
  <si>
    <t>a.N4YxD9SQfyEediJ09opkA</t>
  </si>
  <si>
    <t>15091</t>
  </si>
  <si>
    <t>DEPOSITO BEIRA RIO</t>
  </si>
  <si>
    <t>13346</t>
  </si>
  <si>
    <t>MFD6J02 - RODONAVES - RAFAEL LUMERETZ - 82327467004 - FORD / CARGO / BRANCO  / 2015</t>
  </si>
  <si>
    <t>PEDIDO Nº 298 ENVIADO PELO VENDEDOR RENATO CRIADO EM 09/04/2024 08:12:39 INTEGRADO POR MEIO DO BENDITO NO DIA 09/04/2024 ÀS 11:37:41</t>
  </si>
  <si>
    <t>UACjAjkwRxazBsVHyMFJuw</t>
  </si>
  <si>
    <t>15092</t>
  </si>
  <si>
    <t>8B00230927003176</t>
  </si>
  <si>
    <t>CLIENTE TEM CRÉDITO NA FROMTHERM DE R$ 37.962,84 RELATIVO A DEVOLUÇÃO DO PEDIDO 14248 - 02 FT160 NESTE PEDIDO ABATER DO CRÉDITO O VALOR DE R$ 18384,49 -- DESCONTOS APLICADOS +5% E+ 3% (A VISTA) PEDIDO Nº 297 ENVIADO PELO VENDEDOR CARLOS AUGUSTO CRIADO EM 09/04/2024 05:47:54 INTEGRADO POR MEIO DO BENDITO NO DIA 09/04/2024 ÀS 11:38:29</t>
  </si>
  <si>
    <t>WT3JNt-URi-NkpUvY5WV.A</t>
  </si>
  <si>
    <t>15093</t>
  </si>
  <si>
    <t>13278</t>
  </si>
  <si>
    <t>PAINEL DESLOCADO DE SOBREPOR PEDIDO Nº 296 ENVIADO PELO VENDEDOR FÁBIO CRIADO EM 08/04/2024 22:00:59 INTEGRADO POR MEIO DO BENDITO NO DIA 09/04/2024 ÀS 11:39:13</t>
  </si>
  <si>
    <t>yxU0zvdwT4CsWgd0lZTEiw</t>
  </si>
  <si>
    <t>15094</t>
  </si>
  <si>
    <t>13266</t>
  </si>
  <si>
    <t>CLIENTE - JOSE ROBERTO (CONSTAR EM NF) - DESCONTO ADICIONAL DE 10% AUT PELO GV MÁRIO PEDIDO Nº 295 ENVIADO PELO VENDEDOR FÁBIO CRIADO EM 08/04/2024 21:36:59 INTEGRADO POR MEIO DO BENDITO NO DIA 09/04/2024 ÀS 11:39:58</t>
  </si>
  <si>
    <t>qXRaXDfFSXipf0iSa3NtoQ</t>
  </si>
  <si>
    <t>15095</t>
  </si>
  <si>
    <t>8B00240122003441</t>
  </si>
  <si>
    <t>CLIENTE - BAMBUSA (CONSTAR EM NF) DESCONTO DE 10% ADICIONAL AUT PELO GV MÁRIO PEDIDO Nº 294 ENVIADO PELO VENDEDOR FÁBIO CRIADO EM 08/04/2024 21:34:05 INTEGRADO POR MEIO DO BENDITO NO DIA 09/04/2024 ÀS 11:40:46</t>
  </si>
  <si>
    <t>Hac52fu6Sc-42sdMsT112g</t>
  </si>
  <si>
    <t>15096</t>
  </si>
  <si>
    <t>PRWT ARTIGOS PARA PISCINAS E LAZER EIRELI</t>
  </si>
  <si>
    <t>8B00240122003236</t>
  </si>
  <si>
    <t>MAQUINA PARA DEMONSTRACAO PARA CLIENTES AUTORIZADO PELO MARIO. PEDIDO Nº 293 ENVIADO PELO VENDEDOR RICARDO HENRIQUE CRIADO EM 08/04/2024 16:56:22 INTEGRADO POR MEIO DO BENDITO NO DIA 09/04/2024 ÀS 11:43:58</t>
  </si>
  <si>
    <t>gPOkvaefStePKZgc78363Q</t>
  </si>
  <si>
    <t>15097</t>
  </si>
  <si>
    <t>8B00240106003102</t>
  </si>
  <si>
    <t>CLIENTE TEM URGENCIA . FATURAR EM 24 H - MARIO PEDIDO Nº 292 ENVIADO PELO VENDEDOR RICARDO HENRIQUE CRIADO EM 08/04/2024 16:52:49 INTEGRADO POR MEIO DO BENDITO NO DIA 09/04/2024 ÀS 11:44:45</t>
  </si>
  <si>
    <t>ecAuFJTFSwa75CANJEW3lg</t>
  </si>
  <si>
    <t>15098</t>
  </si>
  <si>
    <t>8B00240122003407</t>
  </si>
  <si>
    <t>PREÇO PROMOCIONAL MARÇO E ABRIL PEDIDO Nº 300 ENVIADO PELO VENDEDOR CARLOS AUGUSTO CRIADO EM 10/04/2024 06:27:56 INTEGRADO POR MEIO DO BENDITO NO DIA 10/04/2024 ÀS 11:22:17</t>
  </si>
  <si>
    <t>RkXHKsY6RaCDlVcfMy50HQ</t>
  </si>
  <si>
    <t>15099</t>
  </si>
  <si>
    <t>8B00231215003127</t>
  </si>
  <si>
    <t>PR016</t>
  </si>
  <si>
    <t>pZpqUP.fQKCXOBsoL6Jmbw</t>
  </si>
  <si>
    <t>15103</t>
  </si>
  <si>
    <t>8B00240122003475</t>
  </si>
  <si>
    <t>PR074</t>
  </si>
  <si>
    <t>4xs5OAciR5e46KeZynlbDg</t>
  </si>
  <si>
    <t>15104-A</t>
  </si>
  <si>
    <t>13347</t>
  </si>
  <si>
    <t>AKB8F73 - RETIRA - ILSON ANGELO OURIQUES  - 01756945918 - TOYOTA / HILUX 4CSL DX / PRETA / 2001</t>
  </si>
  <si>
    <t>PEDIDO Nº 303 ENVIADO PELO VENDEDOR CARLOS AUGUSTO CRIADO EM 11/04/2024 07:30:12 INTEGRADO POR MEIO DO BENDITO NO DIA 11/04/2024 ÀS 11:32:50</t>
  </si>
  <si>
    <t>S9-ZSsmUQKmXUPCw6haiVg</t>
  </si>
  <si>
    <t>15104-B</t>
  </si>
  <si>
    <t>13348</t>
  </si>
  <si>
    <t>5a97sQSlRnu92uIp6kX2Nw</t>
  </si>
  <si>
    <t>15104-C</t>
  </si>
  <si>
    <t>13349</t>
  </si>
  <si>
    <t>YGEw2hs8STGr8l0J94To8A</t>
  </si>
  <si>
    <t>15104-D</t>
  </si>
  <si>
    <t>9097</t>
  </si>
  <si>
    <t>lcDPit8iTrCYnAhsDmISWg</t>
  </si>
  <si>
    <t>15105</t>
  </si>
  <si>
    <t>8B00240106003083</t>
  </si>
  <si>
    <t>TROCA DO PEDIDO 14902 - OS: 566</t>
  </si>
  <si>
    <t>A8M0KY6ITqWj8AU0AwvGuQ</t>
  </si>
  <si>
    <t>15107</t>
  </si>
  <si>
    <t>ANA PAULA SILVA DA ROSA FACTORY POOL</t>
  </si>
  <si>
    <t>8B00240106003126</t>
  </si>
  <si>
    <t>MFU2389 - EXPRESSO SÃO MIGUEL - LUIZ ANGELO - 55999620910 - VW / 860 / BRANCA  / 2015</t>
  </si>
  <si>
    <t>COTAÇÃO DE FRETE NÚMERO 6000 - R$ 247,40 PEDIDO Nº 305 ENVIADO PELO VENDEDOR THIAGO CRIADO EM 11/04/2024 13:53:47 INTEGRADO POR MEIO DO BENDITO NO DIA 11/04/2024 ÀS 18:08:07</t>
  </si>
  <si>
    <t>zfN.F727S92wYMtx6hzMVQ</t>
  </si>
  <si>
    <t>15108</t>
  </si>
  <si>
    <t>SPA PISCINAS</t>
  </si>
  <si>
    <t>8B00240106003107</t>
  </si>
  <si>
    <t>RISSO</t>
  </si>
  <si>
    <t>REDESPACHO:TRANSPORTADORA RISSO - RISSO ENCOMENDAS CENTRO OESTE LTDA - CNPJ 05.209.691/0001-51 COTAÇÃO DE FRETE Nº 0330-85854 PEDIDO Nº 306 ENVIADO PELO VENDEDOR ROBSON CRIADO EM 11/04/2024 14:17:14 INTEGRADO POR MEIO DO BENDITO NO DIA 11/04/2024 ÀS 18:09:12</t>
  </si>
  <si>
    <t>73ZHq3xkQ4ONHy01pglgow</t>
  </si>
  <si>
    <t>15109-A</t>
  </si>
  <si>
    <t>SOLFORT AQUECIMENTO E ENERGIA</t>
  </si>
  <si>
    <t>8B00240122003457</t>
  </si>
  <si>
    <t>PR073</t>
  </si>
  <si>
    <t>nafiRSAGQNaYX29GJiWdkQ</t>
  </si>
  <si>
    <t>15109-B</t>
  </si>
  <si>
    <t>8B00240106003088</t>
  </si>
  <si>
    <t>PR022</t>
  </si>
  <si>
    <t>ZrgDQrJYQDi-JE3LJ9AGow</t>
  </si>
  <si>
    <t>15110</t>
  </si>
  <si>
    <t>VIDALAR PROJETOS E INSTALACOES DE AR CONDICIONADO LTDA</t>
  </si>
  <si>
    <t>13356</t>
  </si>
  <si>
    <t>RAA3F11 - EXPRESSO SÃO MIGUEL - FABIO ADRIANO MEURER SILVINO - 91255783815 - I KIA / UK2500 HD SC / BRANCA  / 2022</t>
  </si>
  <si>
    <t>SEM FINANCEIRO - CONSIGNADO COM O CLIENTE E DEVOLUÇÃO PROGRAMADA PARA 120D</t>
  </si>
  <si>
    <t>VumV4LQOQD6BLzYohpRA9g</t>
  </si>
  <si>
    <t>15111</t>
  </si>
  <si>
    <t>PISCINACENTER COMERCIO DE PRODUTOS PARA PISCINAS</t>
  </si>
  <si>
    <t>11111</t>
  </si>
  <si>
    <t>DESCONTO DE 3% COM BOLETO PARA 30DD AUT PELO GV MÁRIO. PEDIDO Nº 321 ENVIADO PELO VENDEDOR FÁBIO CRIADO EM 15/04/2024 07:23:29 INTEGRADO POR MEIO DO BENDITO NO DIA 15/04/2024 ÀS 12:12:31</t>
  </si>
  <si>
    <t>pG5TzPuFRv2Vziy5fF2-sQ</t>
  </si>
  <si>
    <t>15112</t>
  </si>
  <si>
    <t>8B00231215003243</t>
  </si>
  <si>
    <t>PR036</t>
  </si>
  <si>
    <t>pQeDGaTJRIik063Q.DxNUg</t>
  </si>
  <si>
    <t>15114</t>
  </si>
  <si>
    <t>CURITIBA TERMOTECK</t>
  </si>
  <si>
    <t>13350</t>
  </si>
  <si>
    <t>PEDIDO Nº 317 ENVIADO PELO VENDEDOR RENATO CRIADO EM 12/04/2024 13:53:38 INTEGRADO POR MEIO DO BENDITO NO DIA 15/04/2024 ÀS 12:22:09</t>
  </si>
  <si>
    <t>jEskEYUSQcCko6qFR6btCw</t>
  </si>
  <si>
    <t>15115</t>
  </si>
  <si>
    <t>MESTRIA PROJETOS, INSTALADORA HIDRAULICA E ELETRICA LTDA</t>
  </si>
  <si>
    <t>8B00240122003452</t>
  </si>
  <si>
    <t>MFE5E84 - DISK &amp; TENHA - FLAVIO FERNANDES ALMEIDA BRUCH - 04590881900 - HYUNDAI / HR HDB / BRANCA  / 2008</t>
  </si>
  <si>
    <t>ALTERAR TRANSPORTADORA PARA DICK TENHA PEDIDO 8285 PEDIDO Nº 316 ENVIADO PELO VENDEDOR CARLOS AUGUSTO CRIADO EM 12/04/2024 11:27:42 INTEGRADO POR MEIO DO BENDITO NO DIA 15/04/2024 ÀS 12:26:49</t>
  </si>
  <si>
    <t>Dr0lL6pFRbCrbTKuvUI2OA</t>
  </si>
  <si>
    <t>15116</t>
  </si>
  <si>
    <t>8B00240322003022</t>
  </si>
  <si>
    <t>ALTERAR TRANSPORTADORA PARA DISK TENHA PEDIDO 8272 PEDIDO Nº 315 ENVIADO PELO VENDEDOR CARLOS AUGUSTO CRIADO EM 12/04/2024 11:26:06 INTEGRADO POR MEIO DO BENDITO NO DIA 15/04/2024 ÀS 12:27:39</t>
  </si>
  <si>
    <t>0XaRIGt6ShCHRMOacpBuww</t>
  </si>
  <si>
    <t>15117</t>
  </si>
  <si>
    <t>13352</t>
  </si>
  <si>
    <t>PEDIDO Nº 311 ENVIADO PELO VENDEDOR FÁBIO CRIADO EM 12/04/2024 09:03:55 INTEGRADO POR MEIO DO BENDITO NO DIA 15/04/2024 ÀS 12:30:19</t>
  </si>
  <si>
    <t>1GeAHN1jSiC4xOgoCh1wHA</t>
  </si>
  <si>
    <t>15118</t>
  </si>
  <si>
    <t>13351</t>
  </si>
  <si>
    <t>FALTA END. DE ENTREGA</t>
  </si>
  <si>
    <t>OC 90. QUADRO DESLOCADO SOBREPOR. END ENTREGA SERÁ INFORMADO. PEDIDO Nº 314 ENVIADO PELO VENDEDOR RICARDO HENRIQUE CRIADO EM 12/04/2024 10:10:36 INTEGRADO POR MEIO DO BENDITO NO DIA 15/04/2024 ÀS 12:31:40</t>
  </si>
  <si>
    <t>oYHK6cQOSzGh9uQInzGGJw</t>
  </si>
  <si>
    <t>15119</t>
  </si>
  <si>
    <t>8B00240122003238</t>
  </si>
  <si>
    <t>MUDAR A TRANSPORTADORA PARA DISK TENHA PEDIDO 8281 PEDIDO Nº 313 ENVIADO PELO VENDEDOR CARLOS AUGUSTO CRIADO EM 12/04/2024 09:40:09 INTEGRADO POR MEIO DO BENDITO NO DIA 15/04/2024 ÀS 12:35:16</t>
  </si>
  <si>
    <t>djFPAHm7R7SnWH-Coxjvaw</t>
  </si>
  <si>
    <t>15121</t>
  </si>
  <si>
    <t>FL PISCINAS</t>
  </si>
  <si>
    <t>8B00240122003281</t>
  </si>
  <si>
    <t>PR045</t>
  </si>
  <si>
    <t>ULhyFev8Sh6Oqoitz62FjA</t>
  </si>
  <si>
    <t>15122</t>
  </si>
  <si>
    <t>RAY 82 EMPREENDIMENTOS LTDA</t>
  </si>
  <si>
    <t>8B00240122003224</t>
  </si>
  <si>
    <t>PEDIDO Nº 323 ENVIADO PELO VENDEDOR RICARDO HENRIQUE CRIADO EM 15/04/2024 09:50:06 INTEGRADO POR MEIO DO BENDITO NO DIA 15/04/2024 ÀS 12:58:06</t>
  </si>
  <si>
    <t>R0zJxi2gQS-n4YrP1Sd8XA</t>
  </si>
  <si>
    <t>15123</t>
  </si>
  <si>
    <t>Francisco Cabral de Oliveira</t>
  </si>
  <si>
    <t>8B00231215003164</t>
  </si>
  <si>
    <t>FRETE CIF - ENTREGA PARA O CLIENTE EM ATIBAIA, SEM CUSTO PARA O CLIENTE-FROMTHERM IRÁ ENTREGAR SEM CUSTO . PEDIDO Nº 320 ENVIADO PELO VENDEDOR LUIZ CRIADO EM 12/04/2024 16:41:43 INTEGRADO POR MEIO DO BENDITO NO DIA 15/04/2024 ÀS 12:58:57</t>
  </si>
  <si>
    <t>yOJW2LjlQ.qWTgjGqCxyBQ</t>
  </si>
  <si>
    <t>15124-A</t>
  </si>
  <si>
    <t>8B00240106003034</t>
  </si>
  <si>
    <t>NEGOCIAÇÃO ESPECIAL PARA SHOWROOM, AUTORIZADO PELO MÁRIO. ENVIAR COMO CIF E COBRAR PELO FRETE NOS BOLETOS. BOLETOS PARA: 30/08 15/09 30/09 15/10 30/10 15/11 PEDIDO Nº 326 ENVIADO PELO VENDEDOR THIAGO CRIADO EM 15/04/2024 14:50:11 INTEGRADO POR MEIO DO BENDITO NO DIA 15/04/2024 ÀS 18:05:07</t>
  </si>
  <si>
    <t>F9o4fo.VQrS5dLum.TCD.w</t>
  </si>
  <si>
    <t>15124-B</t>
  </si>
  <si>
    <t>8B00231215003175</t>
  </si>
  <si>
    <t>m6cVBI6YQ8aLIy1etIoKAg</t>
  </si>
  <si>
    <t>15125</t>
  </si>
  <si>
    <t>RODRIGO THIESEN FLORES</t>
  </si>
  <si>
    <t>8B00240122003259</t>
  </si>
  <si>
    <t>VALOR NF - R$ 9.980,00 VALOR TABELA - R$ 5.352,67 DIF TABXNF - R$ 4.627,33 DIF IMPOSTO - R$ 786,65 DIFAL - R$ 499,00 TOTAL - R$ 6.638,32 PEDIDO Nº 325 ENVIADO PELO VENDEDOR THIAGO CRIADO EM 15/04/2024 14:10:58 INTEGRADO POR MEIO DO BENDITO NO DIA 15/04/2024 ÀS 18:05:47</t>
  </si>
  <si>
    <t>khOA1MNmS8OsSrRnnGCAGw</t>
  </si>
  <si>
    <t>15126-A</t>
  </si>
  <si>
    <t>FT240J35</t>
  </si>
  <si>
    <t>SXA7J25 - RETIRA - VITOR HUGO FOLLE - 04731858909 - HYUNDAI / CARGA CAMINHONETE / BRANCA / 2024</t>
  </si>
  <si>
    <t>PEDIDO Nº 327 ENVIADO PELO VENDEDOR CARLOS AUGUSTO CRIADO EM 15/04/2024 15:45:55 INTEGRADO POR MEIO DO BENDITO NO DIA 16/04/2024 ÀS 13:10:13 // 13353 OP ANTIGA, DEVOLVIDA PELO CLIENTE, JA FOI DADO CREDITO E OS PEDIDOS DO CREDITO JA FORAM DADOS</t>
  </si>
  <si>
    <t>84D65uHXTPOpcoAnNVpo3g</t>
  </si>
  <si>
    <t>15126-B</t>
  </si>
  <si>
    <t>13354</t>
  </si>
  <si>
    <t>PEDIDO Nº 327 ENVIADO PELO VENDEDOR CARLOS AUGUSTO CRIADO EM 15/04/2024 15:45:55 INTEGRADO POR MEIO DO BENDITO NO DIA 16/04/2024 ÀS 13:10:13</t>
  </si>
  <si>
    <t>Y2PPa4.5RFGgLKYjCSRQ5Q</t>
  </si>
  <si>
    <t>15126-C</t>
  </si>
  <si>
    <t>8B00231215003182</t>
  </si>
  <si>
    <t>b5bULotgTyu5LTK1urD9OA</t>
  </si>
  <si>
    <t>15127</t>
  </si>
  <si>
    <t>8B00240122003239</t>
  </si>
  <si>
    <t>PR044</t>
  </si>
  <si>
    <t>nIbP1pWLRauhW3J3lBvU-g</t>
  </si>
  <si>
    <t>15128</t>
  </si>
  <si>
    <t>8B00240122003301</t>
  </si>
  <si>
    <t>PR041</t>
  </si>
  <si>
    <t>6MQH.3SSQg-PYiMnBJf7uQ</t>
  </si>
  <si>
    <t>15130</t>
  </si>
  <si>
    <t>8B00240122003223</t>
  </si>
  <si>
    <t>PR048</t>
  </si>
  <si>
    <t>gnZPkKmkReG4J8NIxWweig</t>
  </si>
  <si>
    <t>15131</t>
  </si>
  <si>
    <t>FERNANDO AQUEDEDORES</t>
  </si>
  <si>
    <t>13372</t>
  </si>
  <si>
    <t>FH40B60</t>
  </si>
  <si>
    <t>ENVIAR PARA O SHOW ROOM DA NOSSA REVENDA FERNANDO AQUECEDORES EM FEIRA DE SANTANA/BA, UMA FH 40 COM SAÍDA FRONTAL . ESTA MAQUINA NÃO HAVERÁ COBRANÇA , FISCAL EMITIR NF DE BONIFICAÇÃO , "SAIDA DE OUTROS". PEDIDO Nº 328 ENVIADO PELO VENDEDOR ANDRE CRIADO EM 15/04/2024 17:23:32 INTEGRADO POR MEIO DO BENDITO NO DIA 17/04/2024 ÀS 12:34:48</t>
  </si>
  <si>
    <t>vV0de5PCSdm9ibMfflE7wQ</t>
  </si>
  <si>
    <t>15132-A</t>
  </si>
  <si>
    <t>13357</t>
  </si>
  <si>
    <t>PEDIDO SERÁ ENTRGUE DIRETAMENTE NA BASE AREA DA AERONAUTICA : BASE AÉREA DOS AFONSOS. PRAÇA GENERAL ARANHA, Nº 20 - MARECHAL HERMES - CAMPO DOS AFONSOS. CEP 21740-000 - RIO DE JANEIRO , RJ. MAQUINAS SERÃO CEDIDAS PARA SELETIVA DAS OLIMPIADAS DE PARIS .</t>
  </si>
  <si>
    <t>a-GjQI3.SSGi4DHTvLbo-fQ</t>
  </si>
  <si>
    <t>15132-B</t>
  </si>
  <si>
    <t>13358</t>
  </si>
  <si>
    <t>4QkEBfF.TxuVyqZHNhsAQg</t>
  </si>
  <si>
    <t>15132-C</t>
  </si>
  <si>
    <t>13359</t>
  </si>
  <si>
    <t>qzp-9OxTQ-yFQwJSu12rEw</t>
  </si>
  <si>
    <t>15133</t>
  </si>
  <si>
    <t>11893</t>
  </si>
  <si>
    <t>REDESPACHO MINAS STAR PAINEL NO EQUIPAMENTO ORDEM DE COMPRA 130 - CONSTAR NA OBS DA NF PEDIDO Nº 332 ENVIADO PELO VENDEDOR LUIZ CRIADO EM 17/04/2024 10:31:05 INTEGRADO POR MEIO DO BENDITO NO DIA 17/04/2024 ÀS 14:38:15</t>
  </si>
  <si>
    <t>TkfIje2kRWe7xc7tAlwy.A</t>
  </si>
  <si>
    <t>15134</t>
  </si>
  <si>
    <t>8B00240122003306</t>
  </si>
  <si>
    <t>MLF0E49 - RETIRA - VILMAR GABRIEL - 02926793944 - SAVEIRO  / CROSS / BRANCA  / 2015</t>
  </si>
  <si>
    <t>RETIRA NA FÁBRICA DIA 20/04 (SEXTA) PREÇO PROMOCIONAL PEDIDO Nº 335 ENVIADO PELO VENDEDOR CARLOS AUGUSTO CRIADO EM 17/04/2024 17:54:34 INTEGRADO POR MEIO DO BENDITO NO DIA 18/04/2024 ÀS 13:37:39</t>
  </si>
  <si>
    <t>zoN6tuk3Rx2SRxvZrVdg.w</t>
  </si>
  <si>
    <t>15135</t>
  </si>
  <si>
    <t>Loja das Bombas</t>
  </si>
  <si>
    <t>13380</t>
  </si>
  <si>
    <t>ENVIAR COPIA PARA : CONTATO@LOJADASBOMBAS.COM.BR PEDIDO Nº 334 ENVIADO PELO VENDEDOR RICARDO HENRIQUE CRIADO EM 17/04/2024 13:46:52 INTEGRADO POR MEIO DO BENDITO NO DIA 18/04/2024 ÀS 13:38:14</t>
  </si>
  <si>
    <t>TF.QxiP8T--cbvDRwcyLiA</t>
  </si>
  <si>
    <t>15136</t>
  </si>
  <si>
    <t>JOSE EUSTAQUIO DA SILVA 04569301673</t>
  </si>
  <si>
    <t>11992</t>
  </si>
  <si>
    <t>FRETE FOB RODONAVES PAINEL EXTERNO DE SOBREPOR PEDIDO Nº 336 ENVIADO PELO VENDEDOR LUIZ CRIADO EM 17/04/2024 18:11:33 INTEGRADO POR MEIO DO BENDITO NO DIA 18/04/2024 ÀS 13:38:41</t>
  </si>
  <si>
    <t>5JWqm7igRLiG3qP5Oxe6XA</t>
  </si>
  <si>
    <t>15137</t>
  </si>
  <si>
    <t>HELTON LUIZ MEDEIROS</t>
  </si>
  <si>
    <t>8B00240106003053</t>
  </si>
  <si>
    <t>RAJ2738 - RETIRA - MARILDO DE SOUZA SANTOS  - 56072155987 - MMC / L200 TRITON SPT GLX / BRANCA  / 2019</t>
  </si>
  <si>
    <t>CLIENTE QUE FEZ A VENDA: CRICIUMA PISCINAS CNPJ 04.455.327/0001-09 RETIRA NA FÁBRICA ENTRE OS DIAS 22 A 24 DE ABRIL PEDIDO Nº 337 ENVIADO PELO VENDEDOR CARLOS AUGUSTO CRIADO EM 18/04/2024 08:18:52 INTEGRADO POR MEIO DO BENDITO NO DIA 18/04/2024 ÀS 13:40:36</t>
  </si>
  <si>
    <t>djoRumfUQ6yn8WQvYZyrdQ</t>
  </si>
  <si>
    <t>15138</t>
  </si>
  <si>
    <t>13286</t>
  </si>
  <si>
    <t>MAQUINA COM QUADRO DESLOCADO SOBREPOR, PREÇO DE PROMOÇÃO DO MÊS DO CONSUMIDOR PEDIDO Nº 338 ENVIADO PELO VENDEDOR RENATO CRIADO EM 18/04/2024 09:09:04 INTEGRADO POR MEIO DO BENDITO NO DIA 18/04/2024 ÀS 13:41:03</t>
  </si>
  <si>
    <t>uHYy-BNVQLSzTxYJPj7tlQ</t>
  </si>
  <si>
    <t>15139</t>
  </si>
  <si>
    <t>Izenilde Nascimento Mattos</t>
  </si>
  <si>
    <t>PEDIDO PARCIAL GERADO A PARTIR DO PEDIDO DE ORIGEM Nº 15139. 8B00231215003207</t>
  </si>
  <si>
    <t>H.7cFOTHSEay97ZLqV.1lw</t>
  </si>
  <si>
    <t>15140-A</t>
  </si>
  <si>
    <t>8B00240122003312</t>
  </si>
  <si>
    <t>PEDIDO Nº 343 ENVIADO PELO VENDEDOR FÁBIO CRIADO EM 19/04/2024 09:08:19 INTEGRADO POR MEIO DO BENDITO NO DIA 19/04/2024 ÀS 19:50:28</t>
  </si>
  <si>
    <t>mGjkVaVGTMSDjVhotXxPTg</t>
  </si>
  <si>
    <t>15140-B</t>
  </si>
  <si>
    <t>8B00240122003444</t>
  </si>
  <si>
    <t>yZzSedMfTealIDdH3w2rNg</t>
  </si>
  <si>
    <t>15140-C</t>
  </si>
  <si>
    <t>8B00231215003170</t>
  </si>
  <si>
    <t>7ovMJ4Z1QgGWRvGAla4WOw</t>
  </si>
  <si>
    <t>15140-D</t>
  </si>
  <si>
    <t>8B00231215003178</t>
  </si>
  <si>
    <t>jd5p6lc6Rai8Ur4HU5OYFw</t>
  </si>
  <si>
    <t>15140-E</t>
  </si>
  <si>
    <t>8B00240106003120</t>
  </si>
  <si>
    <t>aowIqtRGSbWC2P3jPh.ZVA</t>
  </si>
  <si>
    <t>15140-F</t>
  </si>
  <si>
    <t>8B00240106003163</t>
  </si>
  <si>
    <t>dV1wXD3hT623h-wgRufSDg</t>
  </si>
  <si>
    <t>15140-G</t>
  </si>
  <si>
    <t>8B00240106003174</t>
  </si>
  <si>
    <t>z34xUNjIQG6ZMgBA7SoNrw</t>
  </si>
  <si>
    <t>15140-H</t>
  </si>
  <si>
    <t>8B00240106003140</t>
  </si>
  <si>
    <t>DnqDxGsYRi68R0E6C5PLOA</t>
  </si>
  <si>
    <t>15141-A</t>
  </si>
  <si>
    <t>8B00240322003016</t>
  </si>
  <si>
    <t>PEDIDO Nº 340 ENVIADO PELO VENDEDOR RENATO CRIADO EM 18/04/2024 14:13:47 INTEGRADO POR MEIO DO BENDITO NO DIA 19/04/2024 ÀS 19:50:51</t>
  </si>
  <si>
    <t>7Qv5OcGdSMuGl9CssUkbmw</t>
  </si>
  <si>
    <t>15141-B</t>
  </si>
  <si>
    <t>8B00240322003040</t>
  </si>
  <si>
    <t>htwly-w3QmGWmlqBFz-.PQ</t>
  </si>
  <si>
    <t>15142</t>
  </si>
  <si>
    <t>8B00240122003473</t>
  </si>
  <si>
    <t>PR069</t>
  </si>
  <si>
    <t>Y8sDuuTkTEqQA2qAMw8Q1Q</t>
  </si>
  <si>
    <t>15143</t>
  </si>
  <si>
    <t>INFINITY POOL</t>
  </si>
  <si>
    <t>8B00240322003052</t>
  </si>
  <si>
    <t>ENDEREÇO DE ENTREGA: RUA LIBIA,533 PINEVILLE-PINHAIS - CEP: 83.320-020 BOLHA AZUL PEDIDO Nº 344 ENVIADO PELO VENDEDOR RENATO CRIADO EM 19/04/2024 11:04:31 INTEGRADO POR MEIO DO BENDITO NO DIA 19/04/2024 ÀS 19:51:54</t>
  </si>
  <si>
    <t>WEe18GXjT-K69vUu6xEUfQ</t>
  </si>
  <si>
    <t>15144</t>
  </si>
  <si>
    <t>DAGUA PISCINAS E AQUECIMENTO</t>
  </si>
  <si>
    <t>8B00240122003302</t>
  </si>
  <si>
    <t>TRANSPORTADORA: TRANS LOVATO PEDIDO Nº 345 ENVIADO PELO VENDEDOR CARLOS AUGUSTO CRIADO EM 19/04/2024 15:50:37 INTEGRADO POR MEIO DO BENDITO NO DIA 19/04/2024 ÀS 19:52:22</t>
  </si>
  <si>
    <t>PBHAiJTzQTGfnKFEN9-xuw</t>
  </si>
  <si>
    <t>15146-A</t>
  </si>
  <si>
    <t>NARDI PISCINAS</t>
  </si>
  <si>
    <t>8B00240106003056</t>
  </si>
  <si>
    <t>MDE2J76 - ALIANÇA - FABIO AMARAL SOARES - 99630656000 - FIAT / DUCATO / AMARELA  / 2005</t>
  </si>
  <si>
    <t>PEDIDO 91 A PEDIDO Nº 288 ENVIADO PELO VENDEDOR CARLOS AUGUSTO CRIADO EM 07/04/2024 22:41:26 INTEGRADO POR MEIO DO BENDITO NO DIA 19/04/2024 ÀS 19:57:18</t>
  </si>
  <si>
    <t>qjiSCXlgSyqIaAfyyoLjnA</t>
  </si>
  <si>
    <t>15146-B</t>
  </si>
  <si>
    <t>8B00240106003046</t>
  </si>
  <si>
    <t>gms6ssWCT8-S59SWIxGJew</t>
  </si>
  <si>
    <t>15147-A</t>
  </si>
  <si>
    <t>8B00240122003277</t>
  </si>
  <si>
    <t>91 B - PEDIDO Nº 312 ENVIADO PELO VENDEDOR CARLOS AUGUSTO CRIADO EM 12/04/2024 09:24:57 INTEGRADO POR MEIO DO BENDITO NO DIA 19/04/2024 ÀS 19:57:47</t>
  </si>
  <si>
    <t>9MgifIWzTYOmjRMgDqJFiA</t>
  </si>
  <si>
    <t>15147-B</t>
  </si>
  <si>
    <t>8B00240122003262</t>
  </si>
  <si>
    <t>D3PPoVhaS2GsEjRhMmceNA</t>
  </si>
  <si>
    <t>15148</t>
  </si>
  <si>
    <t>AGUA VIVA PISCINAS E LIMPEZA</t>
  </si>
  <si>
    <t>8B00231215003197</t>
  </si>
  <si>
    <t>PEDIDO Nº 347 ENVIADO PELO VENDEDOR JUSCELINO CRIADO EM 19/04/2024 17:09:03 INTEGRADO POR MEIO DO BENDITO NO DIA 19/04/2024 ÀS 20:10:06</t>
  </si>
  <si>
    <t>MS</t>
  </si>
  <si>
    <t>Z5aSA.t-S2678XU95n8xvA</t>
  </si>
  <si>
    <t>15149</t>
  </si>
  <si>
    <t>11682</t>
  </si>
  <si>
    <t>RLE7H63 - EXPRESSO SÃO MIGUEL - RODRIGO DA SILVA  - 05385376981 - M.BENZ / ACCELO 1016 CE / BRANCA / 2021</t>
  </si>
  <si>
    <t>PEDIDO Nº 346 ENVIADO PELO VENDEDOR RENATO CRIADO EM 19/04/2024 16:19:51 INTEGRADO POR MEIO DO BENDITO NO DIA 19/04/2024 ÀS 20:15:43</t>
  </si>
  <si>
    <t>skRqqPOPTNmpHWkIP78D6Q</t>
  </si>
  <si>
    <t>15150</t>
  </si>
  <si>
    <t>Luizinho  Piscinas</t>
  </si>
  <si>
    <t>8B00240106003081</t>
  </si>
  <si>
    <t>PR026</t>
  </si>
  <si>
    <t>a-A5e8gumRTSWHH-Qeh8Dsg</t>
  </si>
  <si>
    <t>15151</t>
  </si>
  <si>
    <t>SMP PISCINAS</t>
  </si>
  <si>
    <t>8B00240106003085</t>
  </si>
  <si>
    <t>PR024</t>
  </si>
  <si>
    <t>qjmH3galRDCG-XprZrH8jA</t>
  </si>
  <si>
    <t>15152-A</t>
  </si>
  <si>
    <t>8B00231215003189</t>
  </si>
  <si>
    <t>PEDIDO Nº 350 ENVIADO PELO VENDEDOR RENATO CRIADO EM 22/04/2024 14:15:55 INTEGRADO POR MEIO DO BENDITO NO DIA 22/04/2024 ÀS 19:03:17</t>
  </si>
  <si>
    <t>YC9CES4kTjyaQZonzFPcqQ</t>
  </si>
  <si>
    <t>15152-B</t>
  </si>
  <si>
    <t>8B00240106003118</t>
  </si>
  <si>
    <t>DYsem32YTzyD4uDcQFMKeg</t>
  </si>
  <si>
    <t>15152-C</t>
  </si>
  <si>
    <t>8B00240106003038</t>
  </si>
  <si>
    <t>12GsLwkBRfS.wblsn5LKLA</t>
  </si>
  <si>
    <t>15152-D</t>
  </si>
  <si>
    <t>8B00240106003023</t>
  </si>
  <si>
    <t>2nRh4B.hQ96GsdkzEizWJw</t>
  </si>
  <si>
    <t>15152-E</t>
  </si>
  <si>
    <t>8B00240106003057</t>
  </si>
  <si>
    <t>L3.qyq9PTtiXxGM8NXq7Aw</t>
  </si>
  <si>
    <t>15152-F</t>
  </si>
  <si>
    <t>8B00240106003029</t>
  </si>
  <si>
    <t>LiDVyDekQ-ea8nQLgrrrAg</t>
  </si>
  <si>
    <t>15153-A</t>
  </si>
  <si>
    <t>ACQUADEL</t>
  </si>
  <si>
    <t>13367</t>
  </si>
  <si>
    <t>PEDIDO Nº 351 ENVIADO PELO VENDEDOR RENATO CRIADO EM 22/04/2024 14:56:19 INTEGRADO POR MEIO DO BENDITO NO DIA 22/04/2024 ÀS 19:03:32</t>
  </si>
  <si>
    <t>86LjossxRIuw9cGC1qKN1w</t>
  </si>
  <si>
    <t>15153-B</t>
  </si>
  <si>
    <t>13368</t>
  </si>
  <si>
    <t>3D7X.YfYSSqv13TzZYbQwg</t>
  </si>
  <si>
    <t>15153-C</t>
  </si>
  <si>
    <t>13369</t>
  </si>
  <si>
    <t>oGCJg4OESeyDqF.OAOdKyw</t>
  </si>
  <si>
    <t>15157</t>
  </si>
  <si>
    <t>VEM QUE TEM ELETRICA</t>
  </si>
  <si>
    <t>13314</t>
  </si>
  <si>
    <t>PEDIDO Nº 352 ENVIADO PELO VENDEDOR ANDERSON CRIADO EM 23/04/2024 08:30:16 INTEGRADO POR MEIO DO BENDITO NO DIA 23/04/2024 ÀS 12:07:50</t>
  </si>
  <si>
    <t>lVzAUrOzRT6mSOolx7M7cw</t>
  </si>
  <si>
    <t>15158</t>
  </si>
  <si>
    <t>BOLHA AZUL CAPAS PARA PISCINA</t>
  </si>
  <si>
    <t>MAQUINA DO ESTOQUE DA BOLHA OP 10794-NS14269 PEDIDO Nº 301 ENVIADO PELO VENDEDOR RENATO CRIADO EM 10/04/2024 14:05:18 INTEGRADO POR MEIO DO BENDITO NO DIA 23/04/2024 ÀS 12:17:44</t>
  </si>
  <si>
    <t>t16v7afaSemGhV5RW3mTeQ</t>
  </si>
  <si>
    <t>15159</t>
  </si>
  <si>
    <t>TIAGO DE ALENCAR BORGES</t>
  </si>
  <si>
    <t>8B00240322003010</t>
  </si>
  <si>
    <t>IME7293 - TW - RUBENS RANGEL - 00596851901 - AGRALIA  / CARGO / BRANCO  / 2004</t>
  </si>
  <si>
    <t>VALOR NF - R$ 12.000,00 ; VALOR TABELA - R$ 6.680,00</t>
  </si>
  <si>
    <t>gR9THlS.RKKPOKa9nYwQvA</t>
  </si>
  <si>
    <t>15160</t>
  </si>
  <si>
    <t>13366</t>
  </si>
  <si>
    <t>PEDIDO 13716 PEDIDO Nº 355 ENVIADO PELO VENDEDOR CARLOS AUGUSTO CRIADO EM 23/04/2024 15:51:32 INTEGRADO POR MEIO DO BENDITO NO DIA 23/04/2024 ÀS 19:58:00</t>
  </si>
  <si>
    <t>xzdGGpJvS-CUhMtMc3FU6A</t>
  </si>
  <si>
    <t>15161</t>
  </si>
  <si>
    <t>LER OBSERVAÇÃO</t>
  </si>
  <si>
    <t>PEDIDO 14244 PEDIDO Nº 354 ENVIADO PELO VENDEDOR CARLOS AUGUSTO CRIADO EM 23/04/2024 15:49:43 INTEGRADO POR MEIO DO BENDITO NO DIA 23/04/2024 ÀS 19:58:09 // A POSSIBILIDADE DESSE PEDIDO NUNCA TER SIDO ENTREGUE - RG 8B00231215003177</t>
  </si>
  <si>
    <t>AmJFq-IuQ-WRGHRiDZ-qLg</t>
  </si>
  <si>
    <t>15162</t>
  </si>
  <si>
    <t>ARCA PISCINAS</t>
  </si>
  <si>
    <t>8B00240122003447</t>
  </si>
  <si>
    <t>ENTRADA DE R$2.500 NO PIX E O RESTANTE NA RETIRADA DA MAQUINÁ MAQUINA SAIRÁ DO ESTOQUE BOLHA AZUL PR070 PEDIDO Nº 356 ENVIADO PELO VENDEDOR RENATO CRIADO EM 23/04/2024 17:21:10 INTEGRADO POR MEIO DO BENDITO NO DIA 23/04/2024 ÀS 21:27:53</t>
  </si>
  <si>
    <t>d5pe6HXxRe25UaEVrlEBmQ</t>
  </si>
  <si>
    <t>15163</t>
  </si>
  <si>
    <t>13280</t>
  </si>
  <si>
    <t>RYO0B43 - RETIRA - ANDERSON PEREIRA  - 11544829957 - FIAT / MOBI LIKE  / BRANCA  / 2023</t>
  </si>
  <si>
    <t>FEITO RESERVA DESTA MÁQUINA NO GLIDE DIA 23/04 - RETIRA NA FÁBRICA DIA 24/04 - PEDIDO FEITO POR ANDRÉ - CONFIRMAÇÃO DIRETA AUTORIZADO PELO MÁRIO EM 24.04.24. PEDIDO Nº 358 ENVIADO PELO VENDEDOR CARLOS AUGUSTO CRIADO EM 24/04/2024 06:20:14 INTEGRADO POR MEIO DO BENDITO NO DIA 24/04/2024 ÀS 11:04:45</t>
  </si>
  <si>
    <t>2UZmOzl4Tp2Z2hkWSiTRXA</t>
  </si>
  <si>
    <t>15164-A</t>
  </si>
  <si>
    <t>8B00240122003481</t>
  </si>
  <si>
    <t>VALOR E CONDIÇÕES DE PAGAMENTO AUTORIZADO PELO GV MÁRIO CLIENTE VAI EFETUAR O PAGAMENTO E AGUARDAR A CHEGADA DO MODELO FTI35. OS OUTROS MODELOS DEVEM SER ENTREGUES O MAIS URGENTE POSSÍVEL. PEDIDO Nº 308 ENVIADO PELO VENDEDOR FÁBIO CRIADO EM 11/04/2024 17:30:15 INTEGRADO POR MEIO DO BENDITO NO DIA 24/04/2024 ÀS 11:13:15</t>
  </si>
  <si>
    <t>UKX0JrerQ72wYx74D.HWCQ</t>
  </si>
  <si>
    <t>15164-B</t>
  </si>
  <si>
    <t>8B00240122003410</t>
  </si>
  <si>
    <t>8jNdP7q2Qge6lICUv-JtzA</t>
  </si>
  <si>
    <t>15164-C</t>
  </si>
  <si>
    <t>8B00240322003024</t>
  </si>
  <si>
    <t>zvkKiJRbSvm0isUnC2ibMA</t>
  </si>
  <si>
    <t>15164-D</t>
  </si>
  <si>
    <t>8B00240322003054</t>
  </si>
  <si>
    <t>aTzPb2CeRDqeSK2boEzmpw</t>
  </si>
  <si>
    <t>15164-E</t>
  </si>
  <si>
    <t>8B00240122003255</t>
  </si>
  <si>
    <t>SppLicZ5QXewg9ZToNWqSA</t>
  </si>
  <si>
    <t>15164-F</t>
  </si>
  <si>
    <t>8B00240122003254</t>
  </si>
  <si>
    <t>8irxbc2IQhKZajPOuW-jHQ</t>
  </si>
  <si>
    <t>15165-A</t>
  </si>
  <si>
    <t>CM PISCINAS</t>
  </si>
  <si>
    <t>8B00231215003206</t>
  </si>
  <si>
    <t>PEDIDO Nº 357 ENVIADO PELO VENDEDOR CARLOS AUGUSTO CRIADO EM 24/04/2024 06:16:56 INTEGRADO POR MEIO DO BENDITO NO DIA 24/04/2024 ÀS 12:38:37</t>
  </si>
  <si>
    <t>IpK.D61RRBeepFcpISJRuw</t>
  </si>
  <si>
    <t>15165-B</t>
  </si>
  <si>
    <t>8B00240106003131</t>
  </si>
  <si>
    <t>b1cOhGnvSU-k34.28yXGKA</t>
  </si>
  <si>
    <t>15165-C</t>
  </si>
  <si>
    <t>8B00240106003130</t>
  </si>
  <si>
    <t>a-jSHOLR.Tr6B19LiDBl2HA</t>
  </si>
  <si>
    <t>15166-A</t>
  </si>
  <si>
    <t>8B00240106003106</t>
  </si>
  <si>
    <t>PEDIDO Nº 359 ENVIADO PELO VENDEDOR RENATO CRIADO EM 24/04/2024 09:37:49 INTEGRADO POR MEIO DO BENDITO NO DIA 24/04/2024 ÀS 17:28:02</t>
  </si>
  <si>
    <t>1ELuHk1GSPyQaP.Ijgi4pA</t>
  </si>
  <si>
    <t>15166-B</t>
  </si>
  <si>
    <t>8B00240106003117</t>
  </si>
  <si>
    <t>ZbJJerIpSuGhM6SYgZd23w</t>
  </si>
  <si>
    <t>15166-C</t>
  </si>
  <si>
    <t>8B00240106003119</t>
  </si>
  <si>
    <t>DO2Q0O7RSVOryRxjvILC0g</t>
  </si>
  <si>
    <t>15166-D</t>
  </si>
  <si>
    <t>8B00240106003116</t>
  </si>
  <si>
    <t>Ee3iJO6GSrWCxM8h37CCuQ</t>
  </si>
  <si>
    <t>15166-E</t>
  </si>
  <si>
    <t>8B00240122003438</t>
  </si>
  <si>
    <t>dRd0rJ1CQ--OoF6GPzzNmg</t>
  </si>
  <si>
    <t>15166-F</t>
  </si>
  <si>
    <t>8B00231215003162</t>
  </si>
  <si>
    <t>6pDUFfUWQi6623OLSK4pqg</t>
  </si>
  <si>
    <t>15167</t>
  </si>
  <si>
    <t>8B00240122003272</t>
  </si>
  <si>
    <t>10703</t>
  </si>
  <si>
    <t>PEDIDO Nº 360 ENVIADO PELO VENDEDOR CARLOS AUGUSTO CRIADO EM 24/04/2024 11:27:36 INTEGRADO POR MEIO DO BENDITO NO DIA 24/04/2024 ÀS 17:28:39</t>
  </si>
  <si>
    <t>9c.gaVVTQ.yc6u685DfWxw</t>
  </si>
  <si>
    <t>15168-A</t>
  </si>
  <si>
    <t>EQUIPER ENGENHARIA</t>
  </si>
  <si>
    <t>11311</t>
  </si>
  <si>
    <t>OC 3454 PEDIDO Nº 361 ENVIADO PELO VENDEDOR RICARDO HENRIQUE CRIADO EM 24/04/2024 13:20:16 INTEGRADO POR MEIO DO BENDITO NO DIA 24/04/2024 ÀS 17:29:10</t>
  </si>
  <si>
    <t>XHtJGwyATBqdkmydE.lIBA</t>
  </si>
  <si>
    <t>15168-B</t>
  </si>
  <si>
    <t>11814</t>
  </si>
  <si>
    <t>34qVYhbnS0eafMu8XJcE8Q</t>
  </si>
  <si>
    <t>15169-A</t>
  </si>
  <si>
    <t>MERGULHOS COMERCIO DE PISCINAS LTDA</t>
  </si>
  <si>
    <t>8B00240122003418</t>
  </si>
  <si>
    <t>PEDIDO Nº 362 ENVIADO PELO VENDEDOR CARLOS AUGUSTO CRIADO EM 24/04/2024 14:24:36 INTEGRADO POR MEIO DO BENDITO NO DIA 24/04/2024 ÀS 17:29:46</t>
  </si>
  <si>
    <t>b9C-n-PNTOuEj68hMGetBg</t>
  </si>
  <si>
    <t>15169-B</t>
  </si>
  <si>
    <t>8B00240122003394</t>
  </si>
  <si>
    <t>TXcCIC44RIaO8JcvOz8qaA</t>
  </si>
  <si>
    <t>15170</t>
  </si>
  <si>
    <t>8B00240106003076</t>
  </si>
  <si>
    <t>PEDIDO Nº 363 ENVIADO PELO VENDEDOR CARLOS AUGUSTO CRIADO EM 24/04/2024 14:25:37 INTEGRADO POR MEIO DO BENDITO NO DIA 24/04/2024 ÀS 17:30:13</t>
  </si>
  <si>
    <t>diSSCfjwRSy0evgqAZ5gRg</t>
  </si>
  <si>
    <t>15171-A</t>
  </si>
  <si>
    <t>JK SOLARES</t>
  </si>
  <si>
    <t>8B00240322003049</t>
  </si>
  <si>
    <t>VCB</t>
  </si>
  <si>
    <t>O REDESPACHO SERA FOB - TRANSP. VCB CARGAS - CNPJ: 38.493.863/0001-10 - END: R ARLINDO DE MELO, 678, CEP: 35.577-258</t>
  </si>
  <si>
    <t>O4nwp8hvS7CMWJbit6S9KQ</t>
  </si>
  <si>
    <t>15171-B</t>
  </si>
  <si>
    <t>8B00240122003398</t>
  </si>
  <si>
    <t>10714</t>
  </si>
  <si>
    <t>CNWnU1xnQgCIyMdysTbmWw</t>
  </si>
  <si>
    <t>15172-A</t>
  </si>
  <si>
    <t>13370</t>
  </si>
  <si>
    <t>10732</t>
  </si>
  <si>
    <t>PEDIDO Nº 365 ENVIADO PELO VENDEDOR RENATO CRIADO EM 25/04/2024 09:39:47 INTEGRADO POR MEIO DO BENDITO NO DIA 25/04/2024 ÀS 13:07:24</t>
  </si>
  <si>
    <t>BWnUmEfMSsWuvW904ocCRw</t>
  </si>
  <si>
    <t>15172-B</t>
  </si>
  <si>
    <t>13371</t>
  </si>
  <si>
    <t>EoqB3bitRa2F2wG9R6cr1g</t>
  </si>
  <si>
    <t>15173</t>
  </si>
  <si>
    <t>Leo Piscinas Comercio E Servicos</t>
  </si>
  <si>
    <t>8B00240106003121</t>
  </si>
  <si>
    <t>10715</t>
  </si>
  <si>
    <t>REDESPACHO PELA VCB CARGAS (RODOCAP). VALOR AUTORIZADO PELO MARIO DICK. PEDIDO Nº 366 ENVIADO PELO VENDEDOR LUIZ CRIADO EM 25/04/2024 11:58:21 INTEGRADO POR MEIO DO BENDITO NO DIA 25/04/2024 ÀS 20:44:23</t>
  </si>
  <si>
    <t>NvTbSO.8QyOVzuQqbeSO7g</t>
  </si>
  <si>
    <t>15174-A</t>
  </si>
  <si>
    <t>8B00240122003426</t>
  </si>
  <si>
    <t>PR068</t>
  </si>
  <si>
    <t>a-6Yg-560QXGa4ILovHFScw</t>
  </si>
  <si>
    <t>15174-B</t>
  </si>
  <si>
    <t>8B00240122003449</t>
  </si>
  <si>
    <t>MAQUINAS DO ESTOQUE BOLHA AZUL - PR068-PR078-PR077 - PRAZO DE PAGAMENTO 90/120/150 PEDIDO Nº 368 ENVIADO PELO VENDEDOR RENATO CRIADO EM 25/04/2024 14:45:25 INTEGRADO POR MEIO DO BENDITO NO DIA 25/04/2024 ÀS 20:50:04</t>
  </si>
  <si>
    <t>ZX-Ixff4RjKIlFUWfO8eXQ</t>
  </si>
  <si>
    <t>15174-C</t>
  </si>
  <si>
    <t>8B00240122003435</t>
  </si>
  <si>
    <t>PR078</t>
  </si>
  <si>
    <t>txYcJZ7DQpunYOr5U8qUwA</t>
  </si>
  <si>
    <t>15175</t>
  </si>
  <si>
    <t>8B00231215003168</t>
  </si>
  <si>
    <t>10720</t>
  </si>
  <si>
    <t>RHE5C97 - RETIRA - JOCEMAR FERNANDES DOS SANTOS - 06103781981 - VW / NOVA SAVEIRO TL MBVS / BRANCA / 2021</t>
  </si>
  <si>
    <t>OP DE UMA FTI75D40 PRETA, PORÉM TEVE SUA CARCAÇA TROCADA POR UMA DE FTI55D40 CINZA, POR DESEJO DO CLIENTE ELE QUERIA UMA CINZA E NAO HAVIA MAIS EM ESTOQUE, EM CASO DE RASTREIO, A OP DESTE PEDIDO IRA CONSTAR COMO PRETA MESMO SENDO CINZA, APROVADO PELO GC MARIO</t>
  </si>
  <si>
    <t>IhU85NZQR-WsCfrnAeE19g</t>
  </si>
  <si>
    <t>15176</t>
  </si>
  <si>
    <t>AMOSTRA DE FT20</t>
  </si>
  <si>
    <t>RDU8A04 - EXPRESSO SÃO MIGUEL - DAVI DA SILVA - 00371422914 - MBENZ  / ACCELO 1016 CE / BRANCA  / 2020</t>
  </si>
  <si>
    <t>AMOSTRA FTI BR - PEDIDO ESTAVA PARADO "EM APROVAÇÃO", GC MARIO PASSOU PARA LOGISTICA A NECESSIDADE, MAS NÃO HAVIA SIDO PRODUZIDO ANTES POR CONTA DO STATUS. PASSADA PARA EM ABERTO</t>
  </si>
  <si>
    <t>vmlUx2LRTqKX5YAkJ4Ka4w</t>
  </si>
  <si>
    <t>15177</t>
  </si>
  <si>
    <t>MAS COMERCIO E PRESTACAO DE SERVICOS</t>
  </si>
  <si>
    <t>13384</t>
  </si>
  <si>
    <t>REDESPACHO PELA EXPRESSO RAQUEL. PREÇO AUTORIZADO PELO MARIO DICK. PEDIDO Nº 371 ENVIADO PELO VENDEDOR LUIZ CRIADO EM 26/04/2024 10:37:50 INTEGRADO POR MEIO DO BENDITO NO DIA 26/04/2024 ÀS 18:23:37</t>
  </si>
  <si>
    <t>3HAJiqAbQCSPVLxA-dM6PQ</t>
  </si>
  <si>
    <t>15178-A</t>
  </si>
  <si>
    <t>8B00240122003235</t>
  </si>
  <si>
    <t>10713</t>
  </si>
  <si>
    <t>FRETE CIF ATE O DESTINATÁRIO PEDIDO Nº 372 ENVIADO PELO VENDEDOR ANDERSON CRIADO EM 26/04/2024 13:59:08 INTEGRADO POR MEIO DO BENDITO NO DIA 26/04/2024 ÀS 18:27:05</t>
  </si>
  <si>
    <t>zv8IMeflTEmH7S73OxtD1A</t>
  </si>
  <si>
    <t>15178-B</t>
  </si>
  <si>
    <t>8B00240122003225</t>
  </si>
  <si>
    <t>Y-vYYgUyR0mVlE-Yx0H93Q</t>
  </si>
  <si>
    <t>15178-C</t>
  </si>
  <si>
    <t>8B00240322003013</t>
  </si>
  <si>
    <t>2VPNjK7pQgKo7jqxW96.Ug</t>
  </si>
  <si>
    <t>15178-D</t>
  </si>
  <si>
    <t>8B00240122003417</t>
  </si>
  <si>
    <t>NeA7O9.5RvewGSA3oCOASg</t>
  </si>
  <si>
    <t>15178-E</t>
  </si>
  <si>
    <t>8B00240122003396</t>
  </si>
  <si>
    <t>oDrmjuztQEmlw82IVOhBCA</t>
  </si>
  <si>
    <t>15179</t>
  </si>
  <si>
    <t>DREFORMA</t>
  </si>
  <si>
    <t>PR021 - OP ANTIGA 8B00240106003065</t>
  </si>
  <si>
    <t>4ADN.ZsaT2iyjZ38bOPeYA</t>
  </si>
  <si>
    <t>15184</t>
  </si>
  <si>
    <t>10726</t>
  </si>
  <si>
    <t>URGENTE</t>
  </si>
  <si>
    <t>b7rajaCwSmS9lqo-uI8vHg</t>
  </si>
  <si>
    <t>15185-A</t>
  </si>
  <si>
    <t>CLIENTE RETIRA OP 13374?</t>
  </si>
  <si>
    <t>j41d4tzkRZ6hOkNt1VQW5A</t>
  </si>
  <si>
    <t>15185-B</t>
  </si>
  <si>
    <t>13375</t>
  </si>
  <si>
    <t>CLIENTE RETIRA</t>
  </si>
  <si>
    <t>co6OnnTiT.6RIqn7JpGbNQ</t>
  </si>
  <si>
    <t>15186</t>
  </si>
  <si>
    <t>13242</t>
  </si>
  <si>
    <t>10733</t>
  </si>
  <si>
    <t xml:space="preserve">OC 120. QUADRO DESLOCADO SOBREPOR. ENTREGAR : RUA GENERAL URQUIZA 106 APTO 501 LEBLON CEP 22431 040. LIGAR COM 24H ANTES DA ENTREGA PARA 21 9 9512 4022 GUSTAVO/JORGE. COPIAR GUSTAVO.SOUZA@AQUALAR.COM.BR </t>
  </si>
  <si>
    <t>JzfvddmxSC-CPAeI8UtqRg</t>
  </si>
  <si>
    <t>15187</t>
  </si>
  <si>
    <t>13295</t>
  </si>
  <si>
    <t>10734</t>
  </si>
  <si>
    <t>OC 120. QUADRO DESLOCADO SOBREPOR. ENTREGAR: RUA DO RUSSEL 426 GLORIA RJ CEP 22210 010 . LIGAR ANTES DA ENTREGA PARA 21 9 9512 4022 . COPIAR : GUSTAVO.SOUZA@AQUALAR.COM.BR</t>
  </si>
  <si>
    <t>9CrTJB9pRWi5WvweVwMwtQ</t>
  </si>
  <si>
    <t>15188</t>
  </si>
  <si>
    <t>13296</t>
  </si>
  <si>
    <t>10735</t>
  </si>
  <si>
    <t xml:space="preserve">OC 122. QUADRO DESLOCADO SOBREPOR. ENTREGAR: RUA VISCONFE DE CARAVELAS 39 APTO 502 BOTAFOGO CEP 22271 021 . LIGAR 24H ANTES DE ENTREGAR 21 9 9512 4022 . COPIAR: GUSTAVO.SOUZA@AQUALAR.COM.BR </t>
  </si>
  <si>
    <t>pEoB5FXyQSG8ZNjkPSBrFA</t>
  </si>
  <si>
    <t>15189</t>
  </si>
  <si>
    <t>13261</t>
  </si>
  <si>
    <t>10752</t>
  </si>
  <si>
    <t>P071oVvbSMOP9BbM142sHQ</t>
  </si>
  <si>
    <t>15190</t>
  </si>
  <si>
    <t>13428</t>
  </si>
  <si>
    <t>10909</t>
  </si>
  <si>
    <t xml:space="preserve">OC 124. QUADRO DESLOCADO SOBREPOR. ENTREGA: ROD RIO SANTOS KM 434 (COND PORTOBELLO RESORT &amp; SAFARI). RUA CIRRUS S/N GLEBA P. CEP 23860 000  BAIRRO SAO BRAS. LIGAR 24H ANTES  DE ENTREGAR 21 9 9512 4022. COPIAR: GUSTAVO.SOUZA@AQUALAR.COM.BR </t>
  </si>
  <si>
    <t>4nrkPW6LQ328mJ0JgC0iPA</t>
  </si>
  <si>
    <t>15191</t>
  </si>
  <si>
    <t>13417</t>
  </si>
  <si>
    <t xml:space="preserve">OC 125. QUADRO DESLOCADO SOBREPOR. ENTREGA: RIA DAS AROEIRAS LOTE C18 COND RESERVA DAS AROEIRAS BRACUI ANGRA DOS REIS. CEP 23943 007. LIGAR 24H ANTES ENTREGAR 21 9 9512 4022 . COPIAR : GUSTAVO.SOUZA@AQUALAR.COM.BR </t>
  </si>
  <si>
    <t>4Cn4nAGVSmGGsSL2GKDmmw</t>
  </si>
  <si>
    <t>15192</t>
  </si>
  <si>
    <t>13381</t>
  </si>
  <si>
    <t xml:space="preserve">OC 126. QUADRO DESLOCADO SOBREPOR. ENTREGA: RODOVIA PROCURADOR HAROLDO FERNANDES DUARTE S/N KM 512 COND PORTO FRADE . RUA DO MEIO H13 FRADE/ANGRA DOS REIS. LIGAR 24H ANTES ENTREGAR 21 9 9512 4022. COPIAR: GUSTAVO.SOUZA@AQUALAR.COM.BR </t>
  </si>
  <si>
    <t>jEh4GVYPSYOLmxZ6VBydHw</t>
  </si>
  <si>
    <t>15193</t>
  </si>
  <si>
    <t>8B00240106003112</t>
  </si>
  <si>
    <t>10722</t>
  </si>
  <si>
    <t>PEDIDO 15987 DESCONTO EXTRA DE +8% PEDIDO Nº 386 ENVIADO PELO VENDEDOR CARLOS AUGUSTO CRIADO EM 30/04/2024 08:39:11 INTEGRADO POR MEIO DO BENDITO NO DIA 30/04/2024 ÀS 11:52:04</t>
  </si>
  <si>
    <t>zBUvwED2QO6E3bXpiuucqA</t>
  </si>
  <si>
    <t>15195</t>
  </si>
  <si>
    <t>PETENUCI PISCINAS</t>
  </si>
  <si>
    <t>8A00240411003014</t>
  </si>
  <si>
    <t>OP CORRESPONDE A UMA FTI75D40PT, POSSIVEL QUE O CLIENTE ESTEJA COM MÁQUINA ERRADA</t>
  </si>
  <si>
    <t>MLw5maIATaSm3hAZ6FSWJw</t>
  </si>
  <si>
    <t>15196</t>
  </si>
  <si>
    <t>ECOTEC SISTEMAS</t>
  </si>
  <si>
    <t>8B00231215003166</t>
  </si>
  <si>
    <t>10744</t>
  </si>
  <si>
    <t>URGENTE PEDIDO Nº 388 ENVIADO PELO VENDEDOR FÁBIO CRIADO EM 30/04/2024 09:11:27 INTEGRADO POR MEIO DO BENDITO NO DIA 30/04/2024 ÀS 12:15:35</t>
  </si>
  <si>
    <t>C4i.lW5NSBa1eEo5Ir.AEg</t>
  </si>
  <si>
    <t>15197</t>
  </si>
  <si>
    <t>8B00240106003047</t>
  </si>
  <si>
    <t>10728</t>
  </si>
  <si>
    <t>PEDIDO Nº 389 ENVIADO PELO VENDEDOR RENATO CRIADO EM 30/04/2024 09:38:36 INTEGRADO POR MEIO DO BENDITO NO DIA 30/04/2024 ÀS 12:54:20</t>
  </si>
  <si>
    <t>Dvr48flQR2OtPUjlpIyeoA</t>
  </si>
  <si>
    <t>15198</t>
  </si>
  <si>
    <t>GOTA D'AGUA SOLUCOES.</t>
  </si>
  <si>
    <t>13382</t>
  </si>
  <si>
    <t>COTAR FRETE</t>
  </si>
  <si>
    <t>ES</t>
  </si>
  <si>
    <t>xAgZtY0lRPqxO.ckt5Rtow</t>
  </si>
  <si>
    <t>15199</t>
  </si>
  <si>
    <t>8B00240106003040</t>
  </si>
  <si>
    <t>10729</t>
  </si>
  <si>
    <t>PEDIDO Nº 391 ENVIADO PELO VENDEDOR CARLOS AUGUSTO CRIADO EM 30/04/2024 13:08:28 INTEGRADO POR MEIO DO BENDITO NO DIA 30/04/2024 ÀS 16:08:57</t>
  </si>
  <si>
    <t>1-7riJfVT7-DRCkow0Ckeg</t>
  </si>
  <si>
    <t>15201</t>
  </si>
  <si>
    <t>8B00240106003094</t>
  </si>
  <si>
    <t>PR023</t>
  </si>
  <si>
    <t>sv12F5X-RuurQdK7hBbuSA</t>
  </si>
  <si>
    <t>15202-A</t>
  </si>
  <si>
    <t>13390</t>
  </si>
  <si>
    <t>OC 127. PGTO 60.90 120 AUT MARIO. QUADRO DESLOCADO SOBREPOR. FATURAR MAS NAO ENTREGAR AGORA . ENTREGA. RUA DESENHISTA LUIZ GUIMARAES 70 BARRA DA,TIJUCA CEP 22793 261- ENTREGA FUTURA PEDIDO Nº 393 ENVIADO PELO VENDEDOR RICARDO HENRIQUE CRIADO EM 30/04/2024 16:36:23 INTEGRADO POR MEIO DO BENDITO NO DIA 30/04/2024 ÀS 19:41:22</t>
  </si>
  <si>
    <t>a-KMoNqzhRGuVP4G4kv3osw</t>
  </si>
  <si>
    <t>15202-B</t>
  </si>
  <si>
    <t>13393</t>
  </si>
  <si>
    <t>JAIR R</t>
  </si>
  <si>
    <t>s89-jAKlTOq3IUWrFSsUiw</t>
  </si>
  <si>
    <t>15202-C</t>
  </si>
  <si>
    <t>13149</t>
  </si>
  <si>
    <t>P7JW7hS.QraM9HTonY9LfQ</t>
  </si>
  <si>
    <t>15203</t>
  </si>
  <si>
    <t>PRWT ARTIGOS PARA PISCINAS E LAZER LTDA</t>
  </si>
  <si>
    <t>8B00240122003470</t>
  </si>
  <si>
    <t>10751</t>
  </si>
  <si>
    <t>PEDIDO Nº 394 ENVIADO PELO VENDEDOR RICARDO HENRIQUE CRIADO EM 30/04/2024 16:41:29 INTEGRADO POR MEIO DO BENDITO NO DIA 02/05/2024 ÀS 17:28:26</t>
  </si>
  <si>
    <t>w-7tOko4ThuqoHvEuNzcPg</t>
  </si>
  <si>
    <t>15204</t>
  </si>
  <si>
    <t>AKAMAI ENGENHARIA INTELIGENTE LTDA</t>
  </si>
  <si>
    <t>8B00240106003099</t>
  </si>
  <si>
    <t>10769</t>
  </si>
  <si>
    <t>BXB7D09 - DESTAK - JOSE DIAS ALMEIDA - 01980839980 - M.BENZ / CARGA CAMINHAO / AZUL / 1988</t>
  </si>
  <si>
    <t>RUA GUILHERME SALAZAR, 150 - APTO 402 C - CEP 52.061-275 - POÇO DA PANELA - RECIFE - PE PEDIDO Nº 395 ENVIADO PELO VENDEDOR SADI CRIADO EM 30/04/2024 16:52:59 INTEGRADO POR MEIO DO BENDITO NO DIA 02/05/2024 ÀS 17:29:55</t>
  </si>
  <si>
    <t>rahA7gDdRC6geCrgr1cYOg</t>
  </si>
  <si>
    <t>15206</t>
  </si>
  <si>
    <t>8B00240122003294</t>
  </si>
  <si>
    <t>FTi25D40PT</t>
  </si>
  <si>
    <t>10741</t>
  </si>
  <si>
    <t>PEDIDO 8363 TRANSPORTADORA DISK TENHA PEDIDO Nº 397 ENVIADO PELO VENDEDOR CARLOS AUGUSTO CRIADO EM 02/05/2024 11:28:19 INTEGRADO POR MEIO DO BENDITO NO DIA 02/05/2024 ÀS 17:31:51</t>
  </si>
  <si>
    <t>q2v7aE9jRPO5fvPTzD5jAw</t>
  </si>
  <si>
    <t>15207</t>
  </si>
  <si>
    <t>8B00231215003192</t>
  </si>
  <si>
    <t>10750</t>
  </si>
  <si>
    <t>PEDIDO 16012 PEDIDO Nº 399 ENVIADO PELO VENDEDOR CARLOS AUGUSTO CRIADO EM 02/05/2024 12:05:55 INTEGRADO POR MEIO DO BENDITO NO DIA 02/05/2024 ÀS 19:26:41</t>
  </si>
  <si>
    <t>3Hw9vppAQ5aDvHBuc644HA</t>
  </si>
  <si>
    <t>15208-A</t>
  </si>
  <si>
    <t>PONTO DA PISCINA LTDA</t>
  </si>
  <si>
    <t>8B00240122003474</t>
  </si>
  <si>
    <t>10748</t>
  </si>
  <si>
    <t>REDESPACHO PELA EXPRESSO RAQUEL. CONDIÇÃO DE PAGAMENTO AUTORIZADA PELO MARIO DICK. PEDIDO Nº 400 ENVIADO PELO VENDEDOR LUIZ CRIADO EM 02/05/2024 13:57:26 INTEGRADO POR MEIO DO BENDITO NO DIA 02/05/2024 ÀS 19:27:11</t>
  </si>
  <si>
    <t>vTkYCZP3Q.6oVb25G7V1tw</t>
  </si>
  <si>
    <t>15208-B</t>
  </si>
  <si>
    <t>8B00240122003478</t>
  </si>
  <si>
    <t>ROqsllfPT-aIeP5up0OYkw</t>
  </si>
  <si>
    <t>15208-C</t>
  </si>
  <si>
    <t>8B00240106003032</t>
  </si>
  <si>
    <t>emWffHIbSRK37IAlQn9XhQ</t>
  </si>
  <si>
    <t>15209</t>
  </si>
  <si>
    <t>7484 PISCINAS E MATERIAIS DE CONSTRUCAO LTDA</t>
  </si>
  <si>
    <t>8B00240106003129</t>
  </si>
  <si>
    <t>10742</t>
  </si>
  <si>
    <t>ENTREGAR COM URGENCIA PEDIDO Nº 401 ENVIADO PELO VENDEDOR RICARDO HENRIQUE CRIADO EM 03/05/2024 07:40:50 INTEGRADO POR MEIO DO BENDITO NO DIA 03/05/2024 ÀS 11:01:49</t>
  </si>
  <si>
    <t>brey.B6ORw2Ns-Zkxo6brQ</t>
  </si>
  <si>
    <t>15210</t>
  </si>
  <si>
    <t>ANA PAULA SILVA DA ROSA FACTORY POOL LTDA</t>
  </si>
  <si>
    <t>8B00240322003014</t>
  </si>
  <si>
    <t>PEDIDO Nº 402 ENVIADO PELO VENDEDOR THIAGO CRIADO EM 03/05/2024 07:49:27 INTEGRADO POR MEIO DO BENDITO NO DIA 03/05/2024 ÀS 11:04:07</t>
  </si>
  <si>
    <t>5BnFlExNQF-Y1DWvt8c8jg</t>
  </si>
  <si>
    <t>15211-A</t>
  </si>
  <si>
    <t>8B00231215003199</t>
  </si>
  <si>
    <t>PR025</t>
  </si>
  <si>
    <t>wbimvZuxSiOhwTKtbB7ZSw</t>
  </si>
  <si>
    <t>15211-B</t>
  </si>
  <si>
    <t>8B00231215003198</t>
  </si>
  <si>
    <t>PR029</t>
  </si>
  <si>
    <t>H4tOrQOgSIOi2bmjtU0Qng</t>
  </si>
  <si>
    <t>15212</t>
  </si>
  <si>
    <t>LITORAL PISCINAS LTDA</t>
  </si>
  <si>
    <t>13386</t>
  </si>
  <si>
    <t>RAA3F11 - EXPRESSO SÃO MIGUEL - LUAN ALEXANDRE ESPINDOLA - 13053844907 - I KIA / UK2500 HD SC / BRANCA  / 2022</t>
  </si>
  <si>
    <t>QUADRO PDX DESLOCADO, SOLICITADO PELO CLIENTE. PEDIDO Nº 403 ENVIADO PELO VENDEDOR RENATO CRIADO EM 03/05/2024 08:52:29 INTEGRADO POR MEIO DO BENDITO NO DIA 03/05/2024 ÀS 12:29:27</t>
  </si>
  <si>
    <t>Jzv5HykPScuZJ7ZVovcICg</t>
  </si>
  <si>
    <t>15213</t>
  </si>
  <si>
    <t>8B00240122003248</t>
  </si>
  <si>
    <t>PEDIDO Nº 404 ENVIADO PELO VENDEDOR THIAGO CRIADO EM 03/05/2024 10:24:21 INTEGRADO POR MEIO DO BENDITO NO DIA 03/05/2024 ÀS 13:38:07</t>
  </si>
  <si>
    <t>kcS6NDbQRAqsnI6becVIEw</t>
  </si>
  <si>
    <t>15214-A</t>
  </si>
  <si>
    <t>H2O PISCINAS</t>
  </si>
  <si>
    <t>8B00240322003043</t>
  </si>
  <si>
    <t>POR FAVOR FATURAR DIA 20/05 PEDIDO Nº 405 ENVIADO PELO VENDEDOR JUSCELINO CRIADO EM 03/05/2024 16:34:26 INTEGRADO POR MEIO DO BENDITO NO DIA 06/05/2024 ÀS 11:54:56</t>
  </si>
  <si>
    <t>MT</t>
  </si>
  <si>
    <t>GtkhoB.HTjG8FKEAao8cnA</t>
  </si>
  <si>
    <t>15214-B</t>
  </si>
  <si>
    <t>8B00240322003032</t>
  </si>
  <si>
    <t>a.w9LGZYtSh2AhGApISGjPg</t>
  </si>
  <si>
    <t>15215</t>
  </si>
  <si>
    <t>BR SUL COMERCIO E DISTRIBUICAO</t>
  </si>
  <si>
    <t>8B00240322003019</t>
  </si>
  <si>
    <t>PEDIDO Nº 406 ENVIADO PELO VENDEDOR RENATO CRIADO EM 03/05/2024 17:23:23 INTEGRADO POR MEIO DO BENDITO NO DIA 06/05/2024 ÀS 11:55:36</t>
  </si>
  <si>
    <t>S3lUTOpvRnW5sXLkXfstWw</t>
  </si>
  <si>
    <t>15219</t>
  </si>
  <si>
    <t>RODRIGO LANA DOMINGUES</t>
  </si>
  <si>
    <t>8B00240106003070</t>
  </si>
  <si>
    <t>10754</t>
  </si>
  <si>
    <t>TRANSPORTADORA FOB - RODONAVES  - SEM REDESPACHO - BOLETO - ANTECIPADO</t>
  </si>
  <si>
    <t>Ob3fO314Q2KPK7ANq5OnIQ</t>
  </si>
  <si>
    <t>15221</t>
  </si>
  <si>
    <t>JM GUARAPARI</t>
  </si>
  <si>
    <t>8B00240122003276</t>
  </si>
  <si>
    <t>10759</t>
  </si>
  <si>
    <t>COTAR FRETE E EMBUTIR NA NF. ENVIAR COPIA PARA JMPISCINAS.JMPISCINAS@GMAIL.COM PEDIDO Nº 410 ENVIADO PELO VENDEDOR RICARDO HENRIQUE CRIADO EM 06/05/2024 17:16:57 INTEGRADO POR MEIO DO BENDITO NO DIA 07/05/2024 ÀS 12:56:29</t>
  </si>
  <si>
    <t>fMDNSeVaTKCTKWO337vL.A</t>
  </si>
  <si>
    <t>15222</t>
  </si>
  <si>
    <t>SIN AR CONDICIONADO</t>
  </si>
  <si>
    <t>8B00231215003209</t>
  </si>
  <si>
    <t>PR027</t>
  </si>
  <si>
    <t>90SM4DYBR0uP6B9KV014TA</t>
  </si>
  <si>
    <t>15223</t>
  </si>
  <si>
    <t>José Maria de Pinho Bicalho</t>
  </si>
  <si>
    <t>8B00240106003075</t>
  </si>
  <si>
    <t>10753</t>
  </si>
  <si>
    <t>eQvaAxsPQwStU0IzvJybUQ</t>
  </si>
  <si>
    <t>15225</t>
  </si>
  <si>
    <t>PINHEIRAL PISCINAS</t>
  </si>
  <si>
    <t>8B00240106003150</t>
  </si>
  <si>
    <t xml:space="preserve">BOMBA DE CALOR PARA ACADEMIA EM BANGU.  VENDA TIRADA DA INDUSTEK COM FATURAMENTO DIRETO EM 10X. </t>
  </si>
  <si>
    <t>a-ZWhf4.PQpul6HtfINCxug</t>
  </si>
  <si>
    <t>15226</t>
  </si>
  <si>
    <t>13151</t>
  </si>
  <si>
    <t>ALTERADO PARA QUE O QUADRO SEJA DE SOBREPOR - PEDIDO Nº 413 ENVIADO PELO VENDEDOR RENATO CRIADO EM 07/05/2024 15:30:29 INTEGRADO POR MEIO DO BENDITO NO DIA 07/05/2024 ÀS 19:10:59</t>
  </si>
  <si>
    <t>rzHWGcjpQM68ZabMAVvpTg</t>
  </si>
  <si>
    <t>15228</t>
  </si>
  <si>
    <t>MAQUINA DO ESTOQUE BOLHA - PR 040 PEDIDO Nº 414 ENVIADO PELO VENDEDOR RENATO CRIADO EM 07/05/2024 16:38:57 INTEGRADO POR MEIO DO BENDITO NO DIA 08/05/2024 ÀS 16:37:16 // Jair Rodrigues ESSA MAQUINA DEVERIA TER CONSUMIDO A PR040 MAS O DUTRA COLOCOU O PEDIDO E FOI EXPEDIDA 1 MAQUINA PELA FROMTHERM. TODAVIA O RENATO TAMBEM ENTREGOU A PR040 PARA A ACQUANEW POR LÁ, FAZENDO COM QUE O CLIENTE TENHA RECEBIDO 2 MAQUINAS NÃO 1. SERÁ NECESSÁRIO ABRIR UM PEDIDO E FAZER UMA NOTA FISCAL COBRANDO  O VALOR DA OUTRA MAQUINA</t>
  </si>
  <si>
    <t>MAQUINA DO ESTOQUE BOLHA - PR 040 PEDIDO Nº 414 ENVIADO PELO VENDEDOR RENATO CRIADO EM 07/05/2024 16:38:57 INTEGRADO POR MEIO DO BENDITO NO DIA 08/05/2024 ÀS 16:37:16</t>
  </si>
  <si>
    <t>gojpO-dNTLuzYXXPXtadXg</t>
  </si>
  <si>
    <t>15229</t>
  </si>
  <si>
    <t>AMPLISOL PISCINAS E AQUECIMENTO SOLAR</t>
  </si>
  <si>
    <t>8B00240122003421</t>
  </si>
  <si>
    <t>PR076</t>
  </si>
  <si>
    <t>4TdVNH32Qj6GAK8ZM3asiQ</t>
  </si>
  <si>
    <t>15230</t>
  </si>
  <si>
    <t>LIMPA MAIS</t>
  </si>
  <si>
    <t>8B00240122003293</t>
  </si>
  <si>
    <t>PR052</t>
  </si>
  <si>
    <t>TbSE7OjVTy61fqrCuFhVhA</t>
  </si>
  <si>
    <t>15231</t>
  </si>
  <si>
    <t>PLUG SOLAR ENERGIA</t>
  </si>
  <si>
    <t>8B00240322003039</t>
  </si>
  <si>
    <t>SUPER PROMO 20% OFF PEDIDO Nº 418 ENVIADO PELO VENDEDOR MARCELO CRIADO EM 08/05/2024 16:39:37 INTEGRADO POR MEIO DO BENDITO NO DIA 09/05/2024 ÀS 13:52:53</t>
  </si>
  <si>
    <t>UL0an9AWSQ-u-4agGFAjlw</t>
  </si>
  <si>
    <t>15232</t>
  </si>
  <si>
    <t>13389</t>
  </si>
  <si>
    <t>MMI3B52 - RETIRA - JOAO HELENO DE ALMEIDA DOS SANTOS - 02635555001 - FIAT / DUCATO MAXICARGO / BRANCO / 2014</t>
  </si>
  <si>
    <t>PRAZO DE PAGAMENTO ESPECIAL AUTORIZADO PELO MÁRIO PEDIDO Nº 420 ENVIADO PELO VENDEDOR CARLOS AUGUSTO CRIADO EM 09/05/2024 09:25:35 INTEGRADO POR MEIO DO BENDITO NO DIA 09/05/2024 ÀS 13:54:31</t>
  </si>
  <si>
    <t>szrK-kt9Q1-LUpeQl86dkQ</t>
  </si>
  <si>
    <t>15233</t>
  </si>
  <si>
    <t>LM REFRIGERACAO E AQUECIMENTO SOLAR LTDA</t>
  </si>
  <si>
    <t>13388</t>
  </si>
  <si>
    <t>COTAR FRETE E EMBUTIR NA NF. ENTREGAR NO END: ENDEREÇO ENTREGA RUA 2 , LOTE 23 , QUADRA A . CONDOMÍNIO RESIDENCIAL TAQUARAL 2 INOÃ / MARICÁ / RJ CEP 24 943 240 PRÓXIMO UPA DE INOÃ. LIGAR ANTES DA ENTREGA 21 96428 3542 PEDIDO Nº 421 ENVIADO PELO VENDEDOR RICARDO HENRIQUE CRIADO EM 09/05/2024 09:27:41 INTEGRADO POR MEIO DO BENDITO NO DIA 09/05/2024 ÀS 13:55:07</t>
  </si>
  <si>
    <t>bbq9tr0xTCOg.YuAu.qKnw</t>
  </si>
  <si>
    <t>15234-A</t>
  </si>
  <si>
    <t>8B00230927003125</t>
  </si>
  <si>
    <t>10779</t>
  </si>
  <si>
    <t>PEDIDO Nº 423 ENVIADO PELO VENDEDOR CARLOS AUGUSTO CRIADO EM 09/05/2024 11:19:57 INTEGRADO POR MEIO DO BENDITO NO DIA 09/05/2024 ÀS 17:30:13</t>
  </si>
  <si>
    <t>RgsHY0yPQL6RD0P3DXUQoA</t>
  </si>
  <si>
    <t>15234-B</t>
  </si>
  <si>
    <t>8B00230927003135</t>
  </si>
  <si>
    <t>8zM5gjf8SQOfvvIsVcLr1w</t>
  </si>
  <si>
    <t>15235</t>
  </si>
  <si>
    <t>8B00230927003123</t>
  </si>
  <si>
    <t>10778</t>
  </si>
  <si>
    <t>PRAZO DE PAGAMENTO AUTORIZADO PELO MÁRIO PEDIDO Nº 422 ENVIADO PELO VENDEDOR CARLOS AUGUSTO CRIADO EM 09/05/2024 11:18:52 INTEGRADO POR MEIO DO BENDITO NO DIA 09/05/2024 ÀS 17:31:06</t>
  </si>
  <si>
    <t>C-tNsNifRdCKjlel3J1PnQ</t>
  </si>
  <si>
    <t>15236</t>
  </si>
  <si>
    <t>8B00240106003125</t>
  </si>
  <si>
    <t>10777</t>
  </si>
  <si>
    <t>PEDIDO ESTUDIO CENTRAL PEDIDO Nº 424 ENVIADO PELO VENDEDOR CARLOS AUGUSTO CRIADO EM 09/05/2024 14:31:57 INTEGRADO POR MEIO DO BENDITO NO DIA 10/05/2024 ÀS 01:03:44</t>
  </si>
  <si>
    <t>WcnKhJ7aSNO3eCs1Gk6sFQ</t>
  </si>
  <si>
    <t>15237</t>
  </si>
  <si>
    <t>13394</t>
  </si>
  <si>
    <t>PEDIDO Nº 425 ENVIADO PELO VENDEDOR RENATO CRIADO EM 09/05/2024 17:52:42 INTEGRADO POR MEIO DO BENDITO NO DIA 10/05/2024 ÀS 01:07:16</t>
  </si>
  <si>
    <t>Dhxaa7U6T.mZdx7QKlS5nQ</t>
  </si>
  <si>
    <t>15238</t>
  </si>
  <si>
    <t>8B00240106003073</t>
  </si>
  <si>
    <t>10780</t>
  </si>
  <si>
    <t>PEDIDO Nº 426 ENVIADO PELO VENDEDOR CARLOS AUGUSTO CRIADO EM 10/05/2024 11:37:45 INTEGRADO POR MEIO DO BENDITO NO DIA 13/05/2024 ÀS 11:42:01</t>
  </si>
  <si>
    <t>u7AzYSeZQIG.SwBu4THTbQ</t>
  </si>
  <si>
    <t>15239</t>
  </si>
  <si>
    <t>13391</t>
  </si>
  <si>
    <t>PARA USO INDUSTRIAL EM SÃO JOÃO BATISTA PEDIDO Nº 427 ENVIADO PELO VENDEDOR CARLOS AUGUSTO CRIADO EM 10/05/2024 11:39:09 INTEGRADO POR MEIO DO BENDITO NO DIA 13/05/2024 ÀS 11:42:37</t>
  </si>
  <si>
    <t>k6azf7qtRA2VD4cBeDI5Rw</t>
  </si>
  <si>
    <t>15240-A</t>
  </si>
  <si>
    <t>HIDRAULICA JABO LTDA</t>
  </si>
  <si>
    <t>8B00240106003123</t>
  </si>
  <si>
    <t>COM REDESPACHO PELA EXPRESSO RAQUEL PEDIDO Nº 428 ENVIADO PELO VENDEDOR LUIZ CRIADO EM 10/05/2024 16:21:26 INTEGRADO POR MEIO DO BENDITO NO DIA 13/05/2024 ÀS 11:43:05</t>
  </si>
  <si>
    <t>kL3Fa7lGR4KLcgPY6c7J.Q</t>
  </si>
  <si>
    <t>15240-B</t>
  </si>
  <si>
    <t>8B00240106003039</t>
  </si>
  <si>
    <t>aiUlllHjTqyKiGr4IJ46YA</t>
  </si>
  <si>
    <t>15241</t>
  </si>
  <si>
    <t>8B00230927003150</t>
  </si>
  <si>
    <t>MAQUINA ACERTADA COM O MARIO, FTI125L40CZ QUE TINHA UM ARRANHAO</t>
  </si>
  <si>
    <t>J538uTFOSNWf-RGMbEiAIw</t>
  </si>
  <si>
    <t>15243</t>
  </si>
  <si>
    <t>13399</t>
  </si>
  <si>
    <t>AUTORIZADO DESCONTO POR CONCORRÊNCIA EM COND. POLINÉSIA. PEDIDO Nº 431 ENVIADO PELO VENDEDOR SADI CRIADO EM 13/05/2024 10:33:52 INTEGRADO POR MEIO DO BENDITO NO DIA 13/05/2024 ÀS 17:14:53</t>
  </si>
  <si>
    <t>ukPUM3jERTiidoO8Y5neVw</t>
  </si>
  <si>
    <t>15244</t>
  </si>
  <si>
    <t>BOLHA AZUL</t>
  </si>
  <si>
    <t>8B00240106003105</t>
  </si>
  <si>
    <t>PR034</t>
  </si>
  <si>
    <t>a-doRpNDjSleFi9rvWS-iww</t>
  </si>
  <si>
    <t>15245</t>
  </si>
  <si>
    <t>13392</t>
  </si>
  <si>
    <t>PEDIDO Nº 434 ENVIADO PELO VENDEDOR RICARDO HENRIQUE CRIADO EM 13/05/2024 17:59:41 INTEGRADO POR MEIO DO BENDITO NO DIA 14/05/2024 ÀS 00:17:26</t>
  </si>
  <si>
    <t>wslU-6KyQriilBcGEGfVUg</t>
  </si>
  <si>
    <t>15246-A</t>
  </si>
  <si>
    <t>AQUAMEC IND E COMERCIO DE EQUIPAMENTOS TERMICOS LTDA</t>
  </si>
  <si>
    <t>8B00240106003067</t>
  </si>
  <si>
    <t>PR028</t>
  </si>
  <si>
    <t>ESSAS MAQ ESTÃO PERDIDAS NO LIMBO, PEDIDO FOI DUPLICADO E O RENATO ALEGA NAO TER ENTREGUE PRA ELES, MAS TAMBEM NAO POSSUI ELAS FISICAMENTE LA</t>
  </si>
  <si>
    <t>YXk0gc4USW-FRnirnpvNRA</t>
  </si>
  <si>
    <t>8B00231215003186</t>
  </si>
  <si>
    <t>ESSE CLIENTE NÃO DEVERIA ESTAR COM ESSA MÁQUINA, POIS O PEDIDO JA SAIU PELA BOLHA AZUL NAS PR 028, PR 030, PRECISAMOS DA RECUPERAÇÃO DESSAS MAQUINAS</t>
  </si>
  <si>
    <t>WkW0DMlxSLKr9gNB0jTskg</t>
  </si>
  <si>
    <t>15246-B</t>
  </si>
  <si>
    <t>8B00240106003084</t>
  </si>
  <si>
    <t>PR030</t>
  </si>
  <si>
    <t>TCMPUApbRiCH5ftzvlovRg</t>
  </si>
  <si>
    <t>8B00231215003185</t>
  </si>
  <si>
    <t>yXFOMemYQs-Fdmq08v525A</t>
  </si>
  <si>
    <t>15247-A</t>
  </si>
  <si>
    <t>MAGMA</t>
  </si>
  <si>
    <t>13395</t>
  </si>
  <si>
    <t>ESTE PEDIDO, CONFORME OS PEDIDOS DA INFRAH: 2 QUADROS DESLOCADOS DE SOBREPOR PARA 02 MAQUINAS, OU SEJA 04 MAQUINAS COM TAMPAS CEGAS , E 02 CONTROLADORES - GUILHERME SABE COMO FAZER. PEDIR APROVAÇÃO: COMERCIAL1@MAGMARENTAL.COM.BR E  MARIO.DICK@FROMTHERM.COM.BR</t>
  </si>
  <si>
    <t>Cx4ooWqWRFKO410divqYKg</t>
  </si>
  <si>
    <t>15247-B</t>
  </si>
  <si>
    <t>13396</t>
  </si>
  <si>
    <t>hzR8PtgjSwSOgTM-7OjH.A</t>
  </si>
  <si>
    <t>15247-C</t>
  </si>
  <si>
    <t>13397</t>
  </si>
  <si>
    <t>WvA7wV2sTFGiqR5EvOxncw</t>
  </si>
  <si>
    <t>15247-D</t>
  </si>
  <si>
    <t>13398</t>
  </si>
  <si>
    <t>sosccXm-SESzcf5uSH6qUQ</t>
  </si>
  <si>
    <t>15248</t>
  </si>
  <si>
    <t>8B00231215003130</t>
  </si>
  <si>
    <t>PR009</t>
  </si>
  <si>
    <t>pfMtlxQeTb-ZqT5PWQt4sQ</t>
  </si>
  <si>
    <t>15249</t>
  </si>
  <si>
    <t>8B00240106003115</t>
  </si>
  <si>
    <t>PEDIDO Nº 436 ENVIADO PELO VENDEDOR CARLOS AUGUSTO CRIADO EM 14/05/2024 08:17:23 INTEGRADO POR MEIO DO BENDITO NO DIA 14/05/2024 ÀS 11:31:33</t>
  </si>
  <si>
    <t>zvLQe7KJQS2tEJpKjMDvOw</t>
  </si>
  <si>
    <t>15250</t>
  </si>
  <si>
    <t>8B00240106003068</t>
  </si>
  <si>
    <t>PEDIDO COND. JARDIM OCCANO CANASVIEIRAS PEDIDO Nº 438 ENVIADO PELO VENDEDOR CARLOS AUGUSTO CRIADO EM 14/05/2024 22:17:42 INTEGRADO POR MEIO DO BENDITO NO DIA 15/05/2024 ÀS 01:41:31</t>
  </si>
  <si>
    <t>E1Mpaah3R3K4bx8KjLhEwQ</t>
  </si>
  <si>
    <t>15251</t>
  </si>
  <si>
    <t>SUPER TEC LAR E LAZER</t>
  </si>
  <si>
    <t>8B00240122003304</t>
  </si>
  <si>
    <t>PR060</t>
  </si>
  <si>
    <t>Q7Itane2RH64cTso7tkziw</t>
  </si>
  <si>
    <t>15252</t>
  </si>
  <si>
    <t>CAMILA VANZIN PAVANI</t>
  </si>
  <si>
    <t>8B00240106003066</t>
  </si>
  <si>
    <t>RYJ0F43 - RETIRA - JUAN PABLO BADURA - 39861278949 - NISSAN / FRONTIER / PRETO / 2022</t>
  </si>
  <si>
    <t>CLIENTE QUE VENDEU : SOLTEC COM. PISCINAS DE BRUSQUE E-MAIL CONTATO@SOLTECPISCINAS.COM.BR -- PABLO PEDIDO Nº 430 ENVIADO PELO VENDEDOR CARLOS AUGUSTO CRIADO EM 10/05/2024 17:29:45 INTEGRADO POR MEIO DO BENDITO NO DIA 15/05/2024 ÀS 11:12:01</t>
  </si>
  <si>
    <t>yyL19kLuShSbkm6lb8-1gA</t>
  </si>
  <si>
    <t>15253</t>
  </si>
  <si>
    <t>S.C. COIMBRA BAZAR</t>
  </si>
  <si>
    <t>12005</t>
  </si>
  <si>
    <t>"JAIR OUTRA COISA ENTROU ONTEM UM PEDIDO FT180 , PRECISO DE DESPACHO URGENTE DESSA MÁQUINA . PARA ANIVERSÁRIO DO CANTOR SERTANEJO ZÉ FELIPE"</t>
  </si>
  <si>
    <t>IDctpykQTsiakhktRtU9KA</t>
  </si>
  <si>
    <t>15254</t>
  </si>
  <si>
    <t>8B00240106003074</t>
  </si>
  <si>
    <t>H9WSG36vSRCqbA8aWYRtoA</t>
  </si>
  <si>
    <t>15255</t>
  </si>
  <si>
    <t>8B00240106003124</t>
  </si>
  <si>
    <t>REDESPACHO PELA GRIFFE TRANSPORTES. URGENTE PEDIDO Nº 440 ENVIADO PELO VENDEDOR LUIZ CRIADO EM 15/05/2024 12:27:15 INTEGRADO POR MEIO DO BENDITO NO DIA 15/05/2024 ÀS 23:24:15</t>
  </si>
  <si>
    <t>P613uZGlT7uBYFSO0ZxjZw</t>
  </si>
  <si>
    <t>15256</t>
  </si>
  <si>
    <t>SONDA SISTEMAS DE CALEFACAO</t>
  </si>
  <si>
    <t>8B00240122003395</t>
  </si>
  <si>
    <t>PEDIDO Nº 441 ENVIADO PELO VENDEDOR THIAGO CRIADO EM 15/05/2024 15:58:16 INTEGRADO POR MEIO DO BENDITO NO DIA 15/05/2024 ÀS 23:24:57</t>
  </si>
  <si>
    <t>RwPtDZrHRDm7i5qLWu9PPg</t>
  </si>
  <si>
    <t>15258</t>
  </si>
  <si>
    <t>8B00240322003029</t>
  </si>
  <si>
    <t>OP CORRESPONDE A UMA FTI25D40PT, POSSIVEL QUE O CLIENTE ESTEJA COM MÁQUINA ERRADA</t>
  </si>
  <si>
    <t>PT0OOULTRfW4jRCv6N6hbw</t>
  </si>
  <si>
    <t>15260</t>
  </si>
  <si>
    <t>8B00240106003096</t>
  </si>
  <si>
    <t>PEDIDO 15161 FRETE PAGO AUTORIZADO POR MÁRIO PEDIDO Nº 446 ENVIADO PELO VENDEDOR CARLOS AUGUSTO CRIADO EM 16/05/2024 19:02:42 INTEGRADO POR MEIO DO BENDITO NO DIA 20/05/2024 ÀS 11:56:59</t>
  </si>
  <si>
    <t>k7ro5X6rTJ60ATTvKMNTnQ</t>
  </si>
  <si>
    <t>15261</t>
  </si>
  <si>
    <t>8B00240106003097</t>
  </si>
  <si>
    <t>FRETE CIF AUTORIZADO POR MÁRIO PEDIDO Nº 447 ENVIADO PELO VENDEDOR CARLOS AUGUSTO CRIADO EM 16/05/2024 19:04:15 INTEGRADO POR MEIO DO BENDITO NO DIA 20/05/2024 ÀS 11:59:58</t>
  </si>
  <si>
    <t>MQ7Fq30FQfCsO20uS8mu-g</t>
  </si>
  <si>
    <t>15262</t>
  </si>
  <si>
    <t>8B00240122003411</t>
  </si>
  <si>
    <t>FRETE CIF AUTORIZADO POR MARIO PREÇO DA FT45 É O DA FT35 - AUTORIZADO POR MARIO PEDIDO Nº 448 ENVIADO PELO VENDEDOR CARLOS AUGUSTO CRIADO EM 16/05/2024 19:06:25 INTEGRADO POR MEIO DO BENDITO NO DIA 20/05/2024 ÀS 12:00:22</t>
  </si>
  <si>
    <t>2QLqFmiKRACZiuPVOcBbzg</t>
  </si>
  <si>
    <t>15263</t>
  </si>
  <si>
    <t>FRANCAPAS E ACESSÓRIOS PARA PISCINA</t>
  </si>
  <si>
    <t>8B00240322003045</t>
  </si>
  <si>
    <t>TRANSPORTADORA INDICADO PELO CLIENTE: RODONAVES - AV ALEXANDRE COLLARES , 500 VILA JAGUARA SP PEDIDO Nº 449 ENVIADO PELO VENDEDOR ROBSON CRIADO EM 17/05/2024 15:18:49 INTEGRADO POR MEIO DO BENDITO NO DIA 20/05/2024 ÀS 12:00:53</t>
  </si>
  <si>
    <t>lCTDCEErSfKNkSTrbg6wBA</t>
  </si>
  <si>
    <t>15264</t>
  </si>
  <si>
    <t>RICTERM</t>
  </si>
  <si>
    <t>8B00240106003132</t>
  </si>
  <si>
    <t>PEDIDO Nº 451 ENVIADO PELO VENDEDOR FÁBIO CRIADO EM 17/05/2024 17:12:20 INTEGRADO POR MEIO DO BENDITO NO DIA 20/05/2024 ÀS 12:01:58</t>
  </si>
  <si>
    <t>jXhHw1KxRQ2NIV1ZKOZSrw</t>
  </si>
  <si>
    <t>15265</t>
  </si>
  <si>
    <t>ESPACO LAZER COMERCIO LTDA</t>
  </si>
  <si>
    <t>8B00240122003242</t>
  </si>
  <si>
    <t>OLD0948 - JAMEF - JOAO SIDNEI DOS SANTOS  - 78919819904 - M.BENZ  / CARGA  / BRANCA  / 2013</t>
  </si>
  <si>
    <t>PEDIDO Nº 452 ENVIADO PELO VENDEDOR LUIZ CRIADO EM 20/05/2024 09:07:46 INTEGRADO POR MEIO DO BENDITO NO DIA 20/05/2024 ÀS 12:07:55</t>
  </si>
  <si>
    <t>BviL1oZMQ3KA6QSS8l1cvQ</t>
  </si>
  <si>
    <t>15266</t>
  </si>
  <si>
    <t>VIROU PR085</t>
  </si>
  <si>
    <t>xhCBS4N1RpW9p9LWXgkkAQ</t>
  </si>
  <si>
    <t>15267</t>
  </si>
  <si>
    <t>JL CARVALHO PISCINAS LTDA</t>
  </si>
  <si>
    <t>8B00240122003404</t>
  </si>
  <si>
    <t>CLIENTE JL CARVALHO ,NO SISTEMA TA SAINDO COMO RICARDO@RHDASILVA.COM PEDIDO Nº 454 ENVIADO PELO VENDEDOR RICARDO HENRIQUE CRIADO EM 20/05/2024 12:09:18 INTEGRADO POR MEIO DO BENDITO NO DIA 20/05/2024 ÀS 15:11:51</t>
  </si>
  <si>
    <t>ZhZrdWnDSeGonzVTQ9SMMQ</t>
  </si>
  <si>
    <t>15269</t>
  </si>
  <si>
    <t>AQS ENERGIA E AQUECIMENTO SOLAR</t>
  </si>
  <si>
    <t>8B00240325003044</t>
  </si>
  <si>
    <t>TRANSPORTADORA REBECCHI LTDA 73.105.595/0005-47 R JORGE NUNES KEHDI 132 - VILA ANASTÁCIO SÃO PAULO SP - CEP:05092-050 F: 11 3832 7166 PEDIDO Nº 455 ENVIADO PELO VENDEDOR ROBSON CRIADO EM 20/05/2024 15:44:01 INTEGRADO POR MEIO DO BENDITO NO DIA 20/05/2024 ÀS 18:51:25</t>
  </si>
  <si>
    <t>a.ZU1orN8SpemN3vqaWglaQ</t>
  </si>
  <si>
    <t>15270-A</t>
  </si>
  <si>
    <t>BRASIL PISCINAS E SERVICOS LTDA</t>
  </si>
  <si>
    <t>13401</t>
  </si>
  <si>
    <t>REDESPACHO PELO EXPRESSO RAQUEL PREÇO E CONDIÇÃO DE PAGAMENTO AUTORIZADO PELO GERENTE MÁRIO DICK PEDIDO Nº 456 ENVIADO PELO VENDEDOR LUIZ CRIADO EM 20/05/2024 16:25:10 INTEGRADO POR MEIO DO BENDITO NO DIA 20/05/2024 ÀS 19:45:36</t>
  </si>
  <si>
    <t>IjZYr2z1RuirNECVll8WBQ</t>
  </si>
  <si>
    <t>15270-B</t>
  </si>
  <si>
    <t>13402</t>
  </si>
  <si>
    <t>OcOmKPOQT0y88Zda-32GIQ</t>
  </si>
  <si>
    <t>15270-C</t>
  </si>
  <si>
    <t>13403</t>
  </si>
  <si>
    <t>q47K6.9yRFe9faLe565qOw</t>
  </si>
  <si>
    <t>15271</t>
  </si>
  <si>
    <t>TREME PISCINAS</t>
  </si>
  <si>
    <t>8B00240106003089</t>
  </si>
  <si>
    <t>PEDIDO Nº 457 ENVIADO PELO VENDEDOR RENATO CRIADO EM 20/05/2024 16:35:10 INTEGRADO POR MEIO DO BENDITO NO DIA 20/05/2024 ÀS 19:45:58</t>
  </si>
  <si>
    <t>x0sXsttRSvakfHaYDCYh0w</t>
  </si>
  <si>
    <t>15272</t>
  </si>
  <si>
    <t>André Marques Machado</t>
  </si>
  <si>
    <t>8B00240106003078</t>
  </si>
  <si>
    <t>FORMA DE PAGTO : ANTECIPADO COM BOLETO - FRETE FOB SEM REDESPACHO : RODONAVES</t>
  </si>
  <si>
    <t>YbZ8wk78QsGt2aBsXX.aBQ</t>
  </si>
  <si>
    <t>15273</t>
  </si>
  <si>
    <t>13404</t>
  </si>
  <si>
    <t>PEDIDO Nº 461 ENVIADO PELO VENDEDOR RICARDO HENRIQUE CRIADO EM 21/05/2024 15:38:01 INTEGRADO POR MEIO DO BENDITO NO DIA 21/05/2024 ÀS 18:57:28</t>
  </si>
  <si>
    <t>T19fDyQYSJyoe8ENVqir6Q</t>
  </si>
  <si>
    <t>15274</t>
  </si>
  <si>
    <t>ENGE-FORTE ENGENHARIA E CONSTRUCAO</t>
  </si>
  <si>
    <t>8B00240122003264</t>
  </si>
  <si>
    <t>PEDIDO Nº 459 ENVIADO PELO VENDEDOR MARCELO CRIADO EM 21/05/2024 13:31:10 INTEGRADO POR MEIO DO BENDITO NO DIA 21/05/2024 ÀS 18:58:25</t>
  </si>
  <si>
    <t>TfahbyE9ThG8TapGSmSSUQ</t>
  </si>
  <si>
    <t>15275-A</t>
  </si>
  <si>
    <t>PB Saunas</t>
  </si>
  <si>
    <t>13405</t>
  </si>
  <si>
    <t>CLIENTE FARA PIX R$35.000,00 E SALDO EM 3 PARCELAS PEDIDO Nº 460 ENVIADO PELO VENDEDOR SADI CRIADO EM 21/05/2024 13:37:46 INTEGRADO POR MEIO DO BENDITO NO DIA 21/05/2024 ÀS 18:59:09</t>
  </si>
  <si>
    <t>PB</t>
  </si>
  <si>
    <t>c-MBqrymRGaKlSLcLxasSA</t>
  </si>
  <si>
    <t>15275-B</t>
  </si>
  <si>
    <t>13409</t>
  </si>
  <si>
    <t>WLKZWNiMTX-zZrYssbNc5Q</t>
  </si>
  <si>
    <t>15275-C</t>
  </si>
  <si>
    <t>8B00240122003423</t>
  </si>
  <si>
    <t>5YESnQ0kQNCvJncqnTWUxQ</t>
  </si>
  <si>
    <t>15276</t>
  </si>
  <si>
    <t>13412</t>
  </si>
  <si>
    <t xml:space="preserve">RETIRA NA FRABRICA </t>
  </si>
  <si>
    <t>PEDIDO 13021 PEDIDO Nº 462 ENVIADO PELO VENDEDOR CARLOS AUGUSTO CRIADO EM 21/05/2024 15:54:28 INTEGRADO POR MEIO DO BENDITO NO DIA 21/05/2024 ÀS 19:01:22</t>
  </si>
  <si>
    <t>8vJkoky6Q8GcYpVH.ea.TQ</t>
  </si>
  <si>
    <t>15277-A</t>
  </si>
  <si>
    <t>13222</t>
  </si>
  <si>
    <t>MASTER FROMTHERM</t>
  </si>
  <si>
    <t>PEDIDO 15133 PEDIDO Nº 463 ENVIADO PELO VENDEDOR CARLOS AUGUSTO CRIADO EM 21/05/2024 15:57:31 INTEGRADO POR MEIO DO BENDITO NO DIA 21/05/2024 ÀS 19:02:35</t>
  </si>
  <si>
    <t>OAx4fHMtTjSsXhUmacc7.Q</t>
  </si>
  <si>
    <t>15277-B</t>
  </si>
  <si>
    <t>13125</t>
  </si>
  <si>
    <t>hjKHWD68Qx6EkLwpnKjlaQ</t>
  </si>
  <si>
    <t>15278</t>
  </si>
  <si>
    <t>ESFERA SOLAR</t>
  </si>
  <si>
    <t>8B00240106003091</t>
  </si>
  <si>
    <t>PEDIDO Nº 464 ENVIADO PELO VENDEDOR MARCELO CRIADO EM 21/05/2024 16:04:05 INTEGRADO POR MEIO DO BENDITO NO DIA 21/05/2024 ÀS 19:09:15</t>
  </si>
  <si>
    <t>kisFf8R5QzidQe.aHhzcrQ</t>
  </si>
  <si>
    <t>15279</t>
  </si>
  <si>
    <t>8B00240122003409</t>
  </si>
  <si>
    <t>TRANSPORTADORA INDICADA: RISSO ENCOMENDAS CENTRO OESTE LTDA COTAÇÃO DE FRETE Nº 0330-90740 ENDEREÇO: AV. JORNALISTA PAULO ZINGG, 300 - JARDIM JARAGUA (SAO DOMINGOS), SÃO PAULO - SP, 05157-030 TELEFONE: (11) 3933-7570 RAZÃO SOCIAL: RISSO TRANSPORTES LTDA. - CNPJ: 59.504.225/0003-90 - I.E.: 146.357.560.110 PEDIDO Nº 465 ENVIADO PELO VENDEDOR ROBSON CRIADO EM 21/05/2024 16:49:19 INTEGRADO POR MEIO DO BENDITO NO DIA 21/05/2024 ÀS 20:19:54</t>
  </si>
  <si>
    <t>LDDqR3ieRDifwu3.xwCStw</t>
  </si>
  <si>
    <t>15280</t>
  </si>
  <si>
    <t>DB PISCINAS</t>
  </si>
  <si>
    <t>8B00240322003042</t>
  </si>
  <si>
    <t>PEDIDO Nº 466 ENVIADO PELO VENDEDOR THIAGO CRIADO EM 22/05/2024 09:01:03 INTEGRADO POR MEIO DO BENDITO NO DIA 22/05/2024 ÀS 16:42:12</t>
  </si>
  <si>
    <t>b83XThsvTbWpSoAyqmw99g</t>
  </si>
  <si>
    <t>15281</t>
  </si>
  <si>
    <t>MEGA PISCINA</t>
  </si>
  <si>
    <t>8B00240106003092</t>
  </si>
  <si>
    <t>PEDIDO Nº 467 ENVIADO PELO VENDEDOR RENATO CRIADO EM 22/05/2024 13:18:53 INTEGRADO POR MEIO DO BENDITO NO DIA 22/05/2024 ÀS 16:42:40</t>
  </si>
  <si>
    <t>PZ7DmJotTue2HBvxFiU4Qw</t>
  </si>
  <si>
    <t>15282-A</t>
  </si>
  <si>
    <t>13410</t>
  </si>
  <si>
    <t>10854</t>
  </si>
  <si>
    <t>CONDIÇÕES DE PAGAMENTO - SINAL/30/60/90/120/150/180 PEDIDO Nº 469 ENVIADO PELO VENDEDOR FÁBIO CRIADO EM 22/05/2024 14:01:53 INTEGRADO POR MEIO DO BENDITO NO DIA 22/05/2024 ÀS 17:42:27</t>
  </si>
  <si>
    <t>mIk0eVSURBCsCmJ1vLslCA</t>
  </si>
  <si>
    <t>15282-B</t>
  </si>
  <si>
    <t>13411</t>
  </si>
  <si>
    <t>lkFwvJc9QhmQWJZUF8p7GA</t>
  </si>
  <si>
    <t>15283</t>
  </si>
  <si>
    <t>13312</t>
  </si>
  <si>
    <t>MÁQUINA COM QUADRO DESLOCADO SOBREPOR PEDIDO Nº 219 ENVIADO PELO VENDEDOR RENATO CRIADO EM 21/03/2024 07:10:22 INTEGRADO POR MEIO DO BENDITO NO DIA 21/03/2024 ÀS 12:15:10</t>
  </si>
  <si>
    <t>a.QM.eJB4QympwINZ6UHYoQ</t>
  </si>
  <si>
    <t>15284-A</t>
  </si>
  <si>
    <t>13275</t>
  </si>
  <si>
    <t>QIY3Q32 - EXPRESSO SÃO MIGUEL - ALIDEIA JUCHEM CRESTANI - 04171883903 - M.BENZ / 815 / BRANCA / 2016</t>
  </si>
  <si>
    <t>PEDIDO Nº 468 ENVIADO PELO VENDEDOR RENATO CRIADO EM 22/05/2024 13:53:52 INTEGRADO POR MEIO DO BENDITO NO DIA 22/05/2024 ÀS 17:43:20</t>
  </si>
  <si>
    <t>fRGPMg0BQ.2EDiIx90AfMQ</t>
  </si>
  <si>
    <t>15284-B</t>
  </si>
  <si>
    <t>12066</t>
  </si>
  <si>
    <t>Sq-nfvIrQPeOTp95bEnJ3w</t>
  </si>
  <si>
    <t>15285</t>
  </si>
  <si>
    <t>HDR SOLUÇÕES</t>
  </si>
  <si>
    <t>11386</t>
  </si>
  <si>
    <t>RESERVA NR 11386 - URGENTE FRETE FOB - REDESPACHO EXPRESSO RAQUEL VALOR AUTORIZADO PELO MARIO DICK PEDIDO Nº 470 ENVIADO PELO VENDEDOR LUIZ CRIADO EM 22/05/2024 15:31:44 INTEGRADO POR MEIO DO BENDITO NO DIA 22/05/2024 ÀS 20:31:56</t>
  </si>
  <si>
    <t>cGVUJmz6T2CwtgeU2BNYOA</t>
  </si>
  <si>
    <t>15288-A</t>
  </si>
  <si>
    <t>VERTICAL SOLAR PISCINAS E AQUECEDORES</t>
  </si>
  <si>
    <t>13413</t>
  </si>
  <si>
    <t>CLIENTE VAI INFORMAR ENDEREÇO ENTREGA. PEDIDO Nº 473 ENVIADO PELO VENDEDOR RICARDO HENRIQUE CRIADO EM 23/05/2024 10:38:08 INTEGRADO POR MEIO DO BENDITO NO DIA 23/05/2024 ÀS 18:37:30</t>
  </si>
  <si>
    <t>CHCGwZUeRo6qMSvOqRyImQ</t>
  </si>
  <si>
    <t>15288-B</t>
  </si>
  <si>
    <t>13414</t>
  </si>
  <si>
    <t>dK6KR3lVTV6coGg8YgH7xA</t>
  </si>
  <si>
    <t>15288-C</t>
  </si>
  <si>
    <t>13415</t>
  </si>
  <si>
    <t>yEKVH85IT6G4ntTw8JV8iw</t>
  </si>
  <si>
    <t>15289</t>
  </si>
  <si>
    <t>8B00240122003424</t>
  </si>
  <si>
    <t>CLIENTE - LAERTE FERREIRA (CONSTAR EM NF) DESCONTO AUTORIZADO PELO GV MÁRIO PEDIDO Nº 474 ENVIADO PELO VENDEDOR FÁBIO CRIADO EM 23/05/2024 12:52:17 INTEGRADO POR MEIO DO BENDITO NO DIA 23/05/2024 ÀS 18:41:56</t>
  </si>
  <si>
    <t>94.LbYecQJabLjXbBO5x9w</t>
  </si>
  <si>
    <t>15290</t>
  </si>
  <si>
    <t>Marcelo Alvarenga do Carmo</t>
  </si>
  <si>
    <t>8B00240325003031</t>
  </si>
  <si>
    <t>FRETE FOB - COM REDESPACHO EXPRESSO RAQUEL PEDIDO Nº 475 ENVIADO PELO VENDEDOR LUIZ CRIADO EM 23/05/2024 15:26:23 INTEGRADO POR MEIO DO BENDITO NO DIA 23/05/2024 ÀS 18:42:22</t>
  </si>
  <si>
    <t>40MLrNw8SzOXVOq0cq3-Qw</t>
  </si>
  <si>
    <t>15291</t>
  </si>
  <si>
    <t>PISCINAS PORTO RICO</t>
  </si>
  <si>
    <t>8B00240122003311</t>
  </si>
  <si>
    <t>SE PUDER , UNIFICAR OS DOIS PEDIDOS DELES PEDIDO Nº 477 ENVIADO PELO VENDEDOR RICARDO HENRIQUE CRIADO EM 23/05/2024 15:32:18 INTEGRADO POR MEIO DO BENDITO NO DIA 23/05/2024 ÀS 18:43:48</t>
  </si>
  <si>
    <t>w0oWg6uTTNKYhpx3Pu.wSg</t>
  </si>
  <si>
    <t>15292</t>
  </si>
  <si>
    <t>13416</t>
  </si>
  <si>
    <t>DESPACHAR JUNTO COM O PEDIDO 15291 PEDIDO Nº 476 ENVIADO PELO VENDEDOR RICARDO HENRIQUE CRIADO EM 23/05/2024 15:28:22 INTEGRADO POR MEIO DO BENDITO NO DIA 23/05/2024 ÀS 18:44:25</t>
  </si>
  <si>
    <t>x0FxoqICR1i9tUf3mfPhKw</t>
  </si>
  <si>
    <t>15294</t>
  </si>
  <si>
    <t xml:space="preserve">ACQUA PISCINAS DF EIRELI </t>
  </si>
  <si>
    <t>13421</t>
  </si>
  <si>
    <t>FRETE CIF, REDESPACHO RADLOG PEDIDO Nº 471 ENVIADO PELO VENDEDOR ANDERSON CRIADO EM 22/05/2024 17:57:22 INTEGRADO POR MEIO DO BENDITO NO DIA 23/05/2024 ÀS 19:06:54</t>
  </si>
  <si>
    <t>aCbW.OsyTmyXmr6vHwuPXA</t>
  </si>
  <si>
    <t>15295</t>
  </si>
  <si>
    <t>1</t>
  </si>
  <si>
    <t>ENTRADA DE R$3.745,84 SERÁ PAGO NA SEMANA QUE VEM PEDIDO Nº 478 ENVIADO PELO VENDEDOR RENATO CRIADO EM 23/05/2024 16:23:12 INTEGRADO POR MEIO DO BENDITO NO DIA 23/05/2024 ÀS 19:30:14</t>
  </si>
  <si>
    <t>DH2tdVkrQ0C1yiIBzJ7Zuw</t>
  </si>
  <si>
    <t>15297</t>
  </si>
  <si>
    <t>EQUIPA COMERCIO DE PISCINAS LTDA</t>
  </si>
  <si>
    <t>8B00240122003482</t>
  </si>
  <si>
    <t>10853</t>
  </si>
  <si>
    <t>ESTE PEDIDO, FOI LIBERADO PARA E-COMMERCE DEVIDO AO ATRASO DO TRANSPORTE . PEDIDO Nº 480 ENVIADO PELO VENDEDOR CARLOS AUGUSTO CRIADO EM 24/05/2024 10:37:33 INTEGRADO POR MEIO DO BENDITO NO DIA 24/05/2024 ÀS 13:37:56</t>
  </si>
  <si>
    <t>7L62ZGGEQcmpdBGApqcC5w</t>
  </si>
  <si>
    <t>15298</t>
  </si>
  <si>
    <t>RESOLVE INSTALACOES ELETRICAS LTDA</t>
  </si>
  <si>
    <t>8B00240122003403</t>
  </si>
  <si>
    <t>NAO INFORMADO</t>
  </si>
  <si>
    <t>PR066 - O RENATO INFORMA TER USADO ESSA PR NO PEDIDO 15298 MAS O PEDIDO FOI POSTADO SEM SER PR, E FOI ENVIADA TAMBEM UMA MAQUINA PARA ESSE CLIENTE DA FROMTHER, POSSIVELMENTE O CLIENTE ESTA COM 2 MAQUINAS</t>
  </si>
  <si>
    <t>O RENATO INFORMA TER USADO ESSA PR NO PEDIDO 15298 MAS O PEDIDO FOI POSTADO SEM SER PR, E FOI ENVIADA TAMBEM UMA MAQUINA PARA ESSE CLIENTE DA FROMTHER, POSSIVELMENTE O CLIENTE ESTA COM 2 MAQUINAS</t>
  </si>
  <si>
    <t>gnRa24IJRhWMI7ZZ4Oo-1A</t>
  </si>
  <si>
    <t>15299</t>
  </si>
  <si>
    <t>PME INSTALACOES E MANUTENCAO</t>
  </si>
  <si>
    <t>8B00240322003002</t>
  </si>
  <si>
    <t>ENTREGAR NA BOLHA AZUL - RUA LIBIA, 533- PINEVILLE - PINHAIS - CEP:83.320-020 PEDIDO Nº 482 ENVIADO PELO VENDEDOR RENATO CRIADO EM 24/05/2024 11:58:10 INTEGRADO POR MEIO DO BENDITO NO DIA 24/05/2024 ÀS 18:44:54</t>
  </si>
  <si>
    <t>TXnyllU3TUinNDaYviv1-Q</t>
  </si>
  <si>
    <t>15300</t>
  </si>
  <si>
    <t>CONSTRUFUERTE PISCINAS</t>
  </si>
  <si>
    <t>MFG5H88 - RETIRA - ORLANDO LUIZ GARCIA SCHMTIDI - 08178002981 - VW / GOL 1.0 / PRETA / 2007</t>
  </si>
  <si>
    <t>PEDIDO Nº 483 ENVIADO PELO VENDEDOR CARLOS AUGUSTO CRIADO EM 26/05/2024 17:38:33 INTEGRADO POR MEIO DO BENDITO NO DIA 27/05/2024 ÀS 11:22:43/ OP ANTIGA 8B00240122003433</t>
  </si>
  <si>
    <t>MXwRRtDqS2OYcS3dBlMZmQ</t>
  </si>
  <si>
    <t>15301</t>
  </si>
  <si>
    <t>8B00240322003170</t>
  </si>
  <si>
    <t>X8Jpg3PSQraPsoqiNGF2rg</t>
  </si>
  <si>
    <t>15302</t>
  </si>
  <si>
    <t>8B00240322003183</t>
  </si>
  <si>
    <t>jhqGzvhVRwGRckV5rnEEhw</t>
  </si>
  <si>
    <t>15303-A</t>
  </si>
  <si>
    <t>8B00240106003093</t>
  </si>
  <si>
    <t>PEDIDO URGENTE, SAIR NO MAXIMO AMANHÃ PEDIDO Nº 484 ENVIADO PELO VENDEDOR RENATO CRIADO EM 27/05/2024 11:46:55 INTEGRADO POR MEIO DO BENDITO NO DIA 27/05/2024 ÀS 16:31:36</t>
  </si>
  <si>
    <t>D2GjSwzsT1KQPgSN8I0zMA</t>
  </si>
  <si>
    <t>15303-B</t>
  </si>
  <si>
    <t>8B00240122003240</t>
  </si>
  <si>
    <t>xrUsYQiLQsCsCCAyxl5ypQ</t>
  </si>
  <si>
    <t>15305</t>
  </si>
  <si>
    <t>BLK</t>
  </si>
  <si>
    <t>13420</t>
  </si>
  <si>
    <t>RXL4A16 - EXPRESSO SÃO MIGUEL - CRISTOFER BARVOSA CARDOSO - 87044480063 - M.BENZ  / CARGA CAMINHAO  / BRANCA  / 2022</t>
  </si>
  <si>
    <t>ENDEREÇO DE ENTREGA PARA : CONDOMINIO EDIFICIO ILLE DE FRANCE -TV LANGE,115-BATEL- CEP:80.240-170 - CTBA - PR PEDIDO Nº 419 ENVIADO PELO VENDEDOR RENATO CRIADO EM 09/05/2024 08:58:37 INTEGRADO POR MEIO DO BENDITO NO DIA 27/05/2024 ÀS 17:16:10</t>
  </si>
  <si>
    <t>6cbRX-AxQjGyQW0oxc-4ww</t>
  </si>
  <si>
    <t>15306</t>
  </si>
  <si>
    <t>CFP PISCINAS</t>
  </si>
  <si>
    <t>8B00240122003468</t>
  </si>
  <si>
    <t>PR080</t>
  </si>
  <si>
    <t>leUN5eTzRuSQd9fU.qnHlg</t>
  </si>
  <si>
    <t>15307</t>
  </si>
  <si>
    <t>FABIANO SCHOMMER KERBER</t>
  </si>
  <si>
    <t>8B00240322003249</t>
  </si>
  <si>
    <t>10869</t>
  </si>
  <si>
    <t>VALOR NF - R$ 24.500,00 VALOR TABELA - R$ 12.828,53 DIF TABXNF - R$ 11.671,47 IMPOSTO 17% - 1.984,15 DIFAL - R$ 1.225,00 TOTAL - R$ 16.037,68 ENDEREÇO DE ENTREGA: RUA ENGENHEIRO ILDEFONSO SIMÕES LOPES, BAIRRO TRÊS FIGUEIRAS CEP 91.331-180, PORTO ALEGRE/RS PEDIDO Nº 487 ENVIADO PELO VENDEDOR THIAGO CRIADO EM 28/05/2024 08:52:24 INTEGRADO POR MEIO DO BENDITO NO DIA 28/05/2024 ÀS 12:38:21</t>
  </si>
  <si>
    <t>nR7mLeZSRSOL-cYvEg0JBg</t>
  </si>
  <si>
    <t>15308-A</t>
  </si>
  <si>
    <t>8B00240122003476</t>
  </si>
  <si>
    <t>PR072</t>
  </si>
  <si>
    <t>Us-k91AFSD2YURyj7MnDig</t>
  </si>
  <si>
    <t>15308-B</t>
  </si>
  <si>
    <t>8B00240122003446</t>
  </si>
  <si>
    <t>PR075</t>
  </si>
  <si>
    <t>ZHo5Dr1cRH6Sw3RHkWCi7g</t>
  </si>
  <si>
    <t>15308-C</t>
  </si>
  <si>
    <t>8B00240122003479</t>
  </si>
  <si>
    <t>PR079</t>
  </si>
  <si>
    <t>Rw8C83HRTxuniDqj-IYRLA</t>
  </si>
  <si>
    <t>15308-D</t>
  </si>
  <si>
    <t>8B00240122003413</t>
  </si>
  <si>
    <t>PR065</t>
  </si>
  <si>
    <t>ZEG8o8z3R8G482CTHxbCjA</t>
  </si>
  <si>
    <t>15309-A</t>
  </si>
  <si>
    <t>AGUA VIVA INSTALACOES HIDRAULICAS</t>
  </si>
  <si>
    <t>8B00240322003228</t>
  </si>
  <si>
    <t>PEDIDO Nº 488 ENVIADO PELO VENDEDOR RENATO CRIADO EM 28/05/2024 10:10:02 INTEGRADO POR MEIO DO BENDITO NO DIA 28/05/2024 ÀS 13:31:12</t>
  </si>
  <si>
    <t>LXxZeQh1Rj6aW-q2OStC2w</t>
  </si>
  <si>
    <t>15309-B</t>
  </si>
  <si>
    <t>8B00240325003047</t>
  </si>
  <si>
    <t>a.n.q3VI0TVKWqxAQkHHqdQ</t>
  </si>
  <si>
    <t>15310</t>
  </si>
  <si>
    <t>HOTEL MERCURE GUARULHOS</t>
  </si>
  <si>
    <t>13422</t>
  </si>
  <si>
    <t>PAINEL DESLOCADO- PADRÃO INFRAH . (DEGELO ) - ENTRADA VIA TRASNF. DIA 03/06/2024 - E-MAIL APROVAÇÃO: GISELE.SOEIRO@ACCOR.COM PEDIDO Nº 492 ENVIADO PELO VENDEDOR MARIO CRIADO EM 28/05/2024 11:02:59 INTEGRADO POR MEIO DO BENDITO NO DIA 28/05/2024 ÀS 14:07:27</t>
  </si>
  <si>
    <t>lNal5YBaQxi67t.XbzNDgQ</t>
  </si>
  <si>
    <t>15311-A</t>
  </si>
  <si>
    <t>HIPERCLIMA SISTEMAS DE CLIMATIZACAO</t>
  </si>
  <si>
    <t>8B00240122003291</t>
  </si>
  <si>
    <t>10880</t>
  </si>
  <si>
    <t>MHI2G83 - FIT LOG - ALCIDES DE OLIVEIRA SANTOS - 91042313920 - VW / 13.180 CNM / PRATA / 2009</t>
  </si>
  <si>
    <t>ALTERAR A CONDIÇÃO DE PAGAMENTO PARA 30/60/90/120/150/180/210/240 DIAS PEDIDO Nº 491 ENVIADO PELO VENDEDOR RENATO CRIADO EM 28/05/2024 11:02:57 INTEGRADO POR MEIO DO BENDITO NO DIA 28/05/2024 ÀS 18:28:51</t>
  </si>
  <si>
    <t>z55A5G2ZRgCQKxlson08QQ</t>
  </si>
  <si>
    <t>15311-B</t>
  </si>
  <si>
    <t>8B00240122003292</t>
  </si>
  <si>
    <t>kLkx7fQnQAmew9-oYj3LQg</t>
  </si>
  <si>
    <t>15311-C</t>
  </si>
  <si>
    <t>8B00240322003177</t>
  </si>
  <si>
    <t>94F.6jgNQlS6LE0NQe7xUw</t>
  </si>
  <si>
    <t>15311-D</t>
  </si>
  <si>
    <t>8B00240322003174</t>
  </si>
  <si>
    <t>cNCLPzyASK29h0FAvXm3tg</t>
  </si>
  <si>
    <t>15311-E</t>
  </si>
  <si>
    <t>8B00240322003175</t>
  </si>
  <si>
    <t>d-b00O9mQ8ufla7BdW38sg</t>
  </si>
  <si>
    <t>15311-F</t>
  </si>
  <si>
    <t>8B00240322003159</t>
  </si>
  <si>
    <t>oWH7QcN3RrWmi64bd0XStg</t>
  </si>
  <si>
    <t>15311-G</t>
  </si>
  <si>
    <t>8B00240322003181</t>
  </si>
  <si>
    <t>jk6QyCj9Rq67at5aU8-X0w</t>
  </si>
  <si>
    <t>15311-H</t>
  </si>
  <si>
    <t>8B00240322003163</t>
  </si>
  <si>
    <t>VUghDlT1ThqpCHsHyUTYeQ</t>
  </si>
  <si>
    <t>15311-I</t>
  </si>
  <si>
    <t>8B00240322003161</t>
  </si>
  <si>
    <t>TEV7gh35QgeF4d7yIDx6Lg</t>
  </si>
  <si>
    <t>15311-J</t>
  </si>
  <si>
    <t>8B00240122003390</t>
  </si>
  <si>
    <t>ApiFj8iNQg-GJcNuGRSvug</t>
  </si>
  <si>
    <t>15311-K</t>
  </si>
  <si>
    <t>8B00240122003443</t>
  </si>
  <si>
    <t>sJY8u7kwR6S62FiKXJk.HQ</t>
  </si>
  <si>
    <t>15311-L</t>
  </si>
  <si>
    <t>8B00240122003428</t>
  </si>
  <si>
    <t>2ZDCcmVBRjqWpKSh6t1J-g</t>
  </si>
  <si>
    <t>15311-M</t>
  </si>
  <si>
    <t>8B00240122003434</t>
  </si>
  <si>
    <t>hRk7Dy6zQ6Wt.H1np5l3bQ</t>
  </si>
  <si>
    <t>15311-N</t>
  </si>
  <si>
    <t>8B00240122003486</t>
  </si>
  <si>
    <t>A1.DrdMdSzW-NBqgY6Ihsw</t>
  </si>
  <si>
    <t>15311-O</t>
  </si>
  <si>
    <t>8B00240106003055</t>
  </si>
  <si>
    <t>Mer1etj8SwukZIhQEstipA</t>
  </si>
  <si>
    <t>15311-P</t>
  </si>
  <si>
    <t>8B00240106003037</t>
  </si>
  <si>
    <t>GauAmOdPR5mIpJf50O01Iw</t>
  </si>
  <si>
    <t>15311-Q</t>
  </si>
  <si>
    <t>8B00240106003028</t>
  </si>
  <si>
    <t>1-Pv0ersQAOKEywjwHv7dw</t>
  </si>
  <si>
    <t>15311-R</t>
  </si>
  <si>
    <t>8B00240325003019</t>
  </si>
  <si>
    <t>GMONPcTMSciFfmSDoj6Ovg</t>
  </si>
  <si>
    <t>15311-S</t>
  </si>
  <si>
    <t>8B00240325003046</t>
  </si>
  <si>
    <t>guoemex6SKa3M9nphm.NSA</t>
  </si>
  <si>
    <t>15311-T</t>
  </si>
  <si>
    <t>8B00240322003254</t>
  </si>
  <si>
    <t>fki.ZWzMSI2wGEkEsqgi5A</t>
  </si>
  <si>
    <t>15312-A</t>
  </si>
  <si>
    <t>8B00240122003256</t>
  </si>
  <si>
    <t>10881</t>
  </si>
  <si>
    <t>ALTERAR A CONDIÇÃO PARA 30/60/90/120/150/180/210/240 DIAS PEDIDO Nº 490 ENVIADO PELO VENDEDOR RENATO CRIADO EM 28/05/2024 10:51:29 INTEGRADO POR MEIO DO BENDITO NO DIA 28/05/2024 ÀS 18:29:10</t>
  </si>
  <si>
    <t>r2qZvJs2Qdq6RMNlE66Qgw</t>
  </si>
  <si>
    <t>15312-B</t>
  </si>
  <si>
    <t>8B00240122003305</t>
  </si>
  <si>
    <t>VYyP3uxkTMGyneZrOPMRaA</t>
  </si>
  <si>
    <t>15312-C</t>
  </si>
  <si>
    <t>8B00240322003173</t>
  </si>
  <si>
    <t>kExA7VxPSHGS6oKRAx3nKA</t>
  </si>
  <si>
    <t>15312-D</t>
  </si>
  <si>
    <t>8B00240322003179</t>
  </si>
  <si>
    <t>511rrM19RGi4RU5DxEkE-Q</t>
  </si>
  <si>
    <t>15312-E</t>
  </si>
  <si>
    <t>8B00240322003180</t>
  </si>
  <si>
    <t>fnOrEGhiR62aHGizBywS0g</t>
  </si>
  <si>
    <t>15312-F</t>
  </si>
  <si>
    <t>8B00240322003182</t>
  </si>
  <si>
    <t>KB3f08teRGC2Ml2JBM9.rA</t>
  </si>
  <si>
    <t>15312-G</t>
  </si>
  <si>
    <t>8B00240322003165</t>
  </si>
  <si>
    <t>Lp3WTG0KRluJPC53ryz5UA</t>
  </si>
  <si>
    <t>15312-H</t>
  </si>
  <si>
    <t>8B00240322003158</t>
  </si>
  <si>
    <t>8fm8bRFXQk-wUyGQwl58zQ</t>
  </si>
  <si>
    <t>15312-I</t>
  </si>
  <si>
    <t>8B00240322003178</t>
  </si>
  <si>
    <t>oQVNjuw.RE6DCstgA0uHeQ</t>
  </si>
  <si>
    <t>15312-J</t>
  </si>
  <si>
    <t>8B00240122003388</t>
  </si>
  <si>
    <t>SdiJTIvZRg-AOAnrYq3pIQ</t>
  </si>
  <si>
    <t>15312-K</t>
  </si>
  <si>
    <t>8B00240122003400</t>
  </si>
  <si>
    <t>e6wPXIASRYWgTIBS8yHXcQ</t>
  </si>
  <si>
    <t>15312-L</t>
  </si>
  <si>
    <t>8B00240122003397</t>
  </si>
  <si>
    <t>eDaPZCCISr2yGl95EApcNQ</t>
  </si>
  <si>
    <t>15312-M</t>
  </si>
  <si>
    <t>8B00240122003399</t>
  </si>
  <si>
    <t>BSzGS13QRw207J.1sz0vdA</t>
  </si>
  <si>
    <t>15312-N</t>
  </si>
  <si>
    <t>8B00240122003391</t>
  </si>
  <si>
    <t>zxyGb5BwQJ2DKOsnvuNzXw</t>
  </si>
  <si>
    <t>15312-O</t>
  </si>
  <si>
    <t>8B00240106003044</t>
  </si>
  <si>
    <t>cGl-06KPQz6gw6xZDD0z8g</t>
  </si>
  <si>
    <t>15312-P</t>
  </si>
  <si>
    <t>8B00240106003025</t>
  </si>
  <si>
    <t>LQJCbGYaRGOCSi8xVEFKow</t>
  </si>
  <si>
    <t>15312-Q</t>
  </si>
  <si>
    <t>8B00240106003031</t>
  </si>
  <si>
    <t>OvB-3HELQ5eJsptKId32EQ</t>
  </si>
  <si>
    <t>15312-R</t>
  </si>
  <si>
    <t>8B00240325003029</t>
  </si>
  <si>
    <t>3DfqHQ6AQnGlJUvKvhs2oQ</t>
  </si>
  <si>
    <t>15312-S</t>
  </si>
  <si>
    <t>8B00240325003027</t>
  </si>
  <si>
    <t>MTII82spSie7neV94spAEw</t>
  </si>
  <si>
    <t>15312-T</t>
  </si>
  <si>
    <t>8B00240322003241</t>
  </si>
  <si>
    <t>PR173</t>
  </si>
  <si>
    <t>vrBJT8xzTJyIPyMMCukgeg</t>
  </si>
  <si>
    <t>15313</t>
  </si>
  <si>
    <t>JOSÉ CARLOS DE MATOS</t>
  </si>
  <si>
    <t>8B00240106003020</t>
  </si>
  <si>
    <t>FRETE PELA RODONAVES - SEM REDESPACHO BOLETO PARA DIA 04/06 PEDIDO Nº 495 ENVIADO PELO VENDEDOR LUIZ CRIADO EM 28/05/2024 14:27:49 INTEGRADO POR MEIO DO BENDITO NO DIA 28/05/2024 ÀS 18:30:31</t>
  </si>
  <si>
    <t>stt77LQPQq2QBi0.gxyvzw</t>
  </si>
  <si>
    <t>15314</t>
  </si>
  <si>
    <t>8B00240322003036</t>
  </si>
  <si>
    <t>SXE5I02 - EXPRESSO SÃO MIGUEL - JORGE WILLIAM RIBEIRO RELS - 13647589977 - M.BENZ / CARGA / BRANCA / 2024</t>
  </si>
  <si>
    <t>PEDIDO Nº 494 ENVIADO PELO VENDEDOR RENATO CRIADO EM 28/05/2024 11:58:29 INTEGRADO POR MEIO DO BENDITO NO DIA 28/05/2024 ÀS 18:31:25</t>
  </si>
  <si>
    <t>h4kCnsvvRKyIG-OcvQsuNw</t>
  </si>
  <si>
    <t>15315</t>
  </si>
  <si>
    <t>PLIMAR PISCINAS</t>
  </si>
  <si>
    <t>8B00231215003248</t>
  </si>
  <si>
    <t>ENDEREÇO DE ENTREGA: RODOVIA BUNJIRO NAKAO 46486 - CENTRO CEP 06730-000 VARGEM GRANDE PAULISTA - SÃO PAULO PEDIDO Nº 493 ENVIADO PELO VENDEDOR FÁBIO CRIADO EM 28/05/2024 11:37:34 INTEGRADO POR MEIO DO BENDITO NO DIA 28/05/2024 ÀS 18:45:13</t>
  </si>
  <si>
    <t>ccYZiTYUT5Kltx0-Kndz1A</t>
  </si>
  <si>
    <t>15316-A</t>
  </si>
  <si>
    <t>13423</t>
  </si>
  <si>
    <t>AIV3388 - RETIRA - DERCIO REICHERT - 14101394091 - TOYOTA  / HILUX / PRATA  / 2016</t>
  </si>
  <si>
    <t>ENDEREÇO DE ENTREGA: SOCIEDADE GINÁSTICA RUA CASTRO ALVES, 166 BAIRRO RIO BRANCO NOVO HAMBURGO/RS CEP 93310-270</t>
  </si>
  <si>
    <t>LMIFv9SYRAeRqfDESPIgrw</t>
  </si>
  <si>
    <t>15316-B</t>
  </si>
  <si>
    <t>RYH3F24 - EXPRESSO SÃO MIGUEL - VALDIR CORREIA DA SILVA - 02560921090 - M.BENZ / ACCELO 1017 CE / BRANCA / 2023</t>
  </si>
  <si>
    <t>ENDEREÇO DE ENTREGA: SOCIEDADE GINÁSTICA RUA CASTRO ALVES, 166 BAIRRO RIO BRANCO NOVO HAMBURGO/RS CEP 93310-270 - 13424</t>
  </si>
  <si>
    <t>Ynw1U68fSl6mKmzR8IR6ew</t>
  </si>
  <si>
    <t>15316-C</t>
  </si>
  <si>
    <t>13425</t>
  </si>
  <si>
    <t>6UojV9JtRdyl33jTewOH7Q</t>
  </si>
  <si>
    <t>15316-D</t>
  </si>
  <si>
    <t>13426</t>
  </si>
  <si>
    <t>1th-ThoZR4SgiyadABC78Q</t>
  </si>
  <si>
    <t>15317</t>
  </si>
  <si>
    <t>DS CONFORTO E LAZER LTDA</t>
  </si>
  <si>
    <t>8B00240322003253</t>
  </si>
  <si>
    <t>PEDIDO Nº 497 ENVIADO PELO VENDEDOR THIAGO CRIADO EM 28/05/2024 17:36:59 INTEGRADO POR MEIO DO BENDITO NO DIA 28/05/2024 ÀS 20:41:28</t>
  </si>
  <si>
    <t>Vp0qXAGZQqe2ul-wSyb0nA</t>
  </si>
  <si>
    <t>15318</t>
  </si>
  <si>
    <t>13294</t>
  </si>
  <si>
    <t>PAINEL EXTERNO DE SOBREPOR - PEDIDO 16305 PEDIDO Nº 498 ENVIADO PELO VENDEDOR CARLOS AUGUSTO CRIADO EM 28/05/2024 18:08:26 INTEGRADO POR MEIO DO BENDITO NO DIA 28/05/2024 ÀS 21:28:54</t>
  </si>
  <si>
    <t>8vyEFeJiQEOYInHWAahC5g</t>
  </si>
  <si>
    <t>15320</t>
  </si>
  <si>
    <t>MACABI CYMA</t>
  </si>
  <si>
    <t>13436</t>
  </si>
  <si>
    <t>VALOR AUTORIZADO PELO GV MÁRIO ENDEREÇO DE ENTREGA: AVENIDA ANGÉLICA, 634 URGENTE A ENTREGA ATENÇÃO - VOU ENVIAR INFORMAÇÕES ADICIONAIS VIA E-MAIL SOBRE ENTREGA E COBRANÇA. OBRA DA CONSTRUTORA CYRELA E VENDA FEITA PELO NOSSO CLIENTE CS3 TERMOTECNOLOGIA SP LTDA - 24.020.276/0001-08 PEDIDO Nº 415 ENVIADO PELO VENDEDOR FÁBIO CRIADO EM 07/05/2024 18:45:58 INTEGRADO POR MEIO DO BENDITO NO DIA 29/05/2024 ÀS 17:12:15</t>
  </si>
  <si>
    <t>AUYwZYZHQ2mmrChgbfF-WA</t>
  </si>
  <si>
    <t>15321-A</t>
  </si>
  <si>
    <t>8B00240122003405</t>
  </si>
  <si>
    <t>PR064</t>
  </si>
  <si>
    <t>wg3zCD-MTFmb8K5jZ3ithw</t>
  </si>
  <si>
    <t>15321-B</t>
  </si>
  <si>
    <t>8B00240122003247</t>
  </si>
  <si>
    <t>PR046</t>
  </si>
  <si>
    <t>Oulq5Mh2RMqJyfPCmfsCnA</t>
  </si>
  <si>
    <t>15321-C</t>
  </si>
  <si>
    <t>8B00240322003053</t>
  </si>
  <si>
    <t>10882</t>
  </si>
  <si>
    <t>PR084</t>
  </si>
  <si>
    <t>aCwe9MIiTjueoaGdduwY2A</t>
  </si>
  <si>
    <t>15322-A</t>
  </si>
  <si>
    <t>CBR 081 EMPREENDIMENTOS IMOBILIARIOS</t>
  </si>
  <si>
    <t>13440</t>
  </si>
  <si>
    <t>MJK3956 - FIT LOG - JOAO DA SILVEIRA - 75461749968 - FIAT / DUCATO MAXICARGO / AMARELA / 2012</t>
  </si>
  <si>
    <t>ATENÇÃO - AGUARDAR AUTORIZAÇÃO PARA ENTREGA * A ENTREGA DAS NOTAS FISCAIS E BOLETOS DE COBRANÇA DEVEM SER NO ENDEREÇO DA OBRA OU NO E-MAIL DO ADMINISTRATIVO. * MATRÍCULA CEI, CADASTRO MUNICIPAL, ENDEREÇO DA OBRA E NÚMERO DO PEDIDO SÃO OBRIGATÓRIOS NO CORPO DA NOTA FISCAL. * DE ACORDO COM NORMAS DA FEBRABAN, TODOS OS BOLETOS DEVERÃO SER REGISTRADOS PELO FORNECEDOR E CONTER O MESMO CNPJ DA NOTA FISCAL. NÃO É PERMITIDO A VENDA DE TÍTULOS PARA FACTORING. * NÃO É PERMITIDO A EMISSÃO DE NOTA FISCAL DE PRESTAÇÃO DE SERVIÇOS ENTRE OS DIAS 20 E 31. * OS PAGAMENTOS OCORRERÃO SOMENTE NOS DIAS 05, 15 OU 25, RESPEITANDO-SE OS PRAZOS DE FATURAMENTO ACORDADOS. QUANDO ESTAS DATAS CAÍREM NO FINAL DE SEMANA OU FERIADO, SERÁ PAGO NO PRÓXIMO DIA ÚTIL. PEDIDO Nº 501 ENVIADO PELO VENDEDOR FÁBIO CRIADO EM 29/05/2024 18:20:20 INTEGRADO POR MEIO DO BENDITO NO DIA 31/05/2024 ÀS 12:52:57</t>
  </si>
  <si>
    <t>bRjjXT4TSnS5yQI2H8Dn1Q</t>
  </si>
  <si>
    <t>15322-B</t>
  </si>
  <si>
    <t>13530</t>
  </si>
  <si>
    <t>h9eQ09yBS2qD97CGs1Hrdw</t>
  </si>
  <si>
    <t>15322-C</t>
  </si>
  <si>
    <t>11405</t>
  </si>
  <si>
    <t>FT80F35</t>
  </si>
  <si>
    <t>Bb64GrdyTlqqIBnPvqv2-Q</t>
  </si>
  <si>
    <t>15323</t>
  </si>
  <si>
    <t>FRIGEMAR SISTEMAS PARA CLIMATIZAÇÃO E AQUECIMENTO DE AGUA</t>
  </si>
  <si>
    <t>8B00240106003148</t>
  </si>
  <si>
    <t>UTILIZAR CRÉDITO</t>
  </si>
  <si>
    <t>HcsLaOqeSYey-a09fF9ndw</t>
  </si>
  <si>
    <t>15324-A</t>
  </si>
  <si>
    <t>VIDA E SOL - COMERCIO DE ARTIGOS DE DECORAÇÃO E LAZER</t>
  </si>
  <si>
    <t>8B00240322003172</t>
  </si>
  <si>
    <t>TRANSP. 5M</t>
  </si>
  <si>
    <t>10896</t>
  </si>
  <si>
    <t>OLD0948 - JAMEF - SELSO TOEBER - 00005508611 - M.BENZ / CARGA CAMINHAP / BRANCA  / 2013</t>
  </si>
  <si>
    <t>REDESPACHO: TRANSPORTADORA 5 M LTDA CNPJ: 55.872.733/0002-99 ENDEREÇO:AV DIORAMA, 45, CIDADE INDUSTRIAL SATELITE DE SAO PAULO, GUARULHOS - SP CEP: 07.223-180 PEDIDO Nº 503 ENVIADO PELO VENDEDOR FÁBIO CRIADO EM 31/05/2024 09:41:28 INTEGRADO POR MEIO DO BENDITO NO DIA 31/05/2024 ÀS 12:54:15</t>
  </si>
  <si>
    <t>HDs60gktTRSuzOBXgG2aBw</t>
  </si>
  <si>
    <t>15324-B</t>
  </si>
  <si>
    <t>8B00240322003015</t>
  </si>
  <si>
    <t>gn.U5gUXT-yVt2HBAykzdA</t>
  </si>
  <si>
    <t>15324-C</t>
  </si>
  <si>
    <t>8B00240122003429</t>
  </si>
  <si>
    <t>yGQ4NfvbTjKCfBDzctv1rQ</t>
  </si>
  <si>
    <t>15325</t>
  </si>
  <si>
    <t>SUN MANUTENÇÕES SERVIÇOS E COMERCIOS EIRELI</t>
  </si>
  <si>
    <t>13437</t>
  </si>
  <si>
    <t>QUADRO DESLOCADO DE SOBREPOR PEDIDO Nº 504 ENVIADO PELO VENDEDOR ANDERSON CRIADO EM 31/05/2024 11:27:33 INTEGRADO POR MEIO DO BENDITO NO DIA 31/05/2024 ÀS 16:41:23</t>
  </si>
  <si>
    <t>VOKXvVGfRiCS2uvrSAEtLA</t>
  </si>
  <si>
    <t>15326</t>
  </si>
  <si>
    <t>8B00240325003033</t>
  </si>
  <si>
    <t>O REDESPACHO SERA FOB - TRANSP. LEALDADE - CNPJ: 00.564.267/0002-92 - END: R GALATEA, 1205, CEP: 02.068-000 PEDIDO Nº 506 ENVIADO PELO VENDEDOR ROBSON CRIADO EM 31/05/2024 14:03:16 INTEGRADO POR MEIO DO BENDITO NO DIA 31/05/2024 ÀS 18:06:21</t>
  </si>
  <si>
    <t>a.apkH6UqTuOzgyyPA1qzwg</t>
  </si>
  <si>
    <t>15327-A</t>
  </si>
  <si>
    <t>M.J PINHEIRO</t>
  </si>
  <si>
    <t>8B00240106003061</t>
  </si>
  <si>
    <t>2° MAQUINA =R$8573,06/ 3º MAQUINA = R$ 7620,50/ 4º MAQUINA = R$6667,94 CONFORME PROMOÇÃO PEDIDO Nº 505 ENVIADO PELO VENDEDOR RENATO CRIADO EM 31/05/2024 13:42:55 INTEGRADO POR MEIO DO BENDITO NO DIA 31/05/2024 ÀS 20:23:54</t>
  </si>
  <si>
    <t>ZrdDa0LyS-SzwydLmzvUfA</t>
  </si>
  <si>
    <t>15327-B</t>
  </si>
  <si>
    <t>8B00240106003024</t>
  </si>
  <si>
    <t>wloifR6ORjeLiDcE-SdNZw</t>
  </si>
  <si>
    <t>15327-C</t>
  </si>
  <si>
    <t>8B00240106003048</t>
  </si>
  <si>
    <t>6fbI7HtuRoyAjWziZXaVzA</t>
  </si>
  <si>
    <t>15327-D</t>
  </si>
  <si>
    <t>8B00240106003062</t>
  </si>
  <si>
    <t>n4T5F8XsRKO8Yzx0yMZidA</t>
  </si>
  <si>
    <t>15328-A</t>
  </si>
  <si>
    <t>13432</t>
  </si>
  <si>
    <t>O REDESPACHO SERA FOB -TRANSP. RAPIDO FIGUEIREDO - CNPJ: 10.973.773/0001-08 - END: R OURO VERDE DE GOIAS, 1233, CEP: 07.221-080</t>
  </si>
  <si>
    <t>XGUfLDl8S0ebfAG3EcfnRA</t>
  </si>
  <si>
    <t>15328-B</t>
  </si>
  <si>
    <t>13433</t>
  </si>
  <si>
    <t>F.6iGfIgRsmEhTYZSn3omQ</t>
  </si>
  <si>
    <t>15328-C</t>
  </si>
  <si>
    <t>13434</t>
  </si>
  <si>
    <t>okRWJ9LJQ.qBqbBsXUQtTQ</t>
  </si>
  <si>
    <t>15328-D</t>
  </si>
  <si>
    <t>13435</t>
  </si>
  <si>
    <t>8zdtUSdyT0KsknrRev5EgQ</t>
  </si>
  <si>
    <t>15329-A</t>
  </si>
  <si>
    <t>8B00240322003005</t>
  </si>
  <si>
    <t>10897</t>
  </si>
  <si>
    <t>REDESPACHO: TRANSPORTADORA 5 M LTDA CNPJ: 55.872.733/0002-99 ENDEREÇO:AV DIORAMA, 45, CIDADE INDUSTRIAL SATELITE DE SAO PAULO, GUARULHOS - SP CEP: 07.223-180 PEDIDO Nº 507 ENVIADO PELO VENDEDOR FÁBIO CRIADO EM 31/05/2024 18:26:42 INTEGRADO POR MEIO DO BENDITO NO DIA 01/06/2024 ÀS 11:57:17</t>
  </si>
  <si>
    <t>FwAT4iqvQ1GFNftleop2xA</t>
  </si>
  <si>
    <t>15329-B</t>
  </si>
  <si>
    <t>8B00240325003017</t>
  </si>
  <si>
    <t>6pQ-WgJWRw6-8GsoOSy7CQ</t>
  </si>
  <si>
    <t>15330</t>
  </si>
  <si>
    <t>JOSIANE YARA GENSKE</t>
  </si>
  <si>
    <t>8B00240322003018</t>
  </si>
  <si>
    <t>PEDIDO Nº 509 ENVIADO PELO VENDEDOR CARLOS AUGUSTO CRIADO EM 03/06/2024 06:54:15 INTEGRADO POR MEIO DO BENDITO NO DIA 03/06/2024 ÀS 12:01:59</t>
  </si>
  <si>
    <t>SzAgDg4gTeGduPpf32eRnQ</t>
  </si>
  <si>
    <t>15331</t>
  </si>
  <si>
    <t>PEDIDO Nº 512 ENVIADO PELO VENDEDOR MARCELO CRIADO EM 03/06/2024 08:03:39 INTEGRADO POR MEIO DO BENDITO NO DIA 03/06/2024 ÀS 12:39:52</t>
  </si>
  <si>
    <t>Rqk1WXHHRzqDImdfcS2m-g</t>
  </si>
  <si>
    <t>15332</t>
  </si>
  <si>
    <t>8B00240122003300</t>
  </si>
  <si>
    <t>PR053</t>
  </si>
  <si>
    <t>EV5rl7xeRBe-J-xI-ftZbA</t>
  </si>
  <si>
    <t>15333</t>
  </si>
  <si>
    <t>SHIRLE BEZAGIO E SOUZA GRAU CALIANI</t>
  </si>
  <si>
    <t>8B00240106003033</t>
  </si>
  <si>
    <t>PEDIDO Nº 514 ENVIADO PELO VENDEDOR RENATO CRIADO EM 03/06/2024 11:12:08 INTEGRADO POR MEIO DO BENDITO NO DIA 03/06/2024 ÀS 15:00:45</t>
  </si>
  <si>
    <t>aAjHyQHHSo-ic.Wo4CFVDQ</t>
  </si>
  <si>
    <t>15334</t>
  </si>
  <si>
    <t>8B00240322003167</t>
  </si>
  <si>
    <t/>
  </si>
  <si>
    <t>PR104</t>
  </si>
  <si>
    <t>O RENATO NAO TEM MAIS ESSA MAQUINA LÁ, E NÃO APARECEU ESSA MAQUINA EM NENHUMA OBSERVAÇÃO DE PEDIDO</t>
  </si>
  <si>
    <t>z6xFGWgATe6F3rzww7cQMA</t>
  </si>
  <si>
    <t>THAYNARA PIRES DE ANDRADES - PISCINAS E AQUECEDORES LTDA</t>
  </si>
  <si>
    <t>ENDEREÇO DE ENTREGA: RUA LIBIA, 533- PINEVILLE -PINHAIS - CEP:83.320-020-PR PEDIDO Nº 515 ENVIADO PELO VENDEDOR RENATO CRIADO EM 03/06/2024 12:09:30 INTEGRADO POR MEIO DO BENDITO NO DIA 03/06/2024 ÀS 15:17:26</t>
  </si>
  <si>
    <t>H9YnKJxDQcStAow0LOSBQQ</t>
  </si>
  <si>
    <t>15335</t>
  </si>
  <si>
    <t>ERLAN DOS SANTOS FARIA COMERCIO E SERVICOS</t>
  </si>
  <si>
    <t>13431</t>
  </si>
  <si>
    <t>MAQUINA COM QUADRO DESLOCADO SOBREPOR. PEDIDO Nº 516 ENVIADO PELO VENDEDOR RICARDO HENRIQUE CRIADO EM 03/06/2024 12:42:29 INTEGRADO POR MEIO DO BENDITO NO DIA 03/06/2024 ÀS 16:42:40</t>
  </si>
  <si>
    <t>nk5dE2kgRAa1nywvW3KX5Q</t>
  </si>
  <si>
    <t>15336-A</t>
  </si>
  <si>
    <t>8B00240122003431</t>
  </si>
  <si>
    <t>PEDIDO CONSIGNADO. PARA PARTICIPAÇÃO EM 2 FEIRAS JUNHO E JULHO - BOLETO 120 DDS AUTORIZADO POR MARIO PEDIDO Nº 510 ENVIADO PELO VENDEDOR CARLOS AUGUSTO CRIADO EM 03/06/2024 07:00:08 INTEGRADO POR MEIO DO BENDITO NO DIA 03/06/2024 ÀS 16:53:54</t>
  </si>
  <si>
    <t>ucM8oh7USr2xDKBmffA6tA</t>
  </si>
  <si>
    <t>15336-B</t>
  </si>
  <si>
    <t>8B00240122003450</t>
  </si>
  <si>
    <t>fvS9opDETV-wHjhXomDMNw</t>
  </si>
  <si>
    <t>15337</t>
  </si>
  <si>
    <t>ACQUANEW PISCINAS MANUTENCAO E REFORMAS LTDA</t>
  </si>
  <si>
    <t>8B00231215003244</t>
  </si>
  <si>
    <t>PR037</t>
  </si>
  <si>
    <t>b6rACDGrR4qRpbVQDVKB-Q</t>
  </si>
  <si>
    <t>15338</t>
  </si>
  <si>
    <t>13430</t>
  </si>
  <si>
    <t>VAI MANDAR ENDEREÇO DE ENTREGA</t>
  </si>
  <si>
    <t>I-n.wE8PRZGIE.fN.ksS-Q</t>
  </si>
  <si>
    <t>15339</t>
  </si>
  <si>
    <t>11143</t>
  </si>
  <si>
    <t>QUADRO DESLOCADO SOBREPOR. ENTREGAR AV VIEIRA SOUTO 438 / APTO 1301 CEP 22420-002. LIGAR 24H ANTES DE ENTREGAR PARA RAFAEL 21 99329 0775 PEDIDO Nº 517 ENVIADO PELO VENDEDOR RICARDO HENRIQUE CRIADO EM 03/06/2024 13:54:30 INTEGRADO POR MEIO DO BENDITO NO DIA 03/06/2024 ÀS 17:15:30</t>
  </si>
  <si>
    <t>YCEHqBzsTZO-ifIHfz7lsA</t>
  </si>
  <si>
    <t>15340</t>
  </si>
  <si>
    <t>J V R DE OLIVEIRA SERVICOS E COM. DE PISCINAS</t>
  </si>
  <si>
    <t>8B00231215003154</t>
  </si>
  <si>
    <t>PR003</t>
  </si>
  <si>
    <t>CxYpvTdeRlqaNz.SeIMe4g</t>
  </si>
  <si>
    <t>15341</t>
  </si>
  <si>
    <t>8B00240122003246</t>
  </si>
  <si>
    <t>PR055</t>
  </si>
  <si>
    <t>vUTDphwISmqv3cBMBpXKuQ</t>
  </si>
  <si>
    <t>15342</t>
  </si>
  <si>
    <t>JATO D&amp;apos;AGUA BANHEIRAS E PISCINAS LTDA</t>
  </si>
  <si>
    <t>13438</t>
  </si>
  <si>
    <t>FT70J35T</t>
  </si>
  <si>
    <t>PAINEL DE CONTROLE EXTERNO DE SOBREPOR PEDIDO Nº 522 ENVIADO PELO VENDEDOR CARLOS AUGUSTO CRIADO EM 03/06/2024 18:47:35 INTEGRADO POR MEIO DO BENDITO NO DIA 04/06/2024 ÀS 10:10:52</t>
  </si>
  <si>
    <t>MWSEdIckQI6degDgLV5LgA</t>
  </si>
  <si>
    <t>15343</t>
  </si>
  <si>
    <t>8B00231215003246</t>
  </si>
  <si>
    <t>PR039</t>
  </si>
  <si>
    <t>N6e2AMaZSueJcc.QWVSfIg</t>
  </si>
  <si>
    <t>15345-A</t>
  </si>
  <si>
    <t>FRANCISCO PEDRO DA SILVA LTDA</t>
  </si>
  <si>
    <t>8B00240122003460</t>
  </si>
  <si>
    <t>PR077</t>
  </si>
  <si>
    <t>2NNT-mAkRj-TLf5eRbyB.g</t>
  </si>
  <si>
    <t>15345-B</t>
  </si>
  <si>
    <t>8B00231215003165</t>
  </si>
  <si>
    <t>10914</t>
  </si>
  <si>
    <t>CARTÃO DE CRÉDITO 10X</t>
  </si>
  <si>
    <t>ILbR6JucQuq59iIJOmgjIw</t>
  </si>
  <si>
    <t>15346</t>
  </si>
  <si>
    <t>BR SUL COMERCIO E DISTRIBUICAO LTDA</t>
  </si>
  <si>
    <t>8B00240106003069</t>
  </si>
  <si>
    <t>10908</t>
  </si>
  <si>
    <t>PR129</t>
  </si>
  <si>
    <t>D6NAhhTHTNG6ZFLgHQcyyw</t>
  </si>
  <si>
    <t>15347-A</t>
  </si>
  <si>
    <t>HIDROTOP PISCINAS LTDA</t>
  </si>
  <si>
    <t>8B00240106003098</t>
  </si>
  <si>
    <t>10910</t>
  </si>
  <si>
    <t>PR125</t>
  </si>
  <si>
    <t>07GWDUviT4WHYGjBSMNFDw</t>
  </si>
  <si>
    <t>15347-B</t>
  </si>
  <si>
    <t>8B00240106003095</t>
  </si>
  <si>
    <t>PR126</t>
  </si>
  <si>
    <t>Ge.XQVDrRxerpV3KnxUbdA</t>
  </si>
  <si>
    <t>15347-C</t>
  </si>
  <si>
    <t>8B00240106003079</t>
  </si>
  <si>
    <t>PR127</t>
  </si>
  <si>
    <t>Wb.keU0KQwi8yEmWqvfmTQ</t>
  </si>
  <si>
    <t>15347-D</t>
  </si>
  <si>
    <t>8B00240106003077</t>
  </si>
  <si>
    <t>PR128</t>
  </si>
  <si>
    <t>GbwYXVOfS2SsXhbzcljZcQ</t>
  </si>
  <si>
    <t>15348</t>
  </si>
  <si>
    <t>MMK PISCINAS LTDA</t>
  </si>
  <si>
    <t>13439</t>
  </si>
  <si>
    <t>10955</t>
  </si>
  <si>
    <t>TRANSPORTADORA ACEVILLE URGENTE PRODUZIR PEDIDO Nº 531 ENVIADO PELO VENDEDOR CARLOS AUGUSTO CRIADO EM 05/06/2024 10:42:30 INTEGRADO POR MEIO DO BENDITO NO DIA 05/06/2024 ÀS 10:43:08</t>
  </si>
  <si>
    <t>yUcz.5vuSRWzymEpifsB7g</t>
  </si>
  <si>
    <t>15349-A</t>
  </si>
  <si>
    <t>MARC SANDER COMERCIO DE MATERIAIS HIDRAULICOS E ELETRICOS E</t>
  </si>
  <si>
    <t>8B00240122003469</t>
  </si>
  <si>
    <t>PEDIDO Nº 532 ENVIADO PELO VENDEDOR RICARDO HENRIQUE CRIADO EM 05/06/2024 11:14:02 INTEGRADO POR MEIO DO BENDITO NO DIA 05/06/2024 ÀS 12:00:34</t>
  </si>
  <si>
    <t>bb9YT56tQRiAv7a45rR5Iw</t>
  </si>
  <si>
    <t>15349-B</t>
  </si>
  <si>
    <t>8B00240325003038</t>
  </si>
  <si>
    <t>hB5q4.ljQoyhBwwaSG3ieg</t>
  </si>
  <si>
    <t>15349-C</t>
  </si>
  <si>
    <t>8B00240325003018</t>
  </si>
  <si>
    <t>a.iU70ka9TgaXei3w1VO6xg</t>
  </si>
  <si>
    <t>15350</t>
  </si>
  <si>
    <t>J Z PISCINAS LTDA</t>
  </si>
  <si>
    <t>8B00230927003139</t>
  </si>
  <si>
    <t>FTI105L40PT</t>
  </si>
  <si>
    <t>producaofromtherm@gmail.com</t>
  </si>
  <si>
    <t>PEDIDO Nº 533 ENVIADO PELO VENDEDOR THIAGO CRIADO EM 05/06/2024 11:40:18 INTEGRADO POR MEIO DO BENDITO NO DIA 05/06/2024 ÀS 12:16:29</t>
  </si>
  <si>
    <t>tCT74ri4SM-7u6YATmTzmA</t>
  </si>
  <si>
    <t>15351</t>
  </si>
  <si>
    <t>8B00240325003028</t>
  </si>
  <si>
    <t>10915</t>
  </si>
  <si>
    <t>FRETE COM REDESPACHO PELA GRIFE TRANSPORTES PEDIDO Nº 534 ENVIADO PELO VENDEDOR LUIZ CRIADO EM 05/06/2024 13:49:49 INTEGRADO POR MEIO DO BENDITO NO DIA 05/06/2024 ÀS 14:21:47</t>
  </si>
  <si>
    <t>TqGFQ2jrSXGkKNkaomC4YQ</t>
  </si>
  <si>
    <t>15352</t>
  </si>
  <si>
    <t>MIRANDA PISCINAS LTDA</t>
  </si>
  <si>
    <t>11942</t>
  </si>
  <si>
    <t>PEDIDO Nº 535 ENVIADO PELO VENDEDOR RENATO CRIADO EM 05/06/2024 15:04:47 INTEGRADO POR MEIO DO BENDITO NO DIA 05/06/2024 ÀS 15:45:53</t>
  </si>
  <si>
    <t>xdr51baZT2mJLzyo9FOwFA</t>
  </si>
  <si>
    <t>15353</t>
  </si>
  <si>
    <t>13442</t>
  </si>
  <si>
    <t>FRANCISCO C</t>
  </si>
  <si>
    <t>OBS 1: ENTREGA: RUA DR. AGOSTINHO GOULÃO 22, LOJA 07, CORREAS, PETRÓPOLIS - RJ (FAVOR LIGAR 24 HORAS ANTES DE ENTREGAR PARA QUE HAJA ALGUÉM PARA RECEBER) OBS 2: FAVOR CONSTAR NA NOTA FISCAL O NÚMERO DA ORDEM DE COMPRA: OC 03472 PEDIDO Nº 536 ENVIADO PELO VENDEDOR RICARDO HENRIQUE CRIADO EM 05/06/2024 15:24:32 INTEGRADO POR MEIO DO BENDITO NO DIA 05/06/2024 ÀS 15:47:32</t>
  </si>
  <si>
    <t>ZYP-0VXAQzO.AE6.XbX2GQ</t>
  </si>
  <si>
    <t>15354-A</t>
  </si>
  <si>
    <t>DECKER PISCINAS</t>
  </si>
  <si>
    <t>8B00240122003282</t>
  </si>
  <si>
    <t>PR059</t>
  </si>
  <si>
    <t>CkKCujQSTh2-K0SP3PNh6A</t>
  </si>
  <si>
    <t>15354-B</t>
  </si>
  <si>
    <t>8B00240122003458</t>
  </si>
  <si>
    <t>PR071</t>
  </si>
  <si>
    <t>8Nai7TlWTbGYGXqpgD6E-g</t>
  </si>
  <si>
    <t>15354-C</t>
  </si>
  <si>
    <t>8B00240322003003</t>
  </si>
  <si>
    <t>10913</t>
  </si>
  <si>
    <t>PR100</t>
  </si>
  <si>
    <t>XwqHjfeKTC2ojvz.SyQWZQ</t>
  </si>
  <si>
    <t>15355</t>
  </si>
  <si>
    <t>ANP COMERCIO E SERVICOS DE PISCINAS LTDA</t>
  </si>
  <si>
    <t>8B00240325003030</t>
  </si>
  <si>
    <t>PEDIDO Nº 538 ENVIADO PELO VENDEDOR CARLOS AUGUSTO CRIADO EM 05/06/2024 21:49:51 INTEGRADO POR MEIO DO BENDITO NO DIA 06/06/2024 ÀS 09:28:40</t>
  </si>
  <si>
    <t>oU56y6wKR6SeXeFNym.vhg</t>
  </si>
  <si>
    <t>15356</t>
  </si>
  <si>
    <t>8B00240106003021</t>
  </si>
  <si>
    <t>MAQUINA CONSIGNADA PARA FEIRA</t>
  </si>
  <si>
    <t>QHbq3r.DTvyHBVqQIHaSBQ</t>
  </si>
  <si>
    <t>15357</t>
  </si>
  <si>
    <t>8B00240122003274</t>
  </si>
  <si>
    <t>73yilpMfQUmIsm4rKlS8AA</t>
  </si>
  <si>
    <t>15358</t>
  </si>
  <si>
    <t>8B00240122003283</t>
  </si>
  <si>
    <t>PR043</t>
  </si>
  <si>
    <t>DUfSSY3QT2-gZVCbXzhqLQ</t>
  </si>
  <si>
    <t>15359</t>
  </si>
  <si>
    <t>SIMOES E SEIXAS PROJETOS E CONSULTORIA LTDA</t>
  </si>
  <si>
    <t>8B00240325003036</t>
  </si>
  <si>
    <t>REDESPACHO FOB: 44.914.992/0038-20 - RODONAVES TRANSPORTES E ENCOMENDAS LTDA ROD CONTORNO LESTE BR-116 - 14219 - COSTEIRA SÃO JOSÉ DOS PINHAIS - PR CEP: 83.015-162</t>
  </si>
  <si>
    <t>AFAlVevjSU-fN6CUHGXI1Q</t>
  </si>
  <si>
    <t>15360</t>
  </si>
  <si>
    <t>13441</t>
  </si>
  <si>
    <t>REDESPACHO FOB: TRANSPORTADORA RAPIDO FIGUEIREDO, CNPJ 07.855.774/0001-43 ROD BR-101 S/N - KM 088 GALPAO012, DISTRITO INDUSTRIAL, JOÃO PESSOA - PE CEP 58.082-000</t>
  </si>
  <si>
    <t>Ac4FW9jZRseu5xuJxHfmLA</t>
  </si>
  <si>
    <t>15361-A</t>
  </si>
  <si>
    <t>8B00240106003050</t>
  </si>
  <si>
    <t>PR001</t>
  </si>
  <si>
    <t>ebs7OS0VQX2wc3h8BN71eA</t>
  </si>
  <si>
    <t>15361-B</t>
  </si>
  <si>
    <t>8B00240106003113</t>
  </si>
  <si>
    <t>PR032</t>
  </si>
  <si>
    <t>iNpko3rwSjiyvanOXizdRg</t>
  </si>
  <si>
    <t>15361-C</t>
  </si>
  <si>
    <t>8B00231215003237</t>
  </si>
  <si>
    <t>PR038</t>
  </si>
  <si>
    <t>W7MNiHTJRjSR1-4Li3.wQg</t>
  </si>
  <si>
    <t>15361-D</t>
  </si>
  <si>
    <t>8B00240106003060</t>
  </si>
  <si>
    <t>PR083</t>
  </si>
  <si>
    <t>WALHtJjKRWGMg49Cim19tQ</t>
  </si>
  <si>
    <t>15361-E</t>
  </si>
  <si>
    <t>8B00240322003026</t>
  </si>
  <si>
    <t>10929</t>
  </si>
  <si>
    <t>PR096</t>
  </si>
  <si>
    <t>AP4ePPI0Q-G4n0.Reiqf4A</t>
  </si>
  <si>
    <t>15361-F</t>
  </si>
  <si>
    <t>8B00240322003035</t>
  </si>
  <si>
    <t>PR097</t>
  </si>
  <si>
    <t>JruiNnHnT5aku3ThvV-xfQ</t>
  </si>
  <si>
    <t>15361-G</t>
  </si>
  <si>
    <t>8B00240322003187</t>
  </si>
  <si>
    <t>PR101</t>
  </si>
  <si>
    <t>7xhnKUx2Q8ysG2UCowsJnQ</t>
  </si>
  <si>
    <t>15361-H</t>
  </si>
  <si>
    <t>8E00241005110030</t>
  </si>
  <si>
    <t>27</t>
  </si>
  <si>
    <t>PR109 - PEDIDO JA HAVIA SIDO ENTREGUE E JA FOI FATURADO, MAS O RENATO RESOLVEU USAR ESSA MAQUINA PARA ENTREGAR OUTRO CLIENTE O PEDIDO 10929 // EQUIPAMENTO ESTA SENDO DEVLVIDO AO RENATO NO DIA 30/12/24 ATRAVES DA REMESSA 14808 NF 27</t>
  </si>
  <si>
    <t>mSV8PmTKQr-3qPitF7UMXg</t>
  </si>
  <si>
    <t>15361-J</t>
  </si>
  <si>
    <t>8B00240322003156</t>
  </si>
  <si>
    <t>PR113</t>
  </si>
  <si>
    <t>tZEZfxS6R325gagbnsZzfQ</t>
  </si>
  <si>
    <t>15361-K</t>
  </si>
  <si>
    <t>8B00240106003051</t>
  </si>
  <si>
    <t>PR120</t>
  </si>
  <si>
    <t>b.PhNdYqSwGfa8VJmaiY3Q</t>
  </si>
  <si>
    <t>15361-L</t>
  </si>
  <si>
    <t>8B00240106003054</t>
  </si>
  <si>
    <t>PR122</t>
  </si>
  <si>
    <t>6ttjrhvlQMq5DUEYVWYUgw</t>
  </si>
  <si>
    <t>15361-M</t>
  </si>
  <si>
    <t>8B00240106003042</t>
  </si>
  <si>
    <t>PR123</t>
  </si>
  <si>
    <t>lL9R53szSMa-X-2ktGFxRw</t>
  </si>
  <si>
    <t>15361-N</t>
  </si>
  <si>
    <t>8B00240106003071</t>
  </si>
  <si>
    <t>PR124</t>
  </si>
  <si>
    <t>0ygENZt6QQKZqGYWwFUuoQ</t>
  </si>
  <si>
    <t>15361-O</t>
  </si>
  <si>
    <t>8B00240106003086</t>
  </si>
  <si>
    <t>PR132</t>
  </si>
  <si>
    <t>M7fVS-tmQcWP5UAHOypwsQ</t>
  </si>
  <si>
    <t>15361-P</t>
  </si>
  <si>
    <t>8B00240325003035</t>
  </si>
  <si>
    <t>PR142</t>
  </si>
  <si>
    <t>tnTrwhgjReep2Q1MoACIvg</t>
  </si>
  <si>
    <t>15361-Q</t>
  </si>
  <si>
    <t>8A00240411003052</t>
  </si>
  <si>
    <t>Et-WLH.ZR5e6ep7.emW0gQ</t>
  </si>
  <si>
    <t>15361-R</t>
  </si>
  <si>
    <t>8A00240513003014</t>
  </si>
  <si>
    <t>RENATO USOU A PR110 QUE ESTAVA ASSOCIADA A ESTE PEDIDO E DEU PARA O PEDIDO 15750, POR CONTA DO ATRASO DO CONTAINER, O CLIENTE VITAL PISCINAS TERA QUE SER REPOSTO DEPOIS</t>
  </si>
  <si>
    <t>RENATO NO PR</t>
  </si>
  <si>
    <t>csadgfzlRE2q8KAkbvlcaA</t>
  </si>
  <si>
    <t>15362-A</t>
  </si>
  <si>
    <t>VITAL PISCINAS COMERCIO DE PRODUTOS PARA PISCINAS LTDA</t>
  </si>
  <si>
    <t>8B00231215003249</t>
  </si>
  <si>
    <t>PEDIDO Nº 542 ENVIADO PELO VENDEDOR RENATO CRIADO EM 06/06/2024 14:24:29 INTEGRADO POR MEIO DO BENDITO NO DIA 06/06/2024 ÀS 19:41:27</t>
  </si>
  <si>
    <t>vzmB8KxFTUup-mGIJiHqyQ</t>
  </si>
  <si>
    <t>15362-B</t>
  </si>
  <si>
    <t>8B00240106003142</t>
  </si>
  <si>
    <t>2w0GIenyTBOsY2at4loKWw</t>
  </si>
  <si>
    <t>15363</t>
  </si>
  <si>
    <t>CALIDA AQUA ENGENHARIA E SISTEMAS DE AQUECIMENTO.</t>
  </si>
  <si>
    <t>8B00240122003261</t>
  </si>
  <si>
    <t>BONIFICAÇÃO</t>
  </si>
  <si>
    <t>AL</t>
  </si>
  <si>
    <t>CyEdcIqAQ5ODP.7AfLY4iA</t>
  </si>
  <si>
    <t>15364</t>
  </si>
  <si>
    <t>MLE4H77 - RETIRA - ROMEU BUBLITZ - 21736634968 - IVECO / ESPECIAL CAMINHAO  / BRANCA  / 2011</t>
  </si>
  <si>
    <t>PEDIDO CONSIGNADO. PARA PARTICIPAÇÃO EM 2 FEIRAS JUNHO E JULHO - NÃO EMITIR COBRANÇAS AUTORIZADO POR MARIO PEDIDO Nº 511 ENVIADO PELO VENDEDOR CARLOS AUGUSTO CRIADO EM 03/06/2024 07:07:45 INTEGRADO POR MEIO DO BENDITO NO DIA 07/06/2024 ÀS 13:54:35 // EQUIPAMENTO DEVOLVIDO 8B00240325003045</t>
  </si>
  <si>
    <t>OReCdQ81SuycctrzHjvB7w</t>
  </si>
  <si>
    <t>15365</t>
  </si>
  <si>
    <t>8B00240106003043</t>
  </si>
  <si>
    <t>PEDIDO MESTRIA 8500 PEDIDO Nº 550 ENVIADO PELO VENDEDOR CARLOS AUGUSTO CRIADO EM 07/06/2024 10:15:05 INTEGRADO POR MEIO DO BENDITO NO DIA 07/06/2024 ÀS 14:07:14</t>
  </si>
  <si>
    <t>EsvsOp3mRvux8L7n798TGw</t>
  </si>
  <si>
    <t>15366</t>
  </si>
  <si>
    <t>8B00240122003393</t>
  </si>
  <si>
    <t>PR082</t>
  </si>
  <si>
    <t>koVpyPJ.RByIQkI1SlMuEg</t>
  </si>
  <si>
    <t>15367-A</t>
  </si>
  <si>
    <t>EQUIPA COMÉRCIO DE PISCINAS LTDA</t>
  </si>
  <si>
    <t>8B00240122003453</t>
  </si>
  <si>
    <t>10928</t>
  </si>
  <si>
    <t>MASER FROMTHERM</t>
  </si>
  <si>
    <t>PEDIDO COMPRA CLIENTE: 686 DESCONTOS ESPECIAIS AUTORIZADOS PELO MÁRIO -- RETIRA NA FÁBRICA SEGUNDA DIA 10/06 PEDIDO Nº 548 ENVIADO PELO VENDEDOR CARLOS AUGUSTO CRIADO EM 07/06/2024 08:41:32 INTEGRADO POR MEIO DO BENDITO NO DIA 07/06/2024 ÀS 14:11:27</t>
  </si>
  <si>
    <t>27sZGEWkRsKwSuJXU82eHw</t>
  </si>
  <si>
    <t>15367-B</t>
  </si>
  <si>
    <t>8B00240122003462</t>
  </si>
  <si>
    <t>kZhoIZWIRTCFksaGaz80SQ</t>
  </si>
  <si>
    <t>15368</t>
  </si>
  <si>
    <t>8B00240325003026</t>
  </si>
  <si>
    <t>TROCA REF. OS - 2615 FRETE CIF PEDIDO Nº 549 ENVIADO PELO VENDEDOR LUIZ CRIADO EM 07/06/2024 09:10:01 INTEGRADO POR MEIO DO BENDITO NO DIA 07/06/2024 ÀS 14:14:10</t>
  </si>
  <si>
    <t>nQ5VA5MmTviMQidKbt-8nQ</t>
  </si>
  <si>
    <t>15369</t>
  </si>
  <si>
    <t>8B00240122003451</t>
  </si>
  <si>
    <t>FATURAR JUNTO COM O PRÓXIMO PEDIDO . PEDIDO Nº 551 ENVIADO PELO VENDEDOR RICARDO HENRIQUE CRIADO EM 07/06/2024 15:09:00 INTEGRADO POR MEIO DO BENDITO NO DIA 07/06/2024 ÀS 15:17:16</t>
  </si>
  <si>
    <t>fmHKMOcVTLSybZwkIA-rpA</t>
  </si>
  <si>
    <t>15370-A</t>
  </si>
  <si>
    <t>SPA - PISCINAS E CONSTRUCOES LTDA</t>
  </si>
  <si>
    <t>8B00240322003027</t>
  </si>
  <si>
    <t>PAULO VERIFICAR SE HÁ ACESSO PARA CIDADE PEDIDO Nº 552 ENVIADO PELO VENDEDOR THIAGO CRIADO EM 07/06/2024 15:35:09 INTEGRADO POR MEIO DO BENDITO NO DIA 07/06/2024 ÀS 15:37:55</t>
  </si>
  <si>
    <t>75s6yZcxQEWCPaEGCV4cZg</t>
  </si>
  <si>
    <t>15370-B</t>
  </si>
  <si>
    <t>8B00240322003023</t>
  </si>
  <si>
    <t>5QQ.-.uARwyaZ96OzpSJBg</t>
  </si>
  <si>
    <t>15372</t>
  </si>
  <si>
    <t>AGUA DO VALE PISCINAS E EQUIPAMENTOS LTDA</t>
  </si>
  <si>
    <t>8B00240322003037</t>
  </si>
  <si>
    <t>PEDIDO Nº 554 ENVIADO PELO VENDEDOR CARLOS AUGUSTO CRIADO EM 07/06/2024 17:09:47 INTEGRADO POR MEIO DO BENDITO NO DIA 10/06/2024 ÀS 18:41:45</t>
  </si>
  <si>
    <t>LIDCLaiHRu-b45cz1f9hxA</t>
  </si>
  <si>
    <t>15374</t>
  </si>
  <si>
    <t>8B00240322003229</t>
  </si>
  <si>
    <t>CLIENTE BRUNO - MARI VENDEU (CONSTAR EM NF) 10% - 3% DESCONTO AUTORIZADO PELO GV MÁRIO PEDIDO Nº 556 ENVIADO PELO VENDEDOR FÁBIO CRIADO EM 07/06/2024 19:15:45 INTEGRADO POR MEIO DO BENDITO NO DIA 10/06/2024 ÀS 18:46:39</t>
  </si>
  <si>
    <t>Siank2hKRESj-NXklqwsSw</t>
  </si>
  <si>
    <t>15375</t>
  </si>
  <si>
    <t>8B00240106003036</t>
  </si>
  <si>
    <t>ESTOQUE (CONSTAR EM NF) PEDIDO Nº 557 ENVIADO PELO VENDEDOR FÁBIO CRIADO EM 07/06/2024 19:20:15 INTEGRADO POR MEIO DO BENDITO NO DIA 10/06/2024 ÀS 18:47:06</t>
  </si>
  <si>
    <t>xmrp92W3RiumPj89knD0sA</t>
  </si>
  <si>
    <t>15376-A</t>
  </si>
  <si>
    <t>8B00240322003164</t>
  </si>
  <si>
    <t>GABRIEL LUCAS - ANA VENDEU + ESTOQUE (CONSTAR EM NF) PEDIDO Nº 558 ENVIADO PELO VENDEDOR FÁBIO CRIADO EM 07/06/2024 19:24:03 INTEGRADO POR MEIO DO BENDITO NO DIA 10/06/2024 ÀS 18:47:34</t>
  </si>
  <si>
    <t>NvppMhULTz2pygPioEwcrg</t>
  </si>
  <si>
    <t>15376-B</t>
  </si>
  <si>
    <t>8B00240322003162</t>
  </si>
  <si>
    <t>ZuJGh67UTiCH.MjQVXHUAQ</t>
  </si>
  <si>
    <t>15377</t>
  </si>
  <si>
    <t>G M PISCINAS</t>
  </si>
  <si>
    <t>8B00240322003007</t>
  </si>
  <si>
    <t>10974</t>
  </si>
  <si>
    <t>PR102</t>
  </si>
  <si>
    <t>Ykf95bXFSsSE11ZwrJMm8Q</t>
  </si>
  <si>
    <t>15378</t>
  </si>
  <si>
    <t>8B00240325003016</t>
  </si>
  <si>
    <t>PEDIDO Nº 561 ENVIADO PELO VENDEDOR THIAGO CRIADO EM 10/06/2024 08:45:42 INTEGRADO POR MEIO DO BENDITO NO DIA 10/06/2024 ÀS 18:49:07</t>
  </si>
  <si>
    <t>GxYofl8cSb2oIbTigFdTmw</t>
  </si>
  <si>
    <t>15379-A</t>
  </si>
  <si>
    <t>TRI FRONTEIRA COMERCIO DE PISCINAS LTDA</t>
  </si>
  <si>
    <t>8B00240122003303</t>
  </si>
  <si>
    <t>PR051</t>
  </si>
  <si>
    <t>HZ-HDVV.RISZP.YwYvRSKw</t>
  </si>
  <si>
    <t>15379-B</t>
  </si>
  <si>
    <t>8B00240122003288</t>
  </si>
  <si>
    <t>PR054</t>
  </si>
  <si>
    <t>VwR91p6MQuOoCgXNL5XEeQ</t>
  </si>
  <si>
    <t>15379-C</t>
  </si>
  <si>
    <t>8B00240122003249</t>
  </si>
  <si>
    <t>PR056</t>
  </si>
  <si>
    <t>poTs4IjtTdixGtsJ9HBVrA</t>
  </si>
  <si>
    <t>15379-D</t>
  </si>
  <si>
    <t>8B00240122003295</t>
  </si>
  <si>
    <t>PR058</t>
  </si>
  <si>
    <t>KAHZ.eFtSiGWU-BM.9iScg</t>
  </si>
  <si>
    <t>15380</t>
  </si>
  <si>
    <t>DEA PISCINAS</t>
  </si>
  <si>
    <t>8B00240322003184</t>
  </si>
  <si>
    <t>11116</t>
  </si>
  <si>
    <t>PR106</t>
  </si>
  <si>
    <t>tvOVjuoCRQ-gVcmt.7mq2Q</t>
  </si>
  <si>
    <t>15381-A</t>
  </si>
  <si>
    <t>COMERCIAL AGUA E LAZER LTDA</t>
  </si>
  <si>
    <t>8B00240106003059</t>
  </si>
  <si>
    <t>REDESPACHO FOB: SETE LAGOAS TRANSPORTES LTDA R PEDRO DE TOLEDO 407, JARDIM SANTA LIDIA GUARULHOS - SP CEP: 07.140-000</t>
  </si>
  <si>
    <t>D6PMrfAMRkC7kzAsIYQWjw</t>
  </si>
  <si>
    <t>15381-B</t>
  </si>
  <si>
    <t>8B00240322003250</t>
  </si>
  <si>
    <t>a-BrMUMeASEyLinrfpvUVRA</t>
  </si>
  <si>
    <t>15382</t>
  </si>
  <si>
    <t>8B00240322003197</t>
  </si>
  <si>
    <t>PEDIDO Nº 567 ENVIADO PELO VENDEDOR RICARDO HENRIQUE CRIADO EM 11/06/2024 13:30:06 INTEGRADO POR MEIO DO BENDITO NO DIA 11/06/2024 ÀS 15:23:44</t>
  </si>
  <si>
    <t>iGNZt.YgRUet9tq7AYY12g</t>
  </si>
  <si>
    <t>15383</t>
  </si>
  <si>
    <t>CLAUDIO PISCINAS LTDA</t>
  </si>
  <si>
    <t>RG ANTIGO - 8B00240322003223</t>
  </si>
  <si>
    <t>i8NxzpTDQrSpC919M4RN5A</t>
  </si>
  <si>
    <t>15384</t>
  </si>
  <si>
    <t>8B00240106003090</t>
  </si>
  <si>
    <t>10953</t>
  </si>
  <si>
    <t>PR133</t>
  </si>
  <si>
    <t>0A2x8xjGQ9Sb-kM26Pb.tg</t>
  </si>
  <si>
    <t>15385</t>
  </si>
  <si>
    <t>DE BONA COMERCIAL LTDA</t>
  </si>
  <si>
    <t>8B00240106003157</t>
  </si>
  <si>
    <t>CONSIDERAR FATURAMENTO 60 DIAS PEDIDO Nº 570 ENVIADO PELO VENDEDOR RENATO CRIADO EM 11/06/2024 15:21:28 INTEGRADO POR MEIO DO BENDITO NO DIA 11/06/2024 ÀS 15:37:11</t>
  </si>
  <si>
    <t>GiSvnVo5TkGFX6fnklpj5g</t>
  </si>
  <si>
    <t>15386</t>
  </si>
  <si>
    <t>37.826.803 CARLOS ANDRE TEIXEIRA MAIA</t>
  </si>
  <si>
    <t>13289</t>
  </si>
  <si>
    <t>O REDESPACHO SERA FOB - TRANSP. RADLOG - CNPJ : 24.882.886/0002-93 - END: R UMBUZEIRO, 123, CEP: 07.224-010 PEDIDO Nº 562 ENVIADO PELO VENDEDOR RANOIKA CRIADO EM 10/06/2024 10:28:31 INTEGRADO POR MEIO DO BENDITO NO DIA 11/06/2024 ÀS 15:47:07</t>
  </si>
  <si>
    <t>XGcQLuFMQW-invzCjq2.XQ</t>
  </si>
  <si>
    <t>15387</t>
  </si>
  <si>
    <t>Sowshop Casa e Construcao</t>
  </si>
  <si>
    <t>8B00240322003020</t>
  </si>
  <si>
    <t>10956</t>
  </si>
  <si>
    <t>PR088</t>
  </si>
  <si>
    <t>Z8wsTKhLRYCQ3s6sdDKcTw</t>
  </si>
  <si>
    <t>15388</t>
  </si>
  <si>
    <t>8B00240322003185</t>
  </si>
  <si>
    <t>10957</t>
  </si>
  <si>
    <t>PR111</t>
  </si>
  <si>
    <t>NK1MuM6HR8e40TgJqibK6g</t>
  </si>
  <si>
    <t>15389-A</t>
  </si>
  <si>
    <t>Luiz Alberto Miranda</t>
  </si>
  <si>
    <t>8B00240325003042</t>
  </si>
  <si>
    <t>10959-10985</t>
  </si>
  <si>
    <t>CAMPANHA 10% NA SEGUNDA MÁQUINA - BOLETO PARA DIA 17/06 FRETE FOB SEM REDESPACHO - RODONAVES - CNPJ 44.914.992/0038-20 (O CLIENTE ENTRA EM CONTATO COM A TRANSPORTADORA) PEDIDO Nº 573 ENVIADO PELO VENDEDOR LUIZ CRIADO EM 11/06/2024 17:31:18 INTEGRADO POR MEIO DO BENDITO NO DIA 11/06/2024 ÀS 19:01:33</t>
  </si>
  <si>
    <t>a7JTMEllR32vg1yf.bqpQw</t>
  </si>
  <si>
    <t>15389-B</t>
  </si>
  <si>
    <t>8B00240325003039</t>
  </si>
  <si>
    <t>CcDOVPezQ02WgYLmDkJW4Q</t>
  </si>
  <si>
    <t>15390</t>
  </si>
  <si>
    <t>13443</t>
  </si>
  <si>
    <t>PEDIDO 175. QUADRO DESLOCADO SOBREPOR. PGTO 60 90 120 150 180 210 . DESPACHAR URGENTE. PEDIDO DA SERIE PROGRAMADA AQUALAR. PEDIDO Nº 577 ENVIADO PELO VENDEDOR RICARDO HENRIQUE CRIADO EM 12/06/2024 08:10:54 INTEGRADO POR MEIO DO BENDITO NO DIA 12/06/2024 ÀS 14:17:34</t>
  </si>
  <si>
    <t>L6B1lq2yQJ-DKD2g5ecHYA</t>
  </si>
  <si>
    <t>15392</t>
  </si>
  <si>
    <t>13444</t>
  </si>
  <si>
    <t>PEDIDO 174 . QUADRO DESLOCADO SOBREPOR. PGTO 60 90 120 150 180 210 . LIBERAR URGENTE PEDIDO Nº 578 ENVIADO PELO VENDEDOR RICARDO HENRIQUE CRIADO EM 12/06/2024 08:14:06 INTEGRADO POR MEIO DO BENDITO NO DIA 12/06/2024 ÀS 14:18:47</t>
  </si>
  <si>
    <t>X3Ik1OyvSAy-LYan75YHVw</t>
  </si>
  <si>
    <t>15393</t>
  </si>
  <si>
    <t>12199</t>
  </si>
  <si>
    <t>OC 173. PAINEL DESLOCADO SOBREPOR . PGTO 60 90 120 150 180 210 . FATURAR URGENTE. PEDIDO Nº 581 ENVIADO PELO VENDEDOR RICARDO HENRIQUE CRIADO EM 12/06/2024 09:46:29 INTEGRADO POR MEIO DO BENDITO NO DIA 12/06/2024 ÀS 14:19:28</t>
  </si>
  <si>
    <t>UASe7FuPTM6E9GTjOBrRfg</t>
  </si>
  <si>
    <t>15394-A</t>
  </si>
  <si>
    <t>H2O PISCINAS LTDA</t>
  </si>
  <si>
    <t>8B00240322003168</t>
  </si>
  <si>
    <t>CIVIDINI E CIA</t>
  </si>
  <si>
    <t>TRANSP. CIVIDINI E CIA LTDA RUA - SD CRISTÓVÃO MORAES GARCIA, 375 P.N. MUNDO - SÃO PAULO SP CEP - 02187-090 - FONE (11) 2207-0813 PEDIDO Nº 579 ENVIADO PELO VENDEDOR JUSCELINO CRIADO EM 12/06/2024 08:53:44 INTEGRADO POR MEIO DO BENDITO NO DIA 12/06/2024 ÀS 14:27:37</t>
  </si>
  <si>
    <t>VLJATEesQ1SLUSncW-lobA</t>
  </si>
  <si>
    <t>15394-B</t>
  </si>
  <si>
    <t>8B00240322003034</t>
  </si>
  <si>
    <t>a-cTdjlwjQFu.DSDTG5wCvA</t>
  </si>
  <si>
    <t>15394-C</t>
  </si>
  <si>
    <t>8B00240106003171</t>
  </si>
  <si>
    <t>U3kc.xdmSDqD53PE-JJbQA</t>
  </si>
  <si>
    <t>15394-D</t>
  </si>
  <si>
    <t>8B00240106003166</t>
  </si>
  <si>
    <t>Fp9i08GoQZyTbo0VxnKtng</t>
  </si>
  <si>
    <t>15394-E</t>
  </si>
  <si>
    <t>8B00240322003232</t>
  </si>
  <si>
    <t>flYbU9xGRhem.xdphobjjA</t>
  </si>
  <si>
    <t>15395</t>
  </si>
  <si>
    <t>8B00240106003109</t>
  </si>
  <si>
    <t>PR031</t>
  </si>
  <si>
    <t>jZMMXZYJTMqIsxpIjvy6Lg</t>
  </si>
  <si>
    <t>15396</t>
  </si>
  <si>
    <t>EMAUS MANUTENCAO E COMERCIO LTDA</t>
  </si>
  <si>
    <t>12065</t>
  </si>
  <si>
    <t>PEDIDO Nº 583 ENVIADO PELO VENDEDOR THIAGO CRIADO EM 12/06/2024 10:32:50 INTEGRADO POR MEIO DO BENDITO NO DIA 12/06/2024 ÀS 14:33:22</t>
  </si>
  <si>
    <t>tQXeFKgnTm62E96A1rqV9g</t>
  </si>
  <si>
    <t>15397</t>
  </si>
  <si>
    <t>HIBRITEC EQUIPAMENTOS E SERVICOS LTDA</t>
  </si>
  <si>
    <t>8B00240325003037</t>
  </si>
  <si>
    <t>PEDIDO Nº 584 ENVIADO PELO VENDEDOR RICARDO HENRIQUE CRIADO EM 12/06/2024 11:29:16 INTEGRADO POR MEIO DO BENDITO NO DIA 12/06/2024 ÀS 14:37:23</t>
  </si>
  <si>
    <t>STwOQBHER3G2gVa8p.cg0Q</t>
  </si>
  <si>
    <t>15398</t>
  </si>
  <si>
    <t>DIONESIO FORTES DOS SANTOS 02832190090</t>
  </si>
  <si>
    <t>13449</t>
  </si>
  <si>
    <t>FRANSCISCO K</t>
  </si>
  <si>
    <t>EEX8F08 - RETIRA - DIEGO ARLEI RODRIGUES - 94797501049 - TOYOTA  / HILUX CD4X4 / PRATA / 2009</t>
  </si>
  <si>
    <t>CLIENTE RETIRA PEDIDO Nº 585 ENVIADO PELO VENDEDOR THIAGO CRIADO EM 12/06/2024 11:32:15 INTEGRADO POR MEIO DO BENDITO NO DIA 12/06/2024 ÀS 14:38:04</t>
  </si>
  <si>
    <t>cYIKpCexQE-BZmt9KgPrcQ</t>
  </si>
  <si>
    <t>15399-A</t>
  </si>
  <si>
    <t>AXXO CONSTRUTORA LTDA</t>
  </si>
  <si>
    <t>13478</t>
  </si>
  <si>
    <t>FH100J60</t>
  </si>
  <si>
    <t>VENDA COMISSIONADA</t>
  </si>
  <si>
    <t>k53OK9JMTqWUTTdEtmL8LA</t>
  </si>
  <si>
    <t>15399-B</t>
  </si>
  <si>
    <t>13479</t>
  </si>
  <si>
    <t>Mp.G1RcoRieUowyFLmY-Qw</t>
  </si>
  <si>
    <t>15399-C</t>
  </si>
  <si>
    <t>13480</t>
  </si>
  <si>
    <t>uGCej5dNTaqUTbJoYIPGYw</t>
  </si>
  <si>
    <t>15399-D</t>
  </si>
  <si>
    <t>13481</t>
  </si>
  <si>
    <t>fbAlhRTeSYaA3ewn8IJjZg</t>
  </si>
  <si>
    <t>15400</t>
  </si>
  <si>
    <t>TUTI BOM CHOCOLATARIA LTDA</t>
  </si>
  <si>
    <t>13482</t>
  </si>
  <si>
    <t>PEDIDO Nº 586 ENVIADO PELO VENDEDOR CARLOS HENRIQUE CRIADO EM 12/06/2024 12:03:28 INTEGRADO POR MEIO DO BENDITO NO DIA 12/06/2024 ÀS 14:41:28</t>
  </si>
  <si>
    <t>n32P0Wb2TFC2BJTLQm0v3w</t>
  </si>
  <si>
    <t>15401</t>
  </si>
  <si>
    <t>SPECIAN LUZ PISCINAS LTDA</t>
  </si>
  <si>
    <t>8B00240322003025</t>
  </si>
  <si>
    <t>10961</t>
  </si>
  <si>
    <t>PR107</t>
  </si>
  <si>
    <t>jliubiFLSZ2f-aTqqQ0bBg</t>
  </si>
  <si>
    <t>15401-A</t>
  </si>
  <si>
    <t>8B00240322003050</t>
  </si>
  <si>
    <t>PR087</t>
  </si>
  <si>
    <t>0w1Q2V3HSEGq9AQbizpcOg</t>
  </si>
  <si>
    <t>15401-B</t>
  </si>
  <si>
    <t>8B00240322003171</t>
  </si>
  <si>
    <t>PR098</t>
  </si>
  <si>
    <t>V82MfOf9Rp2jmFIIubzYAA</t>
  </si>
  <si>
    <t>15401-C</t>
  </si>
  <si>
    <t>8B00240322003155</t>
  </si>
  <si>
    <t>PR099</t>
  </si>
  <si>
    <t>dR3zieLfTcqDQ0B8OygMtQ</t>
  </si>
  <si>
    <t>15402</t>
  </si>
  <si>
    <t>APARELHOS TERMICOS TECNOSOL LTDA</t>
  </si>
  <si>
    <t>13455</t>
  </si>
  <si>
    <t>QUADRO TOUCH DESCLOCADO DE SOBREPOR PEDIDO Nº 574 ENVIADO PELO VENDEDOR CARLOS AUGUSTO CRIADO EM 12/06/2024 07:07:42 INTEGRADO POR MEIO DO BENDITO NO DIA 12/06/2024 ÀS 14:45:23</t>
  </si>
  <si>
    <t>V.jCzxVvS3SZ1JQgJZsh0A</t>
  </si>
  <si>
    <t>15403-A</t>
  </si>
  <si>
    <t>8B00240325003023</t>
  </si>
  <si>
    <t>PEDIDO Nº 576 ENVIADO PELO VENDEDOR CARLOS AUGUSTO CRIADO EM 12/06/2024 07:14:26 INTEGRADO POR MEIO DO BENDITO NO DIA 12/06/2024 ÀS 14:46:44</t>
  </si>
  <si>
    <t>qRYAfcIXSk67XCf-H6wmHg</t>
  </si>
  <si>
    <t>15403-B</t>
  </si>
  <si>
    <t>8B00240325003024</t>
  </si>
  <si>
    <t>tSW0VHFkSd6kvrD5aoy25A</t>
  </si>
  <si>
    <t>15404-A</t>
  </si>
  <si>
    <t>8B00240322003210</t>
  </si>
  <si>
    <t>PREÇO DA FTI55 IGUAL AO PREÇO PROMOCIONAL DA FTI45 - AUTORIZADO PELO MÁRIO - MÁQUINAS JA VENDIDAS PELO CLIENTE PEDIDO Nº 575 ENVIADO PELO VENDEDOR CARLOS AUGUSTO CRIADO EM 12/06/2024 07:11:52 INTEGRADO POR MEIO DO BENDITO NO DIA 12/06/2024 ÀS 14:47:07</t>
  </si>
  <si>
    <t>YjsKu62DS.CN3nj52KLcnQ</t>
  </si>
  <si>
    <t>15404-B</t>
  </si>
  <si>
    <t>8B00240322003207</t>
  </si>
  <si>
    <t>mh0RNxScRQOPpPtP30nZ4w</t>
  </si>
  <si>
    <t>15405-A</t>
  </si>
  <si>
    <t>CLUBE RECREATIVO INDUSTRIAL - CRI</t>
  </si>
  <si>
    <t>8B00230927003177</t>
  </si>
  <si>
    <t>ENDEREÇO DE ENTREGA: RUA DR. RUBENS DE CARVALHO RAUEN, CAMPESTRE, CHAPECÓ SC, 89814-870 SEDE CAMPESTRE CLUBE RECREATIVO INDUSTRIAL</t>
  </si>
  <si>
    <t>qFvfJaAAT4WY1PiZY77v5w</t>
  </si>
  <si>
    <t>15405-B</t>
  </si>
  <si>
    <t>8B00230927003158</t>
  </si>
  <si>
    <t>R2YGqDC.SWSpLdSNG.MCKg</t>
  </si>
  <si>
    <t>15405-C</t>
  </si>
  <si>
    <t>8B00230927003159</t>
  </si>
  <si>
    <t>BFoB5ODlRV2N1u8v4viP-w</t>
  </si>
  <si>
    <t>15406</t>
  </si>
  <si>
    <t>8B00240322003208</t>
  </si>
  <si>
    <t>PEDIDO Nº 588 ENVIADO PELO VENDEDOR RICARDO HENRIQUE CRIADO EM 12/06/2024 14:23:43 INTEGRADO POR MEIO DO BENDITO NO DIA 12/06/2024 ÀS 15:00:11</t>
  </si>
  <si>
    <t>IolAWC.PQqqS-rt9xSYmiQ</t>
  </si>
  <si>
    <t>15407</t>
  </si>
  <si>
    <t>13450</t>
  </si>
  <si>
    <t>PEDIDO 178 QUADRO DESLOCADO SOBREPOR. ENTREGAR: ROD RIO SANTOS 438C 11F. COND PORTOBELLO RESORT E SAFARI. MANGARATIBA RJ CEP 23860 000 PEDIDO Nº 590 ENVIADO PELO VENDEDOR RICARDO HENRIQUE CRIADO EM 12/06/2024 20:44:07 INTEGRADO POR MEIO DO BENDITO NO DIA 13/06/2024 ÀS 15:40:37</t>
  </si>
  <si>
    <t>tyHUl3OaSbKyE-pBSABEMA</t>
  </si>
  <si>
    <t>15408</t>
  </si>
  <si>
    <t>AQUECEDORES E PISCINAS AGUA VIVA LTDA</t>
  </si>
  <si>
    <t>8A00240411003043</t>
  </si>
  <si>
    <t>MCK1G46 - FITLOG - JOAO DA SILVEIRA FILHO - 75461749968 - M.BENZ/710 / CARGA CAMINHAO / BRANCA  / 2003</t>
  </si>
  <si>
    <t>TRANSPORTADO RODONAVES.. SÃO PAULO SP FONE (11) 2039-1139 AV. CARMELA DUTRA - JD. PRESIDENTE DUTRA CEP 07170-150 PEDIDO Nº 593 ENVIADO PELO VENDEDOR JUSCELINO CRIADO EM 13/06/2024 11:42:08 INTEGRADO POR MEIO DO BENDITO NO DIA 13/06/2024 ÀS 15:42:05</t>
  </si>
  <si>
    <t>eCw5QAtTTo2CyOxe5xeloQ</t>
  </si>
  <si>
    <t>15409</t>
  </si>
  <si>
    <t>MAI PISCINAS PREMIUM LTDA</t>
  </si>
  <si>
    <t>8B00240122003477</t>
  </si>
  <si>
    <t>PR061</t>
  </si>
  <si>
    <t>wh0s8M8-TiKT.M0x5mkeKg</t>
  </si>
  <si>
    <t>15410</t>
  </si>
  <si>
    <t>VERTICAL SOLAR SERVICOS LTDA</t>
  </si>
  <si>
    <t>VALOR DA MAQUINA 15.210,00 SAO DUAS NA PROMO 10% NA SEGUNDA PEDIDO Nº 596 ENVIADO PELO VENDEDOR RICARDO HENRIQUE CRIADO EM 13/06/2024 16:11:44 INTEGRADO POR MEIO DO BENDITO NO DIA 13/06/2024 ÀS 18:41:06 - IO 8B00230927003169</t>
  </si>
  <si>
    <t>LXJX..gBTzqvZVRfZA65xA</t>
  </si>
  <si>
    <t>15411</t>
  </si>
  <si>
    <t>8B00240106003155</t>
  </si>
  <si>
    <t>VALOR MAQUINA 16.900,00 PEDIDO Nº 595 ENVIADO PELO VENDEDOR RICARDO HENRIQUE CRIADO EM 13/06/2024 16:08:50 INTEGRADO POR MEIO DO BENDITO NO DIA 13/06/2024 ÀS 18:42:10</t>
  </si>
  <si>
    <t>DA6kyYExRUa9Mbnhf6gZhQ</t>
  </si>
  <si>
    <t>15412-A</t>
  </si>
  <si>
    <t>JUNCAO REFRIGERACAO E AQUECIMENTO SOLAR LTDA</t>
  </si>
  <si>
    <t>13263</t>
  </si>
  <si>
    <t>ENDEREÇO ENTREGA RUA 2 , LOTE 23 , QUADRA A . CONDOMÍNIO RESIDENCIAL TAQUARAL 2 INOÃ / MARICÁ / RJ CEP 24 943 240 PRÓXIMO UPA DE INOÃ PEDIDO Nº 597 ENVIADO PELO VENDEDOR RICARDO HENRIQUE CRIADO EM 13/06/2024 16:16:23 INTEGRADO POR MEIO DO BENDITO NO DIA 13/06/2024 ÀS 18:42:52</t>
  </si>
  <si>
    <t>1caMWKmsT26WwnEe.s7mAA</t>
  </si>
  <si>
    <t>15412-B</t>
  </si>
  <si>
    <t>13454</t>
  </si>
  <si>
    <t>a-WgaQa94SXKr5BR9XLv8-Q</t>
  </si>
  <si>
    <t>15413</t>
  </si>
  <si>
    <t>8B00240322003188</t>
  </si>
  <si>
    <t>11032</t>
  </si>
  <si>
    <t>URGENTE! PEDIDO Nº 598 ENVIADO PELO VENDEDOR FÁBIO CRIADO EM 13/06/2024 16:35:40 INTEGRADO POR MEIO DO BENDITO NO DIA 13/06/2024 ÀS 18:43:12</t>
  </si>
  <si>
    <t>EOnBKm3bRhmaBO.xz0g.rA</t>
  </si>
  <si>
    <t>15414</t>
  </si>
  <si>
    <t>8B00240106003045</t>
  </si>
  <si>
    <t>10975</t>
  </si>
  <si>
    <t>PR121</t>
  </si>
  <si>
    <t>e0Z5TqXMSViYB8Rk3HRqVA</t>
  </si>
  <si>
    <t>15415-A</t>
  </si>
  <si>
    <t>TERMOCLIMA AQUECIMENTOS E REFRIGERACOES LTDA</t>
  </si>
  <si>
    <t>8B00240106003080</t>
  </si>
  <si>
    <t>ENDEREÇO DE ENTREGA: PROFESSOR VIRIATO PARIGOT DE SOUZA 3305, MOSSUNGUÈ, CEP.: 81200-100 , ANEXO AO COND PALAZZO LUMINI PEDIDO Nº 600 ENVIADO PELO VENDEDOR RENATO CRIADO EM 13/06/2024 17:52:14 INTEGRADO POR MEIO DO BENDITO NO DIA 13/06/2024 ÀS 18:44:03</t>
  </si>
  <si>
    <t>vCyqsaXJS0yslJxZoh1vSQ</t>
  </si>
  <si>
    <t>15415-B</t>
  </si>
  <si>
    <t>8B00240106003087</t>
  </si>
  <si>
    <t>ZXQzQBY4QDOcC7p2bLF1VA</t>
  </si>
  <si>
    <t>15415-C</t>
  </si>
  <si>
    <t>8B00240325003041</t>
  </si>
  <si>
    <t>pH9zOoE.S5emvwdlEk8l-g</t>
  </si>
  <si>
    <t>15415-D</t>
  </si>
  <si>
    <t>8B00240325003032</t>
  </si>
  <si>
    <t>1R-9QsUrQ8eFrWSQKJDUIQ</t>
  </si>
  <si>
    <t>15416</t>
  </si>
  <si>
    <t>8B00240122003234</t>
  </si>
  <si>
    <t>ENDEREÇO DE ENTREGA: PROFESSOR VIRIATO PARIGOT DE SOUZA 3305, MOSSUNGUÈ, CEP.: 81200-100 , ANEXO AO COND PALAZZO LUMINI PEDIDO Nº 601 ENVIADO PELO VENDEDOR RENATO CRIADO EM 13/06/2024 17:54:01 INTEGRADO POR MEIO DO BENDITO NO DIA 13/06/2024 ÀS 18:44:31</t>
  </si>
  <si>
    <t>GCxzKL3FQy-BtRmG-nH0AA</t>
  </si>
  <si>
    <t>15417-A</t>
  </si>
  <si>
    <t>EDSON LUIZ BROCH 47060930582</t>
  </si>
  <si>
    <t>8B00231215003157</t>
  </si>
  <si>
    <t>PR013</t>
  </si>
  <si>
    <t>sfK48Qa4StCj01t3Fds45Q</t>
  </si>
  <si>
    <t>15417-B</t>
  </si>
  <si>
    <t>8B00231215003102</t>
  </si>
  <si>
    <t>PR020</t>
  </si>
  <si>
    <t>EXDl3IlJT2WIu9QSLAycaQ</t>
  </si>
  <si>
    <t>15417-C</t>
  </si>
  <si>
    <t>8B00240106003082</t>
  </si>
  <si>
    <t>10984</t>
  </si>
  <si>
    <t>PR130</t>
  </si>
  <si>
    <t>E8XT3afSTv21WkwPbkWLYQ</t>
  </si>
  <si>
    <t>15418-A</t>
  </si>
  <si>
    <t>13919</t>
  </si>
  <si>
    <t>Pedido de compra 555
CNPJ: 37.799.455/0001-29 - ENDEREÇO PAAR ENTREGA:  SPE GOLF 2 EMPREENDIMENTOS IMOBILIARIOS LTDA, AV. DAS AMÉRICAS, 10033, BAIRRO RECREIO DOS BANDEIRANTES, RIO DE JANEIRO, RJ, CEP: 22790-703
PATRIMAR: COB . MAQUINAS PARA DEZEMBRO 2024 . PRIMEIRA PARCELA A PARTIR DE 1º DE JULHO 2024. PGTO 60 90 120 150 180 210. OC E ENDEREÇO DEVEM CONSTAR NA NF. QUADRO DESLOCADO SOBREPOR. PEDIDO Nº 621 ENVIADO PELO VENDEDOR RICARDO HENRIQUE CRIADO EM 14/06/2024 15:34:02 INTEGRADO POR MEIO DO BENDITO NO DIA 16/06/2024 ÀS 10:14:27</t>
  </si>
  <si>
    <t>DPdMWiCgRuGmfX5ziL28Jw</t>
  </si>
  <si>
    <t>15418-B</t>
  </si>
  <si>
    <t>iEIKgx0rSmaK5JWSiXa0BA</t>
  </si>
  <si>
    <t>15419-A</t>
  </si>
  <si>
    <t>13917</t>
  </si>
  <si>
    <t>Pedido de compra 555
CNPJ: 37.799.455/0001-29 - ENDEREÇO PAAR ENTREGA:  SPE GOLF 2 EMPREENDIMENTOS IMOBILIARIOS LTDA, AV. DAS AMÉRICAS, 10033, BAIRRO RECREIO DOS BANDEIRANTES, RIO DE JANEIRO, RJ, CEP: 22790-703
PATRIMAR SPA+COB. MAQUINAS PARA DEZEMBRO 2024 . PRIMEIRA PARCELA A PARTIR DE 1º DE JULHO 2024. PGTO 60 90 120 150 180 210. OC E ENDEREÇO DEVEM CONSTAR NA NF. QUADRO DESLOCADO SOBREPOR. PEDIDO Nº 620 ENVIADO PELO VENDEDOR RICARDO HENRIQUE CRIADO EM 14/06/2024 15:31:42 INTEGRADO POR MEIO DO BENDITO NO DIA 16/06/2024 ÀS 10:15:52</t>
  </si>
  <si>
    <t>4bdrWf-.QomkJHpObCJ-aA</t>
  </si>
  <si>
    <t>15419-B</t>
  </si>
  <si>
    <t>vPzSu0AQQ8eADI-xV2cTOA</t>
  </si>
  <si>
    <t>15419-C</t>
  </si>
  <si>
    <t>13856</t>
  </si>
  <si>
    <t>pLf29Br9QHmU0k5.hzkeNQ</t>
  </si>
  <si>
    <t>15419-D</t>
  </si>
  <si>
    <t>IWj9rZfpTg-r5oiF6oJyAw</t>
  </si>
  <si>
    <t>15419-E</t>
  </si>
  <si>
    <t>13858</t>
  </si>
  <si>
    <t>xGkUocUdSAaPBwhv.o8nvw</t>
  </si>
  <si>
    <t>15420-A</t>
  </si>
  <si>
    <t>13817</t>
  </si>
  <si>
    <t>Pedido de compra 555
CNPJ: 37.799.455/0001-29 - ENDEREÇO PAAR ENTREGA:  SPE GOLF 2 EMPREENDIMENTOS IMOBILIARIOS LTDA, AV. DAS AMÉRICAS, 10033, BAIRRO RECREIO DOS BANDEIRANTES, RIO DE JANEIRO, RJ, CEP: 22790-703
PATRIMAR. MAQUINAS PARA DEZEMBRO 2024 . PRIMEIRA PARCELA A PARTIR DE 1º DE JULHO 2024. PGTO 60 90 120 150 180 210. OC E ENDEREÇO DEVEM CONSTAR NA NF. QUADRO DESLOCADO SOBREPOR. PEDIDO Nº 619 ENVIADO PELO VENDEDOR RICARDO HENRIQUE CRIADO EM 14/06/2024 15:29:44 INTEGRADO POR MEIO DO BENDITO NO DIA 16/06/2024 ÀS 10:16:37</t>
  </si>
  <si>
    <t>Te-LpD6hSValgVTgtjgvjQ</t>
  </si>
  <si>
    <t>15420-B</t>
  </si>
  <si>
    <t>13815</t>
  </si>
  <si>
    <t>QLqexu9kSN204PaUeSblkQ</t>
  </si>
  <si>
    <t>15422</t>
  </si>
  <si>
    <t>CLIENTE PINDORAMA . REMESSA ENTREGA FUTURA ( MAQUINAS P/ 90 DIAS) . OC E ENDEREÇO DEVEM CONSTAR NA NF. QUADRO DESLOCADO SOBREPOR. PGTO 60 90 120 150 180 210 PEDIDO Nº 617 ENVIADO PELO VENDEDOR RICARDO HENRIQUE CRIADO EM 14/06/2024 15:24:20 INTEGRADO POR MEIO DO BENDITO NO DIA 16/06/2024 ÀS 10:18:38</t>
  </si>
  <si>
    <t>jUFm-ktVSlyMbknwrpTBdg</t>
  </si>
  <si>
    <t>15423</t>
  </si>
  <si>
    <t>13677</t>
  </si>
  <si>
    <t>CLIENTE PINDORAMA . REMESSA ENTREGA FUTURA ( MAQUINAS P/ 90 DIAS) . OC E ENDEREÇO DEVEM CONSTAR NA NF. QUADRO DESLOCADO SOBREPOR. PGTO 60 90 120 150 180 210 PEDIDO Nº 616 ENVIADO PELO VENDEDOR RICARDO HENRIQUE CRIADO EM 14/06/2024 15:21:37 INTEGRADO POR MEIO DO BENDITO NO DIA 16/06/2024 ÀS 10:19:10</t>
  </si>
  <si>
    <t>yhKG4oSgTHSEcat5sS.g0g</t>
  </si>
  <si>
    <t>15424</t>
  </si>
  <si>
    <t>11818</t>
  </si>
  <si>
    <t>CLIENTE PINDORAMA . REMESSA ENTREGA FUTURA ( MAQUINAS P/ 90 DIAS) . OC E ENDEREÇO DEVEM CONSTAR NA NF. QUADRO DESLOCADO SOBREPOR. PGTO 60 90 120 150 180 210 PEDIDO Nº 615 ENVIADO PELO VENDEDOR RICARDO HENRIQUE CRIADO EM 14/06/2024 15:18:44 INTEGRADO POR MEIO DO BENDITO NO DIA 16/06/2024 ÀS 10:19:39</t>
  </si>
  <si>
    <t>J5aKoKMuQXSjPi-XCRHtng</t>
  </si>
  <si>
    <t>15425</t>
  </si>
  <si>
    <t>13429</t>
  </si>
  <si>
    <t>MAQUINA PARA SER LIBERADA EM 30 DIAS).OC E ENDERECO DEVEM CONSTAR NA NF. QUADRO DESLOCADO SOBREPOR . PICOLO . PGTO 60 90 120 150 180 210 PEDIDO Nº 614 ENVIADO PELO VENDEDOR RICARDO HENRIQUE CRIADO EM 14/06/2024 15:15:46 INTEGRADO POR MEIO DO BENDITO NO DIA 16/06/2024 ÀS 10:20:28</t>
  </si>
  <si>
    <t>26Gtq2BlTXWLVIGdjtMhOA</t>
  </si>
  <si>
    <t>15426</t>
  </si>
  <si>
    <t>13466</t>
  </si>
  <si>
    <t>MAQUINA PARA SER LIBERADA EM 30 DIAS).OC E ENDERECO DEVEM CONSTAR NA NF. QUADRO DESLOCADO SOBREPOR . ICAZA . PGTO 60 90 120 150 180 210 PEDIDO Nº 613 ENVIADO PELO VENDEDOR RICARDO HENRIQUE CRIADO EM 14/06/2024 15:13:41 INTEGRADO POR MEIO DO BENDITO NO DIA 16/06/2024 ÀS 10:21:13</t>
  </si>
  <si>
    <t>QlKD8XWbS9q1MYQJmtCNOQ</t>
  </si>
  <si>
    <t>15427</t>
  </si>
  <si>
    <t>13469</t>
  </si>
  <si>
    <t>MAQUINA PARA SER LIBERADA EM 30 DIAS).OC E ENDERECO DEVEM CONSTAR NA NF. QUADRO DESLOCADO SOBREPOR .RENATA CAZANNE VASSOURAS . PGTO 60 90 120 150 180 210 PEDIDO Nº 612 ENVIADO PELO VENDEDOR RICARDO HENRIQUE CRIADO EM 14/06/2024 15:12:01 INTEGRADO POR MEIO DO BENDITO NO DIA 16/06/2024 ÀS 10:21:54</t>
  </si>
  <si>
    <t>m3tMY4HFSO-MtIjqzNEqQw</t>
  </si>
  <si>
    <t>15428</t>
  </si>
  <si>
    <t>13</t>
  </si>
  <si>
    <t>MAQUINA PARA SER LIBERADA EM 30 DIAS).OC E ENDERECO DEVEM CONSTAR NA NF. QUADRO DESLOCADO SOBREPOR . RENATA CAZANNE VASSOURAS . PGTO 60 90 120 150 180 210 PEDIDO Nº 611 ENVIADO PELO VENDEDOR RICARDO HENRIQUE CRIADO EM 14/06/2024 15:10:03 INTEGRADO POR MEIO DO BENDITO NO DIA 16/06/2024 ÀS 10:22:28</t>
  </si>
  <si>
    <t>vDTFLaX6SVmHNQFrR4nzxQ</t>
  </si>
  <si>
    <t>15429</t>
  </si>
  <si>
    <t>13467</t>
  </si>
  <si>
    <t>MAQUINA PARA SER LIBERADA EM 30 DIAS.OC E ENDERECO DEVEM CONSTAR NA NF. QUADRO DESLOCADO SOBREPOR . PEDRO OIL EQUIPE. PGTO 60 90 120 150 180 210 PEDIDO Nº 610 ENVIADO PELO VENDEDOR RICARDO HENRIQUE CRIADO EM 14/06/2024 15:08:02 INTEGRADO POR MEIO DO BENDITO NO DIA 16/06/2024 ÀS 10:24:39</t>
  </si>
  <si>
    <t>mELGYo0.TBK7pTKo8I7YOw</t>
  </si>
  <si>
    <t>15430</t>
  </si>
  <si>
    <t>11146</t>
  </si>
  <si>
    <t>MAQUINA PARA SER LIBERADA EM 30 DIAS).OC E ENDERECO DEVEM CONSTAR NA NF. QUADRO DESLOCADO SOBREPOR . FERNANDO MACHADO. . PGTO 60 90 120 150 180 210 PEDIDO Nº 609 ENVIADO PELO VENDEDOR RICARDO HENRIQUE CRIADO EM 14/06/2024 15:05:37 INTEGRADO POR MEIO DO BENDITO NO DIA 16/06/2024 ÀS 10:25:29</t>
  </si>
  <si>
    <t>cXj6c0I0RR6rEDXMcnz2gg</t>
  </si>
  <si>
    <t>15432</t>
  </si>
  <si>
    <t>13456</t>
  </si>
  <si>
    <t>10999</t>
  </si>
  <si>
    <t>RUBENS F[</t>
  </si>
  <si>
    <t>CAMPOS - OC 181 (FT 240 ).POR FAVOR, NÃO ENTREGAR S/ENTRAR EM CONTATO COM O TELEFONE: 21 99512-4022 AO MENOS C/ 24H DE ANTECEDÊNCIA.RJ 158 - KM 7, S/N, SANTA CRUZ, CAMPOS DOS GOYTACAZES (RJ) - 28055-293 PEDIDO Nº 607 ENVIADO PELO VENDEDOR RICARDO HENRIQUE CRIADO EM 14/06/2024 14:59:12 INTEGRADO POR MEIO DO BENDITO NO DIA 16/06/2024 ÀS 10:26:47</t>
  </si>
  <si>
    <t>clz-9yC9RXqg3nqasLAZIQ</t>
  </si>
  <si>
    <t>15434</t>
  </si>
  <si>
    <t>13461</t>
  </si>
  <si>
    <t>PEDIDO 182 (FT 160 ) POR FAVOR, NÃO ENTREGAR S/ENTRAR EM CONTATO COM O TELEFONE: 21 99512-4022 AO MENOS C/ 24H DE ANTECEDÊNCIA.CE279 (COM RESFRIAMENTO) PEDIDO Nº 605 ENVIADO PELO VENDEDOR RICARDO HENRIQUE CRIADO EM 14/06/2024 14:53:22 INTEGRADO POR MEIO DO BENDITO NO DIA 16/06/2024 ÀS 10:27:56</t>
  </si>
  <si>
    <t>yGA5fMUeTyy7xivc3AP4eA</t>
  </si>
  <si>
    <t>15436</t>
  </si>
  <si>
    <t>COSTRUFACIL LTDA</t>
  </si>
  <si>
    <t>7479-G</t>
  </si>
  <si>
    <t>FRETE COM REDESPACHO FOB EXPRESSO RAQUEL: 03.823.190/0002-16 RUA SOLDADO AMERICO RODRIGUES, 131, GALPAOMODULO A BAIRRO:PARQUE NOVO MUNDO MUNICÍPIO/UF:SAO PAULO, SP</t>
  </si>
  <si>
    <t>IC6fJlu4SYmL9kvk7FcDLw</t>
  </si>
  <si>
    <t>15437-A</t>
  </si>
  <si>
    <t>13460</t>
  </si>
  <si>
    <t>PEDIDO Nº 602 ENVIADO PELO VENDEDOR RENATO CRIADO EM 14/06/2024 09:52:07 INTEGRADO POR MEIO DO BENDITO NO DIA 16/06/2024 ÀS 10:30:14</t>
  </si>
  <si>
    <t>pwesetNDRM2XieHmNFr5AQ</t>
  </si>
  <si>
    <t>15437-B</t>
  </si>
  <si>
    <t>13459</t>
  </si>
  <si>
    <t>c51bClm-RoyHleTN81AaDw</t>
  </si>
  <si>
    <t>15437-C</t>
  </si>
  <si>
    <t>13458</t>
  </si>
  <si>
    <t>y8LQAhdUSry2wYyp007Vxw</t>
  </si>
  <si>
    <t>15437-D</t>
  </si>
  <si>
    <t>13462</t>
  </si>
  <si>
    <t>ArQ7-caTTb62Btl.pUe0ww</t>
  </si>
  <si>
    <t>15437-E</t>
  </si>
  <si>
    <t>13463</t>
  </si>
  <si>
    <t>53RRCImkQNuK3C7Xj6SzOg</t>
  </si>
  <si>
    <t>15439</t>
  </si>
  <si>
    <t>13474</t>
  </si>
  <si>
    <t>11132</t>
  </si>
  <si>
    <t>PICOLO. QUADRO DESLOCADO SOBREPOR. PGTO 60 90 120 150 180 210 . ENTREGA EM 30 DIAS. PEDIDO Nº 624 ENVIADO PELO VENDEDOR RICARDO HENRIQUE CRIADO EM 17/06/2024 10:02:40 INTEGRADO POR MEIO DO BENDITO NO DIA 17/06/2024 ÀS 12:38:36</t>
  </si>
  <si>
    <t>ddn.2S6CRc2xSaiM5lJi2w</t>
  </si>
  <si>
    <t>15441</t>
  </si>
  <si>
    <t>S2 IMPORTACAO E COMERCIO DE AR CONDICIONADO LTDA</t>
  </si>
  <si>
    <t>8B00230927003180</t>
  </si>
  <si>
    <t>PEDIDO Nº 627 ENVIADO PELO VENDEDOR THIAGO CRIADO EM 17/06/2024 17:13:49 INTEGRADO POR MEIO DO BENDITO NO DIA 18/06/2024 ÀS 08:11:56</t>
  </si>
  <si>
    <t>vivyPoUvQBCoxlbdNzS9ow</t>
  </si>
  <si>
    <t>15442</t>
  </si>
  <si>
    <t>13457</t>
  </si>
  <si>
    <t>QUADRO DESLOCADO SOBREPOR PEDIDO Nº 626 ENVIADO PELO VENDEDOR RICARDO HENRIQUE CRIADO EM 17/06/2024 16:50:22 INTEGRADO POR MEIO DO BENDITO NO DIA 18/06/2024 ÀS 08:14:34</t>
  </si>
  <si>
    <t>2QOVFeekQ-SFCB4ipMazTA</t>
  </si>
  <si>
    <t>15443</t>
  </si>
  <si>
    <t>8B00240322003220</t>
  </si>
  <si>
    <t>PEDIDO Nº 625 ENVIADO PELO VENDEDOR MARCELO CRIADO EM 17/06/2024 14:23:37 INTEGRADO POR MEIO DO BENDITO NO DIA 18/06/2024 ÀS 08:19:31</t>
  </si>
  <si>
    <t>28PoK29bSAKE7BAWdgE5gw</t>
  </si>
  <si>
    <t>15445</t>
  </si>
  <si>
    <t>8B00240325003040</t>
  </si>
  <si>
    <t>REDESPACHO FOB: TRANSP. CIVIDINI E CIA LTDA RUA - SD CRISTÓVÃO MORAES GARCIA, 375 P.N. MUNDO - SÃO PAULO SP CEP - 02187-090 - FONE (11) 2207-0813 PEDIDO Nº 629 ENVIADO PELO VENDEDOR JUSCELINO CRIADO EM 18/06/2024 08:45:51 INTEGRADO POR MEIO DO BENDITO NO DIA 18/06/2024 ÀS 08:59:55</t>
  </si>
  <si>
    <t>C-uEEg95QPWqR8kqvQp.-A</t>
  </si>
  <si>
    <t>15446</t>
  </si>
  <si>
    <t>R R TOFFOLO &amp; CIA LTDA</t>
  </si>
  <si>
    <t>13464</t>
  </si>
  <si>
    <t>ENDEREÇO DE ENTREGA: ENDEREÇO DO DEPÓSITO RUA JAVARI 832 BAIRRO CONJUNTO LIBRA CEP 85857-210 FOZ DO IGUAÇU/PR</t>
  </si>
  <si>
    <t>vXSpWmyLRoyp0w6YPSXM4A</t>
  </si>
  <si>
    <t>15447</t>
  </si>
  <si>
    <t>IRMAOS MARQUES COMERCIO E SERVICOS LTDA</t>
  </si>
  <si>
    <t>8B00240122003483</t>
  </si>
  <si>
    <t>PEDIDO Nº 631 ENVIADO PELO VENDEDOR THIAGO CRIADO EM 18/06/2024 12:49:33 INTEGRADO POR MEIO DO BENDITO NO DIA 18/06/2024 ÀS 13:36:38</t>
  </si>
  <si>
    <t>p-9ccWkjTo6j3HHzuXS53w</t>
  </si>
  <si>
    <t>15449</t>
  </si>
  <si>
    <t>8B00240122003251</t>
  </si>
  <si>
    <t>11026</t>
  </si>
  <si>
    <t>DAH0177 - V2 - ALEX SANDRO ROBERTO DE SOUZA  - 91007380934 - FORD / CARGO 1217 / BRANCA  / 2001</t>
  </si>
  <si>
    <t>CONDIÇÃO ESPECIAL AUTORIZADA POR MÁRIO -TABELA PROPRIA DA STILLO PEDIDO Nº 633 ENVIADO PELO VENDEDOR CARLOS AUGUSTO CRIADO EM 19/06/2024 07:01:48 INTEGRADO POR MEIO DO BENDITO NO DIA 19/06/2024 ÀS 15:46:52</t>
  </si>
  <si>
    <t>6tvUPu2HTi60we8LeBnI5g</t>
  </si>
  <si>
    <t>15450-A</t>
  </si>
  <si>
    <t>8B00231215003116</t>
  </si>
  <si>
    <t>11027</t>
  </si>
  <si>
    <t>CONDIÇÃO ESPECIAL AUTORIZADA POR MÁRIO -TABELA PROPRIA STILLO PEDIDO Nº 634 ENVIADO PELO VENDEDOR CARLOS AUGUSTO CRIADO EM 19/06/2024 07:03:22 INTEGRADO POR MEIO DO BENDITO NO DIA 19/06/2024 ÀS 15:47:38</t>
  </si>
  <si>
    <t>bK1sEv5yRl-LLendcHXiDQ</t>
  </si>
  <si>
    <t>15450-B</t>
  </si>
  <si>
    <t>8B00231215003140</t>
  </si>
  <si>
    <t>HzW06llIQx-LvhjuleNOTg</t>
  </si>
  <si>
    <t>15451-A</t>
  </si>
  <si>
    <t>8B00240325003013</t>
  </si>
  <si>
    <t>11028</t>
  </si>
  <si>
    <t>CONDIÇÃO ESPECIAL AUTORIZADA POR MÁRIO PEDIDO Nº 635 ENVIADO PELO VENDEDOR CARLOS AUGUSTO CRIADO EM 19/06/2024 07:05:06 INTEGRADO POR MEIO DO BENDITO NO DIA 19/06/2024 ÀS 15:47:53</t>
  </si>
  <si>
    <t>ZFgHLSP5RHa.6Dp7cV2iyQ</t>
  </si>
  <si>
    <t>15451-B</t>
  </si>
  <si>
    <t>8B00240325003043</t>
  </si>
  <si>
    <t>CsL3PQPOTHuPMv8qjLgPog</t>
  </si>
  <si>
    <t>15452-A</t>
  </si>
  <si>
    <t>8B00240325003003</t>
  </si>
  <si>
    <t>11022</t>
  </si>
  <si>
    <t>CONDIÇÃO ESPECIAL AUTORIZADA POR MÁRIO -TABELA PROPRIA STILLO PEDIDO Nº 637 ENVIADO PELO VENDEDOR CARLOS AUGUSTO CRIADO EM 19/06/2024 07:09:18 INTEGRADO POR MEIO DO BENDITO NO DIA 19/06/2024 ÀS 15:50:23</t>
  </si>
  <si>
    <t>dh9-pcsbTGydZV42oX7BLg</t>
  </si>
  <si>
    <t>15452-B</t>
  </si>
  <si>
    <t>8B00240325003020</t>
  </si>
  <si>
    <t>BxvLDvhpTeiwj440JX5c1A</t>
  </si>
  <si>
    <t>15452-C</t>
  </si>
  <si>
    <t>8B00240325003034</t>
  </si>
  <si>
    <t>7-nJQhDNT.uP6vUOQo8tnw</t>
  </si>
  <si>
    <t>15453-A</t>
  </si>
  <si>
    <t>8B00231215003153</t>
  </si>
  <si>
    <t>11023</t>
  </si>
  <si>
    <t>CONDIÇÃO ESPECIAL AUTORIZADA POR MÁRIO -TABELA PROPRIA STILLO PEDIDO Nº 638 ENVIADO PELO VENDEDOR CARLOS AUGUSTO CRIADO EM 19/06/2024 07:12:15 INTEGRADO POR MEIO DO BENDITO NO DIA 19/06/2024 ÀS 15:51:26</t>
  </si>
  <si>
    <t>mhGvt5TTTZKv8-eqQ2KnRw</t>
  </si>
  <si>
    <t>15453-B</t>
  </si>
  <si>
    <t>8B00231215003139</t>
  </si>
  <si>
    <t>4mxXButTRy2GltWFG6yZsg</t>
  </si>
  <si>
    <t>15453-C</t>
  </si>
  <si>
    <t>8B00231215003141</t>
  </si>
  <si>
    <t>zZh1RV1ZSRGcGP6xlqkSKw</t>
  </si>
  <si>
    <t>15454-A</t>
  </si>
  <si>
    <t>8B00240122003267</t>
  </si>
  <si>
    <t>11024</t>
  </si>
  <si>
    <t>CONDIÇÃO ESPECIAL AUTORIZADA POR MÁRIO -TABELA PROPRIA STILLO PEDIDO Nº 639 ENVIADO PELO VENDEDOR CARLOS AUGUSTO CRIADO EM 19/06/2024 07:13:45 INTEGRADO POR MEIO DO BENDITO NO DIA 19/06/2024 ÀS 15:52:05</t>
  </si>
  <si>
    <t>7SNQKcr8Q3SQo7xWpayGeA</t>
  </si>
  <si>
    <t>15454-B</t>
  </si>
  <si>
    <t>8B00240122003243</t>
  </si>
  <si>
    <t>J-PHQNMSRba.ddUtzXx4WA</t>
  </si>
  <si>
    <t>15454-C</t>
  </si>
  <si>
    <t>8B00240122003310</t>
  </si>
  <si>
    <t>Gu7GTVc9RC2-yXDKLNxEng</t>
  </si>
  <si>
    <t>15455-A</t>
  </si>
  <si>
    <t>8B00230927003156</t>
  </si>
  <si>
    <t>11025</t>
  </si>
  <si>
    <t>TABELA PRÓPRIA STILLO PEDIDO Nº 643 ENVIADO PELO VENDEDOR CARLOS AUGUSTO CRIADO EM 19/06/2024 16:04:51 INTEGRADO POR MEIO DO BENDITO NO DIA 19/06/2024 ÀS 16:05:18</t>
  </si>
  <si>
    <t>wK6kr2H-QHCPD4yufE7lXQ</t>
  </si>
  <si>
    <t>15455-B</t>
  </si>
  <si>
    <t>8B00230927003141</t>
  </si>
  <si>
    <t>InD77.naQi6zws-RkRsQLA</t>
  </si>
  <si>
    <t>15455-C</t>
  </si>
  <si>
    <t>8B00230927003154</t>
  </si>
  <si>
    <t>29Bvu6YjQKGpmbWVlcmdeg</t>
  </si>
  <si>
    <t>15455-D</t>
  </si>
  <si>
    <t>8B00230927003142</t>
  </si>
  <si>
    <t>fvvC8vKoSSOgrPXcorSrSw</t>
  </si>
  <si>
    <t>15456</t>
  </si>
  <si>
    <t>8B00240122003466</t>
  </si>
  <si>
    <t>PR070</t>
  </si>
  <si>
    <t>M3xLzUv.RWS2o7L5.nZ5wA</t>
  </si>
  <si>
    <t>15457</t>
  </si>
  <si>
    <t>POOL VITORIA COMERCIO E SERVICOS LTDA.</t>
  </si>
  <si>
    <t>8B00240322003006</t>
  </si>
  <si>
    <t>FAVOR ENVIAR CONFIRMAÇÃO DO PEDIDO PARA TAYLORCAROL@HOTMAIL.COM CONTATO (27) 99316-3115 PEDIDO Nº 641 ENVIADO PELO VENDEDOR RICARDO HENRIQUE CRIADO EM 19/06/2024 08:32:54 INTEGRADO POR MEIO DO BENDITO NO DIA 19/06/2024 ÀS 16:11:22</t>
  </si>
  <si>
    <t>p3a-XZXnSGmU1FLNioKJPg</t>
  </si>
  <si>
    <t>15458</t>
  </si>
  <si>
    <t>8B00240322003031</t>
  </si>
  <si>
    <t>PEDIDO Nº 648 ENVIADO PELO VENDEDOR RICARDO HENRIQUE CRIADO EM 20/06/2024 13:58:35 INTEGRADO POR MEIO DO BENDITO NO DIA 20/06/2024 ÀS 14:29:29</t>
  </si>
  <si>
    <t>4LI22IxUQK213JT2XnKz2g</t>
  </si>
  <si>
    <t>15459</t>
  </si>
  <si>
    <t>SOL E AR COMERCIAL LTDA</t>
  </si>
  <si>
    <t>8B00231215003252</t>
  </si>
  <si>
    <t>REDESPACHO FOB PELA MINAS STAR - CNPJ SP: 41.676.545/0002-80 RUA GONÇALVES 118, CIDADE INDUSTRIAL SATELITE DE SP - GUARULHOS - SP 07.222-060</t>
  </si>
  <si>
    <t>HuuRlfUtS26O1uxWu-0Dlg</t>
  </si>
  <si>
    <t>15460</t>
  </si>
  <si>
    <t>8B00240325003021</t>
  </si>
  <si>
    <t>PEDIDO Nº 646 ENVIADO PELO VENDEDOR RICARDO HENRIQUE CRIADO EM 20/06/2024 11:03:49 INTEGRADO POR MEIO DO BENDITO NO DIA 20/06/2024 ÀS 14:30:50</t>
  </si>
  <si>
    <t>E2YfkmnRRU2PTsuOEi27NQ</t>
  </si>
  <si>
    <t>15461</t>
  </si>
  <si>
    <t>13331</t>
  </si>
  <si>
    <t>PEDIDO Nº 645 ENVIADO PELO VENDEDOR RICARDO HENRIQUE CRIADO EM 20/06/2024 09:33:20 INTEGRADO POR MEIO DO BENDITO NO DIA 20/06/2024 ÀS 14:31:24</t>
  </si>
  <si>
    <t>o26g93FzQRSoGP6EZGhZyg</t>
  </si>
  <si>
    <t>15462</t>
  </si>
  <si>
    <t>IRMAOS ROTTA COMERCIO E MANUTENCAO DE PISCINAS E LAZER LTDA</t>
  </si>
  <si>
    <t>13465</t>
  </si>
  <si>
    <t>CLIENTE - COMUNITAS DESCONTO DE 10% AUT PELO GV MÁRIO PEDIDO Nº 644 ENVIADO PELO VENDEDOR FÁBIO CRIADO EM 19/06/2024 22:16:24 INTEGRADO POR MEIO DO BENDITO NO DIA 20/06/2024 ÀS 14:32:19</t>
  </si>
  <si>
    <t>V2nKb42GSN-qvqtZMWHguA</t>
  </si>
  <si>
    <t>15463-15534</t>
  </si>
  <si>
    <t>13451</t>
  </si>
  <si>
    <t>RXR9C45 - RETIRA - IVANA GERMANO - 03478377943 - TOYOTA / HILUX SWSRXA4FD / MARROM / 2023</t>
  </si>
  <si>
    <t>A VISTA ANTECIPADO CLIENTE RETIRA URGENTE  PEDIDO Nº 651 ENVIADO PELO VENDEDOR CARLOS AUGUSTO  CRIADO EM 20/06/2024 18:19:40 INTEGRADO POR MEIO DO BENDITO NO DIA 21/06/2024 ÀS 09:04:16 - ERRO NO CADASTRO DO PRODUTO, ORSO COLOCOU FH160L45T IVANA QUERIA 60ºC ENVIAMOS A MAQUINA DA TUTI BOM PEDIDO 15463 FOI CANCELADO E ESTE FOI REFEITO. AQUI O PREÇO FOI MANTIDO MAS O MODELO ALTERADO.</t>
  </si>
  <si>
    <t>RHgzFhm7RHWN74oQ3CAVUg</t>
  </si>
  <si>
    <t>15464</t>
  </si>
  <si>
    <t>8B00240122003260</t>
  </si>
  <si>
    <t>411Lm01cRM6HCBk0izxUKw</t>
  </si>
  <si>
    <t>15465</t>
  </si>
  <si>
    <t>GOLD THERM PISCINAS LTDA</t>
  </si>
  <si>
    <t>8B00231215003156</t>
  </si>
  <si>
    <t>11030</t>
  </si>
  <si>
    <t>TRANSPORTADORA LEALDADE - NÚMERO COTAÇÃO SPO114918</t>
  </si>
  <si>
    <t>ESv7GWKyT42E51AuBsgmVg</t>
  </si>
  <si>
    <t>15466-A</t>
  </si>
  <si>
    <t>Silvia Lisboa de Freitas</t>
  </si>
  <si>
    <t>8B00240325003002</t>
  </si>
  <si>
    <t>FATURAR DIA 01/07/2024</t>
  </si>
  <si>
    <t>jg8zJw85RAeorq5grVbk4A</t>
  </si>
  <si>
    <t>15466-B</t>
  </si>
  <si>
    <t>8B00240325003001</t>
  </si>
  <si>
    <t>UEtDKrSfRgaZOW4yQPOjcg</t>
  </si>
  <si>
    <t>15467</t>
  </si>
  <si>
    <t>PRONTOFAZ HIDROTERAPIA E LAZER LTDA</t>
  </si>
  <si>
    <t>12067</t>
  </si>
  <si>
    <t>PEDIDO Nº 653 ENVIADO PELO VENDEDOR RENATO CRIADO EM 21/06/2024 11:38:21 INTEGRADO POR MEIO DO BENDITO NO DIA 21/06/2024 ÀS 11:58:29</t>
  </si>
  <si>
    <t>scSSPCmZS.qVPFhxXc6rFg</t>
  </si>
  <si>
    <t>15469-A</t>
  </si>
  <si>
    <t>8A00240411003141</t>
  </si>
  <si>
    <t>11029</t>
  </si>
  <si>
    <t>AQB5H57 - V2 - JOSÉ EDISON DA SILVA MORAES  - 42204631949 - VW/8160 DRC 4X2 / CARGA CAMINHAO  / BRANCA  / 2013</t>
  </si>
  <si>
    <t>ALTERAR PRAZO DE PAGAMENTO:  30/45/60/75/90/105/120/135/150/165/180 DIAS PROMOÇÃO DE JULHO NA COMPRA DE 4 MÁQUINAS DO MESMO MODELO CLIENTE RETIRA PEDIDO Nº 655 ENVIADO PELO VENDEDOR CARLOS AUGUSTO  CRIADO EM 21/06/2024 12:01:00 INTEGRADO POR MEIO DO BENDITO NO DIA 21/06/2024 ÀS 13:26:48</t>
  </si>
  <si>
    <t>cjIsKMpfRxuWEsaa.SNd2A</t>
  </si>
  <si>
    <t>15469-B</t>
  </si>
  <si>
    <t>8A00240411003147</t>
  </si>
  <si>
    <t>j.AJePWSSl-b718RfdPBBA</t>
  </si>
  <si>
    <t>15469-C</t>
  </si>
  <si>
    <t>8A00240411003131</t>
  </si>
  <si>
    <t>W6pJxLWbShaJuVvufs-T4Q</t>
  </si>
  <si>
    <t>15469-D</t>
  </si>
  <si>
    <t>8A00240411003123</t>
  </si>
  <si>
    <t>ZdVTSRuYSouxjVslFPKk1w</t>
  </si>
  <si>
    <t>15470</t>
  </si>
  <si>
    <t>CLAIR RODRIGO PEREIRA DO VALE</t>
  </si>
  <si>
    <t>8B00231215003124</t>
  </si>
  <si>
    <t>PEDIDO Nº 656 ENVIADO PELO VENDEDOR RICARDO HENRIQUE  CRIADO EM 21/06/2024 15:02:26 INTEGRADO POR MEIO DO BENDITO NO DIA 24/06/2024 ÀS 08:57:31</t>
  </si>
  <si>
    <t>mo1A23C5Qxae83R5wBJUdg</t>
  </si>
  <si>
    <t>15472</t>
  </si>
  <si>
    <t>8A00240411003112</t>
  </si>
  <si>
    <t>FATURAR URGENTE. TROCA DE MAQUINA QUE ENVIEI ERRADO. ASSIM QUE DESCARREGAR ESSA PEDIR PRA TRANSPORTADORA COLETAR A MAQUINA ENVIADA ERRADA .PASSAR ESTE CUSTO DE FRETE PARA O REPRESENTANTE ARCAR.</t>
  </si>
  <si>
    <t>EPLuD6G4R6ugo7bRxgsGXA</t>
  </si>
  <si>
    <t>15474</t>
  </si>
  <si>
    <t>Deise Ana Schneider</t>
  </si>
  <si>
    <t>8B00240325003007</t>
  </si>
  <si>
    <t>IBZ2038 - TW - FERNANDO DE SOUZA DIAS - 22285857268 - M.BENZ  / CARGA CAMINHAO  / AMARELA  / 1984</t>
  </si>
  <si>
    <t>VALOR NF - R$ 19.230,00 VALOR TABELA - R$ 9.708,69 DIF TABXNF - R$ 9.521,31 DIF IMPOSTO 17% - R$ 1.618,62 DIFAL - R$ 961,50 TOTAL - R$ 12.288,81</t>
  </si>
  <si>
    <t>HLnlO5FtRz2u1ASI7Po8fg</t>
  </si>
  <si>
    <t>15475</t>
  </si>
  <si>
    <t>49.618.364 LUCIELE APARECIDA VALAU BRO</t>
  </si>
  <si>
    <t>8B00231215003254</t>
  </si>
  <si>
    <t>ALTERAR VALOR DE PAGAMENTO, COM O DESCONTO NO PIX A CLIENTE VAI PAGAR R$16.393,31 PEDIDO Nº 659 ENVIADO PELO VENDEDOR RENATO CRIADO EM 24/06/2024 10:07:33 INTEGRADO POR MEIO DO BENDITO NO DIA 24/06/2024 ÀS 10:09:39</t>
  </si>
  <si>
    <t>cvKMZDJeR.ipSyLffWZ45A</t>
  </si>
  <si>
    <t>15487</t>
  </si>
  <si>
    <t>8A00240411003133</t>
  </si>
  <si>
    <t>CARTÃO EM 10X</t>
  </si>
  <si>
    <t>XNQaB.OkS6y4aqr03iAqrw</t>
  </si>
  <si>
    <t>15488</t>
  </si>
  <si>
    <t>MARIA CAROLINA DE LIMA THEODORO LAUAR</t>
  </si>
  <si>
    <t>13470</t>
  </si>
  <si>
    <t>je5bTDGjTrOXQQHh1cou9Q</t>
  </si>
  <si>
    <t>15489</t>
  </si>
  <si>
    <t>BK INDUSTRIA E COMERCIO LTDA</t>
  </si>
  <si>
    <t>8B00240122003252</t>
  </si>
  <si>
    <t>DMS1E02 - RETIRA - LAERCIO GAVIRAGHI - 92905706015 - VW/ NOVAS SAVEIRO RB MBVS / CARGA CAMINHONETE / BRANCA  / 2020</t>
  </si>
  <si>
    <t>bq00rpmKT2yy92O15ILKXA</t>
  </si>
  <si>
    <t>15490</t>
  </si>
  <si>
    <t>8A00240411003139</t>
  </si>
  <si>
    <t>2yZ8zzaoTGy43x8Ws1W5Ew</t>
  </si>
  <si>
    <t>15491-A</t>
  </si>
  <si>
    <t>JOLLI REPRESENTACOES COMERCIAIS LTDA</t>
  </si>
  <si>
    <t>8B00240122003278</t>
  </si>
  <si>
    <t>DESCONTO PELO VOLUME DE MÁQUINAS - AUTORIZADO PELO MARIO</t>
  </si>
  <si>
    <t>nx3nH.6KTPWpxF9w.UiYkQ</t>
  </si>
  <si>
    <t>15491-B</t>
  </si>
  <si>
    <t>8B00240122003270</t>
  </si>
  <si>
    <t>MpOzpciUTtqfu6RWcr5gOQ</t>
  </si>
  <si>
    <t>15491-C</t>
  </si>
  <si>
    <t>8A00240411003001</t>
  </si>
  <si>
    <t>noNEzSDWQeOgCexX5Yvstw</t>
  </si>
  <si>
    <t>15491-D</t>
  </si>
  <si>
    <t>8A00240411003013</t>
  </si>
  <si>
    <t>dHEPFcP.RdeknFQLMARPLg</t>
  </si>
  <si>
    <t>15491-E</t>
  </si>
  <si>
    <t>8A00240411003006</t>
  </si>
  <si>
    <t>ilevJ3KFROisBBLLlyqukQ</t>
  </si>
  <si>
    <t>15491-F</t>
  </si>
  <si>
    <t>8A00240411003018</t>
  </si>
  <si>
    <t>B9XevQZSSACB112fN5pf1w</t>
  </si>
  <si>
    <t>15491-J</t>
  </si>
  <si>
    <t>8A00240411003035</t>
  </si>
  <si>
    <t>t4cmz.w9S.Oyko.7i1FM6A</t>
  </si>
  <si>
    <t>15491-K</t>
  </si>
  <si>
    <t>8A00240411003034</t>
  </si>
  <si>
    <t>EWRzfXlaQQutesBo8gnqKA</t>
  </si>
  <si>
    <t>15491-L</t>
  </si>
  <si>
    <t>8A00240411003042</t>
  </si>
  <si>
    <t>9R6OCl-eSGWs7Ehc-qi4Rg</t>
  </si>
  <si>
    <t>15491-M</t>
  </si>
  <si>
    <t>8A00240411003037</t>
  </si>
  <si>
    <t>wqZKxeJ0Sb21QxLHZfARaA</t>
  </si>
  <si>
    <t>15491-N</t>
  </si>
  <si>
    <t>8A00240411003031</t>
  </si>
  <si>
    <t>uAcoRM0dS1y-8ttN-wPOBg</t>
  </si>
  <si>
    <t>15491-O</t>
  </si>
  <si>
    <t>8A00240411003050</t>
  </si>
  <si>
    <t>eBQsEFfSQ1-e80D0JVV2UA</t>
  </si>
  <si>
    <t>15491-P</t>
  </si>
  <si>
    <t>8A00240411003047</t>
  </si>
  <si>
    <t>a-TztpFZSQc2ZyUX1WRZHHQ</t>
  </si>
  <si>
    <t>15491-Q</t>
  </si>
  <si>
    <t>8A00240411003105</t>
  </si>
  <si>
    <t>9.hUQUJ6RSC20ifhImYJHQ</t>
  </si>
  <si>
    <t>15491-R</t>
  </si>
  <si>
    <t>8A00240411003096</t>
  </si>
  <si>
    <t>ZOo5hBw0QheuuxNJsAfEvA</t>
  </si>
  <si>
    <t>15491-S</t>
  </si>
  <si>
    <t>8B00240322003284</t>
  </si>
  <si>
    <t>7ck4iRyqQr2BTrE6gGbfVg</t>
  </si>
  <si>
    <t>15491-T</t>
  </si>
  <si>
    <t>8B00240322003256</t>
  </si>
  <si>
    <t>5jxNAXE7TlmBo7ZlHtTa9g</t>
  </si>
  <si>
    <t>15492-A</t>
  </si>
  <si>
    <t>13475</t>
  </si>
  <si>
    <t>ENVIAR JUNTO UM QUADRO SOBREPOR SEPARADO, MARIO ESTA CIENTE. CLIENTE QUER INTEGRAR AS 03 MAQUINAS , SENDO 01 QUADRO EXTERNO DE SOBREPOR .</t>
  </si>
  <si>
    <t>VLwek79mRhSoTgnshi09GQ</t>
  </si>
  <si>
    <t>15492-B</t>
  </si>
  <si>
    <t>13476</t>
  </si>
  <si>
    <t>VaPVRc4aQf2YOPZKDNRMFA</t>
  </si>
  <si>
    <t>15492-C</t>
  </si>
  <si>
    <t>13477</t>
  </si>
  <si>
    <t>JfBNbhxuSxy89r2C3LNdTQ</t>
  </si>
  <si>
    <t>15493-A</t>
  </si>
  <si>
    <t>8B00240122003286</t>
  </si>
  <si>
    <t>4gs.mEIARTSWDa9BlKDVFA</t>
  </si>
  <si>
    <t>15493-AA</t>
  </si>
  <si>
    <t>8A00240411003099</t>
  </si>
  <si>
    <t>qB5JxgIJT42lY0Z2d5MlGQ</t>
  </si>
  <si>
    <t>15493-AB</t>
  </si>
  <si>
    <t>8A00240411003083</t>
  </si>
  <si>
    <t>eVZuy3FYT5KjrBKbBVTJHA</t>
  </si>
  <si>
    <t>15493-AC</t>
  </si>
  <si>
    <t>8B00240322003266</t>
  </si>
  <si>
    <t>a-ekNznOtTI27zKbIgpBGQA</t>
  </si>
  <si>
    <t>15493-AD</t>
  </si>
  <si>
    <t>8B00240322003273</t>
  </si>
  <si>
    <t>Zi8sFAC-Qhi5G3HoSHzZsQ</t>
  </si>
  <si>
    <t>15493-B</t>
  </si>
  <si>
    <t>8B00240122003297</t>
  </si>
  <si>
    <t>OmLH85c4TPmJ5dPUVR4oGg</t>
  </si>
  <si>
    <t>15493-C</t>
  </si>
  <si>
    <t>8A00240411003020</t>
  </si>
  <si>
    <t>j7zok25vRcqIUxbMf2xeYA</t>
  </si>
  <si>
    <t>15493-D</t>
  </si>
  <si>
    <t>8B00240322003028</t>
  </si>
  <si>
    <t>rDsTZoaMQkizVAW1CHVSBw</t>
  </si>
  <si>
    <t>15493-E</t>
  </si>
  <si>
    <t>8B00240322003044</t>
  </si>
  <si>
    <t>WAjq5X.7TCSyTQL9WD0POQ</t>
  </si>
  <si>
    <t>15493-F</t>
  </si>
  <si>
    <t>8A00240411003016</t>
  </si>
  <si>
    <t>FtJ-PDYdTVmq2XwzcooxBA</t>
  </si>
  <si>
    <t>15493-G</t>
  </si>
  <si>
    <t>8A00240411003024</t>
  </si>
  <si>
    <t>axxQ0d8nTzCrBPWlRP0iOQ</t>
  </si>
  <si>
    <t>15493-H</t>
  </si>
  <si>
    <t>8F00240723270511</t>
  </si>
  <si>
    <t>11118/nf conserto 11394</t>
  </si>
  <si>
    <t>DESCONTO PELO VOLUME DE MÁQUINAS - AUTORIZADO PELO MARIO - OP ANTIGA 8A00240411003015</t>
  </si>
  <si>
    <t>7cjciU-jR-CwStdik7sl-w</t>
  </si>
  <si>
    <t>15493-I</t>
  </si>
  <si>
    <t>8A00240411003010</t>
  </si>
  <si>
    <t>a-vCM7vTESS2VrUSga-sTFg</t>
  </si>
  <si>
    <t>15493-J</t>
  </si>
  <si>
    <t>8A00240411003022</t>
  </si>
  <si>
    <t>nefd9.LZRjuD73MZMi.gqg</t>
  </si>
  <si>
    <t>15493-K</t>
  </si>
  <si>
    <t>8B00231215003126</t>
  </si>
  <si>
    <t>llBTeBUfSl6wfQ.b4ZzxUA</t>
  </si>
  <si>
    <t>15493-L</t>
  </si>
  <si>
    <t>8A00240411003040</t>
  </si>
  <si>
    <t>GGgGd-nTQ3aRl8llgHnocg</t>
  </si>
  <si>
    <t>15493-M</t>
  </si>
  <si>
    <t>8A00240411003041</t>
  </si>
  <si>
    <t>pgawx8pISPqAh9.uRz9yAA</t>
  </si>
  <si>
    <t>15493-N</t>
  </si>
  <si>
    <t>8B00231215003133</t>
  </si>
  <si>
    <t>3lJpHO8sRW6NxwAYrjxoog</t>
  </si>
  <si>
    <t>15493-O</t>
  </si>
  <si>
    <t>8B00231215003144</t>
  </si>
  <si>
    <t>2VyOtp8DRm2bZTZNJBo.UA</t>
  </si>
  <si>
    <t>15493-P</t>
  </si>
  <si>
    <t>8B00231215003128</t>
  </si>
  <si>
    <t>8F9LTPTnQ-q6AB3O4eTtcQ</t>
  </si>
  <si>
    <t>15493-Q</t>
  </si>
  <si>
    <t>8B00231215003114</t>
  </si>
  <si>
    <t>JbQZmokuSzeg2XKKM7tWrg</t>
  </si>
  <si>
    <t>15493-R</t>
  </si>
  <si>
    <t>8B00240322003072</t>
  </si>
  <si>
    <t>PSQnt4QlR2iUuw4j7CTl5g</t>
  </si>
  <si>
    <t>15493-S</t>
  </si>
  <si>
    <t>8B00240322003212</t>
  </si>
  <si>
    <t>fVnqMZ1CStCS7eUd2PRngA</t>
  </si>
  <si>
    <t>15493-T</t>
  </si>
  <si>
    <t>8B00231215003122</t>
  </si>
  <si>
    <t>VwvE0ZauR0Obw3--s.TzGQ</t>
  </si>
  <si>
    <t>15493-U</t>
  </si>
  <si>
    <t>8B00231215003131</t>
  </si>
  <si>
    <t>XBAA0XIyQbSMs7PZNJSagQ</t>
  </si>
  <si>
    <t>15493-V</t>
  </si>
  <si>
    <t>8A00240411003053</t>
  </si>
  <si>
    <t>7U5AL7I5RGWIBfIHfQOsuQ</t>
  </si>
  <si>
    <t>15493-W</t>
  </si>
  <si>
    <t>8A00240411003070</t>
  </si>
  <si>
    <t>2mn6tzc8T8yowg8KM2-qlg</t>
  </si>
  <si>
    <t>15493-X</t>
  </si>
  <si>
    <t>8A00240411003055</t>
  </si>
  <si>
    <t>GbeE.ydlTh2XslhPK9qGsA</t>
  </si>
  <si>
    <t>15493-Y</t>
  </si>
  <si>
    <t>8A00240411003048</t>
  </si>
  <si>
    <t>euWEVLp.R86KXxF9Ibky7A</t>
  </si>
  <si>
    <t>15493-Z</t>
  </si>
  <si>
    <t>8A00240411003068</t>
  </si>
  <si>
    <t>a--wjiAQDRp20fqGILCRDrA</t>
  </si>
  <si>
    <t>15494</t>
  </si>
  <si>
    <t>M da Silva Mouraes da Penha ME</t>
  </si>
  <si>
    <t>ABERTURA DE CLIENTE ESPIRITO SANTO  - CLIENTES DO ESPIRITO SANTO POSSUEM DESCONTO ESPECIAL PARA INCENTIVO DE VENDAS NO ESTADO. OP ANTERIOR - 8B00240122003258 O.S 2662</t>
  </si>
  <si>
    <t>a.j3XLPi-RDWEKWqtMZiO2Q</t>
  </si>
  <si>
    <t>15495</t>
  </si>
  <si>
    <t>8A00240411003065</t>
  </si>
  <si>
    <t>RLL3I15 - RETIRA - GILIANDRO MACFHERSON -  - RENAUT / MASTER  / BRANCA  / 2022</t>
  </si>
  <si>
    <t xml:space="preserve">PREÇO PROMOCIONAL EXCLUSIVO PARA ESTE PEDIDO - AUTORIZADO PELO MARIO </t>
  </si>
  <si>
    <t>SfMRYffLRKq7bf4Yl5meEA</t>
  </si>
  <si>
    <t>15496</t>
  </si>
  <si>
    <t>8B00230927003140</t>
  </si>
  <si>
    <t>11041</t>
  </si>
  <si>
    <t>MFV2H38 - RETIRA - RAFAEL PIELUHOWSKI - 00592592857 - RENAULT / KGOO EXPRESS16 / BRANCA / 2007</t>
  </si>
  <si>
    <t>0YzdCDwTTKGFDtS2TuqXqQ</t>
  </si>
  <si>
    <t>15497</t>
  </si>
  <si>
    <t>BOMBAS DE CALOR E AQUECEDORES LTDA ME</t>
  </si>
  <si>
    <t>13472</t>
  </si>
  <si>
    <t>pXVNAbpDShy7BkeeMk2iyQ</t>
  </si>
  <si>
    <t>15498</t>
  </si>
  <si>
    <t>OURO SOLAR LTDA</t>
  </si>
  <si>
    <t>8B00240322003230</t>
  </si>
  <si>
    <t>PEDIDO SAIU COM A V2 NO MESMO CAMINHAO DA PISCINAS BALNEARIO NO DIA27.07, SÓ QUE A V2 SÓ ENTREGA CARGA FECHADA, A PRIMEIRA REMESSA NAO CHEGOU NO CLIENTE FINAL, - JAIR: SOLICITEI AJUDA DO GC MARIO P VER SE ESSA MAQUINA NAO ESTA COM A PISCINAS BALNEARIO - 8A00240411003093</t>
  </si>
  <si>
    <t>uvJMS2HMTi-huByHZths3g</t>
  </si>
  <si>
    <t>15499</t>
  </si>
  <si>
    <t>ROBERTO C MARCAL COMERCIO DE ARTIGOS HIDRAULICOS</t>
  </si>
  <si>
    <t>8A00240411003082</t>
  </si>
  <si>
    <t>WE9oKcxcTFeIbw-h6A4PpA</t>
  </si>
  <si>
    <t>15500-A</t>
  </si>
  <si>
    <t>8B00240325003025</t>
  </si>
  <si>
    <t>5VYTkfYBRD6bq5iT.V6Lag</t>
  </si>
  <si>
    <t>15500-B</t>
  </si>
  <si>
    <t>8B00240325003006</t>
  </si>
  <si>
    <t>07YurqU.RKKpKnstvty3TA</t>
  </si>
  <si>
    <t>15500-C</t>
  </si>
  <si>
    <t>8B00240325003010</t>
  </si>
  <si>
    <t>6mDiuscWT-ykzBv5t7tlqw</t>
  </si>
  <si>
    <t>15500-D</t>
  </si>
  <si>
    <t>8B00240325003008</t>
  </si>
  <si>
    <t>Yjvv0tCKTc-ojw75Qe.6eQ</t>
  </si>
  <si>
    <t>15500-E</t>
  </si>
  <si>
    <t>8B00240325003014</t>
  </si>
  <si>
    <t>w8A2wy1UT1C6OgqDRItoaQ</t>
  </si>
  <si>
    <t>15501-A</t>
  </si>
  <si>
    <t>8A00240411003086</t>
  </si>
  <si>
    <t>Z-mdCMcwSYurTeapr3kfgw</t>
  </si>
  <si>
    <t>15501-B</t>
  </si>
  <si>
    <t>8A00240411003078</t>
  </si>
  <si>
    <t>9nbqZxf1ReikfbLcUO7oaA</t>
  </si>
  <si>
    <t>15502-A</t>
  </si>
  <si>
    <t>8B00240322003157</t>
  </si>
  <si>
    <t>mekchxxtSc-5neflFDfrcA</t>
  </si>
  <si>
    <t>15502-B</t>
  </si>
  <si>
    <t>8B00240322003046</t>
  </si>
  <si>
    <t>pRynoq3ZRsC0ehZ2Kji2wg</t>
  </si>
  <si>
    <t>15503-A</t>
  </si>
  <si>
    <t>8B00231215003107</t>
  </si>
  <si>
    <t>A85NAg7QS7mCAoFl258BXA</t>
  </si>
  <si>
    <t>15503-B</t>
  </si>
  <si>
    <t>8B00231215003148</t>
  </si>
  <si>
    <t>wTsUn1sPQ1ybRwLR3.eFRA</t>
  </si>
  <si>
    <t>15503-C</t>
  </si>
  <si>
    <t>8B00231215003152</t>
  </si>
  <si>
    <t>scbQo-I0RGeP0OTthj1tlQ</t>
  </si>
  <si>
    <t>15503-D</t>
  </si>
  <si>
    <t>8B00231215003159</t>
  </si>
  <si>
    <t>u7HoKfdAQEC2bTIByG.QFQ</t>
  </si>
  <si>
    <t>15503-E</t>
  </si>
  <si>
    <t>8B00231215003117</t>
  </si>
  <si>
    <t>2M69w0hiSd2j0F7iQpxOGA</t>
  </si>
  <si>
    <t>15503-F</t>
  </si>
  <si>
    <t>8B00231215003106</t>
  </si>
  <si>
    <t>a.m3prBnoSbKEI7zYmAwq2w</t>
  </si>
  <si>
    <t>15504-A</t>
  </si>
  <si>
    <t>8E00241021130023</t>
  </si>
  <si>
    <t>RLL3I15 - RETIRA - EDUARDO GASPERI - 10933890958 - RENAUT / MASTER  / BRANCA  / 2022</t>
  </si>
  <si>
    <t>Mario pediu essa maqunia emprestada para a vera para dar para donatti 8B00240122003226 /// ESSA MAQUINA JA ERA DELES, ELES EMPRESTARAM PARA OUTRO CLIENTE A PEDIDO DO MÁRIO, PEDIR PARA JULIANA AVISAR QUE ELA ESTÁ DESPONÍVEL NOVAMENTE</t>
  </si>
  <si>
    <t>KYFWxHsNRZm98WAJ5dQW-w</t>
  </si>
  <si>
    <t>15504-B</t>
  </si>
  <si>
    <t>8B00240122003245</t>
  </si>
  <si>
    <t>McnoZDTqQka2gYEY.KgNKA</t>
  </si>
  <si>
    <t>15504-C</t>
  </si>
  <si>
    <t>8B00240122003227</t>
  </si>
  <si>
    <t>aMS6lgOqRCqPS46dDn2D7g</t>
  </si>
  <si>
    <t>15504-D</t>
  </si>
  <si>
    <t>8B00240122003280</t>
  </si>
  <si>
    <t>Oh.-B1-kQUaUA3apg8tSyw</t>
  </si>
  <si>
    <t>15504-E</t>
  </si>
  <si>
    <t>8B00240122003284</t>
  </si>
  <si>
    <t>09LDndl4TT6MqbfRwKj4sw</t>
  </si>
  <si>
    <t>15504-F</t>
  </si>
  <si>
    <t>8B00240122003273</t>
  </si>
  <si>
    <t>yU1KiDEUQZyIP-gHjCbnoA</t>
  </si>
  <si>
    <t>15505</t>
  </si>
  <si>
    <t>8B00240322003048</t>
  </si>
  <si>
    <t>PR103</t>
  </si>
  <si>
    <t>m3oD7LTkQRqMd-9oPqbSIg</t>
  </si>
  <si>
    <t>CELSO COLMAN VERA 03248975105</t>
  </si>
  <si>
    <t>8B00240322003021</t>
  </si>
  <si>
    <t>11056</t>
  </si>
  <si>
    <t>DUPLICADO NA PLANILHA, OP QUE ESTAVA AQUI ERA 8B00240322003021, CONSIDERAREI EXTRAVIADA POIS NÃO FOI ENCONTRADA</t>
  </si>
  <si>
    <t>YD2cl9KFQTSovbuVlqmw6A</t>
  </si>
  <si>
    <t>15509</t>
  </si>
  <si>
    <t>MAX PISCINAS</t>
  </si>
  <si>
    <t>13485</t>
  </si>
  <si>
    <t>11106</t>
  </si>
  <si>
    <t>5UTL2bz.RHiXSTyx8qJZXg</t>
  </si>
  <si>
    <t>15510-A</t>
  </si>
  <si>
    <t>VIDA E SOL</t>
  </si>
  <si>
    <t>8A00240411003003</t>
  </si>
  <si>
    <t>9-Uf1MzBTXqyIdS72n-BAQ</t>
  </si>
  <si>
    <t>15510-B</t>
  </si>
  <si>
    <t>8A00240411003044</t>
  </si>
  <si>
    <t>joR2QTPDSJWr4OIq.g8lkg</t>
  </si>
  <si>
    <t>15510-C</t>
  </si>
  <si>
    <t>8A00240411003032</t>
  </si>
  <si>
    <t>EnxkPd0iRtegagfblMup4Q</t>
  </si>
  <si>
    <t>15510-D</t>
  </si>
  <si>
    <t>8B00240325003012</t>
  </si>
  <si>
    <t>dSbtpNk5TG2gNJ0HHLSymw</t>
  </si>
  <si>
    <t>15512-A</t>
  </si>
  <si>
    <t>ESPACO COMERCIO DE PISCINAS LTDA</t>
  </si>
  <si>
    <t>8B00230927003164</t>
  </si>
  <si>
    <t>SgWHNhk6QHmO81NIW91ffw</t>
  </si>
  <si>
    <t>15512-B</t>
  </si>
  <si>
    <t>8B00230927003152</t>
  </si>
  <si>
    <t>7x6NspWxTQSYXroxC8gKTA</t>
  </si>
  <si>
    <t>15513</t>
  </si>
  <si>
    <t>MEGAWATTS Soluções Elétricas Ltda</t>
  </si>
  <si>
    <t>8B00231215003158</t>
  </si>
  <si>
    <t>a.YQ4Uz9oQQK1wcYRwgnigg</t>
  </si>
  <si>
    <t>15514</t>
  </si>
  <si>
    <t>AGUA QUENTE</t>
  </si>
  <si>
    <t>8A00240411003128</t>
  </si>
  <si>
    <t>rducas5RQBa6HiTLkWPj6Q</t>
  </si>
  <si>
    <t>15515</t>
  </si>
  <si>
    <t>GUSTAVO REBELATTO</t>
  </si>
  <si>
    <t>8B00230927003138</t>
  </si>
  <si>
    <t>HIDROESTE</t>
  </si>
  <si>
    <t>BJX3v9fCR.O1hrF23Lr1Gg</t>
  </si>
  <si>
    <t>15516</t>
  </si>
  <si>
    <t>HIDROESTE PISCINAS E AQUECIMENTO LTDA</t>
  </si>
  <si>
    <t>8B00230927003129</t>
  </si>
  <si>
    <t>CLIENTE::  HIDROESTE PISCINAS LTDA DE JOAÇABA - SC 
expresso são Miguel ¿¿¿ cotação 484  valor R$ 208.28
 Pedido nº 689 enviado pelo vendedor Carlos Augusto  criado em 28/06/2024 06:43:40 integrado por meio do Bendito no dia 28/06/2024 às 14:15:27</t>
  </si>
  <si>
    <t>VdOeiKFvQa-05lpYut5gjA</t>
  </si>
  <si>
    <t>15517-A</t>
  </si>
  <si>
    <t>8B00240325003015</t>
  </si>
  <si>
    <t>YPDC9LRGQfSbggsq0sjmzQ</t>
  </si>
  <si>
    <t>15517-B</t>
  </si>
  <si>
    <t>8B00240325003005</t>
  </si>
  <si>
    <t>WkB1gTVaS6SeEY7.KtSPSQ</t>
  </si>
  <si>
    <t>15518-A</t>
  </si>
  <si>
    <t>8B00240322003189</t>
  </si>
  <si>
    <t>mdlZ2PFiQnSYGg7R9K8V.g</t>
  </si>
  <si>
    <t>15518-B</t>
  </si>
  <si>
    <t>8B00240322003038</t>
  </si>
  <si>
    <t>L28UgkVdQU6eQQ7l0hYh-A</t>
  </si>
  <si>
    <t>15518-C</t>
  </si>
  <si>
    <t>8B00240322003166</t>
  </si>
  <si>
    <t>cEMxWwW7QXC.YL1VUq.sxw</t>
  </si>
  <si>
    <t>15518-D</t>
  </si>
  <si>
    <t>8B00240322003186</t>
  </si>
  <si>
    <t>6fMXutfTSAmC.LNfhGOt1w</t>
  </si>
  <si>
    <t>15518-E</t>
  </si>
  <si>
    <t>8B00240322003001</t>
  </si>
  <si>
    <t>XMRMuNnxS6meQ8FnICYkKA</t>
  </si>
  <si>
    <t>15518-F</t>
  </si>
  <si>
    <t>8B00240322003011</t>
  </si>
  <si>
    <t>u5vKgMe-ToeqSAZ1XLNANQ</t>
  </si>
  <si>
    <t>15520</t>
  </si>
  <si>
    <t>GLOBAL IMPERLESTE IMPERMEABILIZACOES EIRELI</t>
  </si>
  <si>
    <t>8B00231215003119</t>
  </si>
  <si>
    <t>GjBYqzG2TjC.Mnnq2LU6pA</t>
  </si>
  <si>
    <t>15521-A</t>
  </si>
  <si>
    <t>8A00240411003066</t>
  </si>
  <si>
    <t>5Cb30BzkT9Owxvj7mROkvw</t>
  </si>
  <si>
    <t>15521-B</t>
  </si>
  <si>
    <t>8A00240411003063</t>
  </si>
  <si>
    <t>a-vhZ.v33S7GUnoTkjvI18A</t>
  </si>
  <si>
    <t>15521-C</t>
  </si>
  <si>
    <t>8A00240411003057</t>
  </si>
  <si>
    <t>dXdWSB-KQLmYFpOo681JYg</t>
  </si>
  <si>
    <t>15521-D</t>
  </si>
  <si>
    <t>8B00230924003177</t>
  </si>
  <si>
    <t>aW5LpJB0QN-wDYLOBejQTA</t>
  </si>
  <si>
    <t>15521-E</t>
  </si>
  <si>
    <t>8B00240106003030</t>
  </si>
  <si>
    <t>mNKRQS2AQWm2YNgEoDtCYw</t>
  </si>
  <si>
    <t>15521-F</t>
  </si>
  <si>
    <t>8B00230924003157</t>
  </si>
  <si>
    <t>ueqI8IWGT5-3sySOX1BjLw</t>
  </si>
  <si>
    <t>15521-G</t>
  </si>
  <si>
    <t>8B00230924003101</t>
  </si>
  <si>
    <t>EVcCUG83QrK6C2XS8.vsgQ</t>
  </si>
  <si>
    <t>15521-H</t>
  </si>
  <si>
    <t>8B00230924003113</t>
  </si>
  <si>
    <t>8eancdxOSL2OzjrdXKPPnw</t>
  </si>
  <si>
    <t>15521-I</t>
  </si>
  <si>
    <t>8B00230924003183</t>
  </si>
  <si>
    <t>nrkoBJvrRlyuITDp36hC2Q</t>
  </si>
  <si>
    <t>15521-J</t>
  </si>
  <si>
    <t>8B00230924003133</t>
  </si>
  <si>
    <t>sSi9sKuYSOyc2LFgDGBh8A</t>
  </si>
  <si>
    <t>15521-K</t>
  </si>
  <si>
    <t>8B00230924003156</t>
  </si>
  <si>
    <t>8fNE6PgnTgSIqtnQN5qYyQ</t>
  </si>
  <si>
    <t>15521-L</t>
  </si>
  <si>
    <t>8B00240106003035</t>
  </si>
  <si>
    <t>vuLBv6sGR1anymElND7jNw</t>
  </si>
  <si>
    <t>15521-M</t>
  </si>
  <si>
    <t>8B00230927003122</t>
  </si>
  <si>
    <t>5tznoJOOQDWZf0K33Q1wsA</t>
  </si>
  <si>
    <t>15521-N</t>
  </si>
  <si>
    <t>8B00230927003134</t>
  </si>
  <si>
    <t>7k.vUq.8TVOXmAqcAF5tKw</t>
  </si>
  <si>
    <t>15523</t>
  </si>
  <si>
    <t>AQUECEBEM COMERCIO DE AQUECEDORES LTDA</t>
  </si>
  <si>
    <t>8A00240411003073</t>
  </si>
  <si>
    <t>crl3b13KSsGLu1oSYK8LZA</t>
  </si>
  <si>
    <t>15524</t>
  </si>
  <si>
    <t>8A00240411003061</t>
  </si>
  <si>
    <t>RLB3E75 - RETIRA - ANDERSON JOAO NARDI  - 05014465919 - I/NISSAN FRONTIER XE XA  / ESPECIAL CAMINHONETE  / CINZA  / 2021</t>
  </si>
  <si>
    <t>kP-7PcQYRZCeTStYOF4emg</t>
  </si>
  <si>
    <t>15527</t>
  </si>
  <si>
    <t>8A00240411003088</t>
  </si>
  <si>
    <t>ZEOKGw8kS16D7cJnUVdv-w</t>
  </si>
  <si>
    <t>15528</t>
  </si>
  <si>
    <t>8A00240411003079</t>
  </si>
  <si>
    <t>y5c1ig9wTw22BvFvKUJWxQ</t>
  </si>
  <si>
    <t>15529</t>
  </si>
  <si>
    <t>8B00230924003173</t>
  </si>
  <si>
    <t>q6p8G3fJTAuurAyDp.wAyA</t>
  </si>
  <si>
    <t>15530</t>
  </si>
  <si>
    <t>PAISAGISMO E PISCINAS CARAPIA DE GUARATIBA LTDA</t>
  </si>
  <si>
    <t>8A00240411003045</t>
  </si>
  <si>
    <t>LCI4ZrlWQFyOenYyUUQFMA</t>
  </si>
  <si>
    <t>15531</t>
  </si>
  <si>
    <t>PARAISO DAS PISCINAS</t>
  </si>
  <si>
    <t>8B00240122003229</t>
  </si>
  <si>
    <t>PR050</t>
  </si>
  <si>
    <t>7P6KrrxHRFeYEqQ8lLEvBw</t>
  </si>
  <si>
    <t>15532</t>
  </si>
  <si>
    <t>CLAUDIA RIOS DE MELLO SANTOS</t>
  </si>
  <si>
    <t>8B00240325003011</t>
  </si>
  <si>
    <t>TRANSP. ROD WILSON</t>
  </si>
  <si>
    <t>rXBLEsxFRMSavg26Qi1-sg</t>
  </si>
  <si>
    <t>15533</t>
  </si>
  <si>
    <t>Veneza Piscinas</t>
  </si>
  <si>
    <t>8B00240325003009</t>
  </si>
  <si>
    <t>P9AL7TMkQnarsAGflfngxg</t>
  </si>
  <si>
    <t>15535</t>
  </si>
  <si>
    <t>SIN AR CONDICIONADO LTDA</t>
  </si>
  <si>
    <t>8B00240325003004</t>
  </si>
  <si>
    <t>a-BHQC6hWQHKsqCe7XlZing</t>
  </si>
  <si>
    <t>15537-A</t>
  </si>
  <si>
    <t>8B00240106003127</t>
  </si>
  <si>
    <t>PR033</t>
  </si>
  <si>
    <t>9fQSt18MRxi-2POlu5xRaQ</t>
  </si>
  <si>
    <t>15537-B</t>
  </si>
  <si>
    <t>8B00240106003100</t>
  </si>
  <si>
    <t>PR035</t>
  </si>
  <si>
    <t>SXv4TBJaQt6XxI.lZwA..g</t>
  </si>
  <si>
    <t>15538-A</t>
  </si>
  <si>
    <t>8A00240411003046</t>
  </si>
  <si>
    <t>SEM NF</t>
  </si>
  <si>
    <t xml:space="preserve">PREÇO PROMOCIONAL AUTORIZADO PELO MÁRIO  - ABATER VALOR DO CRÉDITO DA STEINFIBER  PEDIDO CLIENTE: ESTÚDIO WOK  NÃO EMITIR COBRANÇA E NEM NF . (CREDITO REFERENTE AS BOMBAS DE CALOR DO INMETRO )  </t>
  </si>
  <si>
    <t>QMrUE8tcRiWfqAwJEKwyPw</t>
  </si>
  <si>
    <t>15538-B</t>
  </si>
  <si>
    <t>8A00240411003054</t>
  </si>
  <si>
    <t>cdiQq0YPSw-Or7Zpb9-dAA</t>
  </si>
  <si>
    <t>15539-A</t>
  </si>
  <si>
    <t>13483</t>
  </si>
  <si>
    <t>ZP-IlpbcRvytaSftGsMHiw</t>
  </si>
  <si>
    <t>15539-B</t>
  </si>
  <si>
    <t>13484</t>
  </si>
  <si>
    <t>gX3tktDmRcq8GKqZGb65fA</t>
  </si>
  <si>
    <t>15540</t>
  </si>
  <si>
    <t>BSB COMERCIO DE PISCINAS E INSTALACAO DE EQUIPAMENTOS LTDA</t>
  </si>
  <si>
    <t>8B00230924003136</t>
  </si>
  <si>
    <t>30hEkRCMRAqVW1PSQ-4GGQ</t>
  </si>
  <si>
    <t>15541</t>
  </si>
  <si>
    <t>8A00240411003072</t>
  </si>
  <si>
    <t>k-ww5rHuR5CAxCdjtL8.1Q</t>
  </si>
  <si>
    <t>15542</t>
  </si>
  <si>
    <t>SPG ENERGIA LTDA</t>
  </si>
  <si>
    <t>8A00240411003146</t>
  </si>
  <si>
    <t>TAS EXPRESS</t>
  </si>
  <si>
    <t>hQAVfm0iRDqKMb7FatCA7w</t>
  </si>
  <si>
    <t>15543</t>
  </si>
  <si>
    <t>STILLO D'AGUA COMERCIO DE BANHEIRAS E ACESSORIOS LTDA</t>
  </si>
  <si>
    <t>13123</t>
  </si>
  <si>
    <t>AMZ7vdMJSDaBbWZeKkTFDg</t>
  </si>
  <si>
    <t>15545-A</t>
  </si>
  <si>
    <t>8A00240411003039</t>
  </si>
  <si>
    <t>ZMbhMpZ2T1K4tgchcYp4LA</t>
  </si>
  <si>
    <t>15545-B</t>
  </si>
  <si>
    <t>8A00240411003036</t>
  </si>
  <si>
    <t>Vy3q6XCrQO6j.HZ40oh41g</t>
  </si>
  <si>
    <t>15545-C</t>
  </si>
  <si>
    <t>8A00240411003033</t>
  </si>
  <si>
    <t>bmdmYKMbQHuqZBEuyrFGXQ</t>
  </si>
  <si>
    <t>15545-D</t>
  </si>
  <si>
    <t>8A00240411003059</t>
  </si>
  <si>
    <t>HozRqKJxT3Cp-2C4bZbhKQ</t>
  </si>
  <si>
    <t>15545-E</t>
  </si>
  <si>
    <t>8A00240411003049</t>
  </si>
  <si>
    <t>HSm30IcgTl6KI4hXafR-Ug</t>
  </si>
  <si>
    <t>15545-F</t>
  </si>
  <si>
    <t>8A00240411003060</t>
  </si>
  <si>
    <t>2KkLdfF-SBOQ-k2c0ii2bg</t>
  </si>
  <si>
    <t>15545-G</t>
  </si>
  <si>
    <t>8A00240411003109</t>
  </si>
  <si>
    <t>pSVl1lFfR8Gqac2UFg4N3w</t>
  </si>
  <si>
    <t>15545-H</t>
  </si>
  <si>
    <t>8A00240411003084</t>
  </si>
  <si>
    <t>RUAGy2dXSSOeH67jo30bZA</t>
  </si>
  <si>
    <t>15545-I</t>
  </si>
  <si>
    <t>8A00240411003095</t>
  </si>
  <si>
    <t>iyqXDYHbQaOYUtx2o2tq.w</t>
  </si>
  <si>
    <t>15545-J</t>
  </si>
  <si>
    <t>8A00240411003002</t>
  </si>
  <si>
    <t>tQACMVHBR5ai.vuARgdZvA</t>
  </si>
  <si>
    <t>15546</t>
  </si>
  <si>
    <t>8B00230924003176</t>
  </si>
  <si>
    <t>hyzP21IfQlmcAzuzbQTj4w</t>
  </si>
  <si>
    <t>15547</t>
  </si>
  <si>
    <t>8A00240411003029</t>
  </si>
  <si>
    <t>nqYxBjWsSk2wycfu5k8bLQ</t>
  </si>
  <si>
    <t>15549</t>
  </si>
  <si>
    <t>MARILIA BUSS BRUNE</t>
  </si>
  <si>
    <t>8B00240122003266</t>
  </si>
  <si>
    <t>PT47XfzfTk2r5vXT6m.crQ</t>
  </si>
  <si>
    <t>15550</t>
  </si>
  <si>
    <t>TENCIANO PISCINAS</t>
  </si>
  <si>
    <t>8A00240411003051</t>
  </si>
  <si>
    <t>eRCDNJjGQfmWc1ruzdfiLw</t>
  </si>
  <si>
    <t>15551</t>
  </si>
  <si>
    <t>HIGH TECH SOLAR BANHEIRAS E PISCINAS LTDA</t>
  </si>
  <si>
    <t>6PyOxhCmSRKH5E7y9uWgNQ</t>
  </si>
  <si>
    <t>15552</t>
  </si>
  <si>
    <t>E PROCOPIO PISCINA</t>
  </si>
  <si>
    <t>8A00240411003026</t>
  </si>
  <si>
    <t>S.oYVKitRgG.cwCEtsWF8Q</t>
  </si>
  <si>
    <t>15554</t>
  </si>
  <si>
    <t>8B00240122003228</t>
  </si>
  <si>
    <t>dpS-KizkQLGblQg060DPQQ</t>
  </si>
  <si>
    <t>15556</t>
  </si>
  <si>
    <t>VINICIUS DE SOUZA DELFINO - PISCINAS</t>
  </si>
  <si>
    <t>8B00240325003022</t>
  </si>
  <si>
    <t>evdeU6BuRfi2EOVuo35KNw</t>
  </si>
  <si>
    <t>15557</t>
  </si>
  <si>
    <t>ARCO-IRIS COM. DE PISCINAS LTDA</t>
  </si>
  <si>
    <t>8B00240322003118</t>
  </si>
  <si>
    <t>YSyDYBktQsqY16yiJV5pzA</t>
  </si>
  <si>
    <t>15558</t>
  </si>
  <si>
    <t>8B00240122003237</t>
  </si>
  <si>
    <t>PR042</t>
  </si>
  <si>
    <t>Xyg1tD9-RQOAeOt7do0BOA</t>
  </si>
  <si>
    <t>15559</t>
  </si>
  <si>
    <t>MACHADO &amp; MORAES EMPREENDIMENTOS IMOBILIARIOS LTDA</t>
  </si>
  <si>
    <t>13290</t>
  </si>
  <si>
    <t>FRANSICO</t>
  </si>
  <si>
    <t>EQUIPAMENTO A SER ENVIADO PARA TROCA DE EQUIPAMENTO QUE PEGOU FOGO. AUTORIZADO PELO SR. ABEL SEM CUSTO</t>
  </si>
  <si>
    <t>5NhM2Mt5RFmC021-8D3bzQ</t>
  </si>
  <si>
    <t>15560</t>
  </si>
  <si>
    <t>13487</t>
  </si>
  <si>
    <t>FH40B60T</t>
  </si>
  <si>
    <t>89E9tXPfS-uNUUu8xx7aSA</t>
  </si>
  <si>
    <t>15561</t>
  </si>
  <si>
    <t>13297</t>
  </si>
  <si>
    <t>aMoiX6ReQ16mJeD00oRocQ</t>
  </si>
  <si>
    <t>15562</t>
  </si>
  <si>
    <t>NERCI MOREIRA 60785039953</t>
  </si>
  <si>
    <t>8B00231215003149</t>
  </si>
  <si>
    <t>a.ic5-.thSYyWOciXOfQ-8w</t>
  </si>
  <si>
    <t>15564-A</t>
  </si>
  <si>
    <t>8B00240122003461</t>
  </si>
  <si>
    <t>SEM TRANSPORTE</t>
  </si>
  <si>
    <t>PR062</t>
  </si>
  <si>
    <t>9ajnxzaXSyCYp-1ODGx77Q</t>
  </si>
  <si>
    <t>15564-B</t>
  </si>
  <si>
    <t>8B00240122003408</t>
  </si>
  <si>
    <t>PR063</t>
  </si>
  <si>
    <t>PMAFNaoUTm6wnWivAvlc2Q</t>
  </si>
  <si>
    <t>15564-C</t>
  </si>
  <si>
    <t>8B00240122003436</t>
  </si>
  <si>
    <t>PR067</t>
  </si>
  <si>
    <t>bCSuIwbiRb6IrX.nQOUAPw</t>
  </si>
  <si>
    <t>15566-A</t>
  </si>
  <si>
    <t>COSTAO DO SANTINHO TURISMO E LAZER S.A.</t>
  </si>
  <si>
    <t>13546</t>
  </si>
  <si>
    <t>11156-</t>
  </si>
  <si>
    <t>EQUIPAMENTO DEVERÁ SER VERDE JARDIM</t>
  </si>
  <si>
    <t>68-gEzr1TNK.wU8hsYeG.Q</t>
  </si>
  <si>
    <t>15566-B</t>
  </si>
  <si>
    <t>13547</t>
  </si>
  <si>
    <t>K7QIzJyrRu6kmteB.Mcyog</t>
  </si>
  <si>
    <t>15566-C</t>
  </si>
  <si>
    <t>13548</t>
  </si>
  <si>
    <t>4PmpBj.gRIi6pGvjm.3now</t>
  </si>
  <si>
    <t>15566-D</t>
  </si>
  <si>
    <t>13549</t>
  </si>
  <si>
    <t>J1l6mDZhSa6PterTvr7fWw</t>
  </si>
  <si>
    <t>15566-E</t>
  </si>
  <si>
    <t>13550</t>
  </si>
  <si>
    <t>yxbQOiBpTnaSi1psaQQLbw</t>
  </si>
  <si>
    <t>15566-F</t>
  </si>
  <si>
    <t>13551</t>
  </si>
  <si>
    <t>yXxQW-u1TN6FrqClkZVbxw</t>
  </si>
  <si>
    <t>15567</t>
  </si>
  <si>
    <t>STEINFIBER BANHEIRAS, PISCINAS E PRODUTOS DE FIBRA LTDA</t>
  </si>
  <si>
    <t>eS56ohH9SjubYrvJhrIvaQ</t>
  </si>
  <si>
    <t>15568</t>
  </si>
  <si>
    <t>13408</t>
  </si>
  <si>
    <t>OP 13408?</t>
  </si>
  <si>
    <t>hE-yPpIVRAOhtW42C6zwxw</t>
  </si>
  <si>
    <t>15569</t>
  </si>
  <si>
    <t>8B00240122003263</t>
  </si>
  <si>
    <t>RltiPwHYQZiiyUGjYoatMA</t>
  </si>
  <si>
    <t>15570-A</t>
  </si>
  <si>
    <t>PHD PISCINAS LTDA - ME</t>
  </si>
  <si>
    <t>13489</t>
  </si>
  <si>
    <t xml:space="preserve">RETIRA NO DIA 04 DE AGOSTO 2024 PREÇO ACERTADO COM O CLIENTE POR MÁQUINA R$ 24.117,60   - PAGAMENTO 50% ATÉ O DIA 12/07 E SALDO AO RETIRAR 
MARIO- ACERTADO O DESCONTO. </t>
  </si>
  <si>
    <t>uc7YRAj9StmX3Psd3c9ivQ</t>
  </si>
  <si>
    <t>15570-B</t>
  </si>
  <si>
    <t>13490</t>
  </si>
  <si>
    <t>32KY6YgfQSWZgiYMZTGiZA</t>
  </si>
  <si>
    <t>15571</t>
  </si>
  <si>
    <t>8B00240122003298</t>
  </si>
  <si>
    <t>PR082 - ESSA MÁQUINA FOI RETIRADA DO CESAR HASS (CLOROMIX) A FROMTHERM HAVIA ENVIADO O MODELO ERRADO, O MODELO CORERTO ERA FTI35, POREM CESAR HASS QUIS TROCAR E JA PEGAR UMA FTI45, E ENTÃO FOI FEITA UMA NF DE DEVOLUÇÃO E ABERTO NOVO PEDIDO.</t>
  </si>
  <si>
    <t>IYRbRzpFSWCrwKfPL1vyYw</t>
  </si>
  <si>
    <t>15572</t>
  </si>
  <si>
    <t>8B00231215003105</t>
  </si>
  <si>
    <t>PEDIDO TOTVS 13457</t>
  </si>
  <si>
    <t>Ugit1VI0SLmDj7yj62AK7Q</t>
  </si>
  <si>
    <t>15575</t>
  </si>
  <si>
    <t>13491</t>
  </si>
  <si>
    <t>ILW7213 - TW - CRISTIANO DE LIMA LIRA  - 11136089438 - AGRALE/6000 D / CARGA CAMINHAO  / BRANCA  / 2004</t>
  </si>
  <si>
    <t>TROCA. MÁQUINA DEVOLVIDA PELO ASSISTENTE CRISTIANO, OS 2633</t>
  </si>
  <si>
    <t>xP0a048XSB29wgmMtgvAaA</t>
  </si>
  <si>
    <t>15576</t>
  </si>
  <si>
    <t>TOP GAVEA EQUIPAMENTOS E SERVICOS DE LAZER LTDA</t>
  </si>
  <si>
    <t>8B00231215003111</t>
  </si>
  <si>
    <t>wpmt2awMRmCxM4zmMHvQDQ</t>
  </si>
  <si>
    <t>15577-A</t>
  </si>
  <si>
    <t>8A00240411003067</t>
  </si>
  <si>
    <t>drIEK-wNS7GH9Hay0DKjMQ</t>
  </si>
  <si>
    <t>15577-B</t>
  </si>
  <si>
    <t>8A00240411003058</t>
  </si>
  <si>
    <t>nhG2b6vjTLGjPKPRRMVPUw</t>
  </si>
  <si>
    <t>15578</t>
  </si>
  <si>
    <t>ROGERIO PISCINAS ESPORTES E LAZER LTDA</t>
  </si>
  <si>
    <t>13492</t>
  </si>
  <si>
    <t>LB5J35XRSbm-dlFzpRK-8w</t>
  </si>
  <si>
    <t>15579</t>
  </si>
  <si>
    <t>8B00240122003275</t>
  </si>
  <si>
    <t>2-AgsdS3Shinm5X3uTAHhg</t>
  </si>
  <si>
    <t>15580</t>
  </si>
  <si>
    <t>PISCINAS GLOBO</t>
  </si>
  <si>
    <t>8B00230924003153</t>
  </si>
  <si>
    <t>TRANSWELL'S</t>
  </si>
  <si>
    <t>MylF2REmSey0l-3pDtxXLQ</t>
  </si>
  <si>
    <t>15581</t>
  </si>
  <si>
    <t>LWR COMERCIO E SERVICOS LTDA</t>
  </si>
  <si>
    <t>8A00240411003062</t>
  </si>
  <si>
    <t>gyEFJUkQTt6SdQYtLnjchw</t>
  </si>
  <si>
    <t>15582</t>
  </si>
  <si>
    <t>8A00240411003093</t>
  </si>
  <si>
    <t>xaMrNTa8RAesEk1JPKXfZA</t>
  </si>
  <si>
    <t>15583</t>
  </si>
  <si>
    <t>13497</t>
  </si>
  <si>
    <t>RAA3F11 - EXPRESSO SÃO MIGUEL - JAIR DA SILVA - 03848190958 - I KIA / UK2500 HD SC / BRANCA  / 2022</t>
  </si>
  <si>
    <t>MANDAR JUNTO TAMPÃO DO PDX E UM QUADRO DE SOBREPOR CRU</t>
  </si>
  <si>
    <t>nDMa2gnNQ-i6.5QcKRtWeA</t>
  </si>
  <si>
    <t>15584-A</t>
  </si>
  <si>
    <t>ERICLEPTO DE OLIVEIRA ROJANSKI 08179791904</t>
  </si>
  <si>
    <t>8B00240322003278</t>
  </si>
  <si>
    <t>mo5ne2ecQT2EQMF1GIMDow</t>
  </si>
  <si>
    <t>15584-B</t>
  </si>
  <si>
    <t>8A00240411003111</t>
  </si>
  <si>
    <t>ive6ASCuTB2iElFRhPheXQ</t>
  </si>
  <si>
    <t>15584-C</t>
  </si>
  <si>
    <t>8B00231215003193</t>
  </si>
  <si>
    <t>ANTIGA OP 8A00240411003069</t>
  </si>
  <si>
    <t>qUBeZHjASISH55octC.zKA</t>
  </si>
  <si>
    <t>15584-D</t>
  </si>
  <si>
    <t>8B00240322003080</t>
  </si>
  <si>
    <t>TCoAo96WSWmTE5RoYfdkyQ</t>
  </si>
  <si>
    <t>15585</t>
  </si>
  <si>
    <t>8A00240411003019</t>
  </si>
  <si>
    <t>11134</t>
  </si>
  <si>
    <t>DNG5E50 - RETIRA - MARIO DICK JUNIOR - 00479637008 - VW / VIRTUS CL AD / AZUL / 2019</t>
  </si>
  <si>
    <t>MARIO- SEM COBRANÇA ,BASE DE TROCA DE UMA FTI 35 COM PROBLEMA ERRO 18 .LEVAREI NO MEU CARRO .</t>
  </si>
  <si>
    <t>fI42k301TFen6HDZ1EkLOQ</t>
  </si>
  <si>
    <t>15586</t>
  </si>
  <si>
    <t>L&amp;S ACABAMENTOS - JOSIANE YARA GENSKE</t>
  </si>
  <si>
    <t>8A00240411003028</t>
  </si>
  <si>
    <t>MARIO- SEM COBRANÇA BASE DE TROCA -MAQUINA COM DEFEITO - PASSOU PELO SAC . - SEM COMISSÃO - PEDIDO 15330</t>
  </si>
  <si>
    <t>GD8sWXPJR2ObMrtuwHFK.w</t>
  </si>
  <si>
    <t>15587</t>
  </si>
  <si>
    <t>ERDMANN EMPREENDIMENTOS E INCORPORACOES LTDA</t>
  </si>
  <si>
    <t>8F00240812200225</t>
  </si>
  <si>
    <t>ORIGINALMENTE ERA A OP 8A00240411003056, MAS O RENATO DEU ESSA MAQUINA PARA OUTRO CLIENTE DO PEDIDO 15596 PQ ELE ESTAVA PRECISANDO E O ERDMAN ESTAVA EM OBRA, FIQUEI DE DAR OUTRA 75 PARA O ERDMANN</t>
  </si>
  <si>
    <t>56t-4rD4Rp2eUp9EgCGtAg</t>
  </si>
  <si>
    <t>15588</t>
  </si>
  <si>
    <t>R&amp;J MATERIAIS TERMICOS LTDA</t>
  </si>
  <si>
    <t>8A00240411003074</t>
  </si>
  <si>
    <t>U3dtw3rdT9ih2RJgNaZVgQ</t>
  </si>
  <si>
    <t>15589-A</t>
  </si>
  <si>
    <t>8B00230927003149</t>
  </si>
  <si>
    <t>E5YiNW-GR3e0AGlqqCJyIg</t>
  </si>
  <si>
    <t>15589-B</t>
  </si>
  <si>
    <t>8B00230927003162</t>
  </si>
  <si>
    <t>lcFOVPgfQa-nsrYpFCarDg</t>
  </si>
  <si>
    <t>15589-C</t>
  </si>
  <si>
    <t>8B00230927003160</t>
  </si>
  <si>
    <t>DCIAqfv3TQGv0cy7DvbDmA</t>
  </si>
  <si>
    <t>15590</t>
  </si>
  <si>
    <t>JORGE MAFFEZZOLLI</t>
  </si>
  <si>
    <t>8B00240322003078</t>
  </si>
  <si>
    <t>8jvj-q1bQwCLla-T-bc0fA</t>
  </si>
  <si>
    <t>15591</t>
  </si>
  <si>
    <t>COSTA LIMA COMERCIO DE PISCINAS LTDA</t>
  </si>
  <si>
    <t>13495</t>
  </si>
  <si>
    <t>HyiqI3ODS.G8bng9N1JAIA</t>
  </si>
  <si>
    <t>15593-A</t>
  </si>
  <si>
    <t>RICARDO MANDOU EMAIL DE CONFIRMAÇÃO PARA DESPACHAR PEDIDOS; OBS²: CLIENTE RECUSOU A MAQUINA, AQUALAR DISSE QUE NAO ERA PARA ENTREGA (ERRO DO RICARDO) OBS³: EQUIPAMENTO FICOU 27 DIAS NA FITLOG E SERA COBRADO O ARMAZENAMENTO DE 1000 REAIS, DESCONTAR DA AQUALAR EM FUTUROS DESCONTOS OBS³: EQUIPAMENTOS CHEGARAM NA FABRICA NO DIA 12/08, PEDIDOS VOLTARAM A SER ENTREGA FUTURA E MAQUINAS VOLTARAM PRO ESTOQUE</t>
  </si>
  <si>
    <t>5dLO9hUiShSQYsP.A3AnCQ</t>
  </si>
  <si>
    <t>15593-B</t>
  </si>
  <si>
    <t>W44yPuGQTU6p0fmYvBUf9g</t>
  </si>
  <si>
    <t>15594-A</t>
  </si>
  <si>
    <t>8B00231215003108</t>
  </si>
  <si>
    <t>OC 232.
SEMPRE AVISAR COM 24 H DE ANTECEDÊNCIA DAS ENTREGAS. (21) 99512-4022 (JORGE).</t>
  </si>
  <si>
    <t>zEUpGgEvQSCWFPFoq3pEmQ</t>
  </si>
  <si>
    <t>15594-B</t>
  </si>
  <si>
    <t>8B00240322003066</t>
  </si>
  <si>
    <t>ZhOauu9rSZy-UyqUBeNYEw</t>
  </si>
  <si>
    <t>15595-A</t>
  </si>
  <si>
    <t>GLOBAL PISCINAS</t>
  </si>
  <si>
    <t>8B00230924003107</t>
  </si>
  <si>
    <t>fromthermexpedicao@gmail.com</t>
  </si>
  <si>
    <t>iqmRx.myTYWaxObQkAJ48A</t>
  </si>
  <si>
    <t>15595-B</t>
  </si>
  <si>
    <t>8B00230924003112</t>
  </si>
  <si>
    <t>Pg7-gVUZRkWzE3CABmFi1A</t>
  </si>
  <si>
    <t>15595-C</t>
  </si>
  <si>
    <t>8B00230924003179</t>
  </si>
  <si>
    <t>LDckpIXIQsK7pQkimXzS.w</t>
  </si>
  <si>
    <t>15597</t>
  </si>
  <si>
    <t>ACQUACLEAN PRODUTOS DE PISCINA LTDA</t>
  </si>
  <si>
    <t>13498</t>
  </si>
  <si>
    <t>pFt7STDLRNGC53Cmf5GRtg</t>
  </si>
  <si>
    <t>15598-A</t>
  </si>
  <si>
    <t>8B00240322003073</t>
  </si>
  <si>
    <t>mfcgwoEzSvmowiyX09broA</t>
  </si>
  <si>
    <t>15598-B</t>
  </si>
  <si>
    <t>8B00240322003060</t>
  </si>
  <si>
    <t>jADw38OSSRWoYUrRyqtwzw</t>
  </si>
  <si>
    <t>15601</t>
  </si>
  <si>
    <t>MARLISE</t>
  </si>
  <si>
    <t>8B00230927003157</t>
  </si>
  <si>
    <t>X4TFz1fxTQWEjtWoERjGzw</t>
  </si>
  <si>
    <t>15602</t>
  </si>
  <si>
    <t>8E00241005130010</t>
  </si>
  <si>
    <t>ENTREGA FUTURA :QUANDO CHEGAR A MAQUINA LOTE 10
VALOR NF (CLIENTE FINAL) - R$ 18.000,00 , DIF TAB x NF - R$ 10.088,82
VALOR TABELA (FROMTHERM) - R$ 7.911,18 
DIF IMPOSTO 17% - R$ 1.715,10 DIFAL - R$ 900,00 TOTAL R$ 10.526,28 - SOBRA 7.473,72
FRETE INCLUSO, DESCONTAR DA COMISSÃO HIDROTEC</t>
  </si>
  <si>
    <t>s50UpRPCRGGmXg2KGDx6XA</t>
  </si>
  <si>
    <t>15605</t>
  </si>
  <si>
    <t>8B00240122003253</t>
  </si>
  <si>
    <t>BEL7E21 - RETIRA - HILTON JOSE CAMPOS - 78535689915 - FIAT / TORO / BRANCA / 2020</t>
  </si>
  <si>
    <t>ORSO PEDIU URGENCIA, CLIENTE ESTAVA VINDO BUSCAR NO DIA 11/07 15:30</t>
  </si>
  <si>
    <t>X00BpqAMScKp1BNRRyH8zQ</t>
  </si>
  <si>
    <t>15606-A</t>
  </si>
  <si>
    <t>CASA NOBRE STORE LTDA</t>
  </si>
  <si>
    <t>8A00240411003092</t>
  </si>
  <si>
    <t>5j0QOEHYSqKVmVsxd5R3tg</t>
  </si>
  <si>
    <t>15606-B</t>
  </si>
  <si>
    <t>8B00240322003068</t>
  </si>
  <si>
    <t>O PAGAMENTO SERA A VISTA DESCONTANDO O VALOR DE R$16.954,00 DO CRÉDITO QUE O CLIENTE TEM E O RESTANTE DE R$3.508,95 SERA PAGO NO PIX</t>
  </si>
  <si>
    <t>7P-vT6d4S-KcE1PqDbiw4w</t>
  </si>
  <si>
    <t>15607</t>
  </si>
  <si>
    <t>8B00230927003148</t>
  </si>
  <si>
    <t>NJlL5dojSN-VUSLJe6YUXA</t>
  </si>
  <si>
    <t>15608</t>
  </si>
  <si>
    <t>8A00240411003025</t>
  </si>
  <si>
    <t>7ovrrQexSFmh2lCCi3ylug</t>
  </si>
  <si>
    <t>15609</t>
  </si>
  <si>
    <t>8A00240411003064</t>
  </si>
  <si>
    <t>MdL7-614R76UeMIHiTwR1Q</t>
  </si>
  <si>
    <t>15610</t>
  </si>
  <si>
    <t>8A00240411003038</t>
  </si>
  <si>
    <t>25Dq.gH-QfSK3MW0a8AUWQ</t>
  </si>
  <si>
    <t>15611</t>
  </si>
  <si>
    <t>LEONARDO BICALHO CARDOSO</t>
  </si>
  <si>
    <t>8A00240411003009</t>
  </si>
  <si>
    <t>11157</t>
  </si>
  <si>
    <t>3hdJYC1lRCiXnzquSk726g</t>
  </si>
  <si>
    <t>15612-A</t>
  </si>
  <si>
    <t>13499</t>
  </si>
  <si>
    <t>K31XIkoRTQqnN1-M2U2ZMg</t>
  </si>
  <si>
    <t>15612-B</t>
  </si>
  <si>
    <t>13500</t>
  </si>
  <si>
    <t>Rj9HCyucT9qoGllU6pBRZQ</t>
  </si>
  <si>
    <t>15612-C</t>
  </si>
  <si>
    <t>13501</t>
  </si>
  <si>
    <t>a-qI4KXceSx-rcv9yzyuAZw</t>
  </si>
  <si>
    <t>15612-D</t>
  </si>
  <si>
    <t>13502</t>
  </si>
  <si>
    <t>LYT1U12CRMm4upIozv3bJA</t>
  </si>
  <si>
    <t>15612-E</t>
  </si>
  <si>
    <t>13503</t>
  </si>
  <si>
    <t>irjfEejJTJ-AtPGPhCFAlQ</t>
  </si>
  <si>
    <t>15613</t>
  </si>
  <si>
    <t>8A00240411003116</t>
  </si>
  <si>
    <t>QBSctDXXTf2VfJy5CNh6AQ</t>
  </si>
  <si>
    <t>15614</t>
  </si>
  <si>
    <t>Gil Martinelli Milbratz</t>
  </si>
  <si>
    <t>8A00240411003130</t>
  </si>
  <si>
    <t>11165</t>
  </si>
  <si>
    <t>8kGPiLUBRiCFZ7eHjUMIIw</t>
  </si>
  <si>
    <t>15615</t>
  </si>
  <si>
    <t>13473</t>
  </si>
  <si>
    <t>7KKJ0.cGQbSWsR-oy.H3Ag</t>
  </si>
  <si>
    <t>15616</t>
  </si>
  <si>
    <t>13276</t>
  </si>
  <si>
    <t>za.oMuyLT3Sg3GR6rRosSQ</t>
  </si>
  <si>
    <t>15617-A</t>
  </si>
  <si>
    <t>EQUIPAGUA EQUIPAMENTOS PARA AGUA LTDA</t>
  </si>
  <si>
    <t>OP ANTIGA 11973</t>
  </si>
  <si>
    <t>HVEDWbt3SnypL941VNLyew</t>
  </si>
  <si>
    <t>15617-B</t>
  </si>
  <si>
    <t>13504</t>
  </si>
  <si>
    <t>uEFhBgiuSTqDuDJSu0A-HA</t>
  </si>
  <si>
    <t>15618</t>
  </si>
  <si>
    <t>HIDROFASE</t>
  </si>
  <si>
    <t>8B00230927003171</t>
  </si>
  <si>
    <t>OP QUE FOI ENVIADA ERRONEAMENTE PELA EXPRESSO SAO MIGUEL PARA O CLIENTE GUSTAVO REBELLATO - 8B00230927003175</t>
  </si>
  <si>
    <t>pTXK3m7yTHiZy2Gnk4RQow</t>
  </si>
  <si>
    <t>15619</t>
  </si>
  <si>
    <t>RAANAS PISCINAS</t>
  </si>
  <si>
    <t>8B00240322003058</t>
  </si>
  <si>
    <t>4cKTpEs2RfeqH5m1FeMdiA</t>
  </si>
  <si>
    <t>15620</t>
  </si>
  <si>
    <t>8B00240322003199</t>
  </si>
  <si>
    <t>EMITIR NOTA DE BRINDE</t>
  </si>
  <si>
    <t>LISzAOLXScmfa8pn-z0G.A</t>
  </si>
  <si>
    <t>15621</t>
  </si>
  <si>
    <t>8B00240122003232</t>
  </si>
  <si>
    <t>PR057</t>
  </si>
  <si>
    <t>petQIvs4RDG0uUzDxWH6gQ</t>
  </si>
  <si>
    <t>15622</t>
  </si>
  <si>
    <t>DE TUDO E MAIS UM POUCO PECAS E ACESSORIOS LTD</t>
  </si>
  <si>
    <t>8A00240411003126</t>
  </si>
  <si>
    <t>fouvMp28RtylssXVOvKv6g</t>
  </si>
  <si>
    <t>15623</t>
  </si>
  <si>
    <t>8A00240411003132</t>
  </si>
  <si>
    <t>o9nWv0L2QUWQ4K8TYcwtig</t>
  </si>
  <si>
    <t>15624-A</t>
  </si>
  <si>
    <t>8B00240322003070</t>
  </si>
  <si>
    <t>bwnUYE61Qt2ZjADJ3suntg</t>
  </si>
  <si>
    <t>15624-B</t>
  </si>
  <si>
    <t>8B00231215003207</t>
  </si>
  <si>
    <t>DN98t63vQ2yyhdAcr3H9aQ</t>
  </si>
  <si>
    <t>15624-C</t>
  </si>
  <si>
    <t>8A00240411003011</t>
  </si>
  <si>
    <t>OXGTTuGWTrKP8FEvYNgsjA</t>
  </si>
  <si>
    <t>15625</t>
  </si>
  <si>
    <t>PRIME PISCINAS</t>
  </si>
  <si>
    <t>8B00230924003174</t>
  </si>
  <si>
    <t xml:space="preserve"> OSASCO TRANSPORTES RODOVIARIOS</t>
  </si>
  <si>
    <t>YkVF3IJhSgqKr8YS4WRHxg</t>
  </si>
  <si>
    <t>15626</t>
  </si>
  <si>
    <t>8B00240106003027</t>
  </si>
  <si>
    <t>11184</t>
  </si>
  <si>
    <t>PR115</t>
  </si>
  <si>
    <t>up6GvDNGQ2i2eh0uwioFBg</t>
  </si>
  <si>
    <t>15627</t>
  </si>
  <si>
    <t>8B00230927003170</t>
  </si>
  <si>
    <t>VIvsio78RcCeyyTFTV5KSQ</t>
  </si>
  <si>
    <t>15628</t>
  </si>
  <si>
    <t>13505</t>
  </si>
  <si>
    <t>NF DE BONIFICAÇÃO</t>
  </si>
  <si>
    <t>-</t>
  </si>
  <si>
    <t>YJsffROZSiW6F0vuhsDT-w</t>
  </si>
  <si>
    <t>15629</t>
  </si>
  <si>
    <t>13318</t>
  </si>
  <si>
    <t>g1.uJqOaT-Glq4.xeyugCA</t>
  </si>
  <si>
    <t>15630</t>
  </si>
  <si>
    <t>13507</t>
  </si>
  <si>
    <t>Z-iyzDjcTA6qHYOsUpsh2g</t>
  </si>
  <si>
    <t>15631-A</t>
  </si>
  <si>
    <t>POOL HOME-COMERCIO DE PRODUTOS PARA PISCINA LTDA</t>
  </si>
  <si>
    <t>8B00240322003062</t>
  </si>
  <si>
    <t>VALOR PROMOCIONAL DE JULHO - R$ 8.467,22 CADA
MARIO-BOLETO 15 DIAS</t>
  </si>
  <si>
    <t>iN0bc0wET26Bxm1oxMwVJA</t>
  </si>
  <si>
    <t>15631-B</t>
  </si>
  <si>
    <t>8B00240322003061</t>
  </si>
  <si>
    <t>yVth5cepTZi1NuzrBpVnFQ</t>
  </si>
  <si>
    <t>15632</t>
  </si>
  <si>
    <t>FAITH POOL</t>
  </si>
  <si>
    <t>8B00231215003146</t>
  </si>
  <si>
    <t>PR007</t>
  </si>
  <si>
    <t>HGLFADk2Q7ugEAMZilU30Q</t>
  </si>
  <si>
    <t>15633-A</t>
  </si>
  <si>
    <t>13536</t>
  </si>
  <si>
    <t>PRIORIDADE, ERRO DA FROMTHERM, PEDIDO ESTÁ APROVADO DESDE DIA 24/07</t>
  </si>
  <si>
    <t>KrMA26ckRJSFeCGZX7TrPQ</t>
  </si>
  <si>
    <t>15633-B</t>
  </si>
  <si>
    <t>13537</t>
  </si>
  <si>
    <t>a.OdjqZ3yTD6jVUBdKKSG4A</t>
  </si>
  <si>
    <t>15634-A</t>
  </si>
  <si>
    <t>CASA DO ELETRICISTA</t>
  </si>
  <si>
    <t>8A00240411003110</t>
  </si>
  <si>
    <t>NF 11205 - (ORÇAMENTO) MAQUINÁ SAIRÁ DO ESTOQUE DE CURITIBA-PR PR166 E PR168- =Mario , preço a vista 
 Pedido nº 811 enviado pelo vendedor Renato criado em 17/07/2024 13:31:43 integrado por meio do Bendito no dia 17/07/2024 às 13:49:22</t>
  </si>
  <si>
    <t>MD58zCOcRx6iyDO4e69bUQ</t>
  </si>
  <si>
    <t>15634-B</t>
  </si>
  <si>
    <t>8A00240411003103</t>
  </si>
  <si>
    <t>(ORÇAMENTO) MAQUINÁ SAIRÁ DO ESTOQUE DE CURITIBA-PR PR166 E PR168- =Mario , preço a vista 
 Pedido nº 811 enviado pelo vendedor Renato criado em 17/07/2024 13:31:43 integrado por meio do Bendito no dia 17/07/2024 às 13:49:22</t>
  </si>
  <si>
    <t>A62WZ5zzS4OC3amEvEUHiQ</t>
  </si>
  <si>
    <t>15635</t>
  </si>
  <si>
    <t>VITORIA PISCINAS E ECO JARDIM PRODUTOS, EQUIPAMENTOS E SERVI</t>
  </si>
  <si>
    <t>8A00240411003071</t>
  </si>
  <si>
    <t>HGgSxSYLQnKvPUZTIbfUpA</t>
  </si>
  <si>
    <t>15637</t>
  </si>
  <si>
    <t>8B00240122003290</t>
  </si>
  <si>
    <t xml:space="preserve">
PEDIDO Nº 816 ENVIADO PELO VENDEDOR MARCELO CRIADO EM 17/07/2024 18:23:24 INTEGRADO POR MEIO DO BENDITO NO DIA 18/07/2024 ÀS 09:30:01</t>
  </si>
  <si>
    <t>LO4-rupYTN6iAkIJP1z19Q</t>
  </si>
  <si>
    <t>15638-A</t>
  </si>
  <si>
    <t>8A00240411003117</t>
  </si>
  <si>
    <t>AES6444 - RETIRA - EVERSON DE ANDRADES - 72134461934 - MITSUBISH / TRITON / PRATA / 2008</t>
  </si>
  <si>
    <t>Mario-Autorizado 
Utilizado crédito da devolução NF 567, que devolveu a NF 9364 - DIFERENÇA DE VALOR O CLIENTE VAI FAZER A TRANSFERENCIA.
 Pedido nº 815 enviado pelo vendedor Renato criado em 17/07/2024 16:23:38 integrado por meio do Bendito no dia 18/07/2024 às 09:31:56</t>
  </si>
  <si>
    <t>pSakv6tARrKV62uZG7ubwA</t>
  </si>
  <si>
    <t>15638-B</t>
  </si>
  <si>
    <t>8A00240411003118</t>
  </si>
  <si>
    <t>M40cS.fLTyiY73D3Xbe9vg</t>
  </si>
  <si>
    <t>15639</t>
  </si>
  <si>
    <t>Ricardo Piscinas</t>
  </si>
  <si>
    <t>8B00230924003067</t>
  </si>
  <si>
    <t>ENDEREÇO DE ENTREGA: R. SENADOR NEREU RAMOS, 2211 - BONSUCESSO - GUARAPUAVA/PR - 85035-300</t>
  </si>
  <si>
    <t>RJQVNyDiSqmvo0gTgukFzA</t>
  </si>
  <si>
    <t>15640</t>
  </si>
  <si>
    <t>12050</t>
  </si>
  <si>
    <t>DESCONTO DE 7% AUTORIZADO PELO GV MÁRIO
ENTREGA URGENTE
PEDIDO N° 1015 (CONSTAR EM NF)
 PEDIDO Nº 813 ENVIADO PELO VENDEDOR FÁBIO CRIADO EM 17/07/2024 15:09:17 INTEGRADO POR MEIO DO BENDITO NO DIA 18/07/2024 ÀS 09:34:38</t>
  </si>
  <si>
    <t>gB9Dgk33RI61SOC0wW0lrw</t>
  </si>
  <si>
    <t>15641</t>
  </si>
  <si>
    <t>8B00240122003299</t>
  </si>
  <si>
    <t>CLIENTE ROBERTO AQUINO JUNIOR (CONSTAR EM NF)-MARIO -PAGAMENTO SERÁ EFETUADO EM COMPOSIÇÃO COM O 15624
 PEDIDO Nº 818 ENVIADO PELO VENDEDOR FÁBIO CRIADO EM 18/07/2024 09:45:03 INTEGRADO POR MEIO DO BENDITO NO DIA 18/07/2024 ÀS 10:26:51</t>
  </si>
  <si>
    <t>C0zdRVhsSsS88xcOMAmYeQ</t>
  </si>
  <si>
    <t>15642</t>
  </si>
  <si>
    <t>MARCO ANTONIO MARQUES</t>
  </si>
  <si>
    <t>8B00230924003160</t>
  </si>
  <si>
    <t>COMPROVANTE DE PAGAMENTO ANEXO
 PEDIDO Nº 781 ENVIADO PELO VENDEDOR MARCELO CRIADO EM 10/07/2024 20:06:47 INTEGRADO POR MEIO DO BENDITO NO DIA 18/07/2024 ÀS 10:46:20</t>
  </si>
  <si>
    <t>rt.nbzvwQy27b6IwqfnOpQ</t>
  </si>
  <si>
    <t>15644</t>
  </si>
  <si>
    <t>8B00240106003058</t>
  </si>
  <si>
    <t>MAQUINA PR002  SAIRÁ DO ESTOQUE DE CURITIBA - PAGO VIA PIX
 Pedido nº 821 enviado pelo vendedor Renato criado em 18/07/2024 17:23:41 integrado por meio do Bendito no dia 18/07/2024 às 18:01:23</t>
  </si>
  <si>
    <t>yy8ph4NnS1SS7yJRMf5zXQ</t>
  </si>
  <si>
    <t>15645</t>
  </si>
  <si>
    <t>13516</t>
  </si>
  <si>
    <t>FRETE COM REDESPACHO PELA EXPRESSO RAQUEL - CNPJ 03.823.190/0001-35 - RUA SOLDADO AMERICO RODRIGUES 131, PQ NOVO MUNDO - SÃO
PAULO
 PEDIDO Nº 822 ENVIADO PELO VENDEDOR LUIZ CRIADO EM 18/07/2024 17:42:44 INTEGRADO POR MEIO DO BENDITO NO DIA 18/07/2024 ÀS 18:03:34</t>
  </si>
  <si>
    <t>0kX0PujCRDCZWXXlOyfD-w</t>
  </si>
  <si>
    <t>15647</t>
  </si>
  <si>
    <t>8A00240411003097</t>
  </si>
  <si>
    <t>KNZ1B62 - RETIRA - ORLANDO LUIZ GARCIA SCHIMIDT - 08178002981 - GM/ MONTANA  / CARGA CAMIONETE  / PRETA  / 2008</t>
  </si>
  <si>
    <t>PREÇO PROMOCIONAL A VISTA DE R$ 14.255,39 Mario -autorizado 
RETIRA HOJE A TARDE
 Pedido nº 825 enviado pelo vendedor Carlos Augusto  criado em 19/07/2024 09:20:52 integrado por meio do Bendito no dia 19/07/2024 às 10:00:17</t>
  </si>
  <si>
    <t>X8IXjTfeSKeA5IXlKoMLkg</t>
  </si>
  <si>
    <t>15648</t>
  </si>
  <si>
    <t>13510</t>
  </si>
  <si>
    <t>Quadro deslocado sobrepor. Cliente Bianca Xavier. +8% desc /pgto 30 60 90 120 Mario autorizado
Composição de descontos nos pre pedidos: 751.752.823 E 824(integrados juntos)
 Pedido nº 823 enviado pelo vendedor Ricardo Henrique criado em 19/07/2024 08:38:48 integrado por meio do Bendito no dia 19/07/2024 às
10:17:58</t>
  </si>
  <si>
    <t>w9UH7yJzTV6CV9SQ5ZSLew</t>
  </si>
  <si>
    <t>15649</t>
  </si>
  <si>
    <t>13511</t>
  </si>
  <si>
    <t>Quadro deslocado sobrepor. Cliente Monique. +8% desc,pgto 30 60 90 120 . 
Mario - Autorizado composição de fechamento nos pré pedidos 751.752.823 e 824(integrados juntos)
 Pedido nº 824 enviado pelo vendedor Ricardo Henrique  criado em 19/07/2024 08:40:43 integrado por meio do Bendito no dia 19/07/2024 às 10:20:39</t>
  </si>
  <si>
    <t>69FUGjjISFqPZFOo27tngQ</t>
  </si>
  <si>
    <t>15650-A</t>
  </si>
  <si>
    <t>13512</t>
  </si>
  <si>
    <t>quadro deslocado sobrepor. Oc 231 código 4341 - CE378. ENTRGAR NA AQUALAR
Mario-Autorizado composição de fechamento os pre pedido 751.752.823 e 824 (Integrados juntos)</t>
  </si>
  <si>
    <t>vbYHV-6fRq6dGSecnYjecA</t>
  </si>
  <si>
    <t>15650-B</t>
  </si>
  <si>
    <t>13513</t>
  </si>
  <si>
    <t>KS60gOx0TsWsGpaadOQnnQ</t>
  </si>
  <si>
    <t>15652</t>
  </si>
  <si>
    <t>MESTRIA PROJETOS, INSTALADORA HIDRAULICA E ELETRICA LTD</t>
  </si>
  <si>
    <t>13517</t>
  </si>
  <si>
    <t>PEDIDO CLIENTE: 8341 = PRAZO DE ENTREGA 3 DIAS UTEIS APARTIR DE 22/07
Mario-Autorizado
 Pedido nº 827 enviado pelo vendedor Carlos Augusto criado em 19/07/2024 15:02:47 integrado por meio do Bendito no dia 19/07/2024 às 15:09:34</t>
  </si>
  <si>
    <t>VYbRIkqLTOSk5y3K9jk.0Q</t>
  </si>
  <si>
    <t>15653</t>
  </si>
  <si>
    <t>8B00240322003209</t>
  </si>
  <si>
    <t xml:space="preserve">O REDESPACHO SERA FOB - TRANSP. RODONAVES - CNPJ: 44.914.992/0013-71 - END: Parque Anhanguera, Av. Alexandre Colares, 500 - Vila Jaguara, São Paulo - SP, 05106-000											
</t>
  </si>
  <si>
    <t>WsGjDuGRQA-kN1L-jPDjsQ</t>
  </si>
  <si>
    <t>15655</t>
  </si>
  <si>
    <t>8A00240411003023</t>
  </si>
  <si>
    <t>Pedido nº 832 enviado pelo vendedor Marcelo criado em 23/07/2024 10:47:45 integrado por meio do Bendito no dia 23/07/2024 às 10:52:03</t>
  </si>
  <si>
    <t>DrhkoDCHSEmGqE8Rl7hAWA</t>
  </si>
  <si>
    <t>15657</t>
  </si>
  <si>
    <t>8B00240322003276</t>
  </si>
  <si>
    <t>Mario- sistema não consegue alterar R$14.571,83 conforme pix .
 Pedido nº 834 enviado pelo vendedor Thiago  criado em 23/07/2024 13:22:15 integrado por meio do Bendito no dia 25/07/2024 às 08:54:46</t>
  </si>
  <si>
    <t>u4UYuUBzRRyxv15GAgCJ4A</t>
  </si>
  <si>
    <t>15658</t>
  </si>
  <si>
    <t>CASA NOBRE STORE</t>
  </si>
  <si>
    <t>8B00240122003287</t>
  </si>
  <si>
    <t>Mario favor alterar o valor para R$ 7585,00 por favor - ESTOQUE CURITIBA - PR 105
 Pedido nº 835 enviado pelo vendedor Renato criado em 24/07/2024 09:34:55 integrado por meio do Bendito no dia 25/07/2024 às 08:56:52</t>
  </si>
  <si>
    <t>ESQNwbYyQXGHgwbmE0hWSg</t>
  </si>
  <si>
    <t>15659</t>
  </si>
  <si>
    <t>8A00240411003017</t>
  </si>
  <si>
    <t>Pedido nº 836 enviado pelo vendedor Ricardo Henrique  criado em 24/07/2024 09:53:40 integrado por meio do Bendito no dia 25/07/2024 às 09:01:18</t>
  </si>
  <si>
    <t>bCUoRq2wSLm48YqOlGs7.g</t>
  </si>
  <si>
    <t>15660</t>
  </si>
  <si>
    <t>8A00240514003039</t>
  </si>
  <si>
    <t>REDESPACHO RODONAVES.. SÃO PAULO SP FONE (11) 2039-1139 AV. CARMELA DUTRA - JD. PRESIDENTE DUTRA CEP 07170-150
 Pedido nº 837 enviado pelo vendedor Juscelino criado em 24/07/2024 10:55:55 integrado por meio do Bendito no dia 25/07/2024 às 09:02:34</t>
  </si>
  <si>
    <t>Hehtt.0bQcKJzVsuawf2qg</t>
  </si>
  <si>
    <t>15661</t>
  </si>
  <si>
    <t>8A00240411003004</t>
  </si>
  <si>
    <t>Pedido nº 838 enviado pelo vendedor Renato criado em 24/07/2024 11:55:03 integrado por meio do Bendito no dia 25/07/2024 às 09:06:27</t>
  </si>
  <si>
    <t>KaAajlZCS4K6jM8UzM5HrA</t>
  </si>
  <si>
    <t>15662</t>
  </si>
  <si>
    <t>DOM PISCINAS</t>
  </si>
  <si>
    <t>8B00240322003200</t>
  </si>
  <si>
    <t>Pedido nº 839 enviado pelo vendedor Fábio criado em 24/07/2024 21:14:46 integrado por meio do Bendito no dia 25/07/2024 às 09:07:08</t>
  </si>
  <si>
    <t>uAF63tHJRnqd0t5muVhBLA</t>
  </si>
  <si>
    <t>15662-B</t>
  </si>
  <si>
    <t>8A00240411003094</t>
  </si>
  <si>
    <t>Mario autorizou o valor de R$12.797,00.Pois não tem fti 75.  Maquiná sairá do estoque de Curitiba PR163 e PR158
 Pedido nº 1097 enviado pelo vendedor Renato criado em 06/09/2024 13:21:23 integrado por meio do Bendito no dia 11/09/2024 às 09:36:23</t>
  </si>
  <si>
    <t>I.5JbMp9Qp-iMd7OTUcf-A</t>
  </si>
  <si>
    <t>15664</t>
  </si>
  <si>
    <t>Hibritec</t>
  </si>
  <si>
    <t>13518</t>
  </si>
  <si>
    <t>Pedido nº 833 enviado pelo vendedor Ricardo Henrique  criado em 23/07/2024 12:25:12 integrado por meio do Bendito no dia 25/07/2024 às 09:48:47</t>
  </si>
  <si>
    <t>hL.TirJGTca2Rh3EHAoE6Q</t>
  </si>
  <si>
    <t>15665</t>
  </si>
  <si>
    <t xml:space="preserve">AQUASOL BANHEIRAS E PISCINAS LTDA
</t>
  </si>
  <si>
    <t>13529</t>
  </si>
  <si>
    <t>FH160F60</t>
  </si>
  <si>
    <t>MIT2061 - RETIRA - ALEX DE OLIVEIRA DOS SANTOS  - 03793238938 - VW/ SAVEIRO 1.6 CS / CARGA CAMINHONETE  / BRANCA  / 2011</t>
  </si>
  <si>
    <t>Sem degelo, conforme cliente enviou mensagem via whats . Prazo 36 hrs para entrega . Cliente retira na fabrica
 Pedido nº 848 enviado pelo vendedor Carlos Augusto criado em 26/07/2024 08:23:52 integrado por meio do Bendito no dia 26/07/2024 às 08:24:07</t>
  </si>
  <si>
    <t>tKjQ2fDgR6KohvEAmKgkyw</t>
  </si>
  <si>
    <t>15666-A</t>
  </si>
  <si>
    <t>13496</t>
  </si>
  <si>
    <t>QUADRO DE COMANDO EXTERNO DE SOBREPOR - VALOR CORRETO DAS MÁQUINAS R$ 24.117,60 TOTAL DO PEDIDO R$ 48.235,20
RETIRA DIA 31/07/2024 FINAL DA TARDE
 Pedido nº 847 enviado pelo vendedor Carlos Augusto criado em 26/07/2024 07:27:09 integrado por meio do Bendito no dia 26/07/2024 às 08:36:06</t>
  </si>
  <si>
    <t>1Nb5sMzDTeuk0.uTIq4Cuw</t>
  </si>
  <si>
    <t>15666-B</t>
  </si>
  <si>
    <t>13520</t>
  </si>
  <si>
    <t>JQo91sYWT1u0H0i51hSqrA</t>
  </si>
  <si>
    <t>15667</t>
  </si>
  <si>
    <t>NORDESTE CONSTRUÇÃO E MANUTENÇÃO INDUSTRIAL LTDA</t>
  </si>
  <si>
    <t>8B00240322003067</t>
  </si>
  <si>
    <t>O REDESPACHO SERA FOB - TRANSP. BOM JESUS - CNPJ: 14.898.432/0002-57 - END: R ALEXANIA, 493, CEP: 07.232-010											
VENDA INDICADA AGUAS E VAPORES - RN / REDESPACHO PELA TRANSPORTADORA BOM JESUS
 Pedido nº 846 enviado pelo vendedor Sadi criado em 25/07/2024 21:34:08 integrado por meio do Bendito no dia 26/07/2024 às 08:40:10</t>
  </si>
  <si>
    <t>cwkBaeOOTte1m.iVM69I6w</t>
  </si>
  <si>
    <t>15668-A</t>
  </si>
  <si>
    <t>13521</t>
  </si>
  <si>
    <t>Painel destacado de sobrepor 
Frete com redespacho pela SETE LAGOAS  - Endereço em SP -  Rua Engenheiro Albert Leimer, 538, B. Pq São Geraldo, Guarulhos, SP
 Pedido nº 845 enviado pelo vendedor Luiz  criado em 25/07/2024 17:18:04 integrado por meio do Bendito no dia 26/07/2024 às 08:46:12</t>
  </si>
  <si>
    <t>u00YOkF7TveepIwWgX46TQ</t>
  </si>
  <si>
    <t>15668-B</t>
  </si>
  <si>
    <t>13522</t>
  </si>
  <si>
    <t>Cr5nJy8TQ-S4nDPwiVIXDw</t>
  </si>
  <si>
    <t>15669-A</t>
  </si>
  <si>
    <t>13523</t>
  </si>
  <si>
    <t>Frete com REDESPACHO FOB BH MINAS - Endereço SP - R. Sd. Benedito Eliseu dos Santos, 144 - Parque Novo Mundo, São Paulo - SP, 02177-020
FATURAR PEDIDO DIA 26/08 - AUTORIZAÇÃO DE FORNECIMENTO - AF 073649 , constar na observação da nota fiscal
 Pedido nº 843 enviado pelo vendedor Luiz  criado em 25/07/2024 14:36:10 integrado por meio do Bendito no dia 26/07/2024 às 08:52:27</t>
  </si>
  <si>
    <t>9sRoPx-IQ.KZWkddoa39RA</t>
  </si>
  <si>
    <t>15669-B</t>
  </si>
  <si>
    <t>13526</t>
  </si>
  <si>
    <t>ccKnBECnR-KEfxOOFZLdEg</t>
  </si>
  <si>
    <t>15670</t>
  </si>
  <si>
    <t>8B00231215003142</t>
  </si>
  <si>
    <t>CLIENTE IRA RETIRAR NO ESTOQUE DE CURITIBA  - MAQUINA FTI-55 - PR010
 Pedido nº 844 enviado pelo vendedor Renato criado em 25/07/2024 16:38:04 integrado por meio do Bendito no dia 26/07/2024 às 08:53:17</t>
  </si>
  <si>
    <t>o6bZA2WBQseN34ln77wpJA</t>
  </si>
  <si>
    <t>15671</t>
  </si>
  <si>
    <t>8A00240411003122</t>
  </si>
  <si>
    <t>MAQUINA SAIRA DO ESTOQUE DE CURITIBA PR178
 Pedido nº 842 enviado pelo vendedor Renato criado em 25/07/2024 13:34:37 integrado por meio do Bendito no dia 26/07/2024 às 08:54:54</t>
  </si>
  <si>
    <t>zCt7tpBeRyKNmISah8ie7A</t>
  </si>
  <si>
    <t>15672</t>
  </si>
  <si>
    <t>AQUALY PISCINAS</t>
  </si>
  <si>
    <t>8B00231215003145</t>
  </si>
  <si>
    <t>SERÁ RETIRADA DO ESTOQUE DE CURITIBA PR 017
 Pedido nº 849 enviado pelo vendedor Renato criado em 26/07/2024 11:44:56 integrado por meio do Bendito no dia 26/07/2024 às 12:05:12</t>
  </si>
  <si>
    <t>Xxn7oi-jRGiqLaauJ4l.Bg</t>
  </si>
  <si>
    <t>15673-A</t>
  </si>
  <si>
    <t>AQUALIFE COMERCIO E MANUTENCAO DE PISCINAS LTDA.</t>
  </si>
  <si>
    <t>11433</t>
  </si>
  <si>
    <t>Frete com redespacho pela Expresso Raquel  - endereço em SP - RUA SOLDADO AMERICO RODRIGUES 131, PQ NOVO MUNDO
 Pedido nº 850 enviado pelo vendedor Luiz  criado em 26/07/2024 14:09:20 integrado por meio do Bendito no dia 26/07/2024 às 14:20:29</t>
  </si>
  <si>
    <t>XoPrl-62ThmvIQnFenzGxQ</t>
  </si>
  <si>
    <t>15673-B</t>
  </si>
  <si>
    <t>13527</t>
  </si>
  <si>
    <t>pmtttWM7Qxeiko0XVq6pYA</t>
  </si>
  <si>
    <t>15673-C</t>
  </si>
  <si>
    <t>13524</t>
  </si>
  <si>
    <t>dGDKHpCJRAWFMp0BXgAiBw</t>
  </si>
  <si>
    <t>15673-D</t>
  </si>
  <si>
    <t>13525</t>
  </si>
  <si>
    <t>mW55zEYuTOSV14ytfLwQuQ</t>
  </si>
  <si>
    <t>15674</t>
  </si>
  <si>
    <t>LUIZ FERNANDO SOTO MORAEYA</t>
  </si>
  <si>
    <t>13532</t>
  </si>
  <si>
    <t>maquina ainda não liberada - falta documentação cartão de crédito
Mario- Venda cartão aguardar confirmação do cliente final .Quadro sobrepor deslocado . financeiro mandar link do cartão 
Valor R$23.442,80
 Pedido nº 828 enviado pelo vendedor Ricardo Henrique  criado em 22/07/2024 15:55:57 integrado por meio do Bendito no dia 29/07/2024 às 08:12:29</t>
  </si>
  <si>
    <t>I7g3OT0eTL61j2E.cQFpew</t>
  </si>
  <si>
    <t>15675</t>
  </si>
  <si>
    <t>8B00240322003222</t>
  </si>
  <si>
    <t>OC VD8611
 Pedido nº 856 enviado pelo vendedor Carlos Augusto criado em 27/07/2024 08:40:30 integrado por meio do Bendito no dia 29/07/2024 às 08:14:11</t>
  </si>
  <si>
    <t>wETcoZBtSwWafXD522HTUA</t>
  </si>
  <si>
    <t>15676</t>
  </si>
  <si>
    <t>8B00230924003140</t>
  </si>
  <si>
    <t>REDESPACHO FOB CNPJ 02.592.421/0001-84 - RG OSASCO TRANSPORTES RODOVIARIOS LTDA .
Avenida Leonil Cre Bortolosso, 945, Galpao 14, Quitauna, Osasco SP, CEP: 06186-260 - I.E. 492.350.967.113
 Pedido nº 855 enviado pelo vendedor Ranoika  criado em 26/07/2024 21:35:00 integrado por meio do Bendito no dia 29/07/2024 às 08:15:08</t>
  </si>
  <si>
    <t>HKGc1gA2QzC7kTSaBD7edg</t>
  </si>
  <si>
    <t>15677-A</t>
  </si>
  <si>
    <t>8B00240322003065</t>
  </si>
  <si>
    <t>Pgto 30 60 90 120 
Mario-Autorizado prazo 
 Pedido nº 854 enviado pelo vendedor Ricardo Henrique  criado em 26/07/2024 18:57:50 integrado por meio do Bendito no dia 29/07/2024 às 08:16:16</t>
  </si>
  <si>
    <t>CtQjkJxaRpacUWn7nrdfaQ</t>
  </si>
  <si>
    <t>15677-B</t>
  </si>
  <si>
    <t>8B00240122003296</t>
  </si>
  <si>
    <t>A6W.mkWvTXmJpiIq6rr29A</t>
  </si>
  <si>
    <t>15678</t>
  </si>
  <si>
    <t>KISOL BELTRAO COMERCIO DE PISCINAS LTDA</t>
  </si>
  <si>
    <t>8B00240322003235</t>
  </si>
  <si>
    <t>estoque  CURITIBA - PR165
PEDIDO É A VISTA POREM É COM CHEQUE - COLOQUEI PARA 14 DIAS PARA DAR TEMPO DE CHEGAR OS CHEQUES E SEREM DEPOSITADOS - JULIANA
 Pedido nº 853 enviado pelo vendedor Renato criado em 26/07/2024 17:38:16 integrado por meio do Bendito no dia 29/07/2024 às 08:17:02</t>
  </si>
  <si>
    <t>CO0ZAsDyRSW6LmS0HX2I9Q</t>
  </si>
  <si>
    <t>15679</t>
  </si>
  <si>
    <t>13528</t>
  </si>
  <si>
    <t>Quadro deslocado sobrepor 
 Pedido nº 852 enviado pelo vendedor Ricardo Henrique  criado em 26/07/2024 17:02:20 integrado por meio do Bendito no dia 29/07/2024 às 08:19:19</t>
  </si>
  <si>
    <t>Lb6byOv3QVeW0ASf6ZwUkA</t>
  </si>
  <si>
    <t>15680-A</t>
  </si>
  <si>
    <t>JAPEMY INDUSTRIA COMERCIO E SERVICOS LTDA</t>
  </si>
  <si>
    <t>8A00240514003041</t>
  </si>
  <si>
    <t>+5% ref pgto antecipado. Entrega: Estrada Cristalino Ferreira Braga, 491 - Vila Rica - Itaboraí / RJ. Mario- Desconto para ganhar a concorrência KOMECO 
CEP: 24.801-130 ligar para o Paulino 24h antes da entrega. 21 9 9979 6570  VALO R$28.232,10 VIA PIX 
 Pedido nº 857 enviado pelo vendedor Ricardo Henrique  criado em 29/07/2024 09:32:59 integrado por meio do Bendito no dia 29/07/2024 às 15:43:21</t>
  </si>
  <si>
    <t>O6vt18vfSV6xXqBYJLAZRQ</t>
  </si>
  <si>
    <t>15680-B</t>
  </si>
  <si>
    <t>8A00240514003049</t>
  </si>
  <si>
    <t>OSnH58zjQYeG2ckTcryC9w</t>
  </si>
  <si>
    <t>15680-C</t>
  </si>
  <si>
    <t>8A00240514003046</t>
  </si>
  <si>
    <t>eS5Jzhl3QzCurSQR6AasUA</t>
  </si>
  <si>
    <t>15681</t>
  </si>
  <si>
    <t>POOL HOME</t>
  </si>
  <si>
    <t>8B00240322003071</t>
  </si>
  <si>
    <t>Valor Promocional de Julho - R$ 8.467,22 
Mario- Desconto baseado na venda 03 FTI 55 , sendo 02 a vista e este pedido com prazo de 30 dias 
 Pedido nº 858 enviado pelo vendedor Marcelo criado em 29/07/2024 09:55:34 integrado por meio do Bendito no dia 29/07/2024 às 15:45:00</t>
  </si>
  <si>
    <t>bzP89B9fSeG2unBJfG4pfg</t>
  </si>
  <si>
    <t>15682</t>
  </si>
  <si>
    <t>SOL E PISCINA LTDA</t>
  </si>
  <si>
    <t>8A00240411003145</t>
  </si>
  <si>
    <t>FRETE com redespacho pela Expresso Raquel - ENDEREÇO SÃO PAULO : RUA SOLDADO AMERICO RODRIGUES 131, GALPÃO MODULO A -
PQ NOVO MUNDO - CNPJ SP : 03.823.190/0002-16.
 Pedido nº 860 enviado pelo vendedor Luiz criado em 29/07/2024 11:32:43 integrado por meio do Bendito no dia 29/07/2024 às 15:49:02</t>
  </si>
  <si>
    <t>1TwoiQEwTiCpc9eHlCYIMQ</t>
  </si>
  <si>
    <t>15683</t>
  </si>
  <si>
    <t>8A00240411003090</t>
  </si>
  <si>
    <t>MAQUINA JÁ ENTREGUE PARA O VINICIUS DELFINO - PR160
 Pedido nº 861 enviado pelo vendedor Renato criado em 29/07/2024 11:42:47 integrado por meio do Bendito no dia 29/07/2024 às 15:50:49</t>
  </si>
  <si>
    <t>8JWhct.tS5GPCvewZq2jig</t>
  </si>
  <si>
    <t>15684</t>
  </si>
  <si>
    <t>POUSADA FAZENDO DO ENGENHO LTDA</t>
  </si>
  <si>
    <t>13361</t>
  </si>
  <si>
    <t>FRETE : com redespacho pela Expresso Raquel  -  CNPJ SP : 03.823.190/0002-16. - ENDEREÇO SÃO PAULO : RUA SOLDADO AMERICO RODRIGUES 131, GALPÃO MODULO A - PQ NOVO MUNDO
 Pedido nº 863 enviado pelo vendedor Luiz  criado em 29/07/2024 13:17:10 integrado por meio do Bendito no dia 29/07/2024 às 15:53:08</t>
  </si>
  <si>
    <t>GsdPA1GcS0O6j6YFZ4TSHg</t>
  </si>
  <si>
    <t>15686</t>
  </si>
  <si>
    <t>8B00240106003022</t>
  </si>
  <si>
    <t>CLIENTE IRA RETIRAR DO ESTOQUE DE CURITIBA VIA FRETE PRÓPRIO AS MAQUINAS PR114 E PR116
 Pedido nº 865 enviado pelo vendedor Renato criado em 29/07/2024 15:35:34 integrado por meio do Bendito no dia 29/07/2024 às 15:54:13</t>
  </si>
  <si>
    <t>z8bzMeZ4QWKFkwe0fgGhGw</t>
  </si>
  <si>
    <t>15686-A</t>
  </si>
  <si>
    <t>8B00240106003049</t>
  </si>
  <si>
    <t>ejtJzjyWRC-anx-dFKNwog</t>
  </si>
  <si>
    <t>15688-A</t>
  </si>
  <si>
    <t>RANCHO SOBERBO POUSADA LTDA</t>
  </si>
  <si>
    <t>8A00240411003021</t>
  </si>
  <si>
    <t>Valor da FTi 35 - R$ 7.932,50 - autorizado pelo Mario Dick - VALOR TOTAL DO PEDIDO R$ 15.865,00 . Mario- Desconto concedido, pelo outro orçamento em aberto 
Frete : com redespacho pela Expresso Raquel  -  CNPJ SP : 03.823.190/0002-16. - ENDEREÇO SÃO PAULO : RUA SOLDADO AMERICO RODRIGUES 131, GALPÃO MODULO A - PQ NOVO MUNDO
 Pedido nº 862 enviado pelo vendedor Luiz  criado em 29/07/2024 11:50:10 integrado por meio do Bendito no dia 29/07/2024 às 16:10:30</t>
  </si>
  <si>
    <t>oNMohMEpQTOoQIMDiQqFWg</t>
  </si>
  <si>
    <t>15688-B</t>
  </si>
  <si>
    <t>8A00240411003005</t>
  </si>
  <si>
    <t>mGoQbdbDTZe6ZEQvJbNiAw</t>
  </si>
  <si>
    <t>15689</t>
  </si>
  <si>
    <t>8A00240411003098</t>
  </si>
  <si>
    <t>Pedido nº 859 enviado pelo vendedor Thiago  criado em 29/07/2024 11:26:47 integrado por meio do Bendito no dia 29/07/2024 às 16:15:19</t>
  </si>
  <si>
    <t>h-IHzWmyT4SpxNy.UDTAxg</t>
  </si>
  <si>
    <t>15690</t>
  </si>
  <si>
    <t>8A00240514003044</t>
  </si>
  <si>
    <t>Mario- Cliente ciente , prazo após dia 15/08 . 
 Pedido nº 867 enviado pelo vendedor Renato criado em 30/07/2024 11:11:18 integrado por meio do Bendito no dia 30/07/2024 às 11:55:35</t>
  </si>
  <si>
    <t>0SIciNmPRXG.VtjquEJt1Q</t>
  </si>
  <si>
    <t>15692</t>
  </si>
  <si>
    <t>HIDRA MAR</t>
  </si>
  <si>
    <t>8A00240411003125</t>
  </si>
  <si>
    <t>Pedido nº 869 enviado pelo vendedor Ricardo Henrique  criado em 30/07/2024 12:15:17 integrado por meio do Bendito no dia 30/07/2024 às 18:12:23</t>
  </si>
  <si>
    <t>93t.Puz6RAyQMOYpr8ZJMQ</t>
  </si>
  <si>
    <t>15693</t>
  </si>
  <si>
    <t>ADS - COMERCIO DE BOMBAS E ACESSORIOS LTDA.</t>
  </si>
  <si>
    <t>8B00240106003052</t>
  </si>
  <si>
    <t>estoque Curitiba - pr 004
 Pedido nº 870 enviado pelo vendedor Renato criado em 30/07/2024 13:28:32 integrado por meio do Bendito no dia 30/07/2024 às 18:12:44</t>
  </si>
  <si>
    <t>eKpwDjVNRkK10ZgKnE9xhA</t>
  </si>
  <si>
    <t>15694-A</t>
  </si>
  <si>
    <t>Felipe Teixeira Cava</t>
  </si>
  <si>
    <t>8F00240812230331</t>
  </si>
  <si>
    <t>**JAIR: VERIFICAR SE EXISTE ENTREGA FUTURA DE FTI**
MARIO PASSOU QUE ENTREGA FUTURA DESSE PEDIDO ELE VIU COM O JOÃO
Faturar a NF de imediato, com entrega programada para 18/11/2024
Pagamento em 4x no boleto:
1º - 10/09/2024
2º - 10/10/2024
3º - 10/11/2024
4º - 10/12/2024
VALOR NF - R$ 104.430,00
VALOR TABELA - R$ 52.789,34
DIF TABxNF - R$ 51.640,66
DIF IMPOSTO 17% - R$ 8.778,91
DIFAL - R$ 5.221,50
TOTAL - R$ 66.789,75
Faturar a NF de imediato, com entrega programada para 18/11/2024
Frete CIF. Descontar da comissão da Hidrotec
 Pedido nº 871 enviado pelo vendedor Thiago  criado em 30/07/2024 14:37:14 integrado por meio do Bendito no dia 30/07/2024 às 18:17:36</t>
  </si>
  <si>
    <t>Mrd6e79yQZqAm0mvrlKzbw</t>
  </si>
  <si>
    <t>15694-B</t>
  </si>
  <si>
    <t>8F00240812230333</t>
  </si>
  <si>
    <t>g.92czHWRPO5o3UT87b0YA</t>
  </si>
  <si>
    <t>15694-C</t>
  </si>
  <si>
    <t>8F00240812230332</t>
  </si>
  <si>
    <t>rPDcaJFaSRGmKEPxb1vPaw</t>
  </si>
  <si>
    <t>15695</t>
  </si>
  <si>
    <t>8B00231215003172</t>
  </si>
  <si>
    <t>DESCONTO AUTORIZADO MARIO- Autorizado
 Pedido nº 873 enviado pelo vendedor Renato criado em 30/07/2024 15:52:15 integrado por meio do Bendito no dia 30/07/2024 às 18:18:37</t>
  </si>
  <si>
    <t>k3nEO5S.Tauh6vEnBAcukw</t>
  </si>
  <si>
    <t>15696</t>
  </si>
  <si>
    <t>IBIZA PISCINAS</t>
  </si>
  <si>
    <t>8B00240122003250</t>
  </si>
  <si>
    <t>ESTOQUE CURITIBA - PR 081
 Pedido nº 874 enviado pelo vendedor Renato criado em 30/07/2024 16:33:07 integrado por meio do Bendito no dia 30/07/2024 às 18:19:13</t>
  </si>
  <si>
    <t>2IQyDbaBTMOx-dauQSVcFA</t>
  </si>
  <si>
    <t>15697</t>
  </si>
  <si>
    <t>LWR PISCINAS</t>
  </si>
  <si>
    <t>8A00240514003035</t>
  </si>
  <si>
    <t>Pedido nº 876 enviado pelo vendedor Fábio criado em 30/07/2024 17:06:33 integrado por meio do Bendito no dia 30/07/2024 às 18:20:41</t>
  </si>
  <si>
    <t>8REy9ow.QQGfBwM1p67e.w</t>
  </si>
  <si>
    <t>15699</t>
  </si>
  <si>
    <t>VISUAL PISCINAS</t>
  </si>
  <si>
    <t>8A00240411003108</t>
  </si>
  <si>
    <t>RXQ3H95 - RETIRA - AIRTON PAULO MOREIRA FONTOURA  - 09899587958 - VW/ SAVEIRO  / CARGA CAMINHONETE  / BRANCA  / 2022</t>
  </si>
  <si>
    <t>Pedido nº 878 enviado pelo vendedor Carlos Augusto  criado em 30/07/2024 23:11:36 integrado por meio do Bendito no dia 31/07/2024 às 07:43:18</t>
  </si>
  <si>
    <t>BJDKSCH5TVu32usvVW.zvA</t>
  </si>
  <si>
    <t>15700</t>
  </si>
  <si>
    <t>8B00240322003280</t>
  </si>
  <si>
    <t>Pedido nº 879 enviado pelo vendedor Carlos Augusto  criado em 30/07/2024 23:12:32 integrado por meio do Bendito no dia 31/07/2024 às 07:43:44</t>
  </si>
  <si>
    <t>MfIdCRTLQ0SKDWRrUCW9ZQ</t>
  </si>
  <si>
    <t>15701</t>
  </si>
  <si>
    <t>8B00240122003285</t>
  </si>
  <si>
    <t>Pedido parcial gerado a partir do Pedido de origem nº 15701.
PR047
COMPENSAÇÃO DE CRÉDITO DE DEVOLUÇÃO PEDIDO 12438</t>
  </si>
  <si>
    <t>O5MNQs1DRN6AphoFx4haDA</t>
  </si>
  <si>
    <t>15701-A</t>
  </si>
  <si>
    <t>8A00240513003015</t>
  </si>
  <si>
    <t>Mario- Aprovado pela PRSICILLA dia 05/07 as 17: 19 . Cliente ciente da espera dia 015/08 próximo Lote 
 Pedido nº 819 enviado pelo vendedor Renato criado em 18/07/2024 10:34:10 integrado por meio do Bendito no dia 31/07/2024 às 09:02:00</t>
  </si>
  <si>
    <t>ED5QJ5xESVOzf9SrcwCeLg</t>
  </si>
  <si>
    <t>15701-B</t>
  </si>
  <si>
    <t>8A00240513003017</t>
  </si>
  <si>
    <t>pjxijBeDTHeYkwD7T8UJuA</t>
  </si>
  <si>
    <t>15701-C</t>
  </si>
  <si>
    <t>8A00240513003011</t>
  </si>
  <si>
    <t>7PCVmVqzSxCiBiZ3w84zLw</t>
  </si>
  <si>
    <t>15701-D</t>
  </si>
  <si>
    <t>8A00240513003012</t>
  </si>
  <si>
    <t>fX95ZEV.SjGZX23S2oJYrg</t>
  </si>
  <si>
    <t>15701-E</t>
  </si>
  <si>
    <t>8F00240723270499</t>
  </si>
  <si>
    <t>SXE5I02 - EXPRESSO SÃO MIGUEL - AMILTON ALVES DOS SANTOS  - 01540862666 - M.BENZ / CARGA / BRANCA / 2024</t>
  </si>
  <si>
    <t>F0aenormTBanwkcstRdjvg</t>
  </si>
  <si>
    <t>15701-F</t>
  </si>
  <si>
    <t>8A00240513003007</t>
  </si>
  <si>
    <t>2K.UCaV7QgCZzUWA-zY8jQ</t>
  </si>
  <si>
    <t>15701-G</t>
  </si>
  <si>
    <t>8A00240513003020</t>
  </si>
  <si>
    <t>4Ijy6esRT6iq8QzAAJDR-g</t>
  </si>
  <si>
    <t>15701-H</t>
  </si>
  <si>
    <t>8A00240513003010</t>
  </si>
  <si>
    <t>iX9ZmtMrR0-K67TIqc6dGw</t>
  </si>
  <si>
    <t>15701-I</t>
  </si>
  <si>
    <t>8A00240513003013</t>
  </si>
  <si>
    <t>KdJGtxo-SHOevAPZVDIohQ</t>
  </si>
  <si>
    <t>15701-J</t>
  </si>
  <si>
    <t>8B00240122003226</t>
  </si>
  <si>
    <t>8cYmswixTVqKoUsh6jRIhg</t>
  </si>
  <si>
    <t>15701-K</t>
  </si>
  <si>
    <t>8B00240322003206</t>
  </si>
  <si>
    <t>t9F5yzIvRo2IgVh2lSAQHg</t>
  </si>
  <si>
    <t>15701-L</t>
  </si>
  <si>
    <t>8B00240322003198</t>
  </si>
  <si>
    <t>LHPieAt0Qj-gU80-dH293A</t>
  </si>
  <si>
    <t>15701-M</t>
  </si>
  <si>
    <t>8B00240322003195</t>
  </si>
  <si>
    <t>nEUCylwESCGovs.ITFU7Iw</t>
  </si>
  <si>
    <t>15701-N</t>
  </si>
  <si>
    <t>8B00240322003192</t>
  </si>
  <si>
    <t>npwHePClTMmGLKWNmRBQ9Q</t>
  </si>
  <si>
    <t>15701-O</t>
  </si>
  <si>
    <t>8B00240322003205</t>
  </si>
  <si>
    <t>qoh7IHyyTnSEBIc2MOo8.A</t>
  </si>
  <si>
    <t>15701-P</t>
  </si>
  <si>
    <t>8B00240322003196</t>
  </si>
  <si>
    <t>cokuKqV.TsOQwwF96PMRpA</t>
  </si>
  <si>
    <t>15701-Q</t>
  </si>
  <si>
    <t>8B00240322003215</t>
  </si>
  <si>
    <t>maGg7czbQqK-nIVZ5-svgQ</t>
  </si>
  <si>
    <t>15701-R</t>
  </si>
  <si>
    <t>8B00240322003221</t>
  </si>
  <si>
    <t>TaG-94ncQ4ibCnJ1qp9tZQ</t>
  </si>
  <si>
    <t>15701-S</t>
  </si>
  <si>
    <t>8A00240514003059</t>
  </si>
  <si>
    <t>ktWiqtsbSaixiZzI1v6UGQ</t>
  </si>
  <si>
    <t>15701-T</t>
  </si>
  <si>
    <t>8A00240514003055</t>
  </si>
  <si>
    <t>jjkAf3iwSsK2NcIbTBS0gg</t>
  </si>
  <si>
    <t>15701-U</t>
  </si>
  <si>
    <t>8A00240514003052</t>
  </si>
  <si>
    <t>wP1HIpxtTJWyOWmNRbthFA</t>
  </si>
  <si>
    <t>15701-V</t>
  </si>
  <si>
    <t>8A00240514003056</t>
  </si>
  <si>
    <t>wj8OmkEpQiGTb0Hb11nrbA</t>
  </si>
  <si>
    <t>15701-W</t>
  </si>
  <si>
    <t>8A00240411003089</t>
  </si>
  <si>
    <t>0CCd1RUIRRKjBd1vi2QUAQ</t>
  </si>
  <si>
    <t>15701-X</t>
  </si>
  <si>
    <t>8A00240411003107</t>
  </si>
  <si>
    <t>640wvZMMSqSaSLVfU.u-XQ</t>
  </si>
  <si>
    <t>15701-Y</t>
  </si>
  <si>
    <t>8A00240411003101</t>
  </si>
  <si>
    <t>shafBvGLSgC3B5w8bVS9Bg</t>
  </si>
  <si>
    <t>15701-Z</t>
  </si>
  <si>
    <t>8A00240411003081</t>
  </si>
  <si>
    <t>cM8nY-.RShucBJKo12ueWA</t>
  </si>
  <si>
    <t>15701/1</t>
  </si>
  <si>
    <t>8A00240411003027</t>
  </si>
  <si>
    <t>u0MRPXuxTKaBkVeB-zRGMg</t>
  </si>
  <si>
    <t>15702</t>
  </si>
  <si>
    <t>TOP PISCINAS</t>
  </si>
  <si>
    <t>8A00240411003007</t>
  </si>
  <si>
    <t>PREÇO ACERTADO COM O CLIENTE: R$ 7.694,52
COTAÇÃO EXPRESSO SÃO MIGUEL 8105
Pedido nº 880 enviado pelo vendedor Carlos Augusto  criado em 31/07/2024 08:09:17 integrado por meio do Bendito no dia 31/07/2024 às 12:26:55</t>
  </si>
  <si>
    <t>bmxzs4EOQuOjnEJplQBD0w</t>
  </si>
  <si>
    <t>15703</t>
  </si>
  <si>
    <t>TOP PISCINAS COMERCIO E SERVICOS LTDA</t>
  </si>
  <si>
    <t>8A00240411003134</t>
  </si>
  <si>
    <t>Pedido nº 882 enviado pelo vendedor Renato criado em 31/07/2024 08:42:16 integrado por meio do Bendito no dia 31/07/2024 às 12:28:56
PR181</t>
  </si>
  <si>
    <t>3ZUeuOcQTPKjVwO-2EEMSg</t>
  </si>
  <si>
    <t>15707-A</t>
  </si>
  <si>
    <t>8B00240322003217</t>
  </si>
  <si>
    <t>Pedido nº 887 enviado pelo vendedor Carlos Augusto  criado em 31/07/2024 10:26:50 integrado por meio do Bendito no dia 31/07/2024 às 12:38:01</t>
  </si>
  <si>
    <t>gOHqulY0Shyyv-hrTEm3wg</t>
  </si>
  <si>
    <t>15707-B</t>
  </si>
  <si>
    <t>8B00240322003203</t>
  </si>
  <si>
    <t>926nfJN.TTKuUblzkdTC0A</t>
  </si>
  <si>
    <t>15707-C</t>
  </si>
  <si>
    <t>8B00240322003218</t>
  </si>
  <si>
    <t>sL-xPNnNSKWUl2TarLt7oA</t>
  </si>
  <si>
    <t>15708</t>
  </si>
  <si>
    <t>8F00240723260489</t>
  </si>
  <si>
    <t>Pedido nº 888 enviado pelo vendedor Carlos Augusto  criado em 31/07/2024 10:32:58 integrado por meio do Bendito no dia 31/07/2024 às 12:38:45</t>
  </si>
  <si>
    <t>guAwFSwQRP2kJ9IMdQllPA</t>
  </si>
  <si>
    <t>15709</t>
  </si>
  <si>
    <t>S.O.S PISCINAS</t>
  </si>
  <si>
    <t>8F00240723270505</t>
  </si>
  <si>
    <t>MGH1012 - FIT LOG - ELIVELTO GONÇALVES DIAS - 07704779923 - VW / 8.150E DELIVERY / BRANCA / 2005</t>
  </si>
  <si>
    <t>O REDESP. SERA FOB TRANSPORTARDORA CARVALIMA, AV. ALEXANDRE COLARES, 340 - PQ ANHANGUERA CEP. 05106-000 -SÃO PAULO CNPJ. 33.070.814/0003-13 TEL. (11)2141-3100
 Pedido nº 889 enviado pelo vendedor Juscelino criado em 31/07/2024 11:11:30 integrado por meio do Bendito no dia 31/07/2024 às 12:40:34</t>
  </si>
  <si>
    <t>0whff9-oR0Sox9F93OPS6Q</t>
  </si>
  <si>
    <t>15710</t>
  </si>
  <si>
    <t>Acquasul</t>
  </si>
  <si>
    <t>8A00240514003032</t>
  </si>
  <si>
    <t>Pedido nº 890 enviado pelo vendedor Thiago  criado em 31/07/2024 11:54:43 integrado por meio do Bendito no dia 31/07/2024 às 12:41:58</t>
  </si>
  <si>
    <t>H8282jemRtqeOfrw-SOyeg</t>
  </si>
  <si>
    <t>15712</t>
  </si>
  <si>
    <t>MARKS PISCINAS</t>
  </si>
  <si>
    <t>8A00240411003085</t>
  </si>
  <si>
    <t>Pedido nº 892 enviado pelo vendedor Fábio criado em 31/07/2024 14:50:40 integrado por meio do Bendito no dia 31/07/2024 às 16:32:42</t>
  </si>
  <si>
    <t>IqNLvUQXSFm-hmFVdrPXdQ</t>
  </si>
  <si>
    <t>15713</t>
  </si>
  <si>
    <t>Rogério Nery da Camara</t>
  </si>
  <si>
    <t>8B00240322003055</t>
  </si>
  <si>
    <t>Redespacho TRANSPORTADORA BOM JESUS : 14.898.432/0002-57 :Rua Alexânia 493-Cid. Ind. Satélite-Guarulhos-SP 
Cliente final Águas e Vapores-RN 
 Pedido nº 881 enviado pelo vendedor Sadi criado em 31/07/2024 08:22:44 integrado por meio do Bendito no dia 31/07/2024 às 16:52:47</t>
  </si>
  <si>
    <t>3cJt4pn4RA6lvuSoksjbng</t>
  </si>
  <si>
    <t>15715</t>
  </si>
  <si>
    <t>JOAO MACEDO</t>
  </si>
  <si>
    <t>8A00240514003057</t>
  </si>
  <si>
    <t>CLIENTE: SOLTEC PISCINAS DE BRUSQUE
RETIRA NA FÁBRICA ENTRE 09 E 12 DE AGOSTO 
 Pedido nº 895 enviado pelo vendedor Carlos Augusto  criado em 31/07/2024 18:31:42 integrado por meio do Bendito no dia 01/08/2024 às 08:37:26</t>
  </si>
  <si>
    <t>5gctTJUESHaVJpGHWJEX-Q</t>
  </si>
  <si>
    <t>15716</t>
  </si>
  <si>
    <t>ESPACO PISCINAS</t>
  </si>
  <si>
    <t>8B00230927003132</t>
  </si>
  <si>
    <t>PEDIDO DE DEVOLUÇÃO NF 810 
PEDIDO JA PAGO PELA NF 10029 - ENTREGA FUTURA 10278
 Pedido nº 897 enviado pelo vendedor Carlos Augusto  criado em 01/08/2024 08:55:09 integrado por meio do Bendito no dia 01/08/2024 às 08:55:17</t>
  </si>
  <si>
    <t>Ol2ypH.2QiyfyvHaxw6D8g</t>
  </si>
  <si>
    <t>15717-A</t>
  </si>
  <si>
    <t>Rozo Engenharia</t>
  </si>
  <si>
    <t>13539</t>
  </si>
  <si>
    <t>FH160J60T</t>
  </si>
  <si>
    <t>CLIENTE RETIRA NA UNIDADE DA FITLOG EM CAMPINAS</t>
  </si>
  <si>
    <t>I5kUrozzRGufATdwPuuzKw</t>
  </si>
  <si>
    <t>15717-B</t>
  </si>
  <si>
    <t>13540</t>
  </si>
  <si>
    <t>7Snf8HpATDOxr8A1mnJUjg</t>
  </si>
  <si>
    <t>15717-C</t>
  </si>
  <si>
    <t>13541</t>
  </si>
  <si>
    <t>Rj5.aH5qTyqlo9F38QORcQ</t>
  </si>
  <si>
    <t>15722</t>
  </si>
  <si>
    <t>8B00240122003231</t>
  </si>
  <si>
    <t>estoque CURITIBA - PR049
 Pedido nº 902 enviado pelo vendedor Renato criado em 02/08/2024 10:37:23 integrado por meio do Bendito no dia 05/08/2024 às 08:29:21</t>
  </si>
  <si>
    <t>Lx1pUoSfSxK5D7giZsn.Dw</t>
  </si>
  <si>
    <t>15723-A</t>
  </si>
  <si>
    <t>13535</t>
  </si>
  <si>
    <t>Frete com redespacho pela Expresso Raquel  -  CNPJ SP : 03.823.190/0002-16. - ENDEREÇO SÃO PAULO : RUA SOLDADO AMERICO RODRIGUES 131, GALPÃO MODULO A - PQ NOVO MUNDO
 Pedido nº 908 enviado pelo vendedor Luiz  criado em 05/08/2024 08:20:21 integrado por meio do Bendito no dia 05/08/2024 às 08:35:12</t>
  </si>
  <si>
    <t>h1.Ggg5DQlmtNWE-RkSQ7A</t>
  </si>
  <si>
    <t>15723-B</t>
  </si>
  <si>
    <t>13533</t>
  </si>
  <si>
    <t>4e5YdI5sSwmvSpE17VDN9A</t>
  </si>
  <si>
    <t>15723-C</t>
  </si>
  <si>
    <t>13534</t>
  </si>
  <si>
    <t>eqb8CFMERr2x.KvHeNPvUw</t>
  </si>
  <si>
    <t>15725</t>
  </si>
  <si>
    <t>8A00240513003008</t>
  </si>
  <si>
    <t>Cliente - ALLINE CHRISTINE VIEIRA E SILVA (constar em NF)
 Pedido nº 905 enviado pelo vendedor Fábio criado em 02/08/2024 15:13:05 integrado por meio do Bendito no dia 05/08/2024 às 08:40:15</t>
  </si>
  <si>
    <t>Wx8eACtkSsOetIrtP2h1Gw</t>
  </si>
  <si>
    <t>15726</t>
  </si>
  <si>
    <t>8B00230924003130</t>
  </si>
  <si>
    <t>Cliente - THIAGO CORREA VASQUES (Constar em NF)
Valor correto do pedido - R$ 8.467,22 (não consigo dar mais desconto, valor promocional da tabela de Julho 24)
 Pedido nº 906 enviado pelo vendedor Fábio criado em 02/08/2024 15:22:06 integrado por meio do Bendito no dia 05/08/2024 às 08:41:46</t>
  </si>
  <si>
    <t>XMPOoH.jSA2czTc6jgXY2Q</t>
  </si>
  <si>
    <t>15727</t>
  </si>
  <si>
    <t>ALEXANDRO DIAS ARAUJO 90260589691</t>
  </si>
  <si>
    <t>8B00240322003056</t>
  </si>
  <si>
    <t>valor do pedido R$ 8.467,22 - pedido aprovado pelo cliente 31/07 e esquecemos de colocar no portal, liberado pelo Mario.
Frete com redespacho pela Expresso Raquel  -  CNPJ SP : 03.823.190/0002-16. - ENDEREÇO SÃO PAULO : RUA SOLDADO AMERICO RODRIGUES 131, GALPÃO MODULO A - PQ NOVO MUNDO 
 Pedido nº 899 enviado pelo vendedor Luiz  criado em 01/08/2024 13:53:29 integrado por meio do Bendito no dia 05/08/2024 às 11:25:27</t>
  </si>
  <si>
    <t>IUHe-hN9QRuW3KZd29fAIQ</t>
  </si>
  <si>
    <t>15728</t>
  </si>
  <si>
    <t>PONTO DO LAZER</t>
  </si>
  <si>
    <t>8B00231215003118</t>
  </si>
  <si>
    <t>MAQUINA SAIRÁ DO ESTOQUE DE CURITIBA PR0008 
CONSIDERAR O VALOR PROMOCIONAL DE JULHO R$8.467,22 LIBERADO PELO MARIO DICK
 Pedido nº 898 enviado pelo vendedor Renato criado em 01/08/2024 08:57:57 integrado por meio do Bendito no dia 05/08/2024 às 11:29:09</t>
  </si>
  <si>
    <t>NlZVzAHGTQ6aTv.s-x3Y1Q</t>
  </si>
  <si>
    <t>15729-A</t>
  </si>
  <si>
    <t>8A00240514003036</t>
  </si>
  <si>
    <t>** PEDIDO TRAVADO, NÃO FATURAR **
Desconto adicional de R$1.000,00 no pedido , CAMPANHA 30 MAQUINAS 
FTi75 - cliente: Silvestre Josué (constar em NF)
FTi55 - cliente: Daniel Pereira (constar em NF)
 Pedido nº 910 enviado pelo vendedor Fábio criado em 05/08/2024 14:18:20 integrado por meio do Bendito no dia 05/08/2024 às 14:18:59</t>
  </si>
  <si>
    <t>XS5me-OqSZ-6h75YF-7J.Q</t>
  </si>
  <si>
    <t>15729-B</t>
  </si>
  <si>
    <t>8A00240514003051</t>
  </si>
  <si>
    <t>3EIVZdCzR3WuzaYsh40vRQ</t>
  </si>
  <si>
    <t>15730</t>
  </si>
  <si>
    <t>GEFIN</t>
  </si>
  <si>
    <t>8B00240322003277</t>
  </si>
  <si>
    <t>JAIR: PREÇO AJUSTADO PARA COM 10,93999 % DE DESCONTO.
PREÇO NEGOCIADO COM  O CLIENTE:  R$ 22.298,40 
CLIENTE VAI DEPOSITAR O VALOR DO FRETE JUNTO COM A MÁQUINA 
 Pedido nº 914 enviado pelo vendedor Carlos Augusto  criado em 05/08/2024 15:25:56 integrado por meio do Bendito no dia 05/08/2024 às 15:26:39</t>
  </si>
  <si>
    <t>a.4ZZN1-DSbKaZ3Ne8ROD1Q</t>
  </si>
  <si>
    <t>15731</t>
  </si>
  <si>
    <t>8A00240411003012</t>
  </si>
  <si>
    <t>Mario, favor dar 5 % de desconto
 Pedido nº 915 enviado pelo vendedor Renato criado em 05/08/2024 15:28:57 integrado por meio do Bendito no dia 05/08/2024 às 15:29:53</t>
  </si>
  <si>
    <t>QGaf3F.kRsSVfePoRP1ueA</t>
  </si>
  <si>
    <t>15732-A</t>
  </si>
  <si>
    <t>8A00240514003034</t>
  </si>
  <si>
    <t>**PEDIDO TRAVADO, FORMA DE PAGAMENTO NÃO CONCEDIDA**
prazo 30/60/90/120
 Pedido nº 913 enviado pelo vendedor Renato criado em 05/08/2024 15:13:11 integrado por meio do Bendito no dia 05/08/2024 às 17:20:22</t>
  </si>
  <si>
    <t>ehZtuqYDRju1-VxNMejG.A</t>
  </si>
  <si>
    <t>15732-B</t>
  </si>
  <si>
    <t>8A00240514003053</t>
  </si>
  <si>
    <t>h2IM1mKtSaWVxtE18CZsHA</t>
  </si>
  <si>
    <t>15733</t>
  </si>
  <si>
    <t>8B00240322003261</t>
  </si>
  <si>
    <t>Antecipado , conceder +3% desconto 
 Pedido nº 912 enviado pelo vendedor Ricardo Henrique  criado em 05/08/2024 14:58:02 integrado por meio do Bendito no dia 05/08/2024 às 17:21:51</t>
  </si>
  <si>
    <t>U2DtFQBWQ768wq2uXLr4fw</t>
  </si>
  <si>
    <t>15734</t>
  </si>
  <si>
    <t>G2 PISCINAS E AQUECEDORES</t>
  </si>
  <si>
    <t>8B00231215003110</t>
  </si>
  <si>
    <t>MAQUINA PR005 - SAIRÁ DO ESTOQUE DE CURITIBA.
 Pedido nº 911 enviado pelo vendedor Renato criado em 05/08/2024 14:30:37 integrado por meio do Bendito no dia 05/08/2024 às 18:11:27</t>
  </si>
  <si>
    <t>9Q2xfIRWSaOzKZb2QTF-kg</t>
  </si>
  <si>
    <t>15736</t>
  </si>
  <si>
    <t>13538</t>
  </si>
  <si>
    <t>QUADRO TOUCH EXTERNO DE SOBREPOR
PREÇO CORRETO DA MÁQUINA  R$ 13.562,16
 Pedido nº 918 enviado pelo vendedor Carlos Augusto  criado em 05/08/2024 21:35:57 integrado por meio do Bendito no dia 06/08/2024 às 11:39:09</t>
  </si>
  <si>
    <t>evx3p651TKidMtKDZm0.GQ</t>
  </si>
  <si>
    <t>15737</t>
  </si>
  <si>
    <t>8A00240411003030</t>
  </si>
  <si>
    <t>**PEDIDO APROVADO PELA PRISCILA/JOAO VIA EMAIL COM MÁRIO**
PREÇO ESPECIAL EXCLUSIVO PARA ESTE CLIENTE:  R$ 6.412,80
 Pedido nº 817 enviado pelo vendedor Carlos Augusto  criado em 18/07/2024 07:49:07 integrado por meio do Bendito no dia 07/08/2024 às 08:34:47</t>
  </si>
  <si>
    <t>dvmAyxbFT.-MzzzT7kIHEw</t>
  </si>
  <si>
    <t>15738</t>
  </si>
  <si>
    <t>8B00240322003259</t>
  </si>
  <si>
    <t>**APROVADO PELA PRISCILA/JOÃO VIA EMAIL COM O MÁRIO**PEDIDO CLIENTE: 16789
VALOR TABELA ESPECIAL CLIENTE:  R$ 15.548,29 = 17,19996 %
 Pedido nº 903 enviado pelo vendedor Carlos Augusto  criado em 02/08/2024 11:26:26 integrado por meio do Bendito no dia 07/08/2024 às 08:35:00</t>
  </si>
  <si>
    <t>idvFnxHVSW-q3E.AqZbmBA</t>
  </si>
  <si>
    <t>15739</t>
  </si>
  <si>
    <t>8B00231215003123</t>
  </si>
  <si>
    <t>estoque Curitiba - pr006 -pgto feito
 Pedido nº 921 enviado pelo vendedor Renato criado em 07/08/2024 08:17:19 integrado por meio do Bendito no dia 07/08/2024 às 09:00:34</t>
  </si>
  <si>
    <t>lcyOiQYZS4-DOuXF6blf2w</t>
  </si>
  <si>
    <t>15740</t>
  </si>
  <si>
    <t>8A00240514003048</t>
  </si>
  <si>
    <t>Pedido nº 922 enviado pelo vendedor Thiago  criado em 07/08/2024 15:01:35 integrado por meio do Bendito no dia 07/08/2024 às 15:10:50</t>
  </si>
  <si>
    <t>DOg5.zTNTkqNH.LOfzyhLA</t>
  </si>
  <si>
    <t>15741</t>
  </si>
  <si>
    <t>8A00240514003054</t>
  </si>
  <si>
    <t>Pedido nº 923 enviado pelo vendedor Thiago  criado em 07/08/2024 15:04:07 integrado por meio do Bendito no dia 07/08/2024 às 15:11:28</t>
  </si>
  <si>
    <t>jlIMhxjcSpi1VI64vzspbw</t>
  </si>
  <si>
    <t>15742</t>
  </si>
  <si>
    <t>ANDRE LUIS DO AMARAL 11134642911</t>
  </si>
  <si>
    <t>comprovantes de pagamento com financeiro .
 Pedido nº 924 enviado pelo vendedor Renato criado em 07/08/2024 15:38:19 integrado por meio do Bendito no dia 07/08/2024 às 15:38:45</t>
  </si>
  <si>
    <t>JbcPQshKT--IrYnZYezQQw</t>
  </si>
  <si>
    <t>15743</t>
  </si>
  <si>
    <t>8B00231215003134</t>
  </si>
  <si>
    <t>- ESTOQUE CURITIBA - PR 012
 Pedido nº 927 enviado pelo vendedor Renato criado em 08/08/2024 09:02:57 integrado por meio do Bendito no dia 08/08/2024 às 09:08:18</t>
  </si>
  <si>
    <t>r3V.Eq5RSRa-31uPHwjbRQ</t>
  </si>
  <si>
    <t>15746</t>
  </si>
  <si>
    <t>8A00240513003019</t>
  </si>
  <si>
    <t>Cliente - fernanda rossini (constar em NF)
 Pedido nº 929 enviado pelo vendedor Fábio criado em 08/08/2024 11:42:17 integrado por meio do Bendito no dia 08/08/2024 às 12:36:52</t>
  </si>
  <si>
    <t>Jj6BK18YQeShgS2Zr2YlUw</t>
  </si>
  <si>
    <t>15747</t>
  </si>
  <si>
    <t>8B00230927003167</t>
  </si>
  <si>
    <t>Precisa verificar e informar o valor de crédito que a Steinfiber ainda tem. Liquidar ele e faturar para a Steinfiber o saldo em 3x.
CLIENTE: MARCELO BORSATTO 
DESCONTAR DOS BOLETOS R$ 3913,11 DE CRÉDITO
 Pedido nº 926 enviado pelo vendedor Carlos Augusto  criado em 07/08/2024 16:14:32 integrado por meio do Bendito no dia 08/08/2024 às 12:40:35</t>
  </si>
  <si>
    <t>jvTTM7hQR8-lVcDThRCQ2A</t>
  </si>
  <si>
    <t>15748</t>
  </si>
  <si>
    <t>R R TOFFOLO</t>
  </si>
  <si>
    <t>8B00231215003112</t>
  </si>
  <si>
    <t>ESTOQUE CURITIBA - PR 014
 Pedido nº 930 enviado pelo vendedor Renato criado em 08/08/2024 13:24:04 integrado por meio do Bendito no dia 08/08/2024 às 14:07:16</t>
  </si>
  <si>
    <t>I.Zur9TvRf-eX.FGvOkTEw</t>
  </si>
  <si>
    <t>15749-A</t>
  </si>
  <si>
    <t>8B00230927003163</t>
  </si>
  <si>
    <t>Precisa verificar e informar o valor de crédito que a Steinfiber ainda tem. Liquidar ele e faturar para a Steinfiber o saldo em 3x.
CLIENTE: COND. AGUA MARINHA - 
Valor deste pedido : R$ 31.998,01- Esta sendo descontado R$3.913,11 do saldo do credito para com a FROMTHERM . 
 Pedido nº 925 enviado pelo vendedor Carlos Augusto  criado em 07/08/2024 16:12:54 integrado por meio do Bendito no dia 08/08/2024 às 15:12:18</t>
  </si>
  <si>
    <t>fJBah.cTS.meLlRebtwSeQ</t>
  </si>
  <si>
    <t>15749-B</t>
  </si>
  <si>
    <t>8B00230927003172</t>
  </si>
  <si>
    <t>VfnfEYl5RICgjhOiMbS4yg</t>
  </si>
  <si>
    <t>15750</t>
  </si>
  <si>
    <t>AGUAPE PISCINAS</t>
  </si>
  <si>
    <t>8B00240322003160</t>
  </si>
  <si>
    <t>PR 110
Pedido nº 931 enviado pelo vendedor Renato criado em 08/08/2024 15:07:49 integrado por meio do Bendito no dia 08/08/2024 às 16:07:43</t>
  </si>
  <si>
    <t>wSzXTJuORiC7w46xgR88Pg</t>
  </si>
  <si>
    <t>15752</t>
  </si>
  <si>
    <t>8A00240411003075</t>
  </si>
  <si>
    <t>O REDESPACHO SERA FOB - TRANSP. RODONAVES - CNPJ:44.914.992/0013-71 - END: Parque Anhanguera, Av. Alexandre Colares, 500 - Vila Jaguara, São Paulo - SP, 05106-000
 Pedido nº 837 enviado pelo vendedor Juscelino criado em 24/07/2024 10:55:55 integrado por meio do Bendito no dia 25/07/2024 às 09:02:34</t>
  </si>
  <si>
    <t>B1uyj.0hRG-ApDEUczuL5g</t>
  </si>
  <si>
    <t>15758</t>
  </si>
  <si>
    <t>11168</t>
  </si>
  <si>
    <t>ordem de compra 079
 Pedido nº 932 enviado pelo vendedor Renato criado em 08/08/2024 16:46:49 integrado por meio do Bendito no dia 08/08/2024 às 18:04:31</t>
  </si>
  <si>
    <t>VCXRxinYRnGNHm6A1CCR-Q</t>
  </si>
  <si>
    <t>15761-A</t>
  </si>
  <si>
    <t>13542</t>
  </si>
  <si>
    <t>O Mario me passou o preço de R$7.831,77 cada FT40 para esse cliente no total ficando R$15.663,54- Conforme tabela de descontos . 7% 
 Pedido nº 934 enviado pelo vendedor Renato criado em 08/08/2024 17:47:46 integrado por meio do Bendito no dia 08/08/2024 às 20:33:52</t>
  </si>
  <si>
    <t>rvzlF6qpTMGNssWSY6NM2w</t>
  </si>
  <si>
    <t>15761-B</t>
  </si>
  <si>
    <t>13543</t>
  </si>
  <si>
    <t>oc-D60CuTlSWjpSNxhde1A</t>
  </si>
  <si>
    <t>15767</t>
  </si>
  <si>
    <t>Grázia Pimentel Lima Valladares</t>
  </si>
  <si>
    <t>8B00231215003135</t>
  </si>
  <si>
    <t>FRETE DIRETO COM O CLIENTE - Assim que o pedido estiver liberado (pago) o cliente vai solicitar a coleta. RODONAVES 
 Pedido nº 933 enviado pelo vendedor Luiz  criado em 08/08/2024 17:14:48 integrado por meio do Bendito no dia 09/08/2024 às 17:52:03</t>
  </si>
  <si>
    <t>ICN3UHRERCq-2y1e.6xsFw</t>
  </si>
  <si>
    <t>15768</t>
  </si>
  <si>
    <t>8B00240322003081</t>
  </si>
  <si>
    <t>DESCONTO AUTORIZADO MARIO - MAQUINA SAIRÁ DO ESTOQUE DE CURITIBA PR142
 Pedido nº 940 enviado pelo vendedor Renato criado em 09/08/2024 14:23:17 integrado por meio do Bendito no dia 09/08/2024 às 17:53:06</t>
  </si>
  <si>
    <t>WHZTpbqFRcW6M2nB1OxrBg</t>
  </si>
  <si>
    <t>15769-A</t>
  </si>
  <si>
    <t>8A00240513003004</t>
  </si>
  <si>
    <t>Desconto Especial de 10% - 3% aut pelo GV Mário (boleto para 07 dias)
LUIS CARLOS VIEIRA PRAJELAS - FTI 35
MARCIO MARUJO GOMES - FTI 55
ANTONIO LEANDRO PEDREIRA DA SILVA - FTI 35
THIAGO CORREA VASQUES - FTI 55
Constar em NF as referências dos clientes acima. Entrega imediata 02 fti 55 e fti 35 a espera para previsão de 15/08 . 
 Pedido nº 928 enviado pelo vendedor Fábio criado em 08/08/2024 10:37:23 integrado por meio do Bendito no dia 08/08/2024 às 11:34:24</t>
  </si>
  <si>
    <t>i1RROMvhQA6fCYmQZSpU7g</t>
  </si>
  <si>
    <t>15769-B</t>
  </si>
  <si>
    <t>8A00240513003006</t>
  </si>
  <si>
    <t>kquTV7C.RkuIA2NvKhp19g</t>
  </si>
  <si>
    <t>15769-C</t>
  </si>
  <si>
    <t>8B00240322003063</t>
  </si>
  <si>
    <t>Js9SHszwR9qdX6.d-A28IA</t>
  </si>
  <si>
    <t>15769-D</t>
  </si>
  <si>
    <t>8B00240322003059</t>
  </si>
  <si>
    <t>RQMd3uZUR-OU413uQXbsxg</t>
  </si>
  <si>
    <t>15770</t>
  </si>
  <si>
    <t>8A00240514003033</t>
  </si>
  <si>
    <t>ENDEREÇO DE ENTREGA:
Rua Libia 533
Pineville
Pinhais PR
83320-020
 Pedido nº 943 enviado pelo vendedor Renato criado em 12/08/2024 10:07:56 integrado por meio do Bendito no dia 12/08/2024 às 10:12:16</t>
  </si>
  <si>
    <t>6rhSnd06Qm-eAI4gmmD6pQ</t>
  </si>
  <si>
    <t>15771-A</t>
  </si>
  <si>
    <t>8A00240411003008</t>
  </si>
  <si>
    <t>Pedido nº 942 enviado pelo vendedor Ricardo Henrique  criado em 10/08/2024 08:06:41 integrado por meio do Bendito no dia 12/08/2024 às 10:13:55</t>
  </si>
  <si>
    <t>NfFsXV7qRHypOyCBluO9bA</t>
  </si>
  <si>
    <t>15771-B</t>
  </si>
  <si>
    <t>8B00240322003057</t>
  </si>
  <si>
    <t>9Kt5-zTkSvy9H.ARHZ-yEQ</t>
  </si>
  <si>
    <t>15772</t>
  </si>
  <si>
    <t>11430</t>
  </si>
  <si>
    <t>Quadro deslocado sobrepor 
 Pedido nº 941 enviado pelo vendedor Ricardo Henrique  criado em 10/08/2024 08:03:54 integrado por meio do Bendito no dia 12/08/2024 às 10:20:03</t>
  </si>
  <si>
    <t>khK9esYXQleXc4m71KJr9Q</t>
  </si>
  <si>
    <t>15776</t>
  </si>
  <si>
    <t>8A00240411003015</t>
  </si>
  <si>
    <t>PREÇO ESPECIAL DO CLIENTE, COBRAR R$ 6.412,80
 Pedido nº 800 enviado pelo vendedor Carlos Augusto  criado em 16/07/2024 07:34:06 integrado por meio do Bendito no dia 12/08/2024 às 12:09:46</t>
  </si>
  <si>
    <t>GTYxuHyzRx2Y5DbrdY4sAg</t>
  </si>
  <si>
    <t>15777</t>
  </si>
  <si>
    <t>13545</t>
  </si>
  <si>
    <t>QUADRO DESLOCADO DE SOBREPOR
Consumidora - Marcia Costa Pinto (constar em NF)
 Pedido nº 945 enviado pelo vendedor Fábio criado em 12/08/2024 17:19:08 integrado por meio do Bendito no dia 13/08/2024 às 09:02:34</t>
  </si>
  <si>
    <t>bjusbqafQg-WAOJP7HCcXw</t>
  </si>
  <si>
    <t>15779</t>
  </si>
  <si>
    <t>13591</t>
  </si>
  <si>
    <t>FH100F60</t>
  </si>
  <si>
    <t>valor R$21.924,10
CLIENTE FECHADO NA FEIRA , PRESENCIAL 
 Pedido nº 951 enviado pelo vendedor Fábio criado em 13/08/2024 15:55:57 integrado por meio do Bendito no dia 13/08/2024 às 16:17:56</t>
  </si>
  <si>
    <t>kI.S9Bm-RMqpg.hGV.EmqA</t>
  </si>
  <si>
    <t>15781</t>
  </si>
  <si>
    <t>MBDJ BOMBAS E SOLUCOES</t>
  </si>
  <si>
    <t>Entrega: rua Dr. Agostinho Goulão, 22, loja 07, Correas (Equiper)
Promo : AGOSTO 2024 
 Pedido nº 954 enviado pelo vendedor Ricardo Henrique  criado em 14/08/2024 07:50:58 integrado por meio do Bendito no dia 14/08/2024 às 09:17:17 // OP DEVOLVIDA 13407</t>
  </si>
  <si>
    <t>ftT7KjNOQ3i-DJJdBlHVDA</t>
  </si>
  <si>
    <t>15782</t>
  </si>
  <si>
    <t>Leonardo de Moura</t>
  </si>
  <si>
    <t>8B00230927003175</t>
  </si>
  <si>
    <t>VALOR NF - R$ 30.000,00 
VALOR TABELA - R$ 17.068,55 
DIF TABxNF - R$ 12.931,45 
IMPOSTO 17% - R$ 2.198,35 
DIFAL - R$ 1.500,00
TOTAL - R$ 20.766,90
Desconto da FTi-125 - 40% + 10% + 2% + 3% do á vista
Enviar com frete CIF e descontar da comissão da Hidrotec o custo de frete.
 Pedido nº 948 enviado pelo vendedor Thiago  criado em 13/08/2024 11:22:54 integrado por meio do Bendito no dia 14/08/2024 às 09:23:44</t>
  </si>
  <si>
    <t>Km39q5m3RRyOl70bfJeamA</t>
  </si>
  <si>
    <t>15783</t>
  </si>
  <si>
    <t>DINAMICA SOLAR</t>
  </si>
  <si>
    <t>8A00240411003069</t>
  </si>
  <si>
    <t>ENTREGUE PELO RENATO NA BOLHA</t>
  </si>
  <si>
    <t>Pedido nº 957 enviado pelo vendedor Renato criado em 14/08/2024 09:18:59 integrado por meio do Bendito no dia 14/08/2024 às 09:24:26</t>
  </si>
  <si>
    <t>RENATO NA BOLHA AZUL</t>
  </si>
  <si>
    <t>JRSRgEp.TRamFR8qtLwpOw</t>
  </si>
  <si>
    <t>15784</t>
  </si>
  <si>
    <t>11439</t>
  </si>
  <si>
    <t>PROMOÇÃO EXPOLAZER - PREÇO NEGOCIADO R$ 21.517,69 (-10-4-5 ) PRISCILLA AUTORIZOU 
 Pedido nº 956 enviado pelo vendedor Carlos Augusto  criado em 14/08/2024 08:47:25 integrado por meio do Bendito no dia 14/08/2024 às 10:04:10</t>
  </si>
  <si>
    <t>fnsoQfIUTrK7DRQ.Bk3kVw</t>
  </si>
  <si>
    <t>15785</t>
  </si>
  <si>
    <t>8B00240322003079</t>
  </si>
  <si>
    <t>estoque Curitiba - PR 140 - f
 Pedido nº 958 enviado pelo vendedor Renato criado em 14/08/2024 09:31:32 integrado por meio do Bendito no dia 14/08/2024 às 10:06:33</t>
  </si>
  <si>
    <t>zTLq2nF9Q3COMcSVBr.2QQ</t>
  </si>
  <si>
    <t>15786</t>
  </si>
  <si>
    <t>8A00240411003056</t>
  </si>
  <si>
    <t>DIRETO DA BOLHA AZUL</t>
  </si>
  <si>
    <t>-AUTORIZADO SEM COBRANÇA DEVIDO NOSSA PLANILHA APRESENTAR ERRO DE DIMENSIONAMENTO E NÃO AQUECER A PISCINA DO CLIENTE FINAL . ATENDIMENTO AO CLIENTE AQUECEBEM , PARA MANTER OS LAÇOS COMERCIAIS // NO DIA 15.06 O RENATO ME PASSOU A OP INFORMADO QUE IA DESPACHAR ESSA MAQUINA PRA RESOLVER O PROBLEMA DO CLIENTE, NAO SEI SE TINHA APROVAÇÃO</t>
  </si>
  <si>
    <t>q3XELS2iQaOOLu9PQdRiIQ</t>
  </si>
  <si>
    <t>15787</t>
  </si>
  <si>
    <t>8B00240322003265</t>
  </si>
  <si>
    <t>PREÇO ESPECIAL DO CLIENTE:  R$ 15.548,28 (-8 ) Da Stillo 
PEDIDO CLIENTE 16965 - ANTÔNIO RUSSI 
 Pedido nº 947 enviado pelo vendedor Carlos Augusto  criado em 13/08/2024 09:18:24 integrado por meio do Bendito no dia 15/08/2024 às 09:58:03</t>
  </si>
  <si>
    <t>dedFcBdZTQOKdTRcag58Ow</t>
  </si>
  <si>
    <t>15788</t>
  </si>
  <si>
    <t>ACQUA BRASILIA COMERCIO VAREJISTA DE PISCINAS LTDA-ME</t>
  </si>
  <si>
    <t>8B00230927003169</t>
  </si>
  <si>
    <t>Acordado desconto 5% antecipado valor R$ 18.953,09. REDESPACHO FOB  CNPJ 24.882.886/0002-93 RADLOG TRANSPORTES LTDA Rua UMBUZEIRO, 123 - Cep 07.224-010 - BAIRRO CIDADE INDUSTRIAL SATELITE DE SAO PAULO - GUARULHOS - SP I.E. 796.514.930.111
 Pedido nº 953 enviado pelo vendedor Ranoika  criado em 13/08/2024 22:31:29 integrado por meio do Bendito no dia 15/08/2024 às 10:55:12</t>
  </si>
  <si>
    <t>wz7B6PHXSeWcD59d6Opjbg</t>
  </si>
  <si>
    <t>15789</t>
  </si>
  <si>
    <t>8A00240411003102</t>
  </si>
  <si>
    <t>Entrada de 40% e o saldo (30/60/90 DD)
 Pedido nº 959 enviado pelo vendedor Fábio criado em 14/08/2024 10:44:37 integrado por meio do Bendito no dia 15/08/2024 às 11:00:12</t>
  </si>
  <si>
    <t>QlgJt1hgSTO5GlwsHo1dKg</t>
  </si>
  <si>
    <t>15790</t>
  </si>
  <si>
    <t>13557</t>
  </si>
  <si>
    <t>SXB1A64 - EXPRESSO SÃO MIGUEL - CLEVERSON FELIZARDO DA COSTA  - 07126276931 - M.BENZ  / CARGA CAMINHAO  / BRANCA  / 2024</t>
  </si>
  <si>
    <t>Pedido nº 961 enviado pelo vendedor Thiago  criado em 14/08/2024 17:38:41 integrado por meio do Bendito no dia 15/08/2024 às 11:09:03</t>
  </si>
  <si>
    <t>m.t.kbcISK27bkPNhAM8GA</t>
  </si>
  <si>
    <t>15791-A</t>
  </si>
  <si>
    <t>13561</t>
  </si>
  <si>
    <t>Pedido nº 960 enviado pelo vendedor Renato criado em 14/08/2024 15:55:08 integrado por meio do Bendito no dia 15/08/2024 às 11:09:55</t>
  </si>
  <si>
    <t>dgIr2KdlReeO9S7d8Q14Rg</t>
  </si>
  <si>
    <t>15791-B</t>
  </si>
  <si>
    <t>13562</t>
  </si>
  <si>
    <t>RMJPTJ-ySp-F9Oz6Un.O3Q</t>
  </si>
  <si>
    <t>15791-C</t>
  </si>
  <si>
    <t>13563</t>
  </si>
  <si>
    <t>xw8XYzCASW-4J5BJ664h1Q</t>
  </si>
  <si>
    <t>15792</t>
  </si>
  <si>
    <t>GM FIBRAS</t>
  </si>
  <si>
    <t>8B00240322003077</t>
  </si>
  <si>
    <t>estoque Curitiba -PR 145
 Pedido nº 949 enviado pelo vendedor Renato criado em 13/08/2024 14:31:02 integrado por meio do Bendito no dia 15/08/2024 às 11:11:31</t>
  </si>
  <si>
    <t>OVE5ckAjTom5MRSM2LH4GQ</t>
  </si>
  <si>
    <t>15793</t>
  </si>
  <si>
    <t>A&amp;C ENERGIA SOLAR LTDA</t>
  </si>
  <si>
    <t>13554</t>
  </si>
  <si>
    <t>Valor total do pedido R$ 22.246,27 - autorizado pelo Mario Dick - PAINEL NO EQUIPAMENTO
Frete com redespacho pela Expresso Raquel  -  CNPJ SP : 03.823.190/0002-16. - ENDEREÇO SÃO PAULO : RUA SOLDADO AMERICO RODRIGUES 131, GALPÃO MODULO A - PQ NOVO MUNDO</t>
  </si>
  <si>
    <t>JljUyHSNQNO4H5lYt-Kufw</t>
  </si>
  <si>
    <t>15794-A</t>
  </si>
  <si>
    <t>13552</t>
  </si>
  <si>
    <t>** JAIR ** O.S 2690 - 2 FT240L SERÃO TROCADAS DEVIDO A UM PROBLEMA GRAVISSIMO NO CLIENTE, PASSAR O PEDIDO DIRETO PARA APROVADO, MÁRIO E SR ABEL JA ESTÃO CIENTES. NÃO DEVERÁ HAVER COBRANÇA NESTE PEDIDO, OS EQUIPAMENTOS SERÃO TROCADOS, 2 IRÃO 2 VOLTARÃO.</t>
  </si>
  <si>
    <t>xfHQa4pkSsSLB2HCYq9LXA</t>
  </si>
  <si>
    <t>15794-B</t>
  </si>
  <si>
    <t>13555</t>
  </si>
  <si>
    <t>tg3JIFqrQ.a1F0QdPeucuw</t>
  </si>
  <si>
    <t>15795</t>
  </si>
  <si>
    <t>13544</t>
  </si>
  <si>
    <t>QUADRO EXTERNO DE SOBREPOR
PREÇO ESPECIAL EXPOLAZER COM 7% DESCONTO EXTRA 
 Pedido nº 969 enviado pelo vendedor Carlos Augusto  criado em 19/08/2024 08:51:07 integrado por meio do Bendito no dia 19/08/2024 às 10:04:15</t>
  </si>
  <si>
    <t>B1mkAmSZRg2I2zU41iFDSw</t>
  </si>
  <si>
    <t>15796</t>
  </si>
  <si>
    <t>8B00240322003281</t>
  </si>
  <si>
    <t>Enviar catálogos da feira,  junto com pdd. NÃO ESQCER 
 Pedido nº 968 enviado pelo vendedor Ricardo Henrique  criado em 16/08/2024 18:50:39 integrado por meio do Bendito no dia 19/08/2024 às 10:05:38</t>
  </si>
  <si>
    <t>7a1tdTu7SYSwCtgWp6XQiw</t>
  </si>
  <si>
    <t>15797</t>
  </si>
  <si>
    <t>13556</t>
  </si>
  <si>
    <t>Pedido nº 967 enviado pelo vendedor Ricardo Henrique  criado em 16/08/2024 17:12:32 integrado por meio do Bendito no dia 19/08/2024 às 10:06:12</t>
  </si>
  <si>
    <t>aE8RmpAaRpmdp2kV2C5hGw</t>
  </si>
  <si>
    <t>15798</t>
  </si>
  <si>
    <t>SPLASH PISCINAS</t>
  </si>
  <si>
    <t>13277</t>
  </si>
  <si>
    <t>Data de faturamento 30/08
Frete com redespacho pela Rodonaves - CNPJ SÃO PAULO - 44.914.992/0037-49
RUA SÃO QUIRINO 1090,  - VILA GUILHERME - SÃO PAULO  CEP 02.056-070
 Pedido nº 966 enviado pelo vendedor Luiz  criado em 16/08/2024 13:48:48 integrado por meio do Bendito no dia 19/08/2024 às 10:07:16</t>
  </si>
  <si>
    <t>UL7lg9dUR-yQBR-J5Tmgew</t>
  </si>
  <si>
    <t>15799</t>
  </si>
  <si>
    <t>8A00240513003003</t>
  </si>
  <si>
    <t>Pedido nº 964 enviado pelo vendedor Carlos Augusto  criado em 16/08/2024 08:14:51 integrado por meio do Bendito no dia 19/08/2024 às 10:07:46</t>
  </si>
  <si>
    <t>J51Q-Q.8QxKXIXXGgBcQAw</t>
  </si>
  <si>
    <t>15800</t>
  </si>
  <si>
    <t>8B00240322003082</t>
  </si>
  <si>
    <t>ESTOQUE CURITIBA- PR144
 Pedido nº 963 enviado pelo vendedor Renato criado em 15/08/2024 14:19:08 integrado por meio do Bendito no dia 19/08/2024 às 10:08:11</t>
  </si>
  <si>
    <t>GTpN.icXR2yWWQhH92JGqw</t>
  </si>
  <si>
    <t>15802-A</t>
  </si>
  <si>
    <t>8A00240514003140</t>
  </si>
  <si>
    <t>valor das maquinas 125=R$16900,00 - FTI75=R$9906,00 e FTI 35=R$7515,00
 Pedido nº 971 enviado pelo vendedor Renato criado em 19/08/2024 11:25:10 integrado por meio do Bendito no dia 19/08/2024 às 11:36:04</t>
  </si>
  <si>
    <t>xo5PgpKPRsu3unY7ewX0BA</t>
  </si>
  <si>
    <t>15802-B</t>
  </si>
  <si>
    <t>8A00240514003060</t>
  </si>
  <si>
    <t>SMuryfQtQ3albdTqZZDrhg</t>
  </si>
  <si>
    <t>15803</t>
  </si>
  <si>
    <t>8B00240322003076</t>
  </si>
  <si>
    <t>ESTOQUE CURITIBA - PR143- PEDIDO URGENTE
 Pedido nº 973 enviado pelo vendedor Renato criado em 19/08/2024 13:51:30 integrado por meio do Bendito no dia 19/08/2024 às 15:00:35</t>
  </si>
  <si>
    <t>nZ3or3MmQTy05OmS7XF7Lg</t>
  </si>
  <si>
    <t>15804</t>
  </si>
  <si>
    <t>8A00240411003080</t>
  </si>
  <si>
    <t>estoque  Curitiba - pr167
 Pedido nº 975 enviado pelo vendedor Renato criado em 19/08/2024 15:45:40 integrado por meio do Bendito no dia 19/08/2024 às 16:01:59</t>
  </si>
  <si>
    <t>k9rFS2IISDGnDCU8JYol.Q</t>
  </si>
  <si>
    <t>15805-A</t>
  </si>
  <si>
    <t>8F00240723290623</t>
  </si>
  <si>
    <t>PROMOÇÃO DA FEIRA 2% . (22.933,97) FINAL 
CONTROLADORES WI-FI 3 UNIDADES BONIFICADAS .- AUTORIZADO PRISCILLA NA FEIRA 
 Pedido nº 952 enviado pelo vendedor Renato criado em 13/08/2024 20:58:51 integrado por meio do Bendito no dia 19/08/2024 às 17:52:45</t>
  </si>
  <si>
    <t>HhzjhBYET0qn-V8bqGjl.Q</t>
  </si>
  <si>
    <t>15805-B</t>
  </si>
  <si>
    <t>8A00240514003063</t>
  </si>
  <si>
    <t>uiO4UAvsRAWuP.iAIsm4-Q</t>
  </si>
  <si>
    <t>15806</t>
  </si>
  <si>
    <t>13604</t>
  </si>
  <si>
    <t>DESCONTO ESPECIAL EXPOLAZER +7% PREÇO CORRETO:  R$ 10.407,10- PRISCILLA AUTORIZOU 
 Pedido nº 955 enviado pelo vendedor Carlos Augusto  criado em 14/08/2024 08:44:55 integrado por meio do Bendito no dia 19/08/2024 às 17:53:39</t>
  </si>
  <si>
    <t>t-jNELpJRj-n2eyaZGIoyw</t>
  </si>
  <si>
    <t>15807</t>
  </si>
  <si>
    <t>8A00240411003106</t>
  </si>
  <si>
    <t>Este equipamento saíra no custo de R$2.074,00 PARA LAZER E CIA . DEVIDO A TROCA PELA FTI 75, QUE RETORNARÁ . 
Cliente irá emitir uma NF de devolução da fti 75 . O frete de ida será por conta do cliente e tbm o retorno da fti 75 . Por email , está copiado Priscilla 
a devolução da FTI 75 se refere ao pedido 14786, NF 10267 - R$ 9609,63
FORMAÇÃO DO PREÇO 9609,63 + 2.074,00 = 11.683,63
 Pedido nº 976 enviado pelo vendedor Mario  criado em 20/08/2024 09:24:45 integrado por meio do Bendito no dia 20/08/2024 às 09:26:09</t>
  </si>
  <si>
    <t>ImEoMpW0SY-FHHaHfrgJ1w</t>
  </si>
  <si>
    <t>15809-A</t>
  </si>
  <si>
    <t>HOTEL RECANTO MAESTRO LTDA</t>
  </si>
  <si>
    <t>13558</t>
  </si>
  <si>
    <t xml:space="preserve">entrega futura - NF 9971 PEDIDO RECRIADO COMO 15809
VALOR NF R$ 129.800,00 VALOR TABELA R$ 68.129,53 DIF TABXNF R$ 61.670,47 IMPOSTO 17% R$ 10.483
,98 DIFAL R$ 6.490,00 TOTAL R$ 85.103,51
</t>
  </si>
  <si>
    <t>NaapH3ebSlmorS6MvsPdFw</t>
  </si>
  <si>
    <t>15809-B</t>
  </si>
  <si>
    <t>13559</t>
  </si>
  <si>
    <t>kFb2XiF4T3mYmhrJuuRztA</t>
  </si>
  <si>
    <t>15810-A</t>
  </si>
  <si>
    <t>WELTER EMPREENDIMENTOS IMOBILIARIOS LTDA.</t>
  </si>
  <si>
    <t>VALOR NF - R$ 83.340,00 
VALOR TABELA - R$ 44.662,95 
DIF TABxNF - R$ 38.677,05 
IMPOSTO 17% - R$ 6.575,10 
DIFAL - R$ 4.167,00
TOTAL - R$ 55.405,05
Boleto para 15/09 com desconto de à vista, pois a entrega será posterior a essa data, programada para 01/11.
Entregar na Rua Boa Ventura Garcia, 156 - Centro-Canela/RS - CEP 95680-000 - Frete CIF (descontar do valor da comissão)
 Pedido nº 977 enviado pelo vendedor Thiago  criado em 20/08/2024 10:05:43 integrado por meio do Bendito no dia 20/08/2024 às 11:36:17</t>
  </si>
  <si>
    <t>cbQXuMLOQAqNM.VY.79Olw</t>
  </si>
  <si>
    <t>15810-B</t>
  </si>
  <si>
    <t>b4uxUpmkmWRLi0yQolb8</t>
  </si>
  <si>
    <t>15810-C</t>
  </si>
  <si>
    <t>1WGzFnhjtysJnLmsKlyR</t>
  </si>
  <si>
    <t>15811</t>
  </si>
  <si>
    <t>LEANDRO REIS MARCOS</t>
  </si>
  <si>
    <t>8B00240322003194</t>
  </si>
  <si>
    <t>Pagto no cartão 6x - valor R$ 10.436,90 (valor com os juros informado pela Juliana Fromtherm)
Frete : sem redespacho - direto pela Rodonaves - o cliente solicita a coleta -  SC - CNPJ: 44.914.992/0036-68 - OP ERRADA 8B00240322003193
 Pedido nº 979 enviado pelo vendedor Luiz  criado em 20/08/2024 11:16:05 integrado por meio do Bendito no dia 20/08/2024 às 14:49:54</t>
  </si>
  <si>
    <t>BcQVYzHrSSqvYI6-C9-POA</t>
  </si>
  <si>
    <t>15812</t>
  </si>
  <si>
    <t>8B00240322003262</t>
  </si>
  <si>
    <t>Pedido nº 983 enviado pelo vendedor Carlos Augusto  criado em 20/08/2024 14:20:24 integrado por meio do Bendito no dia 20/08/2024 às 15:03:33</t>
  </si>
  <si>
    <t>TE9Lh9c9Qmu.9lz.DNdOUg</t>
  </si>
  <si>
    <t>15813</t>
  </si>
  <si>
    <t>Pedido nº 982 enviado pelo vendedor Marcelo criado em 20/08/2024 14:19:44 integrado por meio do Bendito no dia 20/08/2024 às 15:04:26</t>
  </si>
  <si>
    <t>nMxoezbuQF6dwVKQrwB8Iw</t>
  </si>
  <si>
    <t>15814</t>
  </si>
  <si>
    <t>M M DOS SANTOS COMERCIO DE INFORMATICA</t>
  </si>
  <si>
    <t>13564</t>
  </si>
  <si>
    <t>BRASSPRESS</t>
  </si>
  <si>
    <t>FTE6J45 - RETIRA - LUIZ PAULO DE SOUZA - 10512817928 - M.BENZ / ESPECIAL CAMINHAO / AZUL / 2021</t>
  </si>
  <si>
    <t>Cliente fez pix R$500,00 PARA COBRIR O VALOR FRETE- BRASPRESS COTADO PLEO PAULO. ENVIAR PARA ENDEREÇO DO CLIENTE . 
 Pedido nº 812 enviado pelo vendedor Mario  criado em 17/07/2024 14:05:16 integrado por meio do Bendito no dia 21/08/2024 às 09:30:40</t>
  </si>
  <si>
    <t>PA</t>
  </si>
  <si>
    <t>3uUDNj4iTjiWOHXhvZCYBQ</t>
  </si>
  <si>
    <t>15815</t>
  </si>
  <si>
    <t>8B00231215003137</t>
  </si>
  <si>
    <t>ESTOQUE CURITIBA - PR 018
 Pedido nº 987 enviado pelo vendedor Renato criado em 21/08/2024 10:17:27 integrado por meio do Bendito no dia 21/08/2024 às 11:07:22</t>
  </si>
  <si>
    <t>wziU5SNgQAK7soevO2mSSg</t>
  </si>
  <si>
    <t>15819</t>
  </si>
  <si>
    <t>8A00240514003105</t>
  </si>
  <si>
    <t>Pagamento à vista, desconto de 3%. Valor total R$ 18.214,78
 Pedido nº 988 enviado pelo vendedor Thiago  criado em 21/08/2024 11:29:22 integrado por meio do Bendito no dia 22/08/2024 às 10:41:30</t>
  </si>
  <si>
    <t>I5O0npeqRfWJ662mcpbkzQ</t>
  </si>
  <si>
    <t>15820</t>
  </si>
  <si>
    <t>8B00230924003182</t>
  </si>
  <si>
    <t>ESTOQUE CURITIBA - PR 117
 Pedido nº 989 enviado pelo vendedor Renato criado em 21/08/2024 12:09:29 integrado por meio do Bendito no dia 22/08/2024 às 10:43:36</t>
  </si>
  <si>
    <t>2kPq..YaRR6lg8eUJtH97g</t>
  </si>
  <si>
    <t>15823</t>
  </si>
  <si>
    <t>8B00240322003131</t>
  </si>
  <si>
    <t>Pedido nº 993 enviado pelo vendedor Carlos Augusto  criado em 21/08/2024 18:17:10 integrado por meio do Bendito no dia 22/08/2024 às 10:51:59</t>
  </si>
  <si>
    <t>i3AWyqszTuGhv29LjZNJHQ</t>
  </si>
  <si>
    <t>15824</t>
  </si>
  <si>
    <t>8A00240411003138</t>
  </si>
  <si>
    <t>ESTOQUE CURITIBA -PR 174
 Pedido nº 994 enviado pelo vendedor Renato criado em 22/08/2024 09:34:25 integrado por meio do Bendito no dia 22/08/2024 às 10:54:22</t>
  </si>
  <si>
    <t>wb2ch0OiTKSjcoxCCEC-Ug</t>
  </si>
  <si>
    <t>15826</t>
  </si>
  <si>
    <t>AQUAMIX PISCINAS</t>
  </si>
  <si>
    <t>8B00240322003244</t>
  </si>
  <si>
    <t>BDS9H81 - RETIRA - JOSÉ ANDREAZZA - 68381212987 - VW/ NOVA SAVEIRO RB MBVS / CARGA CAMINHONETE  / BRANCA  / 2020</t>
  </si>
  <si>
    <t>VALOR A VISTA :  R$ 14.394,87
 Pedido nº 985 enviado pelo vendedor Carlos Augusto  criado em 21/08/2024 07:52:58 integrado por meio do Bendito no dia 22/08/2024 às 11:20:48</t>
  </si>
  <si>
    <t>1ohHAkWXRGii8vQ1T4QPAQ</t>
  </si>
  <si>
    <t>15827</t>
  </si>
  <si>
    <t>8B00240106003065</t>
  </si>
  <si>
    <t>Maquina cliente Nolasco. Vendida pela AT /Simone 
 Pedido nº 997 enviado pelo vendedor Ricardo Henrique  criado em 22/08/2024 12:03:55 integrado por meio do Bendito no dia 22/08/2024 às 14:00:23
NÃO ENTREGAR S/ENTRAR EM CONTATO COM O TELEFONE: JORGE (21) 99512-4022 AO MENOS C/ 24H</t>
  </si>
  <si>
    <t>K5Xd0-FyTi28IxWibCor2w</t>
  </si>
  <si>
    <t>15830</t>
  </si>
  <si>
    <t>8B00240322003238</t>
  </si>
  <si>
    <t>O REDESPACHO SERA FOB - TRANSPORTADORA RISSO TRANSPORTES CNPJ: 59.504.225/0003-90 - Endereço: Av. Jornalista Paulo Zingg, 300 - Jardim Jaragua (Sao Domingos), São Paulo - SP, 05157-030 Telefone: (11) 3933-7570 - Cotação de Frete Nº0330-108135 
 Pedido nº 998 enviado pelo vendedor Robson criado em 22/08/2024 13:35:18 integrado por meio do Bendito no dia 22/08/2024 às 16:17:26
O REDESP. SERA FOB - TRANSP. RISSO - CNPJ:59.504.225/0003-90 - Endereço: Av. Jornalista Paulo Zingg, 300, CEP: 05157-030</t>
  </si>
  <si>
    <t>fILcY4O8T4Knodb.lOFG0g</t>
  </si>
  <si>
    <t>15837-A</t>
  </si>
  <si>
    <t>8A00240514003043</t>
  </si>
  <si>
    <t>XDeQjm8aSieLcCxjsYyY4w</t>
  </si>
  <si>
    <t>15837-B</t>
  </si>
  <si>
    <t>8A00240514003058</t>
  </si>
  <si>
    <t>6hI48rH1Qk6X90A2NVVp2A</t>
  </si>
  <si>
    <t>15837-C</t>
  </si>
  <si>
    <t>8A00240514003037</t>
  </si>
  <si>
    <t>TGZfTtP9QrWn-9jMB-BJ0w</t>
  </si>
  <si>
    <t>15837-D</t>
  </si>
  <si>
    <t>8A00240514003042</t>
  </si>
  <si>
    <t>YW3JpYQ.QqeUaEgdQajeEw</t>
  </si>
  <si>
    <t>15837-E</t>
  </si>
  <si>
    <t>8A00240514003031</t>
  </si>
  <si>
    <t>M.Xef1xSTPubcUciJD4lnw</t>
  </si>
  <si>
    <t>15837-F</t>
  </si>
  <si>
    <t>8A00240514003038</t>
  </si>
  <si>
    <t>8v57nPtOR9eA5IYzhcA4yA</t>
  </si>
  <si>
    <t>15837-G</t>
  </si>
  <si>
    <t>8A00240514003040</t>
  </si>
  <si>
    <t>t6G1edMiQXqkU6zzs8tA4w</t>
  </si>
  <si>
    <t>15837-H</t>
  </si>
  <si>
    <t>8A00240514003045</t>
  </si>
  <si>
    <t>luqQsYdHSlK-bjG7G2Nqyg</t>
  </si>
  <si>
    <t>15837/3</t>
  </si>
  <si>
    <t>8F00240723290625</t>
  </si>
  <si>
    <t>mgiDcXmZQkeUvigB4oSV7A</t>
  </si>
  <si>
    <t>15839-A</t>
  </si>
  <si>
    <t>PODYUM LANCAMENTOS</t>
  </si>
  <si>
    <t>13567</t>
  </si>
  <si>
    <t>FT180J40T - R$ 23.302,67 (valor unitário). Total do pedido R$ 93.210,68
 Pedido nº 1004 enviado pelo vendedor Thiago  criado em 26/08/2024 14:58:30 integrado por meio do Bendito no dia 28/08/2024 às 08:39:59</t>
  </si>
  <si>
    <t>w8dVpCFVTHSDXTbIbVPPPQ</t>
  </si>
  <si>
    <t>15839-B</t>
  </si>
  <si>
    <t>13569</t>
  </si>
  <si>
    <t>j7ipGfvsin0PzARAJ6af</t>
  </si>
  <si>
    <t>15839-C</t>
  </si>
  <si>
    <t>13568</t>
  </si>
  <si>
    <t>XI5XbJ3Arf0CvLqmc0Z9</t>
  </si>
  <si>
    <t>15839-D</t>
  </si>
  <si>
    <t>13570</t>
  </si>
  <si>
    <t>MGYsB9pt3dNpvJSWB0aS</t>
  </si>
  <si>
    <t>15840</t>
  </si>
  <si>
    <t>AQUAVIL PISCINAS LTDA</t>
  </si>
  <si>
    <t>13566</t>
  </si>
  <si>
    <t>Conceder +3% ref a vista. Frete cotar e embutir na nf. Paulo ja cotou frete 453,00 via fit log cot 253424 
 Pedido nº 1005 enviado pelo vendedor Ricardo Henrique  criado em 26/08/2024 15:20:07 integrado por meio do Bendito no dia 28/08/2024 às 08:48:01</t>
  </si>
  <si>
    <t>d3XPPqTkTaWmd4co8J3tgg</t>
  </si>
  <si>
    <t>15843</t>
  </si>
  <si>
    <t>8A00240514003106</t>
  </si>
  <si>
    <t xml:space="preserve">Transp. Cividini e Cia Ltda Rua - Sd Cristóvão Moraes Garcia, 375 P.N. Mundo - São Paulo SP Cep - 02187-090 - fone (11) 2207-0813
 Pedido nº 1008 enviado pelo vendedor Juscelino criado em 26/08/2024 19:18:22 integrado por meio do Bendito no dia 28/08/2024 às 08:52:38
</t>
  </si>
  <si>
    <t>TVhAyrJrSoyK-w5ND1bmWw</t>
  </si>
  <si>
    <t>15844-A</t>
  </si>
  <si>
    <t>TROPICAL VARANDAS E PISCINAS</t>
  </si>
  <si>
    <t>8A00240514003050</t>
  </si>
  <si>
    <t>O REDESP. SERA FOB - TRANSP. ST - CNPJ:13.327.196/0002-56 - END: AV TEN. AMARO FELICISSIMO DA SILVEIRA, SN , CEP: 02177-010 COMPLEMENTO GP 10 PQ NOVO MUNDO SÃO PAULO - SP TEL 11 4304-3400</t>
  </si>
  <si>
    <t>YIrUQXF2TlWxN3Ztpp0mIA</t>
  </si>
  <si>
    <t>15844-B</t>
  </si>
  <si>
    <t>8F00240723290630</t>
  </si>
  <si>
    <t>BX4V65S6VPeNJsU5yv9p</t>
  </si>
  <si>
    <t>15845</t>
  </si>
  <si>
    <t>8B00240322003069</t>
  </si>
  <si>
    <t>PR 147
Pedido nº 1013 enviado pelo vendedor Renato criado em 27/08/2024 15:17:07 integrado por meio do Bendito no dia 28/08/2024 às 08:59:05</t>
  </si>
  <si>
    <t>jVqqdAVjSc-JqSXe8LY.dg</t>
  </si>
  <si>
    <t>15846</t>
  </si>
  <si>
    <t>8A00240513003016</t>
  </si>
  <si>
    <t>cotação de frete nr.4095 valor de R$ 127,40 -Sao Miguel
 Pedido nº 1014 enviado pelo vendedor Renato criado em 27/08/2024 15:31:54 integrado por meio do Bendito no dia 28/08/2024 às 09:26:30</t>
  </si>
  <si>
    <t>s7MqRxqiRQyJSRwjvErDDA</t>
  </si>
  <si>
    <t>15847</t>
  </si>
  <si>
    <t>PENUCI PISCINAS</t>
  </si>
  <si>
    <t>8B00240322003075</t>
  </si>
  <si>
    <t>PR149 MAQUINA SAIRA DO ESTOQUE BOLHA AZUL
 Pedido nº 1024 enviado pelo vendedor Renato criado em 28/08/2024 17:58:44 integrado por meio do Bendito no dia 29/08/2024 às 08:29:22</t>
  </si>
  <si>
    <t>NT8eArq1QeGdGP-hWmxT6w</t>
  </si>
  <si>
    <t>15848</t>
  </si>
  <si>
    <t>8A00240514003004</t>
  </si>
  <si>
    <t>Pedido nº 1019 enviado pelo vendedor Thiago  criado em 28/08/2024 10:38:51 integrado por meio do Bendito no dia 28/08/2024 às 13:13:34</t>
  </si>
  <si>
    <t>7gisgT.NQ32r.2DC-qvMvg</t>
  </si>
  <si>
    <t>15850</t>
  </si>
  <si>
    <t>8B00240322003138</t>
  </si>
  <si>
    <t>redespacho: FORMATO TRASNPORTES LTDA -CNPJ 13.727.240/0001-34 :Rua Rio Grande do Piauí- 130- CIDADE ARACILIA GUARULHOS-SP (11) 2536 7215
Cartão de crédito em 10x
 Pedido nº 1018 enviado pelo vendedor Mario  criado em 28/08/2024 10:08:33 integrado por meio do Bendito no dia 28/08/2024 às 13:25:27</t>
  </si>
  <si>
    <t>F5pEYYkOQHq8XMa8MdRasQ</t>
  </si>
  <si>
    <t>15851</t>
  </si>
  <si>
    <t>11592</t>
  </si>
  <si>
    <t>Frete: FOB 
 Pedido nº 1012 enviado pelo vendedor Ricardo Henrique  criado em 27/08/2024 15:14:22 integrado por meio do Bendito no dia 28/08/2024 às 13:29:45</t>
  </si>
  <si>
    <t>cvRQi.E8TRCWxsslE30.TA</t>
  </si>
  <si>
    <t>15853</t>
  </si>
  <si>
    <t>13565</t>
  </si>
  <si>
    <t>Frete: FOB
 Pedido nº 1021 enviado pelo vendedor Ricardo Henrique  criado em 28/08/2024 13:55:37 integrado por meio do Bendito no dia 28/08/2024 às 14:49:04</t>
  </si>
  <si>
    <t>sumX3rEwRZSiYiUWY2O3HQ</t>
  </si>
  <si>
    <t>15855</t>
  </si>
  <si>
    <t>8A00240514003101</t>
  </si>
  <si>
    <t>REDESPACHO FOB  CNPJ 24.882.886/0002-93 RADLOG TRANSPORTES LTDA Rua UMBUZEIRO, 123 - Cep 07.224-010 - BAIRRO CIDADE INDUSTRIAL SATELITE DE SAO PAULO - GUARULHOS - SP I.E. 796.514.930.111 - UREGENTE 
 Pedido nº 1022 enviado pelo vendedor Ranoika  criado em 28/08/2024 15:03:29 integrado por meio do Bendito no dia 28/08/2024 às 15:05:42
O REDESPACHO SERA FOB - TRANSP. RADLOG - CNPJ : 24.882.886/0002-93 - END: R UMBUZEIRO, 123, CEP: 07.224-010</t>
  </si>
  <si>
    <t>K7.7DX45Siy.ITBvMW2kNw</t>
  </si>
  <si>
    <t>15860-A</t>
  </si>
  <si>
    <t>13571</t>
  </si>
  <si>
    <t>MGQ1057 - RETIRA - WILLY GUSTAVO HENSCHEL DA SILVA  - 09543749914 - FROD/COURIER L 1.6 FLEX / CARGA CAMINHONETE  / PRATA / 2010</t>
  </si>
  <si>
    <t>QUADRO DE COMANDO DESLOCADO DE SOBREPOR
PRAZO DE PAGAMENTO 30/60/90/120 DIAS - PREÇO ACERTADO (NEGOCIAÇÃO EM ANDAMENTO:   R$ 26.695,52 = 53.391,04 
 Pedido nº 999 enviado pelo vendedor Carlos Augusto  criado em 22/08/2024 14:22:00 integrado por meio do Bendito no dia 29/08/2024 às 11:50:37</t>
  </si>
  <si>
    <t>aHTQrOr7QJKjZnRktDdjRw</t>
  </si>
  <si>
    <t>15860-B</t>
  </si>
  <si>
    <t>13572</t>
  </si>
  <si>
    <t>0OtGbA4lOFxIUv9hoA6X</t>
  </si>
  <si>
    <t>15861</t>
  </si>
  <si>
    <t>13573</t>
  </si>
  <si>
    <t>embutido valor frete no item 
 Pedido nº 1025 enviado pelo vendedor Ricardo Henrique  criado em 29/08/2024 07:59:59 integrado por meio do Bendito no dia 29/08/2024 às 13:43:48</t>
  </si>
  <si>
    <t>4EtSN68PQdKkzsW.3VdmGw</t>
  </si>
  <si>
    <t>15862</t>
  </si>
  <si>
    <t>13598</t>
  </si>
  <si>
    <t>ATENÇÃO - Descontar dos créditos de devolução com saldo disponíveis. APROVADO SEM COBRANÇA -Liberado pela Priscilla .
Pedido de Compra Nº 6237 - constar em NF
 Pedido nº 1015 enviado pelo vendedor Fábio criado em 28/08/2024 07:48:36 integrado por meio do Bendito no dia 29/08/2024 às 13:49:01</t>
  </si>
  <si>
    <t>L7Ghzwx.RNKoLmAGippnPQ</t>
  </si>
  <si>
    <t>15864-A</t>
  </si>
  <si>
    <t>13574</t>
  </si>
  <si>
    <t>Pedido nº 1027 enviado pelo vendedor Renato criado em 29/08/2024 09:59:50 integrado por meio do Bendito no dia 29/08/2024 às 14:46:52</t>
  </si>
  <si>
    <t>bh91ga-pQ6ykhhTQNZQg7Q</t>
  </si>
  <si>
    <t>15864-B</t>
  </si>
  <si>
    <t>13575</t>
  </si>
  <si>
    <t>l6AmuCC9b7oizBZZrZjr</t>
  </si>
  <si>
    <t>15865</t>
  </si>
  <si>
    <t>8A00240411003091</t>
  </si>
  <si>
    <t>ESTOQUE CURITIBA - PR 161
 Pedido nº 1029 enviado pelo vendedor Renato criado em 29/08/2024 14:26:56 integrado por meio do Bendito no dia 29/08/2024 às 14:49:57</t>
  </si>
  <si>
    <t>aLNOdF4URVO8A6F2WUFkUg</t>
  </si>
  <si>
    <t>15866-A</t>
  </si>
  <si>
    <t>H-POOL PISCINAS E EQUIPAMENTOS</t>
  </si>
  <si>
    <t>8B00240322003193</t>
  </si>
  <si>
    <t>JCP2C36 - RETIRA - RICARDO MATTOS DA SILVEIRA - 95970002020 - NISSAN / FRONTIER / CINZA / 2023</t>
  </si>
  <si>
    <t>Pedido nº 1030 enviado pelo vendedor Mario  criado em 29/08/2024 16:47:21 integrado por meio do Bendito no dia 29/08/2024 às 17:01:25</t>
  </si>
  <si>
    <t>JAIR RODRIGUES</t>
  </si>
  <si>
    <t>Ig5A8p1jQXejc437JU1h8w</t>
  </si>
  <si>
    <t>15866-B</t>
  </si>
  <si>
    <t>8A00240513003009</t>
  </si>
  <si>
    <t>lAZSi3MTKgs2xxU6CIg0</t>
  </si>
  <si>
    <t>15867</t>
  </si>
  <si>
    <t>8B00240322003225</t>
  </si>
  <si>
    <t>ESTOQUE CURITIBA - PR156
 Pedido nº 1031 enviado pelo vendedor Renato criado em 29/08/2024 17:09:39 integrado por meio do Bendito no dia 29/08/2024 às 18:04:11</t>
  </si>
  <si>
    <t>bXuQrCllQ8WnfDJXAvflzQ</t>
  </si>
  <si>
    <t>15868</t>
  </si>
  <si>
    <t>HL INSTALACOES</t>
  </si>
  <si>
    <t>13594</t>
  </si>
  <si>
    <t>Pedido nº 1032 enviado pelo vendedor Renato criado em 29/08/2024 17:40:50 integrado por meio do Bendito no dia 29/08/2024 às 18:05:26</t>
  </si>
  <si>
    <t>S1fq.79.Q.m0r8uGdH1PEg</t>
  </si>
  <si>
    <t>15869-A</t>
  </si>
  <si>
    <t>8B00240322003251</t>
  </si>
  <si>
    <t>Valor de cada maquina 12.797,00 autorizado pelo Mario. Entrega urgente. R$25.594,00
 Pedido nº 1016 enviado pelo vendedor Ricardo Henrique  criado em 28/08/2024 08:32:56 integrado por meio do Bendito no dia 29/08/2024 às 18:13:46</t>
  </si>
  <si>
    <t>70KmTiztTsaTr1gmS7f.Iw</t>
  </si>
  <si>
    <t>15869-B</t>
  </si>
  <si>
    <t>8B00240322003246</t>
  </si>
  <si>
    <t>b9SJa83aoCVZzvwYAfiA</t>
  </si>
  <si>
    <t>15870-A</t>
  </si>
  <si>
    <t>13577</t>
  </si>
  <si>
    <t>VICAR</t>
  </si>
  <si>
    <t>REDESPACHO FOB CNPJ 18.131.868/0001-96 - VICAR TRANSPORTE DE CARGA LTDA - R SERRA DO MAR, 106 - CEP 07.223-010 - BAIRRO
CIDADE INDUSTRIAL SATELITE DE SAO PAULO - GUARULHOS - SP - I.E. 796.101.919.116
 Pe
 Pedido nº 1033 enviado pelo vendedor Ranoika  criado em 29/08/2024 18:17:10 integrado por meio do Bendito no dia 29/08/2024 às 18:19:34
REDESPACHO FOB CNPJ 18.131.868/0001-96 - VICAR TRANSPORTE DE CARGA LTDA - R SERRA DO MAR, 106 - CEP 07.223-010 - BAIRRO CIDADE INDUSTRIAL SATELITE DE SAO PAULO - GUARULHOS - SP - I.E. 796.101.919.116</t>
  </si>
  <si>
    <t>2vIwSwFgRcKp.p7zWN15vA</t>
  </si>
  <si>
    <t>15870-B</t>
  </si>
  <si>
    <t>13578</t>
  </si>
  <si>
    <t>D4nIKhVnMmSvtBDskyDm</t>
  </si>
  <si>
    <t>15870-C</t>
  </si>
  <si>
    <t>13589</t>
  </si>
  <si>
    <t>dbowMltPJyIzJfK8xTWU</t>
  </si>
  <si>
    <t>15870-D</t>
  </si>
  <si>
    <t>13580</t>
  </si>
  <si>
    <t>JOfR2Qq0JcT9rd1tnzwK</t>
  </si>
  <si>
    <t>15871</t>
  </si>
  <si>
    <t>8F00240723260471</t>
  </si>
  <si>
    <t>Pedido nº 1037 enviado pelo vendedor Fábio criado em 29/08/2024 21:00:34 integrado por meio do Bendito no dia 30/08/2024 às 12:55:25</t>
  </si>
  <si>
    <t>BsKBZGt7RmiKxi-i4b3b5w</t>
  </si>
  <si>
    <t>15872</t>
  </si>
  <si>
    <t>8F00240723290654</t>
  </si>
  <si>
    <t>Cliente - Hub Tenorio (constar em NF)
Vai aguardar a chegada no próximo lote . 
 Pedido nº 1038 enviado pelo vendedor Fábio criado em 29/08/2024 21:02:56 integrado por meio do Bendito no dia 30/08/2024 às 12:56:19</t>
  </si>
  <si>
    <t>apR-kRtRQxKmK5zGhjQepw</t>
  </si>
  <si>
    <t>15873-A</t>
  </si>
  <si>
    <t>13605</t>
  </si>
  <si>
    <t>PEDIDO EM SUBSTITUIÇÃO A BOMBA FT240 DO PEDIDO 15126 NO VALOR DE R$ 34.546,00
AUTORIZADO POR MARIO -  EQUIPAMENTO NA FÁBRICA NÃO FOI RETIRADO AINDA 
VALOR DA MAQUINA NO PEDIDO 15126 - 31.091,45- PRECISA AJUSTAR
Pedido nº 1039 enviado pelo vendedor Carlos Augusto  criado em 30/08/2024 06:43:42 integrado por meio do Bendito no dia 30/08/2024 às 12:59:30</t>
  </si>
  <si>
    <t>yN3eSQiZSMiZUEW6.JTgCA</t>
  </si>
  <si>
    <t>15873-B</t>
  </si>
  <si>
    <t>13606</t>
  </si>
  <si>
    <t>ytV7bUJWwkTcppM2OvrG</t>
  </si>
  <si>
    <t>15874</t>
  </si>
  <si>
    <t>8A00240514003005</t>
  </si>
  <si>
    <t>Pedido nº 1040 enviado pelo vendedor Carlos Augusto  criado em 30/08/2024 06:51:05 integrado por meio do Bendito no dia 30/08/2024 às 13:01:26</t>
  </si>
  <si>
    <t>I.xmVRtNTBqjDU1RNE1kiA</t>
  </si>
  <si>
    <t>15875</t>
  </si>
  <si>
    <t>8A00240514003006</t>
  </si>
  <si>
    <t>Acrescimo 2% para sair com frete Cif direto da Fromtherm para o Rio. Foi diminuído o valor do desconto do cliente .
 Pedido nº 1046 enviado pelo vendedor Ricardo Henrique  criado em 30/08/2024 11:11:49 integrado por meio do Bendito no dia 30/08/2024 às 13:09:43</t>
  </si>
  <si>
    <t>fQcIe2gOScCNEDMPHwTUYw</t>
  </si>
  <si>
    <t>15876</t>
  </si>
  <si>
    <t>8F00240723270501</t>
  </si>
  <si>
    <t>REDESPACHO FOB  CNPJ 24.882.886/0002-93 - RADLOG TRANSPORTES LTDA Rua UMBUZEIRO, 123 - Cep 07.224-010 - BAIRRO CIDADE INDUSTRIAL SATELITE DE SAO PAULO - GUARULHOS - SP I.E. 796.514.930.111
 Pedido nº 1047 enviado pelo vendedor Ranoika  criado em 30/08/2024 13:07:10 integrado por meio do Bendito no dia 30/08/2024 às 13:12:08</t>
  </si>
  <si>
    <t>j6vvHo8fSBWHln96Rnjl2w</t>
  </si>
  <si>
    <t>15877</t>
  </si>
  <si>
    <t>HIDROSHOP MATERIAIS DE CONSTRUCAO</t>
  </si>
  <si>
    <t>8A00240411003119</t>
  </si>
  <si>
    <t>ESTOQUE CURITIBA - PR188
 Pedido nº 1048 enviado pelo vendedor Renato criado em 30/08/2024 14:21:32 integrado por meio do Bendito no dia 30/08/2024 às 14:49:17</t>
  </si>
  <si>
    <t>ljWz4EyiQ3qywUuV5G7QKw</t>
  </si>
  <si>
    <t>15878-A</t>
  </si>
  <si>
    <t>13471</t>
  </si>
  <si>
    <t>TOTAL DO PEDIDO - R$ 52.313,14
 Pedido nº 1049 enviado pelo vendedor Thiago  criado em 30/08/2024 14:48:35 integrado por meio do Bendito no dia 30/08/2024 às 14:50:30</t>
  </si>
  <si>
    <t>2AsrzQ0XRJakF4Z6UXWRgQ</t>
  </si>
  <si>
    <t>15878-B</t>
  </si>
  <si>
    <t>13662</t>
  </si>
  <si>
    <t>8KzwWAIJcbbltLW6oau0</t>
  </si>
  <si>
    <t>15878-C</t>
  </si>
  <si>
    <t>8F00240723260490</t>
  </si>
  <si>
    <t>ObTKCORRNczFjgpV0Drb</t>
  </si>
  <si>
    <t>15879</t>
  </si>
  <si>
    <t>VR MOTOS MAQUINAS E EQUIPAMENTOS AGRICOLAS</t>
  </si>
  <si>
    <t>8F00240723270507</t>
  </si>
  <si>
    <t>REDESPACHO FOB: TRANSPORTADORA CARVALIMA - 33.070.814/0003-13 AV. ALEXANDRE COLARES 340- PQ ANHANGUERA SÃO PAULO-CEP 05106-000 (11) 986189438
 Pedido nº 1042 enviado pelo vendedor Juscelino criado em 30/08/2024 09:15:24 integrado por meio do Bendito no dia 30/08/2024 às 15:08:53</t>
  </si>
  <si>
    <t>suqQkbjvT8OqfQEn4ZxuxA</t>
  </si>
  <si>
    <t>15880</t>
  </si>
  <si>
    <t>8F00240723260491</t>
  </si>
  <si>
    <t>Remessa entrega futura- Cotação frete : 256543 
 Pedido nº 1045 enviado pelo vendedor Ricardo Henrique  criado em 30/08/2024 11:10:04 integrado por meio do Bendito no dia 30/08/2024 às 15:22:15</t>
  </si>
  <si>
    <t>IWNR.3nJQWWbrNWJE4T2jQ</t>
  </si>
  <si>
    <t>15881</t>
  </si>
  <si>
    <t>TRAMPOLIM PISCINAS LTDA</t>
  </si>
  <si>
    <t>8B00240322003176</t>
  </si>
  <si>
    <t>RENATO LA DA BOLHA AZUL</t>
  </si>
  <si>
    <t>RENATO PEGOU A PR112 QUE ESTAVA DA VITAL E ENTREGOU PARA ESSE CLIENTE, ESTAMOS DEVENDO A MAQUINA DA VITAL</t>
  </si>
  <si>
    <t>a.rlT5E1oRwOHan53LLUUvg</t>
  </si>
  <si>
    <t>15882-A</t>
  </si>
  <si>
    <t>13579</t>
  </si>
  <si>
    <t>REDESP FOB CNPJ 17.910.909/0002-60 - ABM LOGISTICA LTDA - EST MUNICIPAL, 205 ¿¿¿ BAIRRO JARDIM SANTO AFONSO - CEP 07.215-040 ¿¿¿ BAIRRO JARDIM SANTO AFONSO ¿¿¿ GUARULHOS ¿¿¿ GO ¿¿¿ I.E. 127.937.412.119
 Pedido nº 1000 enviado pelo vendedor Ranoika  criado em 22/08/2024 14:41:34 integrado por meio do Bendito no dia 30/08/2024 às 15:53:18</t>
  </si>
  <si>
    <t>sQE2C6EGS3a.mY.VNOtLEw</t>
  </si>
  <si>
    <t>15882-B</t>
  </si>
  <si>
    <t>13581</t>
  </si>
  <si>
    <t>REDESPACHO FOB CNPJ 17.910.909/0002-60 - ABM LOGISTICA LTDA - EST MUNICIPAL, 205 ¿¿¿ BAIRRO JARDIM SANTO AFONSO - CEP 07.215-040 ¿¿¿ BAIRRO JARDIM SANTO AFONSO ¿¿¿ GUARULHOS ¿¿¿ GO ¿¿¿ I.E. 127.937.412.119
 Pedido nº 1000 enviado pelo vendedor Ranoika  criado em 22/08/2024 14:41:34 integrado por meio do Bendito no dia 30/08/2024 às 15:53:18</t>
  </si>
  <si>
    <t>GGtPXIv7VlN31gsPMQli</t>
  </si>
  <si>
    <t>15882-C</t>
  </si>
  <si>
    <t>13582</t>
  </si>
  <si>
    <t>76E5ssXUh4N57PTR5Kfa</t>
  </si>
  <si>
    <t>15882-D</t>
  </si>
  <si>
    <t>13583</t>
  </si>
  <si>
    <t>gr4dhAqsqaDzj1VqYtrd</t>
  </si>
  <si>
    <t>15882-E</t>
  </si>
  <si>
    <t>13584</t>
  </si>
  <si>
    <t>QiMXCUsMIXEqjwOynIfH</t>
  </si>
  <si>
    <t>15882-F</t>
  </si>
  <si>
    <t>13585</t>
  </si>
  <si>
    <t>auQf5CoQPAHUNnjIWHL8</t>
  </si>
  <si>
    <t>15882-G</t>
  </si>
  <si>
    <t>13586</t>
  </si>
  <si>
    <t>FnAVZNqj524S5Kys2lNk</t>
  </si>
  <si>
    <t>15882-H</t>
  </si>
  <si>
    <t>13587</t>
  </si>
  <si>
    <t>4ocliXD98k2fTL3z4GWV</t>
  </si>
  <si>
    <t>15884-A</t>
  </si>
  <si>
    <t>FAST WAY CLEANING</t>
  </si>
  <si>
    <t>13624</t>
  </si>
  <si>
    <t>FTI145DBR</t>
  </si>
  <si>
    <t>Pedido nº 1041 enviado pelo vendedor Renato criado em 30/08/2024 08:32:10 integrado por meio do Bendito no dia 30/08/2024 às 16:36:36</t>
  </si>
  <si>
    <t>c7ncSJGcTuabTbVHeWEalQ</t>
  </si>
  <si>
    <t>15884-B</t>
  </si>
  <si>
    <t>meHrMOQiCGuXBQz9FjvB</t>
  </si>
  <si>
    <t>15886</t>
  </si>
  <si>
    <t>13588</t>
  </si>
  <si>
    <t>Remessa entrega futura . Painel deslocado sobrepor . cotação frete 256630
 Pedido nº 1044 enviado pelo vendedor Ricardo Henrique  criado em 30/08/2024 11:08:25 integrado por meio do Bendito no dia 30/08/2024 às 17:01:02</t>
  </si>
  <si>
    <t>FaSxVuyhRl6HL-OUwdekDA</t>
  </si>
  <si>
    <t>15887</t>
  </si>
  <si>
    <t>GARDEN BLU PISCINAS</t>
  </si>
  <si>
    <t>8F00240723260472</t>
  </si>
  <si>
    <t>Pedido nº 1052 enviado pelo vendedor Carlos Augusto  criado em 30/08/2024 17:18:40 integrado por meio do Bendito no dia 30/08/2024 às 17:20:31</t>
  </si>
  <si>
    <t>Xb52DviYQO--AV6bJiAOxw</t>
  </si>
  <si>
    <t>15889</t>
  </si>
  <si>
    <t>Alexandre Cezar Bezerra Costa</t>
  </si>
  <si>
    <t>8F00241005160001</t>
  </si>
  <si>
    <t>VENDA INDICADA AGUAS E VAPORES-RN / TRANSPORTADORA BOM JESUS 70.033.451/0002-91 (11) 2446 4443 / CONSTAR NA NF PEDIDO 23878, OBRA 198, CENTRO DE CUSTO 203
 Pedido nº 1051 enviado pelo vendedor Sadi criado em 30/08/2024 17:10:21 integrado por meio do Bendito no dia 30/08/2024 às 17:52:19</t>
  </si>
  <si>
    <t>O08yTvP7Q-KpYYzhhEwNzw</t>
  </si>
  <si>
    <t>15890</t>
  </si>
  <si>
    <t>HIDROWILL</t>
  </si>
  <si>
    <t>8F00240723260485</t>
  </si>
  <si>
    <t>Pedido nº 1054 enviado pelo vendedor Fábio criado em 30/08/2024 17:56:12 integrado por meio do Bendito no dia 01/09/2024 às 12:18:05</t>
  </si>
  <si>
    <t>GuK2fz1DTQe-KtNhqaW0qQ</t>
  </si>
  <si>
    <t>15892</t>
  </si>
  <si>
    <t>POOL VITORIA</t>
  </si>
  <si>
    <t>8F00240723290639</t>
  </si>
  <si>
    <t>Frete Cif autorizado pelo Mario. Entrega futura. 
 Pedido nº 1057 enviado pelo vendedor Ricardo Henrique  criado em 02/09/2024 09:55:36 integrado por meio do Bendito no dia 02/09/2024 às 11:48:01</t>
  </si>
  <si>
    <t>cu.S6TWVRbGxqNYh.4e.8Q</t>
  </si>
  <si>
    <t>15893</t>
  </si>
  <si>
    <t>8F00240723270502</t>
  </si>
  <si>
    <t>Pedido nº 1056 enviado pelo vendedor Renato criado em 02/09/2024 08:20:49 integrado por meio do Bendito no dia 02/09/2024 às 11:48:31</t>
  </si>
  <si>
    <t>NgTxAnWQTmaDVEsT8XNCew</t>
  </si>
  <si>
    <t>15895</t>
  </si>
  <si>
    <t>HYDRONIC SOLUTIONS</t>
  </si>
  <si>
    <t>13734</t>
  </si>
  <si>
    <t>Valor da maquina tabela anterior 21.579,00 . frete ja embutido no preço na nf. Entrega remessa futura para faturamento em 17.10.2024. Entregar : LOCAL DE ENTREGA: Condomínio do Edifício Marulhos COTAÇÃO FRETE  : 256542
Av Atlântica, 2888 - Copacabana
22070-000 - Rio de Janeiro - RJ
 Pedido nº 1043 enviado pelo vendedor Ricardo Henrique  criado em 30/08/2024 11:02:18 integrado por meio do Bendito no dia 02/09/2024 às 13:16:23</t>
  </si>
  <si>
    <t>Z16Qu1EwShaRDxJI0zGdjQ</t>
  </si>
  <si>
    <t>15897</t>
  </si>
  <si>
    <t>AQUATEC</t>
  </si>
  <si>
    <t>8A00240514003102</t>
  </si>
  <si>
    <t>Cartão de crédito em 5x.
 Pedido nº 1061 enviado pelo vendedor Thiago  criado em 02/09/2024 13:32:47 integrado por meio do Bendito no dia 02/09/2024 às 14:15:53</t>
  </si>
  <si>
    <t>ECh2YVBtTcWha-fqVqIltg</t>
  </si>
  <si>
    <t>15898</t>
  </si>
  <si>
    <t>8A00240411003135</t>
  </si>
  <si>
    <t>estoque  Curitiba - PR 171
 Pedido nº 1062 enviado pelo vendedor Renato criado em 02/09/2024 14:20:12 integrado por meio do Bendito no dia 02/09/2024 às 15:11:36</t>
  </si>
  <si>
    <t>sukAtG1rRHq4MqtL2C85Rw</t>
  </si>
  <si>
    <t>15899</t>
  </si>
  <si>
    <t>Marysol Piscinas</t>
  </si>
  <si>
    <t>8A00240514003020</t>
  </si>
  <si>
    <t>Pedido nº 1063 enviado pelo vendedor Fábio criado em 02/09/2024 14:30:03 integrado por meio do Bendito no dia 02/09/2024 às 15:12:16</t>
  </si>
  <si>
    <t>eqAzedP1Q.26uQ9rj3sbmw</t>
  </si>
  <si>
    <t>15900</t>
  </si>
  <si>
    <t>OURO SOLAR</t>
  </si>
  <si>
    <t>8A00240514003030</t>
  </si>
  <si>
    <t>REDESPACHO FOB  CNPJ 24.882.886/0002-93 - RADLOG TRANSPORTES LTDA Rua UMBUZEIRO, 123 - Cep 07.224-010 - BAIRRO CIDADE INDUSTRIAL SATELITE DE SAO PAULO - GUARULHOS - SP I.E. 796.514.930.111
 Pedido nº 1067 enviado pelo vendedor Ranoika  criado em 02/09/2024 15:08:13 integrado por meio do Bendito no dia 02/09/2024 às 15:16:19</t>
  </si>
  <si>
    <t>ARvJSg2OS6yFqd4TQlyExw</t>
  </si>
  <si>
    <t>15902-A</t>
  </si>
  <si>
    <t>8A00240514003065</t>
  </si>
  <si>
    <t>Pedido nº 1065 enviado pelo vendedor Marcelo criado em 02/09/2024 14:40:59 integrado por meio do Bendito no dia 02/09/2024 às 15:19:34</t>
  </si>
  <si>
    <t>TUoY1jTYTlW11lGUmYKx1w</t>
  </si>
  <si>
    <t>15902-B</t>
  </si>
  <si>
    <t>8A00240514003022</t>
  </si>
  <si>
    <t>JhAsCs2Lzw94T7iJhEE1</t>
  </si>
  <si>
    <t>15904</t>
  </si>
  <si>
    <t>PRONTOFAZ</t>
  </si>
  <si>
    <t>13590</t>
  </si>
  <si>
    <t>TABELA DE AGOSTO DE 2022- CONFORME COMBINADO NEGOCIAÇÕES Q ESTÃO NA RUA . Valor R$25.175,36
 Pedido nº 986 enviado pelo vendedor Renato criado em 21/08/2024 09:29:00 integrado por meio do Bendito no dia 03/09/2024 às 09:56:35</t>
  </si>
  <si>
    <t>9uV9Qj9eQGO-De9kyk-08A</t>
  </si>
  <si>
    <t>15905</t>
  </si>
  <si>
    <t>BRUNO AGOSTINI QUINTÃO</t>
  </si>
  <si>
    <t>8A00240514003029</t>
  </si>
  <si>
    <t>Frete por conta do Cliente sem redespacho - transportadora Rodonaves - CNPJ SC - 44.914.992/0036-68 - O cliente quem chama a transportadora.
 Pedido nº 1070 enviado pelo vendedor Luiz  criado em 03/09/2024 13:18:54 integrado por meio do Bendito no dia 04/09/2024 às 08:08:17</t>
  </si>
  <si>
    <t>63yUBWVnT1Kl9tHpzIHAjA</t>
  </si>
  <si>
    <t>15906-A</t>
  </si>
  <si>
    <t>CASA DA PISCINA</t>
  </si>
  <si>
    <t>8A00240514003014</t>
  </si>
  <si>
    <t>Frete com redespacho pela Expresso Raquel  - CNPJ 03.823.190/0002-16
Pode desmembrar o pedido e enviar a FTi 55 o quanto antes, não precisa esperar chegar a FTi 75 para enviar juntas.
Redespacho FOB Expresso Raquel  - CNPJ 03.823.190/0002-16 - R SOLD AMERICO RODRIGUES 131, GALPAOMODULO A,  PARQUE NOVO MUNDO, SP/SP - CEP 02.186-020
 Pedido nº 1071 enviado pelo vendedor Luiz  criado em 03/09/2024 15:32:33 integrado por meio do Bendito no dia 04/09/2024 às 08:09:11</t>
  </si>
  <si>
    <t>v0u1U54uSIW8prMopocZvg</t>
  </si>
  <si>
    <t>15906-B</t>
  </si>
  <si>
    <t>8F00240723290646</t>
  </si>
  <si>
    <t>3USNCAk8j4EfydmwYhvt</t>
  </si>
  <si>
    <t>15907</t>
  </si>
  <si>
    <t>8A00240514003028</t>
  </si>
  <si>
    <t>RXW0G97 - RETIRA - ORLANDO LUIZ GARCIA SCHMIDT - 08178002981 - FIAT / STRADA / CHUMBO / 2023</t>
  </si>
  <si>
    <t>PEDIDO PARA REPOSIÇÃO AUTORIZADO PELO JOÃO-  NF DE DEVOLUÇÃO ESTÁ COM FELIPE - VALOR PEDIDO PARA FISCALMENTE FICAR IGUAL PRECISA SER R$7.175,67 PEDIDO 15300 (ERA 1 FTI 45) SEM COBRANÇA E SEM COMMISSÃO 
 Pedido nº 1069 enviado pelo vendedor Carlos Augusto  criado em 03/09/2024 11:15:31 integrado por meio do Bendito no dia 04/09/2024 às 08:16:20</t>
  </si>
  <si>
    <t>U4yeWYgxR0iC2.42qck-Hg</t>
  </si>
  <si>
    <t>15908</t>
  </si>
  <si>
    <t>13593</t>
  </si>
  <si>
    <t>Cliente retira na nossa transportadora em São Paulo. Avisar a transportadora
Com quadro sobrepor
CLIENTE VAI RETIRAR NA TRANSPORTADORA:
William Rodrigues Xavier 
306.873.808-39
Nova Saveiro (SWH9G96)
 Pedido nº 1073 enviado pelo vendedor Fábio criado em 04/09/2024 10:54:33 integrado por meio do Bendito no dia 04/09/2024 às 14:43:31</t>
  </si>
  <si>
    <t>TFXV3gt.QPiGBxXGnXeIBQ</t>
  </si>
  <si>
    <t>15909</t>
  </si>
  <si>
    <t>CASA DO VERDE</t>
  </si>
  <si>
    <t>8F00240723280525</t>
  </si>
  <si>
    <t>Pedido nº 1074 enviado pelo vendedor Marcelo criado em 04/09/2024 16:00:22 integrado por meio do Bendito no dia 04/09/2024 às 17:08:37</t>
  </si>
  <si>
    <t>l0GtB7vTR2SgecwvGoZ72g</t>
  </si>
  <si>
    <t>15910</t>
  </si>
  <si>
    <t>8F00240723290633</t>
  </si>
  <si>
    <t>Boleto 07 DD - autorizado pelo GV Mário Dick
Constar em NF - Cliente: Juliano Godoy
 Pedido nº 1078 enviado pelo vendedor Fábio criado em 04/09/2024 19:17:08 integrado por meio do Bendito no dia 04/09/2024 às 17:11:39</t>
  </si>
  <si>
    <t>JK.Rou1oRWq9nNd6lJrDAg</t>
  </si>
  <si>
    <t>15911-A</t>
  </si>
  <si>
    <t>8F00240723280554</t>
  </si>
  <si>
    <t>Boleto 07 DD - autorizado pelo GV Mário Dick
Constar em NF - Clientes: Angelica Papa e Priscila Bueno 
 Pedido nº 1077 enviado pelo vendedor Fábio criado em 04/09/2024 16:14:40 integrado por meio do Bendito no dia 04/09/2024 às 17:11:50</t>
  </si>
  <si>
    <t>WJg9rysjQZSvbJNvdDgikA</t>
  </si>
  <si>
    <t>15911-B</t>
  </si>
  <si>
    <t>8F00240723280546</t>
  </si>
  <si>
    <t>b2tlywAeonuAwrLV3MPu</t>
  </si>
  <si>
    <t>15912</t>
  </si>
  <si>
    <t>8F00240723270497</t>
  </si>
  <si>
    <t>Boleto 07 DD - autorizado pelo GV Mário Dick
Constar em NF - Cliente: Sandra Eunice
 Pedido nº 1076 enviado pelo vendedor Fábio criado em 04/09/2024 19:12:07 integrado por meio do Bendito no dia 04/09/2024 às 17:12:24</t>
  </si>
  <si>
    <t>XqgS.9XBQV62YGVNbDPQwQ</t>
  </si>
  <si>
    <t>15913</t>
  </si>
  <si>
    <t>13626</t>
  </si>
  <si>
    <t>Pedido nº 1079 enviado pelo vendedor Renato criado em 04/09/2024 16:31:25 integrado por meio do Bendito no dia 04/09/2024 às 17:18:15</t>
  </si>
  <si>
    <t>tnct79ANT46IzqZ7-pYm6g</t>
  </si>
  <si>
    <t>15914-A</t>
  </si>
  <si>
    <t>8B00240122003265</t>
  </si>
  <si>
    <t>Preços de tabela, desconto 40%.
 Pedido nº 1085 enviado pelo vendedor Thiago  criado em 05/09/2024 09:56:32 integrado por meio do Bendito no dia 05/09/2024 às 10:00:51</t>
  </si>
  <si>
    <t>wgaoFowJRk-eBpRiSqJdtg</t>
  </si>
  <si>
    <t>15914-B</t>
  </si>
  <si>
    <t>8A00240513003021</t>
  </si>
  <si>
    <t>zY2sBZuiOOtuQIMR6uJI</t>
  </si>
  <si>
    <t>15914-C</t>
  </si>
  <si>
    <t>8B00231215003104</t>
  </si>
  <si>
    <t>p1AoXsJhhBr95gfy61aM</t>
  </si>
  <si>
    <t>15915</t>
  </si>
  <si>
    <t>RAMIRO COM. DE PISCINAS LTDA EPP</t>
  </si>
  <si>
    <t>13592</t>
  </si>
  <si>
    <t>QJS4873 - RETIRA - JEAN CARLOS DA SILVA  - 01175879908 - FIORINO / CAMIONETE FURGAO / BRANCA  / 2018</t>
  </si>
  <si>
    <t>PEDIDO: JAILSON GOEDERT
 Pedido nº 1084 enviado pelo vendedor Carlos Augusto  criado em 05/09/2024 09:43:59 integrado por meio do Bendito no dia 05/09/2024 às 10:02:08</t>
  </si>
  <si>
    <t>Drh3HUmOSii9M08jNpenbg</t>
  </si>
  <si>
    <t>15917-A</t>
  </si>
  <si>
    <t>8B00230927003137</t>
  </si>
  <si>
    <t>ZH7X5YcHRFGqHv1zaqwbjg</t>
  </si>
  <si>
    <t>15917-B</t>
  </si>
  <si>
    <t>8A00240514003025</t>
  </si>
  <si>
    <t>Pedido nº 1080 enviado pelo vendedor Renato criado em 04/09/2024 16:53:20 integrado por meio do Bendito no dia 05/09/2024 às 10:31:40</t>
  </si>
  <si>
    <t>l2LXwrrXrpDGrNdRKSLu</t>
  </si>
  <si>
    <t>15918</t>
  </si>
  <si>
    <t>8A00240514003008</t>
  </si>
  <si>
    <t>Pedido nº 1081 enviado pelo vendedor Renato criado em 04/09/2024 18:14:52 integrado por meio do Bendito no dia 05/09/2024 às 10:51:29</t>
  </si>
  <si>
    <t>Lj1Z85CzSGOD9Q2L3mr-Aw</t>
  </si>
  <si>
    <t>15919</t>
  </si>
  <si>
    <t>8F00240723270508</t>
  </si>
  <si>
    <t>Pedido nº 1086 enviado pelo vendedor Renato criado em 05/09/2024 10:15:36 integrado por meio do Bendito no dia 05/09/2024 às 10:53:27</t>
  </si>
  <si>
    <t>z3ZsUBvbTRS45yhE5etM3A</t>
  </si>
  <si>
    <t>15920-A</t>
  </si>
  <si>
    <t>8A00240514003016</t>
  </si>
  <si>
    <t>Pedido nº 1082 enviado pelo vendedor Carlos Augusto  criado em 05/09/2024 06:51:47 integrado por meio do Bendito no dia 05/09/2024 às 11:32:23</t>
  </si>
  <si>
    <t>h8YzmW.UTTewCARPt3lKOA</t>
  </si>
  <si>
    <t>15920-B</t>
  </si>
  <si>
    <t>8A00240514003001</t>
  </si>
  <si>
    <t>x2zb9mWfK2lxuJWqvgbt</t>
  </si>
  <si>
    <t>15920-C</t>
  </si>
  <si>
    <t>8A00240514003013</t>
  </si>
  <si>
    <t>711pgNMwhj8zZtEmVFJ3</t>
  </si>
  <si>
    <t>15921-A</t>
  </si>
  <si>
    <t>TECNO LAZER</t>
  </si>
  <si>
    <t>8A00240514003125</t>
  </si>
  <si>
    <t>AREIAS BRANCAS</t>
  </si>
  <si>
    <t>FORMA DE PAGTO ENTRADA DE R$ 30.000,00 E O RESTANTE BOLETO PARA 30 DIAS
Frete com redespacho pela TRANSPORTADORA AREIAS BRANCAS  CNPJ  050112170001-10 
REDESPACHO FOB  TRANSPORTADORA AREIAS BRANCAS  CNPJ  050112170001-10 - R SARGENTO MANUEL CHAGAS 70, : PLATAFORMA 02; PARQUE NOVO MUNDO, SP/SP - CEP: 02.179-040
 Pedido nº 1087 enviado pelo vendedor Luiz  criado em 05/09/2024 11:54:02 integrado por meio do Bendito no dia 05/09/2024 às 12:01:15</t>
  </si>
  <si>
    <t>buOHbTBbRAqVV5A9QWblwQ</t>
  </si>
  <si>
    <t>15921-B</t>
  </si>
  <si>
    <t>8A00240514003121</t>
  </si>
  <si>
    <t>hu1WSfYUQRjk0CCRBzSY</t>
  </si>
  <si>
    <t>15925</t>
  </si>
  <si>
    <t>11850</t>
  </si>
  <si>
    <t>Pedido nº 1090 enviado pelo vendedor Renato criado em 06/09/2024 08:04:33 integrado por meio do Bendito no dia 06/09/2024 às 09:03:44</t>
  </si>
  <si>
    <t>OPd--.-sR1aqPsJjaigjJw</t>
  </si>
  <si>
    <t>15926</t>
  </si>
  <si>
    <t>8B00240322003084</t>
  </si>
  <si>
    <t>estoque Curitiba -PR141 (ERA DO PEDIDO DO SCHAFF E DE LARA)
 Pedido nº 1088 enviado pelo vendedor Renato criado em 05/09/2024 17:59:31 integrado por meio do Bendito no dia 06/09/2024 às 09:05:39</t>
  </si>
  <si>
    <t>ImfkdAB3Ro66Kv6oIgxebA</t>
  </si>
  <si>
    <t>15927-A</t>
  </si>
  <si>
    <t>8A00240514003024</t>
  </si>
  <si>
    <t>Pedido nº 1093 enviado pelo vendedor Renato criado em 06/09/2024 09:13:48 integrado por meio do Bendito no dia 06/09/2024 às 09:16:07</t>
  </si>
  <si>
    <t>vGvS.DsKQqqxXWPJQ.s4BA</t>
  </si>
  <si>
    <t>15927-B</t>
  </si>
  <si>
    <t>8A00240514003017</t>
  </si>
  <si>
    <t>qFk16ndhwr9kvRYTI09h</t>
  </si>
  <si>
    <t>15929-A</t>
  </si>
  <si>
    <t>INFRAH ENGENHARIA , INSTALACOES E SISTEMAS DE AQUECIMENTO LTDA</t>
  </si>
  <si>
    <t>13601</t>
  </si>
  <si>
    <t>valor de cada maquina R$21.796,00 -Entrega em Florianópolis. - Manter a tabela de agosto /22 
1 quadro deslocado Guilherme informado 
Abater o credito de R$21.931,16 NESSE PEDIDO-SALDO EM 30/60 comissão pedido 15310
INFRAH IRÁ MANDAR NF , PARA ENTREGA NO CLIENTE 
 Pedido nº 1092 enviado pelo vendedor Mario  criado em 06/09/2024 09:05:07 integrado por meio do Bendito no dia 06/09/2024 às 10:39:25</t>
  </si>
  <si>
    <t>r6UCcNQrQJKVLUFnfDFmYA</t>
  </si>
  <si>
    <t>15929-B</t>
  </si>
  <si>
    <t>13600</t>
  </si>
  <si>
    <t>izCskWubWsKPuh2t1YIK</t>
  </si>
  <si>
    <t>15930-A</t>
  </si>
  <si>
    <t>8B00240322003237</t>
  </si>
  <si>
    <t>R$12.797,00 DEVIDO A NÃO TER A FTI 75 . 
 Pedido nº 1068 enviado pelo vendedor Ricardo Henrique  criado em 03/09/2024 09:13:35 integrado por meio do Bendito no dia 06/09/2024 às 10:58:41</t>
  </si>
  <si>
    <t>cfNB.gRQSFOCEDNVHai.-w</t>
  </si>
  <si>
    <t>15930-B</t>
  </si>
  <si>
    <t>8B00240322003227</t>
  </si>
  <si>
    <t>MqUCdER6wrm3GviYMNvv</t>
  </si>
  <si>
    <t>15931-A</t>
  </si>
  <si>
    <t>8A00240514003015</t>
  </si>
  <si>
    <t>ATENÇÃO - Conceder desconto de R$ 1.000,00 referente a campanha de 30 máquinas
Boleto para 07 DD - autorizado pelo GV Mário Dick
CONSTAR EM NF - Clientes:
Mauro de Oliveira 
Fatima Daniela
Carlos Henrique de Oliveira
Mauricio Ferreira
Elaine Cristina de Lara
 Pedido nº 1075 enviado pelo vendedor Fábio criado em 04/09/2024 16:07:45 integrado por meio do Bendito no dia 06/09/2024 às 11:05:39</t>
  </si>
  <si>
    <t>Fm-N28nrR6irq35PW6NKmw</t>
  </si>
  <si>
    <t>15931-B</t>
  </si>
  <si>
    <t>8A00240514003002</t>
  </si>
  <si>
    <t>HQVujduQZxROo6zwCWa4</t>
  </si>
  <si>
    <t>15931-C</t>
  </si>
  <si>
    <t>8A00240514003011</t>
  </si>
  <si>
    <t>McGOixjHyBryLrJUslTT</t>
  </si>
  <si>
    <t>15931-D</t>
  </si>
  <si>
    <t>8A00240514003012</t>
  </si>
  <si>
    <t>xBPdZkeWqhnQNww9pl54</t>
  </si>
  <si>
    <t>15931-E</t>
  </si>
  <si>
    <t>8A00240514003003</t>
  </si>
  <si>
    <t>YqvnaYHtJfyRw5O2l2jt</t>
  </si>
  <si>
    <t>15932</t>
  </si>
  <si>
    <t>8A00240513003022</t>
  </si>
  <si>
    <t>AUTORIZADO PELA CRIS - VIA WHATS 
 Pedido nº 1096 enviado pelo vendedor Carlos Augusto  criado em 06/09/2024 11:36:30 integrado por meio do Bendito no dia 06/09/2024 às 11:36:37</t>
  </si>
  <si>
    <t>lEDSHWg7R12AvTTrdsF0hQ</t>
  </si>
  <si>
    <t>15934</t>
  </si>
  <si>
    <t>8F00240723270498</t>
  </si>
  <si>
    <t>valor das maquinas 125=R$16900,00 - FTI75=R$9906,00 e FTI 35=R$7515,00
REFERENTE AO PEDIDO 15802
 Pedido nº 971 enviado pelo vendedor Renato criado em 19/08/2024 11:25:10 integrado por meio do Bendito no dia 19/08/2024 às 11:36:04</t>
  </si>
  <si>
    <t>vl4UnmSeSbi13KHZ7y0.Kg</t>
  </si>
  <si>
    <t>15935-A</t>
  </si>
  <si>
    <t>8F00240723280527</t>
  </si>
  <si>
    <t>Pedido nº 1098 enviado pelo vendedor Carlos Augusto  criado em 06/09/2024 15:31:17 integrado por meio do Bendito no dia 09/09/2024 às 09:19:25</t>
  </si>
  <si>
    <t>OJ1RWgbtTfCiNAL-0zsi7g</t>
  </si>
  <si>
    <t>15935-B</t>
  </si>
  <si>
    <t>8F00240723280523</t>
  </si>
  <si>
    <t>DDukcU64JS5bnIsjFB6C</t>
  </si>
  <si>
    <t>15935-C</t>
  </si>
  <si>
    <t>8F00240723280526</t>
  </si>
  <si>
    <t>5XnmNGHaHe04EXtkehGq</t>
  </si>
  <si>
    <t>15935-D</t>
  </si>
  <si>
    <t>8F00240723290634</t>
  </si>
  <si>
    <t>ddynvHjY70nnoolG2s5S</t>
  </si>
  <si>
    <t>15936-A</t>
  </si>
  <si>
    <t>HIPER POOL COMERCIO DE PISCINAS LTDA</t>
  </si>
  <si>
    <t>8F00240723260469</t>
  </si>
  <si>
    <t>Pedido nº 1100 enviado pelo vendedor Renato criado em 06/09/2024 18:13:29 integrado por meio do Bendito no dia 09/09/2024 às 09:20:41</t>
  </si>
  <si>
    <t>a.oKyodjySm6Sz2xx1TldHw</t>
  </si>
  <si>
    <t>15936-B</t>
  </si>
  <si>
    <t>8F00240723270500</t>
  </si>
  <si>
    <t>9N1cSx8xvzXxI0r3D5VT</t>
  </si>
  <si>
    <t>15938</t>
  </si>
  <si>
    <t>13943</t>
  </si>
  <si>
    <t>Quadro deslocado sobrepor. Cliente Cristiano. Entrega futura . 
 Pedido nº 1110 enviado pelo vendedor Ricardo Henrique  criado em 09/09/2024 10:45:13 integrado por meio do Bendito no dia 09/09/2024 às 14:02:47
NÃO ENTREGAR S/ENTRAR EM CONTATO COM O TELEFONE: JORGE (21) 99512-4022 AO MENOS C/ 24H</t>
  </si>
  <si>
    <t>6c9mh-jYTOGqtXj6W-Crcw</t>
  </si>
  <si>
    <t>15939</t>
  </si>
  <si>
    <t>13944</t>
  </si>
  <si>
    <t>Quadro deslocado sobrepor. Cliente Cristiano. Entrega futura 
 Pedido nº 1109 enviado pelo vendedor Ricardo Henrique  criado em 09/09/2024 10:43:08 integrado por meio do Bendito no dia 09/09/2024 às 14:03:14
NÃO ENTREGAR S/ENTRAR EM CONTATO COM O TELEFONE: JORGE (21) 99512-4022 AO MENOS C/ 24H</t>
  </si>
  <si>
    <t>a-u9UGx9hSJmsRrMhZ4VvVQ</t>
  </si>
  <si>
    <t>15940</t>
  </si>
  <si>
    <t>Quadro deslocado sobrepor. Folco . Entrega futura 
 Pedido nº 1108 enviado pelo vendedor Ricardo Henrique  criado em 09/09/2024 10:41:08 integrado por meio do Bendito no dia 09/09/2024 às 14:03:53
NÃO ENTREGAR S/ENTRAR EM CONTATO COM O TELEFONE: JORGE (21) 99512-4022 AO MENOS C/ 24H</t>
  </si>
  <si>
    <t>TDvvdIKUQjKhGcoteCgDJg</t>
  </si>
  <si>
    <t>15941</t>
  </si>
  <si>
    <t>13674</t>
  </si>
  <si>
    <t>Quadro deslocado Sobrepor. Cristian. Entrega futura 
 Pedido nº 1107 enviado pelo vendedor Ricardo Henrique  criado em 09/09/2024 10:39:06 integrado por meio do Bendito no dia 09/09/2024 às 14:04:24
NÃO ENTREGAR S/ENTRAR EM CONTATO COM O TELEFONE: JORGE (21) 99512-4022 AO MENOS C/ 24H</t>
  </si>
  <si>
    <t>sI32a5TJQVif3HizibEKHA</t>
  </si>
  <si>
    <t>15942</t>
  </si>
  <si>
    <t>13595</t>
  </si>
  <si>
    <t>Quadro deslocado sobrepor. Bruno e Debora/Helio Lefbvre. Produção URGENTE -Entrega AQUALAR 
 Pedido nº 1106 enviado pelo vendedor Ricardo Henrique  criado em 09/09/2024 10:35:28 integrado por meio do Bendito no dia 09/09/2024 às 14:04:50
NÃO ENTREGAR S/ENTRAR EM CONTATO COM O TELEFONE: JORGE (21) 99512-4022 AO MENOS C/ 24H</t>
  </si>
  <si>
    <t>ceB9mOVGTHawqPSciTz6cw</t>
  </si>
  <si>
    <t>15943-A</t>
  </si>
  <si>
    <t>13800</t>
  </si>
  <si>
    <t>Quadro deslocado sobrepor. Cyrela on the Sea. Entrega futura 
 Pedido nº 1105 enviado pelo vendedor Ricardo Henrique  criado em 09/09/2024 10:32:22 integrado por meio do Bendito no dia 09/09/2024 às 14:05:24
NÃO ENTREGAR S/ENTRAR EM CONTATO COM O TELEFONE: JORGE (21) 99512-4022 AO MENOS C/ 24H</t>
  </si>
  <si>
    <t>whCrcR5KQBeReyDw28k7mw</t>
  </si>
  <si>
    <t>15943-B</t>
  </si>
  <si>
    <t>h7ZSdKssYZXKmZjuuVbj</t>
  </si>
  <si>
    <t>15944</t>
  </si>
  <si>
    <t>13717</t>
  </si>
  <si>
    <t>Maquina com quadro deslocado sobrepor . Cyrela on the Sea. Entrega futura 
 Pedido nº 1104 enviado pelo vendedor Ricardo Henrique  criado em 09/09/2024 10:26:54 integrado por meio do Bendito no dia 09/09/2024 às 14:05:54
NÃO ENTREGAR S/ENTRAR EM CONTATO COM O TELEFONE: JORGE (21) 99512-4022 AO MENOS C/ 24H</t>
  </si>
  <si>
    <t>8GD4hDJ0RV-KrktT0oduYQ</t>
  </si>
  <si>
    <t>15946</t>
  </si>
  <si>
    <t>8A00240411003076</t>
  </si>
  <si>
    <t>O PRODUTO SERÁ RETIRADO DO ESTOQUE DE CURITIBA 
PR159
 Pedido nº 1103 enviado pelo vendedor Renato criado em 09/09/2024 10:06:13 integrado por meio do Bendito no dia 09/09/2024 às 15:08:35</t>
  </si>
  <si>
    <t>fkwfOomRTSCYhuKXPYtTlA</t>
  </si>
  <si>
    <t>15947-A</t>
  </si>
  <si>
    <t>8F00240723260477</t>
  </si>
  <si>
    <t>ALTERAR PRAZO DE PAGAMENTO PARA 45/60/90 DIAS 
 Pedido nº 1099 enviado pelo vendedor Carlos Augusto  criado em 06/09/2024 15:38:32 integrado por meio do Bendito no dia 10/09/2024 às 09:17:55</t>
  </si>
  <si>
    <t>0ZWuyFfATQykk0T3Eo--.Q</t>
  </si>
  <si>
    <t>15947-B</t>
  </si>
  <si>
    <t>8A00240514003134</t>
  </si>
  <si>
    <t>RYD5E57 - RETIRA - ISAACJOSÉ YOUNAN FIGUEIREDO - 06505803971 - VW/ NOVA SAVEIRO / CARGA CAMINHONETE  / BRANCA  / 2021</t>
  </si>
  <si>
    <t>ZLqwLnpMTYwrGpg0fWM1</t>
  </si>
  <si>
    <t>15949</t>
  </si>
  <si>
    <t>8A00240411003113</t>
  </si>
  <si>
    <t>ESTOQUE CURITIBA - PR 173
 Pedido nº 1118 enviado pelo vendedor Renato criado em 10/09/2024 11:36:11 integrado por meio do Bendito no dia 10/09/2024 às 11:45:47</t>
  </si>
  <si>
    <t>EyFDNGYeR7GkW3m2F.vtsQ</t>
  </si>
  <si>
    <t>15950</t>
  </si>
  <si>
    <t>8A00240514003076</t>
  </si>
  <si>
    <t>PREÇO PROMOCIONAL EM AGOSTO COBRAR: R$ 12.797,00
 Pedido nº 1115 enviado pelo vendedor Carlos Augusto  criado em 10/09/2024 06:40:27 integrado por meio do Bendito no dia 10/09/2024 às 11:48:44</t>
  </si>
  <si>
    <t>H3drQiLCT0iU3Z5J1YLKkg</t>
  </si>
  <si>
    <t>15951</t>
  </si>
  <si>
    <t>8A00240514003080</t>
  </si>
  <si>
    <t xml:space="preserve">VALOR ESPECIAL AUTORIZADO PELO GV MÁRIO DICK - R$ 12.797,00 
REDESPACHO: TRANSPORTADORA 5 M LTDA
CNPJ: 55.872.733/0002-99
ENDEREÇO:AV DIORAMA, 45, CIDADE INDUSTRIAL SATELITE DE SAO PAULO, GUARULHOS - SP
CEP: 07.223-180
 Pedido nº 1102 enviado pelo vendedor Fábio criado em 09/09/2024 09:46:08 integrado por meio do Bendito no dia 10/09/2024 às 11:49:24
O REDESP. SERA FOB - TRANSP. 5M LTDA - CNPJ: 55.872.733/0002-99 - Endereço: AV DIORAMA, 45, CIDADE INDUSTRIAL SATELITE DE SAO PAULO, GUARULHOS - SP CEP:07.223-180	</t>
  </si>
  <si>
    <t>cIHQ76YJSnukzkNxygzmRw</t>
  </si>
  <si>
    <t>15952</t>
  </si>
  <si>
    <t>8A00240514003067</t>
  </si>
  <si>
    <t>Valor R$ 12.797,00
 Pedido nº 1119 enviado pelo vendedor Ricardo Henrique  criado em 10/09/2024 11:43:41 integrado por meio do Bendito no dia 10/09/2024 às 11:50:54</t>
  </si>
  <si>
    <t>gKej8ajmQOeYugSuiEGFsg</t>
  </si>
  <si>
    <t>15953</t>
  </si>
  <si>
    <t>8B00240322003202</t>
  </si>
  <si>
    <t>Pedido nº 1121 enviado pelo vendedor Fábio criado em 10/09/2024 13:59:28 integrado por meio do Bendito no dia 10/09/2024 às 14:00:56</t>
  </si>
  <si>
    <t>Z2HJhhg5SruI7xLYzK.1Vw</t>
  </si>
  <si>
    <t>15954</t>
  </si>
  <si>
    <t>RUDIMAR CAPRA</t>
  </si>
  <si>
    <t>13596</t>
  </si>
  <si>
    <t>FH100L60T</t>
  </si>
  <si>
    <t>VALOR NF - R$ 39.343,20 
VALOR TABELA - R$ 18.462,30 
DIF TABxNF - R$ 20.880,90 
IMPOSTO 17% - R$ 3.549,75 
DIFAL - R$ 1.967,16
TOTAL - R$ 23.979,21
 Pedido nº 1091 enviado pelo vendedor Thiago  criado em 06/09/2024 08:56:21 integrado por meio do Bendito no dia 10/09/2024 às 16:31:12</t>
  </si>
  <si>
    <t>X5dVtF4VSnKSD6wGeelc5Q</t>
  </si>
  <si>
    <t>15955</t>
  </si>
  <si>
    <t>8A00240514003136</t>
  </si>
  <si>
    <t>Boletos para 15 / 45 / 60 dias
 Pedido nº 1127 enviado pelo vendedor Marcelo criado em 10/09/2024 21:41:22 integrado por meio do Bendito no dia 11/09/2024 às 08:28:58</t>
  </si>
  <si>
    <t>fUENpnL5RXmS3tYDeN-23A</t>
  </si>
  <si>
    <t>15956</t>
  </si>
  <si>
    <t>8F00240723290637</t>
  </si>
  <si>
    <t>Valor acordado com o cliente foi de R$9.906,82 (entregar a maquina no barracão bolha azul)
ENDEREÇO DE ENTREGA: Rua líbia. 533 pineville pinhais PR, CEP 83320-020
 Pedido nº 1126 enviado pelo vendedor Renato criado em 10/09/2024 17:53:55 integrado por meio do Bendito no dia 11/09/2024 às 08:44:18</t>
  </si>
  <si>
    <t>pTaib0JhRayx-A-O3pCOBw</t>
  </si>
  <si>
    <t>15957</t>
  </si>
  <si>
    <t>Ricardo Alexandre Dantas de Macedo</t>
  </si>
  <si>
    <t>8A00240514003009</t>
  </si>
  <si>
    <t>VENDA INDICADA AGUAS E VAPORES - RN / REDESPACHO SP TRANSPORTADORA BOM JESUS - 70.033.451/0002-91 - (11) 2446 4443 / 24462182 - VENDA NO CARTÃO DE CREDITO - FAVOR AJUSTAR VALOR DO PEDIDO PARA R$14.574,40
REDESPACHO FOB TRANSPORTADORA BOM JESUS - 70.033.451/0002-91 - (11) 2446 4443 / 24462182 - R ALEXANIA 847, CID IND SATELITE SP, GUARULHOS, SP. 07.232-010 
 Pedido nº 1125 enviado pelo vendedor Sadi criado em 10/09/2024 17:46:50 integrado por meio do Bendito no dia 11/09/2024 às 08:49:10</t>
  </si>
  <si>
    <t>ISlfgv5HSxC7SWYX4CJzeg</t>
  </si>
  <si>
    <t>15958</t>
  </si>
  <si>
    <t>8A00240514003071</t>
  </si>
  <si>
    <t>Pedido nº 1122 enviado pelo vendedor Fábio criado em 10/09/2024 14:02:14 integrado por meio do Bendito no dia 11/09/2024 às 08:53:09</t>
  </si>
  <si>
    <t>oV.qrXxfSKOmGnzvP5AiQQ</t>
  </si>
  <si>
    <t>15959</t>
  </si>
  <si>
    <t>13599</t>
  </si>
  <si>
    <t>Pedido nº 1101 enviado pelo vendedor Renato criado em 09/09/2024 09:37:01 integrado por meio do Bendito no dia 11/09/2024 às 09:19:54</t>
  </si>
  <si>
    <t>vy-2tG8fTEWRpcM1zJPAgQ</t>
  </si>
  <si>
    <t>15960-A</t>
  </si>
  <si>
    <t>8A00240514003094</t>
  </si>
  <si>
    <t>IDQ9582 - RETIRA - JORGE MAFFEZZOLLI - 50518453987 - IMP/MAZD B2200 PB  / MISTO CAMIONETA  / BRANCA  / 1995</t>
  </si>
  <si>
    <t>PREÇO PROMOCIONAL DTI105 R$ 12.797,09  TOTAL DO PEDIDO R$ 25.594,18 
RETIRA DIA 12/09/24 - DE MANHÃ
 Pedido nº 1124 enviado pelo vendedor Carlos Augusto  criado em 10/09/2024 15:05:30 integrado por meio do Bendito no dia 11/09/2024 às 09:34:29</t>
  </si>
  <si>
    <t>rYDVscBlRgyA0hzM-9igtQ</t>
  </si>
  <si>
    <t>15960-B</t>
  </si>
  <si>
    <t>8A00240514003073</t>
  </si>
  <si>
    <t>vF4BERbRsEI1f9VHpQAI</t>
  </si>
  <si>
    <t>15961</t>
  </si>
  <si>
    <t>ACQUACLEAN PISCINAS</t>
  </si>
  <si>
    <t>8A00240514003083</t>
  </si>
  <si>
    <t>12.797,00
 Pedido nº 1120 enviado pelo vendedor Ricardo Henrique  criado em 10/09/2024 12:16:40 integrado por meio do Bendito no dia 11/09/2024 às 09:35:17</t>
  </si>
  <si>
    <t>jJ5QAPbIRQ6ATP6VbZ4p9w</t>
  </si>
  <si>
    <t>15962-A</t>
  </si>
  <si>
    <t>8A00240411003077</t>
  </si>
  <si>
    <t>bSZiUklnSpSkLVGYOFIiUg</t>
  </si>
  <si>
    <t>15963</t>
  </si>
  <si>
    <t>8B00240322003074</t>
  </si>
  <si>
    <t>PR148 MAQUINA VAI SAIR DO ESTOQUE DE CURITIBA 
 Pedido nº 1130 enviado pelo vendedor Renato criado em 11/09/2024 10:17:04 integrado por meio do Bendito no dia 11/09/2024 às 10:23:59</t>
  </si>
  <si>
    <t>dgd3oFGTQRuJU83HrQhfFw</t>
  </si>
  <si>
    <t>15965</t>
  </si>
  <si>
    <t xml:space="preserve">11725 </t>
  </si>
  <si>
    <t>Gabinete na cor PRETA
 Pedido nº 1128 enviado pelo vendedor Marcelo criado em 11/09/2024 09:55:40 integrado por meio do Bendito no dia 11/09/2024 às 12:09:46</t>
  </si>
  <si>
    <t>hGSsrBzgRJWfoQVeM0sCYg</t>
  </si>
  <si>
    <t>15966</t>
  </si>
  <si>
    <t>Thais Emannuelle Martins dos Reis Mafra</t>
  </si>
  <si>
    <t>8F00240723260494</t>
  </si>
  <si>
    <t>Frete por conta do cliente sem redespacho - Rodonaves - SC - CNPJ: 44.914.992/0036-68  -  IE.260.650.455 - CONTATO (48) 32027150
Lembrando que o cliente agenda com a transportadora depois do boleto pago e a máquina liberada . Com difal embutido 
 Pedido nº 1133 enviado pelo vendedor Luiz  criado em 11/09/2024 11:55:17 integrado por meio do Bendito no dia 11/09/2024 às 14:21:52</t>
  </si>
  <si>
    <t>16.drSTSQrKnJ-MhN8JyBg</t>
  </si>
  <si>
    <t>15967</t>
  </si>
  <si>
    <t>8A00240514003018</t>
  </si>
  <si>
    <t>CLIENTE HAVIA VENDIDO UMA FTI 35 POR NAO TER EM ESTOQUE, MARIO AUTORIZOU O DESCONTO - PAGO VIA PIX
COTAÇÃO DO FRETE 582677 - ENTREGAR NO ENDEREÇO - Rua Libia 533 Barracao Azul - Pineville - Pinhais. 
difal será feito pix no nubanck 
 Pedido nº 1132 enviado pelo vendedor Renato criado em 11/09/2024 10:35:29 integrado por meio do Bendito no dia 11/09/2024 às 14:28:09</t>
  </si>
  <si>
    <t>VG1lGmBQQAyPwdK8.ofzHw</t>
  </si>
  <si>
    <t>15968</t>
  </si>
  <si>
    <t>AGUABOA PISCINAS E BANHEIRAS LTDA</t>
  </si>
  <si>
    <t>13607</t>
  </si>
  <si>
    <t>RAA3F11 - EXPRESSO SÃO MIGUEL - GUILHERME OLIVEIRA DA SILVA - 09668515951 - I KIA / UK2500 HD SC / BRANCA  / 2022</t>
  </si>
  <si>
    <t>QUADRO COMANDO EXTERNO DE SOBREPOR
ORÇAR FRETE OM A EXPRESSO SÃO MIGUEL ANTECIPADAMENTE PARA APROVAÇÃO DO CLEINTE 
 Pedido nº 1123 enviado pelo vendedor Carlos Augusto  criado em 10/09/2024 15:02:38 integrado por meio do Bendito no dia 11/09/2024 às 14:33:06</t>
  </si>
  <si>
    <t>EzVWOpmXRUSAtIO6mHPxow</t>
  </si>
  <si>
    <t>15971-A</t>
  </si>
  <si>
    <t>IGUI UBERABA</t>
  </si>
  <si>
    <t>8A00240514003127</t>
  </si>
  <si>
    <t>email de confirmação : uberaba@igui.com e copia para Mario-Redespacho Rodonaves cnpj: 44.914.992/0012-90
REDESPACHO FOB - Rodonaves cnpj: 44.914.992/0012-90 - R CORONEL RANULFO BORGES NASCIMENTO 390, JARDIM MARACANA, 38.041-100, UBERABA - MG
 Pedido nº 1136 enviado pelo vendedor Mario  criado em 11/09/2024 16:55:03 integrado por meio do Bendito no dia 11/09/2024 às 17:22:42</t>
  </si>
  <si>
    <t>iS5cMsk6SF2Qkdnfr5iD8g</t>
  </si>
  <si>
    <t>15971-B</t>
  </si>
  <si>
    <t>8A00240514003126</t>
  </si>
  <si>
    <t>YwQV5w7dv9XC28O6saod</t>
  </si>
  <si>
    <t>15972-A</t>
  </si>
  <si>
    <t>8A00240514003113</t>
  </si>
  <si>
    <t>email de confirmação : uberaba@igui.com e copia para Mario- Redespacho: Rodonaves 44.914.992/0012-90
CHAVE PIX FROMTHERM - CNPJ 12659566000109
REDESPACHO FOB - Rodonaves cnpj: 44.914.992/0012-90 - R CORONEL RANULFO BORGES NASCIMENTO 390, JARDIM MARACANA, 38.041-100, UBERABA - MG
 Pedido nº 1135 enviado pelo vendedor Mario  criado em 11/09/2024 16:53:32 integrado por meio do Bendito no dia 11/09/2024 às 17:22:50</t>
  </si>
  <si>
    <t>YRzvCjWJRUG-GTBROUbdBA</t>
  </si>
  <si>
    <t>15972-B</t>
  </si>
  <si>
    <t>8A00240514003137</t>
  </si>
  <si>
    <t>twCrAro1CugC337DJsBe</t>
  </si>
  <si>
    <t>15972-C</t>
  </si>
  <si>
    <t>8A00240514003139</t>
  </si>
  <si>
    <t>vvh6p5idu7vszGEGzVYp</t>
  </si>
  <si>
    <t>15973</t>
  </si>
  <si>
    <t>8B00240322003083</t>
  </si>
  <si>
    <t>estoque Curitiba - PR146
 Pedido nº 1137 enviado pelo vendedor Renato criado em 11/09/2024 17:03:08 integrado por meio do Bendito no dia 11/09/2024 às 17:25:56</t>
  </si>
  <si>
    <t>TkOfv3FXQzKUfmayWmMFDg</t>
  </si>
  <si>
    <t>15975</t>
  </si>
  <si>
    <t>13615</t>
  </si>
  <si>
    <t>COBRAR R$ 28.515,60  - PREÇO AUTORIZADO PELA PRISCILLA
- PAGAMENTO 50% NO PEDIDO E 50%  AO RETIRAR 
 Pedido nº 1139 enviado pelo vendedor Carlos Augusto  criado em 12/09/2024 06:43:03 integrado por meio do Bendito no dia 12/09/2024 às 16:36:13</t>
  </si>
  <si>
    <t>ytRZVMK8QrqHgV38oTbsZA</t>
  </si>
  <si>
    <t>15976-A</t>
  </si>
  <si>
    <t>8F00240723290636</t>
  </si>
  <si>
    <t>Cliente Diogo ibirapuera - constar em NF-realizar Nf de simples faturamento para começar a contar os boletos . Cliente ciente 
 Pedido nº 1140 enviado pelo vendedor Fábio criado em 12/09/2024 09:22:48 integrado por meio do Bendito no dia 12/09/2024 às 16:38:00</t>
  </si>
  <si>
    <t>pjU6iP2tTMuqz.Jpo6EDiw</t>
  </si>
  <si>
    <t>15976-B</t>
  </si>
  <si>
    <t>8F00240723290643</t>
  </si>
  <si>
    <t>qUrkTWqZVVKvqNQ36AfK</t>
  </si>
  <si>
    <t>15977</t>
  </si>
  <si>
    <t>Pedido nº 1141 enviado pelo vendedor Renato criado em 12/09/2024 11:50:20 integrado por meio do Bendito no dia 12/09/2024 às 16:38:24</t>
  </si>
  <si>
    <t>Pw3LhdVhS7GMF7fhvoHrdQ</t>
  </si>
  <si>
    <t>15978</t>
  </si>
  <si>
    <t>8A00240514003027</t>
  </si>
  <si>
    <t>endereço de entrega: Rua LIbia, 533 - Pineville - Pinhais - cep:83.320-020 -frete cif
 Pedido nº 1142 enviado pelo vendedor Renato criado em 12/09/2024 12:16:28 integrado por meio do Bendito no dia 12/09/2024 às 16:39:38</t>
  </si>
  <si>
    <t>4fyVY1JjSMeACfaJm.s1Yw</t>
  </si>
  <si>
    <t>15979</t>
  </si>
  <si>
    <t>8A00240514003096</t>
  </si>
  <si>
    <t>URGENTE
Mencionar na NF Pedido 11427 - CL: Walter Herbert Dissinger.
 Pedido nº 1143 enviado pelo vendedor Fábio criado em 12/09/2024 13:37:20 integrado por meio do Bendito no dia 12/09/2024 às 16:40:13</t>
  </si>
  <si>
    <t>9NTEGxasQ0OQ00OoGhZgaw</t>
  </si>
  <si>
    <t>15980</t>
  </si>
  <si>
    <t>32.015.864 RODRIGO CARVALHO MEDEIROS</t>
  </si>
  <si>
    <t>8A00240514003069</t>
  </si>
  <si>
    <t>Pedido nº 1144 enviado pelo vendedor Marcelo criado em 12/09/2024 14:44:07 integrado por meio do Bendito no dia 12/09/2024 às 16:40:49</t>
  </si>
  <si>
    <t>UT9aZLDCQU-zj-V5wS9HFA</t>
  </si>
  <si>
    <t>15981</t>
  </si>
  <si>
    <t>8F00240723270510</t>
  </si>
  <si>
    <t>Pedido nº 1145 enviado pelo vendedor Renato criado em 12/09/2024 15:37:54 integrado por meio do Bendito no dia 12/09/2024 às 16:41:14</t>
  </si>
  <si>
    <t>pYuH8CSFTWmncUHGD5DFng</t>
  </si>
  <si>
    <t>15984</t>
  </si>
  <si>
    <t>13627</t>
  </si>
  <si>
    <t>Desc 10% + R$400,00 PAINEL FACHADA LOJA-AUTORIZADO PELO JOÃO E A LETICIA . 
 Pedido nº 1148 enviado pelo vendedor Ricardo Henrique  criado em 12/09/2024 16:17:33 integrado por meio do Bendito no dia 12/09/2024 às 16:46:59</t>
  </si>
  <si>
    <t>U2zljR-zR8OvoxJoPs1HGA</t>
  </si>
  <si>
    <t>15985</t>
  </si>
  <si>
    <t>SOLUCOES NF COMERCIO E REPRESENTACOES E SEVICOS LTDA</t>
  </si>
  <si>
    <t>8F00240723270509</t>
  </si>
  <si>
    <t>Pedido nº 1117 enviado pelo vendedor Ricardo Henrique  criado em 10/09/2024 08:42:34 integrado por meio do Bendito no dia 12/09/2024 às 16:51:45</t>
  </si>
  <si>
    <t>vrAJhKi7SZ6jS3BW-YHCmw</t>
  </si>
  <si>
    <t>15986</t>
  </si>
  <si>
    <t>8F00240723290641</t>
  </si>
  <si>
    <t>Pedido nº 1151 enviado pelo vendedor Renato criado em 12/09/2024 17:53:58 integrado por meio do Bendito no dia 12/09/2024 às 18:12:35</t>
  </si>
  <si>
    <t>ZmdDo3-FTpGGDft2M-L7zw</t>
  </si>
  <si>
    <t>15987</t>
  </si>
  <si>
    <t>11431</t>
  </si>
  <si>
    <t>pedido de substituição ao 15617, sendo devolvido a FT 180. VALOR de R$1.883,48 CREDITO . DEVIDO A DIFRENÇA DE VALORES DAS MAQUINAS . NÃO GERAR COBRANÇA E NEM COMISSÃO . 
 Pedido nº 1153 enviado pelo vendedor Fábio criado em 12/09/2024 19:34:35 integrado por meio do Bendito no dia 13/09/2024 às 10:32:59</t>
  </si>
  <si>
    <t>7boapdbqRWu-Qwpt9xzs7A</t>
  </si>
  <si>
    <t>15988</t>
  </si>
  <si>
    <t>8A00240514003023</t>
  </si>
  <si>
    <t>TRANSPORTARDORA CARVALIMA</t>
  </si>
  <si>
    <t>Pedido nº 1152 enviado pelo vendedor Juscelino criado em 12/09/2024 18:47:47 integrado por meio do Bendito no dia 13/09/2024 às 10:35:52
O REDESP. SERA FOB TRANSPORTARDORA CARVALIMA, AV. ALEXANDRE COLARES, 340 - PQ ANHANGUERA CEP. 05106-000 -SÃO PAULO CNPJ. 33.070.814/0003-13 TEL. 
(11)2141-3100</t>
  </si>
  <si>
    <t>F06QUd9gQea4oRbPAH6m.w</t>
  </si>
  <si>
    <t>15989</t>
  </si>
  <si>
    <t>8A00240514003026</t>
  </si>
  <si>
    <t>Pedido nº 1154 enviado pelo vendedor Renato criado em 13/09/2024 08:13:41 integrado por meio do Bendito no dia 13/09/2024 às 10:38:22</t>
  </si>
  <si>
    <t>a.6ZGDv7SR9-IkYHPwk5PFg</t>
  </si>
  <si>
    <t>15990</t>
  </si>
  <si>
    <t>13617</t>
  </si>
  <si>
    <t>Frete CIF. Liberar painel para temperatura até 40ºC com autorização do cliente.
 Pedido nº 1112 enviado pelo vendedor Ranoika  criado em 09/09/2024 15:57:18 integrado por meio do Bendito no dia 13/09/2024 às 11:11:17</t>
  </si>
  <si>
    <t>GO</t>
  </si>
  <si>
    <t>YCSviXHJSwagA8cBT7.TRA</t>
  </si>
  <si>
    <t>15991</t>
  </si>
  <si>
    <t>8A00240514003108</t>
  </si>
  <si>
    <t>PEDIDO CLIENTE 17096 - PREÇO NEGOCIADO ANTES DA ALTERAÇAO DE PREÇOS :  R$ 15.548,28
 Pedido nº 1129 enviado pelo vendedor Carlos Augusto  criado em 11/09/2024 10:07:36 integrado por meio do Bendito no dia 13/09/2024 às 11:32:58</t>
  </si>
  <si>
    <t>NwFxMLU0Qf2dff9wfK2CAA</t>
  </si>
  <si>
    <t>15997</t>
  </si>
  <si>
    <t>8B00240322003191</t>
  </si>
  <si>
    <t>Pedido nº 1158 enviado pelo vendedor Renato criado em 13/09/2024 15:52:24 integrado por meio do Bendito no dia 15/09/2024 às 10:33:10</t>
  </si>
  <si>
    <t>b7kbkGTRQ12CEV3tVDqmqA</t>
  </si>
  <si>
    <t>15998</t>
  </si>
  <si>
    <t>13618</t>
  </si>
  <si>
    <t>FRETE COM REDESPACHO PELA EXPRESSO RAQUEL -  CNPJ  03.823.190/0002-16. - ENDEREÇO SÃO PAULO : RUA SOLDADO AMERICO RODRIGUES 131, GALPÃO MODULO A - PQ NOVO MUNDO
 Pedido nº 1159 enviado pelo vendedor Luiz  criado em 13/09/2024 17:34:55 integrado por meio do Bendito no dia 15/09/2024 às 10:33:51</t>
  </si>
  <si>
    <t>xMRjAaqdQh2bpdh52oAGpg</t>
  </si>
  <si>
    <t>15999</t>
  </si>
  <si>
    <t>8F00240723260475</t>
  </si>
  <si>
    <t>Cliente vai pagar antecipado, considerar 3% desconto. 
 Pedido nº 1160 enviado pelo vendedor Ricardo Henrique  criado em 13/09/2024 19:58:33 integrado por meio do Bendito no dia 15/09/2024 às 10:34:36</t>
  </si>
  <si>
    <t>qqOX4a88RCyt82608iLPPg</t>
  </si>
  <si>
    <t>16000</t>
  </si>
  <si>
    <t>DEEP PISCINAS</t>
  </si>
  <si>
    <t>8B00240322003201</t>
  </si>
  <si>
    <t>TRD TRANSPORTE</t>
  </si>
  <si>
    <t>LZZ2039 - RETIRA - JOSÉ HENRIQUE ANTUNES DE MARAIS  - 40886208874 - M.BENZ/L 1418 / CARGA CAMINHAO  / AZUL / 1991</t>
  </si>
  <si>
    <t>CLIENTE SEM INSCRIÇÃO ESTADUAL -DIFAL 7,5 % - copiar ricardomattos@terra.com.br e danielesouza.24@hotmail.com
TRD TRANSPORTES 
PIX FROMTHERM - CNPJ 12659566000109
 Pedido nº 1162 enviado pelo vendedor Mario  criado em 15/09/2024 10:26:16 integrado por meio do Bendito no dia 15/09/2024 às 10:35:19</t>
  </si>
  <si>
    <t>ryY4cwWhTLu9bGmXKZEjdQ</t>
  </si>
  <si>
    <t>16003</t>
  </si>
  <si>
    <t>8A00240514003077</t>
  </si>
  <si>
    <t>Acordado valor em falta da fti75 R$ 12.797,00
REDESPACHO FOB  CNPJ 24.882.886/0002-93 - RADLOG TRANSPORTES LTDA Rua UMBUZEIRO, 123 - Cep 07.224-010 - BAIRRO CIDADE INDUSTRIAL SATELITE DE SAO PAULO - GUARULHOS - SP I.E. 796.514.930.111
 Pedido nº 1155 enviado pelo vendedor Ranoika  criado em 13/09/2024 13:23:29 integrado por meio do Bendito no dia 16/09/2024 às 09:53:38
O REDESPACHO SERA FOB - TRANSP. RADLOG - CNPJ : 24.882.886/0002-93 - END: R UMBUZEIRO, 123, CEP: 07.224-010</t>
  </si>
  <si>
    <t>ZaxBV9pSSP2CUC56ymznqw</t>
  </si>
  <si>
    <t>16004-A</t>
  </si>
  <si>
    <t>ASSOCIACAO PRO-ENSINO EM SANTA CRUZ DO SUL - APESC</t>
  </si>
  <si>
    <t>13846</t>
  </si>
  <si>
    <r>
      <rPr>
        <rFont val="Roboto, RobotoDraft, Helvetica, Arial, sans-serif"/>
        <b/>
        <color rgb="FF3C4043"/>
        <sz val="11.0"/>
      </rPr>
      <t>FH100L60T</t>
    </r>
  </si>
  <si>
    <t>Pedido da Hidrotec - aplicar 2% na tabela . Valor do pedido R$77.927,82 VENCIMENTOS 26/09 26/10 26/11 
 Pedido nº 1164 enviado pelo vendedor Thiago  criado em 16/09/2024 09:38:54 integrado por meio do Bendito no dia 16/09/2024 às 09:55:24</t>
  </si>
  <si>
    <t>AEdHOXxYTCq-xQqKyE7uew</t>
  </si>
  <si>
    <t>16004-B</t>
  </si>
  <si>
    <r>
      <rPr>
        <rFont val="Roboto, RobotoDraft, Helvetica, Arial, sans-serif"/>
        <b/>
        <color rgb="FF3C4043"/>
        <sz val="11.0"/>
      </rPr>
      <t>FH100L60T</t>
    </r>
  </si>
  <si>
    <t>ny8XC5eHZ9bbLkHvkbBz</t>
  </si>
  <si>
    <t>16004-C</t>
  </si>
  <si>
    <t>13848</t>
  </si>
  <si>
    <t>L0GyRYPFrcPbAEVGy3dV</t>
  </si>
  <si>
    <t>16013-A</t>
  </si>
  <si>
    <t>SOL E LAZER AQUECIMENTO SOLAR</t>
  </si>
  <si>
    <t>13608</t>
  </si>
  <si>
    <t>Forma de pagamento entrada antecipado 33% e o restante 30/60 dias. Entregar com triangulação de nota (nota do cliente), o cliente vai indicar a transportadora para entregar em Pato Branco-PR
 Pedido nº 1138 enviado pelo vendedor Ranoika  criado em 11/09/2024 19:28:39 integrado por meio do Bendito no dia 16/09/2024 às 09:22:32</t>
  </si>
  <si>
    <t>Gs7qJHHSRzqx2qztpLZPvA</t>
  </si>
  <si>
    <t>16013-B</t>
  </si>
  <si>
    <t>13610</t>
  </si>
  <si>
    <t>qNVcYMGBpflA8Cx87RTE</t>
  </si>
  <si>
    <t>16013-C</t>
  </si>
  <si>
    <t>13612</t>
  </si>
  <si>
    <t>jUm6PisHMJnlfdeq1sUA</t>
  </si>
  <si>
    <t>16013-D</t>
  </si>
  <si>
    <t>13611</t>
  </si>
  <si>
    <t>WN4K5qkaR7i9QCsicPoh</t>
  </si>
  <si>
    <t>16013-E</t>
  </si>
  <si>
    <t>13609</t>
  </si>
  <si>
    <t>oA3GDvAFdLGJpcsQj67U</t>
  </si>
  <si>
    <t>16013-F</t>
  </si>
  <si>
    <t>13613</t>
  </si>
  <si>
    <t>xOq6AmNoRrQwTS6L3U1N</t>
  </si>
  <si>
    <t>16015</t>
  </si>
  <si>
    <t>13616</t>
  </si>
  <si>
    <t>DESCONTO PROMOCIONAL DE  5% EM AGOSTO/SETEMBRO
 Pedido nº 1167 enviado pelo vendedor Carlos Augusto  criado em 16/09/2024 15:13:40 integrado por meio do Bendito no dia 16/09/2024 às 20:22:11</t>
  </si>
  <si>
    <t>vbf.gSnTQBaf8q55RcCafw</t>
  </si>
  <si>
    <t>16016</t>
  </si>
  <si>
    <t>8F00240723290649</t>
  </si>
  <si>
    <t>Pedido nº 1170 enviado pelo vendedor Thiago  criado em 16/09/2024 15:54:40 integrado por meio do Bendito no dia 16/09/2024 às 20:34:05</t>
  </si>
  <si>
    <t>Fa8bU9jZSr2yRM5BQD1hoQ</t>
  </si>
  <si>
    <t>16017-A</t>
  </si>
  <si>
    <t>ALGARVE PISCINAS</t>
  </si>
  <si>
    <t>8F00240812170096</t>
  </si>
  <si>
    <t>MKO4C57 - RETIRA - REGINALDO GOULART - 04698982910 - VW / CARGA CAMINHAO  / BRANCA  / 2013</t>
  </si>
  <si>
    <t>Faturar integralmente o pedido, na primeira semana de outubro, quando tiver todas as máquinas em estoque.
 Pedido nº 1169 enviado pelo vendedor Thiago  criado em 16/09/2024 15:51:59 integrado por meio do Bendito no dia 16/09/2024 às 20:37:02</t>
  </si>
  <si>
    <t>ukCFrltkS6OYrF-dTEDNWA</t>
  </si>
  <si>
    <t>16017-B</t>
  </si>
  <si>
    <t>8F00240723280571</t>
  </si>
  <si>
    <t>tRoqQIObc4HBIP9T9hoI</t>
  </si>
  <si>
    <t>16017-C</t>
  </si>
  <si>
    <t>8F00240812200272</t>
  </si>
  <si>
    <t>cjKILoqB1aizfMxWVlf4</t>
  </si>
  <si>
    <t>16018</t>
  </si>
  <si>
    <t>Ibiza Piscinas</t>
  </si>
  <si>
    <t>8F00240723260484</t>
  </si>
  <si>
    <t>Pedido nº 1178 enviado pelo vendedor Renato criado em 17/09/2024 16:54:24 integrado por meio do Bendito no dia 17/09/2024 às 20:41:02</t>
  </si>
  <si>
    <t>zNcxVB9hQXaCmJyTEop-dg</t>
  </si>
  <si>
    <t>16019</t>
  </si>
  <si>
    <t>13619</t>
  </si>
  <si>
    <t>QUADRO TOUCH EXTERNO DE SOBREPOR 
URGENTE A ENTREGA 
 Pedido nº 1177 enviado pelo vendedor Carlos Augusto  criado em 17/09/2024 16:19:41 integrado por meio do Bendito no dia 17/09/2024 às 20:41:27</t>
  </si>
  <si>
    <t>3B-mNfIdQAOxrak7sZoNCg</t>
  </si>
  <si>
    <t>16020</t>
  </si>
  <si>
    <t>8B00240322003226</t>
  </si>
  <si>
    <t>SERÁ RETIRADA DO ESTOQUE DE CURITIBA 
PR154
 Pedido nº 1175 enviado pelo vendedor Renato criado em 17/09/2024 15:48:07 integrado por meio do Bendito no dia 17/09/2024 às 20:41:57</t>
  </si>
  <si>
    <t>2Ovrfq70RHu6qF.5C-gcIQ</t>
  </si>
  <si>
    <t>16021</t>
  </si>
  <si>
    <t>8F00240723290638</t>
  </si>
  <si>
    <t>REDESPACHO FOB - TRANSPORTADORA . ST SOLUÇÕES E LOGISTICA LTDA 13.327.196/0002-56- RUA TENENTE AMARO FELICISSIMO SLVEIRA S/N COMPLEMENTO GP 10 PQ NOVO
MUNDO
SÃO PAULO - SP TEL 11 4304-3400 - Cliente aguardará chegada do próximo lote
 Pedido nº 1174 enviado pelo vendedor Juscelino criado em 17/09/2024 14:57:10 integrado por meio do Bendito no dia 17/09/2024 às 20:43:18</t>
  </si>
  <si>
    <t>OoBjg6HERZC3QPKy.H.iJg</t>
  </si>
  <si>
    <t>16022</t>
  </si>
  <si>
    <t>8A00240514003007</t>
  </si>
  <si>
    <t>ESTA MAQUINA TEM QUE SER ENTREGUE ATÉ SABADO E MANDAR POR QUALQUER TRANSPORTADORA MENOS PELA SÃO MIGUEL, OK!
URGENTE 
 Pedido nº 1173 enviado pelo vendedor Renato criado em 17/09/2024 10:48:08 integrado por meio do Bendito no dia 17/09/2024 às 20:53:56</t>
  </si>
  <si>
    <t>ac7m57YnTy-zvvz8-0EU-w</t>
  </si>
  <si>
    <t>16023</t>
  </si>
  <si>
    <t>13620</t>
  </si>
  <si>
    <t>PREÇO A VISTA (+ 3% DESCONTO) - MUDAR PARA R$ 15.699,21 
ESTE PEDIDO CANCELA E SUBSTITUI O PEDIDO 16014
 Pedido nº 1172 enviado pelo vendedor Carlos Augusto  criado em 17/09/2024 10:44:35 integrado por meio do Bendito no dia 17/09/2024 às 20:54:42</t>
  </si>
  <si>
    <t>0wFOZQ8nSrqOiGLwPXCG-w</t>
  </si>
  <si>
    <t>16024</t>
  </si>
  <si>
    <t>ACQUA TUBARÃO PISCINAS E BANHEIRAS</t>
  </si>
  <si>
    <t>8A00240514003099</t>
  </si>
  <si>
    <t>- MUDAR PARA R$ 12.797,00
ESTE PEDIDO SUBSTITUI E CANCELA O PEDIDO 16005
 Pedido nº 1168 enviado pelo vendedor Carlos Augusto  criado em 16/09/2024 15:40:08 integrado por meio do Bendito no dia 17/09/2024 às 20:56:42</t>
  </si>
  <si>
    <t>TtU-XQepTi--yqa7WIWuqw</t>
  </si>
  <si>
    <t>16025</t>
  </si>
  <si>
    <t>8B00240322003245</t>
  </si>
  <si>
    <t>ESTOQUE CURITIBA - PR 157 - VALOR DA MAQUINA R$12797,00
 Pedido nº 1165 enviado pelo vendedor Renato criado em 16/09/2024 09:58:03 integrado por meio do Bendito no dia 17/09/2024 às 20:57:28</t>
  </si>
  <si>
    <t>Yc5KgS9kTL2XTdOWq1LNGQ</t>
  </si>
  <si>
    <t>16026-A</t>
  </si>
  <si>
    <t>8A00240514003131</t>
  </si>
  <si>
    <t>Desc/frete e prazo autorizado pela Gerencia Comercial (Mario) entregar :  Rua jornalista Aristides de Melo 139. Casa 2 
Cep: 24330030
Referência: Casa azul portão branco em frente a casa de madeira.
 Pedido nº 1171 enviado pelo vendedor Ricardo Henrique  criado em 16/09/2024 16:27:26 integrado por meio do Bendito no dia 17/09/2024 às 20:59:04</t>
  </si>
  <si>
    <t>NMhSjJ5KRcmfTzc6ltAs7g</t>
  </si>
  <si>
    <t>16026-B</t>
  </si>
  <si>
    <t>8A00240514003129</t>
  </si>
  <si>
    <t>RjFtIsxJpfnqHDWu08Mn</t>
  </si>
  <si>
    <t>16026-C</t>
  </si>
  <si>
    <t>8A00240514003130</t>
  </si>
  <si>
    <t>mheQRO9RENm6DrkVEXJR</t>
  </si>
  <si>
    <t>16027</t>
  </si>
  <si>
    <t>8F00240723260480</t>
  </si>
  <si>
    <t xml:space="preserve">Pedido nº 1179 enviado pelo vendedor Mario  criado em 17/09/2024 21:39:50 integrado por meio do Bendito no dia 18/09/2024 às 14:51:34
O REDESPACHO SERA FOB - TRANSP. RODONAVES - CNPJ: 44.914.992/0013-71 - END: Parque Anhanguera, Av. Alexandre Colares, 500 - Vila Jaguara, São Paulo - SP, 05106-000		</t>
  </si>
  <si>
    <t>eAywP-xKRfK3Y3kc5szNdg</t>
  </si>
  <si>
    <t>16029-A</t>
  </si>
  <si>
    <t>8A00240514003084</t>
  </si>
  <si>
    <t>Cliente - Aclimação Parque (constar em NF)
 Pedido nº 1183 enviado pelo vendedor Fábio criado em 18/09/2024 13:24:32 integrado por meio do Bendito no dia 18/09/2024 às 15:18:11</t>
  </si>
  <si>
    <t>msxFVeWMQVC44wfc8DCF3g</t>
  </si>
  <si>
    <t>16029-B</t>
  </si>
  <si>
    <t>8A00240514003098</t>
  </si>
  <si>
    <t>n4NlfqHf69VWOrgKkuGw</t>
  </si>
  <si>
    <t>16030-A</t>
  </si>
  <si>
    <t>8F00240723290628</t>
  </si>
  <si>
    <t>Pedido nº 1176 enviado pelo vendedor Renato criado em 17/09/2024 15:54:59 integrado por meio do Bendito no dia 18/09/2024 às 15:25:17</t>
  </si>
  <si>
    <t>Rs6k0uNuTtOZc9nFs9h5kQ</t>
  </si>
  <si>
    <t>16030-A1</t>
  </si>
  <si>
    <t>8B00240106003139</t>
  </si>
  <si>
    <t>R$40.000,00 entrada + /30/45/60/75/90/105/120 Aprovado através do grupo no dia 24/09/2024.
Pedido nº 1176 enviado pelo vendedor Renato criado em 17/09/2024 15:54:59 integrado por meio do Bendito no dia 18/09/2024 às 15:25:17</t>
  </si>
  <si>
    <t>m9qdJkIgRneO6g9oXq4v2w</t>
  </si>
  <si>
    <t>16030-A2</t>
  </si>
  <si>
    <t>8B00240106003156</t>
  </si>
  <si>
    <t>828kqPQxhEeD36ClDgI1</t>
  </si>
  <si>
    <t>16030-A3</t>
  </si>
  <si>
    <t>8B00231215003251</t>
  </si>
  <si>
    <t>KYJ8X4GyPU2f5BHhXPkn</t>
  </si>
  <si>
    <t>16030-B</t>
  </si>
  <si>
    <t>8F00240723290642</t>
  </si>
  <si>
    <t>opxvmIVLWk3OfSWnKjdU</t>
  </si>
  <si>
    <t>16030-C</t>
  </si>
  <si>
    <t>8F00240723290648</t>
  </si>
  <si>
    <t>th8CTYxUAhZZBVeDRi6R</t>
  </si>
  <si>
    <t>16030-D</t>
  </si>
  <si>
    <t>8F00240723290640</t>
  </si>
  <si>
    <t>SnGBRUqAOfkB5Zjf0d0O</t>
  </si>
  <si>
    <t>16030-E</t>
  </si>
  <si>
    <t>8F00240723290627</t>
  </si>
  <si>
    <t>Xct6CVubW1IWy8whAotJ</t>
  </si>
  <si>
    <t>16030-F</t>
  </si>
  <si>
    <t>8F00240723290635</t>
  </si>
  <si>
    <t>BVGFkvSA8D3zFB4Lq5yW</t>
  </si>
  <si>
    <t>16030-G</t>
  </si>
  <si>
    <t>8F00240723290631</t>
  </si>
  <si>
    <t>8MUR0KtBGdKDhleeYuKa</t>
  </si>
  <si>
    <t>16030-H</t>
  </si>
  <si>
    <t>8E00241005140010</t>
  </si>
  <si>
    <t>jLYnqtFl5X6izwVTlZV7</t>
  </si>
  <si>
    <t>16030-I</t>
  </si>
  <si>
    <t>8E00241005140011</t>
  </si>
  <si>
    <t>3aqbuubv423OfgXTcoft</t>
  </si>
  <si>
    <t>16030-J</t>
  </si>
  <si>
    <t>8B00230924003138</t>
  </si>
  <si>
    <t>auecSTaIf0SDa1dPsVfN</t>
  </si>
  <si>
    <t>16030-K</t>
  </si>
  <si>
    <t>8B00230924003120</t>
  </si>
  <si>
    <t>3YGbAejuexK2F3Qw5Lhq</t>
  </si>
  <si>
    <t>16030-L</t>
  </si>
  <si>
    <t>8F00240723280534</t>
  </si>
  <si>
    <t>Apvxfi6PcjBTGr8PIEUS</t>
  </si>
  <si>
    <t>16030-M</t>
  </si>
  <si>
    <t>8F00240723280586</t>
  </si>
  <si>
    <t>GsrER7LfNdQm8t0gWNw5</t>
  </si>
  <si>
    <t>16030-N</t>
  </si>
  <si>
    <t>8F00240723280530</t>
  </si>
  <si>
    <t>zgtIHpdR45SF2c2lGSoT</t>
  </si>
  <si>
    <t>16030-O</t>
  </si>
  <si>
    <t>8F00240723280541</t>
  </si>
  <si>
    <t>hVP0LFuIgWQn7nFfAaeX</t>
  </si>
  <si>
    <t>16030-P</t>
  </si>
  <si>
    <t>8F00240723280536</t>
  </si>
  <si>
    <t>XX1qbl80z6vjjmbBppUB</t>
  </si>
  <si>
    <t>16030-Q</t>
  </si>
  <si>
    <t>8F00240723280528</t>
  </si>
  <si>
    <t>h8iXQlVnmtJFb2L6v5uk</t>
  </si>
  <si>
    <t>16030-R</t>
  </si>
  <si>
    <t>8F00240723280551</t>
  </si>
  <si>
    <t>F6Pw05YM63Yey6uGKuJT</t>
  </si>
  <si>
    <t>16030-S</t>
  </si>
  <si>
    <t>8F00240723280543</t>
  </si>
  <si>
    <t>h4H7qY4W4iTyrByHeYWz</t>
  </si>
  <si>
    <t>16030-T</t>
  </si>
  <si>
    <t>8E00241005110006</t>
  </si>
  <si>
    <t>G7dnaSqs1okrbGHo3g5Y</t>
  </si>
  <si>
    <t>16030-U</t>
  </si>
  <si>
    <t>8E00241005110007</t>
  </si>
  <si>
    <t>yUv1BiLafrKOqSvZsar9</t>
  </si>
  <si>
    <t>16030-V</t>
  </si>
  <si>
    <t>8E00241005110008</t>
  </si>
  <si>
    <t>3byZdWPHB1nslrD6MXbq</t>
  </si>
  <si>
    <t>16030-W</t>
  </si>
  <si>
    <t>8E00241005110012</t>
  </si>
  <si>
    <t>HmNr2HJ8wG8TwIfjPuGX</t>
  </si>
  <si>
    <t>16030-X</t>
  </si>
  <si>
    <t>8E00241005110011</t>
  </si>
  <si>
    <t>1SODDh0XN6Fh7vOFGKwf</t>
  </si>
  <si>
    <t>16030-Y</t>
  </si>
  <si>
    <t>8E00241005110010</t>
  </si>
  <si>
    <t>5FJqLLIicz1QBWaupMsj</t>
  </si>
  <si>
    <t>16030-Z</t>
  </si>
  <si>
    <t>8E00241005110009</t>
  </si>
  <si>
    <t>qNnm9XHfUK6L1c3BynSm</t>
  </si>
  <si>
    <t>16031</t>
  </si>
  <si>
    <t>8F00240723280562</t>
  </si>
  <si>
    <t>Pedido nº 1184 enviado pelo vendedor Renato criado em 18/09/2024 15:08:39 integrado por meio do Bendito no dia 18/09/2024 às 15:35:10</t>
  </si>
  <si>
    <t>FmNF8iLQRKS-rG.Q.3BHJQ</t>
  </si>
  <si>
    <t>16032-A</t>
  </si>
  <si>
    <t>8A00240514003019</t>
  </si>
  <si>
    <t>wFOD1E1VSMWZdU5aweBDbQ</t>
  </si>
  <si>
    <t>16032-B</t>
  </si>
  <si>
    <t>8A00240514003100</t>
  </si>
  <si>
    <t>prazo correto, 30/60/90/120
 Pedido nº 1186 enviado pelo vendedor Renato criado em 18/09/2024 16:48:41 integrado por meio do Bendito no dia 18/09/2024 às 17:56:56</t>
  </si>
  <si>
    <t>P04fWQ143YF4IGtfMr96</t>
  </si>
  <si>
    <t>16033</t>
  </si>
  <si>
    <t>CHAMA ALTERNATIVA COMERCIO VAREJISTA DE AQUECEDORES LTDA</t>
  </si>
  <si>
    <t>8F00240723260493</t>
  </si>
  <si>
    <t>SOLIDA TRANSPORTE LTDA</t>
  </si>
  <si>
    <t>REDESPACHO FOB CNPJ 74.167.222/0002-10 - SOLIDA TRANSPORTE LTDA - R PIRACURA, 113 - JURDIM FATIMA ¿¿¿ CEP 07.177-020 ¿¿¿ GUARULHOS-SP ¿¿¿ I.E. 796.011.983.115
 Pedido nº 1190 enviado pelo vendedor Ranoika  criado em 19/09/2024 08:44:13 integrado por meio do Bendito no dia 19/09/2024 às 09:05:11</t>
  </si>
  <si>
    <t>6NUrkTizTsa4bB-bkSCzRQ</t>
  </si>
  <si>
    <t>16034</t>
  </si>
  <si>
    <t>8A00240514003082</t>
  </si>
  <si>
    <t>Valor 12.900,00. Cif aut pelo Mario. 
 Pedido nº 1180 enviado pelo vendedor Ricardo Henrique  criado em 18/09/2024 07:10:39 integrado por meio do Bendito no dia 20/09/2024 às 08:37:00</t>
  </si>
  <si>
    <t>OEJlQrsPQzSkurYP7w6Aog</t>
  </si>
  <si>
    <t>16035</t>
  </si>
  <si>
    <t>8B00231215003147</t>
  </si>
  <si>
    <t>Pedido nº 1188 enviado pelo vendedor Fábio criado em 18/09/2024 18:17:59 integrado por meio do Bendito no dia 20/09/2024 às 10:14:00</t>
  </si>
  <si>
    <t>aVAae8q2SmKvQZ6IgwLNJA</t>
  </si>
  <si>
    <t>16037/16806</t>
  </si>
  <si>
    <t>8B00240322003224</t>
  </si>
  <si>
    <t>12305</t>
  </si>
  <si>
    <t>Pedido nº 1193 enviado pelo vendedor Carlos Augusto  criado em 19/09/2024 13:36:20 integrado por meio do Bendito no dia 20/09/2024 às 10:20:50</t>
  </si>
  <si>
    <t>uB-WBSeRQnSEfgwUjBbVqA</t>
  </si>
  <si>
    <t>16038</t>
  </si>
  <si>
    <t>8F00240723290651</t>
  </si>
  <si>
    <t>Pedido nº 1194 enviado pelo vendedor Renato criado em 19/09/2024 15:16:16 integrado por meio do Bendito no dia 20/09/2024 às 10:22:12</t>
  </si>
  <si>
    <t>uw1y3M3cSCuqfcnpTlBtmg</t>
  </si>
  <si>
    <t>16039</t>
  </si>
  <si>
    <t>8B00240106003152</t>
  </si>
  <si>
    <t>Entrega urgente
 Pedido nº 1195 enviado pelo vendedor Ricardo Henrique  criado em 19/09/2024 17:00:49 integrado por meio do Bendito no dia 20/09/2024 às 10:23:08</t>
  </si>
  <si>
    <t>QlJ8Tj-5Riazz7GcSNlvnA</t>
  </si>
  <si>
    <t>16040</t>
  </si>
  <si>
    <t>8F00240723290644</t>
  </si>
  <si>
    <t>Cgegando, despachar urgente  
 Pedido nº 1196 enviado pelo vendedor Ricardo Henrique  criado em 19/09/2024 17:02:22 integrado por meio do Bendito no dia 20/09/2024 às 10:25:49</t>
  </si>
  <si>
    <t>XLTujYUPTNOlOdHJ5NOJ3A</t>
  </si>
  <si>
    <t>16041</t>
  </si>
  <si>
    <t>8A00240514003021</t>
  </si>
  <si>
    <t>Pedido nº 1197 enviado pelo vendedor Renato criado em 20/09/2024 09:18:36 integrado por meio do Bendito no dia 20/09/2024 às 10:27:58</t>
  </si>
  <si>
    <t>Y-s3KM79QtqgY-YYfebWRg</t>
  </si>
  <si>
    <t>16042-A</t>
  </si>
  <si>
    <t>ANTONIO BARROS FREITAS 85756580778</t>
  </si>
  <si>
    <t>8A00240514003066</t>
  </si>
  <si>
    <t>Pedido nº 1181 enviado pelo vendedor Ricardo Henrique  criado em 18/09/2024 07:17:07 integrado por meio do Bendito no dia 20/09/2024 às 10:55:55</t>
  </si>
  <si>
    <t>5wvQPDsxSnC9mCpxwDs2Yw</t>
  </si>
  <si>
    <t>16042-B/ 16598-B</t>
  </si>
  <si>
    <t>8B00240322003112</t>
  </si>
  <si>
    <t>3jE5GYD5kXjC26z3DvU4</t>
  </si>
  <si>
    <t>16043</t>
  </si>
  <si>
    <t>13768</t>
  </si>
  <si>
    <t>INCLUIR + OS PRAZO DE 120/150 DIAS
 Pedido nº 1146 enviado pelo vendedor Renato criado em 12/09/2024 15:43:35 integrado por meio do Bendito no dia 20/09/2024 às 13:59:14</t>
  </si>
  <si>
    <t>eEy3RxTJQO64UOtXlK8W1A</t>
  </si>
  <si>
    <t>16044</t>
  </si>
  <si>
    <t>13531</t>
  </si>
  <si>
    <t>Substituição maquina Alexandre Chequer  . Maquina deve ir sem custo. e sem comissão .modelo frontal
REFERENTE NF 6055 - PEDIDO 7503 
VALOR DO PEDIDO ANTERIOR R$ 8235,00
 Pedido nº 1198 enviado pelo vendedor Ricardo Henrique  criado em 20/09/2024 11:38:36 integrado por meio do Bendito no dia 20/09/2024 às 14:28:09
NÃO ENTREGAR S/ENTRAR EM CONTATO COM O TELEFONE: JORGE (21) 99512-4022 AO MENOS C/ 24H</t>
  </si>
  <si>
    <t>JpSYGOfFT9S2Oq-0Za1Y0Q</t>
  </si>
  <si>
    <t>16046</t>
  </si>
  <si>
    <t xml:space="preserve">13621 </t>
  </si>
  <si>
    <t>PEDIDO CLIENTE 13716  PREÇO ESPECIAL DO CLIENTE:  R$ 8.401,78
URGENTE:  CLIENTE QUER RETIRAR DIA 23/09 
 Pedido nº 1187 enviado pelo vendedor Carlos Augusto  criado em 18/09/2024 16:59:57 integrado por meio do Bendito no dia 23/09/2024 às 08:12:43</t>
  </si>
  <si>
    <t>ZgdRlER4Q6Kx7G4zUPQO0Q</t>
  </si>
  <si>
    <t>16047</t>
  </si>
  <si>
    <t>8A00240514003095</t>
  </si>
  <si>
    <t xml:space="preserve">Valor Especial - R$ 12.797,00 (autorizado pelo GV Mário)
REDESPACHO: TRANSPORTADORA 5 M LTDA
CNPJ: 55.872.733/0002-99
ENDEREÇO:AV DIORAMA, 45, CIDADE INDUSTRIAL SATELITE DE SAO PAULO, GUARULHOS - SP
CEP: 07.223-180
 Pedido nº 1192 enviado pelo vendedor Fábio criado em 19/09/2024 10:30:57 integrado por meio do Bendito no dia 23/09/2024 às 08:13:34
O REDESP. SERA FOB - TRANSP. 5M LTDA - CNPJ: 55.872.733/0002-99 - Endereço: AV DIORAMA, 45, CIDADE INDUSTRIAL SATELITE DE SAO PAULO, GUARULHOS - SP CEP:07.223-180		</t>
  </si>
  <si>
    <t>sUZ4N.qbTxCv-uJOIvwkJA</t>
  </si>
  <si>
    <t>16048</t>
  </si>
  <si>
    <t>8F00240812170080</t>
  </si>
  <si>
    <t>Pedido nº 1201 enviado pelo vendedor Carlos Augusto  criado em 23/09/2024 08:24:35 integrado por meio do Bendito no dia 23/09/2024 às 10:14:10</t>
  </si>
  <si>
    <t>n2CZMfHBTsSXev-D7yhymg</t>
  </si>
  <si>
    <t>16049</t>
  </si>
  <si>
    <t>DOLMIRA CANDIDA MOTTA DIAS</t>
  </si>
  <si>
    <t>8F00240723290632</t>
  </si>
  <si>
    <t>10% menos 6,4% do difal = 3,6 de desconto .
constar na NF CNO:90.014.00.366/68
RODONAVES 44.914.992/0037-49 : Endereço de entrega: Rua Walt Disney ,20, bairro Cidade Nobre-Ipatinga -MG-CEP 35.162-418
 Pedido nº 1203 enviado pelo vendedor Luiz  criado em 23/09/2024 11:19:06 integrado por meio do Bendito no dia 23/09/2024 às 17:03:18</t>
  </si>
  <si>
    <t>Leandro Bittencourt (Lider de Produção)</t>
  </si>
  <si>
    <t>sw478.rxTs2yDuRQr4zI1Q</t>
  </si>
  <si>
    <t>16050</t>
  </si>
  <si>
    <t>8B00240322003190</t>
  </si>
  <si>
    <t>TRD TRANSPORTES- copiar ricardomattos@terra.com.br e danielesouza.24@hotmail.com
Substituição ao pedido 16001(cancelar)
 Pedido nº 1206 enviado pelo vendedor Mario  criado em 23/09/2024 18:06:39 integrado por meio do Bendito no dia 23/09/2024 às 18:08:01</t>
  </si>
  <si>
    <t>Q.1o0RO6THC4Sc6ke.tgkg</t>
  </si>
  <si>
    <t>16051</t>
  </si>
  <si>
    <t>8B00240322003234</t>
  </si>
  <si>
    <t xml:space="preserve">TAS LOGISTICA E TRANSPORTE LTDA </t>
  </si>
  <si>
    <t>REDESPACHO FOB - 40.835.229/0001-60 - TAS LOGISTICA E TRANSPORTE LTDA - RUA FRANCISCO DIOGO DE ASSIS VASCONCELOS 173, PIRATININGA, OSASCO/SP - CEP - 06.230-010
Pedido nº 1205 enviado pelo vendedor Fábio criado em 23/09/2024 17:49:09 integrado por meio do Bendito no dia 23/09/2024 às 18:08:45</t>
  </si>
  <si>
    <t>EIatn6asTFKw2RLRuHr-zQ</t>
  </si>
  <si>
    <t>16052/1</t>
  </si>
  <si>
    <t>8A00240513003018</t>
  </si>
  <si>
    <t>VALOR NEGOCIADO FTI25 R$ 7.507,77  E FTI35 R$ 8.016,00
TOTAL DO PEDIDO R$ 15.523,77
 Pedido nº 1002 enviado pelo vendedor Carlos Augusto  criado em 24/08/2024 06:00:39 integrado por meio do Bendito no dia 26/08/2024 às 08:18:09</t>
  </si>
  <si>
    <t>5NRhHijkneMnw7DZDC5E</t>
  </si>
  <si>
    <t>16052/2</t>
  </si>
  <si>
    <t>8F00240723260481</t>
  </si>
  <si>
    <t>Ure2SZ.XTZeymsUADj6ghA</t>
  </si>
  <si>
    <t>16053</t>
  </si>
  <si>
    <t>8F00240723260492</t>
  </si>
  <si>
    <t>Pedido nº 1207 enviado pelo vendedor Carlos Augusto  criado em 23/09/2024 19:57:01 integrado por meio do Bendito no dia 24/09/2024 às 09:36:52</t>
  </si>
  <si>
    <t>5WbLNqOiQJ-Y2rmGvFBqHw</t>
  </si>
  <si>
    <t>16055-A</t>
  </si>
  <si>
    <t>8F00240723260483</t>
  </si>
  <si>
    <t>Pedido nº 1208 enviado pelo vendedor Marcelo criado em 24/09/2024 08:01:12 integrado por meio do Bendito no dia 24/09/2024 às 10:08:50</t>
  </si>
  <si>
    <t>T6D7iAzkTK2DQ0NXY-9MFA</t>
  </si>
  <si>
    <t>16055-B</t>
  </si>
  <si>
    <t>8F00240723270512</t>
  </si>
  <si>
    <t>f52tkWB4UVvsQVzdhUC6</t>
  </si>
  <si>
    <t>16056-A</t>
  </si>
  <si>
    <t>8B00230924003068</t>
  </si>
  <si>
    <t>Pedido nº 1209 enviado pelo vendedor Renato criado em 24/09/2024 10:33:35 integrado por meio do Bendito no dia 24/09/2024 às 10:39:43</t>
  </si>
  <si>
    <t>BJmPF202QNq8IInXclc1Ew</t>
  </si>
  <si>
    <t>16056-B</t>
  </si>
  <si>
    <t>8A00240514003061</t>
  </si>
  <si>
    <t>tgSFtNpdSUcM0kg9CRpi</t>
  </si>
  <si>
    <t>16057</t>
  </si>
  <si>
    <t>GIFT STORE</t>
  </si>
  <si>
    <t>8B00240322003243</t>
  </si>
  <si>
    <t>MGU4426 - ALIANÇA - ANDERSON PIRES KRENSKI - 08426224970 - FIAT / FIORINO  / BRANCA  / 2015</t>
  </si>
  <si>
    <t>ESTE PEDIDO SUBSTITUI O PEDIDO 15714 - NEOENERGY - PREÇO NEGOCIADO R$ 11.995,73 pix 
EMPRESA DO SOGRO DO LUCIANO, SÓCIO PROPRIETARIO - NEOENERGY
NOTA EMITIDA PELA PJ
 Pedido nº 1055 enviado pelo vendedor Carlos Augusto  criado em 31/08/2024 10:21:48 integrado por meio do Bendito no dia 24/09/2024 às 11:35:49</t>
  </si>
  <si>
    <t>PdIKlaPrTSWizOhhMC4YiQ</t>
  </si>
  <si>
    <t>16058</t>
  </si>
  <si>
    <t>8B00240322003216</t>
  </si>
  <si>
    <t>Frete CIF
 Pedido nº 1213 enviado pelo vendedor Ranoika  criado em 24/09/2024 13:28:07 integrado por meio do Bendito no dia 24/09/2024 às 14:03:11
REDESPACHO FOB CNPJ 18.131.868/0001-96 - VICAR TRANSPORTE DE CARGA LTDA - R SERRA DO MAR, 106 - CEP 07.223-010 - BAIRRO CIDADE INDUSTRIAL SATELITE DE SAO PAULO - GUARULHOS - SP - I.E. 796.101.919.116</t>
  </si>
  <si>
    <t>DRashAz8RTqFExX25YDdNg</t>
  </si>
  <si>
    <t>16060</t>
  </si>
  <si>
    <t>8A00240411003142</t>
  </si>
  <si>
    <t>BOLETO 7 DIAS, PEDIR AO REPRESENTANTE AUTORIZAÇÃO ANTES DE FATURAR (EDNILSON) MAQUINÁ SAIRÁ DO ESTOQUE BOLHA AZUL EM CURITIBA PR182 E PR175 
 Pedido nº 1210 enviado pelo vendedor Renato criado em 24/09/2024 11:34:18 integrado por meio do Bendito no dia 24/09/2024 às 14:07:56</t>
  </si>
  <si>
    <t>4rivOZLFT9m7k0MR763zdw</t>
  </si>
  <si>
    <t>16060-B</t>
  </si>
  <si>
    <t>8A00240411003129</t>
  </si>
  <si>
    <t>vSMukzb-SY-W22hknwONNA</t>
  </si>
  <si>
    <t>16061</t>
  </si>
  <si>
    <t>SOBRE HIDRAULICA E LAZER LTDA</t>
  </si>
  <si>
    <t>13623</t>
  </si>
  <si>
    <t>maquina com quadro deslocado de sobrepor. frete Cif liberado pela Gerencia ( Mario)
 Pedido nº 1214 enviado pelo vendedor Ricardo Henrique  criado em 24/09/2024 14:26:53 integrado por meio do Bendito no dia 24/09/2024 às 14:47:28</t>
  </si>
  <si>
    <t>L30GJPNRTZuRHm1NoB6xcQ</t>
  </si>
  <si>
    <t>16062</t>
  </si>
  <si>
    <t>8F00240723270514</t>
  </si>
  <si>
    <t>Pedido nº 1215 enviado pelo vendedor Ricardo Henrique  criado em 24/09/2024 14:30:37 integrado por meio do Bendito no dia 24/09/2024 às 15:00:59</t>
  </si>
  <si>
    <t>Z5E5qV7CShOA46M2-oIooQ</t>
  </si>
  <si>
    <t>16063</t>
  </si>
  <si>
    <t>JC DOS SANTOS</t>
  </si>
  <si>
    <t>8F00240723270513</t>
  </si>
  <si>
    <t>Frete Cif liberado pela Gerencia ( Mario)
 Pedido nº 1216 enviado pelo vendedor Ricardo Henrique  criado em 24/09/2024 14:46:01 integrado por meio do Bendito no dia 24/09/2024 às 15:59:30</t>
  </si>
  <si>
    <t>IIDJSDJYRqurTGJKmk2Qsg</t>
  </si>
  <si>
    <t>16064</t>
  </si>
  <si>
    <t>8F00240723260478</t>
  </si>
  <si>
    <t>REDESPACHO FOB CNPJ 02.592.421/0001-84 - RG OSASCO TRANSPORTES RODOVIARIOS LTDA - Avenida Leonil Cre Bortolosso, 945, Galpão 14, Quitauna, Osasco SP, CEP: 06186-260 - I.E. 492.350.967.113
 Pedido nº 1219 enviado pelo vendedor Ranoika  criado em 24/09/2024 19:59:23 integrado por meio do Bendito no dia 25/09/2024 às 07:29:00</t>
  </si>
  <si>
    <t>HwtCKaWcQDKsaKg4E6ANcg</t>
  </si>
  <si>
    <t>16065</t>
  </si>
  <si>
    <t>8B00240322003204</t>
  </si>
  <si>
    <t>Pedido nº 1204 enviado pelo vendedor Marcelo criado em 23/09/2024 14:23:17 integrado por meio do Bendito no dia 25/09/2024 às 08:08:01</t>
  </si>
  <si>
    <t>fPRlNe3eQWqROX8Zy1iUqg</t>
  </si>
  <si>
    <t>16067</t>
  </si>
  <si>
    <t>8B00231215003113</t>
  </si>
  <si>
    <t>PREÇO NEGOCIADO COM O CLIENTE A VISTA R$ 10.160,64 - 7.507,77 do pedido 15832 -Cliente depositou R$2.652,87
CLIENTE TEM CRÉDITO NA FÁBRICA RELATIVO A PEDIDO INVERTER NÃO ENTREGUE, DEVEMOS ABATER DO VALOR DESTE PEDIDO
 Pedido nº 1212 enviado pelo vendedor Carlos Augusto  criado em 24/09/2024 16:19:40 integrado por meio do Bendito no dia 25/09/2024 às 08:49:48</t>
  </si>
  <si>
    <t>zfyRLj9tSzSlRro6LPyGmw</t>
  </si>
  <si>
    <t>16068</t>
  </si>
  <si>
    <t>8F00240723290621</t>
  </si>
  <si>
    <t xml:space="preserve">Oc 0576. Cliente Evandro. Entrega : Av San Martin 993 apto 1501 cep 22441015. Ligar para,o Jorge Aqualar 24h antes de entregar 
 Pedido nº 1222 enviado pelo vendedor Ricardo Henrique  criado em 25/09/2024 12:24:18 integrado por meio do Bendito no dia 25/09/2024 às 13:30:23
</t>
  </si>
  <si>
    <t>a.s3yHV6PSCaBdx0K0lZYTg</t>
  </si>
  <si>
    <t>16069</t>
  </si>
  <si>
    <t>13650</t>
  </si>
  <si>
    <t>Pedido nº 1221 enviado pelo vendedor Renato criado em 25/09/2024 10:33:14 integrado por meio do Bendito no dia 25/09/2024 às 13:30:47</t>
  </si>
  <si>
    <t>vrmurM49SF-8zq6Le3XWVw</t>
  </si>
  <si>
    <t>16071-A</t>
  </si>
  <si>
    <t>8F00240723290619</t>
  </si>
  <si>
    <t>Frete CIF autorizado pelo Mário. Boleto para 15 / 30 dias
 Pedido nº 1223 enviado pelo vendedor Marcelo criado em 25/09/2024 15:25:49 integrado por meio do Bendito no dia 25/09/2024 às 15:39:14</t>
  </si>
  <si>
    <t>f-EX-T4pT4ijzWxMXfh02Q</t>
  </si>
  <si>
    <t>16071-B</t>
  </si>
  <si>
    <t>8F00240723290650</t>
  </si>
  <si>
    <t>jlPKNYqQu65tYJrqNbXc</t>
  </si>
  <si>
    <t>16072</t>
  </si>
  <si>
    <t>13628</t>
  </si>
  <si>
    <t>Oc 3530. Estela Mariani. Equiper, cliente exclusivo, frete Cif. Oc 
 Pedido nº 1224 enviado pelo vendedor Ricardo Henrique  criado em 25/09/2024 16:47:32 integrado por meio do Bendito no dia 25/09/2024 às 16:52:18</t>
  </si>
  <si>
    <t>HiD4bbCQSg-6zFHAZb68oA</t>
  </si>
  <si>
    <t>16073-A</t>
  </si>
  <si>
    <t>8F00240723270495</t>
  </si>
  <si>
    <t xml:space="preserve">O REDESPACHO SERA FOB - TRANSP. RAPIDO FIGUEIREDO - CNPJ:10.973.773/0001-08 - END: R OURO VERDE DE GOIAS, 1233, CEP: 07.221-080
VALOR CONFORME ACERTO COMERCIAL COM MÁRIO DICK: FTI35 - R$7.515,00 / FTI105 - R$12.797,00
 Pedido nº 1218 enviado pelo vendedor Sadi criado em 24/09/2024 18:28:18 integrado por meio do Bendito no dia 26/09/2024 às 08:13:33
O REDESPACHO SERA FOB - TRANSP. RAPIDO FIGUEIREDO - CNPJ: 10.973.773/0001-08 - END: R OURO VERDE DE GOIAS, 1233, CEP: 07.221-080											
</t>
  </si>
  <si>
    <t>i7rK6QZPRxeM3E9bxfvWzw</t>
  </si>
  <si>
    <t>16073-B</t>
  </si>
  <si>
    <t>8A00240514003078</t>
  </si>
  <si>
    <t>eYNsRn10UapNwwgxy8uO</t>
  </si>
  <si>
    <t>16074-A</t>
  </si>
  <si>
    <t>8A00240514003091</t>
  </si>
  <si>
    <t>PREÇO PROMOCIONAL NA FTI105 R$ 12.797,00
 Pedido nº 1200 enviado pelo vendedor Carlos Augusto  criado em 23/09/2024 08:21:35 integrado por meio do Bendito no dia 26/09/2024 às 08:14:46</t>
  </si>
  <si>
    <t>i1gTn0hzQkyucSpa1zj6FQ</t>
  </si>
  <si>
    <t>16074-B</t>
  </si>
  <si>
    <t>8A00240514003097</t>
  </si>
  <si>
    <t>s7IrNYGBmXeWjqV2JDYi</t>
  </si>
  <si>
    <t>16075</t>
  </si>
  <si>
    <t>8F00240723290616</t>
  </si>
  <si>
    <t>Pedido nº 1225 enviado pelo vendedor Renato criado em 25/09/2024 17:45:19 integrado por meio do Bendito no dia 26/09/2024 às 08:23:25</t>
  </si>
  <si>
    <t>SYFKvDXRSS2tgqIgnoOW8Q</t>
  </si>
  <si>
    <t>16078</t>
  </si>
  <si>
    <t>8A00240514003109</t>
  </si>
  <si>
    <t>TRASNPORTADORA: ST SOLUÇÕES E LOGISTICA LTDA-RUA TEN. AMARO FELICISSIMO SILVEIRASN- COMPL. GP 10 PQ -NOVO MUNDO-SP- TEL 11 43043400
 Pedido nº 1228 enviado pelo vendedor Juscelino criado em 26/09/2024 09:45:12 integrado por meio do Bendito no dia 26/09/2024 às 09:46:00</t>
  </si>
  <si>
    <t>r0bQV-yTQTSS5.7ejBXRyw</t>
  </si>
  <si>
    <t>16079-A</t>
  </si>
  <si>
    <t>CONDOMINIO EDIFICIO PERSONALITE BELA VISTA</t>
  </si>
  <si>
    <t>8F00240812200227</t>
  </si>
  <si>
    <t>QHP5E03 - EXPRESSO SÃO MIGUEL - FELIPE BARROS CIPRIANI - 11195203985 - FORD / CARGA CAMINHAO  / BRANCA  / 2015</t>
  </si>
  <si>
    <t>GERAR NF DE VENDA ENTREGA FUTURA E BOLETO PARA 30/09/24 15.000,00 10/10/24 10.000,00 10/11/24 3.800,00.
TABELA COM INSTURÇÕES EM ANEXO . 
 Pedido nº 1230 enviado pelo vendedor Thiago  criado em 26/09/2024 15:27:19 integrado por meio do Bendito no dia 26/09/2024 às 15:37:07</t>
  </si>
  <si>
    <t>GCcTi24HQ.CXd6d.Kpmd3A</t>
  </si>
  <si>
    <t>16079-B</t>
  </si>
  <si>
    <t>8F00240812200228</t>
  </si>
  <si>
    <t>ePC32WMDiIgjsq9GVhZ0</t>
  </si>
  <si>
    <t>16080</t>
  </si>
  <si>
    <t>AGUAS CRISTALINAS</t>
  </si>
  <si>
    <t>8F00240723290626</t>
  </si>
  <si>
    <t>Alterar preço. Máquina negociada por R$ 12.000,00
 Pedido nº 1229 enviado pelo vendedor Thiago  criado em 26/09/2024 15:26:31 integrado por meio do Bendito no dia 26/09/2024 às 15:38:59</t>
  </si>
  <si>
    <t>cpdstYRUSVGVeDc3Lopuug</t>
  </si>
  <si>
    <t>16082-A</t>
  </si>
  <si>
    <t>8B00240106003164</t>
  </si>
  <si>
    <t>Pedido nº 1232 enviado pelo vendedor Fábio criado em 26/09/2024 16:04:06 integrado por meio do Bendito no dia 26/09/2024 às 16:39:55</t>
  </si>
  <si>
    <t>PWpQwvx2QQm-vn0qI1By.g</t>
  </si>
  <si>
    <t>16082-B</t>
  </si>
  <si>
    <t>8B00240106003160</t>
  </si>
  <si>
    <t>N7mxyt5o5Rn5dNJg1Om1</t>
  </si>
  <si>
    <t>16084</t>
  </si>
  <si>
    <t>8F00240723290645</t>
  </si>
  <si>
    <t>Pedido nº 1234 enviado pelo vendedor Renato criado em 26/09/2024 17:05:36 integrado por meio do Bendito no dia 26/09/2024 às 17:11:07</t>
  </si>
  <si>
    <t>zZ4rIfBuTZi3NW41uvK9Rg</t>
  </si>
  <si>
    <t>16085</t>
  </si>
  <si>
    <t>ASSISTERM AQUECEDORES LTDA</t>
  </si>
  <si>
    <t>8B00240322003252</t>
  </si>
  <si>
    <t>ESTOQUE CURITIBA - PR 151 - VALOR R$ 13494,00
 Pedido nº 1235 enviado pelo vendedor Renato criado em 26/09/2024 17:49:53 integrado por meio do Bendito no dia 27/09/2024 às 13:30:12</t>
  </si>
  <si>
    <t>Q98QCNSbQ3GQzg9jAs814A</t>
  </si>
  <si>
    <t>16086-A</t>
  </si>
  <si>
    <t>BOLETO PARA 7 DIAS
 Pedido nº 1236 enviado pelo vendedor Renato criado em 26/09/2024 18:07:12 integrado por meio do Bendito no dia 27/09/2024 às 13:31:52</t>
  </si>
  <si>
    <t>1FK3h2DGQV-CF1jSruTppQ</t>
  </si>
  <si>
    <t>16086-B</t>
  </si>
  <si>
    <t>13748</t>
  </si>
  <si>
    <t xml:space="preserve">RETIRA </t>
  </si>
  <si>
    <t>im3tMiiGSm8sn1SaoMCk</t>
  </si>
  <si>
    <t>16086-C</t>
  </si>
  <si>
    <t>13635</t>
  </si>
  <si>
    <t>1RR2jwS1bG5nNVAS6bCO</t>
  </si>
  <si>
    <t>16086-D</t>
  </si>
  <si>
    <t>13634</t>
  </si>
  <si>
    <t>FT120J35</t>
  </si>
  <si>
    <t>BOLETO PARA 7 DIAS // OBSERVAÇÃO Jair Rodrigues06/11/24 - CLIENTE RELATA QUE PEDIU UMA FT160J, VEIO FT120J, E QUANDO ELE FOI INSTALAR O QUADRO E O COMPRESSOR ERA F(220 TRI)
 Pedido nº 1236 enviado pelo vendedor Renato criado em 26/09/2024 18:07:12 integrado por meio do Bendito no dia 27/09/2024 às 13:31:52</t>
  </si>
  <si>
    <t>w7Ebk86WWtPffpVYVIjr</t>
  </si>
  <si>
    <t>16087</t>
  </si>
  <si>
    <t>BIGUACU PISCINAS</t>
  </si>
  <si>
    <t>8F00240723280515</t>
  </si>
  <si>
    <t>ASK5053 - RETIRA - LUCIANO JANUARIO - 02499774940 - FIAT UNO / PASSAGEIRO  / PRATA / 2010</t>
  </si>
  <si>
    <t>Pedido nº 1237 enviado pelo vendedor Carlos Augusto  criado em 27/09/2024 06:58:07 integrado por meio do Bendito no dia 27/09/2024 às 13:32:20</t>
  </si>
  <si>
    <t>KqQmkBDoSKOGVzkn3TUthw</t>
  </si>
  <si>
    <t>16088</t>
  </si>
  <si>
    <t>8B00240322003214</t>
  </si>
  <si>
    <t>Pedido nº 1238 enviado pelo vendedor Renato criado em 27/09/2024 10:41:35 integrado por meio do Bendito no dia 27/09/2024 às 13:32:41</t>
  </si>
  <si>
    <t>BJhph7z2S-GWeCUFgH809A</t>
  </si>
  <si>
    <t>16089</t>
  </si>
  <si>
    <t>PRO LAZER</t>
  </si>
  <si>
    <t>8B00240322003247</t>
  </si>
  <si>
    <t>COPIAR POR EMAIL danielesouza.24@hotmail.com - ricardomattos@terr.com.br
 Pedido nº 1240 enviado pelo vendedor Mario  criado em 27/09/2024 13:43:38 integrado por meio do Bendito no dia 27/09/2024 às 13:47:46</t>
  </si>
  <si>
    <t>eZfOYl2FTkiePTFgk1Pj5Q</t>
  </si>
  <si>
    <t>16092</t>
  </si>
  <si>
    <t>FIRMIANO PISCINAS</t>
  </si>
  <si>
    <t>8F00240723280557</t>
  </si>
  <si>
    <t>Pedido nº 1244 enviado pelo vendedor Renato criado em 30/09/2024 10:32:29 integrado por meio do Bendito no dia 30/09/2024 às 11:07:29</t>
  </si>
  <si>
    <t>G.w7lBtFSpGtwm7wo.cvoA</t>
  </si>
  <si>
    <t>16093-A</t>
  </si>
  <si>
    <t>13637</t>
  </si>
  <si>
    <t>Pedido Especial autorizado pelo GV Mário -Entrada+30/60/90/120/150 ds 
Meia nf- metade dos pagamentos feito pelo NUBANK (44799,31 em 1+5)
valor do pedido somente com o valor que vai ser pago pela conta da fromtherm
 Pedido nº 1217 enviado pelo vendedor Fábio criado em 24/09/2024 16:53:40 integrado por meio do Bendito no dia 25/09/2024 às 08:21:55</t>
  </si>
  <si>
    <t>suFN6wUrQCeEQsgpR5maRg</t>
  </si>
  <si>
    <t>16093-B</t>
  </si>
  <si>
    <t>K13aMwBzHeBo0dp9t5Nk</t>
  </si>
  <si>
    <t>16093-C</t>
  </si>
  <si>
    <t>13639</t>
  </si>
  <si>
    <t>OlcV0FtEVTktAQMCgtLB</t>
  </si>
  <si>
    <t>16093-D</t>
  </si>
  <si>
    <t>13106</t>
  </si>
  <si>
    <t>gu671cdCqMCNASlOPhZm</t>
  </si>
  <si>
    <t>16093-E</t>
  </si>
  <si>
    <t>amj363RYTzqvdLpQVUaA</t>
  </si>
  <si>
    <t>16093-F</t>
  </si>
  <si>
    <t>13107</t>
  </si>
  <si>
    <t>P6yQN46k5NsSNDlFsah8</t>
  </si>
  <si>
    <t>16094</t>
  </si>
  <si>
    <t>8F00240723260479</t>
  </si>
  <si>
    <t>RYN6C96 - RETIRA - JOSÉ CARLOS COSTA JUNIOR  - 05558695986 - FRORD  / FIORINO / BRANCA  / 2022</t>
  </si>
  <si>
    <t>COPIAR POR EMAIL danielesouza.24@hotmail.com - ricardomattos@terr.com.br
Fez pix dia 27/09 R$6.827,38 - TRD TRANSPORTES 
 Pedido nº 1246 enviado pelo vendedor Mario  criado em 30/09/2024 10:51:47 integrado por meio do Bendito no dia 30/09/2024 às 11:38:57</t>
  </si>
  <si>
    <t>apHrgJePShml5ZVlpD7G7w</t>
  </si>
  <si>
    <t>16095-A</t>
  </si>
  <si>
    <t>Loteamento Bom Futuro</t>
  </si>
  <si>
    <t>11432</t>
  </si>
  <si>
    <t>DICA TRANSPORTES</t>
  </si>
  <si>
    <t>TRASNPORTADORA : DICA TRANSPORTES CNPJ:40.152.387/0001-16 RUA: AV. SERRA BRANCA-Nº233-COMPL ARMAZEM 5- CEP: 07.224-050-  BAIRRO CIDADE IND. SATELITE DE SÃO PAULO - GUARULHOS SP 
 Pedido nº 1248 enviado pelo vendedor Juscelino criado em 30/09/2024 11:56:10 integrado por meio do Bendito no dia 30/09/2024 às 12:01:38</t>
  </si>
  <si>
    <t>BS.eE8UtTwCCsNSpp4dZMA</t>
  </si>
  <si>
    <t>16095-B</t>
  </si>
  <si>
    <t>13641</t>
  </si>
  <si>
    <t>FT60J35</t>
  </si>
  <si>
    <t>27vA4f8JLCXoXIVN32Rw</t>
  </si>
  <si>
    <t>16095-C</t>
  </si>
  <si>
    <t>IiUvxj6HhXBxvXrp7gUh</t>
  </si>
  <si>
    <t>16096</t>
  </si>
  <si>
    <t>8F00240723290653</t>
  </si>
  <si>
    <t>Pedido nº 1250 enviado pelo vendedor Renato criado em 30/09/2024 13:26:41 integrado por meio do Bendito no dia 30/09/2024 às 13:31:50</t>
  </si>
  <si>
    <t>Trp722fQR72C9J.UuUi7HQ</t>
  </si>
  <si>
    <t>16098</t>
  </si>
  <si>
    <t>8F00240723260487</t>
  </si>
  <si>
    <t>REDESPACHO FOB  CNPJ 24.882.886/0002-93 - RADLOG TRANSPORTES LTDA Rua UMBUZEIRO, 123 - Cep 07.224-010 - BAIRRO CIDADE INDUSTRIAL SATELITE DE SAO PAULO - GUARULHOS - SP I.E. 796.514.930.111
 Pedido nº 1251 enviado pelo vendedor Ranoika  criado em 30/09/2024 13:44:22 integrado por meio do Bendito no dia 30/09/2024 às 13:47:48</t>
  </si>
  <si>
    <t>knTofzs4SHewQF.SRgDrPw</t>
  </si>
  <si>
    <t>16099</t>
  </si>
  <si>
    <t>8F00240723290622</t>
  </si>
  <si>
    <t>Pedido nº 1252 enviado pelo vendedor Marcelo criado em 30/09/2024 14:28:41 integrado por meio do Bendito no dia 30/09/2024 às 14:55:25</t>
  </si>
  <si>
    <t>qbsy4GDARpaoNkBBt4YqJQ</t>
  </si>
  <si>
    <t>16101-A</t>
  </si>
  <si>
    <t>8F00240723290652</t>
  </si>
  <si>
    <t>Pedido nº 1243 enviado pelo vendedor Renato criado em 30/09/2024 09:30:20 integrado por meio do Bendito no dia 30/09/2024 às 17:07:32</t>
  </si>
  <si>
    <t>IQfCSP19Tz-eZOOdGohZjg</t>
  </si>
  <si>
    <t>16101-B</t>
  </si>
  <si>
    <t>8F00240723290624</t>
  </si>
  <si>
    <t>lKuZOUnDzMvafKNPFGyc</t>
  </si>
  <si>
    <t>16101-C</t>
  </si>
  <si>
    <t>8F00240723290620</t>
  </si>
  <si>
    <t>mw4wTJKxTbdAoD8rbWhs</t>
  </si>
  <si>
    <t>16101-D</t>
  </si>
  <si>
    <t>8B00240322003260</t>
  </si>
  <si>
    <t>E04IXJ55YFpVIcXt8uZQ</t>
  </si>
  <si>
    <t>16101-E</t>
  </si>
  <si>
    <t>8B00240322003213</t>
  </si>
  <si>
    <t>8AgjJ3XgIb6aNAxpzawf</t>
  </si>
  <si>
    <t>16101-F</t>
  </si>
  <si>
    <t>8F00240723280531</t>
  </si>
  <si>
    <t>0Oqo21xB3oZFbdHDyMvU</t>
  </si>
  <si>
    <t>16101-G</t>
  </si>
  <si>
    <t>8F00240723280548</t>
  </si>
  <si>
    <t>3zLLDdmIZv4wAXsHqcLW</t>
  </si>
  <si>
    <t>16102</t>
  </si>
  <si>
    <t>8F00240723280553</t>
  </si>
  <si>
    <t>Pedido nº 1255 enviado pelo vendedor Renato criado em 30/09/2024 15:26:46 integrado por meio do Bendito no dia 30/09/2024 às 17:09:30</t>
  </si>
  <si>
    <t>Qk9U2moVQ4OLrqdV.1glrQ</t>
  </si>
  <si>
    <t>16103</t>
  </si>
  <si>
    <t>13424</t>
  </si>
  <si>
    <t>MFK8776 - RETIRA - flavio orvate dasi - 05449085974 - vw/8.150e / carga caminhao / vermelha  / 2009</t>
  </si>
  <si>
    <t>PEDIDO PRICILA MACOPPI VOLTOLINI
TRANSPORTADORA:  ALFA TRANSPORTES
 Pedido nº 1256 enviado pelo vendedor Carlos Augusto  criado em 30/09/2024 15:39:33 integrado por meio do Bendito no dia 30/09/2024 às 17:10:55</t>
  </si>
  <si>
    <t>MEKwVFvURRe9zENuuyZBSQ</t>
  </si>
  <si>
    <t>16104-A</t>
  </si>
  <si>
    <t>8A00240411003087</t>
  </si>
  <si>
    <t>ALTERAR VALOR PARA 13.500,00un
SAIRÁ DO ESTOQUE DE CURITIBA 
PR164 E PR169
 Pedido nº 1257 enviado pelo vendedor Renato criado em 30/09/2024 15:55:54 integrado por meio do Bendito no dia 30/09/2024 às 17:13:08</t>
  </si>
  <si>
    <t>oVEcc.eOSL-usCJLZ83wlw</t>
  </si>
  <si>
    <t>16104-B</t>
  </si>
  <si>
    <t>8A00240411003104</t>
  </si>
  <si>
    <t>PR169ALTERAR VALOR PARA 13.500,00un
SAIRÁ DO ESTOQUE DE CURITIBA 
PR164 E PR169
 Pedido nº 1257 enviado pelo vendedor Renato criado em 30/09/2024 15:55:54 integrado por meio do Bendito no dia 30/09/2024 às 17:13:08</t>
  </si>
  <si>
    <t>c9VNXIc3T5CmciLAI-dgVg</t>
  </si>
  <si>
    <t>16105</t>
  </si>
  <si>
    <t>8B00240322003211</t>
  </si>
  <si>
    <t xml:space="preserve">Pedido nº 1258 enviado pelo vendedor Mario  criado em 30/09/2024 17:22:50 integrado por meio do Bendito no dia 30/09/2024 às 17:56:55
O REDESPACHO SERA FOB - TRANSP. RODONAVES - CNPJ: 44.914.992/0013-71 - END: Parque Anhanguera, Av. Alexandre Colares, 500 - Vila Jaguara, São Paulo - SP, 05106-000			</t>
  </si>
  <si>
    <t>SW9.0aZKSlSay6cnxOFJ7A</t>
  </si>
  <si>
    <t>16106</t>
  </si>
  <si>
    <t>POOL ARARAS</t>
  </si>
  <si>
    <t>8B00240322003219</t>
  </si>
  <si>
    <t>Pedido nº 1259 enviado pelo vendedor Marcelo criado em 30/09/2024 20:40:16 integrado por meio do Bendito no dia 01/10/2024 às 08:35:48</t>
  </si>
  <si>
    <t>lUX1KChESGe3.MV2ulYv6g</t>
  </si>
  <si>
    <t>16107</t>
  </si>
  <si>
    <t>8A00240514003133</t>
  </si>
  <si>
    <t>Cliente: Reserva do Parque - constar em NF
 Pedido nº 1264 enviado pelo vendedor Fábio criado em 01/10/2024 14:06:49 integrado por meio do Bendito no dia 01/10/2024 às 14:25:02</t>
  </si>
  <si>
    <t>LtP.XtyNTzqV2Y3XYvqNGA</t>
  </si>
  <si>
    <t>16109</t>
  </si>
  <si>
    <t>TECPISCINAS</t>
  </si>
  <si>
    <t>8A00240513003005</t>
  </si>
  <si>
    <t>Pedido reprocessado ao alterar dados do cliente 02/10/2024 08:38:45 usuário: P000697112
FRETE : Com redespacho pela Expresso Raquel - CNPJ 03.823.190/0002-16. - ENDEREÇO SÃO PAULO : RUA SOLDADO AMERICO RODRIGUES 131, GALPÃO MODULO A - PQ NOVO MUNDO
 Pedido nº 1269 enviado pelo vendedor Luiz  criado em 01/10/2024 17:24:43 integrado por meio do Bendito no dia 01/10/2024 às 17:51:02</t>
  </si>
  <si>
    <t>hNCpaV9sTCOKbGpkTWGbYQ</t>
  </si>
  <si>
    <t>16112-A</t>
  </si>
  <si>
    <t>FLIPPER COMERCIO DE PISCINAS LTDA</t>
  </si>
  <si>
    <t>8F00240723280565</t>
  </si>
  <si>
    <t>Pedido nº 1272 enviado pelo vendedor Carlos Augusto  criado em 02/10/2024 07:46:08 integrado por meio do Bendito no dia 02/10/2024 às 13:05:06</t>
  </si>
  <si>
    <t>XmtW5E8NRkGzWy7DMbFtyw</t>
  </si>
  <si>
    <t>16112-B</t>
  </si>
  <si>
    <t>8F00240723280589</t>
  </si>
  <si>
    <t>Us6arq3fTQRx7PXwEtHg</t>
  </si>
  <si>
    <t>16113</t>
  </si>
  <si>
    <t>CYRELA BAHIA EMPREENDIMENTOS IMOBILIARIOS LTDA</t>
  </si>
  <si>
    <t>13646</t>
  </si>
  <si>
    <t>Painel deslocado e de sobrepor.
Endereço de Entrega: Rua Jackson Figueiredo, 184/lote 7 - Joá - Rio de Janeiro CEP 22611-000
Ligar com 24h antecedencia para a Aqualar informando que ira fazer a entrega 21 999863617
 Pedido nº 1271 enviado pelo vendedor Ricardo Henrique  criado em 01/10/2024 22:28:26 integrado por meio do Bendito no dia 02/10/2024 às 13:06:30</t>
  </si>
  <si>
    <t>allAQpLyQ-CfKi.ThX0E9A</t>
  </si>
  <si>
    <t>16114-A</t>
  </si>
  <si>
    <t>MULTISERV AQUECEDORES</t>
  </si>
  <si>
    <t>13647</t>
  </si>
  <si>
    <t>WINNER LOG</t>
  </si>
  <si>
    <t>ENTRADA DE R$30.000,00 + boleto 30/60 ds do saldo . 
Transportadora: WRJ
 Pedido nº 1270 enviado pelo vendedor Mario  criado em 01/10/2024 17:31:38 integrado por meio do Bendito no dia 02/10/2024 às 13:10:03</t>
  </si>
  <si>
    <t>W4CuM0KbRPm.8nzKpbL1EA</t>
  </si>
  <si>
    <t>16114-B</t>
  </si>
  <si>
    <t>aypZ13EftJVmGfJVL4T4</t>
  </si>
  <si>
    <t>16114-C</t>
  </si>
  <si>
    <t>13648</t>
  </si>
  <si>
    <t>w1ehD8L1KfieJaKl4BQA</t>
  </si>
  <si>
    <t>16115</t>
  </si>
  <si>
    <t>8F00240723270504</t>
  </si>
  <si>
    <t>Cliente - Marcelo Falanga Lopes - constar em NF
ATENÇÃO - Boleto para 07 DD - autorizado pelo GV Mário
 Pedido nº 1267 enviado pelo vendedor Fábio criado em 01/10/2024 15:55:14 integrado por meio do Bendito no dia 02/10/2024 às 13:13:27</t>
  </si>
  <si>
    <t>ptSvbBcLR--Fjvsqr8d4zQ</t>
  </si>
  <si>
    <t>16116-A</t>
  </si>
  <si>
    <t>8F00240812200229</t>
  </si>
  <si>
    <t>VALOR DE CADA MAQUINA R$9906,00
dar crédito de R$ 15210,00 - referente a pagamento em duplicidade NF 10416
 Pedido nº 1266 enviado pelo vendedor Renato criado em 01/10/2024 15:33:44 integrado por meio do Bendito no dia 02/10/2024 às 13:14:28</t>
  </si>
  <si>
    <t>Yy62dCaeSqOdzynzsxPd3g</t>
  </si>
  <si>
    <t>16116-B</t>
  </si>
  <si>
    <t>8F00240812200230</t>
  </si>
  <si>
    <t>vSUfjMP5Wmv4toUlW1UL</t>
  </si>
  <si>
    <t>16117</t>
  </si>
  <si>
    <t>8F00240723280535</t>
  </si>
  <si>
    <t xml:space="preserve">Frete com redespacho pela SETE LAGOAS - CNPJ  03.098.929/0005-17 - RUA PEDRO DE TOLEDO, 407 - JARDIM SANTA LIDIA - GUARULHOS - SP
 Pedido nº 1265 enviado pelo vendedor Luiz  criado em 01/10/2024 14:55:37 integrado por meio do Bendito no dia 02/10/2024 às 13:17:12
</t>
  </si>
  <si>
    <t>mLSlQpfpQKGYa7ghrufT9g</t>
  </si>
  <si>
    <t>16118</t>
  </si>
  <si>
    <t>8F00240723270506</t>
  </si>
  <si>
    <t>Cliente - Moracy Ferrari (constar em NF)
 Pedido nº 1276 enviado pelo vendedor Fábio criado em 02/10/2024 13:14:46 integrado por meio do Bendito no dia 02/10/2024 às 13:23:50</t>
  </si>
  <si>
    <t>0a4.C-p2ToigfQEjjTrVwA</t>
  </si>
  <si>
    <t>16119</t>
  </si>
  <si>
    <t>8E00241005140040</t>
  </si>
  <si>
    <t>MIJ3J08 - FITLOG - Leonardo de Souza Rocha - 02040623693 - não sei / cargo / branco / 0000</t>
  </si>
  <si>
    <t>Cliente - Fabiano Candido do Nascimento (constar em NF)
 Pedido nº 1277 enviado pelo vendedor Fábio criado em 02/10/2024 13:19:51 integrado por meio do Bendito no dia 02/10/2024 às 13:24:24</t>
  </si>
  <si>
    <t>15cfqaEyTCS5yHofQDE9fw</t>
  </si>
  <si>
    <t>16120</t>
  </si>
  <si>
    <t>8F00240723290647</t>
  </si>
  <si>
    <t>Cliente: Silvana de Cassia Pereira Benedito (constar em NF)
 Pedido nº 1278 enviado pelo vendedor Fábio criado em 02/10/2024 13:21:34 integrado por meio do Bendito no dia 02/10/2024 às 13:25:26</t>
  </si>
  <si>
    <t>qX8RbTOfSbOAJNgKeoyxhQ</t>
  </si>
  <si>
    <t>16121</t>
  </si>
  <si>
    <t>13666</t>
  </si>
  <si>
    <t xml:space="preserve"> SPP TRANSPORTE RODOVIARIO DE CARGAS</t>
  </si>
  <si>
    <t>VALOR TOTAL DO PEDIDO COM OS DESCONTOS R$19.162,35
O REDESPACHO SERA FOB - SPP TRANSPORTE RODOVIARIO DE CARGAS LTDA CNPJ: 21.187.045/0001-97 
END: AVENIDA GUILHERME Nº: 483 Complemento: SALA: B; CEP: 02.053-000 Bairro: VILA GUILHERME - SAO PAULO/SP
AOS CUIDADOS DE FÁBIO CAMPINAS
 Pedido nº 1279 enviado pelo vendedor Robson criado em 02/10/2024 14:02:23 integrado por meio do Bendito no dia 02/10/2024 às 14:13:22</t>
  </si>
  <si>
    <t>UUddn9gGS.WwQ7e7ofoC8A</t>
  </si>
  <si>
    <t>16122</t>
  </si>
  <si>
    <t>8A00240514003075</t>
  </si>
  <si>
    <t>Cliente - Eduardo Botelho de Paiva - contar em NF
ATENÇÃO - Boleto para 07 DD - autorizado pelo GV Mário.
Conceder desconto de R$ 1.000,00 referente a promoção 30 máquinas (mês de Setembro)
 Pedido nº 1268 enviado pelo vendedor Fábio criado em 01/10/2024 16:10:57 integrado por meio do Bendito no dia 02/10/2024 às 15:02:36 - PEGOU A PR109 DA VITAL PISCINAS</t>
  </si>
  <si>
    <t>eV31hVWLTQ-DUXfzpAU2kg</t>
  </si>
  <si>
    <t>16123</t>
  </si>
  <si>
    <t>Okpiscinas Colombo PR</t>
  </si>
  <si>
    <t>8B00240322003033</t>
  </si>
  <si>
    <t>SAIRA DO ESTOQUE DE CURITIBA A PR109 DO CLIENTE VITAL PISCINAS. PR 109
 Pedido nº 1282 enviado pelo vendedor Renato criado em 02/10/2024 14:59:55 integrado por meio do Bendito no dia 02/10/2024 às 15:13:31</t>
  </si>
  <si>
    <t>JAIR</t>
  </si>
  <si>
    <t>ibzf0ratSMSXP4lqZnngTw</t>
  </si>
  <si>
    <t>16124</t>
  </si>
  <si>
    <t>8F00240723290618</t>
  </si>
  <si>
    <t>cliente VIVIANE 
 Pedido nº 1280 enviado pelo vendedor Carlos Augusto  criado em 02/10/2024 14:16:48 integrado por meio do Bendito no dia 02/10/2024 às 15:16:46</t>
  </si>
  <si>
    <t>al1LlYefTgujiH3RDNo7mQ</t>
  </si>
  <si>
    <t>16125</t>
  </si>
  <si>
    <t>8B00230927003146</t>
  </si>
  <si>
    <t>PEDIDO MARCELO
 Pedido nº 1281 enviado pelo vendedor Carlos Augusto  criado em 02/10/2024 14:18:14 integrado por meio do Bendito no dia 02/10/2024 às 15:17:22</t>
  </si>
  <si>
    <t>iJgWBxIRT4-piLvvHWFdpw</t>
  </si>
  <si>
    <t>16126-A</t>
  </si>
  <si>
    <t>MSV TUBOS E CONEXOES LTDA</t>
  </si>
  <si>
    <t>8F00240723290615</t>
  </si>
  <si>
    <t>NF PJ
Cliente retira na Transportadora em São PAULO . Denilson Nunes de Jesus RG: 23.920.388-4 e Antônio Barbosa de Jesus RG: 18.983.230-X Caminhão VUCK Placa
FVE6918.
 Pedido nº 1283 enviado pelo vendedor Fábio criado em 02/10/2024 15:26:25 integrado por meio do Bendito no dia 02/10/2024 às 15:31:30</t>
  </si>
  <si>
    <t>9LWrf7MNSIigb1ioAY8A0w</t>
  </si>
  <si>
    <t>16126-B</t>
  </si>
  <si>
    <t>8F00240723290617</t>
  </si>
  <si>
    <t>qVieJ1hXr8b10QVRGa3W</t>
  </si>
  <si>
    <t>16126-C</t>
  </si>
  <si>
    <t>8F00240723290629</t>
  </si>
  <si>
    <t>I32CmnfkYThsCZNw9lCM</t>
  </si>
  <si>
    <t>16126-D</t>
  </si>
  <si>
    <t>8F00240723260476</t>
  </si>
  <si>
    <t>zPYhaKNgh1eFB7g1JLMB</t>
  </si>
  <si>
    <t>16128-A</t>
  </si>
  <si>
    <t>EDUARDO SCHERER KABAIDE</t>
  </si>
  <si>
    <t>ND EXPRESS</t>
  </si>
  <si>
    <t>IJJ3C31 - RETIRA - YURI PATRICK CUNHA MOTA  - 02460278942 - M.BENZ / CARGA CAMINHAO  / BRANCO  / 2000</t>
  </si>
  <si>
    <t>CLIENTE HIDROESTE PISCINAS
ESTE PEDIDO CANCELA E SUBSTITUI O PEDIDO 13833
 Pedido nº 1284 enviado pelo vendedor Carlos Augusto  criado em 03/10/2024 08:30:05 integrado por meio do Bendito no dia 03/10/2024 às 10:00:18</t>
  </si>
  <si>
    <t>Ybr5sRzpQ8ibmrNLUMbwAw</t>
  </si>
  <si>
    <t>16128-B</t>
  </si>
  <si>
    <t>8B00230927003126</t>
  </si>
  <si>
    <t>eOKCAkSb8xqnyxJpZ4cP</t>
  </si>
  <si>
    <t>16130</t>
  </si>
  <si>
    <t>8F00240812200249</t>
  </si>
  <si>
    <t>Pedido nº 1285 enviado pelo vendedor Renato criado em 03/10/2024 13:31:18 integrado por meio do Bendito no dia 03/10/2024 às 13:38:11</t>
  </si>
  <si>
    <t>qJKc34qPRmagQUZKEFCWWQ</t>
  </si>
  <si>
    <t>16133-A</t>
  </si>
  <si>
    <t>8B00240106003147</t>
  </si>
  <si>
    <t>PRAZO DE PAGAMENTO ESPECIAL AUTORIZADO POR MÁRIO - 30/45/60/75/90/105/120/135/150 DIAS.
Mario-Autorizado 
 Pedido nº 1286 enviado pelo vendedor Carlos Augusto  criado em 03/10/2024 14:26:42 integrado por meio do Bendito no dia 07/10/2024 às 07:42:18</t>
  </si>
  <si>
    <t>KxrQWVaUSRS0OdYUNg1AQA</t>
  </si>
  <si>
    <t>16133-B</t>
  </si>
  <si>
    <t>8B00240106003162</t>
  </si>
  <si>
    <t>xLvShNJZLxHDXv5cePS3</t>
  </si>
  <si>
    <t>16133-C</t>
  </si>
  <si>
    <t>8B00240106003168</t>
  </si>
  <si>
    <t>bPYpnuxipCrykUJN2zcx</t>
  </si>
  <si>
    <t>16133-D</t>
  </si>
  <si>
    <t>8A00240514003087</t>
  </si>
  <si>
    <t>egAmk4WemPlG6UYs063k</t>
  </si>
  <si>
    <t>16133-E</t>
  </si>
  <si>
    <t>8F00240723270503</t>
  </si>
  <si>
    <t>AKmjrzhmydAii63xMLfQ</t>
  </si>
  <si>
    <t>16134-A</t>
  </si>
  <si>
    <t>13109</t>
  </si>
  <si>
    <t>Entrega: rua 2 lote 23 quadra A condomínio residencial taquaral /bairro Inoa / cid Marica cep 24 943 240
Frete: Beneficio em relação ao desconto . 
 Pedido nº 1311 enviado pelo vendedor Ricardo Henrique  criado em 04/10/2024 18:21:20 integrado por meio do Bendito no dia 07/10/2024 às 07:52:51</t>
  </si>
  <si>
    <t>teFKYhmMS92tsfLEv37usQ</t>
  </si>
  <si>
    <t>16134-B</t>
  </si>
  <si>
    <t>13108</t>
  </si>
  <si>
    <t>0WBjm3hZSTUq61aYkVS8</t>
  </si>
  <si>
    <t>16135</t>
  </si>
  <si>
    <t>13661</t>
  </si>
  <si>
    <t>Pedido nº 1310 enviado pelo vendedor Renato criado em 04/10/2024 18:03:03 integrado por meio do Bendito no dia 07/10/2024 às 07:53:29</t>
  </si>
  <si>
    <t>GnmrdBCoR2atZOJuUp-9CQ</t>
  </si>
  <si>
    <t>16137</t>
  </si>
  <si>
    <t>JOÃO CARLOS DI DOMÊNICO</t>
  </si>
  <si>
    <t>8F00240723280540</t>
  </si>
  <si>
    <t>VENDA DO CLIENTE: HIDROESTE PISCINAS DE JOAÇABA - SC
ENTRADA DE R$ 7.100,00 JÁ PAGA 
 Pedido nº 1314 enviado pelo vendedor Carlos Augusto  criado em 07/10/2024 06:40:06 integrado por meio do Bendito no dia 07/10/2024 às 08:25:39</t>
  </si>
  <si>
    <t>d5wq0BlVTAGEUmInFD5xJw</t>
  </si>
  <si>
    <t>16139</t>
  </si>
  <si>
    <t>SUZANE LURDES DALTROZO ROBERTI</t>
  </si>
  <si>
    <t>CONSUMIDOR FINAL - VENDA DA NARDI PISCINAS - ANDERSON 
PAGAMENTO PELA PJ
 Pedido nº 1313 enviado pelo vendedor Carlos Augusto  criado em 07/10/2024 06:33:47 integrado por meio do Bendito no dia 07/10/2024 às 08:43:18</t>
  </si>
  <si>
    <t>GTtCR-tJSH6wmbHH8uij8Q</t>
  </si>
  <si>
    <t>16140</t>
  </si>
  <si>
    <t>8F00240723260486</t>
  </si>
  <si>
    <t>Pedido nº 1308 enviado pelo vendedor Renato criado em 04/10/2024 17:32:46 integrado por meio do Bendito no dia 07/10/2024 às 10:20:08</t>
  </si>
  <si>
    <t>g1tUwVKdSze5N6Et4fvzqQ</t>
  </si>
  <si>
    <t>16141</t>
  </si>
  <si>
    <t>8B00240322003242</t>
  </si>
  <si>
    <t>CLIENTE VAI RETIRAR NO ESTOQUE DE CURITIBA PR155
 Pedido nº 1309 enviado pelo vendedor Renato criado em 04/10/2024 17:34:43 integrado por meio do Bendito no dia 07/10/2024 às 10:21:29</t>
  </si>
  <si>
    <t>8zUqJC0UTFW3Yhj4JV06Kw</t>
  </si>
  <si>
    <t>16142</t>
  </si>
  <si>
    <t>SOLAR E PISCINAS</t>
  </si>
  <si>
    <t>8B00240322003064</t>
  </si>
  <si>
    <t>ENDEREÇO DE ENTREGA: Rua Libia, 533 - Pineville, Pinhais - PR, 83.320-020.
 Pedido nº 1316 enviado pelo vendedor Renato criado em 07/10/2024 11:00:13 integrado por meio do Bendito no dia 07/10/2024 às 11:12:37</t>
  </si>
  <si>
    <t>hVRo4RaXREmPXXRaXCPKtw</t>
  </si>
  <si>
    <t>16143</t>
  </si>
  <si>
    <t>8F00240812200231</t>
  </si>
  <si>
    <t>Pedido nº 1315 enviado pelo vendedor Renato criado em 07/10/2024 10:29:44 integrado por meio do Bendito no dia 07/10/2024 às 11:13:00</t>
  </si>
  <si>
    <t>a..8yS5h4TT-eqDPhobRVYA</t>
  </si>
  <si>
    <t>16144</t>
  </si>
  <si>
    <t>8A00240514003070</t>
  </si>
  <si>
    <t>Pedido nº 1317 enviado pelo vendedor Fábio criado em 07/10/2024 11:15:47 integrado por meio do Bendito no dia 07/10/2024 às 11:23:47</t>
  </si>
  <si>
    <t>4zSKLAvWQDOSacFEXxHVJg</t>
  </si>
  <si>
    <t>16145</t>
  </si>
  <si>
    <t>8B00240322003231</t>
  </si>
  <si>
    <t>MAQUINA PR153 - SAIRÁ DO ESTOQUE DE CURITIBA - COTAÇÃO DO FRETE 6133
MARIO AUTORIZOU DESCONTO NESTE CLIENTE DE COMPRA ANTERIOR NAO TER A MAQUINA E O CLIENTE PAGAR POR OUTRA MAIOR.
 Pedido nº 1318 enviado pelo vendedor Renato criado em 07/10/2024 11:24:49 integrado por meio do Bendito no dia 07/10/2024 às 12:51:20</t>
  </si>
  <si>
    <t>sit.LXVFQ26AdjwMWBuKvA</t>
  </si>
  <si>
    <t>16146</t>
  </si>
  <si>
    <t>13658</t>
  </si>
  <si>
    <t>FH80J60T</t>
  </si>
  <si>
    <t>Pedido já foi pago, considerar o valor do item como R$ 20.789,18 EM SUBS AO PEDIDO 15863
Entrega no seguinte endereço: 
Linha leopoldina KM 6, s/n - Capela das Neves
Centro - Bento Gonçalves/RS CEP 95711-000
A/C Sandro Valduga
 Pedido nº 1320 enviado pelo vendedor Ricardo Henrique  criado em 07/10/2024 12:43:37 integrado por meio do Bendito no dia 07/10/2024 às 13:20:15</t>
  </si>
  <si>
    <t>P9U0ZEuXQJ2BnGfk1FsIFA</t>
  </si>
  <si>
    <t>16147</t>
  </si>
  <si>
    <t>COLOCAR EM PRODUÇÃO COM URGêNCIA - 5 DIAS 
 Pedido nº 1324 enviado pelo vendedor Carlos Augusto  criado em 07/10/2024 17:23:47 integrado por meio do Bendito no dia 07/10/2024 às 18:08:32</t>
  </si>
  <si>
    <t>yNS5w06xQIaE.4oCCzyieA</t>
  </si>
  <si>
    <t>16148</t>
  </si>
  <si>
    <t>ELETRIC SECURITY</t>
  </si>
  <si>
    <t>Rld5b51 - RETIRA - Rodrigo Alexandre Somer - 00622545965 - wv / saveiro / branca / 2020</t>
  </si>
  <si>
    <t xml:space="preserve">PREÇO NEGOCIADO R$ 11.000,00  // Jair Rodrigues30/10/24 A JULIANA ME PASSOU A INFORMAÇÃO DE QUE ESSE PEDIDO SERIA DEVOLVIDO E SERIA ENTREGUE AO CLIENTE UMA FTI45 NO LUGAR, PELO PEDIDO 16347, ESSE PEDIDO SÓ ESTÁ NA PLANILHA, NÃO ESTÁ NA OMIE. // OP ORIGINAL 12074
PAGAMENTO PELA PJ
 Pedido nº 1323 enviado pelo vendedor Carlos Augusto  criado em 07/10/2024 14:46:06 integrado por meio do Bendito no dia 07/10/2024 às 18:10:20 </t>
  </si>
  <si>
    <t>XHyntNFcQGiENinbwiwF1Q</t>
  </si>
  <si>
    <t>16149</t>
  </si>
  <si>
    <t>13675</t>
  </si>
  <si>
    <t>FTI115DBR</t>
  </si>
  <si>
    <t>BDS9H81 - RETIRA - JOSE ANDREZZA  - 68381212987 - VW / CARGA CAMINHONETE  / BRANCA  / 2020</t>
  </si>
  <si>
    <t>VALOR ACERDADO R$ 18720,00 - DEPOSITO FEITO PARA PJ DIA 07/10
RETIRA DIA 11/10 (SEXTA AGORA) 
 Pedido nº 1322 enviado pelo vendedor Carlos Augusto  criado em 07/10/2024 14:25:49 integrado por meio do Bendito no dia 07/10/2024 às 18:11:39</t>
  </si>
  <si>
    <t>daEfb4kNRv2IG0ify8waaA</t>
  </si>
  <si>
    <t>16150</t>
  </si>
  <si>
    <t>8F00240723280518</t>
  </si>
  <si>
    <t>Pedido nº 1321 enviado pelo vendedor Marcelo criado em 07/10/2024 13:38:13 integrado por meio do Bendito no dia 07/10/2024 às 18:12:01</t>
  </si>
  <si>
    <t>WcIpWpPIQAeU4Pf8UaK3RQ</t>
  </si>
  <si>
    <t>16151</t>
  </si>
  <si>
    <t>8F00240812200232</t>
  </si>
  <si>
    <t>TRANSPORTADORA : FORMATO TRANSPORTES LTDA-CNPJ: 13.727.240/0001-34 RUA RIO GRANDE DP PIAUI-130 CIDADE ARACILIA GUARULHOS SP -FONE 11 25367215- 
MANDAR LINK DO CARTÃO PARA BRUNO SAMPAIO 
 Pedido nº 1325 enviado pelo vendedor Mario  criado em 07/10/2024 18:21:26 integrado por meio do Bendito no dia 07/10/2024 às 18:30:09
O REDESP. SERA FOB - TRANSP. FORMATO TRANSP - CNPJ:13.727.240/0001-34 - END: R RIO GRANDE DO PIAUI, 130 , CEP: 07.250-250</t>
  </si>
  <si>
    <t>wxomG7xYQcC5YCWGaCpYmw</t>
  </si>
  <si>
    <t>16152</t>
  </si>
  <si>
    <t>Alessandra Carvalho de Lima Vila</t>
  </si>
  <si>
    <t>8F00240812200233</t>
  </si>
  <si>
    <t>AJUSTAR VALOR PARA R$14.700,00 - VENDA INDICADA POR AGUAS E VAPORES/RN - REDESPACHO SP: TRANSPORTADORA BOM JESUS CNPJ 70.033.451/0002-91 - (11) 2446 4443 / 2446 2182 
REDESPACHO SP: TRANSPORTADORA BOM JESUS CNPJ 70.033.451/0002-91 - (11) 2446 4443 / 2446 2182 
R ALEXANIA NÚMERO 847 - CEP 07.232-010
BAIRRO/DISTRITO CID IND SATELITE SP
GUARULHOS/SP
 Pedido nº 1326 enviado pelo vendedor Sadi criado em 07/10/2024 20:09:19 integrado por meio do Bendito no dia 07/10/2024 às 21:04:02</t>
  </si>
  <si>
    <t>ElfTjF3WQNCo.2pyXkkrDQ</t>
  </si>
  <si>
    <t>16154</t>
  </si>
  <si>
    <t>ECO CLIMA CLIMATIZACAO SUSTENTAVEL LTDA</t>
  </si>
  <si>
    <t>8F00240723270496</t>
  </si>
  <si>
    <t>ENTREGA - NO ENDEREÇO CADASTRO 
TRASNPORTADORA : SÃO MIGUEL
 Pedido nº 1328 enviado pelo vendedor Mario  criado em 08/10/2024 09:06:49 integrado por meio do Bendito no dia 08/10/2024 às 09:09:59</t>
  </si>
  <si>
    <t>dcl8oD5aTf2E0.BVcf54JA</t>
  </si>
  <si>
    <t>16157-A</t>
  </si>
  <si>
    <t>8F00240723280552</t>
  </si>
  <si>
    <t>Pedido nº 1211 enviado pelo vendedor Fábio criado em 24/09/2024 11:53:12 integrado por meio do Bendito no dia 24/09/2024 às 14:05:36</t>
  </si>
  <si>
    <t>BbQ2ftgFTKma2Zc0y5iAwA</t>
  </si>
  <si>
    <t>16157-B</t>
  </si>
  <si>
    <t>8B00230924003096</t>
  </si>
  <si>
    <t>2qryllIJA6hIRGILwDdG</t>
  </si>
  <si>
    <t>16157-C</t>
  </si>
  <si>
    <t>8B00231215003150</t>
  </si>
  <si>
    <t>c442dDCdsV4qBD5MlHJy</t>
  </si>
  <si>
    <t>16158</t>
  </si>
  <si>
    <t>Cliente - Rafael Vercelli (constar em NF)
 Pedido nº 1333 enviado pelo vendedor Fábio criado em 08/10/2024 14:08:03 integrado por meio do Bendito no dia 08/10/2024 às 14:46:42</t>
  </si>
  <si>
    <t>JJRG2.TvTN2S-VPhhwuZcQ</t>
  </si>
  <si>
    <t>16159</t>
  </si>
  <si>
    <t>8F00240812200234</t>
  </si>
  <si>
    <t>Cliente - Garcindo Folego Junior (constar em NF)
 Pedido nº 1334 enviado pelo vendedor Fábio criado em 08/10/2024 14:09:30 integrado por meio do Bendito no dia 08/10/2024 às 14:46:54</t>
  </si>
  <si>
    <t>lhF3Gp1lRE-2Pyz16M3ieA</t>
  </si>
  <si>
    <t>16160-A</t>
  </si>
  <si>
    <t>8A00240514003074</t>
  </si>
  <si>
    <t>Mário, nas máquinas FTi75 e FTi105 desconto de 10%
e nas duas FTi125, desconto de 10% + 2%
Prazo de pagamento 30/60/90/120 DD
Mario-Autorizado 
 Pedido nº 1332 enviado pelo vendedor Fábio criado em 08/10/2024 13:32:17 integrado por meio do Bendito no dia 08/10/2024 às 14:47:39</t>
  </si>
  <si>
    <t>JuxeMJ3ORjqhlfFNLKoyMQ</t>
  </si>
  <si>
    <t>16160-B</t>
  </si>
  <si>
    <t>8B00240106003170</t>
  </si>
  <si>
    <t>u08AeBRv6LfxJTZzeDL9</t>
  </si>
  <si>
    <t>16160-C</t>
  </si>
  <si>
    <t>8B00240106003153</t>
  </si>
  <si>
    <t>r09v6PIRgocUPQDWxXDk</t>
  </si>
  <si>
    <t>16160-D</t>
  </si>
  <si>
    <t>8F00240812200235</t>
  </si>
  <si>
    <t>uefArYpKhHJ6Cg2owwOV</t>
  </si>
  <si>
    <t>16161</t>
  </si>
  <si>
    <t>8F00240812200236</t>
  </si>
  <si>
    <t>copiar Danielle e Ricardo Mattos por email . 
 Pedido nº 1336 enviado pelo vendedor Mario  criado em 08/10/2024 15:56:45 integrado por meio do Bendito no dia 08/10/2024 às 16:00:14</t>
  </si>
  <si>
    <t>cwM-U2mkT.O4rwXLwa3VAg</t>
  </si>
  <si>
    <t>16162</t>
  </si>
  <si>
    <t>8A00240514003062</t>
  </si>
  <si>
    <t>VIA PIX - MIRIAM DA SILVA ROBALLO 07/10/24 
COPIAR - DANIELLE E RICARDOI MATTOS 
 Pedido nº 1337 enviado pelo vendedor Mario  criado em 08/10/2024 15:59:39 integrado por meio do Bendito no dia 08/10/2024 às 16:00:23</t>
  </si>
  <si>
    <t>hQpFzZPkSCKCJioP1kl-mA</t>
  </si>
  <si>
    <t>16163-A</t>
  </si>
  <si>
    <t>8B00240122003258</t>
  </si>
  <si>
    <t>PRAZO DE PAGAMENTO AUTORIZADO PELO MARIO:  ENTRADA DE R$ 17.000 (CHEQUE DIA 08/10)
SALDO EM BOLETOS 30/60/90/120 DIAS 
 Pedido nº 1338 enviado pelo vendedor Carlos Augusto  criado em 08/10/2024 16:18:13 integrado por meio do Bendito no dia 08/10/2024 às 16:33:08</t>
  </si>
  <si>
    <t>m88xykewRTylRG2NDWlpdw</t>
  </si>
  <si>
    <t>16163-B</t>
  </si>
  <si>
    <t>8F00240812170081</t>
  </si>
  <si>
    <t>sU4lpcOBTPvZbaitNKXF</t>
  </si>
  <si>
    <t>16163-C</t>
  </si>
  <si>
    <t>8F00240812170104</t>
  </si>
  <si>
    <t>Smd78xMfzikLVnTQWOkm</t>
  </si>
  <si>
    <t>16163-D</t>
  </si>
  <si>
    <t>8F00240723280533</t>
  </si>
  <si>
    <t>3PRidf5IJ5wpNxzoqM4O</t>
  </si>
  <si>
    <t>16163-E</t>
  </si>
  <si>
    <t>8F00240723280538</t>
  </si>
  <si>
    <t>crCD5VEpq5xaJF6I7Zkh</t>
  </si>
  <si>
    <t>16163-F</t>
  </si>
  <si>
    <t>8F00240723280544</t>
  </si>
  <si>
    <t>7asIt1AE14O6G1eikbWZ</t>
  </si>
  <si>
    <t>16164</t>
  </si>
  <si>
    <t>13668</t>
  </si>
  <si>
    <t>Frete CIF
 Pedido nº 1339 enviado pelo vendedor Ranoika  criado em 08/10/2024 16:37:00 integrado por meio do Bendito no dia 08/10/2024 às 17:17:08</t>
  </si>
  <si>
    <t>61yVgkfrQaCZWXzQjkyhEQ</t>
  </si>
  <si>
    <t>16165</t>
  </si>
  <si>
    <t>CONDOMINIO EDIFICIO MAESTRO</t>
  </si>
  <si>
    <t>8A00240514003064</t>
  </si>
  <si>
    <t>copiar : compras@hidrotec.com.br / Prazo de pagamento: 12/10  R$7.000,00  10/11 R$9.000,00   10/12 R$9.000,00 BOLETOS ENVIAR PARA Debora . 
OBS: em anexo 
VALOR DA NF R$ 25.000,00
VALOR TABELA R$ 13.225,29
 - DIF VAL TAB X NF R$ 11.774,71
 - DIF IMPOSTO 17% R$ 2.001,70
IMPOSTO ESTADUAL R$ 1.250,00
 Pedido nº 1340 enviado pelo vendedor Mario  criado em 08/10/2024 17:30:41 integrado por meio do Bendito no dia 08/10/2024 às 17:43:07</t>
  </si>
  <si>
    <t>JPFdknbJQEyKGPSQMafuOQ</t>
  </si>
  <si>
    <t>16168</t>
  </si>
  <si>
    <t>8B00240106003151</t>
  </si>
  <si>
    <t>RHE5C97 - RETIRA - GUILHERME CARLOS LIMA - 09457081977 - VOLKWAGEN / SAVEIRO / BRANCA / 2020</t>
  </si>
  <si>
    <t>PREÇO ESPECIAL AUTORIZADO POR PRISCILLA - R$15.548,28 - COMISSÃO REPRESENTANTE 3%
PRAZO 30/60/90/120/150/180 - ENTREGA PROGRAMADA PARA JANEIRO/25
 Pedido nº 1288 enviado pelo vendedor Carlos Augusto  criado em 03/10/2024 17:12:05 integrado por meio do Bendito no dia 09/10/2024 às 11:58:10</t>
  </si>
  <si>
    <t>b.onVHEGT.OnRVC-qrn8yA</t>
  </si>
  <si>
    <t>16169-A</t>
  </si>
  <si>
    <t>8A00240514003138</t>
  </si>
  <si>
    <t>RLL3I15 - RETIRA - LUAN CAPELLA -  - RENAUT / MASTER  / BRANCA  / 2022</t>
  </si>
  <si>
    <t>PREÇO ESPECIAL AUTORIZADO POR PRISCILLA - R$15.548,28 - COMISSÃO REPRESENTANTE 3%
PEDIDO CLIENTE 24067 - ENTREGA IMEDIATA
 Pedido nº 1289 enviado pelo vendedor Carlos Augusto  criado em 03/10/2024 17:15:38 integrado por meio do Bendito no dia 09/10/2024 às 11:59:27</t>
  </si>
  <si>
    <t>kXZORXQCRl6VzTs9s.7eQw</t>
  </si>
  <si>
    <t>16169-B</t>
  </si>
  <si>
    <t>8A00240514003135</t>
  </si>
  <si>
    <t>abtFG0Ep1wXouOmaFqQK</t>
  </si>
  <si>
    <t>16170/16333</t>
  </si>
  <si>
    <t>8F00240723280559</t>
  </si>
  <si>
    <t>PREÇO ESPECIAL AUTORIZADO POR PRISCILLA - R$7.214,49 - COMISSÃO REPRESENTANTE 3%
PEDIDO CLIENTE 22003 - ENTREGA IMEDIATA
 Pedido nº 1290 enviado pelo vendedor Carlos Augusto  criado em 03/10/2024 17:17:38 integrado por meio do Bendito no dia 09/10/2024 às 12:00:54</t>
  </si>
  <si>
    <t>kviIN2akTGqf4vOBeb85lw</t>
  </si>
  <si>
    <t>16171</t>
  </si>
  <si>
    <t>POLIHIDRO</t>
  </si>
  <si>
    <t>AMARAL TRANSPORTES</t>
  </si>
  <si>
    <t>AMARAL TRASNPORTES : cnpj 10.866.435/0001-77 - AV. ADNO MUSSER -10-PORTO SEGURO -BA CEP 45810-000 FONE 73 3288 1005 
 Pedido nº 1335 enviado pelo vendedor Mario  criado em 08/10/2024 15:07:48 integrado por meio do Bendito no dia 09/10/2024 às 12:00:55</t>
  </si>
  <si>
    <t>62-L7GdpSPObXrZh5ZC3fg</t>
  </si>
  <si>
    <t>16172</t>
  </si>
  <si>
    <t>8F00240723280556</t>
  </si>
  <si>
    <t>PREÇO ESPECIAL AUTORIZADO POR PRISCILLA - R$7989,41- COMISSÃO REPRESENTANTE 3%
PEDIDO CLIENTE 15201 - ENTREGA IMEDIATA
 Pedido nº 1291 enviado pelo vendedor Carlos Augusto  criado em 03/10/2024 18:11:49 integrado por meio do Bendito no dia 09/10/2024 às 12:01:46</t>
  </si>
  <si>
    <t>rIWg-8htQSKbLGGg27hzPw</t>
  </si>
  <si>
    <t>16173</t>
  </si>
  <si>
    <t>8B00230927003145</t>
  </si>
  <si>
    <t>PREÇO ESPECIAL AUTORIZADO POR PRISCILLA - R$16519,11 - COMISSÃO REPRESENTANTE 3%
PEDIDO CLIENTE 15250 - ENTREGA IMEDIATA
 Pedido nº 1292 enviado pelo vendedor Carlos Augusto  criado em 03/10/2024 18:20:05 integrado por meio do Bendito no dia 09/10/2024 às 12:03:11</t>
  </si>
  <si>
    <t>Fwq9S3fERd6sNxUWGw8NfQ</t>
  </si>
  <si>
    <t>16174</t>
  </si>
  <si>
    <t>8F00240723280545</t>
  </si>
  <si>
    <t>favor acrescentar 7,5% do DIFAL
 Pedido nº 1330 enviado pelo vendedor Renato criado em 08/10/2024 10:15:29 integrado por meio do Bendito no dia 09/10/2024 às 12:04:10</t>
  </si>
  <si>
    <t>wcm39ypTTAuGveuHORET4g</t>
  </si>
  <si>
    <t>16175-A</t>
  </si>
  <si>
    <t>8F00240812230306</t>
  </si>
  <si>
    <t>PREÇO ESPECIAL AUTORIZADO POR PRISCILLA - R$16.519,11 E R$9114,28 - COMISSÃO REPRESENTANTE 3%
PEDIDO CLIENTE 15301 - ENTREGA PROGRAMADA PARA JANEIRO/25 
PRAZO 30/60/90/120/150/180
 Pedido nº 1293 enviado pelo vendedor Carlos Augusto  criado em 03/10/2024 18:24:57 integrado por meio do Bendito no dia 09/10/2024 às 12:04:17</t>
  </si>
  <si>
    <t>49YjwyFLSyqvvAmKxpryrQ</t>
  </si>
  <si>
    <t>16175-B</t>
  </si>
  <si>
    <t>8F00241005160071</t>
  </si>
  <si>
    <t>69RH0BrtQOSw02tm6oz51Q</t>
  </si>
  <si>
    <t>16175-C</t>
  </si>
  <si>
    <t>8F00241005160085</t>
  </si>
  <si>
    <t>XnJDps4euwSHPMjAfHaw</t>
  </si>
  <si>
    <t>16176</t>
  </si>
  <si>
    <t>8B00240322003169</t>
  </si>
  <si>
    <t>PR108 - 8B00240322003169 - 15525 - PME INSTALACOES E MANUTENCAO - CANCELADA</t>
  </si>
  <si>
    <t>u6xleKw8QIKl12TgVf4q7g</t>
  </si>
  <si>
    <t>16177-A</t>
  </si>
  <si>
    <t>8F00240723260474</t>
  </si>
  <si>
    <t>PREÇO ESPECIAL AUTORIZADO POR PRISCILLA - R$6.757,00- COMISSÃO REPRESENTANTE 3%
PEDIDO CLIENTE 15761 - ENTREGA IMEDIATA
 Pedido nº 1294 enviado pelo vendedor Carlos Augusto  criado em 03/10/2024 18:27:27 integrado por meio do Bendito no dia 09/10/2024 às 12:05:04</t>
  </si>
  <si>
    <t>L4mA8bggR7eznUBKwgjygg</t>
  </si>
  <si>
    <t>16177-B</t>
  </si>
  <si>
    <t>8F00240723260473</t>
  </si>
  <si>
    <t>rY0bziBxlvL2la2CYVIS</t>
  </si>
  <si>
    <t>16178</t>
  </si>
  <si>
    <t>13670</t>
  </si>
  <si>
    <t>Cliente fará sinal de R$2.818,75 e pediu boletos de R$10.000 (30/60/90 DD)
 Pedido nº 1342 enviado pelo vendedor Fábio criado em 08/10/2024 17:55:31 integrado por meio do Bendito no dia 09/10/2024 às 12:05:21</t>
  </si>
  <si>
    <t>mBeT53-ZTbG8WI5JxLGB-w</t>
  </si>
  <si>
    <t>16179</t>
  </si>
  <si>
    <t>8B00230927003165</t>
  </si>
  <si>
    <t>REDESPACHO FOB  CNPJ 24.882.886/0002-93 - RADLOG TRANSPORTES LTDA Rua UMBUZEIRO, 123 - Cep 07.224-010 - BAIRRO CIDADE INDUSTRIAL SATELITE DE SAO PAULO - GUARULHOS - SP I.E. 796.514.930.111
 Pedido nº 1343 enviado pelo vendedor Ranoika  criado em 08/10/2024 20:16:37 integrado por meio do Bendito no dia 09/10/2024 às 12:06:16
O REDESPACHO SERA FOB - TRANSP. RADLOG - CNPJ : 24.882.886/0002-93 - END: R UMBUZEIRO, 123, CEP: 07.224-010</t>
  </si>
  <si>
    <t>oSF7yoIMR9WXXVX6szutaQ</t>
  </si>
  <si>
    <t>16180-A</t>
  </si>
  <si>
    <t>8F00240812220276</t>
  </si>
  <si>
    <t>PREÇO ESPECIAL AUTORIZADO POR PRISCILLA - R$14.490,00 E R$16.519,11- COMISSÃO REPRESENTANTE 3%
PEDIDO CLIENTE 16427 - ENTREGA PROGRAMADA MARÇO/25
PRAZO 30/60/90/120/150/180
 Pedido nº 1295 enviado pelo vendedor Carlos Augusto  criado em 03/10/2024 18:30:44 integrado por meio do Bendito no dia 09/10/2024 às 12:07:11</t>
  </si>
  <si>
    <t>Guilherme Ouriques (Gerente de Produção)</t>
  </si>
  <si>
    <t>QOkYHaMOgW2ofCi96NrW</t>
  </si>
  <si>
    <t>16180-B</t>
  </si>
  <si>
    <t>8F00240812230311</t>
  </si>
  <si>
    <t>6pNXa3yLnS09HeYnoVLs</t>
  </si>
  <si>
    <t>16180-C</t>
  </si>
  <si>
    <t>8F00240812230312</t>
  </si>
  <si>
    <t>0DHcgwwTRi2NcQkG53Ln-A</t>
  </si>
  <si>
    <t>16181</t>
  </si>
  <si>
    <t>8E00241005140041</t>
  </si>
  <si>
    <t>PREÇO ESPECIAL AUTORIZADO POR PRISCILLA - R$8733,77- COMISSÃO REPRESENTANTE 3%
PEDIDO CLIENTE 16779 - ENTREGA PROGRAMADA JANEIRO/25
 Pedido nº 1297 enviado pelo vendedor Carlos Augusto  criado em 03/10/2024 18:34:53 integrado por meio do Bendito no dia 09/10/2024 às 12:09:00</t>
  </si>
  <si>
    <t>ZVRpRBrKoFXcqNmniNYn</t>
  </si>
  <si>
    <t>16182</t>
  </si>
  <si>
    <t>8F00240812170083</t>
  </si>
  <si>
    <t>PREÇO ESPECIAL AUTORIZADO POR PRISCILLA - R$6757,00- COMISSÃO REPRESENTANTE 3%
PEDIDO CLIENTE 16914 - ENTREGA IMEDIATA
 Pedido nº 1298 enviado pelo vendedor Carlos Augusto  criado em 03/10/2024 18:40:58 integrado por meio do Bendito no dia 09/10/2024 às 12:10:43</t>
  </si>
  <si>
    <t>MnU2rJonReu4C3MhmK4ksA</t>
  </si>
  <si>
    <t>16183</t>
  </si>
  <si>
    <t>8F00250529210053</t>
  </si>
  <si>
    <t>PREÇO ESPECIAL AUTORIZADO POR PRISCILLA - R$9114,28- COMISSÃO REPRESENTANTE 3%
PEDIDO CLIENTE 16596 - ENTREGA PROGRAMADA OUTUBRO/25
PRAZO 30/60/90/120/150/180
 Pedido nº 1296 enviado pelo vendedor Carlos Augusto  criado em 03/10/2024 18:33:05 integrado por meio do Bendito no dia 09/10/2024 às 12:12:11</t>
  </si>
  <si>
    <t xml:space="preserve">&lt;HTML&gt;
&lt;HEAD&gt;
&lt;TITLE&gt;Moved Temporarily&lt;/TITLE&gt;
&lt;/HEAD&gt;
&lt;BODY BGCOLOR="#FFFFFF" TEXT="#000000"&gt;
&lt;!-- GSE Default Error --&gt;
&lt;H1&gt;Moved Temporarily&lt;/H1&gt;
The document has moved &lt;A HREF="https://script.googleusercontent.com/macros/echo?user_content_key=AehSKLgfzR4-0YLsFGC0LvMSm3Eic9cvn5URiIRIFrLH091-fcDmzOM5gsDCdqkRQK7n6_7Bpgiqoj4TG8tTNK4VO0L789CPRyk7VPYDbRX4wKX15bZPh3-xTnrzyqgAqiOmDCAe72-3B8xIzWRgtTs7sO6DsWL4J3-L7aHW0GNbmDk7GGJuOaHFhXTwLxtbl5omwzQ1G58niaxJLzLY_ZLG5flwH1l7qcHiYUQUDCQFHPDVQt_kT2U9g6WOWV9QGzfL9w2S_0xQaV7n8gFAmA0S2KjF4qZcheZU25mLYnsNULB1947glc6c77tiwtkQng&amp;amp;lib=M-zdWbhavtdZ1B_W2dnFDM0qoVt4lWzJ-"&gt;here&lt;/A&gt;.
&lt;/BODY&gt;
&lt;/HTML&gt;
</t>
  </si>
  <si>
    <t>6D0MbWKIR62BoCCSfyW.rw</t>
  </si>
  <si>
    <t>16184-A</t>
  </si>
  <si>
    <t>8F00240723260470</t>
  </si>
  <si>
    <t>MARIO ACRESCENTAR 7,5% DO DIFAL 
 Pedido nº 1344 enviado pelo vendedor Renato criado em 09/10/2024 11:32:30 integrado por meio do Bendito no dia 09/10/2024 às 13:53:22</t>
  </si>
  <si>
    <t>tMvPd0ZmRSGOiadtEAeF5g</t>
  </si>
  <si>
    <t>16184-B</t>
  </si>
  <si>
    <t>8F00240723260482</t>
  </si>
  <si>
    <t>Dc6MqiiWgGG7a2vG61XW</t>
  </si>
  <si>
    <t>16185</t>
  </si>
  <si>
    <t>8A00240514003088</t>
  </si>
  <si>
    <t>Pedido nº 1346 enviado pelo vendedor Marcelo criado em 09/10/2024 13:56:57 integrado por meio do Bendito no dia 09/10/2024 às 13:59:01</t>
  </si>
  <si>
    <t>0U8SRZ22STW6AeR7CtYX-g</t>
  </si>
  <si>
    <t>16186-A</t>
  </si>
  <si>
    <t>8A00240514003090</t>
  </si>
  <si>
    <t>pedido 8896
 Pedido nº 1260 enviado pelo vendedor Carlos Augusto  criado em 01/10/2024 07:23:59 integrado por meio do Bendito no dia 09/10/2024 às 14:02:47</t>
  </si>
  <si>
    <t>V6S8qxPdSD-rck.RFq7onw</t>
  </si>
  <si>
    <t>16186-B</t>
  </si>
  <si>
    <t>8A00240514003089</t>
  </si>
  <si>
    <t>s4OQwG8foOCsrosEDvm3</t>
  </si>
  <si>
    <t>16187-A</t>
  </si>
  <si>
    <t>8B00240106003172</t>
  </si>
  <si>
    <t>PREÇO ESPECIAL AUTORIZADO POR PRISCILLA - 125 MONO R$15548,28/ 125 TRI R$16519,11/ 25 MONO R$6757,00/ 55 MONO R$8733,77/ 75 MONO R$9114,28- COMISSÃO REPRESENTANTE 3%
PEDIDO CLIENTE 16947 - ENTREGA IMEDIATA
 Pedido nº 1301 enviado pelo vendedor Carlos Augusto  criado em 04/10/2024 08:22:54 integrado por meio do Bendito no dia 09/10/2024 às 14:19:46</t>
  </si>
  <si>
    <t>iOynVafgROG92hTucLEh-A</t>
  </si>
  <si>
    <t>16187-B</t>
  </si>
  <si>
    <t>8B00240106003143</t>
  </si>
  <si>
    <t>oOUum04wKShVzsVjF87b</t>
  </si>
  <si>
    <t>16187-C/16308</t>
  </si>
  <si>
    <t>8F00240812230307</t>
  </si>
  <si>
    <t>CCCJRl4ulJdisbzUcfsO</t>
  </si>
  <si>
    <t>16187-D/16308</t>
  </si>
  <si>
    <t>8F00240812230308</t>
  </si>
  <si>
    <t>SKvb6L6zGQbvnOasnRCJ</t>
  </si>
  <si>
    <t>16187-E/16308</t>
  </si>
  <si>
    <t>8F00240812170084</t>
  </si>
  <si>
    <t>OFMgaqo7nkXgyoqG2h9j</t>
  </si>
  <si>
    <t>16187-H/16308</t>
  </si>
  <si>
    <t>8F00240812200239</t>
  </si>
  <si>
    <t>7hTw1vwmkgtf8tjnNOEH</t>
  </si>
  <si>
    <t>16188-A</t>
  </si>
  <si>
    <t>8B00240106003141</t>
  </si>
  <si>
    <t>PREÇO ESPECIAL AUTORIZADO POR PRISCILLA - R$15548,28- COMISSÃO REPRESENTANTE 3%
PEDIDO CLIENTE 17015- ENTREGA PROGRAMADA JUNHO/25 - PRAZO 30/60/90/120/150/180
 Pedido nº 1302 enviado pelo vendedor Carlos Augusto  criado em 04/10/2024 08:37:26 integrado por meio do Bendito no dia 09/10/2024 às 14:20:58</t>
  </si>
  <si>
    <t>WxESVlkTLikFrjEkobcO</t>
  </si>
  <si>
    <t>16188-B</t>
  </si>
  <si>
    <t>8B00240106003137</t>
  </si>
  <si>
    <t>a.3CG6RGqR8OoG9cSZYwKMQ</t>
  </si>
  <si>
    <t>16189-A</t>
  </si>
  <si>
    <t>8F00240812230313</t>
  </si>
  <si>
    <t>PREÇO ESPECIAL AUTORIZADO POR PRISCILLA - R$16519,11 E R$9114,58- COMISSÃO REPRESENTANTE 3%
PEDIDO CLIENTE 17087 - ENTREGA PROGRAMADA FEVEREIRO/25 - PRAZO 30/60/90/120/150/180
 Pedido nº 1303 enviado pelo vendedor Carlos Augusto  criado em 04/10/2024 08:39:43 integrado por meio do Bendito no dia 09/10/2024 às 14:22:45</t>
  </si>
  <si>
    <t>4XSoivDtfaQPOTh6MK6n</t>
  </si>
  <si>
    <t>16189-B</t>
  </si>
  <si>
    <t>8F00241021260010</t>
  </si>
  <si>
    <t>xyihX6E0zQYYS6uvOaCR</t>
  </si>
  <si>
    <t>16190</t>
  </si>
  <si>
    <t>HOTEL PREMIUM NORTE</t>
  </si>
  <si>
    <t>Pagamento Cartão de Crédito em 4 vezes./ comissão de 10% para ROZO ENGENHARIA . 
Valor R$ 31.070,40
 Pedido nº 1347 enviado pelo vendedor Marcelo criado em 09/10/2024 14:10:58 integrado por meio do Bendito no dia 09/10/2024 às 14:29:44</t>
  </si>
  <si>
    <t>08Z3482XTfCo1ilwy5CkkQ</t>
  </si>
  <si>
    <t>16191-A</t>
  </si>
  <si>
    <t>8F00240812230314</t>
  </si>
  <si>
    <t>PREÇO ESPECIAL AUTORIZADO POR PRISCILLA - R$16519,11 COMISSÃO REPRESENTANTE 3%
PEDIDO CLIENTE 17474 - ENTREGA PROGRAMADA MARÇO/25 - PRAZO 30/60/90/120/150/180
 Pedido nº 1304 enviado pelo vendedor Carlos Augusto  criado em 04/10/2024 08:42:28 integrado por meio do Bendito no dia 09/10/2024 às 14:29:54</t>
  </si>
  <si>
    <t>RvvdWOxsTC2Skcd1F5fPNA</t>
  </si>
  <si>
    <t>16191-B</t>
  </si>
  <si>
    <t>8F00240812230315</t>
  </si>
  <si>
    <t>06Res9ozLznM76PPYGae</t>
  </si>
  <si>
    <t>16191-C</t>
  </si>
  <si>
    <t>8E00241005140039</t>
  </si>
  <si>
    <t>FMvwbTGUQdK1jK9LeUkqog</t>
  </si>
  <si>
    <t>16192</t>
  </si>
  <si>
    <t>8A00240514003072</t>
  </si>
  <si>
    <t>PREÇO ESPECIAL AUTORIZADO POR PRISCILLA - R$12415,58- COMISSÃO REPRESENTANTE 3%
PEDIDO CLIENTE P&amp;G EMP. - ENTREGA IMEDIATA
 Pedido nº 1305 enviado pelo vendedor Carlos Augusto  criado em 04/10/2024 08:44:17 integrado por meio do Bendito no dia 09/10/2024 às 14:31:07</t>
  </si>
  <si>
    <t>HTNZdq8wRT6jFf7t67Entw</t>
  </si>
  <si>
    <t>16194</t>
  </si>
  <si>
    <t>13673</t>
  </si>
  <si>
    <t>Pedido nº 1329 enviado pelo vendedor Renato criado em 08/10/2024 10:14:08 integrado por meio do Bendito no dia 09/10/2024 às 15:05:37</t>
  </si>
  <si>
    <t>lS2FXp9yRp-SSfoiiwSFfA</t>
  </si>
  <si>
    <t>16197</t>
  </si>
  <si>
    <t>8B00240106003144</t>
  </si>
  <si>
    <t>pedido Alexandre - Termosul 
 Pedido nº 1352 enviado pelo vendedor Carlos Augusto  criado em 10/10/2024 07:34:31 integrado por meio do Bendito no dia 10/10/2024 às 09:17:59</t>
  </si>
  <si>
    <t>b9AgpRklQp-rxSsTxpPyfA</t>
  </si>
  <si>
    <t>16198</t>
  </si>
  <si>
    <t>8F00240812170093</t>
  </si>
  <si>
    <t>Hnq2419 - RETIRA - ORLANDO LUIZ GARCIA SCHMIDT - 08178002981 - vw / saveiro / prata / 2015</t>
  </si>
  <si>
    <t>pago dia 09/10/24
 Pedido nº 1350 enviado pelo vendedor Carlos Augusto  criado em 09/10/2024 17:41:10 integrado por meio do Bendito no dia 10/10/2024 às 09:18:41</t>
  </si>
  <si>
    <t>TEoi-F.LR0umwUQD.lEt2A</t>
  </si>
  <si>
    <t>16199</t>
  </si>
  <si>
    <t>8A00240514003081</t>
  </si>
  <si>
    <t>MAQUINA VAI SER ENVIADA PARA TROCA,PROCESSO ANTIGO QUE ESTÁ PARADO- NÃO HAVERA COBRANÇA - AUTORIZADO 
TROCA DO PEDIDO 15383 - R$ 8525,63
PELO MARIO DICK
 Pedido nº 1354 enviado pelo vendedor Luiz  criado em 10/10/2024 09:07:12 integrado por meio do Bendito no dia 10/10/2024 às 09:42:29</t>
  </si>
  <si>
    <t>yyO6vDhrSbedSTjJi8egKw</t>
  </si>
  <si>
    <t>16200-A</t>
  </si>
  <si>
    <t>8B00240106003165</t>
  </si>
  <si>
    <t>VALOR AUTORIZADO PELA PRISCILLA R$ 15.548,28 - PEDIDO 24067 NEWTEC
VENDAS FECHADAS EM UM PACOTE - COMISSÃO DO REPRESENTANTE REDUZIDA 3%
 Pedido nº 1261 enviado pelo vendedor Carlos Augusto  criado em 01/10/2024 07:31:29 integrado por meio do Bendito no dia 10/10/2024 às 10:31:31</t>
  </si>
  <si>
    <t>zeTFJ85cRCahW0NA.o9uTw</t>
  </si>
  <si>
    <t>16200-B</t>
  </si>
  <si>
    <t>8B00240106003136</t>
  </si>
  <si>
    <t>YUPqG7mMd7uaYpe42MM5</t>
  </si>
  <si>
    <t>16203</t>
  </si>
  <si>
    <t>OC 03542
OBS: QUADRO DESLOCADO E DE SOBREPOR
 Pedido nº 1355 enviado pelo vendedor Ricardo Henrique  criado em 10/10/2024 12:56:58 integrado por meio do Bendito no dia 10/10/2024 às 14:12:23</t>
  </si>
  <si>
    <t>WrbX7C6lQ-iCAuSGXcOHVQ</t>
  </si>
  <si>
    <t>16204</t>
  </si>
  <si>
    <t>8F00240812200240</t>
  </si>
  <si>
    <t>ENTREGAR NO BARRACÃO BOLHA AZUL EM PINHAIS-PR
Rua Libia, 533 - Pineville, Pinhais - PR, 83.320-020.
 Pedido nº 1349 enviado pelo vendedor Renato criado em 09/10/2024 15:53:37 integrado por meio do Bendito no dia 10/10/2024 às 14:55:04</t>
  </si>
  <si>
    <t>7FtHO3KNRn6n3GMXqfYhKA</t>
  </si>
  <si>
    <t>16205</t>
  </si>
  <si>
    <t>8F00240812200241</t>
  </si>
  <si>
    <t>cliente vai esperar para 20/10 a chegada do outro conteiner .
 Pedido nº 1351 enviado pelo vendedor Renato criado em 09/10/2024 18:15:43 integrado por meio do Bendito no dia 10/10/2024 às 14:56:13</t>
  </si>
  <si>
    <t>5.rKo4qCTa6dhwH5O4sWdw</t>
  </si>
  <si>
    <t>16206</t>
  </si>
  <si>
    <t>CONSTRUTORA GOMES</t>
  </si>
  <si>
    <t>13660</t>
  </si>
  <si>
    <t>DESCONTO AUTORIZADO PELO MARIO DICK
FRETE COM REDESPACHO PELA EXPRESSO RAQUEL (CNPJ: 03.823.190/0002-16) (ENDEREÇO:RUA SOLDADO AMERICO RODRIGUES 131, GALPÃO MODULO A - PQ NOVO MUNDO, SÃO PAULO)
 Pedido nº 1331 enviado pelo vendedor Luiz  criado em 08/10/2024 10:50:32 integrado por meio do Bendito no dia 08/10/2024 às 11:02:06</t>
  </si>
  <si>
    <t>a-911s79zRWWtGvv4zm65YQ</t>
  </si>
  <si>
    <t>16207-A</t>
  </si>
  <si>
    <t>13671</t>
  </si>
  <si>
    <t>Máquina na cor Preta - Enviar pela TRD Transportes
 Pedido nº 1360 enviado pelo vendedor DANIELE criado em 11/10/2024 12:49:24 integrado por meio do Bendito no dia 11/10/2024 às 13:58:22</t>
  </si>
  <si>
    <t>H3hjiNlISYqahwpqt8cwaQ</t>
  </si>
  <si>
    <t>16208</t>
  </si>
  <si>
    <t>Bruno Perrout Suhet Silva</t>
  </si>
  <si>
    <t>Frete FOB por conta do Destinatário : Rodonaves  - SC - CNPJ: 44.914.992/0036-68  -  IE.260.650.455 - CONTATO (48) 32027150
ENDEREÇO : ENDEREÇO : ROD BR 101 , 7725 - SÃO VICENTE  - ITAJAI - SC - Lembrando que o cliente quem solicita a transportadora.
Colocar na observação da nota fiscal :  CNO: 90.011.86028/68 RG: MG10103603
 Pedido nº 1359 enviado pelo vendedor Luiz  criado em 11/10/2024 11:02:13 integrado por meio do Bendito no dia 11/10/2024 às 13:59:06</t>
  </si>
  <si>
    <t>zioUakE-SPaGCr86YaUFYw</t>
  </si>
  <si>
    <t>16209</t>
  </si>
  <si>
    <t>8F00240812200242</t>
  </si>
  <si>
    <t>ST SOLUÇÕES E LOGISTICA LTDA</t>
  </si>
  <si>
    <t>TRANSPORTADORA . ST SOLUÇÕES E LOGISTICA LTDA - RUA TENENTE AMARO FELICISSIMO SLVEIRA S/N COMPLEMENTO GP 10 PQ NOVO
MUNDO
SÃO PAULO - SP TEL 11 4304-3400 - 
 Pedido nº 1367 enviado pelo vendedor Juscelino criado em 13/10/2024 09:17:53 integrado por meio do Bendito no dia 14/10/2024 às 08:43:58</t>
  </si>
  <si>
    <t>HnLgMXF-SLCOz9JolYIALA</t>
  </si>
  <si>
    <t>16210</t>
  </si>
  <si>
    <t>8F00240812200271</t>
  </si>
  <si>
    <t>Pedido nº 1366 enviado pelo vendedor Carlos Augusto  criado em 12/10/2024 08:10:38 integrado por meio do Bendito no dia 14/10/2024 às 08:44:32</t>
  </si>
  <si>
    <t>lr5V0awDT0idKrUmHSuC4g</t>
  </si>
  <si>
    <t>16211</t>
  </si>
  <si>
    <t>8F00240723280593</t>
  </si>
  <si>
    <t>Pedido nº 1365 enviado pelo vendedor Carlos Augusto  criado em 12/10/2024 08:08:50 integrado por meio do Bendito no dia 14/10/2024 às 08:49:25</t>
  </si>
  <si>
    <t>rMRVAJQfQqC2xG1saPzzJw</t>
  </si>
  <si>
    <t>16212</t>
  </si>
  <si>
    <t>13672</t>
  </si>
  <si>
    <t>Pedido nº 1363 enviado pelo vendedor Renato criado em 11/10/2024 16:40:23 integrado por meio do Bendito no dia 14/10/2024 às 08:51:59</t>
  </si>
  <si>
    <t>s7mEXC.HQ.y0KWM7nEdERw</t>
  </si>
  <si>
    <t>16213</t>
  </si>
  <si>
    <t>ACQUA PORTO</t>
  </si>
  <si>
    <t>8F00240723280529</t>
  </si>
  <si>
    <t>47 35146178 - CONTATO TRANSPORTADORA
cotação 13153
Pedido nº 1362 enviado pelo vendedor Renato criado em 11/10/2024 15:04:26 integrado por meio do Bendito no dia 14/10/2024 às 08:54:23</t>
  </si>
  <si>
    <t>yLcJrwSUQ42xUaJEuR.tXg</t>
  </si>
  <si>
    <t>16214</t>
  </si>
  <si>
    <t>RENATO RIBEIRO ALVES</t>
  </si>
  <si>
    <t>8E00241005110001</t>
  </si>
  <si>
    <t>FRETE COM REDESPACHO PELA EXPRESSO RAQUEL.
CNPJ : 03.823.190/0002-16.
ENDEREÇO SÃO PAULO : RUA SOLDADO AMERICO RODRIGUES 131, GALPÃO MODULO A - PQ NOVO MUNDO...
 Pedido nº 1361 enviado pelo vendedor Luiz  criado em 11/10/2024 14:46:22 integrado por meio do Bendito no dia 14/10/2024 às 08:55:26</t>
  </si>
  <si>
    <t>a-Vhho5NnRviee.bSEiS1-g</t>
  </si>
  <si>
    <t>16215</t>
  </si>
  <si>
    <t>8F00240723280542</t>
  </si>
  <si>
    <t>Pagamento em boleto para 120 dias. Vamos despachar para treinamento inicio de novembro , se a cliente não quiser ficar ele devolverá . sem custos . 
 Pedido nº 1369 enviado pelo vendedor Marcelo criado em 14/10/2024 09:00:34 integrado por meio do Bendito no dia 14/10/2024 às 09:35:53</t>
  </si>
  <si>
    <t>U3.pAtPmTpGvzr5lnckqjg</t>
  </si>
  <si>
    <t>16216</t>
  </si>
  <si>
    <t>AD PISCINAS</t>
  </si>
  <si>
    <t>8B00240322003233</t>
  </si>
  <si>
    <t>MAQUINA PR150 SAIRÁ DO ESTOQUE DE CURITIBA.
 Pedido nº 1368 enviado pelo vendedor Renato criado em 14/10/2024 08:19:16 integrado por meio do Bendito no dia 14/10/2024 às 09:52:40</t>
  </si>
  <si>
    <t>VJPE69BES1iU3XOXXbeIfw</t>
  </si>
  <si>
    <t>16218</t>
  </si>
  <si>
    <t>KRONUS</t>
  </si>
  <si>
    <t>PAGAMENTO BOLETO 120 DIAS - PRODUTO PARA EXPOSIÇÃO EM FEIRA . Cliente poderá devolver frete nossa conta, publicidade da marca . Mandar junto material de publicidade NÃO ESQCER 
 Pedido nº 1370 enviado pelo vendedor DANIELE criado em 14/10/2024 09:42:45 integrado por meio do Bendito no dia 14/10/2024 às 12:46:39 // 8F00240723280539</t>
  </si>
  <si>
    <t>Z4dfVeJER2GvAmi3hVk9HA</t>
  </si>
  <si>
    <t>16219</t>
  </si>
  <si>
    <t>NEHRING</t>
  </si>
  <si>
    <t>8F00240723280563</t>
  </si>
  <si>
    <t>PAGAMENTO BOLETO 120 DIAS - PRPODUTO PARA EXPOSIÇÃO-FEIRA. Frete por nossa conta, publicidade da marca . Mandar junto material de publicidade NÃO ESQCER
 Pedido nº 1371 enviado pelo vendedor DANIELE criado em 14/10/2024 09:45:33 integrado por meio do Bendito no dia 14/10/2024 às 12:47:18</t>
  </si>
  <si>
    <t>RVcJSujFTEKJBfsf9IWNDw</t>
  </si>
  <si>
    <t>16221-A</t>
  </si>
  <si>
    <t>8F00240812200243</t>
  </si>
  <si>
    <t>Cliente - Haute Ibirapuera (constar em NF)
 Pedido nº 1372 enviado pelo vendedor Fábio criado em 14/10/2024 11:16:39 integrado por meio do Bendito no dia 14/10/2024 às 12:48:32</t>
  </si>
  <si>
    <t>43kTecHjSEGIKbpPsd5juQ</t>
  </si>
  <si>
    <t>16221-B</t>
  </si>
  <si>
    <t>8F00240812200244</t>
  </si>
  <si>
    <t>dsgwPVdQGmLVKgaKmuxx</t>
  </si>
  <si>
    <t>16221-C</t>
  </si>
  <si>
    <t>8E00241005110002</t>
  </si>
  <si>
    <t>yrVGUPplawhS38FSbfZ2</t>
  </si>
  <si>
    <t>16222</t>
  </si>
  <si>
    <t>CÁSSIO BOBSIN MACHADO</t>
  </si>
  <si>
    <t>8B00231215003250</t>
  </si>
  <si>
    <t>EM ANEXO PEDIDO HIDROTEC - PIX REALIZADO -Email de confirmação para Debora e Danielle 
VALOR DA NF R$                     31.089,00 
VALOR TABELA R$                     16.065,43 
DIF VAL TAB X NF R$                     15.023,57 
 DIF IMPOSTO 17% R$                       2.554,01 
IMPOSTO ESTADUAL R$                       1.554,45
 Pedido nº 1374 enviado pelo vendedor DANIELE criado em 14/10/2024 11:33:33 integrado por meio do Bendito no dia 14/10/2024 às 12:53:28</t>
  </si>
  <si>
    <t>FZCbpvE9RIWdYCtMn3Pr3A</t>
  </si>
  <si>
    <t>16223</t>
  </si>
  <si>
    <t>8F00240812170086</t>
  </si>
  <si>
    <t>cliente: Queijo (constar em NF)
 Pedido nº 1375 enviado pelo vendedor Fábio criado em 14/10/2024 12:06:19 integrado por meio do Bendito no dia 14/10/2024 às 12:56:01</t>
  </si>
  <si>
    <t>NjjZsvvmQa2YmpTQ3JplLg</t>
  </si>
  <si>
    <t>16225</t>
  </si>
  <si>
    <t>8F00240723280549</t>
  </si>
  <si>
    <t>DESPACHAR URGENTE 
 Pedido nº 1378 enviado pelo vendedor Marcelo criado em 14/10/2024 13:40:39 integrado por meio do Bendito no dia 14/10/2024 às 13:47:14</t>
  </si>
  <si>
    <t>bUZPnqStS0-VcfkfesoWoA</t>
  </si>
  <si>
    <t>16229</t>
  </si>
  <si>
    <t>ESPACO DAS PISCINAS</t>
  </si>
  <si>
    <t>8F00240812170105</t>
  </si>
  <si>
    <t>Pedido nº 1357 enviado pelo vendedor Carlos Augusto  criado em 11/10/2024 08:33:57 integrado por meio do Bendito no dia 15/10/2024 às 16:58:09</t>
  </si>
  <si>
    <t>ecj0-aHuQjqQ5FvCDJXLLA</t>
  </si>
  <si>
    <t>16230/16359</t>
  </si>
  <si>
    <t>13679</t>
  </si>
  <si>
    <t>pedido 16230 - apagado por engano.
Pedido nº 1447 enviado pelo vendedor Renato criado em 25/10/2024 10:54:00 integrado por meio do Bendito no dia 25/10/2024 às 16:45:55</t>
  </si>
  <si>
    <t>VBeR4PqjQJ6HsbfRpDVu5g</t>
  </si>
  <si>
    <t>16231</t>
  </si>
  <si>
    <t>JOÃO MIGUEL TOLOTTI</t>
  </si>
  <si>
    <t>EM ANEXO PEDIDO HIDROTEC - TRANFERENCIA REALIZADA -  PREVISÃO DE ENTREGA: 01/11 A 15/11/2024
Email de confirmação para Debora e Daniele 
VALOR DA NF R$   33.560,00 
VALOR TABELA R$  17.622,76 
DIF VAL TAB X NF R$     15.937,24 
 DIF IMPOSTO 17% R$     2.709,33                      
IMPOSTO ESTADUAL R$     1.678,00                    
 Pedido nº 1381 enviado pelo vendedor DANIELE criado em 15/10/2024 16:42:23 integrado por meio do Bendito no dia 15/10/2024 às 17:23:21</t>
  </si>
  <si>
    <t>79E4D3-ISFKFDjnP228lgQ</t>
  </si>
  <si>
    <t>16233</t>
  </si>
  <si>
    <t>8F00240812170087</t>
  </si>
  <si>
    <t>ENVIAR PELA TRD
 Pedido nº 1383 enviado pelo vendedor DANIELE criado em 15/10/2024 19:01:42 integrado por meio do Bendito no dia 16/10/2024 às 07:52:22</t>
  </si>
  <si>
    <t>RZOrVnrsRz2J7BnIj7mEdw</t>
  </si>
  <si>
    <t>16234</t>
  </si>
  <si>
    <t>8F00240812200245</t>
  </si>
  <si>
    <t>PEDIDO CLIENTE MARCOS CASARA
RETIRA NA FÁBRICA DIA 18/10/24
 Pedido nº 1384 enviado pelo vendedor Carlos Augusto  criado em 16/10/2024 06:15:02 integrado por meio do Bendito no dia 16/10/2024 às 07:55:19</t>
  </si>
  <si>
    <t>1s04M7frQkyptXpJlZ9ypA</t>
  </si>
  <si>
    <t>16235-A</t>
  </si>
  <si>
    <t>8F00240812230310</t>
  </si>
  <si>
    <t>Pedido nº 1386 enviado pelo vendedor Carlos Augusto  criado em 16/10/2024 06:21:38 integrado por meio do Bendito no dia 16/10/2024 às 07:57:0</t>
  </si>
  <si>
    <t>zvN1hiccS2OYUXKASkKLDA</t>
  </si>
  <si>
    <t>16235-B</t>
  </si>
  <si>
    <t>8F00240812230309</t>
  </si>
  <si>
    <t>uap0je7GF5DoG0VC1n0E</t>
  </si>
  <si>
    <t>16237</t>
  </si>
  <si>
    <t>10426</t>
  </si>
  <si>
    <t>VALOR NEGOCIADO A VISTA R$ 15.742,76 - VALOR PEDIDO NORMAL COM DESC. E A COBRANÇA SERÁ A MENOR ., USANDO CREDITO . 
ABATER DO VALOR ACIMA CRÉDITO DO CLIENTE NO VALOR DE R$ 3.239,05 (CONFERIR SE VALOR BATE) 
 Pedido nº 1385 enviado pelo vendedor Carlos Augusto  criado em 16/10/2024 06:19:43 integrado por meio do Bendito no dia 16/10/2024 às 09:03:43</t>
  </si>
  <si>
    <t>tqfr7AQpSHurLnwf.nE.Jw</t>
  </si>
  <si>
    <t>16238-A</t>
  </si>
  <si>
    <t>8E00241005140054</t>
  </si>
  <si>
    <t>via pix . UREGENTE DESPACHAR A FTI 45 PARA DERCIO - EM NOVO HAMBURGO . 
 Pedido nº 1389 enviado pelo vendedor DANIELE criado em 16/10/2024 12:15:59 integrado por meio do Bendito no dia 16/10/2024 às 14:26:35</t>
  </si>
  <si>
    <t>Iz-9JVZrROqw303IUi2oSA</t>
  </si>
  <si>
    <t>16238-B</t>
  </si>
  <si>
    <t>8F00240723280537</t>
  </si>
  <si>
    <t>qKYKGcO10WciuExrUq6o</t>
  </si>
  <si>
    <t>16239</t>
  </si>
  <si>
    <t>8F00240812200247</t>
  </si>
  <si>
    <t>PEDIDO CLIENTE 24098  PREÇO ESPECIAL FTI75 R$ 9114,58 COMISSÃO REPRESENTANTE 3% (REDUZIDA)
FATURAR IMEDIATO  complemento de pedido FROMTHERM  16167 
 Pedido nº 1382 enviado pelo vendedor Carlos Augusto  criado em 15/10/2024 16:51:44 integrado por meio do Bendito no dia 16/10/2024 às 14:31:46</t>
  </si>
  <si>
    <t>a.hil7TOrRlWNiNMSbckUIA</t>
  </si>
  <si>
    <t>16242</t>
  </si>
  <si>
    <t>8F00240812200246</t>
  </si>
  <si>
    <t>50% do valor depositado dia 30/08/24
50% ao retirar o equipamento 
PEDIDO REFERENTE AO NÚMERO 15888
 Pedido nº 1053 enviado pelo vendedor Carlos Augusto  criado em 30/08/2024 17:21:44 integrado por meio do Bendito no dia 30/08/2024 às 17:25:50</t>
  </si>
  <si>
    <t>xAVLweiATK6Uw0KC9uec9g</t>
  </si>
  <si>
    <t>16244</t>
  </si>
  <si>
    <t>8F00240812230316</t>
  </si>
  <si>
    <t>PREÇO ESPECIAL AUTORIZADO POR PRISCILLA - R$16.519,11 - COMISSÃO REPRESENTANTE 3%
PEDIDO CLIENTE 16861 - ENTREGA PROGRAMADA AGOSTO/25
 Pedido nº 1348 enviado pelo vendedor Carlos Augusto  criado em 09/10/2024 14:45:18 integrado por meio do Bendito no dia 16/10/2024 às 16:48:16</t>
  </si>
  <si>
    <t xml:space="preserve">&lt;HTML&gt;
&lt;HEAD&gt;
&lt;TITLE&gt;Moved Temporarily&lt;/TITLE&gt;
&lt;/HEAD&gt;
&lt;BODY BGCOLOR="#FFFFFF" TEXT="#000000"&gt;
&lt;!-- GSE Default Error --&gt;
&lt;H1&gt;Moved Temporarily&lt;/H1&gt;
The document has moved &lt;A HREF="https://script.googleusercontent.com/macros/echo?user_content_key=AehSKLg4iE9K_UyY8pdrb9EERmQYICDFVWZIIetqbrJ95NuDMQCWMLuXJ48TePh3pXdrjymwFArirO_STFgr2sO3JNlWue97ajxt9deUL6LXXhNhR5bKoHkqWq_l3WACgVjNMcpTYtxyfwe2SYnETz_RZ7JjKDInWVLlVJq_zigN9chcoKmYIYnjYx_5zLDn8UQn0sRekdANGH5t2dgVsyL6xEMVWA87_RTaJ7e0FF1fsv4kGRL9nmh7qex0nG3WnmYO_Z8H2f9qi4N-WsukMR8ZCVHIdX1qs6wLcosyqmqrZGeJOhyT4N1UARoFcIVBhw&amp;amp;lib=M-zdWbhavtdZ1B_W2dnFDM0qoVt4lWzJ-"&gt;here&lt;/A&gt;.
&lt;/BODY&gt;
&lt;/HTML&gt;
</t>
  </si>
  <si>
    <t>pNyIIVlYQlKEHEGshwyLhA</t>
  </si>
  <si>
    <t>16245</t>
  </si>
  <si>
    <t>8F00240723280561</t>
  </si>
  <si>
    <t>Pedido nº 1392 enviado pelo vendedor Fábio criado em 16/10/2024 17:26:11 integrado por meio do Bendito no dia 16/10/2024 às 17:41:26</t>
  </si>
  <si>
    <t>jQIfcb2VQdenRyuUsdzS-A</t>
  </si>
  <si>
    <t>16246</t>
  </si>
  <si>
    <t>8A00240514003132</t>
  </si>
  <si>
    <t>VALOR ACERTADO COM O CLIENTE;  R$ 18.026,99  substitui o pedido 16236 cancelar 
PAGAMENTO SERÁ FEITO NO DIA 20/10 
 Pedido nº 1393 enviado pelo vendedor Carlos Augusto  criado em 16/10/2024 17:38:57 integrado por meio do Bendito no dia 16/10/2024 às 17:43:51</t>
  </si>
  <si>
    <t>UE6vodGZRZSnylFzdsXUgQ</t>
  </si>
  <si>
    <t>16247</t>
  </si>
  <si>
    <t>8B00240322003085</t>
  </si>
  <si>
    <t>pedido TINA 
 Pedido nº 1394 enviado pelo vendedor Carlos Augusto  criado em 16/10/2024 17:48:49 integrado por meio do Bendito no dia 17/10/2024 às 07:47:09</t>
  </si>
  <si>
    <t>67dIQ3gORPOys3yo3emM6A</t>
  </si>
  <si>
    <t>16257</t>
  </si>
  <si>
    <t>Interbrasil</t>
  </si>
  <si>
    <t>8E00241005140001</t>
  </si>
  <si>
    <t>Venda indicada AGUAS E VAPORES - RN. Redespacho TRANSP. BOM JESUS - CNPJ: 14.898.432/0002-57 - END: R ALEXANIA, 493, CEP: 07.232-010
VALOR PAGO PARA PJ - NÃO FATURAR PARA FROMTHERM
Favor corrigir o preço para R$14.200,00
 Pedido nº 1398 enviado pelo vendedor Sadi criado em 17/10/2024 16:14:40 integrado por meio do Bendito no dia 18/10/2024 às 11:28:31
REDESPACHO FOB TRANSPORTADORA BOM JESUS, CNPJ: 70.033.451/0002-91 - RUA ALEXANIA, 487, CID IND SATELITE SP, GUARULHOS, SP - CEP: 07.232-010</t>
  </si>
  <si>
    <t>nmmExGGxQ9SAjAqkOp0TFQ</t>
  </si>
  <si>
    <t>16258-A</t>
  </si>
  <si>
    <t>13796</t>
  </si>
  <si>
    <t>ENTREGA: Maxhaus- Av. Mofarrej-1500- Vila Leopoldina- São Paulo- cep 05311-000 (11)947603041 Taiz do condomínio  -Mandar o rastreio para Alisson acompanhar .   MANDAR COM A NOTA FISCAL DA MAGMA - IMPORTANTISSIMO 
 Pedido nº 1402 enviado pelo vendedor Mario  criado em 18/10/2024 10:19:08 integrado por meio do Bendito no dia 18/10/2024 às 11:28:46</t>
  </si>
  <si>
    <t>PtZqWbInRFqFd6EeJbPPdQ</t>
  </si>
  <si>
    <t>16258-B</t>
  </si>
  <si>
    <t>13798</t>
  </si>
  <si>
    <t>V3zGPnjX3oEVRPXChmPk</t>
  </si>
  <si>
    <t>16258-C</t>
  </si>
  <si>
    <t>13804</t>
  </si>
  <si>
    <t>tiV6neCf3B2l8eUynzSU</t>
  </si>
  <si>
    <t>16258-D</t>
  </si>
  <si>
    <t>13794</t>
  </si>
  <si>
    <t>uXaOxsW5tVo58ufJIHtp</t>
  </si>
  <si>
    <t>16259</t>
  </si>
  <si>
    <t>Md Solar</t>
  </si>
  <si>
    <t>8F00240812200248</t>
  </si>
  <si>
    <t>RXM3C37 - RETIRA - MAYCON DOS SANTOS ALVES - 37639327806 - IVECO / CARGA CAMINHONETE  / BRANCA  / 2022</t>
  </si>
  <si>
    <t>PREÇO NEGOCIADO R$ 10.054,82
 Pedido nº 1401 enviado pelo vendedor Carlos Augusto  criado em 18/10/2024 05:24:21 integrado por meio do Bendito no dia 18/10/2024 às 11:30:12</t>
  </si>
  <si>
    <t>4Nhn4rdkSrGQ2mGucRFeOw</t>
  </si>
  <si>
    <t>16260</t>
  </si>
  <si>
    <t>8B00230927003121</t>
  </si>
  <si>
    <t>pedido JOÃO DINIZ RIBEIRO 
 Pedido nº 1400 enviado pelo vendedor Carlos Augusto  criado em 18/10/2024 05:16:39 integrado por meio do Bendito no dia 18/10/2024 às 11:41:51</t>
  </si>
  <si>
    <t>4TA7rR35QHqCWLq2M17maQ</t>
  </si>
  <si>
    <t>16261</t>
  </si>
  <si>
    <t>8F00240812200250</t>
  </si>
  <si>
    <t>ENVIAR PELA TRD TRANSPORTES - Forma de pagamento autorizada por Mário cfme watsapp
 Pedido nº 1399 enviado pelo vendedor DANIELE criado em 17/10/2024 16:49:41 integrado por meio do Bendito no dia 18/10/2024 às 11:42:14</t>
  </si>
  <si>
    <t>kSenKHcYQ2OlCPVVaUPU2w</t>
  </si>
  <si>
    <t>16262</t>
  </si>
  <si>
    <t>8F00240812170088</t>
  </si>
  <si>
    <t>PEDIDO CLIENTE 23670
 Pedido nº 1396 enviado pelo vendedor Carlos Augusto  criado em 17/10/2024 07:39:06 integrado por meio do Bendito no dia 18/10/2024 às 11:42:56</t>
  </si>
  <si>
    <t>65tYqhoJQayr02N72eE-eA</t>
  </si>
  <si>
    <t>16263</t>
  </si>
  <si>
    <t>8B00240106003135</t>
  </si>
  <si>
    <t>PREÇO NEGOCIADO R$ 16.900,30
PEDIDO CLIENTE 22868
 Pedido nº 1395 enviado pelo vendedor Carlos Augusto  criado em 17/10/2024 07:37:41 integrado por meio do Bendito no dia 18/10/2024 às 11:44:06</t>
  </si>
  <si>
    <t>8N8nUl0VRbC-hg6MAncNQw</t>
  </si>
  <si>
    <t>16264</t>
  </si>
  <si>
    <t>8A00240514003124</t>
  </si>
  <si>
    <t>Mario- PRECISAMOS TESTAR A MAQUINA ANTES DE SAIR DA FABRICA . DESTINO LONGINQUO . 
 Pedido nº 1403 enviado pelo vendedor Ricardo Henrique  criado em 18/10/2024 14:39:48 integrado por meio do Bendito no dia 18/10/2024 às 14:50:34</t>
  </si>
  <si>
    <t>p5Br3zSERFG55jq8Z8rKXQ</t>
  </si>
  <si>
    <t>16265</t>
  </si>
  <si>
    <t>8B00240322003086</t>
  </si>
  <si>
    <t>PEDIDO CLIENTE: 24343
 Pedido nº 1404 enviado pelo vendedor Carlos Augusto  criado em 18/10/2024 15:38:45 integrado por meio do Bendito no dia 18/10/2024 às 16:55:31</t>
  </si>
  <si>
    <t>l--Dnd8ISquSsB8QRXLqAA</t>
  </si>
  <si>
    <t>16266</t>
  </si>
  <si>
    <t>8B00230905002114</t>
  </si>
  <si>
    <t>Pedido nº 1405 enviado pelo vendedor DANIELE criado em 18/10/2024 15:43:47 integrado por meio do Bendito no dia 18/10/2024 às 16:55:51</t>
  </si>
  <si>
    <t>s0U1dvcOT6SDEja8R1Lzeg</t>
  </si>
  <si>
    <t>16267</t>
  </si>
  <si>
    <t>CHAMA ALTERNATIVA ATACADISTA</t>
  </si>
  <si>
    <t>REDESPACHO FOB CNPJ 74.167.222/0002-10 - SOLIDA TRANSPORTE LTDA - R PIRACURA, 113 - JURDIM FATIMA ¿¿¿ CEP 07.177-020 ¿¿¿ GUARULHOS-SP ¿¿¿ I.E. 796.011.983.115
 Pedido nº 1388 enviado pelo vendedor Ranoika  criado em 16/10/2024 08:54:06 integrado por meio do Bendito no dia 21/10/2024 às 08:42:01</t>
  </si>
  <si>
    <t>XeexFuR8Qea5n6Xl7CedQg</t>
  </si>
  <si>
    <t>16268</t>
  </si>
  <si>
    <t>8F00240812200251</t>
  </si>
  <si>
    <t>Pedido nº 1406 enviado pelo vendedor Renato criado em 21/10/2024 08:29:52 integrado por meio do Bendito no dia 21/10/2024 às 08:45:31</t>
  </si>
  <si>
    <t>y2aDd8tUSGS2EXIZLCNrxA</t>
  </si>
  <si>
    <t>16269-A</t>
  </si>
  <si>
    <t>8F00240723280516</t>
  </si>
  <si>
    <t>Pedido nº 1407 enviado pelo vendedor Renato criado em 21/10/2024 08:34:53 integrado por meio do Bendito no dia 21/10/2024 às 08:45:54</t>
  </si>
  <si>
    <t>6gDTZBOYR96T3GC3p8odSA</t>
  </si>
  <si>
    <t>16269-B</t>
  </si>
  <si>
    <t>8F00240812200252</t>
  </si>
  <si>
    <t>5BuXBmlAd9VwUdwe5jFk</t>
  </si>
  <si>
    <t>16271</t>
  </si>
  <si>
    <t>8F00240723280524</t>
  </si>
  <si>
    <t>Pedido nº 1408 enviado pelo vendedor Renato criado em 21/10/2024 09:02:15 integrado por meio do Bendito no dia 21/10/2024 às 11:27:09</t>
  </si>
  <si>
    <t>ykSXBCrkRmyh4mcnpmRSaQ</t>
  </si>
  <si>
    <t>16272</t>
  </si>
  <si>
    <t>8F00240812200253</t>
  </si>
  <si>
    <t>Pedido nº 1409 enviado pelo vendedor Renato criado em 21/10/2024 10:41:12 integrado por meio do Bendito no dia 21/10/2024 às 11:27:25</t>
  </si>
  <si>
    <t>CV4BVkfuRGiH4HnTpR4d8g</t>
  </si>
  <si>
    <t>16273</t>
  </si>
  <si>
    <t>8F00240812170089</t>
  </si>
  <si>
    <t>Pedido nº 1410 enviado pelo vendedor Renato criado em 21/10/2024 10:44:04 integrado por meio do Bendito no dia 21/10/2024 às 11:28:18</t>
  </si>
  <si>
    <t>QdS1DBuHTT2yRYuOFbO7MQ</t>
  </si>
  <si>
    <t>16274</t>
  </si>
  <si>
    <t>8F00240812170090</t>
  </si>
  <si>
    <t>Cliente: Alessandra Pereira Carvalho dos Santos (constar em NF)
ATENÇÃO - Cliente pede para ser enviado com NF individual para cada pedido. Obrigado
 Pedido nº 1411 enviado pelo vendedor Fábio criado em 21/10/2024 10:44:17 integrado por meio do Bendito no dia 21/10/2024 às 11:28:46</t>
  </si>
  <si>
    <t>I4rqdJIvTzWGBzuj7buclg</t>
  </si>
  <si>
    <t>16275</t>
  </si>
  <si>
    <t>8F00240812200254</t>
  </si>
  <si>
    <t>Cliente: Stanley de Souza Moreira (constar em NF)
ATENÇÃO - Cliente pede para seja emitida NF individual para cada pedido.
 Pedido nº 1412 enviado pelo vendedor Fábio criado em 21/10/2024 10:46:13 integrado por meio do Bendito no dia 21/10/2024 às 11:29:13</t>
  </si>
  <si>
    <t>w3PGbdOvSg68whI6Bzxq2g</t>
  </si>
  <si>
    <t>16276</t>
  </si>
  <si>
    <t>8B00240322003088</t>
  </si>
  <si>
    <t>Cliente: Claiton Geraldo Forner (constar em NF)
ATENÇÃO - Cliente pede para emitir NF individual para cada pedido.
 Pedido nº 1413 enviado pelo vendedor Fábio criado em 21/10/2024 10:47:45 integrado por meio do Bendito no dia 21/10/2024 às 11:30:32</t>
  </si>
  <si>
    <t>NMAJLMXUSOaifmtdxyPcrQ</t>
  </si>
  <si>
    <t>16277</t>
  </si>
  <si>
    <t>8F00240812200255</t>
  </si>
  <si>
    <t>Desconto de 10% aprovado pelo Gerente Mário.
 Pedido nº 1414 enviado pelo vendedor Fábio criado em 21/10/2024 12:09:16 integrado por meio do Bendito no dia 21/10/2024 às 20:13:56</t>
  </si>
  <si>
    <t>oTcYrwh1RN6qdhnDxNiS2g</t>
  </si>
  <si>
    <t>16279</t>
  </si>
  <si>
    <t>Patricio Andre de Sousa Freire</t>
  </si>
  <si>
    <t>8F00240812200256</t>
  </si>
  <si>
    <t>VENDA INIDICADA PELA AGUAS E VAPORES - RN - CNPJ:70.033.451/0002-57 - (11) 2446 4443 / 2446 2182 - FAVOR AJUSTAR O PREÇO PARA R$14.780,00
REDESPACHO FOB: TRANSPORTADORA BOM JESUS CNPJ 70.033.451/0002-91 - (11) 2446 4443 / 2446 2182 
R ALEXANIA NÚMERO 847 - CEP 07.232-010
BAIRRO/DISTRITO CID IND SATELITE SP
GUARULHOS/SP
 Pedido nº 1417 enviado pelo vendedor Sadi criado em 21/10/2024 15:29:18 integrado por meio do Bendito no dia 21/10/2024 às 20:24:40</t>
  </si>
  <si>
    <t>gONbsxfbRACAVDLVADZ6cw</t>
  </si>
  <si>
    <t>16280</t>
  </si>
  <si>
    <t>8A00240514003128</t>
  </si>
  <si>
    <t>FATURAMENTO IMEDIATO - ENVIAR PELA TRD
 Pedido nº 1418 enviado pelo vendedor DANIELE criado em 21/10/2024 16:31:10 integrado por meio do Bendito no dia 21/10/2024 às 20:25:15</t>
  </si>
  <si>
    <t>C-xDNTFARYSsCj0sqd63tA</t>
  </si>
  <si>
    <t>16281</t>
  </si>
  <si>
    <t>8F00240723280520</t>
  </si>
  <si>
    <t>pgto 30/60/90/120
Mario- Ju autorizei pois não temos fti 35, cliente vai arcar com a diferença , mas concedi o prazo . 
 Pedido nº 1419 enviado pelo vendedor Renato criado em 21/10/2024 16:59:20 integrado por meio do Bendito no dia 21/10/2024 às 20:26:50</t>
  </si>
  <si>
    <t>aYfmNEt7Q9SKUf6ieK8hRQ</t>
  </si>
  <si>
    <t>16282-A</t>
  </si>
  <si>
    <t>8F00240723280605</t>
  </si>
  <si>
    <t>BOLETO PARA 7 DIAS - ENTREGAR DIA 25/11
 Pedido nº 1420 enviado pelo vendedor Renato criado em 21/10/2024 17:52:01 integrado por meio do Bendito no dia 21/10/2024 às 20:27:44</t>
  </si>
  <si>
    <t>y5Axli-XRE-51hs434fMmQ</t>
  </si>
  <si>
    <t>16282-B</t>
  </si>
  <si>
    <t>8F00240723280604</t>
  </si>
  <si>
    <t>0lRjl2wfpUCgXsEeuNSX</t>
  </si>
  <si>
    <t>16282-C</t>
  </si>
  <si>
    <t>8F00240723280610</t>
  </si>
  <si>
    <t>EPgbvry2Chys6paMw99r</t>
  </si>
  <si>
    <t>16282-D</t>
  </si>
  <si>
    <t>8F00241005160015</t>
  </si>
  <si>
    <t>IdC53XMHSuy3mjkR-Y5W-Q</t>
  </si>
  <si>
    <t>16282-E</t>
  </si>
  <si>
    <t>8F00241005160016</t>
  </si>
  <si>
    <t>48OuiEIAkKB8C5If4KZ2</t>
  </si>
  <si>
    <t>16282-F</t>
  </si>
  <si>
    <t>8F00241005160017</t>
  </si>
  <si>
    <t>9AnJpMlm9j5mYD2vePsH</t>
  </si>
  <si>
    <t>16283-A</t>
  </si>
  <si>
    <t>8F00241005100004</t>
  </si>
  <si>
    <t>ENTREGA PARA DIA 20/12
 Pedido nº 1421 enviado pelo vendedor Renato criado em 21/10/2024 17:54:46 integrado por meio do Bendito no dia 21/10/2024 às 20:28:00</t>
  </si>
  <si>
    <t>Rm1WjIaSRiae-Ymbf0T5ZA</t>
  </si>
  <si>
    <t>16283-B</t>
  </si>
  <si>
    <t>8F00241005100005</t>
  </si>
  <si>
    <t>DWsG9qHQ3yjMjfKDLetc</t>
  </si>
  <si>
    <t>16283-C</t>
  </si>
  <si>
    <t>8F00241005100006</t>
  </si>
  <si>
    <t>CpdMwd8kkpdGvCgFH8Kg</t>
  </si>
  <si>
    <t>16283-D</t>
  </si>
  <si>
    <t>8E00241005110013</t>
  </si>
  <si>
    <t>n9S0SJmCxFJ3RpDtouNq</t>
  </si>
  <si>
    <t>16283-E</t>
  </si>
  <si>
    <t>8E00241005110014</t>
  </si>
  <si>
    <t>urQLtpzD1NKhqRXwbaN2</t>
  </si>
  <si>
    <t>16283-F</t>
  </si>
  <si>
    <t>8E00241005110015</t>
  </si>
  <si>
    <t>PZMNPeIeSuT8df1BiN3b</t>
  </si>
  <si>
    <t>16283-G</t>
  </si>
  <si>
    <t>8E00241005140013</t>
  </si>
  <si>
    <t>p4F1j0HFznOh6FM35q3S</t>
  </si>
  <si>
    <t>16283-H</t>
  </si>
  <si>
    <t>8E00241005140014</t>
  </si>
  <si>
    <t>bO15xo43JEXpEonikKAy</t>
  </si>
  <si>
    <t>16283-I</t>
  </si>
  <si>
    <t>8E00241005140015</t>
  </si>
  <si>
    <t>Rf6MR4Sh2mSxSsLyA4EC</t>
  </si>
  <si>
    <t>16285</t>
  </si>
  <si>
    <t>CHICO PISCINAS</t>
  </si>
  <si>
    <t>8F00240723280517</t>
  </si>
  <si>
    <t>ENVIAR PELA SAO MIGUEL URGENTE EXPOSIÇÃO EM SHOW ROOM DA LOJA - FATURAR BOLETO 120 DIAS 
 Pedido nº 1428 enviado pelo vendedor DANIELE criado em 22/10/2024 16:28:07 integrado por meio do Bendito no dia 22/10/2024 às 17:27:15</t>
  </si>
  <si>
    <t>Vj.KNrdXRime8Ney6iZ2kA</t>
  </si>
  <si>
    <t>16286</t>
  </si>
  <si>
    <t>8F00240812200269</t>
  </si>
  <si>
    <t>Pagamento a vista - Enviar pela TRD
 Pedido nº 1423 enviado pelo vendedor DANIELE criado em 22/10/2024 11:32:48 integrado por meio do Bendito no dia 22/10/2024 às 17:35:28</t>
  </si>
  <si>
    <t>BsuV97K3SM-6IPnpDsk0xA</t>
  </si>
  <si>
    <t>16287</t>
  </si>
  <si>
    <t>8F00240812200257</t>
  </si>
  <si>
    <t>Pedido nº 1422 enviado pelo vendedor Marcelo criado em 22/10/2024 07:54:20 integrado por meio do Bendito no dia 22/10/2024 às 17:36:10</t>
  </si>
  <si>
    <t>IQBbsuvGRMyUglIEEl7dmg</t>
  </si>
  <si>
    <t>16288</t>
  </si>
  <si>
    <t>8F00240812200258</t>
  </si>
  <si>
    <t>Cliente Itaim Podium (constar em NF)
 Pedido nº 1424 enviado pelo vendedor Fábio criado em 22/10/2024 11:52:33 integrado por meio do Bendito no dia 22/10/2024 às 17:36:38</t>
  </si>
  <si>
    <t>wxR2C1IgRx6ForVpHttMRg</t>
  </si>
  <si>
    <t>16289</t>
  </si>
  <si>
    <t>8F00240812200265</t>
  </si>
  <si>
    <t>Pedido nº 1425 enviado pelo vendedor Fábio criado em 22/10/2024 12:34:50 integrado por meio do Bendito no dia 22/10/2024 às 17:38:00</t>
  </si>
  <si>
    <t>vupSCBILRZiCGbujjFlqHw</t>
  </si>
  <si>
    <t>16290-A</t>
  </si>
  <si>
    <t>Condomínio Edifício Veneto</t>
  </si>
  <si>
    <t>8B00240322003089</t>
  </si>
  <si>
    <t>FORMA DE PAGAMENTO: 30/60/90/120 (NÃO CONSTA NAS OPÇÕES DE PAGAMENTO)
FRETE FOB PELA TRANSPORTADORA EXPRESSO RAQUEL - CNPJ: 03.823.190/0002-16 - ENDEREÇO : RUA SOLDADO AMERICO RODRIGUES 131, GALPÃO MODULO A - PQ NOVO MUNDO, SÃO PAULO.
 Pedido nº 1427 enviado pelo vendedor Luiz  criado em 22/10/2024 14:58:19 integrado por meio do Bendito no dia 22/10/2024 às 17:39:39</t>
  </si>
  <si>
    <t>16gQH81QSIqg5YQUTgjqfg</t>
  </si>
  <si>
    <t>16290-B</t>
  </si>
  <si>
    <t>8B00240322003087</t>
  </si>
  <si>
    <t>jQMfIViIz2w3sfvxUhHk</t>
  </si>
  <si>
    <t>16291-A</t>
  </si>
  <si>
    <t>13690</t>
  </si>
  <si>
    <t>Pedido nº 1430 enviado pelo vendedor Mario  criado em 23/10/2024 06:38:46 integrado por meio do Bendito no dia 23/10/2024 às 06:39:18</t>
  </si>
  <si>
    <t>A54oGxZvS22X0IUscty5Tw</t>
  </si>
  <si>
    <t>16291-B</t>
  </si>
  <si>
    <t>13689</t>
  </si>
  <si>
    <t>g3rnv9UKDZmLzDUwSIam</t>
  </si>
  <si>
    <t>16291-C</t>
  </si>
  <si>
    <t>13691</t>
  </si>
  <si>
    <t>QIA2C80 - EXPRESSO SÃO MIGUEL - OSMAR FIRMINO DE SOUZA  - 80504604872 - VW / CARGA CAMINHAO / BRANCA  / 2017</t>
  </si>
  <si>
    <t>il5tPCQ86slfj8ldtzNV</t>
  </si>
  <si>
    <t>16291-D</t>
  </si>
  <si>
    <t>13693</t>
  </si>
  <si>
    <t>pKTmEj317TE79yAyDzer</t>
  </si>
  <si>
    <t>16291-E</t>
  </si>
  <si>
    <t>GCXVST6bfisCOSZ4K5l3</t>
  </si>
  <si>
    <t>16291-F</t>
  </si>
  <si>
    <t>13694</t>
  </si>
  <si>
    <t>KVnCJTI0LvauJGoHlw1o</t>
  </si>
  <si>
    <t>16291-G</t>
  </si>
  <si>
    <t>13699</t>
  </si>
  <si>
    <t>McloOSHMNOcXKPZZa1xr</t>
  </si>
  <si>
    <t>16291-H</t>
  </si>
  <si>
    <t>X1YacM8jpB138HntqtJv</t>
  </si>
  <si>
    <t>16291-I</t>
  </si>
  <si>
    <t>tltrOg790MajRCnTS5cr</t>
  </si>
  <si>
    <t>16291-J</t>
  </si>
  <si>
    <t>13701</t>
  </si>
  <si>
    <t>iJiS49kJNofeNgLnIpYp</t>
  </si>
  <si>
    <t>16291-K</t>
  </si>
  <si>
    <t>13697</t>
  </si>
  <si>
    <t>A77hoOUQKPz2Kyki7OFP</t>
  </si>
  <si>
    <t>16291-L</t>
  </si>
  <si>
    <t>13695</t>
  </si>
  <si>
    <t>ctxJgtFgCdp0sX9szva6</t>
  </si>
  <si>
    <t>16291-M</t>
  </si>
  <si>
    <t>y39FTdxzdgJGCVf3EVRo</t>
  </si>
  <si>
    <t>16293</t>
  </si>
  <si>
    <t>CSG PISCINAS</t>
  </si>
  <si>
    <t>8F00240812170097</t>
  </si>
  <si>
    <t>ENVIAR PELA TRD 
 Pedido nº 1431 enviado pelo vendedor DANIELE criado em 23/10/2024 07:31:31 integrado por meio do Bendito no dia 23/10/2024 às 22:35:53</t>
  </si>
  <si>
    <t>rY6U404dQTuymmif-zPWkw</t>
  </si>
  <si>
    <t>16294</t>
  </si>
  <si>
    <t>8F00240723280558</t>
  </si>
  <si>
    <t>ENVIAR PELA TRD
 Pedido nº 1435 enviado pelo vendedor DANIELE criado em 23/10/2024 15:43:48 integrado por meio do Bendito no dia 23/10/2024 às 22:36:37</t>
  </si>
  <si>
    <t>vgtsFxCzRPCYUH3mdOJHOw</t>
  </si>
  <si>
    <t>16296</t>
  </si>
  <si>
    <t>8F00240723280532</t>
  </si>
  <si>
    <t>Pedido nº 1433 enviado pelo vendedor Fábio criado em 23/10/2024 09:47:40 integrado por meio do Bendito no dia 23/10/2024 às 22:37:54</t>
  </si>
  <si>
    <t>F98R2inyQpyDBrIlIg7TxQ</t>
  </si>
  <si>
    <t>16297</t>
  </si>
  <si>
    <t>Luiz Felipe da Silva Freitas</t>
  </si>
  <si>
    <t>13702</t>
  </si>
  <si>
    <t>FORMA DE PAGTO : Entrada R$ 4.300,00, o restante R$4.522,78 no cartão de 2x.
Frete FOB com redespacho pela SETE LAGOAS - End. SP:  RUA PEDRO DE TOLEDO, 407 - JARDIM SANTA LIDIA  - GUARULHOS  - SP
CNPJ : 03.098.929/0005-17
 Pedido nº 1434 enviado pelo vendedor Luiz  criado em 23/10/2024 10:42:11 integrado por meio do Bendito no dia 23/10/2024 às 22:38:37</t>
  </si>
  <si>
    <t>6Pt1e94rQ2m3yKKe1XSNwA</t>
  </si>
  <si>
    <t>16298</t>
  </si>
  <si>
    <t>8B00240322003236</t>
  </si>
  <si>
    <t>VALOR DA MAQUINA R$11.995,00 -ESTOQUE CURITIBA - PR 152 BOMBA DE CALOR PARA USO DA CASA DO ANDERSON , 3 MIL DE ENTRADA.
 Pedido nº 1239 enviado pelo vendedor Renato criado em 27/09/2024 10:47:45 integrado por meio do Bendito no dia 24/10/2024 às 11:28:05</t>
  </si>
  <si>
    <t>Ccdxqtu3Q8qizAAYBK0TYA</t>
  </si>
  <si>
    <t>16300</t>
  </si>
  <si>
    <t>8F00240723280570</t>
  </si>
  <si>
    <t>47 35146178 - CONTATO TRANSPORTADORA
cotação 13153
Pedido nº 1436 enviado pelo vendedor Renato criado em 24/10/2024 08:35:03 integrado por meio do Bendito no dia 24/10/2024 às 18:27:00</t>
  </si>
  <si>
    <t>3kmjpivnQnSPwGOUmjlrxw</t>
  </si>
  <si>
    <t>16301</t>
  </si>
  <si>
    <t>Maquina reservada no sistema. 
Colocar na observação da nota fiscal , local de entrega :  Rua Coronel Teixeira Vasconcelos, 180 Jardim das Mangabeiras - Nova Lima CEP.34006-170
Frete FOB com redespacho pela Expresso Raquel - CNPJ 03.823.190/0002-16. - ENDEREÇO SÃO PAULO : RUA SOLDADO AMERICO RODRIGUES 131, GALPÃO MODULO A - PQ NOVO MUNDO
 Pedido nº 1437 enviado pelo vendedor Luiz  criado em 24/10/2024 10:47:39 integrado por meio do Bendito no dia 24/10/2024 às 22:21:03
O REDESPACHO SERA FOB - TRANSP. EXPRESSO RAQUEL - CNPJ:03.823.190/0002-16 - ENDEREÇO SÃO PAULO : RUA SOLDADO AMERICO RODRIGUES 131, GALPÃO MODULO A - PQ NOVO MUNDO</t>
  </si>
  <si>
    <t>fOSNwNtkRwWchZ7UFAwc0w</t>
  </si>
  <si>
    <t>16302</t>
  </si>
  <si>
    <t>8F00240812200268</t>
  </si>
  <si>
    <t>47 35146178 - CONTATO TRANSPORTADORA
cotação 13153
Pedido nº 1438 enviado pelo vendedor Renato criado em 24/10/2024 13:44:58 integrado por meio do Bendito no dia 24/10/2024 às 22:21:36</t>
  </si>
  <si>
    <t>e44q8h.QSBmDrDjlM4Ok8w</t>
  </si>
  <si>
    <t>16303-A</t>
  </si>
  <si>
    <t>13681</t>
  </si>
  <si>
    <t>Gustavo Mendes OC 3552. Quadro deslocado sobrepor nas 3 maquinas  
 Pedido nº 1439 enviado pelo vendedor Ricardo Henrique  criado em 24/10/2024 15:12:31 integrado por meio do Bendito no dia 24/10/2024 às 22:22:16</t>
  </si>
  <si>
    <t>4o6427JVQkSBCYKOGFWm6Q</t>
  </si>
  <si>
    <t>16303-B</t>
  </si>
  <si>
    <t>13682</t>
  </si>
  <si>
    <t>CxhVMHGBD1WLMUQp7IX1</t>
  </si>
  <si>
    <t>16303-C</t>
  </si>
  <si>
    <t>13683</t>
  </si>
  <si>
    <t>f06J73qlTAjPWASoyk7J</t>
  </si>
  <si>
    <t>16304</t>
  </si>
  <si>
    <t>URGENTE LIBERAR EM 48 HS . 
Frete com redespacho pela Expresso Raquel - CNPJ  03.823.190/0002-16. - ENDEREÇO SÃO PAULO : RUA SOLDADO AMERICO RODRIGUES 131, GALPÃO MODULO A - PQ NOVO MUNDO
 Pedido nº 1440 enviado pelo vendedor Luiz  criado em 24/10/2024 15:30:47 integrado por meio do Bendito no dia 24/10/2024 às 22:23:13</t>
  </si>
  <si>
    <t>IcEg-68ARS6svSaW23zGXA</t>
  </si>
  <si>
    <t>16305-A</t>
  </si>
  <si>
    <t>8F00240812170092</t>
  </si>
  <si>
    <t>Pedido nº 1441 enviado pelo vendedor Renato criado em 24/10/2024 15:58:17 integrado por meio do Bendito no dia 24/10/2024 às 22:24:22</t>
  </si>
  <si>
    <t>DrrPjbdDSYWa7DM0Bj59tw</t>
  </si>
  <si>
    <t>16305-B</t>
  </si>
  <si>
    <t>8B00240322003091</t>
  </si>
  <si>
    <t>s7YpaUEok4Cy5yZvsKqh</t>
  </si>
  <si>
    <t>16306-A</t>
  </si>
  <si>
    <t>JK EQUIPAMENTO E SERVICOS</t>
  </si>
  <si>
    <t>13685</t>
  </si>
  <si>
    <t>MKM3732 - RETIRA - KELLI APARECIDA ROCHA DOS SANTOS  - 93236719915 - NISSAN / ESPECIAL CAMINHONETE  / BRANCA  / 2013</t>
  </si>
  <si>
    <t>VALOR DE CADA MÁQUINA R$ 20.000,00  - R$ 40.000,00 JÁ DEPOSITADO DIA 24/10
UMA DAS MÁQUINAS RESERVADA PELO GLIDE DIA 24/10 -- AVISAR O CLIENTE PARA IR RETIRAR QUANDO PRONTO 
 Pedido nº 1442 enviado pelo vendedor Carlos Augusto  criado em 24/10/2024 16:37:51 integrado por meio do Bendito no dia 24/10/2024 às 22:26:44</t>
  </si>
  <si>
    <t>WmCI9jh2SI2oJ065ORp2sg</t>
  </si>
  <si>
    <t>16306-B</t>
  </si>
  <si>
    <t>enAQKLxnY8SV2oshTNQ7</t>
  </si>
  <si>
    <t>16309</t>
  </si>
  <si>
    <t>8B00240322003090</t>
  </si>
  <si>
    <t>URGENTE  despachar na segunda feira 28/10
EDUARDO BOTELHO
 Pedido nº 1454 enviado pelo vendedor Fábio criado em 25/10/2024 15:08:22 integrado por meio do Bendito no dia 25/10/2024 às 15:24:28</t>
  </si>
  <si>
    <t>7RAui3kBT.iJPQOlo4-H0A</t>
  </si>
  <si>
    <t>16311-A</t>
  </si>
  <si>
    <t>8F00240723280568</t>
  </si>
  <si>
    <t>VALOR DAS MÁQUINAS FTI45 R$ 8.322,30 -  FTI75 R$ 9.906,83  TOTAL DO PEDIDO R$ 26.551,43
PRAZO DE PAGAMENTO: 30/60/90/120 DIAS 
 Pedido nº 1445 enviado pelo vendedor Carlos Augusto  criado em 25/10/2024 10:49:12 integrado por meio do Bendito no dia 25/10/2024 às 15:45:44</t>
  </si>
  <si>
    <t>vQAeAI9rQMWJICyaW2C5RQ</t>
  </si>
  <si>
    <t>16311-B</t>
  </si>
  <si>
    <t>8F00240723280569</t>
  </si>
  <si>
    <t>fam8ZGzZDyvs0Ss9g2On</t>
  </si>
  <si>
    <t>16311-C</t>
  </si>
  <si>
    <t>8F00240812200266</t>
  </si>
  <si>
    <t>7625wJzvMWwMjtnLnKCN</t>
  </si>
  <si>
    <t>16312-A</t>
  </si>
  <si>
    <t>8F00240812200273</t>
  </si>
  <si>
    <t>ENVIAR PELA TRD - Pagamento entrada R$ 15.000,00 em 25/10. Saldo em depósito em 05/11..
 Pedido nº 1443 enviado pelo vendedor DANIELE criado em 24/10/2024 22:29:21 integrado por meio do Bendito no dia 25/10/2024 às 15:47:05</t>
  </si>
  <si>
    <t>sUnzUttlSTOjIjuC1qSMxw</t>
  </si>
  <si>
    <t>16312-B</t>
  </si>
  <si>
    <t>8F00240812200274</t>
  </si>
  <si>
    <t>ENVIAR PELA TRD - Pagamento entrada R$ 15.000,00 em 25/10. Saldo em depósito em 05/11.
 Pedido nº 1443 enviado pelo vendedor DANIELE criado em 24/10/2024 22:29:21 integrado por meio do Bendito no dia 25/10/2024 às 15:47:05</t>
  </si>
  <si>
    <t>InOz5ggnpmdBpswrcH2d</t>
  </si>
  <si>
    <t>16312-C</t>
  </si>
  <si>
    <t>8B00240322003123</t>
  </si>
  <si>
    <t>jolD226piNKJaavDvIMw</t>
  </si>
  <si>
    <t>16313-A</t>
  </si>
  <si>
    <t>8A00240411003137</t>
  </si>
  <si>
    <t>ESTOQUE CURITIBA - PRS - 179- 183 - 186 -187
8A00240411003137 - 8A00240411003143 - 8A00240411003148 - 8A00240411003136
 Pedido nº 1455 enviado pelo vendedor Renato criado em 25/10/2024 15:22:37 integrado por meio do Bendito no dia 25/10/2024 às 15:48:41</t>
  </si>
  <si>
    <t>8GI-Ynv2SlSB-GPjR3GJEg</t>
  </si>
  <si>
    <t>16313-B</t>
  </si>
  <si>
    <t>8A00240411003143</t>
  </si>
  <si>
    <t>E571UoaWQZWh27DhXulOhw</t>
  </si>
  <si>
    <t>16313-C</t>
  </si>
  <si>
    <t>8A00240411003148</t>
  </si>
  <si>
    <t>gwt9cKACQD2aD.Cyav4LBA</t>
  </si>
  <si>
    <t>16313-D</t>
  </si>
  <si>
    <t>8A00240411003136</t>
  </si>
  <si>
    <t>Pv3HRHlYScOlex12y3zegA</t>
  </si>
  <si>
    <t>16314</t>
  </si>
  <si>
    <t>PISCINA LIMPA</t>
  </si>
  <si>
    <t>8F00240812170095</t>
  </si>
  <si>
    <t xml:space="preserve">LGZ8E39 - DESTAK -  -  - M.BENZ /  /  / </t>
  </si>
  <si>
    <t>Pedido nº 1453 enviado pelo vendedor Carlos Augusto  criado em 25/10/2024 14:11:57 integrado por meio do Bendito no dia 25/10/2024 às 15:49:20</t>
  </si>
  <si>
    <t>q9CciU1bSeuTkbMasU1m1w</t>
  </si>
  <si>
    <t>16315</t>
  </si>
  <si>
    <t>8F00240812200267</t>
  </si>
  <si>
    <t>Pedido nº 1452 enviado pelo vendedor Renato criado em 25/10/2024 14:11:02 integrado por meio do Bendito no dia 25/10/2024 às 15:50:03</t>
  </si>
  <si>
    <t>Uquh2X6-RF6fnyd-uRt1SQ</t>
  </si>
  <si>
    <t>16316</t>
  </si>
  <si>
    <t>FABIANE MARKS DUARTE</t>
  </si>
  <si>
    <t>8F00240812200264</t>
  </si>
  <si>
    <t>Pedido Hidrotec ( conforme anexo)
ENVIAR BOLETO BANCÁRIO COM VENCIMENTO PARA 30/10 - FATURAMENTO IMEDIATO - FRETE FOB SERÁ PAGO NA ENTREGA
VALOR DA NF R$   18.313,60 
VALOR TABELA R$    9.417,43 
 DIF VAL TAB X NF R$       8.896,17 
DIF IMPOSTO 17% R$ 1.512,35 
IMPOSTO ESTADUAL R$   915,68 
TOTAL A PAGAR R$ 11.845,46 
 Pedido nº 1448 enviado pelo vendedor DANIELE criado em 25/10/2024 11:32:24 integrado por meio do Bendito no dia 25/10/2024 às 16:07:04</t>
  </si>
  <si>
    <t>a-R4SOX-5QNKEVC4N3RWspw</t>
  </si>
  <si>
    <t>16317</t>
  </si>
  <si>
    <t>CLOROMINAS PISCINAS</t>
  </si>
  <si>
    <t>8F00240812200263</t>
  </si>
  <si>
    <t>EXPRESSO PITANGUI</t>
  </si>
  <si>
    <t>Pedido reprocessado ao alterar dados do cliente 25/10/2024 17:04:10 usuário: P000697112
CNPJ NOVO, mas o mesmo cliente do CNPJ 08.700.964/0001-54, por isso a forma de pagto de 3x sem entrada.
Frete FOB com redespacho pela Expresso Pitangui - CNPJ  01.953.950/0001-01 - Av. Patos, 1015 - Cidade Industrial Satélite - Guarulhos - SP
 Pedido nº 1457 enviado pelo vendedor Luiz  criado em 25/10/2024 15:55:05 integrado por meio do Bendito no dia 25/10/2024 às 16:27:14</t>
  </si>
  <si>
    <t>XyteaoZmTreCK03ZL0UUGQ</t>
  </si>
  <si>
    <t>16318-A</t>
  </si>
  <si>
    <t>AGUA AZUL PISCINA</t>
  </si>
  <si>
    <t>8B00240106003158</t>
  </si>
  <si>
    <t>Forma de pagamento: 50% a vista / 50% com 10 dias no boleto
Frete FOB com redespacho pela Minas Star  - CNPJ 41.676.545/0002-80 - endereço : Rua Gonçalves , 118 - CIDADE INDUSTRIAL SATÉLITE DE SÃO PAULO - Guarulhos - SP
 Pedido nº 1458 enviado pelo vendedor Luiz  criado em 25/10/2024 16:09:12 integrado por meio do Bendito no dia 25/10/2024 às 16:28:16</t>
  </si>
  <si>
    <t>eUfLvb0-QFG4vrAXVKiO7w</t>
  </si>
  <si>
    <t>16318-B</t>
  </si>
  <si>
    <t>8B00240106003154</t>
  </si>
  <si>
    <t>aBkis6yKTqnbVIhonZZ9</t>
  </si>
  <si>
    <t>16319</t>
  </si>
  <si>
    <t>7377</t>
  </si>
  <si>
    <t>OC 03557
QUADRO DESLOCADO E DE SOBREPOR
Entrega da rua Dr. Agostinho Goulão 22, loja 07, Correas, Petrópolis
 Pedido nº 1456 enviado pelo vendedor Ricardo Henrique  criado em 25/10/2024 15:53:07 integrado por meio do Bendito no dia 25/10/2024 às 16:41:44</t>
  </si>
  <si>
    <t>vSYqE2-WT.u1zeZiLuZhAg</t>
  </si>
  <si>
    <t>16321</t>
  </si>
  <si>
    <t>8F00240812200270</t>
  </si>
  <si>
    <t>PEDIDO CLIENTE: 24106
 Pedido nº 1446 enviado pelo vendedor Carlos Augusto  criado em 25/10/2024 10:52:05 integrado por meio do Bendito no dia 25/10/2024 às 16:46:45</t>
  </si>
  <si>
    <t>MC3C17wjS92AKsHX6WYyng</t>
  </si>
  <si>
    <t>16322</t>
  </si>
  <si>
    <t xml:space="preserve">Entrada R$5.000,00+ 30/60 . 
REDESPACHO FOB: WINNER LOG TRANSPORTES - CNPJ 23.520.080/0001-01
AV. PAPA JOÃO PAULO I, 101, JARDIM CUMBICA, GARULHOS/SP
CEP: 07.174-005
</t>
  </si>
  <si>
    <t>42-XSj9WQp2ERMpjspiXTA</t>
  </si>
  <si>
    <t>16324-A</t>
  </si>
  <si>
    <t>8F00240812170101</t>
  </si>
  <si>
    <t>Pedido nº 1462 enviado pelo vendedor Renato criado em 28/10/2024 09:29:11 integrado por meio do Bendito no dia 28/10/2024 às 11:49:59</t>
  </si>
  <si>
    <t>ceGS.98lQemuLR8xyEAmoQ</t>
  </si>
  <si>
    <t>16324-B</t>
  </si>
  <si>
    <t>8F00240723280564</t>
  </si>
  <si>
    <t>5LZqzTPPxklLVc8dtrIX</t>
  </si>
  <si>
    <t>16325</t>
  </si>
  <si>
    <t>8F00240812200262</t>
  </si>
  <si>
    <t>PEDIDO GABRIELA ANJOS FERRAZ - MVF
 Pedido nº 1461 enviado pelo vendedor Carlos Augusto  criado em 27/10/2024 05:36:48 integrado por meio do Bendito no dia 28/10/2024 às 11:51:06</t>
  </si>
  <si>
    <t>I-K129HhT1SqBZJhmWxKYw</t>
  </si>
  <si>
    <t>16326</t>
  </si>
  <si>
    <t>8B00240322003092</t>
  </si>
  <si>
    <t>UREGENTE JUNTO COM O PEDIDO 16309
 Pedido nº 1464 enviado pelo vendedor Fábio criado em 28/10/2024 12:46:07 integrado por meio do Bendito no dia 28/10/2024 às 12:46:15</t>
  </si>
  <si>
    <t>mMtZ2NsaTa2Ikb5b7tM3Vg</t>
  </si>
  <si>
    <t>16327</t>
  </si>
  <si>
    <t>8B00240322003094</t>
  </si>
  <si>
    <t>URGENTE
Pedido de Compra Nº 6554 - (CONSTAR EM NF)
 Pedido nº 1465 enviado pelo vendedor Fábio criado em 28/10/2024 13:29:28 integrado por meio do Bendito no dia 28/10/2024 às 13:34:14</t>
  </si>
  <si>
    <t>02hnLt81TCGjbgyAR75Ftw</t>
  </si>
  <si>
    <t>16328</t>
  </si>
  <si>
    <t>13703</t>
  </si>
  <si>
    <t>Mencionar na NF Pedido: 11866 - CL: KS Franquias LTDA
 Pedido nº 1466 enviado pelo vendedor Fábio criado em 28/10/2024 14:02:49 integrado por meio do Bendito no dia 28/10/2024 às 14:15:19</t>
  </si>
  <si>
    <t>1Op3pjbSS1yborIxMJAn2A</t>
  </si>
  <si>
    <t>16330</t>
  </si>
  <si>
    <t>8F00240812200261</t>
  </si>
  <si>
    <t>PEDIDO LOS ROQUES - RETIRA SEGUNDA FEIRA
A Steinfiber tem ainda uns R$ 1.700,00 de crédito com a Fromtherm.
Temos o valor exato aqui. Mas como a Julie está de férias, não tenho certo o valor agora.
Vocês tem o valor aí para já abater o crédito?
 Pedido nº 1450 enviado pelo vendedor Carlos Augusto  criado em 25/10/2024 13:37:02 integrado por meio do Bendito no dia 29/10/2024 às 08:56:52</t>
  </si>
  <si>
    <t>zlGT2E0xQIGuk52MJuBPGQ</t>
  </si>
  <si>
    <t>16334-A</t>
  </si>
  <si>
    <t>FLUMINENSE FOOTBALL CLUB</t>
  </si>
  <si>
    <t>PREÇO UNITÁRIO DE CADA MÁQUINA: R$ 25.500,00. VALOR TOTAL DO PEDIDO R$ 280.500,00.
PAGAMENTO: ENTRADA DE R$ 100.000,00, SENDO 50% NA ASSINATURA DO CONTRATO E 50% 30 DIAS DEPOIS. O RESTANTE PARCELADO EM
CINCO PARCELAS DE R$ 36.100,00 A SEREM PAGAS TODO DIA 10 (A PRIMEIRA PARCELA SERÁ PAGA NO MÊS SUBSEQUENTE AO PAGAMENTO
DA SEGUNDA PARCELA DA ENTRADA) contrato assinado em anexo
 Pedido nº 1471 enviado pelo vendedor Ricardo Henrique  criado em 28/10/2024 16:38:19 integrado por meio do Bendito no dia 29/10/2024 às 15:27:43</t>
  </si>
  <si>
    <t>2qIK2KOvSCKXpKa29ikBuw</t>
  </si>
  <si>
    <t>16334-B</t>
  </si>
  <si>
    <t>1T1CtBKlU8y5gFtbW2hW</t>
  </si>
  <si>
    <t>16334-C</t>
  </si>
  <si>
    <t>14013</t>
  </si>
  <si>
    <t>IjJYAwuPMwY1s57A5Jn1</t>
  </si>
  <si>
    <t>16334-D</t>
  </si>
  <si>
    <t>14014</t>
  </si>
  <si>
    <t>tKjskEG9J9wpzYcLHruJ</t>
  </si>
  <si>
    <t>16334-E</t>
  </si>
  <si>
    <t>14015</t>
  </si>
  <si>
    <t>zn1jb5uAdWeee1PCCswr</t>
  </si>
  <si>
    <t>16334-F</t>
  </si>
  <si>
    <t>14010</t>
  </si>
  <si>
    <t>A05Sz3lDYUsnOeHIjXYI</t>
  </si>
  <si>
    <t>16334-G</t>
  </si>
  <si>
    <t>14012</t>
  </si>
  <si>
    <t>QZfGZIKyW2MOhsitritl</t>
  </si>
  <si>
    <t>16334-H</t>
  </si>
  <si>
    <t>Ksqolg6n6zVm20IsS2H4</t>
  </si>
  <si>
    <t>16334-I</t>
  </si>
  <si>
    <t>14008</t>
  </si>
  <si>
    <t>T7YbtK4KTmHbnqJ6HLsN</t>
  </si>
  <si>
    <t>16334-J</t>
  </si>
  <si>
    <t>HD8ZwdBzMC4QjOTjqEb2</t>
  </si>
  <si>
    <t>16334-K</t>
  </si>
  <si>
    <t>14017</t>
  </si>
  <si>
    <t>JQLGCu0OPSiTlMrWx5hH</t>
  </si>
  <si>
    <t>16335</t>
  </si>
  <si>
    <t>8F00240723280574</t>
  </si>
  <si>
    <t>PEDIDO CLIENTE 17887 - LOURENÇO
 Pedido nº 1473 enviado pelo vendedor Carlos Augusto  criado em 29/10/2024 05:56:28 integrado por meio do Bendito no dia 29/10/2024 às 15:29:56</t>
  </si>
  <si>
    <t>zPNDssF9Q5muBHT0amSG8Q</t>
  </si>
  <si>
    <t>16336</t>
  </si>
  <si>
    <t>8F00240723280572</t>
  </si>
  <si>
    <t>Pedido nº 1475 enviado pelo vendedor Carlos Augusto  criado em 29/10/2024 06:02:46 integrado por meio do Bendito no dia 29/10/2024 às 15:30:44</t>
  </si>
  <si>
    <t>ePIAS6bbTq6EP7i6C2B.zw</t>
  </si>
  <si>
    <t>16337</t>
  </si>
  <si>
    <t>Império do Ar</t>
  </si>
  <si>
    <t>8F00240812170099</t>
  </si>
  <si>
    <t>SXB5D68 - RETIRA - MAICON MACEDO DOS  SANTOS - 01013045017 - VW / JETA / CINZA  / 2023</t>
  </si>
  <si>
    <t>INSTALADOR PREÇO COBRADO A VISTA:  R$ 8.909,45
 Pedido nº 1476 enviado pelo vendedor Carlos Augusto  criado em 29/10/2024 06:48:17 integrado por meio do Bendito no dia 29/10/2024 às 15:31:57</t>
  </si>
  <si>
    <t>ybNlzAiRTnSLQEpAMNK12Q</t>
  </si>
  <si>
    <t>16338</t>
  </si>
  <si>
    <t>8F00240723280573</t>
  </si>
  <si>
    <t>Pedido nº 1478 enviado pelo vendedor Renato criado em 29/10/2024 08:42:09 integrado por meio do Bendito no dia 29/10/2024 às 15:32:40</t>
  </si>
  <si>
    <t>IxlXkyqJQSuayI7YgsAA7A</t>
  </si>
  <si>
    <t>16339</t>
  </si>
  <si>
    <t>8B00240322003096</t>
  </si>
  <si>
    <t>Favor dar um intervalo de 7 dias de diferençadopedido16272 nos boletos.
 Pedido nº 1479 enviado pelo vendedor Renato criado em 29/10/2024 08:58:25 integrado por meio do Bendito no dia 29/10/2024 às 15:35:31</t>
  </si>
  <si>
    <t>uFmdxZbiSuebHbuB9Q20zA</t>
  </si>
  <si>
    <t>16341</t>
  </si>
  <si>
    <t>8F00240723280575</t>
  </si>
  <si>
    <t>PEDIDO  24414
 Pedido nº 1484 enviado pelo vendedor Carlos Augusto  criado em 30/10/2024 06:57:17 integrado por meio do Bendito no dia 30/10/2024 às 08:24:38</t>
  </si>
  <si>
    <t>VdrJrBKAR6eI8AXNM.2Azg</t>
  </si>
  <si>
    <t>16342</t>
  </si>
  <si>
    <t>8F00240812170100</t>
  </si>
  <si>
    <t>PEDIDO PARA REPOR ESTOQUE DIA 29/10
 Pedido nº 1483 enviado pelo vendedor Carlos Augusto  criado em 30/10/2024 06:55:34 integrado por meio do Bendito no dia 30/10/2024 às 08:25:12</t>
  </si>
  <si>
    <t>66.MY8jmSCmhRvGPn9Wphw</t>
  </si>
  <si>
    <t>16343</t>
  </si>
  <si>
    <t>8E00241005140009</t>
  </si>
  <si>
    <t>ENTREGAR EM DEZEMBRO OU ANTES CASO SEJA POSSÍVEL 
 Pedido nº 1482 enviado pelo vendedor Carlos Augusto  criado em 30/10/2024 06:52:36 integrado por meio do Bendito no dia 30/10/2024 às 08:25:34</t>
  </si>
  <si>
    <t>e54n6YbBRm2Xoc5V7.oIww</t>
  </si>
  <si>
    <t>16344</t>
  </si>
  <si>
    <t>8B00240322003121</t>
  </si>
  <si>
    <t>ENVIAR PELA TRD
 Pedido nº 1480 enviado pelo vendedor DANIELE criado em 29/10/2024 19:40:17 integrado por meio do Bendito no dia 30/10/2024 às 08:46:13</t>
  </si>
  <si>
    <t>amvSP8PBSSqr291hMDLE.g</t>
  </si>
  <si>
    <t>16345</t>
  </si>
  <si>
    <t>AGUA MARINHA PISCINAS</t>
  </si>
  <si>
    <t>13687</t>
  </si>
  <si>
    <t>URGENTE - ENTREGAR EM 5 DIAS 
 Pedido nº 1486 enviado pelo vendedor Carlos Augusto  criado em 30/10/2024 08:36:08 integrado por meio do Bendito no dia 30/10/2024 às 08:48:15</t>
  </si>
  <si>
    <t>qe0KtH9eQQuT.oHfQFPfRw</t>
  </si>
  <si>
    <t>16347</t>
  </si>
  <si>
    <t>8F00240723280560</t>
  </si>
  <si>
    <t>ESTE PEDIDO SUBSTITUI O PEDIDO 16148 - CLIENTE FARÁ A TROCA HOJE NA FÁBRICA DA FT50 PELA FTI45 
PREÇO COBRADO R$ 11.000,00  - JÁ PAGO DIA 07/10 
VALOR PAGO PELA PJ - SEM PAPEL
 Pedido nº 1487 enviado pelo vendedor Carlos Augusto  criado em 30/10/2024 08:54:59 integrado por meio do Bendito no dia 30/10/2024 às 08:57:21</t>
  </si>
  <si>
    <t>mseoIgXxSGqO6Rf0lqhjFw</t>
  </si>
  <si>
    <t>16348-A</t>
  </si>
  <si>
    <t>8F00240723280566</t>
  </si>
  <si>
    <t>COLINAS TRANSPORTADORA</t>
  </si>
  <si>
    <t>SUBSTITUIR PELO PEDIDO  E DEVEOLVER A DIFERENÇA . R$2.593,84  DEVOLVER A DIFERENÇA HOJE 
Colinas Transportadora - 12.209.448/0002-80 - (11) 2488 0925  UREGENTTTTTTEEEEE SAIIIIR HOJEEEEE 
PIX REALIZADO DIA 02/10 
REDESPACHO FOB - Colinas Transportadora - 12.209.448/0002-80 - R VOLTA GRANDE 197, ANDAR 1 - CEP: 07.223-075 - CIDADE INDUSTRIAL SATÉLITE, GUARULHOS/SP
 Pedido nº 1488 enviado pelo vendedor Sadi criado em 30/10/2024 09:03:32 integrado por meio do Bendito no dia 30/10/2024 às 09:06:29</t>
  </si>
  <si>
    <t>3mRz1CGdRkOKhQKXAQo3bw</t>
  </si>
  <si>
    <t>16348-B</t>
  </si>
  <si>
    <t>8F00240723280567</t>
  </si>
  <si>
    <t>7FwkREgPeZECRrJnWSp8</t>
  </si>
  <si>
    <t>16349</t>
  </si>
  <si>
    <t>SUNS AQUECEDORES</t>
  </si>
  <si>
    <t>8B00240322003106</t>
  </si>
  <si>
    <t>CADASTRO FINANCEIRO NÃO AUTORIZADO
entrada de 10mil + boleto para 20 dias
 Pedido nº 1489 enviado pelo vendedor Renato criado em 30/10/2024 09:17:35 integrado por meio do Bendito no dia 30/10/2024 às 09:29:54</t>
  </si>
  <si>
    <t>CAO940rATbWGtKjgVmd0eQ</t>
  </si>
  <si>
    <t>16350</t>
  </si>
  <si>
    <t>DECARLI ANGELI BERNARDI 01691477974</t>
  </si>
  <si>
    <t>8F00241005160074</t>
  </si>
  <si>
    <t>RXL4A16 - EXPRESSO SÃO MIGUEL - ALEJANDRO SANTOS DE PAULO - 11271414902 - M.BENZ  / CARGA CAMINHAO  / BRANCA  / 2022</t>
  </si>
  <si>
    <t>este cliente é o cadastro novo do Decarli de Foz.
 Pedido nº 1490 enviado pelo vendedor Renato criado em 30/10/2024 09:29:29 integrado por meio do Bendito no dia 30/10/2024 às 09:30:49</t>
  </si>
  <si>
    <t>7tgOpUy4TqSpEmV7GEhAlA</t>
  </si>
  <si>
    <t>16352</t>
  </si>
  <si>
    <t>8F00240723280576</t>
  </si>
  <si>
    <t>Pedido nº 1492 enviado pelo vendedor Renato criado em 30/10/2024 10:21:18 integrado por meio do Bendito no dia 30/10/2024 às 10:26:18</t>
  </si>
  <si>
    <t>4vkB2uBCQpKtlxnj-l.pTw</t>
  </si>
  <si>
    <t>16353</t>
  </si>
  <si>
    <t>8B00240322003097</t>
  </si>
  <si>
    <t>Embarcar com urgencia.  
 Pedido nº 1493 enviado pelo vendedor Ricardo Henrique  criado em 30/10/2024 10:56:59 integrado por meio do Bendito no dia 30/10/2024 às 11:08:57</t>
  </si>
  <si>
    <t>ziJ4qIfeRAy96Mk5OWJg8w</t>
  </si>
  <si>
    <t>16355-A</t>
  </si>
  <si>
    <t>ENGEVILLE CONSTRUÇÕES</t>
  </si>
  <si>
    <t>V2</t>
  </si>
  <si>
    <t>sxc3a15 - V2 - DOUGLAS LUAN DA CUNHA - 10018025943 - m.benz  / carga caminhao / vermelho  / 2025</t>
  </si>
  <si>
    <t>São 13 FT180 a R$25.000,00 Total do pedido: R$ 325.000,00 Condição de pagamento: R$30.000,00 de entrada e o restante quando as máquinas forem despachadas Endereço de Entrega:
SESI DIADEMA R. Pôrto Príncipe, 117 - Campanário - Diadema - SP,09930-285 As máquinas devem ser entregues até dia 20/11
 Pedido nº 1496 enviado pelo vendedor Marcelo criado em 30/10/2024 16:02:46 integrado por meio do Bendito no dia 30/10/2024 às 16:30:17</t>
  </si>
  <si>
    <t>DHSowAztThqk2xI1acOp5g</t>
  </si>
  <si>
    <t>16355-B</t>
  </si>
  <si>
    <t>13742</t>
  </si>
  <si>
    <t>QRZ5tqA07eqJgPFdqCtC</t>
  </si>
  <si>
    <t>16355-C</t>
  </si>
  <si>
    <t>13737</t>
  </si>
  <si>
    <t>KKpxYpPRRkYnmcm7r2OZ</t>
  </si>
  <si>
    <t>16355-D</t>
  </si>
  <si>
    <t>YGZO80e7hhXqUnYY6O7E</t>
  </si>
  <si>
    <t>16355-E</t>
  </si>
  <si>
    <t>13743</t>
  </si>
  <si>
    <t>iM12zBPFvpaM30MZcxgG</t>
  </si>
  <si>
    <t>16355-F</t>
  </si>
  <si>
    <t>RdMqUBzcKvhnIqAAlrAU</t>
  </si>
  <si>
    <t>16355-G</t>
  </si>
  <si>
    <t>13744</t>
  </si>
  <si>
    <t>lYbdqi42soxmOrOT8ibA</t>
  </si>
  <si>
    <t>16355-H</t>
  </si>
  <si>
    <t>13736</t>
  </si>
  <si>
    <t>lEdMBXO22ly5ltVjHQrL</t>
  </si>
  <si>
    <t>16355-I</t>
  </si>
  <si>
    <t>13746</t>
  </si>
  <si>
    <t>vL9miqCnztWS1xYwcIY7</t>
  </si>
  <si>
    <t>16355-J</t>
  </si>
  <si>
    <t>13747</t>
  </si>
  <si>
    <t>ddYaRKYtUww5WX8GAK6D</t>
  </si>
  <si>
    <t>16355-K</t>
  </si>
  <si>
    <t>13738</t>
  </si>
  <si>
    <t>AodBxEldaBEV8LGfIUjf</t>
  </si>
  <si>
    <t>16355-L</t>
  </si>
  <si>
    <t>13740</t>
  </si>
  <si>
    <t>SkziWH0kG28xt4SSDBtq</t>
  </si>
  <si>
    <t>16355-M</t>
  </si>
  <si>
    <t>PtQzJaLBO1XeAXy5rhPm</t>
  </si>
  <si>
    <t>16356</t>
  </si>
  <si>
    <t>13192</t>
  </si>
  <si>
    <t>Frete CIF
 Pedido nº 1495 enviado pelo vendedor Ranoika  criado em 30/10/2024 14:08:05 integrado por meio do Bendito no dia 30/10/2024 às 16:42:13
FRETE SEMPRE CIF SEM REDESPACHO</t>
  </si>
  <si>
    <t>f8Myn6luR4O6ObUdrSTaKA</t>
  </si>
  <si>
    <t>16357-A</t>
  </si>
  <si>
    <t>Estúdio M2 Lazer Piscinas</t>
  </si>
  <si>
    <t>8F00240723280578</t>
  </si>
  <si>
    <t>VALOR DE CADA MÁQUINA R$ 8.350,00 (PREÇO DA FTI35) 
ESTE PEDIDO SUBSTITUI O PEDIDO 16230
 Pedido nº 1494 enviado pelo vendedor Carlos Augusto  criado em 30/10/2024 13:41:05 integrado por meio do Bendito no dia 30/10/2024 às 19:13:13</t>
  </si>
  <si>
    <t>HuomOmqdScqdI4YiX2jDCA</t>
  </si>
  <si>
    <t>16357-B</t>
  </si>
  <si>
    <t>8F00240723280577</t>
  </si>
  <si>
    <t>LBz80eHNtG7h91iDRquh</t>
  </si>
  <si>
    <t>16358-A</t>
  </si>
  <si>
    <t>8B00240322003105</t>
  </si>
  <si>
    <t>PEDIDO 17997 - DELL AGNOLLO 
 Pedido nº 1497 enviado pelo vendedor Carlos Augusto  criado em 30/10/2024 20:56:43 integrado por meio do Bendito no dia 31/10/2024 às 07:31:03</t>
  </si>
  <si>
    <t>yERLrSFTQQi9o0sBIXFe8w</t>
  </si>
  <si>
    <t>16358-B</t>
  </si>
  <si>
    <t>8B00240322003104</t>
  </si>
  <si>
    <t>k4kFRgDXSmeyqmBT2SWSGg</t>
  </si>
  <si>
    <t>16360</t>
  </si>
  <si>
    <t>Mariano Ademar Petracco Neto</t>
  </si>
  <si>
    <t>8F00240723280587</t>
  </si>
  <si>
    <t>MII9I31 - RETIRA - JOSE CARLOS COSTA  - 52296130925 - FIAT/FIORINO / CARGA CAMINHONETE  / BRANCA  / 2011</t>
  </si>
  <si>
    <t>Cliente final do Lojista BVTO DO BRASIL LTDA  de Porto Alegre/ RS
7,5% de DIFAL-sem insc. estadual 
 Pedido nº 1498 enviado pelo vendedor DANIELE criado em 31/10/2024 08:26:24 integrado por meio do Bendito no dia 31/10/2024 às 08:58:21</t>
  </si>
  <si>
    <t>KA56Xif7Romvl7SXyPj6uw</t>
  </si>
  <si>
    <t>16361</t>
  </si>
  <si>
    <t xml:space="preserve">CLIENTE VAI RETIRAR NA FITLOG - UNIDADE DE GUARULHOS
DADOS DE QUEM VAI RETIRAR:
Cpf 906.365.038.87 
Placa fdz 1659
Clovis Duarte 
Kia bongo
Descontar o credito de comissão do pedido 16190- comissão de R$3.070,00 CONFORME OBS, do pedido .
 Pedido nº 1467 enviado pelo vendedor Fábio criado em 28/10/2024 14:27:30 integrado por meio do Bendito no dia 31/10/2024 às 11:08:34
</t>
  </si>
  <si>
    <t>badSJR7cRtGKaJj06t5mpA</t>
  </si>
  <si>
    <t>16362</t>
  </si>
  <si>
    <t>13709</t>
  </si>
  <si>
    <t>PREÇO NEGOCIADO COM DESCONTO EXTRA DE + 8%:  R$ 17.055,47
PEDIDO CLIENTE: 17890 - ANDRÉ 
 Pedido nº 1472 enviado pelo vendedor Carlos Augusto  criado em 29/10/2024 05:54:58 integrado por meio do Bendito no dia 31/10/2024 às 11:10:33</t>
  </si>
  <si>
    <t>XC3p4-e5TyurwivrFoe7ow</t>
  </si>
  <si>
    <t>16363</t>
  </si>
  <si>
    <t>13707</t>
  </si>
  <si>
    <t>ATENÇÃO - SEM COBRANÇA - Autorizado pelo GV Mário pedido por devolução nf 54.528 da Globaltech e a maquina com defeito ja está na fabrica . 
Utiliza o crédito da NF 9917
 Pedido nº 1499 enviado pelo vendedor Fábio criado em 31/10/2024 11:28:03 integrado por meio do Bendito no dia 31/10/2024 às 12:34:18</t>
  </si>
  <si>
    <t>LObu9OYOSsOVMSMLsGf4Kw</t>
  </si>
  <si>
    <t>16364</t>
  </si>
  <si>
    <t>8F00240723280579</t>
  </si>
  <si>
    <t>O REDESPACHO SERA FOB - 5157030 - SAO PAULO - JARDIM JARAGUA (SAO DOMINGOS) - SP
Cotação de Frete Nº 0330-122777
RAZÃO SOCIAL: RISSO ENCOMENDAS CENTRO OESTE LTDA
 Pedido nº 1504 enviado pelo vendedor Robson criado em 31/10/2024 14:22:11 integrado por meio do Bendito no dia 31/10/2024 às 14:48:02
O REDESP. SERA FOB - TRANSP. RISSO - CNPJ:59.504.225/0003-90 - Endereço: Av. Jornalista Paulo Zingg, 300, CEP: 05157-030</t>
  </si>
  <si>
    <t>ZeoynQ-kRyWfKeAUMnpTSg</t>
  </si>
  <si>
    <t>16366</t>
  </si>
  <si>
    <t>13705</t>
  </si>
  <si>
    <t>Entrega : rua agostinho goulao 22 loja 7 correas, petropolis CEP 25730050 . Maquina substituindo a que foi com tensão errada da nf 11330 -erro interno nosso . 
sem cobrança e sem comissão . Avisar cliente para NF de devolução . 
 Pedido nº 1507 enviado pelo vendedor Ricardo Henrique  criado em 31/10/2024 15:11:12 integrado por meio do Bendito no dia 31/10/2024 às 15:22:51</t>
  </si>
  <si>
    <t>WBNEqgqUQ9iNISjLs5dAKw</t>
  </si>
  <si>
    <t>16367</t>
  </si>
  <si>
    <t>8B00240322003100</t>
  </si>
  <si>
    <t>Pedido nº 1508 enviado pelo vendedor Ricardo Henrique  criado em 31/10/2024 15:13:31 integrado por meio do Bendito no dia 31/10/2024 às 15:23:11</t>
  </si>
  <si>
    <t>zcidPA6ASOSG4dwjueo8Tg</t>
  </si>
  <si>
    <t>16368</t>
  </si>
  <si>
    <t>8B00240106003159</t>
  </si>
  <si>
    <t>Cond. Quartier - constar em NF
 Pedido nº 1505 enviado pelo vendedor Fábio criado em 31/10/2024 14:59:26 integrado por meio do Bendito no dia 31/10/2024 às 15:23:30</t>
  </si>
  <si>
    <t>TBqNPjYcTfGPB7bIPXli3g</t>
  </si>
  <si>
    <t>16369</t>
  </si>
  <si>
    <t>8E00241005140002</t>
  </si>
  <si>
    <t>CARVALIMA</t>
  </si>
  <si>
    <t>O REDESP. SERA FOB TRANSPORTARDORA CARVALIMA, AV. ALEXANDRE COLARES, 340 - PQ ANHANGUERA CEP. 05106-000 -SÃO
PAULO CNPJ. 33.070.814/0003-13 TEL. (11)2141-3100
 Pedido nº 1509 enviado pelo vendedor Juscelino criado em 31/10/2024 15:42:09 integrado por meio do Bendito no dia 31/10/2024 às 16:48:28
O REDESP. SERA FOB TRANSPORTARDORA CARVALIMA, AV. ALEXANDRE COLARES, 340 - PQ ANHANGUERA CEP. 05106-000 -SÃO PAULO CNPJ. 33.070.814/0003-13 TEL. 
(11)2141-3100</t>
  </si>
  <si>
    <t>z62SGgb.QMORg3QtmgvQ1g</t>
  </si>
  <si>
    <t>16370</t>
  </si>
  <si>
    <t>8F00240812170109</t>
  </si>
  <si>
    <t xml:space="preserve">
 Pedido nº 1513 enviado pelo vendedor Renato criado em 31/10/2024 15:58:36 integrado por meio do Bendito no dia 31/10/2024 às 16:50:02</t>
  </si>
  <si>
    <t>Hf7kdJ87TY-1eprb5n2QFQ</t>
  </si>
  <si>
    <t>16371</t>
  </si>
  <si>
    <t>8F00240723280584</t>
  </si>
  <si>
    <t>Pedido nº 1511 enviado pelo vendedor Ricardo Henrique  criado em 31/10/2024 15:52:08 integrado por meio do Bendito no dia 31/10/2024 às 16:50:48</t>
  </si>
  <si>
    <t>OSpD6gVNSLGU9C8.M9MoaQ</t>
  </si>
  <si>
    <t>16372</t>
  </si>
  <si>
    <t>11327</t>
  </si>
  <si>
    <t>JAO8D94 - RETIRA - DANIEL CARLOS DOS SANTOS  - 08318878930 - M.BENZ / CARGA CAMINHAO  / BRANCA  / 2021</t>
  </si>
  <si>
    <t>Enviar pela Transportadora Expresso Leomar.
Valor do pedido autorizado por Mario.
Pagamento entrada 31/10 R$ 5.000,00 
Saldo R$ 5.000,00 quando a máquina estiver pronta para embarque.
 Pedido nº 1514 enviado pelo vendedor DANIELE criado em 31/10/2024 17:00:05 integrado por meio do Bendito no dia 31/10/2024 às 17:01:50</t>
  </si>
  <si>
    <t>LKQn7eJtQdqd6-VeEjqNcA</t>
  </si>
  <si>
    <t>16375</t>
  </si>
  <si>
    <t>8A00240411003140</t>
  </si>
  <si>
    <t>estoque CURITIBA - PR -189
COTAÇÃO  139569 - R$ 252,86
 Pedido nº 1510 enviado pelo vendedor Renato criado em 31/10/2024 15:43:56 integrado por meio do Bendito no dia 01/11/2024 às 10:36:25</t>
  </si>
  <si>
    <t>a-pzW-JCORWGqBjj60fTUsg</t>
  </si>
  <si>
    <t>16376</t>
  </si>
  <si>
    <t>PISCINAR PISCINAS E SPAS</t>
  </si>
  <si>
    <t>8F00240723280580</t>
  </si>
  <si>
    <t>Valor da maquina: R$ 7.515,00 alinhado com o Mario Dick.
FRETE FOB COM REDESPACHO PELA EXPRESSO RAQUEL - CNPJ: 03.823.190/0002-16 - ENDEREÇO: RUA SOLDADO AMERICO RODRIGUES 131, GALPÃO MODULO A, PQ NOVO MUNDO, SÃO PAULO.
AUTORIZADO PELA PRISCILLA  NO VALOR ACIMA . 
 Pedido nº 1500 enviado pelo vendedor Luiz  criado em 31/10/2024 11:56:43 integrado por meio do Bendito no dia 01/11/2024 às 11:36:03</t>
  </si>
  <si>
    <t>goT2RrVNSjyglZVPuNqtag</t>
  </si>
  <si>
    <t>16387-A</t>
  </si>
  <si>
    <t>COMPROVANTE DE PGTO EM ANEEXO
 Pedido nº 1518 enviado pelo vendedor Renato criado em 01/11/2024 13:37:54 integrado por meio do Bendito no dia 03/11/2024 às 17:07:58</t>
  </si>
  <si>
    <t>iNevkfsnRGK-upvTPS2h9Q</t>
  </si>
  <si>
    <t>16387-B</t>
  </si>
  <si>
    <t>8E00241005110016</t>
  </si>
  <si>
    <t>XKC4ori1JQAeBOY0MMcg</t>
  </si>
  <si>
    <t>16388</t>
  </si>
  <si>
    <t>8F00240723280583</t>
  </si>
  <si>
    <t>PEDIDO 24456
 Pedido nº 1519 enviado pelo vendedor Carlos Augusto  criado em 01/11/2024 15:32:46 integrado por meio do Bendito no dia 03/11/2024 às 17:08:28</t>
  </si>
  <si>
    <t>erKizaiaQzmbxV4eLnW42A</t>
  </si>
  <si>
    <t>16389</t>
  </si>
  <si>
    <t>8F00240812170102</t>
  </si>
  <si>
    <t>FRETE COM REDESPACHO FOB PELA TRANSPORTADORA RODONAVES, CNPJ 44.914.992/0037-49, ENDEREÇO: RUA SÃO QUIRINO, 1090, VILA GUILHERME, SÃO PAULO, CEP 02.056-070.
 Pedido nº 1520 enviado pelo vendedor Luiz  criado em 01/11/2024 15:46:28 integrado por meio do Bendito no dia 03/11/2024 às 17:09:16</t>
  </si>
  <si>
    <t>WqPzAM4gQgSjFlw8wZnLBA</t>
  </si>
  <si>
    <t>16391-A</t>
  </si>
  <si>
    <t>8F00241005160079</t>
  </si>
  <si>
    <t>PRAZO DE PAGAMENTO AUTORIZADO PELO MÁRIO: 30/60/90/120/150 DIAS
 Pedido nº 1522 enviado pelo vendedor Carlos Augusto  criado em 01/11/2024 16:32:34 integrado por meio do Bendito no dia 03/11/2024 às 17:11:07</t>
  </si>
  <si>
    <t>K0sGezc7SCqdGOXLaZgFVw</t>
  </si>
  <si>
    <t>16391-B</t>
  </si>
  <si>
    <t>8F00241005160036</t>
  </si>
  <si>
    <t>UMILtO7b1mDdmsMbSm7c</t>
  </si>
  <si>
    <t>16391-C</t>
  </si>
  <si>
    <t>8F00241005160082</t>
  </si>
  <si>
    <t>EqJMgU8m1CMbRx9NFH71</t>
  </si>
  <si>
    <t>16392</t>
  </si>
  <si>
    <t>13406</t>
  </si>
  <si>
    <t>PEDIDO JOZIVANI
 Pedido nº 1523 enviado pelo vendedor Carlos Augusto  criado em 01/11/2024 16:35:13 integrado por meio do Bendito no dia 03/11/2024 às 17:11:38</t>
  </si>
  <si>
    <t>JsbuU09QRTWsQcX-8uhGFw</t>
  </si>
  <si>
    <t>16393</t>
  </si>
  <si>
    <t>8B00240322003093</t>
  </si>
  <si>
    <t>PEDIDO PAULO 
 Pedido nº 1524 enviado pelo vendedor Carlos Augusto  criado em 01/11/2024 16:36:33 integrado por meio do Bendito no dia 03/11/2024 às 17:12:24</t>
  </si>
  <si>
    <t>L.5ZFKPqQf-SPP4yV4PEMQ</t>
  </si>
  <si>
    <t>16394-A</t>
  </si>
  <si>
    <t>JO PISCINAS</t>
  </si>
  <si>
    <t>8B00240322003101</t>
  </si>
  <si>
    <t>Prazo /frete liberado pela Gerencia (Mario).  No ES temos a dif icms que nao estamos concedendo ao cliente. 
Autorizado 30/120 ds. 
 Pedido nº 1525 enviado pelo vendedor Ricardo Henrique  criado em 02/11/2024 08:53:18 integrado por meio do Bendito no dia 03/11/2024 às 17:14:43</t>
  </si>
  <si>
    <t>rYcJLDldRVaeib7.qToRPw</t>
  </si>
  <si>
    <t>16394-B</t>
  </si>
  <si>
    <t>8F00240812170103</t>
  </si>
  <si>
    <t>VBrmyW14A4iQWqSqoURZ</t>
  </si>
  <si>
    <t>16395</t>
  </si>
  <si>
    <t>8F00241005160018</t>
  </si>
  <si>
    <t>12266</t>
  </si>
  <si>
    <t>entrega 15/12 chegada Conteiner -Faturar 
 Pedido nº 1517 enviado pelo vendedor Renato criado em 01/11/2024 09:22:29 integrado por meio do Bendito no dia 03/11/2024 às 17:15:32</t>
  </si>
  <si>
    <t>hF4DLMMJSru.I7GQUBbyuw</t>
  </si>
  <si>
    <t>16396</t>
  </si>
  <si>
    <t>8E00241005140016</t>
  </si>
  <si>
    <t>12267</t>
  </si>
  <si>
    <t>entrega em 15/12 chagada Conteiner - Faturar 
 Pedido nº 1515 enviado pelo vendedor Renato criado em 31/10/2024 18:56:29 integrado por meio do Bendito no dia 03/11/2024 às 17:16:28</t>
  </si>
  <si>
    <t>wvjb4MmaTvulVU-NN9I5xg</t>
  </si>
  <si>
    <t>16397-A</t>
  </si>
  <si>
    <t>8F00240723280582</t>
  </si>
  <si>
    <t>cliente vai dar R$25.000,00 de entrada e restante 30/60/90 . 
 Pedido nº 1526 enviado pelo vendedor Renato criado em 03/11/2024 17:21:00 integrado por meio do Bendito no dia 03/11/2024 às 17:21:07</t>
  </si>
  <si>
    <t>SZ9xqNYQRH6DIIHTRDc9Xw</t>
  </si>
  <si>
    <t>16397-B</t>
  </si>
  <si>
    <t>8F00240723280550</t>
  </si>
  <si>
    <t>n1VyL6cOEyYrGzrfJtiF</t>
  </si>
  <si>
    <t>16397-C</t>
  </si>
  <si>
    <t>8F00240723280547</t>
  </si>
  <si>
    <t>I9CWYpXvFgLZcGgiXcAy</t>
  </si>
  <si>
    <t>16397-D</t>
  </si>
  <si>
    <t>8E00241005140017</t>
  </si>
  <si>
    <t>12268</t>
  </si>
  <si>
    <t>JjByTyvStmI9B1dArFAO</t>
  </si>
  <si>
    <t>16397-E</t>
  </si>
  <si>
    <t>8B00240322003102</t>
  </si>
  <si>
    <t>uuT7W4l0f1QeF9kTZQQM</t>
  </si>
  <si>
    <t>16398</t>
  </si>
  <si>
    <t>13724</t>
  </si>
  <si>
    <t>RLE7H63 - EXPRESSO SÃO MIGUEL - DOUGLAS MARQUES RIBEIRO - 01936356074 - M.BENZ / ACCELO 1016 CE / BRANCA / 2021</t>
  </si>
  <si>
    <t>Painel touch-screen com quadro deslocado.
 Pedido nº 1527 enviado pelo vendedor Renato criado em 04/11/2024 09:18:58 integrado por meio do Bendito no dia 04/11/2024 às 09:25:26</t>
  </si>
  <si>
    <t>S7iVd7NkRpaFKdxdhBOOYw</t>
  </si>
  <si>
    <t>16399</t>
  </si>
  <si>
    <t>8F00240812200238</t>
  </si>
  <si>
    <t>Retirar do estoque de segurança - Guilherme ciente 
 Pedido nº 1528 enviado pelo vendedor Fábio criado em 04/11/2024 11:56:21 integrado por meio do Bendito no dia 04/11/2024 às 13:44:08</t>
  </si>
  <si>
    <t>lUdK9LhgSHisuNRBZFmnuA</t>
  </si>
  <si>
    <t>16402</t>
  </si>
  <si>
    <t>8B00231215003247</t>
  </si>
  <si>
    <t>PR040 /  ESSA MAQUINA DEVERIA TER CONSUMIDO A PR040 MAS O DUTRA COLOCOU O PEDIDO 15288 E FOI EXPEDIDA 1 MAQUINA PELA FROMTHERM. TODAVIA O RENATO TAMBEM ENTREGOU A PR040 PARA A ACQUANEW POR LÁ, FAZENDO COM QUE O CLIENTE TENHA RECEBIDO 2 MAQUINAS NÃO 1. SERÁ NECESSÁRIO ABRIR UM PEDIDO E FAZER UMA NOTA FISCAL COBRANDO  O VALOR DA OUTRA MAQUINA - MAQUINA DO ESTOQUE BOLHA - PR040
cliente recebeu a maquina em duplicidade.</t>
  </si>
  <si>
    <t>p2b2LID4SWq0QVvL1caoqw</t>
  </si>
  <si>
    <t>16404</t>
  </si>
  <si>
    <t>8B00240322003095</t>
  </si>
  <si>
    <t>Pedido nº 1533 enviado pelo vendedor Renato criado em 04/11/2024 15:00:39 integrado por meio do Bendito no dia 04/11/2024 às 15:54:04</t>
  </si>
  <si>
    <t>CAKRVI.sRxS.EcSBXd-L4g</t>
  </si>
  <si>
    <t>16405</t>
  </si>
  <si>
    <t>CLEDIANE BANDEIRA</t>
  </si>
  <si>
    <t>8F00240723280581</t>
  </si>
  <si>
    <t>FATURAMENTO IMEDIATO - PEDIDO PAGO A VISTA EM DINHEIRO PARA HIDROTEC, O VALOR DEVERÁ SER DESCONTADO DA COMISSÃO.
FRETE CIF - DESCONTAR DA COMISSÃO
VALOR DA NF R$ 14.600,00 
VALOR TABELA R$ 7.911,18 
 DIF VAL TAB X NF R$  6.688,82 
 DIF IMPOSTO 17% R$ 1.137,10 
IMPOSTO ESTADUAL R$ 730,00 
TOTAL A PAGAR R$ 9.778,28
CONTATO PARA ENTREGA: (51) 99289-5442 ( ANDRÉ SPECHT, MARIDO)
 Pedido nº 1530 enviado pelo vendedor DANIELE criado em 04/11/2024 14:24:20 integrado por meio do Bendito no dia 04/11/2024 às 15:57:49</t>
  </si>
  <si>
    <t>oY1Zqmf9RQORRV7f8e2.PA</t>
  </si>
  <si>
    <t>16406</t>
  </si>
  <si>
    <t>DELMAR SALTON JUNIOR</t>
  </si>
  <si>
    <t>8F00240723280555</t>
  </si>
  <si>
    <t>ENVIAR IMEDIATO - FRETE CIF - DESCONTAR DA COMISSAO HIDROTEC 
 VALOR DA NF R$ 15.734,20 
VALOR TABELA R$  7.911,18 
  DIF VAL TAB X NF R$  7.823,02 
  DIF IMPOSTO 17% R$ 1.329,91 
IMPOSTO ESTADUAL R$ 786,71 
TOTAL A PAGAR R$ 10.027,80
 Pedido nº 1531 enviado pelo vendedor DANIELE criado em 04/11/2024 14:39:38 integrado por meio do Bendito no dia 04/11/2024 às 15:58:25</t>
  </si>
  <si>
    <t>JvHOCZHESE2arYIhh4kiHQ</t>
  </si>
  <si>
    <t>16407</t>
  </si>
  <si>
    <t>START SHOP CATALAO</t>
  </si>
  <si>
    <t>8F00240723280592</t>
  </si>
  <si>
    <t>UBERLOG TRANSPORTES</t>
  </si>
  <si>
    <t>Pedido reprocessado ao alterar dados do cliente 05/11/2024 08:59:52 usuário: P000697112
Entrada 25% e saldo e 3x 30/60/90
REDESPACHO FOB CNPJ 08.831.345/0003-60 - UBERLOG TRANSPORTES E SERVICOS LTDA - Rua TSARG JOAO LOPES FILHO,138 - PARQUE NOVO MUNDO ¿¿¿ CEP 02.178-010 ¿¿¿ SÃO PAULO-SP ¿¿¿ I.E. 148.682.380.110</t>
  </si>
  <si>
    <t>rAWJlMWQS96K2x1viuK5DQ</t>
  </si>
  <si>
    <t>16408</t>
  </si>
  <si>
    <t>8F00240723280588</t>
  </si>
  <si>
    <t>PEDIDO COND. OTTO SCHAEFFER - BC 
 Pedido nº 1536 enviado pelo vendedor Carlos Augusto  criado em 04/11/2024 21:09:30 integrado por meio do Bendito no dia 05/11/2024 às 08:20:12</t>
  </si>
  <si>
    <t>vKxAUFNdRU-t.BVS7M3IQA</t>
  </si>
  <si>
    <t>16409</t>
  </si>
  <si>
    <t>8F00240812200260</t>
  </si>
  <si>
    <t>PEDIDO ESTOQUE LOJA
usar do estoque de segurança Guilherme ciente 
 Pedido nº 1537 enviado pelo vendedor Carlos Augusto  criado em 04/11/2024 21:11:13 integrado por meio do Bendito no dia 05/11/2024 às 08:21:20</t>
  </si>
  <si>
    <t>YHtEQovmQjeuCbjN075kyA</t>
  </si>
  <si>
    <t>16410-A</t>
  </si>
  <si>
    <t>8B00231215003177</t>
  </si>
  <si>
    <t>CONFORME CONVERSA TELEFÔNICA ENTRE ANDRÉ E MÁRIO - Usar do estoque de segurança- Guilherme ciente 
 Pedido nº 1538 enviado pelo vendedor Carlos Augusto  criado em 04/11/2024 21:14:13 integrado por meio do Bendito no dia 05/11/2024 às 08:22:09</t>
  </si>
  <si>
    <t>NBXdvIPYTM-amZEisszQkQ</t>
  </si>
  <si>
    <t>16410-B</t>
  </si>
  <si>
    <t>8F00240812200226</t>
  </si>
  <si>
    <t>qErePGHdUfV9vzvztLnR</t>
  </si>
  <si>
    <t>16410-C</t>
  </si>
  <si>
    <t>8F00240812200237</t>
  </si>
  <si>
    <t>bsQqMljVLef0DJeZiXPt</t>
  </si>
  <si>
    <t>16412</t>
  </si>
  <si>
    <t>8B00240322003124</t>
  </si>
  <si>
    <t>PEDIDO 18055 - CENTRAL VILLE    Pedido nº 1539 enviado pelo vendedor Carlos Augusto  criado em 04/11/2024 21:15:57 integrado por meio do Bendito no dia 05/11/2024 às 08:24:23</t>
  </si>
  <si>
    <t>gDDz7Ec7T9SwrVEsIHY7Qw</t>
  </si>
  <si>
    <t>16414</t>
  </si>
  <si>
    <t>26.936.440 LEONARDO DA SILVA PASSOS</t>
  </si>
  <si>
    <t>11973</t>
  </si>
  <si>
    <t>Pedido reprocessado ao alterar dados do cliente 06/11/2024 09:31:41 usuário: P000697112
Pedido nº 1545 enviado pelo vendedor Ricardo Henrique  criado em 05/11/2024 17:02:34 integrado por meio do Bendito no dia 05/11/2024 às 18:30:19</t>
  </si>
  <si>
    <t>Rmb9.adBTqGTNrZ2gQASCA</t>
  </si>
  <si>
    <t>16415</t>
  </si>
  <si>
    <t>8E00241005140018</t>
  </si>
  <si>
    <t>12269</t>
  </si>
  <si>
    <t>prazo 28/56/84 dias - R$9525,00 para 15/12 
 Pedido nº 1546 enviado pelo vendedor Renato criado em 06/11/2024 09:07:14 integrado por meio do Bendito no dia 06/11/2024 às 16:51:42</t>
  </si>
  <si>
    <t>a-jBqGHVUQFKsgK-QIfWBMw</t>
  </si>
  <si>
    <t>16416</t>
  </si>
  <si>
    <t>valor correto depositado no dia 05/11 pelo cliente:  R$ 16.800,00
pedido cliente 156
 Pedido nº 1547 enviado pelo vendedor Carlos Augusto  criado em 06/11/2024 09:17:34 integrado por meio do Bendito no dia 06/11/2024 às 16:52:59</t>
  </si>
  <si>
    <t>DqYqI1llRUO3FnbCT.u9Fg</t>
  </si>
  <si>
    <t>16418</t>
  </si>
  <si>
    <t>8B00240322003099</t>
  </si>
  <si>
    <t>ENVIAR PELA TRD Transportes
 Pedido nº 1550 enviado pelo vendedor DANIELE criado em 06/11/2024 14:49:15 integrado por meio do Bendito no dia 06/11/2024 às 16:54:06</t>
  </si>
  <si>
    <t>moMV9sswQ9KEyoClvwYOGw</t>
  </si>
  <si>
    <t>16419</t>
  </si>
  <si>
    <t>DAIANE ROBERTA DE ANDRADE 09747909901</t>
  </si>
  <si>
    <t>8F00240812170112</t>
  </si>
  <si>
    <t>8 CHEQUES A SEREM ENVIADOS
FOI ENVIADO APENAS UM CHEQUE A SER ANALISADO NO WHATS, E NÃO FOI INFORMADO ANTERIORMENTE QUE SERIA EM 8X... QUANDO OS CHEQUES CHEGARAM, AS DATAS DE DEPOSITO ESTAVAM ABAIXO DA DATA PRINCIPAL, COMO OS CHEQUES FORAM FEITOS NOMINAIS SEM OBSERVAR A DATA ABAIXO TIVEMOS QUE ACEITAR O PEDIDO.
 Pedido nº 1551 enviado pelo vendedor Renato criado em 06/11/2024 15:42:30 integrado por meio do Bendito no dia 06/11/2024 às 16:54:37</t>
  </si>
  <si>
    <t>nNlFXyJRTE6E6PCeSNqhFg</t>
  </si>
  <si>
    <t>16420</t>
  </si>
  <si>
    <t>8F00240723280594</t>
  </si>
  <si>
    <t>ENVIAR PELA TRD Transportes - PAGAMENTO DO CLIENTE PROGRAMADO PARA 08/11
 Pedido nº 1552 enviado pelo vendedor DANIELE criado em 06/11/2024 16:15:40 integrado por meio do Bendito no dia 06/11/2024 às 16:55:10</t>
  </si>
  <si>
    <t>Bc671HwKQG6uQuyXWod9Vw</t>
  </si>
  <si>
    <t>16421</t>
  </si>
  <si>
    <t>8F00240723280598</t>
  </si>
  <si>
    <t>FRETE A COMBINAR AINDA.(SE VAI BUSCAR OU ENVIAR)
 Pedido nº 1549 enviado pelo vendedor Renato criado em 06/11/2024 10:15:31 integrado por meio do Bendito no dia 06/11/2024 às 17:12:29</t>
  </si>
  <si>
    <t>BpT-n-FeRvua9EhNc7RdoQ</t>
  </si>
  <si>
    <t>16422</t>
  </si>
  <si>
    <t>13733</t>
  </si>
  <si>
    <t>PEDIDO TROPIC 
 Pedido nº 1553 enviado pelo vendedor Carlos Augusto  criado em 06/11/2024 17:29:02 integrado por meio do Bendito no dia 06/11/2024 às 18:41:52</t>
  </si>
  <si>
    <t>7NoJdWVsQcGk4NTon2P51Q</t>
  </si>
  <si>
    <t>16423-A</t>
  </si>
  <si>
    <t>8B00240322003098</t>
  </si>
  <si>
    <t>Pedido nº 1544 enviado pelo vendedor Ricardo Henrique  criado em 05/11/2024 13:57:05 integrado por meio do Bendito no dia 06/11/2024 às 18:47:45</t>
  </si>
  <si>
    <t>9Cv.k0S9SmisDxDpufifyQ</t>
  </si>
  <si>
    <t>16423-B</t>
  </si>
  <si>
    <t>8F00240723280591</t>
  </si>
  <si>
    <t>f8c9cTD9xAuxP8Lcfpou</t>
  </si>
  <si>
    <t>16424</t>
  </si>
  <si>
    <t>8F00240723280585</t>
  </si>
  <si>
    <t>PEDIDO JORDANA E PHILIPP
 Pedido nº 1557 enviado pelo vendedor Carlos Augusto  criado em 07/11/2024 06:47:35 integrado por meio do Bendito no dia 07/11/2024 às 08:14:02</t>
  </si>
  <si>
    <t>rXEZqtiYR2augBDVQT.SOw</t>
  </si>
  <si>
    <t>16425</t>
  </si>
  <si>
    <t>JAPEMY BRASIL SOLUCOES HIDRAULICAS LTDA</t>
  </si>
  <si>
    <t>13759</t>
  </si>
  <si>
    <t>Entrega: Estrada Cristalino Ferreira Braga, 491 - Vila Rica - Itaboraí / RJ. CEP: 24.801-130. Ligar pra revenda 21 9 9979 6570
Paulino
substituição ao pedido 16417 - cancelar
 Pedido nº 1564 enviado pelo vendedor Ricardo Henrique  criado em 07/11/2024 10:58:28 integrado por meio do Bendito no dia 07/11/2024 às 12:44:21</t>
  </si>
  <si>
    <t>EPKj4DX.Rx-C8gdZJ1IPww</t>
  </si>
  <si>
    <t>16426-A</t>
  </si>
  <si>
    <t>8B00240322003119</t>
  </si>
  <si>
    <t>URGENTE
 Pedido nº 1563 enviado pelo vendedor Fábio criado em 07/11/2024 10:57:43 integrado por meio do Bendito no dia 07/11/2024 às 12:45:45</t>
  </si>
  <si>
    <t>VgRhmNmUQrWFzKo.EaZNYQ</t>
  </si>
  <si>
    <t>16426-B</t>
  </si>
  <si>
    <t>8B00240322003122</t>
  </si>
  <si>
    <t>Xdo6ZNkr3ZJxGP9qNpQ7</t>
  </si>
  <si>
    <t>16427</t>
  </si>
  <si>
    <t>13784</t>
  </si>
  <si>
    <t>Cliente - Jaqueline Adriano (constar em NF)
PAINEL EXTERNO SOBREPOR
 Pedido nº 1562 enviado pelo vendedor Fábio criado em 07/11/2024 10:21:55 integrado por meio do Bendito no dia 07/11/2024 às 12:46:53</t>
  </si>
  <si>
    <t>uWja5WqUTJ6xBZ-eWO2d7g</t>
  </si>
  <si>
    <t>16429-A</t>
  </si>
  <si>
    <t>8B00240322003126</t>
  </si>
  <si>
    <t>Pedido nº 1560 enviado pelo vendedor Renato criado em 07/11/2024 08:22:26 integrado por meio do Bendito no dia 07/11/2024 às 12:47:52</t>
  </si>
  <si>
    <t>3foGjuIaTI2wT8G4e7A9ng</t>
  </si>
  <si>
    <t>16429-B</t>
  </si>
  <si>
    <t>8B00240322003125</t>
  </si>
  <si>
    <t>g8wcVPK918nZngtS1rDG</t>
  </si>
  <si>
    <t>16430</t>
  </si>
  <si>
    <t>8F00241005160070</t>
  </si>
  <si>
    <t>PEDIDO 17991 - LUANA PESSOA 
ENTREGA 15/12
 Pedido nº 1559 enviado pelo vendedor Carlos Augusto  criado em 07/11/2024 06:52:12 integrado por meio do Bendito no dia 07/11/2024 às 12:48:59</t>
  </si>
  <si>
    <t>g9CGGmelQSegv-dLVjDFRQ</t>
  </si>
  <si>
    <t>16431</t>
  </si>
  <si>
    <t>8E00241005140032</t>
  </si>
  <si>
    <t>PEDIDO 17904 - SAN LORENZO
ENTREGA 15/12
 Pedido nº 1558 enviado pelo vendedor Carlos Augusto  criado em 07/11/2024 06:49:40 integrado por meio do Bendito no dia 07/11/2024 às 12:49:10</t>
  </si>
  <si>
    <t>NWfZAyzMSbyuqTcjUYUOGA</t>
  </si>
  <si>
    <t>16432</t>
  </si>
  <si>
    <t>8F00240723280590</t>
  </si>
  <si>
    <t>Pedido nº 1565 enviado pelo vendedor Ricardo Henrique  criado em 07/11/2024 13:14:50 integrado por meio do Bendito no dia 07/11/2024 às 14:52:52</t>
  </si>
  <si>
    <t>x-3NrFIaT.q1HpuCWu36Ng</t>
  </si>
  <si>
    <t>16433-A</t>
  </si>
  <si>
    <t>8F00240723280599</t>
  </si>
  <si>
    <t>REDESPACHO FOB  CNPJ 24.882.886/0002-93 - RADLOG TRANSPORTES LTDA Rua UMBUZEIRO, 123 - Cep 07.224-010 - BAIRRO CIDADE INDUSTRIAL SATELITE DE SAO PAULO - GUARULHOS - SP I.E. 796.514.930.111
 Pedido nº 1364 enviado pelo vendedor Ranoika  criado em 11/10/2024 18:19:25 integrado por meio do Bendito no dia 07/11/2024 às 15:06:04</t>
  </si>
  <si>
    <t>L8XovuVxQra3ew1X339uKw</t>
  </si>
  <si>
    <t>16433-B</t>
  </si>
  <si>
    <t>8F00240723280597</t>
  </si>
  <si>
    <t>NAcj5A2GJiTZg0iEBhXl</t>
  </si>
  <si>
    <t>16434</t>
  </si>
  <si>
    <t>8F00240723280596</t>
  </si>
  <si>
    <t>Pedido nº 1566 enviado pelo vendedor Renato criado em 07/11/2024 15:05:09 integrado por meio do Bendito no dia 07/11/2024 às 15:07:21</t>
  </si>
  <si>
    <t>qeRUH3XMSQuYnKXnsROmtw</t>
  </si>
  <si>
    <t>16436</t>
  </si>
  <si>
    <t>DIL PISCINAS</t>
  </si>
  <si>
    <t>8F00240812170106</t>
  </si>
  <si>
    <t>Pedido nº 1573 enviado pelo vendedor Fábio criado em 08/11/2024 10:00:26 integrado por meio do Bendito no dia 08/11/2024 às 14:39:09</t>
  </si>
  <si>
    <t>hDImYaftTCGWLj2MjRjm8A</t>
  </si>
  <si>
    <t>16439</t>
  </si>
  <si>
    <t>8E00241005110027</t>
  </si>
  <si>
    <t>Cliente: Luiz Felipe Leite Moraes
Constar em Nota Fiscal- Entrega 15/ 12 
 Pedido nº 1576 enviado pelo vendedor Fábio criado em 08/11/2024 10:21:54 integrado por meio do Bendito no dia 08/11/2024 às 14:42:50</t>
  </si>
  <si>
    <t>tgZ0Ju4vSBSp3OTLi4kFug</t>
  </si>
  <si>
    <t>16440</t>
  </si>
  <si>
    <t>8F00241005160039</t>
  </si>
  <si>
    <t>Cliente: Denis dos Santos
Constar em Nota Fiscal- Entrega em 15/12
 Pedido nº 1577 enviado pelo vendedor Fábio criado em 08/11/2024 10:23:18 integrado por meio do Bendito no dia 08/11/2024 às 14:43:34</t>
  </si>
  <si>
    <t>6xMrAZWdTIumP.MZmziMYQ</t>
  </si>
  <si>
    <t>16441</t>
  </si>
  <si>
    <t>8F00241005160041</t>
  </si>
  <si>
    <t>Máquina para Estoque
Constar em Nota Fiscal- Entrega em 15//12
 Pedido nº 1578 enviado pelo vendedor Fábio criado em 08/11/2024 10:28:02 integrado por meio do Bendito no dia 08/11/2024 às 14:44:03</t>
  </si>
  <si>
    <t>6kS1t5DhRm6QU2DtnFuO0A</t>
  </si>
  <si>
    <t>16442</t>
  </si>
  <si>
    <t>8F00240723280600</t>
  </si>
  <si>
    <t>URGENTE 
 Pedido nº 1579 enviado pelo vendedor Fábio criado em 08/11/2024 14:08:38 integrado por meio do Bendito no dia 08/11/2024 às 14:44:15</t>
  </si>
  <si>
    <t>DYroP-wgQMqLLp5-TsdsdA</t>
  </si>
  <si>
    <t>16443</t>
  </si>
  <si>
    <t>13761</t>
  </si>
  <si>
    <t>Cliente: José Ubirajara
Constar em Nota Fiscal
 Pedido nº 1581 enviado pelo vendedor Fábio criado em 08/11/2024 14:43:24 integrado por meio do Bendito no dia 08/11/2024 às 14:47:22</t>
  </si>
  <si>
    <t>63WLPejxSe2GxwR-MPwFqw</t>
  </si>
  <si>
    <t>16444-A</t>
  </si>
  <si>
    <t>8F00240812170107</t>
  </si>
  <si>
    <t>Pedido nº 1580 enviado pelo vendedor Renato criado em 08/11/2024 14:09:57 integrado por meio do Bendito no dia 08/11/2024 às 14:49:59</t>
  </si>
  <si>
    <t>ieaWyf0eQo2mx7CFLAjQaQ</t>
  </si>
  <si>
    <t>16444-B</t>
  </si>
  <si>
    <t>8F00240812170108</t>
  </si>
  <si>
    <t>ws3tzKjLjRNZmomjJ1Lz</t>
  </si>
  <si>
    <t>16445</t>
  </si>
  <si>
    <t>Maringa Energy Ltda</t>
  </si>
  <si>
    <t>8B00240322003103</t>
  </si>
  <si>
    <t>enviar urgente, pago no pix
 Pedido nº 1568 enviado pelo vendedor Renato criado em 07/11/2024 17:32:11 integrado por meio do Bendito no dia 08/11/2024 às 14:52:35</t>
  </si>
  <si>
    <t>lHoSuUchSv6oNJ4ZNY8zfw</t>
  </si>
  <si>
    <t>16448</t>
  </si>
  <si>
    <t>Edna de Andrade Nery</t>
  </si>
  <si>
    <t>8E00241005140007</t>
  </si>
  <si>
    <t>COTAÇÃO FRETE CONTA DA FOMTHERM 278741-PAULO COTOU 
ENTRADA 33,33 % + 2 X 30/60 CARTAIO DE CREDITO . 
COMISSAO BRUNO SAMPAIO EM 10% -FRANCISCO PEDRO DA SILVA LTDA -CNPJ 02.470.955/001-38
 Pedido nº 1541 enviado pelo vendedor Sadi criado em 05/11/2024 11:16:51 integrado por meio do Bendito no dia 11/11/2024 às 14:01:42</t>
  </si>
  <si>
    <t>CukSsZIcTfSLFzVlaRJWnA</t>
  </si>
  <si>
    <t>16449-A</t>
  </si>
  <si>
    <t>JUNIOR PISCINAS</t>
  </si>
  <si>
    <t>13758</t>
  </si>
  <si>
    <t>ENVIAR PELA TRD Transportes
 Pedido nº 1584 enviado pelo vendedor DANIELE criado em 08/11/2024 17:40:33 integrado por meio do Bendito no dia 11/11/2024 às 14:13:52</t>
  </si>
  <si>
    <t>ErYh4zc7TdOFnegwAV6eDQ</t>
  </si>
  <si>
    <t>16449-B</t>
  </si>
  <si>
    <t>13752</t>
  </si>
  <si>
    <t>Ypcgsd1isCmlk6GtIYLm</t>
  </si>
  <si>
    <t>16450</t>
  </si>
  <si>
    <t>8F00240723280602</t>
  </si>
  <si>
    <t xml:space="preserve">REDESPACHO FOB: TAS LOGISTICA E TRANSPORTE LTDA, CNPJ: 40.835.229/0001-60 - RUA
FRANCISCO DIOGO DE ASSIS VASCONCELOS NÂº: 173 CEP: 06.230-010 Bairro:
PIRATININGA, OSASCO - SP
</t>
  </si>
  <si>
    <t>EhYt2AUrTnmqjZx0rAWKJA</t>
  </si>
  <si>
    <t>16451</t>
  </si>
  <si>
    <t>8B00240322003107</t>
  </si>
  <si>
    <t>Pedido nº 1588 enviado pelo vendedor Renato criado em 11/11/2024 11:30:42 integrado por meio do Bendito no dia 11/11/2024 às 14:28:47</t>
  </si>
  <si>
    <t>p6PkQGI2RhesQLthU9VdfQ</t>
  </si>
  <si>
    <t>16453</t>
  </si>
  <si>
    <t>8B00240322003108</t>
  </si>
  <si>
    <t>maquina paga, conforme comprovante em anexo.
 Pedido nº 1586 enviado pelo vendedor Renato criado em 11/11/2024 10:16:17 integrado por meio do Bendito no dia 11/11/2024 às 14:31:41</t>
  </si>
  <si>
    <t>dckxEpyEQTOR.qIaoa2reg</t>
  </si>
  <si>
    <t>16456</t>
  </si>
  <si>
    <t>8F00240812170110</t>
  </si>
  <si>
    <t>Cliente com credito de R$ 6.596,76 para abater do pedido - valor a pagar R$ 832,81 boleto  30 ds . 
Frete FOB com redespacho pela Grife  - CNPJ 25.406.384/0005-00 -  GUARULHOS -  R. IRAQUARA  24 - JARDIM IV CENTENARIO, GUARULHOS - SP, 07161-550 
 Pedido nº 1590 enviado pelo vendedor Luiz  criado em 11/11/2024 13:33:29 integrado por meio do Bendito no dia 11/11/2024 às 16:02:41
O REDESPACHO SERA FOB - TRANSP. GRIFE - CNPJ:25.406.384/0005-00 - END: R IRAQUARA, 24, CEP: 07.161-550</t>
  </si>
  <si>
    <t>BkUuRCpWRMa-IziUH0erQA</t>
  </si>
  <si>
    <t>16457</t>
  </si>
  <si>
    <t>8F00240723280595</t>
  </si>
  <si>
    <t>REDESPACHO FOB  CNPJ 24.882.886/0002-93 - RADLOG TRANSPORTES LTDA Rua UMBUZEIRO, 123 - Cep 07.224-010 - BAIRRO CIDADE INDUSTRIAL SATELITE DE SAO PAULO - GUARULHOS - SP I.E. 796.514.930.111
 Pedido nº 1592 enviado pelo vendedor Ranoika  criado em 11/11/2024 16:24:37 integrado por meio do Bendito no dia 11/11/2024 às 19:39:33</t>
  </si>
  <si>
    <t>qj2gW.d-SiqSUoOuG3uhOA</t>
  </si>
  <si>
    <t>16469</t>
  </si>
  <si>
    <t>Gilvan Nunes Soares</t>
  </si>
  <si>
    <t xml:space="preserve">VENDA INDICADA AGUAS E VAPORES - REDESPACHO FOB TRANSPORTADORA BOM JESUS - CNPJ: 70.033.451/0002-91 - 11 2446 4443 / 24
REDESPACHO FOB TRANSPORTADORA BOM JESUS  R ALEXANIA NÚMERO 847 - CEP 07.232-010
BAIRRO/DISTRITO - CID IND SATELITE SP MUNICÍPIO - GUARULHOS/SP
</t>
  </si>
  <si>
    <t>3SU14VtaREGeUqzCFdkQyQ</t>
  </si>
  <si>
    <t>16470</t>
  </si>
  <si>
    <t>8F00240812170111</t>
  </si>
  <si>
    <t>Cliente: William Martins
Constar em Nota Fiscal
 Pedido nº 1599 enviado pelo vendedor Fábio criado em 12/11/2024 16:40:46 integrado por meio do Bendito no dia 13/11/2024 às 06:25:33</t>
  </si>
  <si>
    <t>7DRTZM3DRW67N265lW1IxQ</t>
  </si>
  <si>
    <t>16471-A</t>
  </si>
  <si>
    <t>Spa Piscinas</t>
  </si>
  <si>
    <t>13753</t>
  </si>
  <si>
    <t>CZC2C23 - TRD TRANSPORTES - REGINALDO GOULART - 04698982910 - VW / VOLVO / VERMELHO / 2009</t>
  </si>
  <si>
    <t>Altera pagamento para 30/60/90/120 dias.
Prazo autorizado com Mário.
Enviar pela TRD Transportes
 Pedido nº 1597 enviado pelo vendedor DANIELE criado em 12/11/2024 14:10:50 integrado por meio do Bendito no dia 13/11/2024 às 06:26:37</t>
  </si>
  <si>
    <t>PjsN8UGLSf6WZ-KDY3FyFg</t>
  </si>
  <si>
    <t>16471-B</t>
  </si>
  <si>
    <t>13754</t>
  </si>
  <si>
    <t>IUDmfO6ck2S8evyXlozo</t>
  </si>
  <si>
    <t>16471-C</t>
  </si>
  <si>
    <t>13755</t>
  </si>
  <si>
    <t>4TaRDtML5SFESCR2EQIV</t>
  </si>
  <si>
    <t>16471-D</t>
  </si>
  <si>
    <t>13756</t>
  </si>
  <si>
    <t>6BglRg5O9aBE4bcMDnjd</t>
  </si>
  <si>
    <t>16471-E</t>
  </si>
  <si>
    <t>11528</t>
  </si>
  <si>
    <t>OuTsg99OjUxwkqoUe36W</t>
  </si>
  <si>
    <t>16472</t>
  </si>
  <si>
    <t>8B00240322003110</t>
  </si>
  <si>
    <t>CZC2C23 - RETIRA - REGINALDO GOULART - 04698982910 - VW / VOLVO / VERMELHO / 2009</t>
  </si>
  <si>
    <t>ENVIAR PELA TRD TRANSPORTES
 Pedido nº 1596 enviado pelo vendedor DANIELE criado em 12/11/2024 11:48:53 integrado por meio do Bendito no dia 13/11/2024 às 06:26:57</t>
  </si>
  <si>
    <t>z3lr6ctNRXuzPyJ1u5d15A</t>
  </si>
  <si>
    <t>16473</t>
  </si>
  <si>
    <t>8E00241005110017</t>
  </si>
  <si>
    <t>12270</t>
  </si>
  <si>
    <t>entrega em 15/12
 Pedido nº 1594 enviado pelo vendedor Renato criado em 12/11/2024 08:27:48 integrado por meio do Bendito no dia 13/11/2024 às 06:28:06</t>
  </si>
  <si>
    <t>RJhD5k8QRxq40dhj59xm-w</t>
  </si>
  <si>
    <t>16474</t>
  </si>
  <si>
    <t>13636</t>
  </si>
  <si>
    <t>ETC6I73 - RETIRA - THIAGO DE SOUSA MEDEIROS  - 05560102997 - VW / SAVEIRO  / BRANCA  / 2022</t>
  </si>
  <si>
    <t>Mario- Prazo 30/120 para Dino, nosso A. T .
Equipamento foi mandado errado , porem DINO, irá ficar com equipamento . SOMENTE COBRANÇA -NÃO ENVIAR OUTRO EQUIPAMENTO . 
 Pedido nº 1602 enviado pelo vendedor Renato criado em 13/11/2024 06:34:00 integrado por meio do Bendito no dia 13/11/2024 às 06:34:07</t>
  </si>
  <si>
    <t>vvRG5BefTAaJ7-x5qArTHQ</t>
  </si>
  <si>
    <t>16476</t>
  </si>
  <si>
    <t>13757</t>
  </si>
  <si>
    <t>PEDIDO INDEPENDENTE, NÃO DEVERÁ PASSAR COMISSÃO PARA (MÁRIO, REPRESENTANTES, NEM POR LOJISTAS) AUTORIZADO PELA @PRISCILLA STEIN, PAGAMENTO SERÁ EFETUADO DIRETO PARA PJ. A PRISCILA IRA PASSAR O COMPROVANTE PARA ESTE VALOR IR PARA PLANILHA DA PJ.
**IMPORTANTE**: ESTE PEDIDO DEVERÁ EMITIR NOTA FISCAL COMO SE FOSSE BRINDE COM VALOR MENOR. 
 Pedido nº 1613 enviado pelo vendedor Fromtherm criado em 13/11/2024 18:26:13 integrado por meio do Bendito no dia 13/11/2024 às 18:26:19</t>
  </si>
  <si>
    <t>1h8mIKubR4a5EzQwXoMJMQ</t>
  </si>
  <si>
    <t>16477-A</t>
  </si>
  <si>
    <t>JOLLI REPRESENTACOES COMERCIAIS</t>
  </si>
  <si>
    <t>8F00241005100007</t>
  </si>
  <si>
    <t>12271</t>
  </si>
  <si>
    <t>Mario - prazo 30/60/90/120 dias
 Pedido nº 1611 enviado pelo vendedor Renato criado em 13/11/2024 11:27:39 integrado por meio do Bendito no dia 14/11/2024 às 11:17:40</t>
  </si>
  <si>
    <t>3gJidO3eRxWSXvtDGAtdRg</t>
  </si>
  <si>
    <t>16477-B</t>
  </si>
  <si>
    <t>8E00241005110018</t>
  </si>
  <si>
    <t>c3ADi73j9K8sp7of8Cyl</t>
  </si>
  <si>
    <t>16477-C</t>
  </si>
  <si>
    <t>8F00240812180118</t>
  </si>
  <si>
    <t>VawqT2R9R8GuGkjgYofD</t>
  </si>
  <si>
    <t>16477-D</t>
  </si>
  <si>
    <t>8E00241005140019</t>
  </si>
  <si>
    <t>XTZLnuRKDRHsEWilOmsQ</t>
  </si>
  <si>
    <t>16477-E</t>
  </si>
  <si>
    <t>8F00241005160019</t>
  </si>
  <si>
    <t>CGX4jFdBqmZULlvS2nn8</t>
  </si>
  <si>
    <t>16477-F</t>
  </si>
  <si>
    <t>8A00240514003068</t>
  </si>
  <si>
    <t>58kzSYG7BziJAUoSvynK</t>
  </si>
  <si>
    <t>16478</t>
  </si>
  <si>
    <t>8A00240514003079</t>
  </si>
  <si>
    <t>CLIENTE ROSSO
 Pedido nº 1610 enviado pelo vendedor Renato criado em 13/11/2024 10:49:51 integrado por meio do Bendito no dia 14/11/2024 às 11:18:12</t>
  </si>
  <si>
    <t>p5Qa25.ySDa9uOlzxk8bQQ</t>
  </si>
  <si>
    <t>16480</t>
  </si>
  <si>
    <t>8F00241005160020</t>
  </si>
  <si>
    <t>12272</t>
  </si>
  <si>
    <t>entrega em 15/12 
observar limite cliente 
 Pedido nº 1608 enviado pelo vendedor Renato criado em 13/11/2024 10:45:52 integrado por meio do Bendito no dia 14/11/2024 às 11:20:17</t>
  </si>
  <si>
    <t>Y2eVkw52THWrsp6XswKPjg</t>
  </si>
  <si>
    <t>16481</t>
  </si>
  <si>
    <t>8A00240514003086</t>
  </si>
  <si>
    <t>Pedido nº 1606 enviado pelo vendedor Renato criado em 13/11/2024 10:34:30 integrado por meio do Bendito no dia 14/11/2024 às 11:20:41</t>
  </si>
  <si>
    <t>ZoeYAwdhShaYdVEb5nh.NA</t>
  </si>
  <si>
    <t>16482-A</t>
  </si>
  <si>
    <t>YNOV DISTRIBUICAO DE PRODUTOS EIRELI</t>
  </si>
  <si>
    <t>8F00240812230324</t>
  </si>
  <si>
    <t>IUL9I80 - RETIRA - AUGUSTO ESPINDOLA DE CAMPOS  - 04688261900 - FIAT/STRADA  / CARGA CAMINHONETE  / VERMELHA / 2013</t>
  </si>
  <si>
    <t>VALOR DE CADA MÁQUINA 18.333,00 
a vista antecipado 
 Pedido nº 1605 enviado pelo vendedor Carlos Augusto  criado em 13/11/2024 10:18:41 integrado por meio do Bendito no dia 14/11/2024 às 11:31:03</t>
  </si>
  <si>
    <t>iDXgdQXGQtq1OqjOXtZiJg</t>
  </si>
  <si>
    <t>16482-B</t>
  </si>
  <si>
    <t>8F00240812230323</t>
  </si>
  <si>
    <t>hBrRifD2zoS9P7V4X576</t>
  </si>
  <si>
    <t>16482-C</t>
  </si>
  <si>
    <t>8F00240812230322</t>
  </si>
  <si>
    <t>SOOzZBmnE9HkOpGRk80H</t>
  </si>
  <si>
    <t>16483</t>
  </si>
  <si>
    <t>8E00241005140044</t>
  </si>
  <si>
    <t>ESTOQUE (constar em NF)
entrega em 15/12
 Pedido nº 1604 enviado pelo vendedor Fábio criado em 13/11/2024 09:44:24 integrado por meio do Bendito no dia 14/11/2024 às 11:31:39</t>
  </si>
  <si>
    <t>heUQyuo6TzOvnaocVXUFaw</t>
  </si>
  <si>
    <t>16484-A</t>
  </si>
  <si>
    <t>8B00240322003120</t>
  </si>
  <si>
    <t>INCLUIR NO PEDIDO: 01 BANDEJA PARA LINHA FTI : R$ 300,00
PEDIDO CLIENTE: 24710
 Pedido nº 1600 enviado pelo vendedor Carlos Augusto  criado em 12/11/2024 18:19:40 integrado por meio do Bendito no dia 14/11/2024 às 11:36:34</t>
  </si>
  <si>
    <t>yrs9CHwzTBqNomYK8VxXrw</t>
  </si>
  <si>
    <t>16484-B</t>
  </si>
  <si>
    <t>BDC25A75PT - BANDEJA</t>
  </si>
  <si>
    <t>BANDEJA</t>
  </si>
  <si>
    <t>MMn0rKwRRPWJ.k63V4BR9A</t>
  </si>
  <si>
    <t>16485</t>
  </si>
  <si>
    <t>POUSADA DOS AQUECEDORES</t>
  </si>
  <si>
    <t>8E00241005140003</t>
  </si>
  <si>
    <t>12223</t>
  </si>
  <si>
    <t>entrega em 15/12 
 Pedido nº 1595 enviado pelo vendedor Ricardo Henrique  criado em 12/11/2024 10:44:32 integrado por meio do Bendito no dia 14/11/2024 às 11:43:20</t>
  </si>
  <si>
    <t>M8VOOz3oTlqkEtOIWw1gpg</t>
  </si>
  <si>
    <t>16486</t>
  </si>
  <si>
    <t>8F00240812180119</t>
  </si>
  <si>
    <t>ENVIAR PELA TRD TRANSPORTES
 Pedido nº 1614 enviado pelo vendedor DANIELE criado em 14/11/2024 11:36:49 integrado por meio do Bendito no dia 14/11/2024 às 11:51:02</t>
  </si>
  <si>
    <t>JRy8piQPRoC9nJ1CXCpZxA</t>
  </si>
  <si>
    <t>16488</t>
  </si>
  <si>
    <t>8E00241005140028</t>
  </si>
  <si>
    <t>ESTOQUE (constar em NF)
entrega em 15/12
 Pedido nº 1615 enviado pelo vendedor Fábio criado em 14/11/2024 15:51:32 integrado por meio do Bendito no dia 18/11/2024 às 07:52:49</t>
  </si>
  <si>
    <t>v2yfEDuYQfag.9pJ2PxZiw</t>
  </si>
  <si>
    <t>16489</t>
  </si>
  <si>
    <t>8F00241005160065</t>
  </si>
  <si>
    <t>Cliente: Andre Augusto Mendes Machado (constar em NF)
enterga em 15/12
 Pedido nº 1616 enviado pelo vendedor Fábio criado em 14/11/2024 16:12:16 integrado por meio do Bendito no dia 18/11/2024 às 07:53:41</t>
  </si>
  <si>
    <t>1u6a6WNeT7Kg.BlXJR8U5w</t>
  </si>
  <si>
    <t>16490</t>
  </si>
  <si>
    <t>8F00240812180116</t>
  </si>
  <si>
    <t>PEDIDO18249 EDERALDO LUIZ 
 Pedido nº 1617 enviado pelo vendedor Carlos Augusto  criado em 18/11/2024 06:25:06 integrado por meio do Bendito no dia 18/11/2024 às 07:54:04</t>
  </si>
  <si>
    <t>NCo3s76wReOGvelT1A5hbA</t>
  </si>
  <si>
    <t>16491</t>
  </si>
  <si>
    <t>8F00241005100001</t>
  </si>
  <si>
    <t>Frete CIF. Previsão 12/12/2025
 Pedido nº 1583 enviado pelo vendedor Ranoika  criado em 08/11/2024 16:50:38 integrado por meio do Bendito no dia 18/11/2024 às 08:11:57
FRETE SEMPRE CIF SEM REDESPACHO</t>
  </si>
  <si>
    <t>yfLpd16PS3WgIFq2qVYxCg</t>
  </si>
  <si>
    <t>16492</t>
  </si>
  <si>
    <t>8B00240322003240</t>
  </si>
  <si>
    <t>Conceder +3% desconto autorizado pelo Mario. 
 Pedido nº 1620 enviado pelo vendedor Ricardo Henrique  criado em 18/11/2024 09:20:03 integrado por meio do Bendito no dia 18/11/2024 às 09:26:34</t>
  </si>
  <si>
    <t>jmyiUcWxSKaUnmUPl.ITwg</t>
  </si>
  <si>
    <t>16493-A</t>
  </si>
  <si>
    <t>8E00241005110029</t>
  </si>
  <si>
    <t>30/60/90/120 
ENTREGA DEZ 2024. 
FRETE CIF 
 Pedido nº 1512 enviado pelo vendedor Renato criado em 31/10/2024 15:58:25 integrado por meio do Bendito no dia 18/11/2024 às 09:43:42</t>
  </si>
  <si>
    <t>jTXeXa-aTuKyRi541G1yaw</t>
  </si>
  <si>
    <t>16493-B</t>
  </si>
  <si>
    <t>8E00241005110023</t>
  </si>
  <si>
    <t>C2GAmNhWzN9YurJ3UfRc</t>
  </si>
  <si>
    <t>16493-C</t>
  </si>
  <si>
    <t>8E00241005110021</t>
  </si>
  <si>
    <t>0kbkcGGF1w59EsE9CQAq</t>
  </si>
  <si>
    <t>16493-D</t>
  </si>
  <si>
    <t>8E00241005110028</t>
  </si>
  <si>
    <t>fzgkPRLFJPjW96OqSw9E</t>
  </si>
  <si>
    <t>16493-E</t>
  </si>
  <si>
    <t>8F00240812180117</t>
  </si>
  <si>
    <t>SVdAahT9DSgTuUGEiQBq</t>
  </si>
  <si>
    <t>16493-F</t>
  </si>
  <si>
    <t>8F00240723280612</t>
  </si>
  <si>
    <t>3XKeczUzq2sTb41w93V1</t>
  </si>
  <si>
    <t>16493-G</t>
  </si>
  <si>
    <t>8F00241005100015</t>
  </si>
  <si>
    <t>YTTf1hgwub6wbBote7cE</t>
  </si>
  <si>
    <t>16493-H</t>
  </si>
  <si>
    <t>8E00241005140038</t>
  </si>
  <si>
    <t>FoFNWnjRncf09MeRNAyX</t>
  </si>
  <si>
    <t>16493-I</t>
  </si>
  <si>
    <t>8E00241005140025</t>
  </si>
  <si>
    <t>K9JIOhnBYEWPWSPw3bQk</t>
  </si>
  <si>
    <t>16493-J</t>
  </si>
  <si>
    <t>8E00241005140029</t>
  </si>
  <si>
    <t>N9txDMw4warZoOwWyg39</t>
  </si>
  <si>
    <t>16493-K</t>
  </si>
  <si>
    <t>8F00241005160063</t>
  </si>
  <si>
    <t>nNO9O5Vo9luxRsbXUyq5</t>
  </si>
  <si>
    <t>16493-L</t>
  </si>
  <si>
    <t>8F00241005160057</t>
  </si>
  <si>
    <t>jKS0rDTXBduzPBwlIruY</t>
  </si>
  <si>
    <t>16493-M</t>
  </si>
  <si>
    <t>8F00241005160040</t>
  </si>
  <si>
    <t>E2qhaFgNIjGpKGaB47Jm</t>
  </si>
  <si>
    <t>16493-N</t>
  </si>
  <si>
    <t>8A00240514003093</t>
  </si>
  <si>
    <t>zGWSocmlqbVuPWb0B95v</t>
  </si>
  <si>
    <t>16494</t>
  </si>
  <si>
    <t>8E00241005140020</t>
  </si>
  <si>
    <t>12273</t>
  </si>
  <si>
    <t>VALOR R$9525,00
 Pedido nº 1621 enviado pelo vendedor Renato criado em 18/11/2024 09:21:00 integrado por meio do Bendito no dia 18/11/2024 às 09:45:42</t>
  </si>
  <si>
    <t>2ItQkFHPTOetsr34IoouNQ</t>
  </si>
  <si>
    <t>16496</t>
  </si>
  <si>
    <t>8E00241005140021</t>
  </si>
  <si>
    <t>12274</t>
  </si>
  <si>
    <t>copiar para aprovação: engenharia@sondaclima.com.br    e sonda@sondaclima.com.br
entrega 15/12 
 Pedido nº 1622 enviado pelo vendedor Mario  criado em 18/11/2024 10:03:06 integrado por meio do Bendito no dia 18/11/2024 às 10:04:11</t>
  </si>
  <si>
    <t>83jWO4snSg2xHGwua7KWDQ</t>
  </si>
  <si>
    <t>16497</t>
  </si>
  <si>
    <t>8E00241005140005</t>
  </si>
  <si>
    <t>NF DE ENTREGA 12225 entrega: 15/12 /24
Consumidor: RIPPERS COMERCIO DE PRODUTOS DE INFORMATICA LTDA
Segue dados do cliente para envio VIA TRANSPORTADORA:
RIPPERS COMERCIO DE PRODUTOS DE INFORMATICA LTDA
CNPJ: 42.656.776/0001-04
Rua São Salvador, n° 86 - Apt 405 Bloco 4
Costeira
São José dos Pinhais/PR - Brasil
83015-220
Valor da NF para cotação na transportadora: R$ 16.531,32
***FAVOR ENVIAR O CÓDIGO DE RASTREIO DOS CORREIOS***
Aguardo dados e valor do transporte.
 Pedido nº 1623 enviado pelo vendedor Fábio criado em 18/11/2024 10:03:42 integrado por meio do Bendito no dia 18/11/2024 às 10:09:37</t>
  </si>
  <si>
    <t>eb9UTr-4R7WRRHKezfERyw</t>
  </si>
  <si>
    <t>16498</t>
  </si>
  <si>
    <t>8F00241005160002</t>
  </si>
  <si>
    <t>Condição de antecipado boleto para 7 dias
REDESPACHO FOB CNPJ 02.592.421/0001-84 - RG OSASCO TRANSPORTES RODOVIARIOS LTDA - Avenida Leonil Cre Bortolosso, 945, Galpão 14, Quitauna, Osasco SP, CEP: 06186-260 - I.E. 492.350.967.113 
Entrega 15/12
 Pedido nº 1624 enviado pelo vendedor Ranoika  criado em 18/11/2024 10:49:55 integrado por meio do Bendito no dia 18/11/2024 às 10:51:50</t>
  </si>
  <si>
    <t>Vtlp5FKSQmevOnydlE66hQ</t>
  </si>
  <si>
    <t>16499</t>
  </si>
  <si>
    <t>8F00240812230325</t>
  </si>
  <si>
    <t>PEDIDO ACCR - WILLIAM ESTÁ COBRANDO CRÉDITO DE  R$ 1.918,05 - ABATER DESTE PEDIDO 
 Pedido nº 1612 enviado pelo vendedor Carlos Augusto  criado em 13/11/2024 12:48:58 integrado por meio do Bendito no dia 18/11/2024 às 11:05:44</t>
  </si>
  <si>
    <t>sRibxfKQQvuNik8L6UVH1g</t>
  </si>
  <si>
    <t>16500</t>
  </si>
  <si>
    <t>8E00241005110024</t>
  </si>
  <si>
    <t>ATENÇÃO - Aplicar desconto de R$ 1.000,00 referente a promoção n° de máquinas vendidas mês de novembro - Valor desse pedido = R$6.319,55
ESTOQUE (constar em NF)
 Pedido nº 1603 enviado pelo vendedor Fábio criado em 13/11/2024 09:43:19 integrado por meio do Bendito no dia 18/11/2024 às 11:08:59</t>
  </si>
  <si>
    <t>i6C56.S8QLONzw5sWVD3gA</t>
  </si>
  <si>
    <t>16501</t>
  </si>
  <si>
    <t>AMOSTRA</t>
  </si>
  <si>
    <t>CARCACA AMOSTRA FTIBR</t>
  </si>
  <si>
    <t>CARCAÇA DE AMOSTRA DA FTI35 NACIONAL
 Pedido nº 1625 enviado pelo vendedor Fromtherm criado em 18/11/2024 11:20:30 integrado por meio do Bendito no dia 18/11/2024 às 11:21:35</t>
  </si>
  <si>
    <t>3XUPLgSaQweeScmzE7Ajiw</t>
  </si>
  <si>
    <t>16502</t>
  </si>
  <si>
    <t>8E00241005110003</t>
  </si>
  <si>
    <t>Cliente: Alexandre Marcilio (Constar em NF)
ENTREGA 15/12
 Pedido nº 1627 enviado pelo vendedor Fábio criado em 18/11/2024 11:35:42 integrado por meio do Bendito no dia 18/11/2024 às 11:54:11</t>
  </si>
  <si>
    <t>uKBTe8nKSIye1BKVjDEMGQ</t>
  </si>
  <si>
    <t>16503</t>
  </si>
  <si>
    <t>Painel de Sobrepor
Cliente: Patricia Soares (constar em NF)
 Pedido nº 1626 enviado pelo vendedor Fábio criado em 18/11/2024 11:34:10 integrado por meio do Bendito no dia 18/11/2024 às 11:54:22</t>
  </si>
  <si>
    <t>jm9Qa-ZZTsWlKrhMmvSpFg</t>
  </si>
  <si>
    <t>16504</t>
  </si>
  <si>
    <t>SG PISCINAS</t>
  </si>
  <si>
    <t>8F00240812180114</t>
  </si>
  <si>
    <t>Pedido nº 1629 enviado pelo vendedor Renato criado em 18/11/2024 14:02:47 integrado por meio do Bendito no dia 18/11/2024 às 14:28:31</t>
  </si>
  <si>
    <t>fL8Ny4VnTUmQZBxM3rEC5Q</t>
  </si>
  <si>
    <t>16505-A</t>
  </si>
  <si>
    <t>SOLAR BH</t>
  </si>
  <si>
    <t>FRETE FOB COM REDESPACHO : EXPRESSO RAQUEL - CNPJ SP : 03.823.190/0002-16. - ENDEREÇO SÃO PAULO : RUA SOLDADO AMERICO RODRIGUES 131, GALPÃO MODULO A - PQ NOVO MUNDO
 Pedido nº 1628 enviado pelo vendedor Luiz  criado em 18/11/2024 11:58:44 integrado por meio do Bendito no dia 18/11/2024 às 14:29:06</t>
  </si>
  <si>
    <t>xXpsD3q6Qqi4Hqhoh2YQuA</t>
  </si>
  <si>
    <t>16505-B</t>
  </si>
  <si>
    <t>13713</t>
  </si>
  <si>
    <t>jYyG0NlmByLtrmpuRgiZ</t>
  </si>
  <si>
    <t>16506-A</t>
  </si>
  <si>
    <t>Fret CIF
VALOR  ORÇAMENTO R$45.935,54 A VISTA ANTECIPADO (tabela especial -10 -3-2 ) 
 Pedido nº 1598 enviado pelo vendedor Ranoika  criado em 12/11/2024 15:19:25 integrado por meio do Bendito no dia 18/11/2024 às 15:16:35</t>
  </si>
  <si>
    <t>WGhxN8d0TMuPE705yG1l4g</t>
  </si>
  <si>
    <t>16506-B</t>
  </si>
  <si>
    <t>13806</t>
  </si>
  <si>
    <t>Ym1i4YlHiCCWuWb8Apo3</t>
  </si>
  <si>
    <t>16506-C</t>
  </si>
  <si>
    <t>13407</t>
  </si>
  <si>
    <t>hm07m9hlnrjOXZKLDiUr</t>
  </si>
  <si>
    <t>16507-16495-A</t>
  </si>
  <si>
    <t>ELIZABETH KOPPE JORGE</t>
  </si>
  <si>
    <t>8A00240411003149</t>
  </si>
  <si>
    <t>PR185 - DISPONIVEL ULT CONTAGEM 04/11
estoque Curitiba - PR-172-185
 Pedido nº 1618 enviado pelo vendedor Renato criado em 18/11/2024 08:39:03 integrado por meio do Bendito no dia 18/11/2024 às 09:46:33</t>
  </si>
  <si>
    <t>jiKpowVKSUmGnuPF7wuB8Q</t>
  </si>
  <si>
    <t>16507-16495-B</t>
  </si>
  <si>
    <t>8A00240411003127</t>
  </si>
  <si>
    <t>PR172 - SERA DEVOLVIDA PELO ERICLEPTO DA ROJANSKI PARA O ESTOQUE DA FILIAL PARANA, ELE HAVIA PEGO EMPRESTADO (FOI DEVOLVIDA, NÃO TINHA PEDIDO, TINHA IDO SEM NF)
Pedido reprocessado ao alterar dados do cliente 18/11/2024 11:47:33 usuário: P000697112
estoque Curitiba - PR-172-185
Referente ao pedido 16495
 Pedido nº 1618 enviado pelo vendedor Renato criado em 18/11/2024 08:39:03 integrado por meio do Bendito no dia 18/11/2024 às 09:46:33</t>
  </si>
  <si>
    <t>Uk-GtTNlQT6R3kiUaJrgJw</t>
  </si>
  <si>
    <t>16509</t>
  </si>
  <si>
    <t>8B00240322003111</t>
  </si>
  <si>
    <t>urgente sair dia 19/11 sem falta 
 Pedido nº 1633 enviado pelo vendedor Ricardo Henrique  criado em 18/11/2024 17:50:06 integrado por meio do Bendito no dia 18/11/2024 às 19:11:56</t>
  </si>
  <si>
    <t>hXqeSd6YTJCGKFRwAZb3hw</t>
  </si>
  <si>
    <t>16510</t>
  </si>
  <si>
    <t>8F00240812180115</t>
  </si>
  <si>
    <t>ENVIAR PELA TRD
 Pedido nº 1631 enviado pelo vendedor DANIELE criado em 18/11/2024 16:55:29 integrado por meio do Bendito no dia 18/11/2024 às 19:14:44</t>
  </si>
  <si>
    <t>VSRbfZ4eQNm0w0gsN9R6IA</t>
  </si>
  <si>
    <t>16511-A</t>
  </si>
  <si>
    <t>8F00240723280613</t>
  </si>
  <si>
    <t>ITEM FTI 75 EM 15/12
ITEM FTI 45 LIBERAR IMEDIATO
 Pedido nº 1630 enviado pelo vendedor Renato criado em 18/11/2024 15:49:44 integrado por meio do Bendito no dia 18/11/2024 às 19:15:56</t>
  </si>
  <si>
    <t>YqK4.XRHRpG1mPA-XAZp9Q</t>
  </si>
  <si>
    <t>16511-B</t>
  </si>
  <si>
    <t>8F00241005160021</t>
  </si>
  <si>
    <t>12275</t>
  </si>
  <si>
    <t>286ERdpY4hrPWGtvDNzJ</t>
  </si>
  <si>
    <t>16512</t>
  </si>
  <si>
    <t>8E00241005140004</t>
  </si>
  <si>
    <t>REDESPACHO FOB  CNPJ 24.882.886/0002-93 - RADLOG TRANSPORTES LTDA Rua UMBUZEIRO, 123 - Cep 07.224-010 - BAIRRO CIDADE INDUSTRIAL SATELITE DE SAO PAULO - GUARULHOS - SP I.E. 796.514.930.111  
ENTREGA EM 15/12 
 Pedido nº 1634 enviado pelo vendedor Ranoika  criado em 18/11/2024 20:37:54 integrado por meio do Bendito no dia 19/11/2024 às 07:46:00
O REDESPACHO SERA FOB - TRANSP. RADLOG - CNPJ : 24.882.886/0002-93 - END: R UMBUZEIRO, 123, CEP: 07.224-010</t>
  </si>
  <si>
    <t>Lj.fG8fBSEOD.DiuOamxdg</t>
  </si>
  <si>
    <t>16513</t>
  </si>
  <si>
    <t>8F00241005160003 DEVOLUÇÃO</t>
  </si>
  <si>
    <t>hpkFb6lOQOKWV9xOp3CzQg</t>
  </si>
  <si>
    <t>16514</t>
  </si>
  <si>
    <t>Acqua Bolha</t>
  </si>
  <si>
    <t>8F00240723280611</t>
  </si>
  <si>
    <t>ENDEREÇO DE ENTREGA: AV BENTO MUNHOZ ROCHA NETO,696- CENTRO -UNIÃO DA VITORIA -CEP:84.600-245 - PRAZO 28/56/84 DIAS
 Pedido nº 1637 enviado pelo vendedor Renato criado em 19/11/2024 09:06:44 integrado por meio do Bendito no dia 19/11/2024 às 10:05:00</t>
  </si>
  <si>
    <t>lpB.KE94QyeliUZPABWj4Q</t>
  </si>
  <si>
    <t>16520</t>
  </si>
  <si>
    <t>8B00240322003146</t>
  </si>
  <si>
    <t>ST SOLUCOES E LOGISTICA LTDA</t>
  </si>
  <si>
    <t>TRANSPORTADORA . ST SOLUÇÕES E LOGISTICA LTDA - RUA TENENTE AMARO FELICISSIMO SLVEIRA S/N COMPLEMENTO GP 10 PQ NOVO
MUNDO
SÃO PAULO - SP TEL 11 4304-3400
 Pedido nº 1643 enviado pelo vendedor Juscelino criado em 19/11/2024 17:30:51 integrado por meio do Bendito no dia 19/11/2024 às 18:24:33
REDESPACHO FOB: TRANSPORTADORA . ST SOLUÇÕES E LOGISTICA LTDA - RUA TENENTE AMARO FELICISSIMO SLVEIRA S/N COMPLEMENTO GP 10 PQ NOVO MUNDO SÃO PAULO - SP TEL 11 4304-3400 -</t>
  </si>
  <si>
    <t>IYWx9EgDSC-RfNnyUv0oFg</t>
  </si>
  <si>
    <t>16521</t>
  </si>
  <si>
    <t>13786</t>
  </si>
  <si>
    <t>PAINEL COM QUADRO DESLOCADO
 Pedido nº 1644 enviado pelo vendedor Renato criado em 19/11/2024 17:57:42 integrado por meio do Bendito no dia 19/11/2024 às 18:26:15</t>
  </si>
  <si>
    <t>2.rYAylcSTiyYvipUqotMQ</t>
  </si>
  <si>
    <t>16522</t>
  </si>
  <si>
    <t>8F00240723280601</t>
  </si>
  <si>
    <t>Pedido nº 1642 enviado pelo vendedor Renato criado em 19/11/2024 16:31:27 integrado por meio do Bendito no dia 19/11/2024 às 18:26:36</t>
  </si>
  <si>
    <t>oukBb9DSRlSICfr7xq2xaw</t>
  </si>
  <si>
    <t>16524</t>
  </si>
  <si>
    <t>8F00241005160004</t>
  </si>
  <si>
    <t>O REDESPACHO SERA FOB - TRANSP. RODONAVES - CNPJ:44.914.992/0013-71 - END: Parque Anhanguera, Av. Alexandre Colares, 500 - Vila Jaguara, São Paulo - SP, 05106-000
entrega em 15/12/24
 Pedido nº 1632 enviado pelo vendedor Juscelino criado em 18/11/2024 17:48:16 integrado por meio do Bendito no dia 20/11/2024 às 08:02:02
O REDESPACHO SERA FOB - TRANSP. RODONAVES - CNPJ:44.914.992/0013-71 - END: Parque Anhanguera, Av. Alexandre Colares, 500 - Vila Jaguara, São Paulo - SP, 05106-000</t>
  </si>
  <si>
    <t>JOXh47NhSt-PMEfHKqI2.A</t>
  </si>
  <si>
    <t>16525-A</t>
  </si>
  <si>
    <t>8F00240723280614</t>
  </si>
  <si>
    <t>Pedido nº 1646 enviado pelo vendedor Carlos Augusto  criado em 20/11/2024 07:59:16 integrado por meio do Bendito no dia 20/11/2024 às 08:12:47</t>
  </si>
  <si>
    <t>DjolymthQQShViS9uIMonQ</t>
  </si>
  <si>
    <t>16525-B</t>
  </si>
  <si>
    <t>8F00240812180113</t>
  </si>
  <si>
    <t>Sbmf8JHVxKvWhQZj1AEY</t>
  </si>
  <si>
    <t>16526</t>
  </si>
  <si>
    <t>Pedido nº 1647 enviado pelo vendedor Carlos Augusto  criado em 20/11/2024 08:00:31 integrado por meio do Bendito no dia 20/11/2024 às 08:13:11// OP ANTIGA 8B00240322003114</t>
  </si>
  <si>
    <t>Q3wKRwOCQxa0xfUkVvwOhQ</t>
  </si>
  <si>
    <t>16527</t>
  </si>
  <si>
    <t>8B00240322003139</t>
  </si>
  <si>
    <t>Pedido nº 1648 enviado pelo vendedor Carlos Augusto  criado em 20/11/2024 08:01:21 integrado por meio do Bendito no dia 20/11/2024 às 08:13:53</t>
  </si>
  <si>
    <t>pSPxbDZvRJeRUygnO8WNrA</t>
  </si>
  <si>
    <t>16529</t>
  </si>
  <si>
    <t>13788</t>
  </si>
  <si>
    <t>CLIENTE TEM DESCONTO EXTRA DE + 8% NA LINHA FT  PREÇO R$ 6.297,51
PEDIDO CLIENTE 24811
 Pedido nº 1650 enviado pelo vendedor Carlos Augusto  criado em 20/11/2024 12:30:14 integrado por meio do Bendito no dia 20/11/2024 às 12:30:29</t>
  </si>
  <si>
    <t>6r0bh-FOTpy7u2uWjZoCiA</t>
  </si>
  <si>
    <t>16546</t>
  </si>
  <si>
    <t>13957</t>
  </si>
  <si>
    <t>FTI75DPTBR</t>
  </si>
  <si>
    <t>ATENÇÃO PEDIDO DE 01 FTI75 BR  PREÇO R$ 10.482,11
PEDIDO ARISTÓTELES SCIPIONI
 Pedido nº 1645 enviado pelo vendedor Carlos Augusto  criado em 20/11/2024 07:56:49 integrado por meio do Bendito no dia 21/11/2024 às 09:05:52</t>
  </si>
  <si>
    <t>3Q6yPCuWTqaS7EQx9zZrow</t>
  </si>
  <si>
    <t>16547</t>
  </si>
  <si>
    <t>8B00240325003045</t>
  </si>
  <si>
    <t>USAR NESTE PEDIDO A BOMBA DEVOLVIDA PELO CLIENTE SOL E LAZER DE JOINVILLE .
 Pedido nº 1651 enviado pelo vendedor Carlos Augusto  criado em 21/11/2024 06:32:24 integrado por meio do Bendito no dia 21/11/2024 às 09:52:29</t>
  </si>
  <si>
    <t>mR1O2Jx.RReq6UGLIcXBYg</t>
  </si>
  <si>
    <t>16549</t>
  </si>
  <si>
    <t>RINO PISCINAS E PETS</t>
  </si>
  <si>
    <t>8F00240723280603</t>
  </si>
  <si>
    <t>Pedido nº 1653 enviado pelo vendedor Renato criado em 21/11/2024 09:49:33 integrado por meio do Bendito no dia 21/11/2024 às 09:56:15</t>
  </si>
  <si>
    <t>SSWt1hYNQAGQduKFbWdW.A</t>
  </si>
  <si>
    <t>16550</t>
  </si>
  <si>
    <t>8F00240723280606</t>
  </si>
  <si>
    <t>ENVIAR PELA TRD
 Pedido nº 1654 enviado pelo vendedor DANIELE criado em 21/11/2024 10:04:47 integrado por meio do Bendito no dia 21/11/2024 às 10:47:13</t>
  </si>
  <si>
    <t>nhLTNvaVRDq5ezkNVTrvCA</t>
  </si>
  <si>
    <t>16551</t>
  </si>
  <si>
    <t>8A00240514003092</t>
  </si>
  <si>
    <t>TRANFORT RODOVIARIO CARGAS , RUA FELÍCIO ANTÔNIO ALVES, 309 - VILA NOVA DO BONSUCESSO  - GUARULHOS SP CEP. 07175-450
CNPJ 03.298.420/0003-56 - FONE (11) 2413-4577 (11) 2413-4570 
 Pedido nº 1656 enviado pelo vendedor Juscelino criado em 21/11/2024 10:29:09 integrado por meio do Bendito no dia 21/11/2024 às 10:55:21
O REDESP. SERA FOB - TRANSP. TRANSFORT - CNPJ:38.243.029/0002-58 - END: R SOLD CRISTOVAO MORAIS GARCIA, 375, CEP: 02.187-090</t>
  </si>
  <si>
    <t>muLm2Kb1ScKmHF5oYYRUOw</t>
  </si>
  <si>
    <t>16552-A</t>
  </si>
  <si>
    <t>MULTICOLOR</t>
  </si>
  <si>
    <t>8B00240322003140</t>
  </si>
  <si>
    <t>Cliente: CDS Tecnologia (constar em NF)
URGENTE
 Pedido nº 1657 enviado pelo vendedor Fábio criado em 21/11/2024 10:48:27 integrado por meio do Bendito no dia 21/11/2024 às 11:25:39</t>
  </si>
  <si>
    <t>FN30MDylTMCkdtUeV-PnpA</t>
  </si>
  <si>
    <t>16552-B</t>
  </si>
  <si>
    <t>8B00240322003136</t>
  </si>
  <si>
    <t>nBmqjUaZte4tXFlfWpaO</t>
  </si>
  <si>
    <t>16553</t>
  </si>
  <si>
    <t>13762</t>
  </si>
  <si>
    <t xml:space="preserve">ENDEREÇO DE ENTREGA: Rodovia Rio Santos, km 434, CASA 11H - Montibello, São Brás, Mangaratiba, CEP: 23860-000
Pedido Mariah Bernardes CMN .
UREGENTE LIBERAR 
</t>
  </si>
  <si>
    <t>lFma8gxNQ12pJM-RbOoXnA</t>
  </si>
  <si>
    <t>16554-A</t>
  </si>
  <si>
    <t>MEIA NOTA: Sendo em 1+7 x = R$18.685,72, R$9.342,86 NO PIX E R$9.342,86 boleto bancário com NF . Total da nf R$74.742,90 
 Pedido nº 1655 enviado pelo vendedor Fábio criado em 21/11/2024 10:11:22 integrado por meio do Bendito no dia 21/11/2024 às 16:03:15</t>
  </si>
  <si>
    <t>k4bO6W1mTWSlPY8olksNkQ</t>
  </si>
  <si>
    <t>16554-B</t>
  </si>
  <si>
    <t>gFPj9FxhVrjJcC64ToQf</t>
  </si>
  <si>
    <t>16554-C</t>
  </si>
  <si>
    <t>13792</t>
  </si>
  <si>
    <t>5rfeJzFaeTprtPvz5peI</t>
  </si>
  <si>
    <t>16554-D</t>
  </si>
  <si>
    <t>13793</t>
  </si>
  <si>
    <t>o4O7tZVrpfnp6EvSN7he</t>
  </si>
  <si>
    <t>16554-E</t>
  </si>
  <si>
    <t>Dlxqo5OWqkzDCel5Ig61</t>
  </si>
  <si>
    <t>16554-F</t>
  </si>
  <si>
    <t>13764</t>
  </si>
  <si>
    <t>kobvO6spceKFwuUhcJQo</t>
  </si>
  <si>
    <t>16554-G</t>
  </si>
  <si>
    <t>13774</t>
  </si>
  <si>
    <t>c4GvotbHvFJvdl5gYHzj</t>
  </si>
  <si>
    <t>16554-H</t>
  </si>
  <si>
    <t>13775</t>
  </si>
  <si>
    <t>Cq5o9VCeIOiDPDa6b54B</t>
  </si>
  <si>
    <t>16554-I</t>
  </si>
  <si>
    <t>13776</t>
  </si>
  <si>
    <t>jGRYMWSoVTTrilJcqz1a</t>
  </si>
  <si>
    <t>16554-J</t>
  </si>
  <si>
    <t>g5bxwQLJluJHPC6FAZCv</t>
  </si>
  <si>
    <t>16557</t>
  </si>
  <si>
    <t>S E S INVESTIMENTOS IMOBILIARIOS LTDA</t>
  </si>
  <si>
    <t>8E00241005130001</t>
  </si>
  <si>
    <t>AGUARDANDO DADOS DO CARTÃO DE CRÉDITO
VENDA INDICADA AGUAS E VAPORES - RN / INCLUSO DIFAL 7,5% - TRANSPORTADORA BOM JESUS CNPJ: 70.033.451/0002-91
PAGAMENTO SERÁ REALIZADO EM 3X CARTÃO DO SÓCIO CARLOS ALBERTO DE SOUZA
REDESPACHO FOB: TRANSPORTADORA BOM JESUS CNPJ: 70.033.451/0002-91 - R ALEXANIA, NÚMERO 847 - CEP 07.232-010  - BAIRRO/DISTRITO CID IND SATELITE SP
GUARULHOS/SP
LIBERAR LINK 
 Pedido nº 1658 enviado pelo vendedor Sadi criado em 21/11/2024 16:56:08 integrado por meio do Bendito no dia 21/11/2024 às 17:06:03</t>
  </si>
  <si>
    <t>x2cdwxjITkmnAAw5RGPK2g</t>
  </si>
  <si>
    <t>16560</t>
  </si>
  <si>
    <t>DEPOSITO DE MATERIAIS PARA CONSTRUCAO BEIRA RIO</t>
  </si>
  <si>
    <t>8B00240322003248</t>
  </si>
  <si>
    <t>Pedido nº 1660 enviado pelo vendedor Renato criado em 22/11/2024 08:17:08 integrado por meio do Bendito no dia 22/11/2024 às 09:42:35</t>
  </si>
  <si>
    <t>eSoLRs2DRkunTsIeFU2nvw</t>
  </si>
  <si>
    <t>16561</t>
  </si>
  <si>
    <t>8B00240322003137</t>
  </si>
  <si>
    <t>VALOR R$16900,00
 Pedido nº 1661 enviado pelo vendedor Renato criado em 22/11/2024 08:29:01 integrado por meio do Bendito no dia 22/11/2024 às 09:43:02</t>
  </si>
  <si>
    <t>J.kjsK6tT1Ow5Ve8fJmpjg</t>
  </si>
  <si>
    <t>16562</t>
  </si>
  <si>
    <t>8F00240723280609</t>
  </si>
  <si>
    <t>CLIENTE RETIRA NA FÁBRICA SEMANA DE 25 A 29/11
 Pedido nº 1662 enviado pelo vendedor DANIELE criado em 22/11/2024 09:22:21 integrado por meio do Bendito no dia 22/11/2024 às 09:43:33</t>
  </si>
  <si>
    <t>trNAu2tERvSDCV9h46Urzg</t>
  </si>
  <si>
    <t>16563</t>
  </si>
  <si>
    <t>FONTINI SPA</t>
  </si>
  <si>
    <t>8B00240322003141</t>
  </si>
  <si>
    <t>depósito feito dia 22/11 - avisar o Maycon para ir retirar 48 991217000 LIGAR , NÃO ESQCER 
 Pedido nº 1664 enviado pelo vendedor Carlos Augusto  criado em 22/11/2024 10:54:09 integrado por meio do Bendito no dia 22/11/2024 às 10:57:39</t>
  </si>
  <si>
    <t>uRKOZkqMTeKiQDTI3kbz2w</t>
  </si>
  <si>
    <t>16564</t>
  </si>
  <si>
    <t>8A00240411003120</t>
  </si>
  <si>
    <t>PR 180, MAQUINA JÁ ESTÁ FATURADA PARA O CLIENTE ACQUANEW 
 Pedido nº 1665 enviado pelo vendedor Renato criado em 22/11/2024 11:01:59 integrado por meio do Bendito no dia 22/11/2024 às 11:10:58
PR180 - EMPRESTADO ACQUANEW - MARIO AUTORIZOU  AGUARDANDO DEVOLUÇÃO
Pedido reprocessado ao alterar dados do cliente 18/11/2024 11:47:33 usuário: P000697112
estoque Curitiba - PR-180-185
 Pedido nº 1618 enviado pelo vendedor Renato criado em 18/11/2024 08:39:03 integrado por meio do Bendito no dia 18/11/2024 às 09:46:33</t>
  </si>
  <si>
    <t>Ggk37M45Tw6CIIwrY6chTA</t>
  </si>
  <si>
    <t>16568</t>
  </si>
  <si>
    <t>8F00240812180141</t>
  </si>
  <si>
    <t>Pedido nº 1668 enviado pelo vendedor Renato criado em 22/11/2024 13:41:43 integrado por meio do Bendito no dia 25/11/2024 às 13:43:56</t>
  </si>
  <si>
    <t>ZCvuRFRIR5iH5-3.J2Z3FA</t>
  </si>
  <si>
    <t>16569</t>
  </si>
  <si>
    <t>8F00241005160084</t>
  </si>
  <si>
    <t>Pedido nº 1669 enviado pelo vendedor Carlos Augusto  criado em 22/11/2024 14:43:07 integrado por meio do Bendito no dia 25/11/2024 às 13:45:55</t>
  </si>
  <si>
    <t>XPsyUhOjTWm8LkYpYPRCMw</t>
  </si>
  <si>
    <t>16570</t>
  </si>
  <si>
    <t>8F00241005160005</t>
  </si>
  <si>
    <t>Cliente: Anarlete (constar em NF)
entrega em 15/12
 Pedido nº 1670 enviado pelo vendedor Fábio criado em 22/11/2024 15:01:58 integrado por meio do Bendito no dia 25/11/2024 às 13:46:30</t>
  </si>
  <si>
    <t>du0wc8zBTACZUvd4Cj2oKQ</t>
  </si>
  <si>
    <t>16571</t>
  </si>
  <si>
    <t>8E00241005140006</t>
  </si>
  <si>
    <t>entrega em 15/12
 Pedido nº 1671 enviado pelo vendedor Marcelo criado em 22/11/2024 15:43:40 integrado por meio do Bendito no dia 25/11/2024 às 13:47:00</t>
  </si>
  <si>
    <t>mSRrteadR2K1yvI16UzB3Q</t>
  </si>
  <si>
    <t>16572</t>
  </si>
  <si>
    <t>SOLAR VWE COMERCIAL</t>
  </si>
  <si>
    <t>8F00241005160051</t>
  </si>
  <si>
    <t>AYN6F33 - RETIRA - JOSLAINE DOS SANTOS - 05674472947 - UNO / 00 / BRANCO / 2014</t>
  </si>
  <si>
    <t>CLIENTE TEM UMA TRANSPORTADORA E VAI RETIRAR AQUI A MAQUINA:
Jadimo transportes
81.724.908/0001-40
A TRANSPORTADORA PERTENCE AO CONSUMIDOR FINAL.
 Pedido nº 1672 enviado pelo vendedor Renato criado em 22/11/2024 17:01:32 integrado por meio do Bendito no dia 25/11/2024 às 13:47:32</t>
  </si>
  <si>
    <t>ZvUXcQQcQPGMkAOlWNOvag</t>
  </si>
  <si>
    <t>16574</t>
  </si>
  <si>
    <t>8B00240322003142</t>
  </si>
  <si>
    <t>REDESPACHO FOB: TAS LOGISTICA E TRANSPORTE LTDA, CNPJ: 40.835.229/0001-60 - RUA
FRANCISCO DIOGO DE ASSIS VASCONCELOS NÂº: 173 CEP: 06.230-010 Bairro:
PIRATININGA, OSASCO - SP
 Pedido nº 1674 enviado pelo vendedor Fábio criado em 22/11/2024 17:59:14 integrado por meio do Bendito no dia 25/11/2024 às 13:49:43
O REDESPACHO SERA FOB - 40.835.229/0001-60 - TAS LOGISTICA E TRANSPORTE LTDARUA FRANCISCO DIOGO DE ASSIS VASCONCELOS 173, PIRATININGA, OSASCO/SP - CEP - 06.230-010</t>
  </si>
  <si>
    <t>XCCAEn.IQ4qP8knWg54Bkw</t>
  </si>
  <si>
    <t>16575</t>
  </si>
  <si>
    <t>PONTO VERDE ENERGIA SOLAR</t>
  </si>
  <si>
    <t>8F00241005160006</t>
  </si>
  <si>
    <t>Prazo de entrega previsto - Sair da fábrica a partir de 15/12/24
Faturamento com entrega futura.
 Pedido nº 1675 enviado pelo vendedor Fábio criado em 25/11/2024 08:44:08 integrado por meio do Bendito no dia 25/11/2024 às 13:50:15</t>
  </si>
  <si>
    <t>TM6-q8R8S7iKU0OtDLHz2Q</t>
  </si>
  <si>
    <t>16576</t>
  </si>
  <si>
    <t>PEDIDO DE COMPRA N°1019 (constar em NF)
Horário de entrega: Seg. a quint.08h ás 12h e das 13h ás 18h, sexta até ás 17h - Almoço das 12:00 às 13:00 
 Pedido nº 1676 enviado pelo vendedor Fábio criado em 25/11/2024 10:01:26 integrado por meio do Bendito no dia 25/11/2024 às 13:50:43//8F00240812220278 VOLTOU AO ESTOQUE</t>
  </si>
  <si>
    <t>WBVXS2SGQRKwSW8h6fuY1A</t>
  </si>
  <si>
    <t>16577</t>
  </si>
  <si>
    <t>13778</t>
  </si>
  <si>
    <t>Despachar urgente 
 Pedido nº 1677 enviado pelo vendedor Ricardo Henrique  criado em 25/11/2024 10:17:41 integrado por meio do Bendito no dia 25/11/2024 às 13:51:17</t>
  </si>
  <si>
    <t>FS8ret3KRWuTMvn6Zupr9A</t>
  </si>
  <si>
    <t>16578</t>
  </si>
  <si>
    <t>VILLAGE BELLATORRES</t>
  </si>
  <si>
    <t>8B00240322003135</t>
  </si>
  <si>
    <t>VALOR DA NF R$ 30.900,00 
VALOR TABELA R$ 16.562,30 
 -  DIF VAL TAB X NF R$ 14.337,70 
 -   DIF IMPOSTO 17% R$   2.437,41 
IMPOSTO ESTADUAL R$  1.545,00 
 TOTAL A PAGAR  20.544,71
 Pagamento BOLETOS 4 parcelas 10/12/24 R$7.725,00 - 10/01/25 R$7.725,00 - 10/02/25 R$7.725,00 e 10/03/2025 R$ 7.725,00
PREVISÃO DE ENTREGA 10/12/2024
FRET CIF DESCONTAR DA COMISSÃO
 Pedido nº 1678 enviado pelo vendedor DANIELE criado em 25/11/2024 13:04:55 integrado por meio do Bendito no dia 25/11/2024 às 13:52:24</t>
  </si>
  <si>
    <t>qeFOVvj7T-mTpxp6jEL.ew</t>
  </si>
  <si>
    <t>16579</t>
  </si>
  <si>
    <t>CONDOMINIO EDIFICIO PANTHEON</t>
  </si>
  <si>
    <t>8F00241005160007</t>
  </si>
  <si>
    <t>FRETE CIF DESCONTAR COMISSÃO
VALOR DA NF R$ 18.200,00 
VALOR TABELA R$  9.417,43 
                            -   DIF VAL TAB X NF R$                        8.782,57 
                            -   DIF IMPOSTO 17% R$                        1.493,04 
IMPOSTO ESTADUAL R$     910,00 
TOTAL A PAGAR R$ 11.820,47
PAGAMENTO: BOLETO PARA  26/11/2024 R$18.200,00
FRETE CIF DESCONTAR COMISSÃO
PROGRAMAÇÃO DE ENTREGA:  15 A 25 DE DEZEMBRO
 Pedido nº 1680 enviado pelo vendedor DANIELE criado em 25/11/2024 13:40:05 integrado por meio do Bendito no dia 25/11/2024 às 14:06:00</t>
  </si>
  <si>
    <t>Cp406.o9RxyQasxSwPj23A</t>
  </si>
  <si>
    <t>16580</t>
  </si>
  <si>
    <t>CLAUDIO ANTONIO SILVA DO NASCIMENTO</t>
  </si>
  <si>
    <t>8F00240723280607</t>
  </si>
  <si>
    <t>VALOR DA NF R$  15.860,00 
VALOR TABELA R$   8.155,85 
 -   DIF VAL TAB X NF R$ 7.704,15 
   -   DIF IMPOSTO 17% R$   1.309,71 
IMPOSTO ESTADUAL R$   793,00 
TOTAL A PAGAR: R$ 10.258,56
PAGAMENTO: 21/11/24 R$5.000,00 DEPOSITO + BOLETOS 21/12/2024 R$2.715,00 21/01/25 R$2.715,00 21/02/25 R$2.715,00 21/03/25R$2.715,00          
 Pedido nº 1681 enviado pelo vendedor DANIELE criado em 25/11/2024 13:55:21 integrado por meio do Bendito no dia 25/11/2024 às 14:07:34</t>
  </si>
  <si>
    <t>O67vyQm4SjKhO5xSg5hGUQ</t>
  </si>
  <si>
    <t>16581-A</t>
  </si>
  <si>
    <t>HOTEL SAN SILVESTRE</t>
  </si>
  <si>
    <t>13779</t>
  </si>
  <si>
    <t>Cliente prospectado através da feira Exprotel 2024. Cliente retira na fábrica. FATURAMENTO PARA O HOTEL E ENVIO DE COBRANÇA PARA A NEO ENERGY (BOLETOS A SEREM PAGOS PELA NEO ENERGY). 
 Pedido nº 1666 enviado pelo vendedor Carlos criado em 22/11/2024 12:28:43 integrado por meio do Bendito no dia 25/11/2024 às 14:16:50</t>
  </si>
  <si>
    <t>feYypcftRVCwNFWBDbz8jw</t>
  </si>
  <si>
    <t>16581-B</t>
  </si>
  <si>
    <t>13780</t>
  </si>
  <si>
    <t>lKzvwhLNJ1w0iNGmov2L</t>
  </si>
  <si>
    <t>16581-C</t>
  </si>
  <si>
    <t>13781</t>
  </si>
  <si>
    <t>7Hlm3v9ywAu2SarI8FFA</t>
  </si>
  <si>
    <t>16586-A</t>
  </si>
  <si>
    <t>13773</t>
  </si>
  <si>
    <t>COMISSÃO REPRESENTANTE 3% PEDIDO CLIENTE 16947 - ENTREGA IMEDIATA
 Pedido nº 1688 enviado pelo vendedor Carlos Augusto  criado em 25/11/2024 16:57:04 integrado por meio do Bendito no dia 25/11/2024 às 16:57:10</t>
  </si>
  <si>
    <t>RKMRNL-4TjKoBqQ9kAxerQ</t>
  </si>
  <si>
    <t>16586-B</t>
  </si>
  <si>
    <t>13772</t>
  </si>
  <si>
    <t>mHEIUJ36nquRrTXB6kMM</t>
  </si>
  <si>
    <t>16587</t>
  </si>
  <si>
    <t>Hidroeste Piscinas</t>
  </si>
  <si>
    <t>8F00240723280608</t>
  </si>
  <si>
    <t>pago pedido do cliente HIDROESTE PISCINAS DE JOAÇABA. 
 Pedido nº 1686 enviado pelo vendedor Carlos Augusto  criado em 25/11/2024 16:41:46 integrado por meio do Bendito no dia 25/11/2024 às 17:08:32</t>
  </si>
  <si>
    <t>QLVlhDwdSyiG9teISY3VkQ</t>
  </si>
  <si>
    <t>16589</t>
  </si>
  <si>
    <t>13799</t>
  </si>
  <si>
    <t>PEDIDO CLIENTE:  24927 VALE AURORA - CONSTAR NA NF
CLIENTE TEM DESCONTO EXTRA DE + 8% NA LINHA FT PREÇO DA BOMBA R$ 6.297,51
 Pedido nº 1684 enviado pelo vendedor Carlos Augusto  criado em 25/11/2024 16:01:33 integrado por meio do Bendito no dia 26/11/2024 às 09:19:03</t>
  </si>
  <si>
    <t>G3lrihVlT8W1PoXnmTxwlw</t>
  </si>
  <si>
    <t>16591</t>
  </si>
  <si>
    <t>8F00240812180121</t>
  </si>
  <si>
    <t>ENVIAR PELA SÃO MIGUEL
 Pedido nº 1690 enviado pelo vendedor DANIELE criado em 26/11/2024 09:13:58 integrado por meio do Bendito no dia 26/11/2024 às 14:20:06</t>
  </si>
  <si>
    <t>mLFrFb-NT66tvt6ychtBcg</t>
  </si>
  <si>
    <t>16592</t>
  </si>
  <si>
    <t>13782</t>
  </si>
  <si>
    <t>CLIENTE RETIRA NA FÁBRICA A TARDE . 
 Pedido nº 1691 enviado pelo vendedor DANIELE criado em 26/11/2024 09:56:56 integrado por meio do Bendito no dia 26/11/2024 às 14:20:50</t>
  </si>
  <si>
    <t>aULkYHiGRPajPvTW8SP.Zw</t>
  </si>
  <si>
    <t>16593</t>
  </si>
  <si>
    <t>MARCOS EVALDO PANDOLFI</t>
  </si>
  <si>
    <t>13850</t>
  </si>
  <si>
    <t>PAGAMENTO EM CARTÃO DE CRÉDITO 2X
 VALOR DA NF R$   19.300,00 
VALOR TABELA R$   10.590,17 
  -   DIF VAL TAB X NF R$   8.709,83 
  -   DIF IMPOSTO 17% R$  1.480,67 
IMPOSTO ESTADUAL R$  965,00 
 TOTAL A PAGAR R$ 13.035,84
 Frete CIF descontar comissão
 Pedido nº 1692 enviado pelo vendedor DANIELE criado em 26/11/2024 10:41:12 integrado por meio do Bendito no dia 26/11/2024 às 14:23:07</t>
  </si>
  <si>
    <t>she1V3o2QOWd3gwuUJhdUw</t>
  </si>
  <si>
    <t>16594-A</t>
  </si>
  <si>
    <t>13837</t>
  </si>
  <si>
    <t>OC 442 JOCKEY CLUB BRASILEIRO  . Quadro deslocado sobrepor/Resfriamento.  Entrega Rua Mario Ribeiro 410 leblon cep 22430 160 
 Pedido nº 1542 enviado pelo vendedor Ricardo Henrique  criado em 05/11/2024 11:20:03 integrado por meio do Bendito no dia 26/11/2024 às 15:23:39</t>
  </si>
  <si>
    <t>fqwOGdfqTReMeGdMfK-oZA</t>
  </si>
  <si>
    <t>16594-B</t>
  </si>
  <si>
    <t>13838</t>
  </si>
  <si>
    <t>ppd2MS2Pp3SuLIX8JXc6</t>
  </si>
  <si>
    <t>16594-C</t>
  </si>
  <si>
    <t>13842</t>
  </si>
  <si>
    <t>37ld8qLWSUlw4lwI6v89</t>
  </si>
  <si>
    <t>16594-D</t>
  </si>
  <si>
    <t>djLxGBgDi6gCH8tsLnH0</t>
  </si>
  <si>
    <t>16594-E</t>
  </si>
  <si>
    <t>13840</t>
  </si>
  <si>
    <t>UTz8oe35SBIaEfyvgP2X</t>
  </si>
  <si>
    <t>16594-F</t>
  </si>
  <si>
    <t>qy5uKop2x32UW8VNDe46</t>
  </si>
  <si>
    <t>16595-A</t>
  </si>
  <si>
    <t>Pdd compra 463. Maquinas nao foram implantadas na planilha anterior. Conceder 8% desc.  Quadro deslocado sobrepor. Entregar :  Estrada do Cambote 3000 lote 37 Camote/Areal RJ cep 25845000. Ligar antes de entregar  
 Pedido nº 1572 enviado pelo vendedor Ricardo Henrique  criado em 08/11/2024 08:51:44 integrado por meio do Bendito no dia 26/11/2024 às 15:24:37
NÃO ENTREGAR S/ENTRAR EM CONTATO COM O TELEFONE: JORGE (21) 99512-4022 AO MENOS C/ 24H</t>
  </si>
  <si>
    <t>4Co8FzuYRkmN--GdQY.qOA</t>
  </si>
  <si>
    <t>16595-B</t>
  </si>
  <si>
    <t>11440</t>
  </si>
  <si>
    <t>v8773WVhL1y9bnuAyuhp</t>
  </si>
  <si>
    <t>16596</t>
  </si>
  <si>
    <t>8F00241005180008</t>
  </si>
  <si>
    <t>Cliente: José Armando Bighetti Teixeira (constar em NF)
 Pedido nº 1693 enviado pelo vendedor Fábio criado em 26/11/2024 15:44:37 integrado por meio do Bendito no dia 26/11/2024 às 17:16:49</t>
  </si>
  <si>
    <t>LR2cUDozSRSK3-Wmpi48Zg</t>
  </si>
  <si>
    <t>16597</t>
  </si>
  <si>
    <t>8F00241005160059</t>
  </si>
  <si>
    <t>Cliente: Douglas Larena Oliveira (constar em NF)
entrega: 15/12 
 Pedido nº 1694 enviado pelo vendedor Fábio criado em 26/11/2024 15:46:56 integrado por meio do Bendito no dia 26/11/2024 às 17:18:18</t>
  </si>
  <si>
    <t>0nPChUTCTymaHFM7BZWMdA</t>
  </si>
  <si>
    <t>16600</t>
  </si>
  <si>
    <t>CLIENTE COM DESCONTO DE 5% NESTE PEDIDO FOI CONCEDIDO 10% PARA AJUDAR NO CUSTO DO SALÃO DO IMOVEL EM CHAPECO - AUTORIZADO POR MARIO  - PEDIDO CONSUMIDOR:      MESALIRA 
TORIZADO PELO MÁRIO 
 Pedido nº 1696 enviado pelo vendedor Carlos Augusto  criado em 26/11/2024 17:40:34 integrado por meio do Bendito no dia 27/11/2024 às 09:49:03</t>
  </si>
  <si>
    <t>08o7amceSWiPkEpapPu4Sw</t>
  </si>
  <si>
    <t>16601</t>
  </si>
  <si>
    <t>8F00241005100008</t>
  </si>
  <si>
    <t>12277</t>
  </si>
  <si>
    <t>CLIENTE COM DESCONTO DE 5% NESTE PEDIDO FOI CONCEDIDO 10% PARA AJUDAR NO CUSTO DO SALÃO DO IMOVEL EM CHAPECO - AUTORIZADO POR MARIO  - PEDIDO CONSUMIDOR:      CETRIC 
 Pedido nº 1697 enviado pelo vendedor Carlos Augusto  criado em 26/11/2024 17:43:23 integrado por meio do Bendito no dia 27/11/2024 às 09:49:17</t>
  </si>
  <si>
    <t>plZS4lK5TCaPJGQG6MOFOA</t>
  </si>
  <si>
    <t>16602</t>
  </si>
  <si>
    <t>8F00241005160022</t>
  </si>
  <si>
    <t>12278</t>
  </si>
  <si>
    <t>CLIENTE COM DESCONTO DE 5% NESTE PEDIDO FOI CONCEDIDO 10% PARA AJUDAR NO CUSTO DO SALÃO DO IMOVEL EM CHAPECO - AUTORIZADO POR MARIO  - PEDIDO CONSUMIDOR:      CASA MALBEC
 Pedido nº 1698 enviado pelo vendedor Carlos Augusto  criado em 26/11/2024 17:44:58 integrado por meio do Bendito no dia 27/11/2024 às 09:49:30</t>
  </si>
  <si>
    <t>kEig8Bv0TYOb0Woib0znFA</t>
  </si>
  <si>
    <t>16603</t>
  </si>
  <si>
    <t>8F00240812180123</t>
  </si>
  <si>
    <t>Pedido nº 1699 enviado pelo vendedor Renato criado em 26/11/2024 17:54:58 integrado por meio do Bendito no dia 27/11/2024 às 09:52:09</t>
  </si>
  <si>
    <t>mPt1fvmuTv2Hxh-fpfw5Cw</t>
  </si>
  <si>
    <t>16604</t>
  </si>
  <si>
    <t>8F00240812180127</t>
  </si>
  <si>
    <t>frete CIF
 Pedido nº 1700 enviado pelo vendedor Renato criado em 27/11/2024 08:28:58 integrado por meio do Bendito no dia 27/11/2024 às 09:54:10</t>
  </si>
  <si>
    <t>DLsoNXXkQAq2bv-ODWDOsw</t>
  </si>
  <si>
    <t>16605-A</t>
  </si>
  <si>
    <t>FORMA DE PAGTO : Entrada 25% restante boleto 30 dias
FRETE FOB com redespacho pela Expresso Raquel - CNPJ SP : 03.823.190/0002-16. - ENDEREÇO SÃO PAULO : RUA SOLDADO AMERICO RODRIGUES 131, GALPÃO MODULO A - PQ NOVO MUNDO
 Pedido nº 1701 enviado pelo vendedor Luiz  criado em 27/11/2024 09:14:43 integrado por meio do Bendito no dia 27/11/2024 às 09:58:05
O REDESPACHO SERA FOB - TRANSP. EXPRESSO RAQUEL - CNPJ:03.823.190/0002-16 - ENDEREÇO SÃO PAULO : RUA SOLDADO AMERICO RODRIGUES 131, GALPÃO MODULO A - PQ NOVO MUNDO</t>
  </si>
  <si>
    <t>mcIcC9MOT8QpHpvI0Hoe</t>
  </si>
  <si>
    <t>16605-B</t>
  </si>
  <si>
    <t>13886</t>
  </si>
  <si>
    <t>GZBRM85q2vxefaRvv5MM</t>
  </si>
  <si>
    <t>16605-C</t>
  </si>
  <si>
    <t>wUbSFiPYmzyCHxf0XJcU</t>
  </si>
  <si>
    <t>16605-D</t>
  </si>
  <si>
    <t>13901</t>
  </si>
  <si>
    <t>FTI35DPTBR</t>
  </si>
  <si>
    <t>jxjxTMquScQfgWzeg7np</t>
  </si>
  <si>
    <t>16605-E</t>
  </si>
  <si>
    <t>13890</t>
  </si>
  <si>
    <t>FTI115DPTBR</t>
  </si>
  <si>
    <t>FERZOtu4Q0Wx6kxDIBE2cg</t>
  </si>
  <si>
    <t>16605-F</t>
  </si>
  <si>
    <t>13891</t>
  </si>
  <si>
    <t>XXsGauXSyF5sunub7kmW</t>
  </si>
  <si>
    <t>16606</t>
  </si>
  <si>
    <t>8F00240812180122</t>
  </si>
  <si>
    <t>Pedido nº 1704 enviado pelo vendedor Renato criado em 27/11/2024 13:33:23 integrado por meio do Bendito no dia 27/11/2024 às 13:42:09</t>
  </si>
  <si>
    <t>8phMuA9pSR2uiVEm0eDEQQ</t>
  </si>
  <si>
    <t>16608</t>
  </si>
  <si>
    <t>TRANSWELL</t>
  </si>
  <si>
    <t>Frete FOB com redespacho pela TRANSWELLS - CNPJ  60.157.377/0001-80 - RUA ELI, 13 - VILA MARIA - SÃO PAULO - SP CEP 02.114-010 
 Pedido nº 1707 enviado pelo vendedor Luiz  criado em 27/11/2024 14:15:20 integrado por meio do Bendito no dia 27/11/2024 às 14:34:56</t>
  </si>
  <si>
    <t>twgxv4cdRUeGAUW07MUWaQ</t>
  </si>
  <si>
    <t>16609-A</t>
  </si>
  <si>
    <t>8F00240812230318</t>
  </si>
  <si>
    <t>Aplicar 10% de desconto, forma de pagamento entrada (pix) 50% e boleto 30 dias o saldo.
REDESPACHO FOB  CNPJ 24.882.886/0002-93 - RADLOG TRANSPORTES LTDA Rua UMBUZEIRO, 123 - Cep 07.224-010 - BAIRRO CIDADE INDUSTRIAL SATELITE DE SAO PAULO - GUARULHOS - SP I.E. 796.514.930.111
 Pedido nº 1705 enviado pelo vendedor Ranoika  criado em 27/11/2024 13:45:41 integrado por meio do Bendito no dia 27/11/2024 às 14:53:16</t>
  </si>
  <si>
    <t>0q7KdajJShKO7TvDD9lspQ</t>
  </si>
  <si>
    <t>16609-B</t>
  </si>
  <si>
    <t>8F00240812230319</t>
  </si>
  <si>
    <t>WyHWfERa3MsJMlGBwQTP</t>
  </si>
  <si>
    <t>16611</t>
  </si>
  <si>
    <t>8E00241005110004</t>
  </si>
  <si>
    <t>Frete FOB com redespacho pela Expresso Raquel  - CNPJ SP : 03.823.190/0002-16. - ENDEREÇO SÃO PAULO : RUA SOLDADO AMERICO RODRIGUES 131, GALPÃO MODULO A - PQ NOVO MUNDO
entrega 15/12
 Pedido nº 1708 enviado pelo vendedor Luiz  criado em 27/11/2024 15:13:16 integrado por meio do Bendito no dia 27/11/2024 às 18:15:34</t>
  </si>
  <si>
    <t>fEPQ.rQMT02OJVDHovjz-w</t>
  </si>
  <si>
    <t>16612-A</t>
  </si>
  <si>
    <t>MAIS EMPREENDIMENTOS HOTELEIROS LTDA</t>
  </si>
  <si>
    <t>13204</t>
  </si>
  <si>
    <t>NOVA ERA</t>
  </si>
  <si>
    <t>DJL5I88 - RETIRA - MAYCON EDNEI MILCHESKY - 09936549910 - FIAT / CARGA CAMINHONETE  / VERMELHA  / 2011</t>
  </si>
  <si>
    <t>Frete por conta do cliente, direto até endereço .R$33.673,36
Prazo de entrega: 28/11/2024. 
 Pedido nº 1312 enviado pelo vendedor Sadi criado em 04/10/2024 21:50:40 integrado por meio do Bendito no dia 28/11/2024 às 08:35:08</t>
  </si>
  <si>
    <t>a.e2etEseSc284.n6mwAjAg</t>
  </si>
  <si>
    <t>16612-B</t>
  </si>
  <si>
    <t>13790</t>
  </si>
  <si>
    <t>DBI8fHSnV0jaNiGFQoDQ</t>
  </si>
  <si>
    <t>16613</t>
  </si>
  <si>
    <t>BASALTO PISCINAS</t>
  </si>
  <si>
    <t>8F00240812230327</t>
  </si>
  <si>
    <t>FATURAMENTO IMEDIATO - ENVIAR PELA SÃO MIGUEL PALHOÇA 00.428.307/0011-60
 Pedido nº 1710 enviado pelo vendedor DANIELE criado em 28/11/2024 09:20:32 integrado por meio do Bendito no dia 28/11/2024 às 09:33:16</t>
  </si>
  <si>
    <t>MEN9AWF1SQiEltJTeuqkdg</t>
  </si>
  <si>
    <t>16615</t>
  </si>
  <si>
    <t>CERT Engenharia e Tecnologia</t>
  </si>
  <si>
    <t>8F00240812220284</t>
  </si>
  <si>
    <t>PAGAMENTO SINAL 30% EM 29/11 SALDO NO EMBARQUE
PREVISÃO DE EMBARQUE   18/12 ( A COMBINAR )
ENVIAR PELA TRD TRANSPORTES
 Pedido nº 1712 enviado pelo vendedor DANIELE criado em 28/11/2024 12:40:44 integrado por meio do Bendito no dia 28/11/2024 às 14:59:01</t>
  </si>
  <si>
    <t>eBErAGEaSYOia1DGsFbzPw</t>
  </si>
  <si>
    <t>16617</t>
  </si>
  <si>
    <t>8F00241005160008</t>
  </si>
  <si>
    <t>12236</t>
  </si>
  <si>
    <t>Frete FOB com redespacho pela GRIFE TRANSPORTES : CNPJ: 25.406.384/0005-00 - GUARULHOS - R. IRAQUARA 24 - JARDIM IV CENTENARIO, GUARULHOS - SP, 07161-550
 Pedido nº 1715 enviado pelo vendedor Luiz  criado em 28/11/2024 14:56:05 integrado por meio do Bendito no dia 28/11/2024 às 15:03:56
O REDESPACHO SERA FOB - TRANSP. GRIFE - CNPJ:25.406.384/0005-00 - END: R IRAQUARA, 24, CEP: 07.161-550</t>
  </si>
  <si>
    <t>JwJRlLewRLGRhqH17gS63w</t>
  </si>
  <si>
    <t>16618</t>
  </si>
  <si>
    <t>ESPACO PATRICIA BRASILERO</t>
  </si>
  <si>
    <t>CONSTAR NA NF:
Sem ASSISTENCIA TECNICA LOCAL- GARANTIA 01 ANO SERÁ COBRIDA COM O ENVIO DO EQUIPAMENTO PARA FABRICA .
10 X CARTÃO DE CREDITO - APROVAÇÃO DA COMPRA  POR EMAIL POR ALAN ROCHA . 
VALOR FRETE POR CONTA FROMTHERM . COTAÇÃO PAULO 283891 6939,52
LEAD PELA ELO. 
 Pedido nº 1717 enviado pelo vendedor Mario  criado em 28/11/2024 15:47:06 integrado por meio do Bendito no dia 28/11/2024 às 16:44:59</t>
  </si>
  <si>
    <t>AC</t>
  </si>
  <si>
    <t>G55E7UVHQJ2VAC1mocVMLg</t>
  </si>
  <si>
    <t>16619</t>
  </si>
  <si>
    <t>8F00241005180001</t>
  </si>
  <si>
    <t>cliente CONDOMINIO EDIFICIO VILLE DE NIVELLES (constar em NF)
entrega 15/12 
 Pedido nº 1718 enviado pelo vendedor Fábio criado em 28/11/2024 16:59:12 integrado por meio do Bendito no dia 29/11/2024 às 10:13:58</t>
  </si>
  <si>
    <t>UZgIul4FTFOqUgzgkuNZxg</t>
  </si>
  <si>
    <t>16620</t>
  </si>
  <si>
    <t>8F00241005180009</t>
  </si>
  <si>
    <t>12280</t>
  </si>
  <si>
    <t>Pedido nº 1714 enviado pelo vendedor Renato criado em 28/11/2024 13:48:15 integrado por meio do Bendito no dia 29/11/2024 às 10:14:16</t>
  </si>
  <si>
    <t>AGhDrzNBTxmG8ReWusAlTA</t>
  </si>
  <si>
    <t>16623</t>
  </si>
  <si>
    <t>Cliente: ANA PAULA MARCON NERY (constar em NF)
PREÇO AUTORIZADO PELA PRISCILA 9.239,86
 Pedido nº 1702 enviado pelo vendedor Fábio criado em 27/11/2024 09:17:55 integrado por meio do Bendito no dia 29/11/2024 às 12:20:21</t>
  </si>
  <si>
    <t>8m-RpfCGQHyX2YK5GyQovw</t>
  </si>
  <si>
    <t>16624</t>
  </si>
  <si>
    <t>13811</t>
  </si>
  <si>
    <t>Cliente: IGOR LEONARDO DA CUNHA (constar em NF)
PREÇO AUTORIZADO PELA PRISCILLA 9.239,86
 Pedido nº 1695 enviado pelo vendedor Fábio criado em 26/11/2024 16:19:50 integrado por meio do Bendito no dia 29/11/2024 às 12:21:01</t>
  </si>
  <si>
    <t>VWgVZB6WR7SM2WmC0uFJJg</t>
  </si>
  <si>
    <t>16625-A</t>
  </si>
  <si>
    <t>8B00240322003114</t>
  </si>
  <si>
    <t>Pedido nº 1721 enviado pelo vendedor Renato criado em 29/11/2024 10:16:31 integrado por meio do Bendito no dia 29/11/2024 às 14:14:57</t>
  </si>
  <si>
    <t>7BAVdFYoT3u7qIkw6PopFA</t>
  </si>
  <si>
    <t>16625-B</t>
  </si>
  <si>
    <t>8F00241005180010</t>
  </si>
  <si>
    <t>12281</t>
  </si>
  <si>
    <t>nQA2htn5kmCnWbzb6SFY</t>
  </si>
  <si>
    <t>16626-A</t>
  </si>
  <si>
    <t>8F00240812180129</t>
  </si>
  <si>
    <t xml:space="preserve">
PRAZO DE 30/60/90/120- DESPACHAR URGENTE
MARIO-despachar pela SÃO MIGUEL URGENTEEEEEE
 Pedido nº 1723 enviado pelo vendedor Renato criado em 29/11/2024 14:09:40 integrado por meio do Bendito no dia 29/11/2024 às 14:15:50</t>
  </si>
  <si>
    <t>1FoZvDftTLmk2i4u1fVHFQ</t>
  </si>
  <si>
    <t>16626-B</t>
  </si>
  <si>
    <t>8F00240812180130</t>
  </si>
  <si>
    <t>F6D4OMIqgWJNnWzgN9nA</t>
  </si>
  <si>
    <t>16629-A</t>
  </si>
  <si>
    <t>8B00240322003127</t>
  </si>
  <si>
    <t xml:space="preserve">O REDESPACHO SERA FOB - TRANSP. RAPIDO FIGUEIREDO - CNPJ: 10.973.773/0001-08 - END: R OURO VERDE DE GOIAS, 1233, CEP: 07.221-080		
 Pedido nº 1722 enviado pelo vendedor Sadi criado em 29/11/2024 12:01:51 integrado por meio do Bendito no dia 29/11/2024 às 14:35:53
O REDESPACHO SERA FOB - TRANSP. RAPIDO FIGUEIREDO - CNPJ: 10.973.773/0001-08 - END: R OURO VERDE DE GOIAS, 1233, CEP: 07.221-080		</t>
  </si>
  <si>
    <t>jQfh50y6SXukOcE98K-Fvg</t>
  </si>
  <si>
    <t>16629-B</t>
  </si>
  <si>
    <t>8F00240812230328</t>
  </si>
  <si>
    <t>CCU4dDFsF50Uoo6mHvxd</t>
  </si>
  <si>
    <t>16641-A</t>
  </si>
  <si>
    <t>8F00241005180002</t>
  </si>
  <si>
    <t>Frete FOB com redespacho pela Expresso Raquel - CNPJ SP : 03.823.190/0002-16. - ENDEREÇO SÃO PAULO : RUA SOLDADO AMERICO RODRIGUES 131, GALPÃO MODULO A - PQ NOVO MUNDO
 Pedido nº 1725 enviado pelo vendedor Luiz  criado em 29/11/2024 15:07:28 integrado por meio do Bendito no dia 30/11/2024 às 07:29:18
O REDESPACHO SERA FOB - TRANSP. EXPRESSO RAQUEL - CNPJ:03.823.190/0002-16 - END: R SOLD AMERICO R. 131, CEP: 02.186-020</t>
  </si>
  <si>
    <t>W2himETpRE-ga-R47OnQeA</t>
  </si>
  <si>
    <t>16641-B</t>
  </si>
  <si>
    <t>8F00241005180003</t>
  </si>
  <si>
    <t>E7Ln8g1pgztftHEcpwK7</t>
  </si>
  <si>
    <t>16642-A</t>
  </si>
  <si>
    <t>Belas Aguas Piscinas</t>
  </si>
  <si>
    <t>8B00240322003130</t>
  </si>
  <si>
    <t>Favor devido ao final de ano e ferias coletiva colocar o primeiro boleto para o dia 06/01.
Mario- liberado devido estoque em alta . 
 Pedido nº 1726 enviado pelo vendedor Renato criado em 29/11/2024 16:44:21 integrado por meio do Bendito no dia 30/11/2024 às 07:31:14</t>
  </si>
  <si>
    <t>rD.IRbCPThe9zPwEc8jSrg</t>
  </si>
  <si>
    <t>16642-B</t>
  </si>
  <si>
    <t>8B00240322003133</t>
  </si>
  <si>
    <t>ESoffrkyAEqsaoddjXeO</t>
  </si>
  <si>
    <t>16644-A</t>
  </si>
  <si>
    <t>8F00241021270001</t>
  </si>
  <si>
    <t>ENVIAR PELA EXPRESSO SÃO MIGUEL - PALHOÇA
 Pedido nº 1728 enviado pelo vendedor DANIELE criado em 29/11/2024 17:05:25 integrado por meio do Bendito no dia 30/11/2024 às 07:33:04</t>
  </si>
  <si>
    <t>ZM.HqEcySDufUucI6tvhHw</t>
  </si>
  <si>
    <t>16644-B</t>
  </si>
  <si>
    <t>8F00241021270003</t>
  </si>
  <si>
    <t>N334RDr3v7QQ9bjfzdYK</t>
  </si>
  <si>
    <t>16645</t>
  </si>
  <si>
    <t>8F00240812220279</t>
  </si>
  <si>
    <t>ENVIAR PELA EXPRESSO SAO MIGUEL - PALHOÇA
 Pedido nº 1729 enviado pelo vendedor DANIELE criado em 29/11/2024 17:07:14 integrado por meio do Bendito no dia 30/11/2024 às 07:33:26</t>
  </si>
  <si>
    <t>UUp3jrZrR1ukNHkVaboiSg</t>
  </si>
  <si>
    <t>16646</t>
  </si>
  <si>
    <t>8B00240122003244</t>
  </si>
  <si>
    <t>SAIU DIRETO DO PARANA</t>
  </si>
  <si>
    <t>ESTOQUE CURITIBA - MANDAR CODIGO DE BARRAS DA MAQUINA
UTILIZADO MÁQUINA DA AMD - QUE NÃO EMITIU NOTA DE DEVOLUÇÃO E RENATO RETIROU AS MAQUINAS DO CLIENTE (CLIENTE ESTA COM PROBLEMAS NA RECEITA ESTADUAL E NÃO DÁ DE EMITIR NF)
RG MÁQUINA - 8B00240122003244
 Pedido nº 1731 enviado pelo vendedor Renato criado em 30/11/2024 08:33:32 integrado por meio do Bendito no dia 02/12/2024 às 08:00:08</t>
  </si>
  <si>
    <t>pqI3eQaKRZejagk3dCHz9A</t>
  </si>
  <si>
    <t>16649</t>
  </si>
  <si>
    <t>13828</t>
  </si>
  <si>
    <t>MAQUINA COM QUADRO DESLOCADO 
 Pedido nº 1735 enviado pelo vendedor Renato criado em 02/12/2024 08:24:40 integrado por meio do Bendito no dia 02/12/2024 às 09:31:30</t>
  </si>
  <si>
    <t>dl0PMDZ.S8q2v1qCmIjVUA</t>
  </si>
  <si>
    <t>16650</t>
  </si>
  <si>
    <t>FABIO</t>
  </si>
  <si>
    <t>8F00240812180125</t>
  </si>
  <si>
    <t>valor correto R$ 10.400,00 - tabela assistência  - 
William Stein retira esta máquina na terça dia 03/12 - amigo pessoal dele, condição especial
 Pedido nº 1732 enviado pelo vendedor Carlos Augusto  criado em 02/12/2024 07:40:18 integrado por meio do Bendito no dia 02/12/2024 às 10:14:22</t>
  </si>
  <si>
    <t>Qx7pK1fnThizeXv1Z-m1Aw</t>
  </si>
  <si>
    <t>16651</t>
  </si>
  <si>
    <t>8F00241005160009</t>
  </si>
  <si>
    <t>O REDESPACHO SERA FOB - 5157030 - SAO PAULO - JARDIM JARAGUA (SAO DOMINGOS) - SP
Cotação de Frete Nº 128904
RAZÃO SOCIAL: RISSO ENCOMENDAS CENTRO OESTE LTDA
 Pedido nº 1736 enviado pelo vendedor Robson criado em 02/12/2024 10:59:11 integrado por meio do Bendito no dia 02/12/2024 às 11:08:01
O REDESP. SERA FOB - TRANSP. RISSO - CNPJ:59.504.225/0003-90 - Endereço: Av. Jornalista Paulo Zingg, 300, CEP: 05157-030</t>
  </si>
  <si>
    <t>RJOTPzjNQWWZ0R1.aWraEA</t>
  </si>
  <si>
    <t>16652</t>
  </si>
  <si>
    <t>8F00240812180124</t>
  </si>
  <si>
    <t>BDO7B52 - RETIRA - PAULO CÉSAR BARROS - 28749561997 - KIA / SPORTAGE / AZUL / 2018</t>
  </si>
  <si>
    <t>O CLIENTE FINAL VAI RETIRAR, A  NFE VAMOS ENVIAR PELO EMAIL ASSIM QUE VIER A COPIA DO PEDIDO.
 Pedido nº 1737 enviado pelo vendedor Renato criado em 02/12/2024 16:07:35 integrado por meio do Bendito no dia 03/12/2024 às 09:09:59</t>
  </si>
  <si>
    <t>JjkrczJDRu6lkY52s6LKlA</t>
  </si>
  <si>
    <t>16653-A</t>
  </si>
  <si>
    <t>8F00241005100002</t>
  </si>
  <si>
    <t>Frete FOB com redespacho pela SETE LAGOAS - CNPJ : 03.098.929/0005-17 -  Endereço de SP : RUA PEDRO DE TOLEDO, 407 - JARDIM SANTA LIDIA - GUARULHOS 
 Pedido nº 1738 enviado pelo vendedor Luiz  criado em 02/12/2024 17:28:32 integrado por meio do Bendito no dia 03/12/2024 às 09:10:30</t>
  </si>
  <si>
    <t>KBr3epY-S4Kz6.oKYdmFWw</t>
  </si>
  <si>
    <t>16653-B</t>
  </si>
  <si>
    <t>8E00241005130002</t>
  </si>
  <si>
    <t>E1y2F528dvKXfNsljW0y</t>
  </si>
  <si>
    <t>16655</t>
  </si>
  <si>
    <t>Algarve Piscinas</t>
  </si>
  <si>
    <t>8F00241005100009</t>
  </si>
  <si>
    <t>12397</t>
  </si>
  <si>
    <t>ENVIAR PELA SAO MIGUEL PALHOÇA - 00.428.307/0011-60 - notas 12282 e 12129 foram estornadas porque o cliente queria o pedido com outro cnpj
 Pedido nº 1741 enviado pelo vendedor DANIELE criado em 03/12/2024 10:16:31 integrado por meio do Bendito no dia 03/12/2024 às 10:50:00</t>
  </si>
  <si>
    <t>AoN8s2S8TDe7aE293Rvtwg</t>
  </si>
  <si>
    <t>16657</t>
  </si>
  <si>
    <t>13819</t>
  </si>
  <si>
    <t>Cor preta
REDESPACHO FOB CNPJ 24.882.886/0002-93 - RADLOG TRANSPORTES LTDA Rua UMBUZEIRO, 123 - Cep 07.224-010 - BAIRRO CIDADE
INDUSTRIAL SATELITE DE SAO PAULO - GUARULHOS - SP I.E. 796.514.930.111
 Pedido nº 1742 enviado pelo vendedor Ranoika  criado em 03/12/2024 11:02:30 integrado por meio do Bendito no dia 03/12/2024 às 11:55:43
O REDESPACHO SERA FOB - TRANSP. RADLOG - CNPJ : 24.882.886/0002-93 - END: R UMBUZEIRO, 123, CEP: 07.224-010</t>
  </si>
  <si>
    <t>hJdn.OcxRkGFsRptTjqbvA</t>
  </si>
  <si>
    <t>16658-A</t>
  </si>
  <si>
    <t>13802</t>
  </si>
  <si>
    <t>5-MgJQa9QcmKf.P9gfV2mw</t>
  </si>
  <si>
    <t>16658-B</t>
  </si>
  <si>
    <t>5YAS31ofTYCyDwr6Coww</t>
  </si>
  <si>
    <t>16662</t>
  </si>
  <si>
    <t>8E00241005140036</t>
  </si>
  <si>
    <t>Cliente: Gilson Andelmi (constar em NF)
 Pedido nº 1743 enviado pelo vendedor Fábio criado em 03/12/2024 13:15:01 integrado por meio do Bendito no dia 03/12/2024 às 16:01:27</t>
  </si>
  <si>
    <t>jBh6vfSmTT6WarBM0Sqb9w</t>
  </si>
  <si>
    <t>16663</t>
  </si>
  <si>
    <t>8F00241005160053</t>
  </si>
  <si>
    <t>Cliente: Luiz Fernando Boaro (constar em NF)
 Pedido nº 1744 enviado pelo vendedor Fábio criado em 03/12/2024 13:16:36 integrado por meio do Bendito no dia 03/12/2024 às 16:01:51</t>
  </si>
  <si>
    <t>japxAa36T0ein3LVkRmtLA</t>
  </si>
  <si>
    <t>16664</t>
  </si>
  <si>
    <t>8E00241005140053</t>
  </si>
  <si>
    <t>Cliente: Mellody Mendes Rocha (constar em NF)
ATENÇÃO - DESCONTAR R$ 1.000.00 referente a promoção de vendas de lojistas(Cliente atingiu 2º estagio da PROMO- Passeio a Balneário Camboriú) 76 maquinas até a presente data . 03-12-24 , portanto elimina o desconto de R$1.000,00 
 Pedido nº 1745 enviado pelo vendedor Fábio criado em 03/12/2024 13:21:39 integrado por meio do Bendito no dia 03/12/2024 às 16:14:47</t>
  </si>
  <si>
    <t>tjSWSaiFRySV7GFdjitlYA</t>
  </si>
  <si>
    <t>16665</t>
  </si>
  <si>
    <t>POLO SUL LTDA</t>
  </si>
  <si>
    <t>8F00241005180011</t>
  </si>
  <si>
    <t>12284</t>
  </si>
  <si>
    <t>Pedido nº 1746 enviado pelo vendedor Renato criado em 03/12/2024 13:22:10 integrado por meio do Bendito no dia 03/12/2024 às 16:15:13</t>
  </si>
  <si>
    <t>3CjW8EUxQbOVYbglQyfnfA</t>
  </si>
  <si>
    <t>16666</t>
  </si>
  <si>
    <t>8B00240322003116</t>
  </si>
  <si>
    <t>favor arrendondar para R$16.900,00
 Pedido nº 1747 enviado pelo vendedor Renato criado em 03/12/2024 13:51:38 integrado por meio do Bendito no dia 03/12/2024 às 16:15:54</t>
  </si>
  <si>
    <t>a.RTRWZkjQPOpMn.BSFo7pw</t>
  </si>
  <si>
    <t>16667-A</t>
  </si>
  <si>
    <t>Pedido nº 1749 enviado pelo vendedor Renato criado em 03/12/2024 14:37:56 integrado por meio do Bendito no dia 03/12/2024 às 16:20:38</t>
  </si>
  <si>
    <t>Uk9gunBcR6mQQEqe6qO3BA</t>
  </si>
  <si>
    <t>16667-B</t>
  </si>
  <si>
    <t>8E00241005110020</t>
  </si>
  <si>
    <t>12301</t>
  </si>
  <si>
    <t>qf6voGVrxczenQ8DUH3O</t>
  </si>
  <si>
    <t>16667-C</t>
  </si>
  <si>
    <t>8F00240812180132</t>
  </si>
  <si>
    <t>fnfvJwxZd8hHvnjPX7Qb</t>
  </si>
  <si>
    <t>16668</t>
  </si>
  <si>
    <t>MARLYN AZUL PISCINAS</t>
  </si>
  <si>
    <t>8F00240812180131</t>
  </si>
  <si>
    <t>ENTREGAR NA RUA LIBIA, 533 - PINEVILLE - PINHAIS - PR - CEP;83.320-020
 Pedido nº 1750 enviado pelo vendedor Renato criado em 03/12/2024 14:46:03 integrado por meio do Bendito no dia 03/12/2024 às 16:21:21</t>
  </si>
  <si>
    <t>UUSlUAO5QBSzwtEUFsD7aw</t>
  </si>
  <si>
    <t>16669</t>
  </si>
  <si>
    <t>Francisco Angelo de Queiroz Chaves</t>
  </si>
  <si>
    <t>8F00240812230329</t>
  </si>
  <si>
    <t>PAGAMENTO: SINAL PIX R$9.550,00 +2 x CARTÃO - CLIENTE INDICADO AGUAS E VAPORES-RN - REDESPACHO TRANSPORTADORA BOM JESUS 70.033.451/0002/91 - 11 2446 4443 
Mario- Difal incluso - comissão de 10% para Aguas e VAPORES 
REDESPACHO FOB - TRANSPORTADORA BOM JESUS 70.033.451/0002/91 - R ALEXANIA, NÚMERO 847 - CEP 07.232-010 BAIRRO/DISTRITO, CID IND SATELITE SP, MUNICÍPIO GUARULHOS/SP
 Pedido nº 1751 enviado pelo vendedor Sadi criado em 03/12/2024 15:21:31 integrado por meio do Bendito no dia 03/12/2024 às 16:24:22</t>
  </si>
  <si>
    <t>PjF8JxsbQre9QJ-Cl3zhPQ</t>
  </si>
  <si>
    <t>16670</t>
  </si>
  <si>
    <t>8F00241005160081</t>
  </si>
  <si>
    <t>cliente: FELIPE
 Pedido nº 1753 enviado pelo vendedor Carlos Augusto  criado em 04/12/2024 08:06:46 integrado por meio do Bendito no dia 04/12/2024 às 08:27:16</t>
  </si>
  <si>
    <t>2-O7wIFhQPqB9LDsTb-F2g</t>
  </si>
  <si>
    <t>16671</t>
  </si>
  <si>
    <t>Diane</t>
  </si>
  <si>
    <t>8E00241005140022</t>
  </si>
  <si>
    <t>12285</t>
  </si>
  <si>
    <t>VENDA DA LOJA HIDROESTE PISCINAS DE JOAÇABA
 Pedido nº 1754 enviado pelo vendedor Carlos Augusto  criado em 04/12/2024 08:15:40 integrado por meio do Bendito no dia 04/12/2024 às 08:35:09</t>
  </si>
  <si>
    <t>to5UOYOIRWO82mEs4IuVzA</t>
  </si>
  <si>
    <t>16680</t>
  </si>
  <si>
    <t>DESPACHAR URGENTE 
 Pedido nº 1757 enviado pelo vendedor Ricardo Henrique  criado em 04/12/2024 13:48:53 integrado por meio do Bendito no dia 04/12/2024 às 14:45:36</t>
  </si>
  <si>
    <t>bfOOD-4eRmSuB3ibuJZZYQ</t>
  </si>
  <si>
    <t>16683</t>
  </si>
  <si>
    <t>13711</t>
  </si>
  <si>
    <t>DESPACHAR URGENTE: LIGAR 24 Hs DE ANTECEDENCIA PARA jORGE 21 99512 4022 
ENDEREÇO DE ENTREGA: Rua Marques de São Vicente -268- Leblon- Rio de Janeiro- RJ -CEP 22451-042
 Pedido nº 1756 enviado pelo vendedor Ricardo Henrique  criado em 04/12/2024 13:07:37 integrado por meio do Bendito no dia 04/12/2024 às 14:54:57</t>
  </si>
  <si>
    <t>DMbZaIUlQIm5RjCXAteOVg</t>
  </si>
  <si>
    <t>16685</t>
  </si>
  <si>
    <t>José Hubner de Miranda</t>
  </si>
  <si>
    <t>8B00240322003115</t>
  </si>
  <si>
    <t>Frete FOB sem redespacho : RODONAVES - CNPJ: 44.914.992/0036-68 - ROD BR 101 , 7725 - SÃO VICENTE - ITAJAI - SC - CLIENTE ENTRA EM CONTATO COM A TRANSPORTADORA.
PAGTO ANTECIPADO COM BOLETO 
 Pedido nº 1758 enviado pelo vendedor Luiz  criado em 04/12/2024 15:35:30 integrado por meio do Bendito no dia 04/12/2024 às 15:43:17</t>
  </si>
  <si>
    <t>klNbZ17WQ9CtSA2qsG14lw</t>
  </si>
  <si>
    <t>16686</t>
  </si>
  <si>
    <t>8F00240812230330</t>
  </si>
  <si>
    <t>Pedido nº 1635 enviado pelo vendedor Carlos Augusto  criado em 18/11/2024 22:57:47 integrado por meio do Bendito no dia 05/12/2024 às 09:31:32</t>
  </si>
  <si>
    <t>UCQxkc-gRf2EOQ1kr9Dgcg</t>
  </si>
  <si>
    <t>16687</t>
  </si>
  <si>
    <t>VALOR CORRETO DO VALOR R$ 18.538,56
 Pedido nº 1759 enviado pelo vendedor Carlos Augusto  criado em 04/12/2024 16:13:33 integrado por meio do Bendito no dia 05/12/2024 às 09:33:42</t>
  </si>
  <si>
    <t>D5wt4DbTRK-4oUe6gQoW.Q</t>
  </si>
  <si>
    <t>16688</t>
  </si>
  <si>
    <t>8F00241005160069</t>
  </si>
  <si>
    <t>cliente retira 
CONSTAR NA NF : cliente Felipe 
 Pedido nº 1763 enviado pelo vendedor Carlos Augusto  criado em 05/12/2024 09:36:54 integrado por meio do Bendito no dia 05/12/2024 às 09:38:43</t>
  </si>
  <si>
    <t>DTj8Ifo6S.aItyLovvF1MQ</t>
  </si>
  <si>
    <t>16689</t>
  </si>
  <si>
    <t>8F00241005160066</t>
  </si>
  <si>
    <t>cliente retira
CONSTAR NA NF : cliente ROMULO 
 Pedido nº 1764 enviado pelo vendedor Carlos Augusto  criado em 05/12/2024 09:39:52 integrado por meio do Bendito no dia 05/12/2024 às 09:40:15</t>
  </si>
  <si>
    <t>Rq5C6y5zR4CnVeKK9P3wnQ</t>
  </si>
  <si>
    <t>16690-A</t>
  </si>
  <si>
    <t>8F00241005160024</t>
  </si>
  <si>
    <t>12286</t>
  </si>
  <si>
    <t>Pedido nº 1762 enviado pelo vendedor Renato criado em 04/12/2024 17:12:14 integrado por meio do Bendito no dia 05/12/2024 às 09:41:32</t>
  </si>
  <si>
    <t>3P8oxmyYSmS2-HPWD1eoRQ</t>
  </si>
  <si>
    <t>16690-B</t>
  </si>
  <si>
    <t>8F00241005160025</t>
  </si>
  <si>
    <t>VROsQCiIVvLnaNJ05Cy3</t>
  </si>
  <si>
    <t>16691</t>
  </si>
  <si>
    <t>ACQUARELLA PISCINAS</t>
  </si>
  <si>
    <t>8F00240812180135</t>
  </si>
  <si>
    <t>Pedido nº 1761 enviado pelo vendedor Fábio criado em 04/12/2024 17:00:11 integrado por meio do Bendito no dia 05/12/2024 às 09:41:59</t>
  </si>
  <si>
    <t>l9OyyKSSTRSDO28TM6tn3g</t>
  </si>
  <si>
    <t>16692-A</t>
  </si>
  <si>
    <t>8F00241005160011</t>
  </si>
  <si>
    <t>Pagamento em 28 / 56 / 84 / 112 dias
Mario- aprovado 
 Pedido nº 1752 enviado pelo vendedor Marcelo criado em 03/12/2024 17:26:23 integrado por meio do Bendito no dia 05/12/2024 às 10:06:25</t>
  </si>
  <si>
    <t>avvLQiMNQY2Fhjsq3uhZOQ</t>
  </si>
  <si>
    <t>16692-B</t>
  </si>
  <si>
    <t>8F00241005160012</t>
  </si>
  <si>
    <t>XTjLZ4RGwGIYPwmFv3Tg</t>
  </si>
  <si>
    <t>16692-C</t>
  </si>
  <si>
    <t>8F00240812180134</t>
  </si>
  <si>
    <t>jG3PAJCf1VGHczdOnph5</t>
  </si>
  <si>
    <t>16692-D</t>
  </si>
  <si>
    <t>8F00241005180014</t>
  </si>
  <si>
    <t>vrOs9fQOeEJ2tko1QOia</t>
  </si>
  <si>
    <t>16697</t>
  </si>
  <si>
    <t>8F00240812180133</t>
  </si>
  <si>
    <t>PEDIDO 25096
 Pedido nº 1767 enviado pelo vendedor Carlos Augusto  criado em 05/12/2024 16:43:29 integrado por meio do Bendito no dia 05/12/2024 às 17:03:14</t>
  </si>
  <si>
    <t>35qG86n2S4Oz8HlJccACuA</t>
  </si>
  <si>
    <t>16698</t>
  </si>
  <si>
    <t>Isabel Fett Behrend</t>
  </si>
  <si>
    <t>8B00230927003168</t>
  </si>
  <si>
    <t>cliente HIDROESTE PISCINAS DE JOAÇABA/SC 
DEPOSITADO HOJE R$ 14.720,00 
Mario -aguardar restante do pagamento 
 Pedido nº 1768 enviado pelo vendedor Carlos Augusto  criado em 05/12/2024 16:57:24 integrado por meio do Bendito no dia 05/12/2024 às 17:05:14</t>
  </si>
  <si>
    <t>i5orMzCaQrOZhdqoWxBhRw</t>
  </si>
  <si>
    <t>16699</t>
  </si>
  <si>
    <t>13808</t>
  </si>
  <si>
    <t>Local de entrega: Rua Barão de Monte Santo-1280 - Mooca- SP -cep: 03123-020 - IMPORTANTISSIMO A NF DA INFRAH 
a vista antecipado . 
 Pedido nº 1769 enviado pelo vendedor Mario  criado em 05/12/2024 17:18:03 integrado por meio do Bendito no dia 05/12/2024 às 17:18:46</t>
  </si>
  <si>
    <t>YJVBi5B0SJiGqSKhaIu7HQ</t>
  </si>
  <si>
    <t>16700</t>
  </si>
  <si>
    <t>8F00241005160026</t>
  </si>
  <si>
    <t>12287</t>
  </si>
  <si>
    <t>ENVIAR PELA SAO MIGUEL 00.428.307/0011-60 - PALHOÇA
 Pedido nº 1772 enviado pelo vendedor DANIELE criado em 06/12/2024 08:35:38 integrado por meio do Bendito no dia 06/12/2024 às 09:08:03</t>
  </si>
  <si>
    <t>L91FpNnmR6mVxXnNO2lYIA</t>
  </si>
  <si>
    <t>16701</t>
  </si>
  <si>
    <t>8F00240812180139</t>
  </si>
  <si>
    <t>ENVIAR PELA SAO MIGUEL 00.428.307/0011-60 - PALHOÇA
 Pedido nº 1771 enviado pelo vendedor DANIELE criado em 06/12/2024 08:34:04 integrado por meio do Bendito no dia 06/12/2024 às 09:08:37</t>
  </si>
  <si>
    <t>7Y727jBnS9KzdGiSJwvxhQ</t>
  </si>
  <si>
    <t>16703</t>
  </si>
  <si>
    <t>8B00240322003149</t>
  </si>
  <si>
    <t xml:space="preserve">DESCONTO EXTRA - PRAZO 120 PARA COMPRA DE 3 MÁQUINAS SENDO 2 NO PEDIDO ANTERIOR DA SEMANA PASSADA E ESSA DESTE PEDIDO. VALOR R$16.900,31 
Mario- Complemento ao pedido 16629 
 Pedido nº 1773 enviado pelo vendedor Sadi criado em 06/12/2024 12:00:44 integrado por meio do Bendito no dia 06/12/2024 às 15:03:08
O REDESPACHO SERA FOB - TRANSP. RAPIDO FIGUEIREDO - CNPJ: 10.973.773/0001-08 - END: R OURO VERDE DE GOIAS, 1233, CEP: 07.221-080				</t>
  </si>
  <si>
    <t>a.i-IHLMjRVSqA462SqzonQ</t>
  </si>
  <si>
    <t>16704</t>
  </si>
  <si>
    <t>8F00240812180138</t>
  </si>
  <si>
    <t>Pedido nº 1774 enviado pelo vendedor Renato criado em 06/12/2024 12:01:15 integrado por meio do Bendito no dia 06/12/2024 às 15:04:02</t>
  </si>
  <si>
    <t>sotUaomrRyC9Z0t1t5Oqbg</t>
  </si>
  <si>
    <t>16705</t>
  </si>
  <si>
    <t>8F00240812180137</t>
  </si>
  <si>
    <t>Pedido nº 1775 enviado pelo vendedor Renato criado em 06/12/2024 13:17:17 integrado por meio do Bendito no dia 06/12/2024 às 15:05:36</t>
  </si>
  <si>
    <t>KWeXEtw7Ti-YSmRu5qvvSw</t>
  </si>
  <si>
    <t>16706</t>
  </si>
  <si>
    <t>8F00241005180005</t>
  </si>
  <si>
    <t>cliente palazzo Splendido (constar em NF)
 Pedido nº 1776 enviado pelo vendedor Fábio criado em 06/12/2024 13:47:33 integrado por meio do Bendito no dia 06/12/2024 às 15:06:05</t>
  </si>
  <si>
    <t>zr12DAgQQie5laIGAhywIw</t>
  </si>
  <si>
    <t>16717</t>
  </si>
  <si>
    <t>8F00241005100010</t>
  </si>
  <si>
    <t>12288</t>
  </si>
  <si>
    <t>FAVOR ENCAMINHAR ESTA MAQUINA JUNTO COM A MAQUINA DE GARANTIA.
 Pedido nº 1777 enviado pelo vendedor Renato criado em 06/12/2024 16:50:07 integrado por meio do Bendito no dia 09/12/2024 às 15:15:06</t>
  </si>
  <si>
    <t>oM.enneDQR-Ms0Le-Dmvvw</t>
  </si>
  <si>
    <t>16718</t>
  </si>
  <si>
    <t>8B00240122003271</t>
  </si>
  <si>
    <t>MAQUINA SAIRÁ DO ESTOQUE DE CURITIBA - FOTO DA MAQUINA COM CÓDIGO DE BARRAS ENCAMINHA A JULIANA
CONTROLADOR: WI-FI - 8B00240122003271 - MÁQUINA REFERENTE A DEVOLUÇÃO DA AMD
 Pedido nº 1778 enviado pelo vendedor Renato criado em 06/12/2024 16:58:51 integrado por meio do Bendito no dia 09/12/2024 às 15:15:36</t>
  </si>
  <si>
    <t>dCD2RiK8Tb6rfzedDC0xaQ</t>
  </si>
  <si>
    <t>16719-A</t>
  </si>
  <si>
    <t>8F00241005180013</t>
  </si>
  <si>
    <t>PEDIDO 25000 VERTICALL CONSTRUTORA 
entrega 15/12
 Pedido nº 1779 enviado pelo vendedor Carlos Augusto  criado em 06/12/2024 17:27:06 integrado por meio do Bendito no dia 09/12/2024 às 15:16:13</t>
  </si>
  <si>
    <t>ShvJURai0LGpXgTChwch</t>
  </si>
  <si>
    <t>16719-B</t>
  </si>
  <si>
    <t>8F00241005180004</t>
  </si>
  <si>
    <t>Z8wmZWLiRxmuy5GmUNbtxA</t>
  </si>
  <si>
    <t>16720</t>
  </si>
  <si>
    <t>8F00241005160078</t>
  </si>
  <si>
    <t>PEDIDO MME ADMINISTRADORA
 Pedido nº 1780 enviado pelo vendedor Carlos Augusto  criado em 06/12/2024 17:44:29 integrado por meio do Bendito no dia 09/12/2024 às 15:18:25</t>
  </si>
  <si>
    <t>uBbOgDiRQ82BmuXN9cJZ8g</t>
  </si>
  <si>
    <t>16721</t>
  </si>
  <si>
    <t>8F00240812180140</t>
  </si>
  <si>
    <t>PEDIDO FABIO SANO 
 Pedido nº 1781 enviado pelo vendedor Carlos Augusto  criado em 06/12/2024 17:45:43 integrado por meio do Bendito no dia 09/12/2024 às 15:18:54</t>
  </si>
  <si>
    <t>CuRQMpR6TmWCjpay.gGsbQ</t>
  </si>
  <si>
    <t>16722</t>
  </si>
  <si>
    <t>8F00241005100011</t>
  </si>
  <si>
    <t>12289</t>
  </si>
  <si>
    <t>MAQUINA GARANTIA  O.S 240014 ABERTA PELA A.T 
Referente ao pedido 16444-B
Mario- autorizado- sem cobrança e sem comissão . 
 Pedido nº 1782 enviado pelo vendedor Renato criado em 06/12/2024 17:51:19 integrado por meio do Bendito no dia 09/12/2024 às 15:20:01</t>
  </si>
  <si>
    <t>PFvfUIK-RfmegelqvXCOtA</t>
  </si>
  <si>
    <t>16723-A</t>
  </si>
  <si>
    <t>SIDNEI PISCINAS</t>
  </si>
  <si>
    <t>8B00240122003433</t>
  </si>
  <si>
    <t>ENVIAR PELA SAO MIGUEL - CANCELAR PEDIDOS 16647 E 16648 - Cliente optou por 2 fti45 - desconto A/C Mario
MARIO acréscimo de 7,5 % difal 
 Pedido nº 1783 enviado pelo vendedor DANIELE criado em 09/12/2024 06:47:01 integrado por meio do Bendito no dia 09/12/2024 às 15:21:45</t>
  </si>
  <si>
    <t>k5jv6raQQQuBwId2RN9w-w</t>
  </si>
  <si>
    <t>16723-B</t>
  </si>
  <si>
    <t>8F00240812180142</t>
  </si>
  <si>
    <t>znqAFi9vcaGrK5I1U5nK</t>
  </si>
  <si>
    <t>16724</t>
  </si>
  <si>
    <t>8F00240812180136</t>
  </si>
  <si>
    <t>Pedido substitui a BR 55 que aguarda importacão - cancelar o pedido 16138 
 Pedido nº 1784 enviado pelo vendedor Ricardo Henrique  criado em 09/12/2024 11:06:30 integrado por meio do Bendito no dia 09/12/2024 às 15:35:03</t>
  </si>
  <si>
    <t>a39.HSs6SiOW-fawBw.AtA</t>
  </si>
  <si>
    <t>16725</t>
  </si>
  <si>
    <t>13820</t>
  </si>
  <si>
    <t>Frete FOB com redespacho pela Expresso Raquel - CNPJ 03.823.190/0002-16. - ENDEREÇO SÃO PAULO : RUA SOLDADO AMERICO RODRIGUES 131, GALPÃO MODULO A - PQ NOVO MUNDO
 Pedido nº 1785 enviado pelo vendedor Luiz  criado em 09/12/2024 11:24:09 integrado por meio do Bendito no dia 09/12/2024 às 15:43:01</t>
  </si>
  <si>
    <t>nWl0wAmNRWif9N9wDbeOaw</t>
  </si>
  <si>
    <t>16729</t>
  </si>
  <si>
    <t>8E00241005110032</t>
  </si>
  <si>
    <t>PEDIDO 18648 - EVERTON PIANA 
 Pedido nº 1790 enviado pelo vendedor Carlos Augusto  criado em 09/12/2024 19:24:07 integrado por meio do Bendito no dia 10/12/2024 às 10:22:21</t>
  </si>
  <si>
    <t>aWPxas7HTzmKA1MYBuIEMA</t>
  </si>
  <si>
    <t>16730</t>
  </si>
  <si>
    <t>ELTON REGIS CORDEIRO SPODE</t>
  </si>
  <si>
    <t>8E00241005140031</t>
  </si>
  <si>
    <t>Pagamento: ENTRADA DEPÓSITO E O RESTO EM BOLETO 30 DIAS
FRETE FOB POR CONTA DO CLIENTE  ( enviar pela São Miguel, Palhoça )
Local de Entrega: RUA CESAR TREVISAN Nº1333 Bairro: TOMAZETTI - COND MORADA - LOTE C 15
Fazer NF Venda Entrega Futura e Incluir CNO na NF (90.014.90024/67)
VALOR DA NF R$ 17.605,00 
VALOR TABELA R$ 9.055,06 
   DIF VAL TAB X NF R$  8.549,94 
    DIF IMPOSTO 17% R$ 1.453,49 
IMPOSTO ESTADUAL R$ 880,25 
 TOTAL A PAGAR: R$ 11.388,80
 Pedido nº 1788 enviado pelo vendedor DANIELE criado em 09/12/2024 16:21:00 integrado por meio do Bendito no dia 10/12/2024 às 11:43:12</t>
  </si>
  <si>
    <t>MZMnOxTLQK-kaB6D70FVfA</t>
  </si>
  <si>
    <t>16731</t>
  </si>
  <si>
    <t>8F00241005160027</t>
  </si>
  <si>
    <t>12290</t>
  </si>
  <si>
    <t>ENTREGAR NO CONNECTA SOLAR - ENDEREÇO:RUA SANTOS DUMONT,1581-SL 01-CENTRO-FOZ DO IGUAÇU-CEP:85.851-040
 Pedido nº 1791 enviado pelo vendedor Renato criado em 10/12/2024 10:47:45 integrado por meio do Bendito no dia 10/12/2024 às 11:45:05</t>
  </si>
  <si>
    <t>1IUTInMjRIC1nCnxSslVPA</t>
  </si>
  <si>
    <t>16732</t>
  </si>
  <si>
    <t>QUADRO DESLOCADO DE SOBREPOR
 Pedido nº 1792 enviado pelo vendedor Fábio criado em 10/12/2024 15:03:11 integrado por meio do Bendito no dia 10/12/2024 às 15:22:25</t>
  </si>
  <si>
    <t>HGmX5cAeT5KXX2xMWHhwhw</t>
  </si>
  <si>
    <t>16735-A</t>
  </si>
  <si>
    <t>8F00241005180015</t>
  </si>
  <si>
    <t>Pedido nº 1796 enviado pelo vendedor Carlos Augusto  criado em 11/12/2024 08:36:19 integrado por meio do Bendito no dia 11/12/2024 às 08:38:03</t>
  </si>
  <si>
    <t>CH2gALf4P3XYp7pY6s5M</t>
  </si>
  <si>
    <t>16735-B</t>
  </si>
  <si>
    <t>8F00241005180018</t>
  </si>
  <si>
    <t>01HRWrIqE3DnL9SOik4q</t>
  </si>
  <si>
    <t>16735-C</t>
  </si>
  <si>
    <t>8F00241005180019</t>
  </si>
  <si>
    <t>Z1YnDPG9TmaWLgth3tOQbg</t>
  </si>
  <si>
    <t>16736</t>
  </si>
  <si>
    <t>8E00241005110034</t>
  </si>
  <si>
    <t>PEDIDO CLIENTE: 25196
 Pedido nº 1798 enviado pelo vendedor Carlos Augusto  criado em 11/12/2024 08:40:21 integrado por meio do Bendito no dia 11/12/2024 às 09:35:15</t>
  </si>
  <si>
    <t>a-ogDxDeTRFqC4iwTwvcztA</t>
  </si>
  <si>
    <t>16737</t>
  </si>
  <si>
    <t>13863</t>
  </si>
  <si>
    <t>Pedido nº 1797 enviado pelo vendedor Carlos Augusto  criado em 11/12/2024 08:38:35 integrado por meio do Bendito no dia 11/12/2024 às 09:35:52</t>
  </si>
  <si>
    <t>a.oA10o1mQ1GLbEYgMlKOJw</t>
  </si>
  <si>
    <t>16738</t>
  </si>
  <si>
    <t>LARA E SANTOS</t>
  </si>
  <si>
    <t>13892</t>
  </si>
  <si>
    <t>Pedido nº 1800 enviado pelo vendedor Renato criado em 11/12/2024 10:16:19 integrado por meio do Bendito no dia 11/12/2024 às 10:41:26</t>
  </si>
  <si>
    <t>a.I8DkGAZShm0rJsMc8Yedw</t>
  </si>
  <si>
    <t>16739</t>
  </si>
  <si>
    <t>8F00241005100003</t>
  </si>
  <si>
    <t>CIF ATÉ SÃO PAULO (CAPITAL)
REDESPACHO FOB: TAS LOGISTICA E TRANSPORTE LTDA, CNPJ: 40.835.229/0001-60 - RUA
FRANCISCO DIOGO DE ASSIS VASCONCELOS NÂº: 173 CEP: 06.230-010 Bairro:
PIRATININGA, OSASCO - SP
 Pedido nº 1801 enviado pelo vendedor Fábio criado em 11/12/2024 11:24:49 integrado por meio do Bendito no dia 11/12/2024 às 11:49:09
O REDESPACHO SERA FOB - 40.835.229/0001-60 - TAS LOGISTICA E TRANSPORTE LTDARUA FRANCISCO DIOGO DE ASSIS VASCONCELOS 173, PIRATININGA, OSASCO/SP - CEP - 06.230-010</t>
  </si>
  <si>
    <t>snd6fpPARRSdYv8UxdNl8Q</t>
  </si>
  <si>
    <t>16741</t>
  </si>
  <si>
    <t>13822</t>
  </si>
  <si>
    <t>Quadro deslocado
 Pedido nº 1795 enviado pelo vendedor Renato criado em 10/12/2024 17:35:14 integrado por meio do Bendito no dia 11/12/2024 às 14:49:25</t>
  </si>
  <si>
    <t>3oVUKEBIQkKu.nvSU8U5uQ</t>
  </si>
  <si>
    <t>16742</t>
  </si>
  <si>
    <t>8E00241005130030</t>
  </si>
  <si>
    <t>PEDIDO CLIENTE 18595 - Z&amp;Z 
 Pedido nº 1802 enviado pelo vendedor Carlos Augusto  criado em 11/12/2024 13:23:58 integrado por meio do Bendito no dia 11/12/2024 às 14:50:28</t>
  </si>
  <si>
    <t>nsrEZQCRR0Smq5ImEmqvtQ</t>
  </si>
  <si>
    <t>16743</t>
  </si>
  <si>
    <t>13810</t>
  </si>
  <si>
    <t>PEDIDO 23583 SUBSTITUIÇÃO AO PEDIDO 16201</t>
  </si>
  <si>
    <t>Bruno</t>
  </si>
  <si>
    <t>a.zxsnZKET-2fknwqHvxEkQ</t>
  </si>
  <si>
    <t>16744-A</t>
  </si>
  <si>
    <t>RG ANTIGO - 8F00240812230335</t>
  </si>
  <si>
    <t>J9eVBxGbQH-yl5z7klwseg</t>
  </si>
  <si>
    <t>16744-B</t>
  </si>
  <si>
    <t>8F00240812230326</t>
  </si>
  <si>
    <t>Despachar imediato. Autorizado forma de pagamento 30/60/90/120 pelo Mário.
Mario-autorizado . cancelar pedido 16740
REDESPACHO FOB  CNPJ 44.914.992/0013-71 - RODONAVES TRANSPORTES E ENCOMENDAS LTDA Rua Domingos de Souza Marques, 604 ¿¿¿ CEP 05.106-001 ¿¿¿ BAIRRO PARQUE ANHANGUERA ¿¿¿ SÃO PAULO-SP I.E. 112.782.533.118
 Pedido nº 1804 enviado pelo vendedor Ranoika  criado em 11/12/2024 16:21:46 integrado por meio do Bendito no dia 11/12/2024 às 16:25:36
O REDESPACHO SERA FOB - TRANSP. RADLOG - CNPJ : 24.882.886/0002-93 - END: R UMBUZEIRO, 123, CEP: 07.224-010</t>
  </si>
  <si>
    <t>XciYqv5IDur77DTrgqlj</t>
  </si>
  <si>
    <t>16744-C</t>
  </si>
  <si>
    <t>8F00240812230334</t>
  </si>
  <si>
    <t>dQUXROOR1DYoJUeUBdg8</t>
  </si>
  <si>
    <t>16745-A</t>
  </si>
  <si>
    <t>13843</t>
  </si>
  <si>
    <t>Pedido nº 1805 enviado pelo vendedor Fábio criado em 12/12/2024 09:05:20 integrado por meio do Bendito no dia 12/12/2024 às 09:15:56</t>
  </si>
  <si>
    <t>WivCrfE6QLOQn46BeOQrdQ</t>
  </si>
  <si>
    <t>16745-B</t>
  </si>
  <si>
    <t>13844</t>
  </si>
  <si>
    <t>tIZCQgTLNaNuQ8d80cDj</t>
  </si>
  <si>
    <t>16746</t>
  </si>
  <si>
    <t>WM MAQUINAS E FERRAMENTAS</t>
  </si>
  <si>
    <t>8E00241005130004</t>
  </si>
  <si>
    <t>12291</t>
  </si>
  <si>
    <t>Pedido nº 1806 enviado pelo vendedor Renato criado em 12/12/2024 09:19:04 integrado por meio do Bendito no dia 12/12/2024 às 10:19:19</t>
  </si>
  <si>
    <t>sJjXkUgzRv-PQ60NUSYMcw</t>
  </si>
  <si>
    <t>16748</t>
  </si>
  <si>
    <t>PREÇO COM DESCONTO ADICONAL DE 8% NA LINHA FT:  R$ 7.273,15
´PEDIDO CLIENTE: 24841
 Pedido nº 1663 enviado pelo vendedor Carlos Augusto  criado em 22/11/2024 10:18:38 integrado por meio do Bendito no dia 12/12/2024 às 11:44:36</t>
  </si>
  <si>
    <t>tq793JqGQZ2CoDaL.q7sWQ</t>
  </si>
  <si>
    <t>16749</t>
  </si>
  <si>
    <t>8F00241005180006</t>
  </si>
  <si>
    <t>QUANDO CHEGAR PROXIMO CONTEINER 
 Pedido nº 1808 enviado pelo vendedor Ricardo Henrique  criado em 12/12/2024 14:15:50 integrado por meio do Bendito no dia 12/12/2024 às 15:29:00</t>
  </si>
  <si>
    <t>gAwnOfCKSKy5fTVDVLuU7g</t>
  </si>
  <si>
    <t>16750</t>
  </si>
  <si>
    <t>13814</t>
  </si>
  <si>
    <t>Frete FOB, com redespacho pela Expresso Raquel - CNPJ SP : 03.823.190/0002-16. - ENDEREÇO SÃO PAULO : RUA SOLDADO AMERICO RODRIGUES 131, GALPÃO MODULO A - PQ NOVO MUNDO
 Pedido nº 1807 enviado pelo vendedor Luiz  criado em 12/12/2024 14:14:32 integrado por meio do Bendito no dia 12/12/2024 às 15:29:30
O REDESPACHO SERA FOB - TRANSP. EXPRESSO RAQUEL - CNPJ:03.823.190/0002-16 - END: R SOLD AMERICO R. 131, CEP: 02.186-020</t>
  </si>
  <si>
    <t>r7OEHcyYR5ywwEvQz9JaWg</t>
  </si>
  <si>
    <t>16751</t>
  </si>
  <si>
    <t>13812</t>
  </si>
  <si>
    <t>substituído pedido fti 45 R$660,00 DIEFRENÇA ENTRE AS MAQUINAS . 
 Pedido nº 1810 enviado pelo vendedor Carlos Augusto  criado em 12/12/2024 16:39:33 integrado por meio do Bendito no dia 12/12/2024 às 16:51:05</t>
  </si>
  <si>
    <t>DQty.e5TQiCByDy4DgwpPQ</t>
  </si>
  <si>
    <t>16753</t>
  </si>
  <si>
    <t>13898</t>
  </si>
  <si>
    <t>FTI45DPTBR</t>
  </si>
  <si>
    <t>PEDIDO THIAGO VEITI
ENTREGAR AINDA EM DEZEMBRO 
 Pedido nº 1811 enviado pelo vendedor Carlos Augusto  criado em 13/12/2024 05:36:49 integrado por meio do Bendito no dia 13/12/2024 às 15:08:04</t>
  </si>
  <si>
    <t>gOPPqRvKTfi.BfOdoD8y2Q</t>
  </si>
  <si>
    <t>16754</t>
  </si>
  <si>
    <t>8F00241005160028</t>
  </si>
  <si>
    <t>12292</t>
  </si>
  <si>
    <t>PRAZO DE 30/60/90. 
Mario- não autorizei  120 ds 
 Pedido nº 1813 enviado pelo vendedor Renato criado em 13/12/2024 08:09:31 integrado por meio do Bendito no dia 13/12/2024 às 15:14:45</t>
  </si>
  <si>
    <t>UIW-haSyRE2ZfFbfZkucSQ</t>
  </si>
  <si>
    <t>16755</t>
  </si>
  <si>
    <t>8F00241005100020</t>
  </si>
  <si>
    <t>Cliente: Daniel Bassoli Napoleão (constar em NF)
 Pedido nº 1816 enviado pelo vendedor Fábio criado em 13/12/2024 10:52:16 integrado por meio do Bendito no dia 13/12/2024 às 15:16:23</t>
  </si>
  <si>
    <t>GDTxO9.tSpa6oA1VmL3nGg</t>
  </si>
  <si>
    <t>16756</t>
  </si>
  <si>
    <t>JD CONSTRUTORA DE OBRAS E PISCINAS LTDA</t>
  </si>
  <si>
    <t>8E00241005130005</t>
  </si>
  <si>
    <t>12293</t>
  </si>
  <si>
    <t>Pedido nº 1817 enviado pelo vendedor Renato criado em 13/12/2024 11:43:51 integrado por meio do Bendito no dia 13/12/2024 às 15:17:51</t>
  </si>
  <si>
    <t>N6.WcHR-T7-v55kqmdOeFw</t>
  </si>
  <si>
    <t>16758-A</t>
  </si>
  <si>
    <t>8E00241005130006</t>
  </si>
  <si>
    <t>12294</t>
  </si>
  <si>
    <t>ENVIAR PELA SAO MIGUEL - PALHOÇA - 00.428.307/0011-60
 Pedido nº 1819 enviado pelo vendedor DANIELE criado em 13/12/2024 12:33:16 integrado por meio do Bendito no dia 13/12/2024 às 15:27:11</t>
  </si>
  <si>
    <t>32gDkQeWQHKBKgMH.YZqyg</t>
  </si>
  <si>
    <t>16758-B</t>
  </si>
  <si>
    <t>8E00241005130007</t>
  </si>
  <si>
    <t>wPLvKzM7b6o5QPSrCKAe</t>
  </si>
  <si>
    <t>16758-C</t>
  </si>
  <si>
    <t>8E00241005130008</t>
  </si>
  <si>
    <t>mqiexcbkzBMyKoprwYtX</t>
  </si>
  <si>
    <t>16759-A</t>
  </si>
  <si>
    <t>8F00241005160029</t>
  </si>
  <si>
    <t>12295</t>
  </si>
  <si>
    <t>ENVIAR PELA SAO MIGUEL PALHOÇA - 00.428.307/0011-60
 Pedido nº 1820 enviado pelo vendedor DANIELE criado em 13/12/2024 12:34:39 integrado por meio do Bendito no dia 13/12/2024 às 15:32:25</t>
  </si>
  <si>
    <t>uxOhJMezoafv6QUsSOZ9</t>
  </si>
  <si>
    <t>16759-B</t>
  </si>
  <si>
    <t>8F00241005160030</t>
  </si>
  <si>
    <t>YvaKDbFeRJS9CYvzQcPWGg</t>
  </si>
  <si>
    <t>16761-A</t>
  </si>
  <si>
    <t>8E00241005110005</t>
  </si>
  <si>
    <t>Forma de pagamento 30/60/90/120 autorizado pelo Mário. Despachar a FTi105 com urgência de imediato.
Mario- autorizado 
REDESPACHO FOB CNPJ 18.992.731/0002-07 - WJT TRANSPORTES LTDA - AV JOSÉ RANGEL FILHO, 234 ¿¿¿ BAIRRO JARDIM PONTE ALTA I ¿¿¿ CEP 07.179-350 ¿¿¿ GUARULHOS ¿¿¿ SP ¿¿¿ I.E. 127.320.762.117
 Pedido nº 1815 enviado pelo vendedor Ranoika  criado em 13/12/2024 10:40:47 integrado por meio do Bendito no dia 13/12/2024 às 15:37:56</t>
  </si>
  <si>
    <t>ZDlgOiNpMsez3H99mwNa</t>
  </si>
  <si>
    <t>16761-B</t>
  </si>
  <si>
    <t>8F00241005160013</t>
  </si>
  <si>
    <t>0vQJd02ncHrNxGfKcIfA</t>
  </si>
  <si>
    <t>16761-C</t>
  </si>
  <si>
    <t>8F00240812220282</t>
  </si>
  <si>
    <t>JjBb8ZUpSvmV68bwDodc3g</t>
  </si>
  <si>
    <t>16762</t>
  </si>
  <si>
    <t>8F00241005160031</t>
  </si>
  <si>
    <t>12296</t>
  </si>
  <si>
    <t>Pedido nº 1823 enviado pelo vendedor Renato criado em 13/12/2024 15:49:47 integrado por meio do Bendito no dia 13/12/2024 às 15:49:58</t>
  </si>
  <si>
    <t>cdhWKj3KRbusxiBzc43OQg</t>
  </si>
  <si>
    <t>16763-A</t>
  </si>
  <si>
    <t>COND. RES.  SOLAR JOAO E MARILDA FERREIRA DE SOUZA</t>
  </si>
  <si>
    <t>8F00241005200001</t>
  </si>
  <si>
    <t>VENDA INDICADA AGUAS E VAPORES - REDESPACHO FOB: TRABSPORTADORA BOM JESUS - (11) 2446 4443 - 70.033.451/0002-91
ENDEREÇO: R ALEXANIA, Nº847, CEP: 07.232-010, BAIRRO: CID IND SATELITE SP, MUNICIPIO: GUARULHOS, SP
 Pedido nº 1822 enviado pelo vendedor Sadi criado em 13/12/2024 15:40:45 integrado por meio do Bendito no dia 13/12/2024 às 16:20:07</t>
  </si>
  <si>
    <t>uLbGc0wbHDaCpn8Snjih</t>
  </si>
  <si>
    <t>16763-B</t>
  </si>
  <si>
    <t>8F00241005200002</t>
  </si>
  <si>
    <t>6JzRvuQ5PoT1kb9M0ScK</t>
  </si>
  <si>
    <t>16763-C</t>
  </si>
  <si>
    <t>8E00241005130003</t>
  </si>
  <si>
    <t>XUMF52grTneAlj7lKEaJDA</t>
  </si>
  <si>
    <t>16764</t>
  </si>
  <si>
    <t>8B00240322003150</t>
  </si>
  <si>
    <t>Pedido nº 1824 enviado pelo vendedor Renato criado em 13/12/2024 16:08:20 integrado por meio do Bendito no dia 13/12/2024 às 16:23:57</t>
  </si>
  <si>
    <t>DxAWAQzoRBytdTF5PBnL7A</t>
  </si>
  <si>
    <t>16765</t>
  </si>
  <si>
    <t>8E00241005140023</t>
  </si>
  <si>
    <t>12297</t>
  </si>
  <si>
    <t>VALOR TOTAL DO PEDIDO COM OS DESCONTOS R$9.239,85
O REDESPACHO SERA FOB - SPP TRANSPORTE RODOVIARIO DE CARGAS LTDA CNPJ: 21.187.045/0001-97 
END: AVENIDA GUILHERME Nº: 483 Complemento: SALA: B; CEP: 02.053-000 Bairro: VILA GUILHERME - SAO PAULO/SP
AOS CUIDADOS DE FÁBIO CAMPINAS
 Pedido nº 1825 enviado pelo vendedor Robson criado em 13/12/2024 16:12:43 integrado por meio do Bendito no dia 13/12/2024 às 16:25:18
O REDESPACHO SERA FOB - SPP TRANSPORTE RODOVIARIO DE CARGAS LTDA CNPJ: 21.187.045/0001-97 
END: AVENIDA GUILHERME Nº: 483 Complemento: SALA: B; CEP: 02.053-000 Bairro: VILA GUILHERME - SAO PAULO/SP</t>
  </si>
  <si>
    <t>a.KekbQl8QGuZi0AvkA31iQ</t>
  </si>
  <si>
    <t>16766</t>
  </si>
  <si>
    <t>8F00241005180007</t>
  </si>
  <si>
    <t>Pedido de compra - Nº: 1020 (constar em NF)
PRIORIDADE NO EMBARQUE . 
 Pedido nº 1826 enviado pelo vendedor Fábio criado em 13/12/2024 16:28:23 integrado por meio do Bendito no dia 14/12/2024 às 09:28:10</t>
  </si>
  <si>
    <t>pIJvHwGyRqeL3MXcsYDVxw</t>
  </si>
  <si>
    <t>16767-A</t>
  </si>
  <si>
    <t>8B00240322003109</t>
  </si>
  <si>
    <t>PEDIDO 18758 - AGUAS DE MARÇO
VALORES NEGOCIADOS: FTI105 R$13.495,19  BANDEJA R$ 315,00 
 Pedido nº 1812 enviado pelo vendedor Carlos Augusto  criado em 13/12/2024 05:42:31 integrado por meio do Bendito no dia 16/12/2024 às 09:58:04</t>
  </si>
  <si>
    <t>3DsC4mIK2ctSjTSDd6PV</t>
  </si>
  <si>
    <t>16767-B</t>
  </si>
  <si>
    <t>BDC105A125PT - BANDEJA</t>
  </si>
  <si>
    <t>CXv82ESTTZ2ZnrpA7.I46Q</t>
  </si>
  <si>
    <t>16768</t>
  </si>
  <si>
    <t>8F00241005160089</t>
  </si>
  <si>
    <t>pedido HUDSON
 Pedido nº 1827 enviado pelo vendedor Carlos Augusto  criado em 16/12/2024 07:14:08 integrado por meio do Bendito no dia 16/12/2024 às 09:59:26</t>
  </si>
  <si>
    <t>SHDJlLvHtOiXjrVr9oWf</t>
  </si>
  <si>
    <t>16771</t>
  </si>
  <si>
    <t>MARCELO KORNER</t>
  </si>
  <si>
    <t>8F00241005100022</t>
  </si>
  <si>
    <t>ENVIAR PELA SAO MIGUEL
 Pedido nº 1830 enviado pelo vendedor DANIELE criado em 16/12/2024 15:34:45 integrado por meio do Bendito no dia 16/12/2024 às 23:01:31</t>
  </si>
  <si>
    <t>G8hv9-T2TZyEgD7YWVag0Q</t>
  </si>
  <si>
    <t>16772</t>
  </si>
  <si>
    <t>8B00240322003148</t>
  </si>
  <si>
    <t>ENTREGAR NO DAN PISCINAS ENDEREÇO:RUA BENTO MUNHOZ DA ROCHA NETO,696-CENTRO-UNIÃO DA VITORIA - CEP:84600000
 Pedido nº 1832 enviado pelo vendedor Renato criado em 16/12/2024 18:07:05 integrado por meio do Bendito no dia 16/12/2024 às 23:03:09</t>
  </si>
  <si>
    <t>XhvFsuSfQWSJXWMB06cZHQ</t>
  </si>
  <si>
    <t>16774</t>
  </si>
  <si>
    <t>8F00241005160032</t>
  </si>
  <si>
    <t>12298</t>
  </si>
  <si>
    <t>ENTREGAR NO DAN PISCINAS ENDEREÇO:RUA BENTO MUNHOZ DA ROCHA NETO,696-CENTRO-UNIÃO DA VITORIA - CEP:84600000
 Pedido nº 1833 enviado pelo vendedor Renato criado em 17/12/2024 08:10:50 integrado por meio do Bendito no dia 17/12/2024 às 08:25:54</t>
  </si>
  <si>
    <t>iH8o3zrzSi26sNJrinERaQ</t>
  </si>
  <si>
    <t>16776</t>
  </si>
  <si>
    <t>13849</t>
  </si>
  <si>
    <t>Equipamento que incendiou em MG -SEM COBRANÇA/SEM COIMISSÃO. 
Frete FROMTHERM - Entregar na Rua Barão do Rio Branco- 113- centro- ITAMBACURI - MINAS GERAIS- CEP 39830-000 SR. JACKSON 33 99049070
O.S 2255 -A.T  - REFERENTE NF 9228- SEGUNDA A ASSISTENCIA NÃO TERÁ NOTA DE DEVOLUÇÃO
 Pedido nº 1834 enviado pelo vendedor Mario  criado em 17/12/2024 08:38:17 integrado por meio do Bendito no dia 17/12/2024 às 08:38:52
REDESPACHO FOB - 41.676.545/0002-80 - MINAS STAR EXPRESS LTDA RUA GONCALVES 118 - Cidade Industrial Satelite de Sao Paulo 07222-060 - GUARULHOS - SP.</t>
  </si>
  <si>
    <t>5CC0ZCT-QOOuCMjiYrWKwg</t>
  </si>
  <si>
    <t>16777-A</t>
  </si>
  <si>
    <t>13869</t>
  </si>
  <si>
    <t>Oc 511. Quadro deslocado sobrepor. ENTREGA DIRETA NO CLIENTE: AV BORGES DE MEDEIROS Nº 997 Gavea ( CLUBE DE REGATAS DO FLAMENGO) 
COM RESFRIAMENTO / CONFORME COMBINADO COM SR ALVARO. 
PAGAMENTO 30/60/90/120
 Pedido nº 1809 enviado pelo vendedor Ricardo Henrique  criado em 12/12/2024 15:04:48 integrado por meio do Bendito no dia 17/12/2024 às 10:48:51
NÃO ENTREGAR S/ENTRAR EM CONTATO COM O TELEFONE: JORGE (21) 99512-4022 AO MENOS C/ 24H</t>
  </si>
  <si>
    <t>yYOMwoYfTLewVYKbMLos5w</t>
  </si>
  <si>
    <t>16777-B</t>
  </si>
  <si>
    <t>13872</t>
  </si>
  <si>
    <t>67wSjgPDo2kCITZgodSx</t>
  </si>
  <si>
    <t>16777-C</t>
  </si>
  <si>
    <t>13870</t>
  </si>
  <si>
    <t>k3ZKVHJWoX2CHbEYDxd3</t>
  </si>
  <si>
    <t>16777-D</t>
  </si>
  <si>
    <t>fmjYes5NcCGrlI4qnOEw</t>
  </si>
  <si>
    <t>16777-E</t>
  </si>
  <si>
    <t>13874</t>
  </si>
  <si>
    <t>aGdBaL7B1VTu9whBLCq8</t>
  </si>
  <si>
    <t>16777-F</t>
  </si>
  <si>
    <t>13876</t>
  </si>
  <si>
    <t>bx8hPRr7w4qJdRK9kq25</t>
  </si>
  <si>
    <t>16777-G</t>
  </si>
  <si>
    <t>13875</t>
  </si>
  <si>
    <t>ywGPbVgAjYHmJBgNR70c</t>
  </si>
  <si>
    <t>16777-H</t>
  </si>
  <si>
    <t>W8CnatLecapH1ZrXoPOU</t>
  </si>
  <si>
    <t>16777-I</t>
  </si>
  <si>
    <t>iS6PoK1q8ya6ILV5dQvG</t>
  </si>
  <si>
    <t>16777-J</t>
  </si>
  <si>
    <t>13878</t>
  </si>
  <si>
    <t>05Q9H1NCDWly8f695RMx</t>
  </si>
  <si>
    <t>16778</t>
  </si>
  <si>
    <t>UEME CONSTRUCAO CIVIL LTDA</t>
  </si>
  <si>
    <t>8F00241005160038</t>
  </si>
  <si>
    <t>ENDEREÇO DE ENTREGA: Rua Jovina de Oliveira Karan, 38- Capão Raso - CTBA - PR - cep:81110-310
Pedido nº 1831 enviado pelo vendedor Renato criado em 16/12/2024 16:35:20 integrado por meio do Bendito no dia 17/12/2024 às 13:37:46</t>
  </si>
  <si>
    <t>7BJ-ILLaQyaIOG3NWU8qsg</t>
  </si>
  <si>
    <t>16779</t>
  </si>
  <si>
    <t>8F00241005180012</t>
  </si>
  <si>
    <t>12299</t>
  </si>
  <si>
    <t>PGTO 7,30,60,90 DIAS
 Pedido nº 1835 enviado pelo vendedor Renato criado em 17/12/2024 14:05:54 integrado por meio do Bendito no dia 17/12/2024 às 14:59:02</t>
  </si>
  <si>
    <t>4ruNEdp4SYiuY8fOIrZt7w</t>
  </si>
  <si>
    <t>16780</t>
  </si>
  <si>
    <t>8E00241005130009</t>
  </si>
  <si>
    <t>12300</t>
  </si>
  <si>
    <t>Pedido nº 1836 enviado pelo vendedor Carlos Augusto  criado em 17/12/2024 15:45:48 integrado por meio do Bendito no dia 17/12/2024 às 15:55:26</t>
  </si>
  <si>
    <t>LTPqRRDVTXCB52HIlVuk7A</t>
  </si>
  <si>
    <t>16781</t>
  </si>
  <si>
    <t>8F00241005160042</t>
  </si>
  <si>
    <t>Pedido nº 1837 enviado pelo vendedor Carlos Augusto  criado em 17/12/2024 15:49:25 integrado por meio do Bendito no dia 17/12/2024 às 15:55:49</t>
  </si>
  <si>
    <t>jY7u2E-LQwyKA4BH9.UjSA</t>
  </si>
  <si>
    <t>16782</t>
  </si>
  <si>
    <t>8B00240322003152</t>
  </si>
  <si>
    <t>Pedido nº 1839 enviado pelo vendedor Renato criado em 17/12/2024 17:40:59 integrado por meio do Bendito no dia 18/12/2024 às 08:50:25</t>
  </si>
  <si>
    <t>yj-QZpdGSxanDaDjy2XQIA</t>
  </si>
  <si>
    <t>16783</t>
  </si>
  <si>
    <t>ACQUALIFE PISCINAS E AQUECEDORES</t>
  </si>
  <si>
    <t>8E00241005140057</t>
  </si>
  <si>
    <t>Pedido nº 1840 enviado pelo vendedor Renato criado em 18/12/2024 08:32:03 integrado por meio do Bendito no dia 18/12/2024 às 08:51:33</t>
  </si>
  <si>
    <t>199Yow6SSeG-yDOHZTZ3vA</t>
  </si>
  <si>
    <t>16787</t>
  </si>
  <si>
    <t>8F00241005160014</t>
  </si>
  <si>
    <t>Pdd 460. Entrega : Rua Alvaro Moreira 267 casa  Barra da Tijuca . Ligar antes de entregar no tel 21 9 9512 4022
 Pedido nº 1570 enviado pelo vendedor Ricardo Henrique  criado em 08/11/2024 08:41:43 integrado por meio do Bendito no dia 18/12/2024 às 10:42:08
NÃO ENTREGAR S/ENTRAR EM CONTATO COM O TELEFONE: JORGE (21) 99512-4022 AO MENOS C/ 24H</t>
  </si>
  <si>
    <t>dsuSUCRjQvCAjc3-InYwhQ</t>
  </si>
  <si>
    <t>16788</t>
  </si>
  <si>
    <t>13853</t>
  </si>
  <si>
    <t>Pdd compra,462. Maquina ficou fora da implantação planilha. Quadro deslocado sobrepor. Entregar : Rua Roquete Pinto 7  Urca RJ . Ligar antes de entregar. 
 Pedido nº 1571 enviado pelo vendedor Ricardo Henrique  criado em 08/11/2024 08:46:26 integrado por meio do Bendito no dia 18/12/2024 às 10:43:24
NÃO ENTREGAR S/ENTRAR EM CONTATO COM O TELEFONE: JORGE (21) 99512-4022 AO MENOS C/ 24H</t>
  </si>
  <si>
    <t>4BaVvj.SQj6jUeajjh6vbQ</t>
  </si>
  <si>
    <t>16789</t>
  </si>
  <si>
    <t>8E00241005130020</t>
  </si>
  <si>
    <t>CIF ATÉ SÃO PAULO (CAPITAL)
REDESPACHO FOB: TAS LOGISTICA E TRANSPORTE LTDA, CNPJ: 40.835.229/0001-60 - RUA
FRANCISCO DIOGO DE ASSIS VASCONCELOS NÂº: 173 CEP: 06.230-010 Bairro:
PIRATININGA, OSASCO - SP
 Pedido nº 1842 enviado pelo vendedor Fábio criado em 18/12/2024 11:05:46 integrado por meio do Bendito no dia 18/12/2024 às 11:07:57
O REDESPACHO SERA FOB - 40.835.229/0001-60 - TAS LOGISTICA E TRANSPORTE LTDARUA FRANCISCO DIOGO DE ASSIS VASCONCELOS 173, PIRATININGA, OSASCO/SP - CEP - 06.230-010</t>
  </si>
  <si>
    <t>NQUJI0dOSA24t8FQDQDgUQ</t>
  </si>
  <si>
    <t>16793</t>
  </si>
  <si>
    <t>8E00241005140047</t>
  </si>
  <si>
    <t>FAVOR ENTREGAR ESTE EQUIPAMENTO AQUI NA DISTRIBUIDORA - RUA LÍBIA, 533 COMPLEMENTO BARRACAO AZUL - PINEVILLE - PINHAIS
PAGO NO PIX
 Pedido nº 1843 enviado pelo vendedor Renato criado em 18/12/2024 17:43:57 integrado por meio do Bendito no dia 19/12/2024 às 06:06:33</t>
  </si>
  <si>
    <t>PoYkRm9RSvq0icZJ6wu3VQ</t>
  </si>
  <si>
    <t>16795</t>
  </si>
  <si>
    <t>8E00241005130025</t>
  </si>
  <si>
    <t>ENVIAR PELA SAO MIGUEL PALHOÇA 00.428.307/0011-60
 Pedido nº 1844 enviado pelo vendedor DANIELE criado em 19/12/2024 07:21:29 integrado por meio do Bendito no dia 19/12/2024 às 08:09:17</t>
  </si>
  <si>
    <t>HnTWG6E8Sc2XPh64ZDN82g</t>
  </si>
  <si>
    <t>16797</t>
  </si>
  <si>
    <t>8F00241005160055</t>
  </si>
  <si>
    <t>ENVIAR PELA SÃO MIGUEL PALHOÇA - CLIENTE POSSUI CREDIDO DE R$ 10.482,11 DO PEDIDO 16702. VERIFICAR O PAGAMENTO 
VALOR DO PEDIDO ATUAL R$872,48
 Pedido nº 1846 enviado pelo vendedor DANIELE criado em 19/12/2024 09:09:11 integrado por meio do Bendito no dia 19/12/2024 às 10:23:34</t>
  </si>
  <si>
    <t>hPVySIrSS4Wop-Afa.iJaA</t>
  </si>
  <si>
    <t>16798-A</t>
  </si>
  <si>
    <t>ACQUAZUL PISCINAS</t>
  </si>
  <si>
    <t>Entrega futura para novembro 2025
 Pedido nº 1848 enviado pelo vendedor Ricardo Henrique  criado em 19/12/2024 10:48:41 integrado por meio do Bendito no dia 19/12/2024 às 10:55:36</t>
  </si>
  <si>
    <t>rm.iZa8oQL-B-xptgAOmSQ</t>
  </si>
  <si>
    <t>16798-B</t>
  </si>
  <si>
    <t>G8WpGzbro0gLsfAO9740</t>
  </si>
  <si>
    <t>16798-C</t>
  </si>
  <si>
    <t>S3YcHkuzxbmru65ws9Lk</t>
  </si>
  <si>
    <t>16798-D</t>
  </si>
  <si>
    <t>LlwLsf01d3suDgMbOqzt</t>
  </si>
  <si>
    <t>16800</t>
  </si>
  <si>
    <t>13854</t>
  </si>
  <si>
    <t>Pedido nº 1845 enviado pelo vendedor Renato criado em 19/12/2024 09:04:12 integrado por meio do Bendito no dia 19/12/2024 às 11:35:24</t>
  </si>
  <si>
    <t>z3d44PdIQnqcyI5wYs5dKA</t>
  </si>
  <si>
    <t>16801</t>
  </si>
  <si>
    <t>8E00241005130029</t>
  </si>
  <si>
    <t>Pedido nº 1851 enviado pelo vendedor Renato criado em 19/12/2024 13:46:38 integrado por meio do Bendito no dia 19/12/2024 às 14:09:23</t>
  </si>
  <si>
    <t>Wyls0EHARzSresDonvZojw</t>
  </si>
  <si>
    <t>16802</t>
  </si>
  <si>
    <t>8F00241005160086</t>
  </si>
  <si>
    <t>CLIENTE IRA RETIRAR NA FABRICA - A partir dia 23/12
 Pedido nº 1852 enviado pelo vendedor Renato criado em 19/12/2024 13:51:58 integrado por meio do Bendito no dia 19/12/2024 às 14:10:13</t>
  </si>
  <si>
    <t>JbEFtqJkQQanvU1nKSzqaA</t>
  </si>
  <si>
    <t>16803</t>
  </si>
  <si>
    <t>8B00240322003151</t>
  </si>
  <si>
    <t>TRANSFORT/CIVIDINI E CIA</t>
  </si>
  <si>
    <t>TRANFORT RODOVIARIO CARGAS , RUA FELÍCIO ANTÔNIO ALVES, 309 - VILA NOVA DO BONSUCESSO - GUARULHOS SP CEP. 07175-450
CNPJ 03.298.420/0003-56 - FONE (11) 2413-4577 (11) 2413-4570
 Pedido nº 1850 enviado pelo vendedor Juscelino criado em 19/12/2024 13:42:37 integrado por meio do Bendito no dia 19/12/2024 às 14:10:47
O REDESP. SERA FOB - TRANSP. TRANSFORT - CNPJ:38.243.029/0002-58 - END: R SOLD CRISTOVAO MORAIS GARCIA, 375, CEP: 02.187-090</t>
  </si>
  <si>
    <t>UZ4.LAh0RWmZO.A.4sOU5Q</t>
  </si>
  <si>
    <t>16804-A</t>
  </si>
  <si>
    <t>8F00241005160080</t>
  </si>
  <si>
    <t>ENVIAR PELA SAO MIGUEL - PALHOÇA - 00.428.307/0011-60
 Pedido nº 1849 enviado pelo vendedor DANIELE criado em 19/12/2024 13:40:22 integrado por meio do Bendito no dia 19/12/2024 às 14:11:28</t>
  </si>
  <si>
    <t>POmNS7uxTdCAPRcDquPgew</t>
  </si>
  <si>
    <t>16804-B</t>
  </si>
  <si>
    <t>8F00241005160076</t>
  </si>
  <si>
    <t>vRnk4XeiXbvlprLsLX2H</t>
  </si>
  <si>
    <t>16805</t>
  </si>
  <si>
    <t>SENSOR LIGHT ENERGIA SOLAR</t>
  </si>
  <si>
    <t>8F00241005160062</t>
  </si>
  <si>
    <t>fzx0f02 - RETIRA - enrique jarominek - 72144769915 - m.benz  / carga caminhao  / azul / 2021</t>
  </si>
  <si>
    <t>INCLUIR FRETE COTADO BRASPRESS R$310,00 - PAGAMENTO SINAL R$3.500,00 + 30/60/90 - TOTAL R$11.317,59
 Pedido nº 1853 enviado pelo vendedor Sadi criado em 19/12/2024 14:35:51 integrado por meio do Bendito no dia 19/12/2024 às 14:50:52</t>
  </si>
  <si>
    <t>a.R13OoRRRGy8RyNgLhWXyQ</t>
  </si>
  <si>
    <t>16807-A</t>
  </si>
  <si>
    <t>Condominio Amazon</t>
  </si>
  <si>
    <t>13851</t>
  </si>
  <si>
    <t>Pedido com valor total de R$ 69.210,60, com valor unitário de cada equipamento de R$ 34.605,30.
Condição de pagamento: 50% de sinal com boleto para 23/12/2024, os demais pagamentos para: 01/02/2025, 01/03/2025 e 01/04/2025, pois o Condomínio efetua seus pagamentos todo dia 1°.
Despachar em 27/12/2024, conforme acordado com o cliente.
Cliente solicitou para incluir o valor do frete no pedido. Aprovado com a Fitlog, cotação n° 291194.
 Pedido nº 1854 enviado pelo vendedor Carlos Henrique criado em 20/12/2024 07:17:10 integrado por meio do Bendito no dia 23/12/2024 às 11:33:37</t>
  </si>
  <si>
    <t>HIifAM485HPW3m1eC5oZ</t>
  </si>
  <si>
    <t>16807-B</t>
  </si>
  <si>
    <t>13852</t>
  </si>
  <si>
    <t>gBNgMy18TaOuIdbfaEN-8w</t>
  </si>
  <si>
    <t>16808</t>
  </si>
  <si>
    <t>Henrique Núbio Pinhon Mendes Parreiras</t>
  </si>
  <si>
    <t>8E00241005140034</t>
  </si>
  <si>
    <t>TRANSPORTADORA AREIAS BRANCAS</t>
  </si>
  <si>
    <t>Frete FOB com redespacho pela Rodoviária Wilson -  CNPJ 050112170001-10 - TRANSPORTADORA AREIAS BRANCAS 
Rua Sargento Manuel Chagas, 70 - Parque Novo Mundo, São Paulo - SP, 02179-040 
 Pedido nº 1855 enviado pelo vendedor Luiz  criado em 20/12/2024 08:42:07 integrado por meio do Bendito no dia 23/12/2024 às 11:35:39</t>
  </si>
  <si>
    <t>BQutzfKiQRSpAfiZbNp0ZQ</t>
  </si>
  <si>
    <t>16809</t>
  </si>
  <si>
    <t>13897</t>
  </si>
  <si>
    <t>Pedido nº 1856 enviado pelo vendedor Ricardo Henrique  criado em 20/12/2024 10:32:36 integrado por meio do Bendito no dia 23/12/2024 às 11:36:18</t>
  </si>
  <si>
    <t>j4d3iY7vQCSOzvD--nP3aA</t>
  </si>
  <si>
    <t>16811</t>
  </si>
  <si>
    <t>8E00241005140033</t>
  </si>
  <si>
    <t>Liberar urgente  
 Pedido nº 1859 enviado pelo vendedor Ricardo Henrique  criado em 20/12/2024 14:27:37 integrado por meio do Bendito no dia 23/12/2024 às 11:39:20</t>
  </si>
  <si>
    <t>A6jXAR5MRRKmz1LqKMpSaA</t>
  </si>
  <si>
    <t>16812</t>
  </si>
  <si>
    <t>13859</t>
  </si>
  <si>
    <t>Pedido reprocessado ao alterar dados do cliente 23/12/2024 15:40:09 usuário: P000697112
Pedido nº 1860 enviado pelo vendedor Ricardo Henrique  criado em 20/12/2024 14:31:55 integrado por meio do Bendito no dia 23/12/2024 às 11:40:21</t>
  </si>
  <si>
    <t>hAIwiz9hSwKB99gw97NX9A</t>
  </si>
  <si>
    <t>16813</t>
  </si>
  <si>
    <t>8E00241005130042</t>
  </si>
  <si>
    <t>TRANFORT RODOVIARIO CARGAS , RUA FELÍCIO ANTÔNIO ALVES, 309 - VILA NOVA DO BONSUCESSO - GUARULHOS SP CEP. 07175-450
CNPJ 03.298.420/0003-56 - FONE (11) 2413-4577 (11) 2413-4570
 Pedido nº 1861 enviado pelo vendedor Juscelino criado em 20/12/2024 16:50:41 integrado por meio do Bendito no dia 23/12/2024 às 11:40:54
O REDESP. SERA FOB - TRANSP. TRANSFORT - CNPJ:38.243.029/0002-58 - END: R SOLD CRISTOVAO MORAIS GARCIA, 375, CEP: 02.187-090</t>
  </si>
  <si>
    <t>Zhk0WgU-Qc64gYoy2.QBmA</t>
  </si>
  <si>
    <t>16814</t>
  </si>
  <si>
    <t>8F00241005160045</t>
  </si>
  <si>
    <t>Pedido nº 1862 enviado pelo vendedor Renato criado em 20/12/2024 17:55:44 integrado por meio do Bendito no dia 23/12/2024 às 11:41:18</t>
  </si>
  <si>
    <t>kRkv1J5gQomW2Fpq5DbmEw</t>
  </si>
  <si>
    <t>16815</t>
  </si>
  <si>
    <t>8E00241005140058</t>
  </si>
  <si>
    <t>FINANCEIRO NÃO AUTORIZOU - AGUARDANDO RETORNO DO REPRESENTANTE
Pedido nº 1863 enviado pelo vendedor Renato criado em 20/12/2024 20:17:13 integrado por meio do Bendito no dia 23/12/2024 às 11:41:41</t>
  </si>
  <si>
    <t>ezq8dROiSHKHX6rDilLzvg</t>
  </si>
  <si>
    <t>16816</t>
  </si>
  <si>
    <t>8B00240106003173</t>
  </si>
  <si>
    <t>PEDIDO 18911 - COND. VESSEL 
 Pedido nº 1864 enviado pelo vendedor Carlos Augusto  criado em 23/12/2024 07:55:52 integrado por meio do Bendito no dia 23/12/2024 às 11:42:10</t>
  </si>
  <si>
    <t>XQARSGxzQkKIMAszYHH2kw</t>
  </si>
  <si>
    <t>16817</t>
  </si>
  <si>
    <t>8F00241005100021</t>
  </si>
  <si>
    <t>PEDIDO 18911 - COND. VESSEL
 Pedido nº 1865 enviado pelo vendedor Carlos Augusto  criado em 23/12/2024 07:57:09 integrado por meio do Bendito no dia 23/12/2024 às 11:42:49</t>
  </si>
  <si>
    <t>Z8V9Un-MTXGy45zgtK9uMA</t>
  </si>
  <si>
    <t>16819</t>
  </si>
  <si>
    <t>Drielle Andrade Dias</t>
  </si>
  <si>
    <t>8E00241005130019</t>
  </si>
  <si>
    <t>Venda sem comissão para Mario e Fabio, autorizado pela Priscila.
CLIENTE VIDA E SOL
O REDESP. SERA FOB - TRANSP. 5M LTDA - CNPJ: 55.872.733/0002-99 - Endereco: AV DIORAMA, 45,
CIDADE INDUSTRIAL SATELITE DE SAO PAULO, GUARULHOS - SP CEP:07.223-180 Pedido: 1192
 Pedido nº 1867 enviado pelo vendedor Fábio criado em 23/12/2024 10:27:56 integrado por meio do Bendito no dia 23/12/2024 às 11:51:19</t>
  </si>
  <si>
    <t>nWeHQGHoSR6jeDj1rFSwXw</t>
  </si>
  <si>
    <t>16820</t>
  </si>
  <si>
    <t>Soraya de Jesus Rafael Saraiva</t>
  </si>
  <si>
    <t>8E00241021140022</t>
  </si>
  <si>
    <t>cliente indicado - VIDA E SOL
Venda sem comissão para Mario e Fabio, autorizado pela Priscila.
O REDESP. SERA FOB - TRANSP. 5M LTDA - CNPJ: 55.872.733/0002-99 - Endereco: AV DIORAMA, 45,
CIDADE INDUSTRIAL SATELITE DE SAO PAULO, GUARULHOS - SP CEP:07.223-180 Pedido: 1192
 Pedido nº 1868 enviado pelo vendedor Fábio criado em 23/12/2024 10:29:09 integrado por meio do Bendito no dia 23/12/2024 às 11:51:32</t>
  </si>
  <si>
    <t>EanC-hkNSNyy2kL6OGScMg</t>
  </si>
  <si>
    <t>16822</t>
  </si>
  <si>
    <t>Elmiro Soares da Costa</t>
  </si>
  <si>
    <t>13893</t>
  </si>
  <si>
    <t>Forma de pagamento : entrada/30/60/90 - boletos em parcelas iguais - Autorizado pelo Mario Dick
Frete FOB sem redespacho : Rodonaves - SC - CNPJ: 44.914.992/0036-68 
ENDEREÇO : ROD BR 101 , 7725 - SÃO VICENTE  - ITAJAI - SC - CEP: 88.312-501
O cliente que entra em contato com a transportador para agendar a coleta.
 Pedido nº 1869 enviado pelo vendedor Luiz  criado em 23/12/2024 15:03:19 integrado por meio do Bendito no dia 26/12/2024 às 17:14:37</t>
  </si>
  <si>
    <t>xjZhbAoIQwORiO2D396CAA</t>
  </si>
  <si>
    <t>16823</t>
  </si>
  <si>
    <t>ULTRASOL</t>
  </si>
  <si>
    <t>8F00241005160037</t>
  </si>
  <si>
    <t>CLIENTE RETIRA NA FABRICA
 Pedido nº 1870 enviado pelo vendedor DANIELE criado em 26/12/2024 08:49:36 integrado por meio do Bendito no dia 26/12/2024 às 17:15:12</t>
  </si>
  <si>
    <t>zz5M.BqWTmKP2Fb7MzEvqg</t>
  </si>
  <si>
    <t>16824</t>
  </si>
  <si>
    <t>ROGERIO PISCINAS</t>
  </si>
  <si>
    <t>8E00241005140026</t>
  </si>
  <si>
    <t>URGENTE
Redespacho: RODONAVES TRANSPORTES E ENCOMENDAS LTDA - CNPJ: 44.914.992/0013-71
Endereço: Av. Domingos de Souza Marques, 604, Parque Anhanguera, São Paulo, SP, CEP 05106-010 - Fone: (11)2192.3100
Obs.: Nossa transportadora precisa levar até a Rodonaves para o Redespacho.
 Pedido nº 1872 enviado pelo vendedor Fábio criado em 26/12/2024 11:28:04 integrado por meio do Bendito no dia 26/12/2024 às 17:15:53</t>
  </si>
  <si>
    <t>LDqGijHFRCO0dgvbfSK2iA</t>
  </si>
  <si>
    <t>16825</t>
  </si>
  <si>
    <t>8E00241005110031</t>
  </si>
  <si>
    <t>Mario- Compr. enviado Financeiro 
 Pedido nº 1873 enviado pelo vendedor Renato criado em 26/12/2024 13:36:18 integrado por meio do Bendito no dia 26/12/2024 às 17:17:58</t>
  </si>
  <si>
    <t>1S7XR-mwTV2SV7yUx5GsdQ</t>
  </si>
  <si>
    <t>16828</t>
  </si>
  <si>
    <t>8F00241005160052</t>
  </si>
  <si>
    <t>endereço de entrega: Rua Libia, 533 - Piniville- Pinhais - Pr  - mas retirada na São Miguel de Pinhais-PR
 Pedido nº 1874 enviado pelo vendedor Renato criado em 27/12/2024 11:28:11 integrado por meio do Bendito no dia 27/12/2024 às 11:42:17</t>
  </si>
  <si>
    <t>tuC3Hz67TcmZQyFmIkljUQ</t>
  </si>
  <si>
    <t>16829-A</t>
  </si>
  <si>
    <t>Hotel Villa Lobos</t>
  </si>
  <si>
    <t>VAI DIRETO PARA O CLIENTE PELA FITLOG
Proposta comercial n° 0193-2024.
Condição de pagamento: 50% de entrada / Saldo em 10x sem juros no cartão de crédito.
Esse pedido será entregue por etapas, conforme acordado com o cliente. Incluir abafador de ruido em todos os compressores 
 Pedido nº 1857 enviado pelo vendedor Carlos Henrique criado em 20/12/2024 10:45:34 integrado por meio do Bendito no dia 27/12/2024 às 12:17:38</t>
  </si>
  <si>
    <t>9doDdczUREKBSy45WJbThQ</t>
  </si>
  <si>
    <t>16829-B</t>
  </si>
  <si>
    <t>oeK73liYqYS9hcM4RBXj</t>
  </si>
  <si>
    <t>16829-C</t>
  </si>
  <si>
    <t>13911</t>
  </si>
  <si>
    <t>ueG1L0khZ5LFDVbqtJVG</t>
  </si>
  <si>
    <t>16829-D</t>
  </si>
  <si>
    <t>u19DJCLEwCH9NdK4hDgC</t>
  </si>
  <si>
    <t>16829-E</t>
  </si>
  <si>
    <t>13912</t>
  </si>
  <si>
    <t>wZGVLMdQoXk5JKbln8ci</t>
  </si>
  <si>
    <t>16829-F</t>
  </si>
  <si>
    <t>13913</t>
  </si>
  <si>
    <t>ZBaCt3XN2TAnkbIxfGUg</t>
  </si>
  <si>
    <t>16830-A</t>
  </si>
  <si>
    <t>13915</t>
  </si>
  <si>
    <t>VAI DIRETO PARA O CLIENTE PELA FITLOG
Entrada 50% PEDIDO COMPLEMENTAR AO 16829
Proposta comercial n° 0193-2024.
Condição de pagamento: 50% de entrada / Saldo em 10x sem juros no cartão de crédito.
Esse pedido será entregue por etapas, conforme acordado com o cliente. Incluir abafador em todos os compressores . 
 Pedido nº 1875 enviado pelo vendedor Mario  criado em 27/12/2024 12:02:08 integrado por meio do Bendito no dia 27/12/2024 às 12:18:16</t>
  </si>
  <si>
    <t>eS4YZJMLR9qMwAZAhDNGjQ</t>
  </si>
  <si>
    <t>16830-B</t>
  </si>
  <si>
    <t>13905</t>
  </si>
  <si>
    <t>S1JVfFAa7JTCZd7bElfx</t>
  </si>
  <si>
    <t>16830-C</t>
  </si>
  <si>
    <t>IFPcoO61E70ypmCzkqzB</t>
  </si>
  <si>
    <t>16830-D</t>
  </si>
  <si>
    <t>13907</t>
  </si>
  <si>
    <t>5TYFxWxPNq8Vvzp3tTCo</t>
  </si>
  <si>
    <t>16830-E</t>
  </si>
  <si>
    <t>sGw6MIlVX7RERqzYGjlB</t>
  </si>
  <si>
    <t>16830-F</t>
  </si>
  <si>
    <t>13909</t>
  </si>
  <si>
    <t>QDHLD6iHSEYl9LG5uCsi</t>
  </si>
  <si>
    <t>16831</t>
  </si>
  <si>
    <t>Cleofas Coelho de Araujo Junior</t>
  </si>
  <si>
    <t>8E00241005110033</t>
  </si>
  <si>
    <t xml:space="preserve">Venda indicada Aguas e Vapores - RN // Redespacho FOB:  Transportadora Bom Jesus - 70.033.451/0002/91 (11) 2446 4443 / 2446 2182 - Endereço: R ALEXANIA 847, CID IND SATELITE SP, GUARULHOS, SP, CEP: 07.232-010
 Pedido nº 1876 enviado pelo vendedor Sadi criado em 27/12/2024 16:54:30 integrado por meio do Bendito no dia 30/12/2024 às 08:08:21
</t>
  </si>
  <si>
    <t>KBu3x8VqQOSKTPJr0K5xew</t>
  </si>
  <si>
    <t>16833</t>
  </si>
  <si>
    <t>8B00240322003154</t>
  </si>
  <si>
    <t>ENVIAR PELA SAO MIGUEL
 Pedido nº 1878 enviado pelo vendedor DANIELE criado em 30/12/2024 14:57:36 integrado por meio do Bendito no dia 02/01/2025 às 08:22:53</t>
  </si>
  <si>
    <t>ru.lClPlRbuBpTOnYFXIyQ</t>
  </si>
  <si>
    <t>16834</t>
  </si>
  <si>
    <t>8E00241005110026</t>
  </si>
  <si>
    <t>Pedido nº 1879 enviado pelo vendedor Marcelo criado em 31/12/2024 19:12:53 integrado por meio do Bendito no dia 02/01/2025 às 08:23:42</t>
  </si>
  <si>
    <t>44PHwrJWRSajTJ29fCWlVQ</t>
  </si>
  <si>
    <t>16835</t>
  </si>
  <si>
    <t>8F00241005160044</t>
  </si>
  <si>
    <t>CLIENTE RETIRA NA FABRICA 
PAGAMENTO ENTRADA ( R$ 4.322,64) + 45/75/90 conforme watsapp
Mario- autorizado 
 Pedido nº 1880 enviado pelo vendedor DANIELE criado em 02/01/2025 08:47:25 integrado por meio do Bendito no dia 02/01/2025 às 10:07:17</t>
  </si>
  <si>
    <t>Wxcd2aJsSTy2rDAVLcfGKA</t>
  </si>
  <si>
    <t>16836</t>
  </si>
  <si>
    <t>8B00240106003169</t>
  </si>
  <si>
    <t>Não esquecer de enviar o Windybanner do cliente que não foi enviado no ultimo pedido.
Cliente ganhou desconto de R$187,20 por ter colocado a logo da fromtherm nos uniformes da empresa, desconto autorizado pelo Mario Dick
Mario- AUTORIZADO 
 Pedido nº 1881 enviado pelo vendedor Renato criado em 02/01/2025 08:54:04 integrado por meio do Bendito no dia 02/01/2025 às 10:09:46</t>
  </si>
  <si>
    <t>FWl8pUUSQ6mJIFuF0i-mRQ</t>
  </si>
  <si>
    <t>16839</t>
  </si>
  <si>
    <t>8E00241005110035</t>
  </si>
  <si>
    <t>CIF ATÉ SÃO PAULO (CAPITAL)
REDESPACHO FOB: TAS LOGISTICA E TRANSPORTE LTDA, CNPJ: 40.835.229/0001-60 - RUA
FRANCISCO DIOGO DE ASSIS VASCONCELOS Nº: 173 CEP: 06.230-010 Bairro:
PIRATININGA, OSASCO - SP
 Pedido nº 1883 enviado pelo vendedor Fábio criado em 03/01/2025 10:35:17 integrado por meio do Bendito no dia 03/01/2025 às 10:56:20
O REDESPACHO SERA FOB - 40.835.229/0001-60 - TAS LOGISTICA E TRANSPORTE LTDARUA FRANCISCO DIOGO DE ASSIS VASCONCELOS 173, PIRATININGA, OSASCO/SP - CEP - 06.230-010</t>
  </si>
  <si>
    <t>MQ6--aMbQZeg9Y2ze7t6iQ</t>
  </si>
  <si>
    <t>16841</t>
  </si>
  <si>
    <t>8F00241005100012</t>
  </si>
  <si>
    <t>ENVIAR PELA SAO MIGUEL PALHOÇA
 Pedido nº 1884 enviado pelo vendedor DANIELE criado em 03/01/2025 13:21:07 integrado por meio do Bendito no dia 06/01/2025 às 10:44:37</t>
  </si>
  <si>
    <t>dROo5PkEQQejx7piRbYdTw</t>
  </si>
  <si>
    <t>16842-A</t>
  </si>
  <si>
    <t>MINUANO</t>
  </si>
  <si>
    <t>MFT9C56 - RETIRA - FRED GOMES  - 03351056959 - VW / CARGA CAMINHAO  / BRANCA  / 2009</t>
  </si>
  <si>
    <t>ENVIAR PELA TRANSPORTADORA MINUANO CNPJ 871835700002-23 - RUA DOMINGOS PACHECO, S/N, QUADRA 5, BOX 12 13 14 E 15 - JARDIM JULIETA - SÃO PAULO - CEP: 02.162-020.
Obs. Nota Fiscal: OC 4080
 Pedido nº 1885 enviado pelo vendedor DANIELE criado em 03/01/2025 14:55:46 integrado por meio do Bendito no dia 06/01/2025 às 10:45:24</t>
  </si>
  <si>
    <t>TZTFPfZ.Qm2IkTbMOUC8Uw</t>
  </si>
  <si>
    <t>16842-B</t>
  </si>
  <si>
    <t>13895</t>
  </si>
  <si>
    <t>M5m0hqVZbZZBFWRyPxLw</t>
  </si>
  <si>
    <t>16843</t>
  </si>
  <si>
    <t>URGENTE - COMBINADO COM MARIO 
URGENTE SAIR . 
 Pedido nº 1887 enviado pelo vendedor Carlos Augusto  criado em 06/01/2025 09:32:09 integrado por meio do Bendito no dia 06/01/2025 às 10:47:15</t>
  </si>
  <si>
    <t>O5w0Fn3IT1mqcIqQGBM5.g</t>
  </si>
  <si>
    <t>16844</t>
  </si>
  <si>
    <t>8F00241021270002</t>
  </si>
  <si>
    <t>ENVIAR PELA TRANSPORTADORA MINUANO CNPJ 871835700002-23
OBS. NF: OC 4080
 Pedido nº 1886 enviado pelo vendedor DANIELE criado em 03/01/2025 14:57:18 integrado por meio do Bendito no dia 06/01/2025 às 11:24:38</t>
  </si>
  <si>
    <t>e-SuPp09QMuhIHYhJkKRSQ</t>
  </si>
  <si>
    <t>16845</t>
  </si>
  <si>
    <t>8F00241005160061</t>
  </si>
  <si>
    <t>PEDIDO URGENTE
 Pedido nº 1888 enviado pelo vendedor Renato criado em 06/01/2025 12:03:39 integrado por meio do Bendito no dia 06/01/2025 às 15:38:04</t>
  </si>
  <si>
    <t>2H9oZ0yvSEevD6xTRRp19g</t>
  </si>
  <si>
    <t>16848-A</t>
  </si>
  <si>
    <t>13882</t>
  </si>
  <si>
    <t>URGENTE 
 Pedido nº 1891 enviado pelo vendedor Fábio criado em 06/01/2025 16:21:05 integrado por meio do Bendito no dia 06/01/2025 às 16:21:18</t>
  </si>
  <si>
    <t>f25h9tYPsTcDxpTW1Rrx</t>
  </si>
  <si>
    <t>16848-B</t>
  </si>
  <si>
    <t>13864</t>
  </si>
  <si>
    <t>5x9hb2ZMQG6v-ZL6hZitiA</t>
  </si>
  <si>
    <t>16848-C</t>
  </si>
  <si>
    <t>13865</t>
  </si>
  <si>
    <t>nZRmldYW6w2rPiuomOBr</t>
  </si>
  <si>
    <t>16849</t>
  </si>
  <si>
    <t>8E00241005130040</t>
  </si>
  <si>
    <t>TRANSFORT RODOVIARIO CARGAS , RUA FELÍCIO ANTÔNIO ALVES, 309 - VILA NOVA DO BONSUCESSO - GUARULHOS SP CEP. 07175-450
CNPJ 03.298.420/0003-56 - FONE (11) 2413-4577 (11) 2413-4570
 Pedido nº 1892 enviado pelo vendedor Juscelino criado em 06/01/2025 23:14:31 integrado por meio do Bendito no dia 07/01/2025 às 09:30:34
O REDESP. SERA FOB - TRANSP. TRANSFORT - CNPJ:38.243.029/0002-58 - END: R SOLD CRISTOVAO MORAIS GARCIA, 375, CEP: 02.187-090</t>
  </si>
  <si>
    <t>tW0OfnABTGSe9KyFVTERPw</t>
  </si>
  <si>
    <t>16850</t>
  </si>
  <si>
    <t>8F00241005100017</t>
  </si>
  <si>
    <t>Pedido nº 1893 enviado pelo vendedor Ricardo Henrique  criado em 07/01/2025 09:13:07 integrado por meio do Bendito no dia 07/01/2025 às 09:31:28</t>
  </si>
  <si>
    <t>CUzI0pLVTg2bfKPlGFFZAw</t>
  </si>
  <si>
    <t>16852</t>
  </si>
  <si>
    <t>8B00240322003258</t>
  </si>
  <si>
    <t>Pedido nº 1890 enviado pelo vendedor Ricardo Henrique  criado em 06/01/2025 15:41:50 integrado por meio do Bendito no dia 07/01/2025 às 10:29:04</t>
  </si>
  <si>
    <t>JQfBrUw6QTycp0rmLgUcPQ</t>
  </si>
  <si>
    <t>16853</t>
  </si>
  <si>
    <t>8B00240322003263</t>
  </si>
  <si>
    <t>Pedido nº 1897 enviado pelo vendedor Ricardo Henrique  criado em 07/01/2025 11:19:29 integrado por meio do Bendito no dia 07/01/2025 às 13:55:30</t>
  </si>
  <si>
    <t>irghgF68TeW.ATqCK2oAHA</t>
  </si>
  <si>
    <t>16855</t>
  </si>
  <si>
    <t>8E00241005130041</t>
  </si>
  <si>
    <t>Pedido nº 1898 enviado pelo vendedor Renato criado em 07/01/2025 13:50:29 integrado por meio do Bendito no dia 07/01/2025 às 13:58:44</t>
  </si>
  <si>
    <t>a-GoLIvpNRJu4Eydj8s0mFg</t>
  </si>
  <si>
    <t>16857</t>
  </si>
  <si>
    <t>CONDOMINIO RESIDENCIAL QUALITY ALBERTO MARANHAO</t>
  </si>
  <si>
    <t>8F00250104060003</t>
  </si>
  <si>
    <t>VENDA INDICADA PELA AGUAS E VAPORES - RN - REDESPACHO PELA TRANSPORTADORA BOM JESUS 70.033.451/0002-91 - (11) 2446 4443 / 2446 2182
 Pedido nº 1899 enviado pelo vendedor Sadi criado em 07/01/2025 15:47:43 integrado por meio do Bendito no dia 07/01/2025 às 15:52:06</t>
  </si>
  <si>
    <t>0ntzEuLQSK6i8-7H9AMuCw</t>
  </si>
  <si>
    <t>16858-A</t>
  </si>
  <si>
    <t>8F00241005160048</t>
  </si>
  <si>
    <t>Autorizado pelo Mario Dick o valor de R$120.000,00 e pagamento 30/60/90/120/150/180 dias
Preço composto de juros . 
 Pedido nº 1900 enviado pelo vendedor Renato criado em 07/01/2025 16:31:17 integrado por meio do Bendito no dia 07/01/2025 às 16:34:37</t>
  </si>
  <si>
    <t>RZ7QbBHsTfsrYJDKINat</t>
  </si>
  <si>
    <t>16858-B</t>
  </si>
  <si>
    <t>8F00241005160068</t>
  </si>
  <si>
    <t>RfUtO3qg7YfPuH98QVfR</t>
  </si>
  <si>
    <t>16858-C</t>
  </si>
  <si>
    <t>8F00241005160046</t>
  </si>
  <si>
    <t>CBhspZ9QAhgDdLrBglqC</t>
  </si>
  <si>
    <t>16858-D</t>
  </si>
  <si>
    <t>8F00241005160043</t>
  </si>
  <si>
    <t>e32Yrxm8yRw65z6wOr8O</t>
  </si>
  <si>
    <t>16858-E</t>
  </si>
  <si>
    <t>8F00241005160033</t>
  </si>
  <si>
    <t>gG5vZk0.TUKlg3QO-.IgJw</t>
  </si>
  <si>
    <t>16858-F</t>
  </si>
  <si>
    <t>8F00241005160050</t>
  </si>
  <si>
    <t>DlK8ek5aS1WEn1Ejcnuv</t>
  </si>
  <si>
    <t>16858-G</t>
  </si>
  <si>
    <t>8B00240322003257</t>
  </si>
  <si>
    <t>3Vq75Su5UFg5XedTHaVI</t>
  </si>
  <si>
    <t>16858-H</t>
  </si>
  <si>
    <t>8B00240322003255</t>
  </si>
  <si>
    <t>QmaafFniox70ahmAv9tS</t>
  </si>
  <si>
    <t>16858-I</t>
  </si>
  <si>
    <t>8E00241005130024</t>
  </si>
  <si>
    <t>xv3wQXqPmURQKBVcFW7y</t>
  </si>
  <si>
    <t>16858-J</t>
  </si>
  <si>
    <t>8E00241005130015</t>
  </si>
  <si>
    <t>Gbknv9AxZuTUiSY42mk8</t>
  </si>
  <si>
    <t>16858-K</t>
  </si>
  <si>
    <t>8E00241005140055</t>
  </si>
  <si>
    <t>IYKflTvmfJ3r710t8AAK</t>
  </si>
  <si>
    <t>16861</t>
  </si>
  <si>
    <t>PAULA CRISTINA ELY BERGAMASCHI</t>
  </si>
  <si>
    <t>8F00241005160064</t>
  </si>
  <si>
    <t>FRETE CIF
VALOR DA NF R$ 17.700,00
VALOR TABELA R$ 9.609,63
- DIF VAL TAB X NF R$ 8.090,37
-DIF IMPOSTO 17% R$ 1.375,36
IMPOSTO ESTADUAL R$ 885,00
 TOTAL A PAGAR R$ 11.869,99
FRETE CIF - DESCONTAR DA COMISSÃO DA HIDROTEC 
ENVIO IMEDIATO - Pagamento já identificado pelo financeiro
 Pedido nº 1901 enviado pelo vendedor DANIELE criado em 07/01/2025 17:03:46 integrado por meio do Bendito no dia 08/01/2025 às 18:08:08</t>
  </si>
  <si>
    <t>4gBijXO-SjaPddN9.CRHIg</t>
  </si>
  <si>
    <t>16862</t>
  </si>
  <si>
    <t>8E00241005140027</t>
  </si>
  <si>
    <t>Pedido nº 1905 enviado pelo vendedor Carlos Augusto  criado em 08/01/2025 09:13:29 integrado por meio do Bendito no dia 08/01/2025 às 18:13:34</t>
  </si>
  <si>
    <t>OJKrghAaT.iDI5BY-JEsJQ</t>
  </si>
  <si>
    <t>16863</t>
  </si>
  <si>
    <t>8F00241005100025</t>
  </si>
  <si>
    <t>Cliente: Willian Martins
 Pedido nº 1907 enviado pelo vendedor Fábio criado em 08/01/2025 11:45:46 integrado por meio do Bendito no dia 08/01/2025 às 18:14:51</t>
  </si>
  <si>
    <t>zKUHEBbNSBamcFS.8Hg1oQ</t>
  </si>
  <si>
    <t>16864</t>
  </si>
  <si>
    <t>8B00240322003271</t>
  </si>
  <si>
    <t xml:space="preserve">VAI COM BOLETO PARA 45 DIAS, QUANDO O CLIENTE DEVOLVER A MÁQUINA O BOLETO SERÁ CANCELADO. 
- TRANSPORTADORA RÁPIDO FIGUEIREDO
ESTE PEDIDO É UMA DEVOLUÇÃO TRATADA COM A.T COM O.S ABERTA . ENVIAR ESTE EQUIPAMENTO E O CLIENTE IRÁ UTILIZAR AS EMBALAGENS PARA FAZER A DEVOLUÇÃO DA MAQUINA COM PROBLEMA .  SEM COMISSÃO . 
 Pedido nº 1908 enviado pelo vendedor Sadi criado em 08/01/2025 15:37:11 integrado por meio do Bendito no dia 08/01/2025 às 18:26:21
O REDESPACHO SERA FOB - TRANSP. RAPIDO FIGUEIREDO - CNPJ: 10.973.773/0001-08 - END: R OURO VERDE DE GOIAS, 1233, CEP: 07.221-080											
</t>
  </si>
  <si>
    <t>E6xFG0EcSKyXlZ71ioToVA</t>
  </si>
  <si>
    <t>16865</t>
  </si>
  <si>
    <t>CONSTRULAR</t>
  </si>
  <si>
    <t>8E00241021130009</t>
  </si>
  <si>
    <t>CLIENTE VAI DEPOSITAR O VALOR DO FRETE E VAI COMO CIF.
CLIENTE:  HIDROESTE PISCINAS DE JOAÇABA SC
TRANSPORTADORA:  A CONFIRMAR TRANSPORTADORA:  A CONFIRMAR - PEDIDO INTEGRADO PARA CLIENTE FAZER DEPOSITO ANTECIPADO E APÓS ISSO ELE  INDICARÁ A TRASNPORSTADORA .  
 Pedido nº 1903 enviado pelo vendedor Carlos Augusto  criado em 08/01/2025 08:25:05 integrado por meio do Bendito no dia 08/01/2025 às 18:41:14</t>
  </si>
  <si>
    <t>Ph3QNI74QCC5qH6yyT3GgQ</t>
  </si>
  <si>
    <t>16866</t>
  </si>
  <si>
    <t>ANTONIO LUCAS FERREIRA PINTO</t>
  </si>
  <si>
    <t>8E00241005140052</t>
  </si>
  <si>
    <t>CLIENTE VAI DEPOSITAR O VALOR DO FRETE E VAI COMO CIF.
CLIENTE: HIDROESTE PISCINAS - JOAÇABA - SC 
TRANSPORTADORA:  A CONFIRMAR - PEDIDO INTEGRADO PARA CLIENTE FAZER DEPOSITO ANTECIPADO E APÓS ISSO ELE  INDICARÁ A TRASNPORSTADORA . 
 Pedido nº 1904 enviado pelo vendedor Carlos Augusto  criado em 08/01/2025 08:30:27 integrado por meio do Bendito no dia 08/01/2025 às 18:42:28</t>
  </si>
  <si>
    <t>aX9WdQzySI-eb6hKYsysBA</t>
  </si>
  <si>
    <t>16868</t>
  </si>
  <si>
    <t>13888</t>
  </si>
  <si>
    <t>CLIENTE: PLAZA DANUBIO
PREÇO DO EQUIPAMENTO AUTORIZADO PELO MÁRIO: DESCONTO  10% - 7% E 3%  R$ 12.612,81
Mario- Autorizado na campanha de novembro 2024 - com 7% , por ser maquina on/off . 
 Pedido nº 1902 enviado pelo vendedor Carlos Augusto  criado em 08/01/2025 08:15:32 integrado por meio do Bendito no dia 08/01/2025 às 21:20:46</t>
  </si>
  <si>
    <t>2ezcor8VRPef9iDjJ7SDdw</t>
  </si>
  <si>
    <t>16869</t>
  </si>
  <si>
    <t>LOCAL DE ENTREGA: RIO JAGUARIBE, 626 - NA BERTEN PISCINAS. 
Pedido nº 1910 enviado pelo vendedor Renato criado em 09/01/2025 08:35:45 integrado por meio do Bendito no dia 09/01/2025 às 13:16:36</t>
  </si>
  <si>
    <t>rClA6tTaQQm2.Tf-R22CXw</t>
  </si>
  <si>
    <t>16870</t>
  </si>
  <si>
    <t>8F00241005160077</t>
  </si>
  <si>
    <t>Pedido nº 1912 enviado pelo vendedor Renato criado em 09/01/2025 11:55:01 integrado por meio do Bendito no dia 09/01/2025 às 13:17:36</t>
  </si>
  <si>
    <t>aYOjuEXtRnWgP-Aq80adgQ</t>
  </si>
  <si>
    <t>16871-A</t>
  </si>
  <si>
    <t>13899</t>
  </si>
  <si>
    <t>IQY5A95 - RETIRA - ANDRE LUIS PEREIRA SCHINOFF - 46716092072 - M.BENZ  / CARGA CAMINHAO / BRANCO  / 2018</t>
  </si>
  <si>
    <t>TRANSPORTADORA:  ALFA TRANSPORTES ESPECIAIS
PREÇOS NEGOCIADOS COM O CLIENTE A VISTA DESCONTO DE 5%;  FTI4 BR R$ 9.734,65  FTI75 BR R$11.406,65 = TOTAL DO PEDIDO R$ 21.141,30
 Pedido nº 1913 enviado pelo vendedor Carlos Augusto  criado em 09/01/2025 17:44:18 integrado por meio do Bendito no dia 09/01/2025 às 19:36:09</t>
  </si>
  <si>
    <t>4qpn34kAOn8ySdzXBusi</t>
  </si>
  <si>
    <t>16871-B</t>
  </si>
  <si>
    <t>13932 JAIR: DEVOLVIDA, NÃO SEI QUANDO CHEGOU: OP ANTIGA, FOI CONSERTADA PELA PRODUÇÃO, MAS NÃO SEI AO CERTO O QUE FOI FEITO - SHEILA ME FALOU  QUE TEM O.S 250245</t>
  </si>
  <si>
    <t>U2NFMQFERjaX8eH-uqkzEQ</t>
  </si>
  <si>
    <t>16872</t>
  </si>
  <si>
    <t>K.D.P. COMERCIAL LTDA</t>
  </si>
  <si>
    <t>8E00241005140051</t>
  </si>
  <si>
    <t>MIR DO SUL</t>
  </si>
  <si>
    <t>MFN1183 - RETIRA - HELDER SEBASTIAO DA SILVA  - 05099275800 - IVECO / CARGA CAMINHAO / BRANCA  / 2008</t>
  </si>
  <si>
    <t>Pedido nº 1914 enviado pelo vendedor Renato criado em 09/01/2025 17:56:59 integrado por meio do Bendito no dia 09/01/2025 às 19:37:15</t>
  </si>
  <si>
    <t>O-74Sv3JTMiMOL4BZ8y8qg</t>
  </si>
  <si>
    <t>16873</t>
  </si>
  <si>
    <t>8E00241005130017</t>
  </si>
  <si>
    <t>CLIENTE: PASCAL 
 Pedido nº 1915 enviado pelo vendedor Carlos Augusto  criado em 09/01/2025 18:13:38 integrado por meio do Bendito no dia 09/01/2025 às 19:37:52</t>
  </si>
  <si>
    <t>Lob-G5AcRxGPi52okRptKQ</t>
  </si>
  <si>
    <t>16874</t>
  </si>
  <si>
    <t>8E00241005130043</t>
  </si>
  <si>
    <t>PEDIDO 25769
 Pedido nº 1916 enviado pelo vendedor Carlos Augusto  criado em 09/01/2025 18:25:39 integrado por meio do Bendito no dia 09/01/2025 às 19:38:16</t>
  </si>
  <si>
    <t>HlhSYj25Q4ag.8FeZFZYSw</t>
  </si>
  <si>
    <t>16875-A</t>
  </si>
  <si>
    <t>8F00241005100018</t>
  </si>
  <si>
    <t>Pedido nº 1918 enviado pelo vendedor Carlos Augusto  criado em 10/01/2025 10:35:02 integrado por meio do Bendito no dia 10/01/2025 às 12:50:47</t>
  </si>
  <si>
    <t>xouds0XOSfC.hZ9PGQNQaA</t>
  </si>
  <si>
    <t>16875-B</t>
  </si>
  <si>
    <t>8F00241005160087</t>
  </si>
  <si>
    <t>JYaoEBCFQBT4mMvD89pd</t>
  </si>
  <si>
    <t>16876</t>
  </si>
  <si>
    <t>8F00241021270007</t>
  </si>
  <si>
    <t>PREÇO COMBINADO COM O CLIENTE A VISTA COM 4% DE DESCONTO R$ 14.395,00 - PAGO PARA PJ
 Pedido nº 1919 enviado pelo vendedor Carlos Augusto  criado em 10/01/2025 10:56:25 integrado por meio do Bendito no dia 10/01/2025 às 12:52:13</t>
  </si>
  <si>
    <t>2X8ZTTBqQa6ZTJM6yxMcHw</t>
  </si>
  <si>
    <t>16877</t>
  </si>
  <si>
    <t>-----</t>
  </si>
  <si>
    <t>a vista antecipado 
 Pedido nº 1920 enviado pelo vendedor Carlos Augusto  criado em 10/01/2025 10:59:22 integrado por meio do Bendito no dia 10/01/2025 às 12:54:05</t>
  </si>
  <si>
    <t>1vCgn-EMRVSYd8IvEc6rDQ</t>
  </si>
  <si>
    <t>16878</t>
  </si>
  <si>
    <t>ACQUABLU COMERCIO DE PISCINAS E MOVEIS LTDA</t>
  </si>
  <si>
    <t>8E00241021140035</t>
  </si>
  <si>
    <t>ENVIAR PELA SAO MIGUEL
 Pedido nº 1923 enviado pelo vendedor DANIELE criado em 10/01/2025 11:21:48 integrado por meio do Bendito no dia 10/01/2025 às 12:56:16</t>
  </si>
  <si>
    <t>CpykVPQPQ5CinLymJwU97Q</t>
  </si>
  <si>
    <t>16879</t>
  </si>
  <si>
    <t>ANA LUIZA MARIANO DA ROCHA MOTTIM</t>
  </si>
  <si>
    <t>8F00241005180016</t>
  </si>
  <si>
    <t>PAGAMENTO BOLETO 7 dias autorizado Mario via watsapp
 VALOR DA NF R$ 24.000,00 
VALOR TABELA R$13.090,37 
-   DIF VAL TAB X NF R$10.909,63 
-   DIF IMPOSTO 17% R$ 1.854,64 
IMPOSTO ESTADUAL R$  1.200,00 
TOTAL A PAGAR R$ 16.145,01
Frete CIF descontar da comissão
 Pedido nº 1921 enviado pelo vendedor DANIELE criado em 10/01/2025 11:01:01 integrado por meio do Bendito no dia 10/01/2025 às 14:15:05</t>
  </si>
  <si>
    <t>4CZN2jyDTx2GtT1Vv.94fA</t>
  </si>
  <si>
    <t>16880-A</t>
  </si>
  <si>
    <t>CONDOMÍNIO YELLOW RESIDENCE</t>
  </si>
  <si>
    <t>8F00241005160083</t>
  </si>
  <si>
    <t>PAGAMENTO BOLETO PARA 15/01/2025 e 25/01/2025
VALOR DA NF R$ 35.200,00 
VALOR TABELA R$ 19.219,26 
-   DIF VAL TAB X NF R$ 15.980,74 
-   DIF IMPOSTO 17% R$  2.716,73 
IMPOSTO ESTADUAL R$ 1.760,00 
TOTAL A PAGAR R$ 23.695,99
FRETE CIF DESCONTAR DA COMISSÃO
 Pedido nº 1922 enviado pelo vendedor DANIELE criado em 10/01/2025 11:15:00 integrado por meio do Bendito no dia 10/01/2025 às 14:16:07</t>
  </si>
  <si>
    <t>Qpku.87cR3WBZG-pziCkDA</t>
  </si>
  <si>
    <t>16880-B</t>
  </si>
  <si>
    <t>8F00241021260004</t>
  </si>
  <si>
    <t>SiZYq33Om98InYMzRYUv</t>
  </si>
  <si>
    <t>16881-A</t>
  </si>
  <si>
    <t>8F00240812170094</t>
  </si>
  <si>
    <t>PAGAMENTO ENTRADA + BOLETO 30 DIAS
ENVIAR PELA SAO MIGUEL PALHOÇA
 Pedido nº 1924 enviado pelo vendedor DANIELE criado em 10/01/2025 13:12:40 integrado por meio do Bendito no dia 10/01/2025 às 14:17:17</t>
  </si>
  <si>
    <t>UzDfIFwivQANmKb835V7</t>
  </si>
  <si>
    <t>16881-B</t>
  </si>
  <si>
    <t>8E00241021140001</t>
  </si>
  <si>
    <t>vGqFk8HKTXWHmLgfn4z31g</t>
  </si>
  <si>
    <t>16882</t>
  </si>
  <si>
    <t>LEOMAR</t>
  </si>
  <si>
    <t>IYP5D45 - RETIRA - JONATHAN LAMPUGNANI - 85867780015 - VW / CARGA CAMINHAO / BRANCA  / 2019</t>
  </si>
  <si>
    <t>Pedido nº 1925 enviado pelo vendedor DANIELE criado em 10/01/2025 13:15:30 integrado por meio do Bendito no dia 10/01/2025 às 14:19:49</t>
  </si>
  <si>
    <t>FBGHUe4XSF2PZIpmbLqb.w</t>
  </si>
  <si>
    <t>16886</t>
  </si>
  <si>
    <t>8E00241021140020</t>
  </si>
  <si>
    <t>CIF ATÉ SÃO PAULO (CAPITAL)
REDESPACHO FOB: TAS LOGISTICA E TRANSPORTE LTDA, CNPJ: 40.835.229/0001-60 - RUA
FRANCISCO DIOGO DE ASSIS VASCONCELOS Nº: 173 CEP: 06.230-010 Bairro:
PIRATININGA, OSASCO - SP
 Pedido nº 1927 enviado pelo vendedor Fábio criado em 13/01/2025 09:20:04 integrado por meio do Bendito no dia 13/01/2025 às 09:58:25
O REDESPACHO SERA FOB - 40.835.229/0001-60 - TAS LOGISTICA E TRANSPORTE LTDARUA FRANCISCO DIOGO DE ASSIS VASCONCELOS 173, PIRATININGA, OSASCO/SP - CEP - 06.230-010</t>
  </si>
  <si>
    <t>0Zjxs971QqyvfcCYVb6dbw</t>
  </si>
  <si>
    <t>16887</t>
  </si>
  <si>
    <t>HELIOSOL AQUECEDORES SOLAR</t>
  </si>
  <si>
    <t>8E00241005140042</t>
  </si>
  <si>
    <t xml:space="preserve">EDB TRANSPORTES LTDA </t>
  </si>
  <si>
    <t>REDESPACHO FOB CNPJ: 32.214.374/0003-68 - EDB TRANSPORTES LTDA - R ELI, 853 - VILA MARIA - CEP 02.114-011 - SÃO PAULO-SP I.E. 138.949.106.113
Entregar na Av. C-182, Qd. 328 - Lt. 06 - Jardim América, Goiânia - GO, CEP 74275-020
 Pedido nº 1906 enviado pelo vendedor Ranoika  criado em 08/01/2025 11:10:59 integrado por meio do Bendito no dia 13/01/2025 às 16:18:04</t>
  </si>
  <si>
    <t>Bj911ezgR5G3ImN4HECxLg</t>
  </si>
  <si>
    <t>16888</t>
  </si>
  <si>
    <t>8E00241005130031</t>
  </si>
  <si>
    <t>Cliente Denis
 Pedido nº 1928 enviado pelo vendedor Renato criado em 13/01/2025 12:00:08 integrado por meio do Bendito no dia 13/01/2025 às 16:19:12</t>
  </si>
  <si>
    <t>al5-WQh7SCyASKgogJ56EA</t>
  </si>
  <si>
    <t>16889</t>
  </si>
  <si>
    <t>8F00241005160056</t>
  </si>
  <si>
    <t xml:space="preserve">TRANSP. AMC </t>
  </si>
  <si>
    <t>O REDESPACHO SERA FOB - TRANSP. AMC - CNPJ:04.767.841/0002-60 - END: R SLD. MANUEL F. GOMES, 25, CEP: 02.180-070
Pedido nº 1929 enviado pelo vendedor Marcelo criado em 13/01/2025 15:06:20 integrado por meio do Bendito no dia 13/01/2025 às 16:19:54
O REDESPACHO SERA FOB - TRANSP. AMC - CNPJ:04.767.841/0002-60 - END: R SLD. MANUEL F. GOMES, 25, São Paulo/SP - CEP: 02.180-070</t>
  </si>
  <si>
    <t>zruFS-rETlSdUwYp51LxGw</t>
  </si>
  <si>
    <t>16898</t>
  </si>
  <si>
    <t>8F00240812170091</t>
  </si>
  <si>
    <t xml:space="preserve">NÃO PASSOU NA ANALISE DE CRÉDITO POR TER TÍTULOS EM ATRASO
FRETE COM REDESPACHO PELA TRANSPORTADORA RODONAVES. CNPJ: 44.914.992/0037-49. 
ENDEREÇO: RUA SÃO QUIRINO 1090, - VILA GUILHERME - SÃO PAULO CEP 02.056-070
 Pedido nº 1932 enviado pelo vendedor Luiz  criado em 13/01/2025 17:29:50 integrado por meio do Bendito no dia 15/01/2025 às 07:19:09
O REDESPACHO SERA FOB - TRANSP. RODONAVES - CNPJ: 44.914.992/0013-71 - END: Parque Anhanguera, Av. Alexandre Colares, 500 - Vila Jaguara, São Paulo - SP, 05106-000			</t>
  </si>
  <si>
    <t>wfCxNjrNTVCcamRXqYkSUw</t>
  </si>
  <si>
    <t>16899-A</t>
  </si>
  <si>
    <t>8F00241005160067</t>
  </si>
  <si>
    <t>Pedido nº 1934 enviado pelo vendedor Renato criado em 14/01/2025 14:50:12 integrado por meio do Bendito no dia 15/01/2025 às 07:20:37</t>
  </si>
  <si>
    <t>Rueiysa4jwKeYh2KCMdH</t>
  </si>
  <si>
    <t>16899-B</t>
  </si>
  <si>
    <t>8E00241021140050</t>
  </si>
  <si>
    <t>a-aqXuNI0T2aCMt4fM9iK.A</t>
  </si>
  <si>
    <t>16900</t>
  </si>
  <si>
    <t>13767</t>
  </si>
  <si>
    <t>A forma de pagto será 30/60/90/120 - aprovada pelo Mario Dick
Frete FOB com redespacho pela Expresso Raquel - CNPJ SP : 03.823.190/0002-16. - ENDEREÇO SÃO PAULO : RUA SOLDADO AMERICO RODRIGUES 131, GALPÃO MODULO A - PQ NOVO MUNDO - CEP: 02.186-020
Mario-Aprovado 120 dds sem juros no modelo on/off
 Pedido nº 1935 enviado pelo vendedor Luiz  criado em 14/01/2025 16:07:36 integrado por meio do Bendito no dia 15/01/2025 às 07:21:27
O REDESPACHO SERA FOB - TRANSP. EXPRESSO RAQUEL - CNPJ:03.823.190/0002-16 - END: R SOLD AMERICO R. 131, CEP: 02.186-020</t>
  </si>
  <si>
    <t>wQ0uvyARRNOPsBnOgYmpjg</t>
  </si>
  <si>
    <t>16902</t>
  </si>
  <si>
    <t>8F00241005180017</t>
  </si>
  <si>
    <t>FRETE FOB COM REDESPACHO PELA EXPRESSO RAQUEL -  CNPJ SP : 03.823.190/0002-16. - ENDEREÇO SÃO PAULO : RUA SOLDADO AMERICO RODRIGUES 131, GALPÃO MODULO A - PQ NOVO MUNDO - CEP: 02.186-020
 Pedido nº 1933 enviado pelo vendedor Luiz  criado em 14/01/2025 11:22:09 integrado por meio do Bendito no dia 15/01/2025 às 07:43:37</t>
  </si>
  <si>
    <t>HWYW5QgCQE-M22E8RjjMUA</t>
  </si>
  <si>
    <t>16907</t>
  </si>
  <si>
    <t>SOUZA TEC</t>
  </si>
  <si>
    <t>8F00241021270005</t>
  </si>
  <si>
    <t>TNT MERCURIO C E E EXS LTDA</t>
  </si>
  <si>
    <t>Frete FOB
Redespacho pela TNT MERCURIO C E E EXS LTDA- CNPJ 95.591.723/0038-00 
Endereço: Av. Marginal Direita do Tietê, nº 2.500, bairro Vila Jaguara, São Paulo/SP, CEP 05118-100 - IE108254280116
 Pedido nº 1937 enviado pelo vendedor Luiz  criado em 15/01/2025 10:50:21 integrado por meio do Bendito no dia 15/01/2025 às 20:34:36</t>
  </si>
  <si>
    <t>lH9uAox4QiySFuSQENjHWg</t>
  </si>
  <si>
    <t>16908</t>
  </si>
  <si>
    <t>Pedido nº 1938 enviado pelo vendedor Renato criado em 15/01/2025 11:53:27 integrado por meio do Bendito no dia 15/01/2025 às 20:35:00</t>
  </si>
  <si>
    <t>IT3Ek3u.SXWT34G6WboEEw</t>
  </si>
  <si>
    <t>16909</t>
  </si>
  <si>
    <t>8F00241021260018</t>
  </si>
  <si>
    <t>Frete Cif 
 Pedido nº 1939 enviado pelo vendedor Ricardo Henrique  criado em 15/01/2025 12:24:28 integrado por meio do Bendito no dia 15/01/2025 às 20:35:24</t>
  </si>
  <si>
    <t>WVfQUHWcSqyuiMTO8TSzXw</t>
  </si>
  <si>
    <t>16910</t>
  </si>
  <si>
    <t>REDESPACHO FOB
VENDA INDICADA AGUAS E VAPORES - RN - REDESPACHO TRANSPORTADORA BOM JESUS: 11 2446 4443 - CNPJ 770.033.451/0002-91 - Endereço: R ALEXANIA, 847, CID IND SATELITE SP, GUARULHOS, SP, CEP: 07.232-010
 Pedido nº 1940 enviado pelo vendedor Sadi criado em 15/01/2025 16:34:29 integrado por meio do Bendito no dia 15/01/2025 às 20:35:59</t>
  </si>
  <si>
    <t>Y3kqUoTIQVSL7YdOSN17Rg</t>
  </si>
  <si>
    <t>16912-A</t>
  </si>
  <si>
    <t>COND. SEA COAST BEACH VILLAGE XANGRILA</t>
  </si>
  <si>
    <t>FRETE INCLUSO NO VALOR DOS PRODUTOS
 Pagamento Entrada + 5x ( com juros, autorizado por Mario via wats app, informar o valor de juros em cada parcela)
 VALOR DA NF R$  76.080,00 
VALOR TABELA R$ 38.324,70 (com adicional de juros)
  -   DIF VAL TAB X NF R$  37.755,30 
 -   DIF IMPOSTO 17% R$ 6.418,40 
IMPOSTO ESTADUAL R$ 3.804,00 
TOTAL A PAGAR R$ 48.547,10
 Pedido nº 1944 enviado pelo vendedor DANIELE criado em 16/01/2025 09:47:06 integrado por meio do Bendito no dia 16/01/2025 às 15:54:04</t>
  </si>
  <si>
    <t>NTBzsg5wRtmRnDUy4AqyYQ</t>
  </si>
  <si>
    <t>16912-B</t>
  </si>
  <si>
    <t>13923</t>
  </si>
  <si>
    <t>A6meVZnYnz1S9LlZ9ewR</t>
  </si>
  <si>
    <t>16913</t>
  </si>
  <si>
    <t>8E00241021140025</t>
  </si>
  <si>
    <t>Frete FOB
Frete FOB com REDESPACHO pela JAMEF DE OSASCO.CNPJ: 20.147.617/0068-59
END.: AV. ALBERTO J. BYINGTON, 2990, INDUSTRIAL ANHANGUERA OSASCO - SP - CEP: 06276-000
 Pedido nº 1949 enviado pelo vendedor Luiz  criado em 16/01/2025 15:26:43 integrado por meio do Bendito no dia 16/01/2025 às 15:55:16</t>
  </si>
  <si>
    <t>IcfY8UO7S4SLbN8oz5LYIg</t>
  </si>
  <si>
    <t>16914</t>
  </si>
  <si>
    <t>8F00241005100016</t>
  </si>
  <si>
    <t>Enviar pela São Miguel Palhoça
 Pedido nº 1947 enviado pelo vendedor DANIELE criado em 16/01/2025 14:15:04 integrado por meio do Bendito no dia 16/01/2025 às 15:55:46</t>
  </si>
  <si>
    <t>wygjDOTXQ52J8LfoL6hRdQ</t>
  </si>
  <si>
    <t>16915</t>
  </si>
  <si>
    <t>8E00241005140037</t>
  </si>
  <si>
    <t>Pedido nº 1946 enviado pelo vendedor Renato criado em 16/01/2025 13:50:51 integrado por meio do Bendito no dia 16/01/2025 às 15:56:08</t>
  </si>
  <si>
    <t>YZDxcOI2RYuy6s3-aO7tVA</t>
  </si>
  <si>
    <t>16916-A</t>
  </si>
  <si>
    <t>8F00241021270015</t>
  </si>
  <si>
    <t>Pedido nº 1945 enviado pelo vendedor Renato criado em 16/01/2025 10:01:28 integrado por meio do Bendito no dia 16/01/2025 às 15:56:30</t>
  </si>
  <si>
    <t>P4OxgWG7oS15lSbkASsS</t>
  </si>
  <si>
    <t>16916-B</t>
  </si>
  <si>
    <t>8F00241005160075</t>
  </si>
  <si>
    <t>zUixiOnDQLOR7yIU7UAJgQ</t>
  </si>
  <si>
    <t>16917</t>
  </si>
  <si>
    <t>8E00241021130019</t>
  </si>
  <si>
    <t>Pedido nº 1943 enviado pelo vendedor Renato criado em 16/01/2025 09:24:34 integrado por meio do Bendito no dia 16/01/2025 às 15:57:11</t>
  </si>
  <si>
    <t>E4nhzZH4RuWJdLypzVkx0Q</t>
  </si>
  <si>
    <t>16918</t>
  </si>
  <si>
    <t>8F00241021260006</t>
  </si>
  <si>
    <t>Cliente William Giocondo
 Pedido nº 1950 enviado pelo vendedor Fábio criado em 17/01/2025 09:00:03 integrado por meio do Bendito no dia 17/01/2025 às 10:30:12</t>
  </si>
  <si>
    <t>BsRuNpI2SN2YvORzGiE5ag</t>
  </si>
  <si>
    <t>16919</t>
  </si>
  <si>
    <t>8F00241005160023</t>
  </si>
  <si>
    <t>Frete Cif 
 Pedido nº 1952 enviado pelo vendedor Ricardo Henrique  criado em 17/01/2025 10:21:28 integrado por meio do Bendito no dia 17/01/2025 às 10:30:55</t>
  </si>
  <si>
    <t>oHPtTnkXRvic5u5SpTfnxA</t>
  </si>
  <si>
    <t>16922</t>
  </si>
  <si>
    <t>N DAL MOLIN DA SILVA PISCINAS</t>
  </si>
  <si>
    <t>8F00241021260014</t>
  </si>
  <si>
    <t>VALOR DA MÁQUINA R$ 8.916,00 CONFORME MARIO VIA WATSAPP, REFERENTE SUBSTITUIÇÃO DE MÁQUINA EM CLIENTE FINAL
 Pedido nº 1941 enviado pelo vendedor DANIELE criado em 15/01/2025 19:06:08 integrado por meio do Bendito no dia 17/01/2025 às 15:59:50</t>
  </si>
  <si>
    <t>UR83fHGETDCdJi.wC8ioLg</t>
  </si>
  <si>
    <t>16924-A</t>
  </si>
  <si>
    <t>8F00241021260011</t>
  </si>
  <si>
    <t>FRETE FOB
REDESPACHO TRANSPORTADORA . ST SOLUÇÕES E LOGISTICA LTDA - RUA TENENTE AMARO FELICISSIMO SLVEIRA S/N, COMPLEMENTO GP 10 PQ NOVO MUNDO, SÃO PAULO - SP TEL 11 4304-3400 - CEP: 02177-000
cancelar 16923 
 Pedido nº 1956 enviado pelo vendedor Juscelino criado em 20/01/2025 11:28:50 integrado por meio do Bendito no dia 20/01/2025 às 11:36:20
REDESPACHO FOB: TRANSPORTADORA . ST SOLUÇÕES E LOGISTICA LTDA - RUA TENENTE AMARO FELICISSIMO SLVEIRA S/N COMPLEMENTO GP 10 PQ NOVO MUNDO SÃO PAULO - SP TEL 11 4304-3400 -</t>
  </si>
  <si>
    <t>8IdMtuqsQvCgt-ZyhRZRlg</t>
  </si>
  <si>
    <t>16924-B</t>
  </si>
  <si>
    <t>8F00241021260013</t>
  </si>
  <si>
    <t>RN8as0qMd7IP44700PfA</t>
  </si>
  <si>
    <t>16925</t>
  </si>
  <si>
    <t>PEDIDO 19527 - ALCIDES MESCHKE
 Pedido nº 1957 enviado pelo vendedor Carlos Augusto  criado em 20/01/2025 11:29:02 integrado por meio do Bendito no dia 20/01/2025 às 11:40:24</t>
  </si>
  <si>
    <t>e0ExX-I1T6qplX7ZlhpxTw</t>
  </si>
  <si>
    <t>16926-A</t>
  </si>
  <si>
    <t>8E00241005130039</t>
  </si>
  <si>
    <t>Pedido de Compra Nº 6889 - constar em NF
 Pedido nº 1955 enviado pelo vendedor Fábio criado em 20/01/2025 10:41:57 integrado por meio do Bendito no dia 20/01/2025 às 16:59:49</t>
  </si>
  <si>
    <t>GKQVoRjYQ5mg-rKgXLCZOA</t>
  </si>
  <si>
    <t>16926-B</t>
  </si>
  <si>
    <t>8E00241005130036</t>
  </si>
  <si>
    <t>aBh3WipIW3ms04CjpYLF</t>
  </si>
  <si>
    <t>16926-C</t>
  </si>
  <si>
    <t>8E00241005140060</t>
  </si>
  <si>
    <t>ZIOC9fFddKGPgxFScNKs</t>
  </si>
  <si>
    <t>16926-D</t>
  </si>
  <si>
    <t>8E00241005140048</t>
  </si>
  <si>
    <t>nWUdj5y8bbhGiWBdfz5T</t>
  </si>
  <si>
    <t>16926-E</t>
  </si>
  <si>
    <t>8F00241005160058</t>
  </si>
  <si>
    <t>7mAZ2fyx94DnFumuPhWm</t>
  </si>
  <si>
    <t>16926-F</t>
  </si>
  <si>
    <t>8F00241005160049</t>
  </si>
  <si>
    <t>YoWVpstTZSeOozGakLos</t>
  </si>
  <si>
    <t>16926-G</t>
  </si>
  <si>
    <t>8F00241021270020</t>
  </si>
  <si>
    <t>A2Qh97i783oAitnpEOWd</t>
  </si>
  <si>
    <t>16926-H</t>
  </si>
  <si>
    <t>8F00241021270014</t>
  </si>
  <si>
    <t>jG57VhgB9myUnnnbbuM4</t>
  </si>
  <si>
    <t>16927-A</t>
  </si>
  <si>
    <t>8E00241021140027</t>
  </si>
  <si>
    <t>Desconto autorizado para máquina em show room, conforme Mario via WhatsApp.
ENVIAR PELA SAO MIGUEL PALHOÇA 
Mario- Autorizado 
 Pedido nº 1958 enviado pelo vendedor DANIELE criado em 20/01/2025 17:16:21 integrado por meio do Bendito no dia 21/01/2025 às 09:12:50</t>
  </si>
  <si>
    <t>GCK2yAlByhhmpUGurT2q</t>
  </si>
  <si>
    <t>16927-B</t>
  </si>
  <si>
    <t>8E00241021140031</t>
  </si>
  <si>
    <t>RXqSbZ86Tme6v-Gkpth4cQ</t>
  </si>
  <si>
    <t>16928</t>
  </si>
  <si>
    <t>8F00241021260015</t>
  </si>
  <si>
    <t>Pedido nº 1959 enviado pelo vendedor Renato criado em 21/01/2025 08:09:22 integrado por meio do Bendito no dia 21/01/2025 às 09:13:22</t>
  </si>
  <si>
    <t>exIV8ppEQYWbuF5AZCCb8A</t>
  </si>
  <si>
    <t>16929</t>
  </si>
  <si>
    <t>8E00241021130011</t>
  </si>
  <si>
    <t>Frete FOB 
Redespacho pela Expresso Raquel  - CNPJ SP  03.823.190/0002-16. - ENDEREÇO : RUA SOLDADO AMERICO RODRIGUES 131, GALPÃO MODULO A - PQ NOVO MUNDO - CEP: 02.186-020 - TEL: (31) 3392-0129
 Pedido nº 1960 enviado pelo vendedor Luiz  criado em 21/01/2025 09:36:58 integrado por meio do Bendito no dia 21/01/2025 às 09:53:36</t>
  </si>
  <si>
    <t>0DTJecZtSt6jwBxN90uXEg</t>
  </si>
  <si>
    <t>16930</t>
  </si>
  <si>
    <t>13921</t>
  </si>
  <si>
    <t>FRETE CIF DESPACHAR URGENTE
 Pedido nº 1961 enviado pelo vendedor Ricardo Henrique  criado em 21/01/2025 10:19:44 integrado por meio do Bendito no dia 21/01/2025 às 10:41:14</t>
  </si>
  <si>
    <t>qmhWqtu6TGuPFEiDBY0FKA</t>
  </si>
  <si>
    <t>16931</t>
  </si>
  <si>
    <t>Oc 3573 frete Cif 
 Pedido nº 1962 enviado pelo vendedor Ricardo Henrique  criado em 21/01/2025 12:13:13 integrado por meio do Bendito no dia 21/01/2025 às 16:04:59</t>
  </si>
  <si>
    <t>mMy5rQT1TU2CmPWRiSucpg</t>
  </si>
  <si>
    <t>16933</t>
  </si>
  <si>
    <t>8E00241005130026</t>
  </si>
  <si>
    <t>Tentar enviar ainda hoje dia 21/01/2025, cliente precisa do equipamento para o dia 23/01/2025
 Pedido nº 1964 enviado pelo vendedor Renato criado em 21/01/2025 14:00:26 integrado por meio do Bendito no dia 21/01/2025 às 16:06:07</t>
  </si>
  <si>
    <t>xS8kJwhRRjGnGsThQxn7JQ</t>
  </si>
  <si>
    <t>16934</t>
  </si>
  <si>
    <t>8E00241005130045</t>
  </si>
  <si>
    <t>Cliente - Waldir Toríbio dos Santos (constar em NF)
 Pedido nº 1965 enviado pelo vendedor Fábio criado em 21/01/2025 14:49:05 integrado por meio do Bendito no dia 21/01/2025 às 16:06:30</t>
  </si>
  <si>
    <t>r4ReQMRFScmEarHiMZSYPQ</t>
  </si>
  <si>
    <t>16935</t>
  </si>
  <si>
    <t>8E00241005130021</t>
  </si>
  <si>
    <t>Pedido nº 1966 enviado pelo vendedor Renato criado em 21/01/2025 15:18:22 integrado por meio do Bendito no dia 21/01/2025 às 16:07:19</t>
  </si>
  <si>
    <t>pQNibvPRTDChS6rp8cC1xw</t>
  </si>
  <si>
    <t>16936-A</t>
  </si>
  <si>
    <t>8E00241021130021</t>
  </si>
  <si>
    <t>Frete FOB 
O REDESPACHO SERA FOB - TRANSP. SETE LAGOS - CNPJ:03.098.929/0005-17 - END: R PEDRO TOLEDO, 407, JARDIM SANTA LIDIA, GUARULHOS, SP CEP: 07.140-000
 Pedido nº 1967 enviado pelo vendedor Luiz  criado em 21/01/2025 15:21:10 integrado por meio do Bendito no dia 21/01/2025 às 16:08:13
O REDESPACHO SERA FOB - TRANSP. SETE LAGOS - CNPJ:03.098.929/0005-17 - END: R PEDRO TOLEDO, 407, JARDIM SANTA LIDIA, GUARULHOS, SP CEP: 07.140-000</t>
  </si>
  <si>
    <t>mCtofbfZQcyBMAQ.ww477w</t>
  </si>
  <si>
    <t>16936-B</t>
  </si>
  <si>
    <t>8E00241005140043</t>
  </si>
  <si>
    <t>mahJdA6T89lg1bxJc6m5</t>
  </si>
  <si>
    <t>16937</t>
  </si>
  <si>
    <t>13929</t>
  </si>
  <si>
    <t>CLIENTE : JACKSON MUNHOZ PERDIGÃO 
END: RUA BARÃO DO RIO BRANCO- 113- CENTRO - ITAMBACURI- CEP 39.830-000 MINAS GERAIS 
AUTORIZADO PELO ABEL SEM COBRANÇA - (MAQUINA QUE INCENDIOU EM MINAS) 
 Pedido nº 1968 enviado pelo vendedor Mario  criado em 21/01/2025 16:27:45 integrado por meio do Bendito no dia 21/01/2025 às 16:29:05
REDESPACHO FOB - 41.676.545/0002-80 - MINAS STAR EXPRESS LTDA RUA GONCALVES 118 - Cidade Industrial Satelite de Sao Paulo 07222-060 - GUARULHOS - SP.</t>
  </si>
  <si>
    <t>M8SUWdxPTPWkqZYUE7sEqw</t>
  </si>
  <si>
    <t>16938</t>
  </si>
  <si>
    <t>12074</t>
  </si>
  <si>
    <t>Frete FOB
Frete FOB com redespacho pela EXPRESSO RAQUEL - CNPJ SP 03.823.190/0002-16. - ENDEREÇO SÃO PAULO : RUA SOLDADO AMERICO RODRIGUES 131, GALPÃO MODULO A - PQ NOVO MUNDO, SP - CEP:02.186-020
 Pedido nº 1969 enviado pelo vendedor Luiz  criado em 21/01/2025 16:38:46 integrado por meio do Bendito no dia 21/01/2025 às 17:13:00</t>
  </si>
  <si>
    <t>j3N9h.IwSRqIIvJc8ikdDQ</t>
  </si>
  <si>
    <t>16940</t>
  </si>
  <si>
    <t>8E00241005110025</t>
  </si>
  <si>
    <t>Frete FOB 
REDESPACHO pela Sete Lagos - CNPJ SP  03.098.929/0005-17 -  RUA PEDRO DE TOLEDO, 407 - JARDIM SANTA LIDIA - GUARULHOS - SP - CEP: 07.140-000
Favor faturar e despachar esse pedido junto com o pedido 1967 / 16936.
 Pedido nº 1970 enviado pelo vendedor Luiz  criado em 21/01/2025 17:16:55 integrado por meio do Bendito no dia 22/01/2025 às 07:36:55
O REDESPACHO SERA FOB - TRANSP. SETE LAGOS - CNPJ:03.098.929/0005-17 - END: R PEDRO TOLEDO, 407, CEP: 07.140-000</t>
  </si>
  <si>
    <t>sO19-8BaRvyhq8dTPXXb.A</t>
  </si>
  <si>
    <t>16943</t>
  </si>
  <si>
    <t>Julio Ribeiro de Campos Neto</t>
  </si>
  <si>
    <t>8F00241021270009</t>
  </si>
  <si>
    <t>VALOR CORRETO DO EQUIPAMENTO A VISTA:  
Cliente:  Instal.  Hidrelétrica Agua Verde - Canoinhas - SC   
 Pedido nº 1972 enviado pelo vendedor Carlos Augusto  criado em 22/01/2025 07:45:04 integrado por meio do Bendito no dia 22/01/2025 às 15:20:14</t>
  </si>
  <si>
    <t>uy9LEJHcSAWswjRKnyPWIA</t>
  </si>
  <si>
    <t>16944-A</t>
  </si>
  <si>
    <t>Pedido nº 1974 enviado pelo vendedor Carlos Augusto  criado em 22/01/2025 12:47:00 integrado por meio do Bendito no dia 22/01/2025 às 15:20:48</t>
  </si>
  <si>
    <t>8WMecPsAjOt6qVI6vhOh</t>
  </si>
  <si>
    <t>16944-B</t>
  </si>
  <si>
    <t>HzsQRnUvT8ScoX2pv84o3Q</t>
  </si>
  <si>
    <t>16945</t>
  </si>
  <si>
    <t>CLINICA DO FOGAO</t>
  </si>
  <si>
    <t>8E00241021130013</t>
  </si>
  <si>
    <t>Pedido nº 1975 enviado pelo vendedor Renato criado em 22/01/2025 13:16:30 integrado por meio do Bendito no dia 22/01/2025 às 15:21:18</t>
  </si>
  <si>
    <t>m0aV-6C-TPaIBIyYNc5JwA</t>
  </si>
  <si>
    <t>16946-A</t>
  </si>
  <si>
    <t>8E00241005130027</t>
  </si>
  <si>
    <t>ENVIAR PELA SAO MIGUEL
 Pedido nº 1976 enviado pelo vendedor DANIELE criado em 22/01/2025 15:52:28 integrado por meio do Bendito no dia 22/01/2025 às 15:56:07</t>
  </si>
  <si>
    <t>BZ8AfLKj9zeeP3aAeD94</t>
  </si>
  <si>
    <t>16946-B</t>
  </si>
  <si>
    <t>8E00241005130044</t>
  </si>
  <si>
    <t>hmwLGbxISEKRejf7jSCLXw</t>
  </si>
  <si>
    <t>16947</t>
  </si>
  <si>
    <t>Br Telhas</t>
  </si>
  <si>
    <t>8F00241021270018</t>
  </si>
  <si>
    <t>Pedido nº 1979 enviado pelo vendedor Renato criado em 23/01/2025 10:29:51 integrado por meio do Bendito no dia 24/01/2025 às 08:43:44</t>
  </si>
  <si>
    <t>4w4UyAPKQR6rVdoecP4QoA</t>
  </si>
  <si>
    <t>16948</t>
  </si>
  <si>
    <t>COLEGIO NOSSA SENHORA DAS NEVES</t>
  </si>
  <si>
    <t>8E00241005140012</t>
  </si>
  <si>
    <t>FRETE FOB
VENDA INDICADA AGUAS E VAPORES - RN - REDESPACHO TRANSPORTADORA BOM JESUS: 11 2446 4443 - CNPJ 70.033.451/0002-91 Endereço: R ALEXANIA, 847, CID IND SATELITE SP, GUARULHOS, SP, CEP: 07.232-010
 Pedido nº 1980 enviado pelo vendedor Sadi criado em 23/01/2025 10:43:39 integrado por meio do Bendito no dia 24/01/2025 às 08:45:11</t>
  </si>
  <si>
    <t>Dp796Uv9RqWXTEzoBf-gJQ</t>
  </si>
  <si>
    <t>16949</t>
  </si>
  <si>
    <t>8E00241005130033</t>
  </si>
  <si>
    <t>Enviar pela São Miguel
 Pedido nº 1981 enviado pelo vendedor DANIELE criado em 23/01/2025 13:54:31 integrado por meio do Bendito no dia 24/01/2025 às 08:45:44</t>
  </si>
  <si>
    <t>E9126cTLT5OvnTRluY28.A</t>
  </si>
  <si>
    <t>16950</t>
  </si>
  <si>
    <t>8E00241005130037</t>
  </si>
  <si>
    <t>REDESPACHO FOB
REDESPACHO FOB: TAS LOGISTICA E TRANSPORTE LTDA, CNPJ: 40.835.229/0001-60 - RUA
FRANCISCO DIOGO DE ASSIS VASCONCELOS Nº: 173 CEP: 06.230-010 Bairro:
PIRATININGA, OSASCO - SP
 Pedido nº 1982 enviado pelo vendedor Fábio criado em 23/01/2025 15:13:07 integrado por meio do Bendito no dia 24/01/2025 às 08:46:59
O REDESPACHO SERA FOB - 40.835.229/0001-60 - TAS LOGISTICA E TRANSPORTE LTDARUA FRANCISCO DIOGO DE ASSIS VASCONCELOS 173, PIRATININGA, OSASCO/SP - CEP - 06.230-010</t>
  </si>
  <si>
    <t>Wy0xLIohRniHQz3uyYnZoA</t>
  </si>
  <si>
    <t>16953-A</t>
  </si>
  <si>
    <t>8F00241118050053</t>
  </si>
  <si>
    <t>FATURAR E EMITIR NOTA NO DIA 30/01/2025,
 Pedido nº 1986 enviado pelo vendedor Renato criado em 24/01/2025 16:04:42 integrado por meio do Bendito no dia 27/01/2025 às 08:25:42</t>
  </si>
  <si>
    <t>5LcwE1v4bXr37mRjjC2c</t>
  </si>
  <si>
    <t>16953-B</t>
  </si>
  <si>
    <t>8E00241021140039</t>
  </si>
  <si>
    <t>xTW0q4rQQBaBcYB7QUj85w</t>
  </si>
  <si>
    <t>16954</t>
  </si>
  <si>
    <t>8B00240322003272</t>
  </si>
  <si>
    <t>Cliente possui frete cif. Liberar com urgencia pfv. 
 Pedido nº 1987 enviado pelo vendedor Ricardo Henrique  criado em 24/01/2025 16:32:01 integrado por meio do Bendito no dia 27/01/2025 às 08:27:14</t>
  </si>
  <si>
    <t>rqPSNTe7TWWbfw.n11u7XA</t>
  </si>
  <si>
    <t>16957</t>
  </si>
  <si>
    <t>13948</t>
  </si>
  <si>
    <t>Pedido nº 1991 enviado pelo vendedor Renato criado em 27/01/2025 10:32:16 integrado por meio do Bendito no dia 27/01/2025 às 10:33:08</t>
  </si>
  <si>
    <t>mowBH.JwQ9mpMTSFSPdFaA</t>
  </si>
  <si>
    <t>16958</t>
  </si>
  <si>
    <t>8E00241021130001</t>
  </si>
  <si>
    <t>CLIENTE: FRANCISCO BABTISTA NETO
 Pedido nº 1992 enviado pelo vendedor Carlos Augusto  criado em 27/01/2025 12:10:59 integrado por meio do Bendito no dia 27/01/2025 às 14:10:37</t>
  </si>
  <si>
    <t>a.1epc6LZRYWU-Zc8nGPnjA</t>
  </si>
  <si>
    <t>16959</t>
  </si>
  <si>
    <t>8B00240322003274</t>
  </si>
  <si>
    <t>Pedido nº 1993 enviado pelo vendedor Renato criado em 27/01/2025 13:28:03 integrado por meio do Bendito no dia 27/01/2025 às 14:11:01</t>
  </si>
  <si>
    <t>8uhSkWYNTkyM.9qQpysK1g</t>
  </si>
  <si>
    <t>16961</t>
  </si>
  <si>
    <t>LIVER-SOL ENERGIA SOLAR LTDA</t>
  </si>
  <si>
    <t>8E00241021130005</t>
  </si>
  <si>
    <t>RODOEXPRESS</t>
  </si>
  <si>
    <t>O REDESPACHO SERA FOB - 
TRANSPORTADORA RODOEXPRESS
CNPJ 12.360.920/0001-08
END: RUA DOMINGOS PACHECO, 01 BOX 01 QUADRA 04 - BAIRRO VILA SABRINA, SÃO PAULO/SP - CEP: 02162-020
END. PARA ENTREGA RUA PAULO EMILIO S/N, QUADRA 07 BOX 09 E 10
DENTRO DO TERMINAL DE CARGAS FERNÃO DIAS - HORÁRIO 07:00 AS 19:00 DIRETO
DADOS DA TRANSPORTADORA ESTÁ ANEXADO
 Pedido nº 1988 enviado pelo vendedor Robson criado em 27/01/2025 08:44:04 integrado por meio do Bendito no dia 27/01/2025 às 16:56:45</t>
  </si>
  <si>
    <t>jUYi7-ZbRXWpit.NTdfx0Q</t>
  </si>
  <si>
    <t>16962</t>
  </si>
  <si>
    <t>8F00241021270006</t>
  </si>
  <si>
    <t>SPP TRANSPORTE RODOVIARIO DE CARGAS LTDA</t>
  </si>
  <si>
    <t>REDESPACHO SERÁ FOB, POR CONTA DO DESTINATÁRIO
VALOR TOTAL DO PEDIDO COM OS DESCONTOS R$13.090,33
REDESPACHO SERÁ FOB, POR CONTA DO DESTINATÁRIO
SPP TRANSPORTE RODOVIARIO DE CARGAS LTDA CNPJ: 21.187.045/0001-97 
END: AVENIDA GUILHERME Nº: 483 Complemento: SALA: B; CEP: 02.053-000 Bairro: VILA GUILHERME - SAO PAULO/SP
AOS CUIDADOS DE FÁBIO CAMPINAS 
Cotação nº 44424
 Pedido nº 1994 enviado pelo vendedor Robson criado em 27/01/2025 16:26:50 integrado por meio do Bendito no dia 27/01/2025 às 16:57:14
O REDESPACHO SERA FOB - SPP TRANSPORTE RODOVIARIO DE CARGAS LTDA CNPJ: 21.187.045/0001-97 
END: AVENIDA GUILHERME Nº: 483 Complemento: SALA: B; CEP: 02.053-000 Bairro: VILA GUILHERME - SAO PAULO/SP
AOS CUIDADOS DE FÁBIO CAMPINAS</t>
  </si>
  <si>
    <t>ly97rGbYRR-.-JfmlN1.dw</t>
  </si>
  <si>
    <t>16963-A</t>
  </si>
  <si>
    <t>8F00241005100014</t>
  </si>
  <si>
    <t>PEDIDO 18888 ZANELA CONSTR.
 Pedido nº 2000 enviado pelo vendedor Carlos Augusto  criado em 27/01/2025 17:37:22 integrado por meio do Bendito no dia 27/01/2025 às 17:38:49</t>
  </si>
  <si>
    <t>zfz7XS66USYjOM5NbDM5</t>
  </si>
  <si>
    <t>16963-B</t>
  </si>
  <si>
    <t>8A00240514003103</t>
  </si>
  <si>
    <t>ryAQ8dBbSaq2Ewb0y9XhkA</t>
  </si>
  <si>
    <t>16964</t>
  </si>
  <si>
    <t>8F00241021270017</t>
  </si>
  <si>
    <t>PEDIDO 17888 Z &amp; Z 
 Pedido nº 1998 enviado pelo vendedor Carlos Augusto  criado em 27/01/2025 17:35:30 integrado por meio do Bendito no dia 27/01/2025 às 17:39:55</t>
  </si>
  <si>
    <t>d0kM90l4Trqk17Wc6v0xLA</t>
  </si>
  <si>
    <t>16965</t>
  </si>
  <si>
    <t>ATENÇÃO - CLIENTE RETIRA NA NOSSA TRANSPORTASORA EM SÃO PAULO.
Quando estiver pronta -ligar para Cliente para pegar os dados de quem irá retirar na TRANSPORTADORA . 
 Pedido nº 2002 enviado pelo vendedor Fábio criado em 27/01/2025 18:15:44 integrado por meio do Bendito no dia 27/01/2025 às 18:22:25</t>
  </si>
  <si>
    <t>htlthh7lRwmxQRrtyxVNuw</t>
  </si>
  <si>
    <t>16966</t>
  </si>
  <si>
    <t>8E00241005130013</t>
  </si>
  <si>
    <t>Pedido nº 2001 enviado pelo vendedor Renato criado em 27/01/2025 18:11:49 integrado por meio do Bendito no dia 27/01/2025 às 18:22:55</t>
  </si>
  <si>
    <t>rxoxNnnoR3Sgh0LOuKZDPw</t>
  </si>
  <si>
    <t>16968</t>
  </si>
  <si>
    <t>MMS AUTOMACAO</t>
  </si>
  <si>
    <t>8F00241005160047</t>
  </si>
  <si>
    <t>LASTRO TRANSPORTES</t>
  </si>
  <si>
    <t>Frete com redespacho FOB
Pedido reprocessado ao alterar dados do cliente 28/01/2025 08:42:34 usuário: P000992732
Frete pela transportadora Lastro transportes CNPJ : 00.525.563/0001-01 IE : 336887921113 AV. CONDEAL , 175 - PQ. SÃO LUIZ - CUMBICA CEP 07170-550 - GUARULHOS - SP
 Pedido nº 2003 enviado pelo vendedor Luiz  criado em 28/01/2025 08:06:21 integrado por meio do Bendito no dia 28/01/2025 às 08:09:32</t>
  </si>
  <si>
    <t>aYGgYcTZTPCuuoOBEz3w4A</t>
  </si>
  <si>
    <t>16969</t>
  </si>
  <si>
    <t>8E00241005140008</t>
  </si>
  <si>
    <t>ENTREGAR : estrada do Catruz 61 Pedra de Guaratiba . Cep 23026 280 . Ligar antes de entregar . 21 9 6529 5127 sr Jose. Frete Cif 
Valor frete R$236,00 embutido COTAÇÃO 298415</t>
  </si>
  <si>
    <t>2hH-6xKnROyvA88gHbIwyA</t>
  </si>
  <si>
    <t>16970-A</t>
  </si>
  <si>
    <t>8F00241021260021</t>
  </si>
  <si>
    <t>RDY5E57 - RETIRA - ISAAC JOSE FIGUEIREDO  - 06505803971 - VW / CARGA CAMINHONETE  / BRANCA  / 2021</t>
  </si>
  <si>
    <t>Prazo: 30/60/90/120 DS - com percentual de desconto de  5% para compensar o 120 ds . (informação interna )
 Pedido nº 1984 enviado pelo vendedor Carlos Augusto  criado em 24/01/2025 08:54:15 integrado por meio do Bendito no dia 28/01/2025 às 08:39:29</t>
  </si>
  <si>
    <t>k1Tht2a4p0cFRJhJXW8G</t>
  </si>
  <si>
    <t>16970-B</t>
  </si>
  <si>
    <t>8E00241021140017</t>
  </si>
  <si>
    <t>94YA0-8DSsSa5JPXqBASbg</t>
  </si>
  <si>
    <t>16971</t>
  </si>
  <si>
    <t>8F00241005160073</t>
  </si>
  <si>
    <t>Maquina substituída pela FT 50, que ocasionou muito problema. os 2520 -Liberado pelo ABEL JAIR PADILHA 
Sem cobrança e sem comissão . 
Referente a devolução de NF-e 9384 12/07/20023 - 4223 0712 6595 6600 0109 5500 1000 0093 8416 1446 6224
Pedido nº 2004 enviado pelo vendedor Fábio criado em 28/01/2025 09:11:35 integrado por meio do Bendito no dia 28/01/2025 às 09:11:57</t>
  </si>
  <si>
    <t>s2MtNaEVTMyf1Ns1BfR1Ng</t>
  </si>
  <si>
    <t>16972</t>
  </si>
  <si>
    <t>IVAM PISCINAS E JARDINS</t>
  </si>
  <si>
    <t>8F00241005160060</t>
  </si>
  <si>
    <t>RIO VERMELHO</t>
  </si>
  <si>
    <t>Pagamento entrada de 30% + 30/45/75/90 DS 
REDESPACHO FOB
TRANP. RIO VERMELHO - RUA NESTOR DE HOLANDA 136 - JD. ANDARAI - SÃO PAIULO -SP CEP. 02166-060 - CNPJ : 07.655.407-0002-87
 Pedido nº 2005 enviado pelo vendedor Juscelino criado em 28/01/2025 09:43:29 integrado por meio do Bendito no dia 28/01/2025 às 09:44:35</t>
  </si>
  <si>
    <t>PVDgZv16QNugdeLFCGYDtw</t>
  </si>
  <si>
    <t>16973</t>
  </si>
  <si>
    <t>8F00240812220280</t>
  </si>
  <si>
    <t>REDESPACHO FOB 
REDESPACHO FOB CNPJ 18.992.731/0002-07 - WJT TRANSPORTES LTDA - AV JOSÉ RANGEL FILHO, 234, BAIRRO JARDIM PONTE ALTA I - CEP 07.179-350, GUARULHOS - SP - I.E. 127.320.762.117
 Pedido nº 2008 enviado pelo vendedor Ranoika  criado em 28/01/2025 10:33:53 integrado por meio do Bendito no dia 28/01/2025 às 11:39:08</t>
  </si>
  <si>
    <t>PpGp0ygMRza.5zRa6u4f8g</t>
  </si>
  <si>
    <t>16974</t>
  </si>
  <si>
    <t>CCR CENTRO DE COMPRAS E REVENDAS</t>
  </si>
  <si>
    <t>8E00241021140047</t>
  </si>
  <si>
    <t>RAJ4J12 - RETIRA - RONALDO GUILHERME PILZ - 09714065968 - HYUNDAI / PASSAGEIRO AUTOMOVEL / BRANCA  / 2020</t>
  </si>
  <si>
    <t>A VISTA BOLETO PARA DIA 12/02/2025 
 Pedido nº 2009 enviado pelo vendedor Carlos Augusto  criado em 28/01/2025 12:10:41 integrado por meio do Bendito no dia 28/01/2025 às 14:14:04</t>
  </si>
  <si>
    <t>XNSfsm8MQTKdX48JrYkdnw</t>
  </si>
  <si>
    <t>16975</t>
  </si>
  <si>
    <t>PESSI INCORPORACOES</t>
  </si>
  <si>
    <t>ENTREGA FUTURA PREVISAO 04/09/2025
ENDEREÇO DE ENTREGA:  RUA MARABA, 3232, CENTRO, CAPÃO DA CANOA, RS, CEP:95555-000 
BOLETO 15/03/2025 E 15/04/2025
VALOR DA NF R$  18.800,00 
VALOR TABELA R$ 9.609,16 
 -   DIF VAL TAB X NF R$  9.190,84 
  -   DIF IMPOSTO 17% R$ 1.562,44 
IMPOSTO ESTADUAL R$     940,00 
TOTAL A PAGAR: R$ 12.111,60          
 Pedido nº 2013 enviado pelo vendedor DANIELE criado em 29/01/2025 08:11:23 integrado por meio do Bendito no dia 29/01/2025 às 08:24:45</t>
  </si>
  <si>
    <t>jXngI6.cSfigfKOCwgHmTA</t>
  </si>
  <si>
    <t>16976</t>
  </si>
  <si>
    <t>13955</t>
  </si>
  <si>
    <t>TÍTULO EM ABERTO
faturamento urgente. PRAZO DE ENTREGA 20 DS CORRIDOS . 
 Pedido nº 2014 enviado pelo vendedor Renato criado em 29/01/2025 08:15:09 integrado por meio do Bendito no dia 29/01/2025 às 08:28:45</t>
  </si>
  <si>
    <t>5LPGS-NdQxav90kcTz.JjQ</t>
  </si>
  <si>
    <t>16977-A</t>
  </si>
  <si>
    <t>NILO COUNTRY EMP IMOB SPE LTDA</t>
  </si>
  <si>
    <t>ENTREGA FUTURA PREVISAO 25 DE MARÇO DE 2025
AGUARDAR EMISSÃO DE NF MEDIANTE LIBERAÇÃO COM DEBORA
FRETE CIF - DESCONTAR COMISSÃO
VALOR DA NF R$  66.492,00 
  VALOR TABELA R$          34.175,55 
      -   DIF VAL TAB X NF R$       32.316,45 
  -   DIF IMPOSTO 17% R$  5.493,80 
IMPOSTO ESTADUAL R$  3.324,60 
TOTAL A PAGAR: R$ 42.993,95
 Pedido nº 2015 enviado pelo vendedor DANIELE criado em 29/01/2025 08:25:22 integrado por meio do Bendito no dia 29/01/2025 às 08:35:48</t>
  </si>
  <si>
    <t>0cqlvXysT52xci4i4puHFg</t>
  </si>
  <si>
    <t>16977-B</t>
  </si>
  <si>
    <t>owRnrK9ItdajxrYHQAAY</t>
  </si>
  <si>
    <t>16977-C</t>
  </si>
  <si>
    <t>ktGFIfu0zpXqzMAvdJ04</t>
  </si>
  <si>
    <t>16980</t>
  </si>
  <si>
    <t>8E00241021130007</t>
  </si>
  <si>
    <t>Pedido nº 2017 enviado pelo vendedor Renato criado em 29/01/2025 10:34:44 integrado por meio do Bendito no dia 29/01/2025 às 12:24:46</t>
  </si>
  <si>
    <t>l9AvHiNEQs62RFgoaBQ-2g</t>
  </si>
  <si>
    <t>16982</t>
  </si>
  <si>
    <t>13749</t>
  </si>
  <si>
    <t>FTI145LPTBR</t>
  </si>
  <si>
    <t>PREÇO ACERTADO ENTRE O ABEL E O LEANDRO DA ARCO IRIS R$ 16.755,00
PRONTA ENTREGA 
 Pedido nº 2011 enviado pelo vendedor Carlos Augusto  criado em 28/01/2025 15:50:18 integrado por meio do Bendito no dia 29/01/2025 às 15:44:19</t>
  </si>
  <si>
    <t>tM1d2fsSRZWtljgqUAyFTA</t>
  </si>
  <si>
    <t>16983</t>
  </si>
  <si>
    <t>13933</t>
  </si>
  <si>
    <t>DESCONTO ESPECIAL DO CLIENTE + 8%  R$ 12.231,21
PEDIDO VENDA 26095
 Pedido nº 2012 enviado pelo vendedor Carlos Augusto  criado em 28/01/2025 16:07:54 integrado por meio do Bendito no dia 29/01/2025 às 15:53:52</t>
  </si>
  <si>
    <t>mWtTy9RLSd6kPFqY-gvFFg</t>
  </si>
  <si>
    <t>16991</t>
  </si>
  <si>
    <t>GEA CONSTRUTORA</t>
  </si>
  <si>
    <t>13935</t>
  </si>
  <si>
    <t>NOTA FISCAL PELA PJ NO VALOR FINAL DE R$ 33.000,00 - O Pablo da SOLTEC (cliente) vai pagar a diferença de tributação ao retirar a máquina
Venda feita pelo cliente SOLTEC Com. Pisci. Banh. LTDA 
 Pedido nº 2026 enviado pelo vendedor Carlos Augusto  criado em 30/01/2025 08:24:44 integrado por meio do Bendito no dia 30/01/2025 às 10:17:13</t>
  </si>
  <si>
    <t>hlhk9fnTTBaejuZsaSqoug</t>
  </si>
  <si>
    <t>16992</t>
  </si>
  <si>
    <t>JUSMAR PEREIRA DOS SANTOS</t>
  </si>
  <si>
    <t>8E00241021140002</t>
  </si>
  <si>
    <t>Pedido nº 2024 enviado pelo vendedor Renato criado em 29/01/2025 16:02:58 integrado por meio do Bendito no dia 30/01/2025 às 10:18:42</t>
  </si>
  <si>
    <t>fdNdrcbQRoaXmeE0ZO2IyA</t>
  </si>
  <si>
    <t>16993</t>
  </si>
  <si>
    <t>13956</t>
  </si>
  <si>
    <t>PEDIDO 19720 COND. LAC LEMAN
 Pedido nº 2023 enviado pelo vendedor Carlos Augusto  criado em 29/01/2025 16:02:20 integrado por meio do Bendito no dia 30/01/2025 às 10:19:59</t>
  </si>
  <si>
    <t>COkeVK4dTMqwqRiUT8dTCw</t>
  </si>
  <si>
    <t>16994</t>
  </si>
  <si>
    <t>8E00241005130018</t>
  </si>
  <si>
    <t>Favor faturar junto com o ultimo pedido 16953
 Pedido nº 2021 enviado pelo vendedor Renato criado em 29/01/2025 14:21:53 integrado por meio do Bendito no dia 30/01/2025 às 10:20:33</t>
  </si>
  <si>
    <t>ZWGEFivEQ.2mzaPcw2xKTw</t>
  </si>
  <si>
    <t>16995</t>
  </si>
  <si>
    <t>8F00241005100023</t>
  </si>
  <si>
    <t>ENVIAR PELA SAO MIGUEL
 Pedido nº 2020 enviado pelo vendedor DANIELE criado em 29/01/2025 13:59:35 integrado por meio do Bendito no dia 30/01/2025 às 10:21:48</t>
  </si>
  <si>
    <t>KNWdPqYXS0m9EqzQyZ-1iw</t>
  </si>
  <si>
    <t>16996</t>
  </si>
  <si>
    <t>8E00241005130016</t>
  </si>
  <si>
    <t>ENVIAR PELA SAO MIGUEL - PALHOÇA
 Pedido nº 2019 enviado pelo vendedor DANIELE criado em 29/01/2025 12:40:37 integrado por meio do Bendito no dia 30/01/2025 às 10:23:25</t>
  </si>
  <si>
    <t>rkiOTGC4QtqDJa0PqYzTxQ</t>
  </si>
  <si>
    <t>16998</t>
  </si>
  <si>
    <t>8A00240514003112</t>
  </si>
  <si>
    <t>cliente : Rodrigo Alphaville 
copiar no email: vendas.lindk@gmail.com
 Pedido nº 2028 enviado pelo vendedor Mario  criado em 30/01/2025 10:33:11 integrado por meio do Bendito no dia 30/01/2025 às 10:34:53</t>
  </si>
  <si>
    <t>tXoYchQDShWnFW3ZBGQRSw</t>
  </si>
  <si>
    <t>16999-A</t>
  </si>
  <si>
    <t>8F00241005100019</t>
  </si>
  <si>
    <t>Frete FOB, com redespacho pela Grife Transportes - CNPJ SP - 25.406.384/0005-00 - GUARULHOS - R. IRAQUARA 24 - JARDIM IV CENTENARIO, GUARULHOS - SP, CEP : 07161-550 
Desconto autorizado pelo Mario Dick
 Pedido nº 2029 enviado pelo vendedor Luiz  criado em 30/01/2025 10:52:46 integrado por meio do Bendito no dia 30/01/2025 às 10:59:53
O REDESPACHO SERA FOB - TRANSP. GRIFE - CNPJ:25.406.384/0005-00 - END: R IRAQUARA, 24, CEP: 07.161-550</t>
  </si>
  <si>
    <t>7jVU4dQXRbqEmSzuqV2Czg</t>
  </si>
  <si>
    <t>16999-B</t>
  </si>
  <si>
    <t>8E00241005130023</t>
  </si>
  <si>
    <t>PwW2B0Tw7YBPivVRyDQt</t>
  </si>
  <si>
    <t>17000</t>
  </si>
  <si>
    <t>8F00241021260009</t>
  </si>
  <si>
    <t>PEDIDO 17817 - EDIFICARE
 Pedido nº 1997 enviado pelo vendedor Carlos Augusto  criado em 27/01/2025 17:33:27 integrado por meio do Bendito no dia 30/01/2025 às 11:03:50</t>
  </si>
  <si>
    <t>ajwshkYoQhmrM-O3QC66fw</t>
  </si>
  <si>
    <t>17001-A</t>
  </si>
  <si>
    <t>--</t>
  </si>
  <si>
    <t>Pedido nº 2030 enviado pelo vendedor Carlos Augusto  criado em 30/01/2025 11:08:55 integrado por meio do Bendito no dia 30/01/2025 às 12:28:25</t>
  </si>
  <si>
    <t>IiTggiKmwPvDf0uQXdE8</t>
  </si>
  <si>
    <t>17001-B</t>
  </si>
  <si>
    <t>BbgNZ8tNTVKE8yOtocoLDw</t>
  </si>
  <si>
    <t>17002</t>
  </si>
  <si>
    <t>8F00241021270008</t>
  </si>
  <si>
    <t>Pedido nº 2032 enviado pelo vendedor Renato criado em 30/01/2025 13:24:04 integrado por meio do Bendito no dia 30/01/2025 às 14:19:51</t>
  </si>
  <si>
    <t>c8l9qYDmRdqjUUqQsfl6dA</t>
  </si>
  <si>
    <t>17003</t>
  </si>
  <si>
    <t>13937</t>
  </si>
  <si>
    <t>Pedido nº 2031 enviado pelo vendedor Renato criado em 30/01/2025 13:19:34 integrado por meio do Bendito no dia 30/01/2025 às 14:20:32</t>
  </si>
  <si>
    <t>9pKiUu5FS6Gzza8CaSu6-Q</t>
  </si>
  <si>
    <t>17004</t>
  </si>
  <si>
    <t>8F00241118050051</t>
  </si>
  <si>
    <t>CLIENTE: PEDRO 
 Pedido nº 2036 enviado pelo vendedor Carlos Augusto  criado em 30/01/2025 16:38:12 integrado por meio do Bendito no dia 30/01/2025 às 16:58:38</t>
  </si>
  <si>
    <t>DgSI-jnESw-h-cdnLBehMA</t>
  </si>
  <si>
    <t>17005</t>
  </si>
  <si>
    <t>8E00241005130011</t>
  </si>
  <si>
    <t>Frete FOB, com redespacho pela Grife Transportes - CNPJ SP - 25.406.384/0005-00 - GUARULHOS - R. IRAQUARA 24 - JARDIM IV CENTENARIO, GUARULHOS - SP, CEP 07161-550
 Pedido nº 2035 enviado pelo vendedor Luiz  criado em 30/01/2025 16:32:41 integrado por meio do Bendito no dia 30/01/2025 às 16:59:11
O REDESPACHO SERA FOB - TRANSP. GRIFE - CNPJ:25.406.384/0005-00 - END: R IRAQUARA, 24, CEP: 07.161-550</t>
  </si>
  <si>
    <t>GQCsxYLgQOuCkwpUEnPaVQ</t>
  </si>
  <si>
    <t>17006-A</t>
  </si>
  <si>
    <t>8F00241118050027</t>
  </si>
  <si>
    <t>FATURAMENTO EM 30/60/90/120- VALOR DE CADA MAQUINA R$9906,00
Mario- autorizado . 
 Pedido nº 2033 enviado pelo vendedor Renato criado em 30/01/2025 15:15:36 integrado por meio do Bendito no dia 30/01/2025 às 17:00:35</t>
  </si>
  <si>
    <t>Jc7468uzQzeZZeNXl3iidQ</t>
  </si>
  <si>
    <t>17006-B</t>
  </si>
  <si>
    <t>8F00241118050026</t>
  </si>
  <si>
    <t>kaGQ2DvRNlr6AcGgfeIl</t>
  </si>
  <si>
    <t>17007-A</t>
  </si>
  <si>
    <t>8F00241005200016</t>
  </si>
  <si>
    <t>PEDIDO 163
PREÇO DAS MÁQUINAS:  FT125 R$ 19.152,59   FT75 R$ 10.567,28  TOTAL 29.719,87
 Pedido nº 2037 enviado pelo vendedor Carlos Augusto  criado em 30/01/2025 17:01:20 integrado por meio do Bendito no dia 30/01/2025 às 17:21:48</t>
  </si>
  <si>
    <t>k99hZ9CfE15ibOEba1VQ</t>
  </si>
  <si>
    <t>17007-B</t>
  </si>
  <si>
    <t>8F00241118050013</t>
  </si>
  <si>
    <t>96AtWo-VSviteDXktNUtAg</t>
  </si>
  <si>
    <t>17009-A</t>
  </si>
  <si>
    <t>8E00241021140036</t>
  </si>
  <si>
    <t>Frete FOB com redespacho pela Sete Lagos - CNPJ SP : 03.098.929/0005-17 - RUA PEDRO DE TOLEDO, 407 - JARDIM SANTA LIDIA - GUARULHOS - SP - CEP 07140-000
 Pedido nº 2039 enviado pelo vendedor Luiz  criado em 31/01/2025 09:36:59 integrado por meio do Bendito no dia 31/01/2025 às 10:12:52
O REDESPACHO SERA FOB - TRANSP. SETE LAGOS - CNPJ:03.098.929/0005-17 - END: R PEDRO TOLEDO, 407, CEP: 07.140-000</t>
  </si>
  <si>
    <t>subvfZ4jSNhkAFQFA07h</t>
  </si>
  <si>
    <t>17009-B</t>
  </si>
  <si>
    <t>8E00241021140033</t>
  </si>
  <si>
    <t>pvBL.GRHSy6goLbSdG.zaw</t>
  </si>
  <si>
    <t>17013-A</t>
  </si>
  <si>
    <t>8E00241005110022</t>
  </si>
  <si>
    <t>ESTE PEDIDO SUBSTITUI PEDIDO COM ENTREGA PARA 19/11/24 - COMISSÃO REPRESENTATE DE 3%
PREÇOS CORRETOS NESTE PEDIDO:  FTI35 R$ 7.214,49  ----- FTI75 R$ 9,114,28 = R$16.328,77
 Pedido nº 1996 enviado pelo vendedor Carlos Augusto  criado em 27/01/2025 17:31:28 integrado por meio do Bendito no dia 31/01/2025 às 11:59:17</t>
  </si>
  <si>
    <t>Na5ITGKkvX3VpP1HJzfj</t>
  </si>
  <si>
    <t>17013-B</t>
  </si>
  <si>
    <t>8F00241005160072</t>
  </si>
  <si>
    <t>yMQaE-LaQCy3njz0KsSJ1Q</t>
  </si>
  <si>
    <t>17017</t>
  </si>
  <si>
    <t>8F00241005200022</t>
  </si>
  <si>
    <t>Frete CIF
 Pedido nº 2027 enviado pelo vendedor Ranoika  criado em 30/01/2025 08:57:44 integrado por meio do Bendito no dia 31/01/2025 às 15:02:36
FRETE SEMPRE CIF SEM REDESPACHO</t>
  </si>
  <si>
    <t>s5mSFQ4OTI6KNMMyMGotig</t>
  </si>
  <si>
    <t>17018</t>
  </si>
  <si>
    <t>8F00241118050037</t>
  </si>
  <si>
    <t>Pedido nº 2046 enviado pelo vendedor Renato criado em 31/01/2025 16:41:35 integrado por meio do Bendito no dia 31/01/2025 às 16:47:03</t>
  </si>
  <si>
    <t>jL4eSwEGQbaQS6QAQuhDJg</t>
  </si>
  <si>
    <t>17020-A</t>
  </si>
  <si>
    <t>8F00241021260028</t>
  </si>
  <si>
    <t xml:space="preserve">REDESPACHO FOB
TRANSPORTADORA RAPIDO FIGEURIREDO 
 Pedido nº 2048 enviado pelo vendedor Sadi criado em 31/01/2025 17:11:22 integrado por meio do Bendito no dia 31/01/2025 às 17:12:15
O REDESPACHO SERA FOB - TRANSP. RAPIDO FIGUEIREDO - CNPJ: 10.973.773/0001-08 - END: R OURO VERDE DE GOIAS, 1233, CEP: 07.221-080	</t>
  </si>
  <si>
    <t>7C6Ul1l2e232PWY8nZ57</t>
  </si>
  <si>
    <t>17020-B</t>
  </si>
  <si>
    <t>8F00241021260033</t>
  </si>
  <si>
    <t>pqJOynT-Rfmwt5eh.VoD6Q</t>
  </si>
  <si>
    <t>17021</t>
  </si>
  <si>
    <t>8E00241021130002</t>
  </si>
  <si>
    <t>REDESPACHO FOB CNPJ 74.167.222/0002-10 - SOLIDA TRANSPORTE LTDA - R PIRACURA, 113 - JURDIM FATIMA ¿¿¿ CEP 07.177-020 ¿¿¿ GUARULHOS-SP ¿¿¿ I.E. 796.011.983.115
 Pedido nº 2049 enviado pelo vendedor Ranoika  criado em 31/01/2025 17:16:10 integrado por meio do Bendito no dia 31/01/2025 às 17:19:32
REDESPACHO FOB CNPJ 74.167.222/0002-10 - SOLIDA TRANSPORTE LTDA - R PIRACURA, 113 - JURDIM FATIMA, CEP 07.177-020  GUARULHOS-SP -  I.E. 796.011.983.115</t>
  </si>
  <si>
    <t>50vfHmikTKOX451WORij6A</t>
  </si>
  <si>
    <t>17022</t>
  </si>
  <si>
    <t>13941</t>
  </si>
  <si>
    <t>IIY2I61 - RETIRA - CESAR ROBERTO SIMSEN - 88292851020 - IMP/MBENZ  / CARGA CAMINHAO  / AMARELA  / 1998</t>
  </si>
  <si>
    <t>Pagamento entrada R$ 6.950,00 saldo 30/60/90/120 autorizado com Mario via watsapp
Enviar pela São Miguel
 Pedido nº 2050 enviado pelo vendedor DANIELE criado em 31/01/2025 17:20:07 integrado por meio do Bendito no dia 31/01/2025 às 17:21:29</t>
  </si>
  <si>
    <t>AsKENW7DQi2QreCzxj1o6Q</t>
  </si>
  <si>
    <t>17023-A</t>
  </si>
  <si>
    <t>8E00241005140056</t>
  </si>
  <si>
    <t>ENVIAR PELA SAO MIGUEL
 Pedido nº 2051 enviado pelo vendedor DANIELE criado em 31/01/2025 17:37:05 integrado por meio do Bendito no dia 31/01/2025 às 19:00:38</t>
  </si>
  <si>
    <t>PIz176y76qVsB1IVotrK</t>
  </si>
  <si>
    <t>17023-B</t>
  </si>
  <si>
    <t>8F00241118050059</t>
  </si>
  <si>
    <t>kXF.FGRUT0-oMGpGIwKjeQ</t>
  </si>
  <si>
    <t>17026-A</t>
  </si>
  <si>
    <t>MATO GROSSO</t>
  </si>
  <si>
    <t>8A00240514003104</t>
  </si>
  <si>
    <t>ST SOLUCAO</t>
  </si>
  <si>
    <t>REDESPACHO SERÁ FOB
TRANSPORTADORA . ST SOLUÇÕES E LOGISTICA LTDA - RUA TENENTE AMARO FELICISSIMO SLVEIRA S/N COMPLEMENTO GP 10 PQ NOVO
MUNDO
SÃO PAULO - SP TEL 11 4304-3400 -
MESMO EMPRESA CR KHATIA -Cliente  com fluxo de compra , com outra loja. Não precisa de entrada . 
 Pedido nº 2054 enviado pelo vendedor Juscelino criado em 31/01/2025 19:28:17 integrado por meio do Bendito no dia 31/01/2025 às 19:30:41</t>
  </si>
  <si>
    <t>oSglpkksbvez5Wcm2Tub</t>
  </si>
  <si>
    <t>17026-B</t>
  </si>
  <si>
    <t>8E00241005130022</t>
  </si>
  <si>
    <t>a-DFPrP4nRXOlJVAbVNRY5g</t>
  </si>
  <si>
    <t>17026-C</t>
  </si>
  <si>
    <t>8F00241021270012</t>
  </si>
  <si>
    <t>fFeyrVc2OszmPSpFn4qv</t>
  </si>
  <si>
    <t>17027-A</t>
  </si>
  <si>
    <t>ORIGAMI</t>
  </si>
  <si>
    <t>REDESPACHO FOB
VENDA INDICADA PELA AGUAS E VAPORES - REDESPACHO TRANSPORTADORA BOM JESUS - 11 2446 4443 - CNPJ:70.033.451/0002-91 - RUA ALEXANIA, 847 - CID IND SATÉLITE - GUARULHOS-SP - CEP:07.232-010
Mario- O difal está no acréscimo . 
 Pedido nº 2055 enviado pelo vendedor Sadi criado em 02/02/2025 18:52:20 integrado por meio do Bendito no dia 03/02/2025 às 07:12:41</t>
  </si>
  <si>
    <t>J0y65Gx6Shq-nsJKUFt9SQ</t>
  </si>
  <si>
    <t>17027-B</t>
  </si>
  <si>
    <t>Z8PLSCbKnniiizjMliCJ</t>
  </si>
  <si>
    <t>17027-C</t>
  </si>
  <si>
    <t>13982</t>
  </si>
  <si>
    <t>DCehOvCkGvenY95seNnr</t>
  </si>
  <si>
    <t>17028</t>
  </si>
  <si>
    <t>Valor correto do item:  R$ 12.364,87 (promocional de 7%)
 Pedido nº 2056 enviado pelo vendedor Carlos Augusto  criado em 03/02/2025 11:07:25 integrado por meio do Bendito no dia 03/02/2025 às 15:10:43</t>
  </si>
  <si>
    <t>Bklf.Zi5T6Wv5gYfqrC6Xg</t>
  </si>
  <si>
    <t>17029</t>
  </si>
  <si>
    <t>8E00241005130012</t>
  </si>
  <si>
    <t>Desconto de 10% autorizado pelo Mário, referente a bonificação pelo painel, da fromtherm, que o cliente colocou na fachada da loja.
Mario- Autorizado 
 Pedido nº 2057 enviado pelo vendedor Fábio criado em 03/02/2025 14:11:58 integrado por meio do Bendito no dia 03/02/2025 às 20:31:01</t>
  </si>
  <si>
    <t>Xhe9CLrkTBut3c15CvnnlA</t>
  </si>
  <si>
    <t>17030</t>
  </si>
  <si>
    <t>8F00241021270011</t>
  </si>
  <si>
    <t>REDESPACHO FOB CNPJ 18.992.731/0002-07 - WJT TRANSPORTES LTDA - AV JOSÉ RANGEL FILHO, 234, BAIRRO JARDIM PONTE ALTA I, CEP 07.179-350, GUARULHOS, SP - I.E. 127.320.762.117
 Pedido nº 2058 enviado pelo vendedor Ranoika  criado em 03/02/2025 16:22:43 integrado por meio do Bendito no dia 03/02/2025 às 20:32:37
REDESPACHO FOB CNPJ 18.992.731/0002-07 - WJT TRANSPORTES LTDA - AV JOSÉ RANGEL FILHO, 234 - BAIRRO JARDIM PONTE ALTA I - CEP 07.179-350 - GUARULHOS - SP - I.E. 127.320.762.117</t>
  </si>
  <si>
    <t>RldPlFHRR5GnE-3HTVKOyw</t>
  </si>
  <si>
    <t>17031</t>
  </si>
  <si>
    <t>RODRIGO SARAN PIMENTEL MENDES</t>
  </si>
  <si>
    <t>8F00241118050047</t>
  </si>
  <si>
    <t>FRETE CIF - DESCONTAR DA COMISSÃO
VALOR DA NF R$  18.498,00 
VALOR TABELA R$ 9.708,69
 -   DIF VAL TAB X NF R$  8789,31
  -   DIF IMPOSTO 17% R$ 1.494,18 
IMPOSTO ESTADUAL R$     898,93
TOTAL A PAGAR: 12127,87
LOCAL DE ENTREGA:  COND. INN SIDE, RUA GENERAL RONDON 1344, BAIRRO TRISTEZA, PORTO ALEGRE / RS. CEP 91900-121
 Pedido nº 2060 enviado pelo vendedor DANIELE criado em 03/02/2025 16:52:42 integrado por meio do Bendito no dia 03/02/2025 às 20:34:18</t>
  </si>
  <si>
    <t>QiBJDEwhT2atbfz-5qGZ7g</t>
  </si>
  <si>
    <t>17032</t>
  </si>
  <si>
    <t>8E00241005130034</t>
  </si>
  <si>
    <t>REDESPACHO FOB CNPJ 18.992.731/0002-07 - WJT TRANSPORTES LTDA - AV JOSÉ RANGEL FILHO, 234, BAIRRO JARDIM PONTE ALTA I - CEP 07.179-350 - GUARULHOS - SP - I.E. 127.320.762.117
 Pedido nº 2061 enviado pelo vendedor Ranoika  criado em 03/02/2025 17:51:36 integrado por meio do Bendito no dia 03/02/2025 às 20:35:33
REDESPACHO FOB CNPJ 18.992.731/0002-07 - WJT TRANSPORTES LTDA - AV JOSÉ RANGEL FILHO, 234 - BAIRRO JARDIM PONTE ALTA I - CEP 07.179-350 - GUARULHOS - SP - I.E. 127.320.762.117</t>
  </si>
  <si>
    <t>Kiak0IxST3msbTO9nPQLWw</t>
  </si>
  <si>
    <t>17035</t>
  </si>
  <si>
    <t>13868</t>
  </si>
  <si>
    <t>pagamento 50% no dia 05/02/25 e 50% na retirada da máquina.
 Pedido nº 2063 enviado pelo vendedor Carlos Augusto  criado em 04/02/2025 10:53:30 integrado por meio do Bendito no dia 04/02/2025 às 18:20:18</t>
  </si>
  <si>
    <t>F-lt9FtzS52zyCg-i25nVQ</t>
  </si>
  <si>
    <t>17036</t>
  </si>
  <si>
    <t>Soltec</t>
  </si>
  <si>
    <t>13770</t>
  </si>
  <si>
    <t>CLIENTE: SOLTEC PISCINAS - AO RETIRAR FARÁ O PAGAMENTO COM CHEQUES PARA 30/60/90 DIAS .
 Pedido nº 2064 enviado pelo vendedor Carlos Augusto  criado em 04/02/2025 11:01:33 integrado por meio do Bendito no dia 04/02/2025 às 18:21:52</t>
  </si>
  <si>
    <t>A13sOvC5TFKZQFVIo6vOUQ</t>
  </si>
  <si>
    <t>17037-A</t>
  </si>
  <si>
    <t>13946</t>
  </si>
  <si>
    <t>Pedido nº 2065 enviado pelo vendedor DANIELE criado em 04/02/2025 15:00:08 integrado por meio do Bendito no dia 04/02/2025 às 18:22:21</t>
  </si>
  <si>
    <t>F5yuHFRrQrufTFwsnmh1FQ</t>
  </si>
  <si>
    <t>17037-B</t>
  </si>
  <si>
    <t>1xqjssfGP9xPlhvjvyXz</t>
  </si>
  <si>
    <t>17039</t>
  </si>
  <si>
    <t>PAINEL DESLOCADO DE SOBREPOR
Frete FOB com redespacho pela Sete Lagos - CNPJ : 03.098.929/0005-17 - End. SP: RUA PEDRO DE TOLEDO, 407 - JARDIM SANTA LIDIA - GUARULHOS - SP - CEP 07140-000
Valor do pedido -  R$ 44.158,03 -desconto autorizado pelo Mario Dick
 Pedido nº 2059 enviado pelo vendedor Luiz  criado em 03/02/2025 16:34:45 integrado por meio do Bendito no dia 04/02/2025 às 19:06:46
O REDESPACHO SERA FOB - TRANSP. SETE LAGOS - CNPJ:03.098.929/0005-17 - END: R PEDRO TOLEDO, 407, CEP: 07.140-000</t>
  </si>
  <si>
    <t>m8PsQk5JQU-1pYVbx8UfeQ</t>
  </si>
  <si>
    <t>17040</t>
  </si>
  <si>
    <t>Frete Cif. Maquina deve seguir com botao seletor liga bomba/liga aquecimento. Zerar minha comissao e conceder +5% desc pra compensar troca de maquinas. 
obs: COLOCAR A CHAVE SELETORA(avisar o Gui) 
 Pedido nº 2067 enviado pelo vendedor Ricardo Henrique  criado em 05/02/2025 09:30:46 integrado por meio do Bendito no dia 05/02/2025 às 11:42:26</t>
  </si>
  <si>
    <t>HcMXYvuYRBKcutc04ShuyA</t>
  </si>
  <si>
    <t>17041</t>
  </si>
  <si>
    <t>8F00241118050049</t>
  </si>
  <si>
    <t>INCLUIR EMAIL : SAMUEL 
 Pedido nº 2068 enviado pelo vendedor Mario  criado em 05/02/2025 11:45:28 integrado por meio do Bendito no dia 05/02/2025 às 11:46:18</t>
  </si>
  <si>
    <t>d6q2TJfOSl6EHpMsN.6lXg</t>
  </si>
  <si>
    <t>17044</t>
  </si>
  <si>
    <t>8E00241005140050</t>
  </si>
  <si>
    <t>Mario, por favor zerar minha comissão neste pdd e dar em desconto  pro cliente .  Frete Cif 
SEM COMISSÃO . 
 Pedido nº 2069 enviado pelo vendedor Ricardo Henrique  criado em 05/02/2025 13:24:34 integrado por meio do Bendito no dia 05/02/2025 às 17:48:17</t>
  </si>
  <si>
    <t>7.BVFjRwTK2C.wN7.robOw</t>
  </si>
  <si>
    <t>17045</t>
  </si>
  <si>
    <t>8F00241021260039</t>
  </si>
  <si>
    <t>Maquina para substituir outra com problema .
Mario- Despachar a maquina e segue a cobrança, caso não retornar a maquina com problema. Quando retornar Bruna dar baixa nos títulos. Scheila ciente , ja abriu OS . 250034
 Pedido nº 2070 enviado pelo vendedor Ricardo Henrique  criado em 05/02/2025 13:28:12 integrado por meio do Bendito no dia 05/02/2025 às 17:51:37</t>
  </si>
  <si>
    <t>uZScPKdlRhejOsIzQfjnUg</t>
  </si>
  <si>
    <t>17046</t>
  </si>
  <si>
    <t>ACQUAMANIA PISCINAS</t>
  </si>
  <si>
    <t>8A00240514003110</t>
  </si>
  <si>
    <t>EOB1D12 - RETIRA - DAVI BARROS GUEDES  - 37152941831 - VW / CARGA CAMINHONETE  / BRANCA  / 2020</t>
  </si>
  <si>
    <t>Sem frete, o cliente vai retirar na fabrica.
JA FEZ O PIX . 
 Pedido nº 2071 enviado pelo vendedor Renato criado em 05/02/2025 13:33:24 integrado por meio do Bendito no dia 05/02/2025 às 17:52:21</t>
  </si>
  <si>
    <t>4CWOeE.-RKKgJ3iKQG.p0Q</t>
  </si>
  <si>
    <t>17047</t>
  </si>
  <si>
    <t>13971</t>
  </si>
  <si>
    <t>OC 3577 Frete Cif  
 Pedido nº 2072 enviado pelo vendedor Ricardo Henrique  criado em 05/02/2025 14:05:19 integrado por meio do Bendito no dia 05/02/2025 às 17:52:47</t>
  </si>
  <si>
    <t>xgVs0PlgRYebpnqyrNVA.w</t>
  </si>
  <si>
    <t>17050</t>
  </si>
  <si>
    <t>---</t>
  </si>
  <si>
    <t>PEDIDO 19824
 Pedido nº 2076 enviado pelo vendedor Carlos Augusto  criado em 06/02/2025 13:55:47 integrado por meio do Bendito no dia 07/02/2025 às 11:28:04</t>
  </si>
  <si>
    <t>YvdQ31gkSBqM9W7eIdpO5Q</t>
  </si>
  <si>
    <t>17051</t>
  </si>
  <si>
    <t>8E00241005140059</t>
  </si>
  <si>
    <t>Cliente Celso Ricardo (constar em NF)
 Pedido nº 2077 enviado pelo vendedor Fábio criado em 06/02/2025 14:49:30 integrado por meio do Bendito no dia 07/02/2025 às 11:28:32</t>
  </si>
  <si>
    <t>2aXNxcjLSemBFZvcBDvW4Q</t>
  </si>
  <si>
    <t>17052</t>
  </si>
  <si>
    <t>8E00241005140045</t>
  </si>
  <si>
    <t>ENVIAR PELA SAO MIGUEL
 Pedido nº 2078 enviado pelo vendedor DANIELE criado em 06/02/2025 15:21:01 integrado por meio do Bendito no dia 07/02/2025 às 11:30:59</t>
  </si>
  <si>
    <t>doaekYHZTRW9IltYn2zzzg</t>
  </si>
  <si>
    <t>17054-A</t>
  </si>
  <si>
    <t>8E00241005130014</t>
  </si>
  <si>
    <t>Enviar ainda hoje se possivel
 Pedido nº 2080 enviado pelo vendedor Renato criado em 07/02/2025 11:12:31 integrado por meio do Bendito no dia 07/02/2025 às 11:35:34</t>
  </si>
  <si>
    <t>5NNvDCIUcEkAhH8Hd1uE</t>
  </si>
  <si>
    <t>17054-B</t>
  </si>
  <si>
    <t>8E00241021140045</t>
  </si>
  <si>
    <t>OscNG5mTS4qAkpKntHtYmg</t>
  </si>
  <si>
    <t>17057</t>
  </si>
  <si>
    <t>8E00241005140024</t>
  </si>
  <si>
    <t>PEDIDO 26137 
 Pedido nº 2082 enviado pelo vendedor Carlos Augusto  criado em 07/02/2025 14:55:21 integrado por meio do Bendito no dia 10/02/2025 às 10:40:53</t>
  </si>
  <si>
    <t>2gwP-ypQT-GnvLT-Ob9fMQ</t>
  </si>
  <si>
    <t>17058-A</t>
  </si>
  <si>
    <t>8E00241005130028</t>
  </si>
  <si>
    <t>Pedido nº 2083 enviado pelo vendedor Renato criado em 07/02/2025 15:07:01 integrado por meio do Bendito no dia 10/02/2025 às 10:41:30</t>
  </si>
  <si>
    <t>e0qf9eIVTk2GF96bbNSNNA</t>
  </si>
  <si>
    <t>17058-B</t>
  </si>
  <si>
    <t>8E00241021140008</t>
  </si>
  <si>
    <t>HcaulwNGE7I2x90yR06x</t>
  </si>
  <si>
    <t>17059</t>
  </si>
  <si>
    <t>8E00241005140049</t>
  </si>
  <si>
    <t>O REDESP. SERA FOB - TRANSP. TRANSFORT
TRANFORT RODOVIARIO CARGAS , RUA FELÍCIO ANTÔNIO ALVES, 309 - VILA NOVA DO BONSUCESSO - GUARULHOS SP CEP. 07175-450
CNPJ 03.298.420/0003-56 - FONE (11) 2413-4577 (11) 2413-4570
 Pedido nº 2084 enviado pelo vendedor Juscelino criado em 10/02/2025 11:25:33 integrado por meio do Bendito no dia 10/02/2025 às 11:37:32
O REDESP. SERA FOB - TRANSP. TRANSFORT - CNPJ:38.243.029/0002-58 - END: R SOLD CRISTOVAO MORAIS GARCIA, 375, CEP: 02.187-090</t>
  </si>
  <si>
    <t>zJzkgpLTRWSv3z7y54bgHQ</t>
  </si>
  <si>
    <t>17060</t>
  </si>
  <si>
    <t>8F00241118050038</t>
  </si>
  <si>
    <t>Pedido nº 2085 enviado pelo vendedor Marcelo criado em 11/02/2025 08:14:33 integrado por meio do Bendito no dia 11/02/2025 às 10:31:35</t>
  </si>
  <si>
    <t>66Z1F.0MTuqxx1xujD8rpA</t>
  </si>
  <si>
    <t>17061</t>
  </si>
  <si>
    <t>DEVOLVIDA 8F00241005200015</t>
  </si>
  <si>
    <t>CJ9ZtKPUTwybtV3fkgPT1w</t>
  </si>
  <si>
    <t>17064</t>
  </si>
  <si>
    <t>8F00241118050023</t>
  </si>
  <si>
    <t>REDESPACHO FOB
TRANP. RIO VERMELHO - RUA NESTOR DE HOLANDA 136 - JD. ANDARAI - SÃO PAIULO -SP CEP. 02166-060 - CNPJ : 07.655.407-0002-87
 Pedido nº 2089 enviado pelo vendedor Juscelino criado em 11/02/2025 14:06:20 integrado por meio do Bendito no dia 11/02/2025 às 14:11:49</t>
  </si>
  <si>
    <t>rosv3oTXQeuEbDpqZsTVwQ</t>
  </si>
  <si>
    <t>17065-A</t>
  </si>
  <si>
    <t>8E00241005130035</t>
  </si>
  <si>
    <t xml:space="preserve">CIF - Até São Paulo - Capital
O REDESP. SERA FOB - TRANSP. 5M LTDA - CNPJ: 55.872.733/0002-99 - Endereco: AV DIORAMA, 45,
CIDADE INDUSTRIAL SATELITE DE SAO PAULO, GUARULHOS - SP CEP:07.223-180 Pedido: 1192
 Pedido nº 2088 enviado pelo vendedor Fábio criado em 11/02/2025 13:56:45 integrado por meio do Bendito no dia 11/02/2025 às 15:00:31
O REDESP. SERA FOB - TRANSP. 5M LTDA - CNPJ: 55.872.733/0002-99 - Endereço: AV DIORAMA, 45, CIDADE INDUSTRIAL SATELITE DE SAO PAULO, GUARULHOS - SP CEP:07.223-180				</t>
  </si>
  <si>
    <t>tmK4QHFwqzKwQi7wGSlK</t>
  </si>
  <si>
    <t>17065-B</t>
  </si>
  <si>
    <t>8F00241118050002</t>
  </si>
  <si>
    <t>ftjH9cjdRQKWnGQUyRYxXQ</t>
  </si>
  <si>
    <t>17066</t>
  </si>
  <si>
    <t>8E00241005140046</t>
  </si>
  <si>
    <t>DEVIDO A PREÇOS NA INTERNET, FOI NECESSÁRIO CONCEDER + 3% DE DESCONTO VALOR CORRETO R$ 9.753,18
AUTORIZADO MÁRIO 
 Pedido nº 2090 enviado pelo vendedor Carlos Augusto  criado em 11/02/2025 16:53:03 integrado por meio do Bendito no dia 11/02/2025 às 17:42:17</t>
  </si>
  <si>
    <t>FNur6GMPQrenKUt9ONifQA</t>
  </si>
  <si>
    <t>17067</t>
  </si>
  <si>
    <t>8E00241005140030</t>
  </si>
  <si>
    <t>RETIRADA NA FABRICA / (0) E-mail para nota fiscal: , E-mail de cobrança: , Telefone para contato</t>
  </si>
  <si>
    <t>mOpcetJaQ1ysRxlJQwUFOQ</t>
  </si>
  <si>
    <t>17071</t>
  </si>
  <si>
    <t>8A00240514003114</t>
  </si>
  <si>
    <t>Desconsiderar o pedido anterior que era de duas maquinas, o cliente vai fechar somente essa agora
 Pedido nº 2092 enviado pelo vendedor Renato criado em 12/02/2025 17:16:39 integrado por meio do Bendito no dia 12/02/2025 às 17:28:22</t>
  </si>
  <si>
    <t>tryr3A8DSZGxLiY8eAPEdw</t>
  </si>
  <si>
    <t>17072</t>
  </si>
  <si>
    <t>SOLTEC</t>
  </si>
  <si>
    <t>13942</t>
  </si>
  <si>
    <t>ESTE PEDIDO SUBSTITUI E CANCELA O PEDIDO 16951 - COM UMA FTI145 MONOFÁSICA
CLIENTE RETIRA NA FÁBRICA DIA 17/02/25 - SEGUNDA FEIRA 
Mario- Avisar Guilherme está ciente da celeridade desse pedido . 
 Pedido nº 2093 enviado pelo vendedor Carlos Augusto  criado em 12/02/2025 18:30:09 integrado por meio do Bendito no dia 12/02/2025 às 18:42:21</t>
  </si>
  <si>
    <t>UoDfnStzRI6KK7S.7HabVg</t>
  </si>
  <si>
    <t>17073</t>
  </si>
  <si>
    <t>13960</t>
  </si>
  <si>
    <t>PAINEL DE CONTROLE SEPARADO DA MAQUINA DE SOBREPOR 
 Pedido nº 2094 enviado pelo vendedor Carlos Augusto  criado em 12/02/2025 18:43:41 integrado por meio do Bendito no dia 12/02/2025 às 19:46:36</t>
  </si>
  <si>
    <t>WjREIkTJQsqd-8r37Xflsw</t>
  </si>
  <si>
    <t>17074</t>
  </si>
  <si>
    <t>8E00241021140043</t>
  </si>
  <si>
    <t>(cliente Diego Vinicius Costa)
copiar Samuel vendas.lindk@gmail.com
 Pedido nº 2095 enviado pelo vendedor Mario  criado em 12/02/2025 19:40:25 integrado por meio do Bendito no dia 12/02/2025 às 19:57:36</t>
  </si>
  <si>
    <t>40W8dN1vRjOCh75K9eY1-g</t>
  </si>
  <si>
    <t>17075</t>
  </si>
  <si>
    <t>8F00241021260040</t>
  </si>
  <si>
    <t>(cliente: Cristina Meirelles / Paulo Eng)
copiar Samuel vendas.lindk@gmail.com
 Pedido nº 2096 enviado pelo vendedor Mario  criado em 12/02/2025 19:47:45 integrado por meio do Bendito no dia 12/02/2025 às 19:57:45</t>
  </si>
  <si>
    <t>C.VdJlL0QryFfTKzkUj8ow</t>
  </si>
  <si>
    <t>17076</t>
  </si>
  <si>
    <t>8F00250104060004</t>
  </si>
  <si>
    <t>(Cliente: Guo Jung Liang)
copiar Samuel vendas.lindk@gmail.com
 Pedido nº 2097 enviado pelo vendedor Mario  criado em 12/02/2025 19:52:59 integrado por meio do Bendito no dia 12/02/2025 às 19:57:55</t>
  </si>
  <si>
    <t>YufmbSFNQF6ILrbGCAgXFQ</t>
  </si>
  <si>
    <t>17077-A</t>
  </si>
  <si>
    <t>8E00241005130032</t>
  </si>
  <si>
    <t>TRANFORT RODOVIARIO CARGAS , RUA FELÍCIO ANTÔNIO ALVES, 309 - VILA NOVA DO BONSUCESSO - GUARULHOS SP CEP. 07175-450
CNPJ 03.298.420/0003-56 - FONE (11) 2413-4577 (11) 2413-4570
 Pedido nº 2087 enviado pelo vendedor Juscelino criado em 11/02/2025 13:52:54 integrado por meio do Bendito no dia 11/02/2025 às 14:01:07
O REDESP. SERA FOB - TRANSP. TRANSFORT - CNPJ:38.243.029/0002-58 - END: R SOLD CRISTOVAO MORAIS GARCIA, 375, CEP: 02.187-090</t>
  </si>
  <si>
    <t>WBn7A50J1GIlIEs2W76r</t>
  </si>
  <si>
    <t>17077-B</t>
  </si>
  <si>
    <t>8E00241005130038</t>
  </si>
  <si>
    <t>7HZ6PdmHTrmTqtqtU.RVUw</t>
  </si>
  <si>
    <t>17080-A</t>
  </si>
  <si>
    <t>13963</t>
  </si>
  <si>
    <t>RXM3C37 - RETIRA - Maycom Dos Santos - 37639327806 - RIVECO / DEYLE 35150 / BRANCO / 2022</t>
  </si>
  <si>
    <t>QhiJT2xHStmvwf488kZI7A</t>
  </si>
  <si>
    <t>17080-B</t>
  </si>
  <si>
    <t>13965</t>
  </si>
  <si>
    <t>ZQrMdCcQLyankrIMqJhL</t>
  </si>
  <si>
    <t>17080-C</t>
  </si>
  <si>
    <t>13966</t>
  </si>
  <si>
    <t>04wqYo5Kh55pfhQL5czO</t>
  </si>
  <si>
    <t>17080-D</t>
  </si>
  <si>
    <t>13964</t>
  </si>
  <si>
    <t>85b1HRwCM8xEgmrmdP8v</t>
  </si>
  <si>
    <t>17082-A</t>
  </si>
  <si>
    <t>8F00241021260017</t>
  </si>
  <si>
    <t>Pedido nº 2100 enviado pelo vendedor Marcelo criado em 13/02/2025 13:56:24 integrado por meio do Bendito no dia 13/02/2025 às 20:37:09</t>
  </si>
  <si>
    <t>ge2V37ITQYymEcnPNGvMzg</t>
  </si>
  <si>
    <t>17082-B</t>
  </si>
  <si>
    <t>8F00241118050058</t>
  </si>
  <si>
    <t>hnmMNWur7Yh75MrqnwUZ</t>
  </si>
  <si>
    <t>17083</t>
  </si>
  <si>
    <t>13962</t>
  </si>
  <si>
    <t>Oc 614. Quadro deslocado sobrepor. Valor 12.364,88 pgto 30 60 90 120. Entrega rua Delfin Moreira 458 apto 1201 leblon cep 22441000
Mario- Pedido faz parte pacote de 10 maquinas -porem essa é urgente precisa faturar , para prazo 30/120 . 
 Pedido nº 2101 enviado pelo vendedor Ricardo Henrique  criado em 13/02/2025 15:21:28 integrado por meio do Bendito no dia 13/02/2025 às 20:38:35
NÃO ENTREGAR S/ENTRAR EM CONTATO COM O TELEFONE: JORGE (21) 99512-4022 AO MENOS C/ 24H</t>
  </si>
  <si>
    <t>goIleAZHQQ-GcQx8eyLDsw</t>
  </si>
  <si>
    <t>17084</t>
  </si>
  <si>
    <t>8F00241118050052</t>
  </si>
  <si>
    <t>Oc 607 Av. Epitácio pessoa, 3598, apto 1202, Lagoa, Rio de Janeiro (RJ) - CEP.: 22471-003
 Pedido nº 2103 enviado pelo vendedor Ricardo Henrique  criado em 13/02/2025 15:31:48 integrado por meio do Bendito no dia 13/02/2025 às 20:39:52
NÃO ENTREGAR S/ENTRAR EM CONTATO COM O TELEFONE: JORGE (21) 99512-4022 AO MENOS C/ 24H</t>
  </si>
  <si>
    <t>g12tm0fTQzqk3z9lBjDrEg</t>
  </si>
  <si>
    <t>17085-A</t>
  </si>
  <si>
    <t>8F00241021260035</t>
  </si>
  <si>
    <t>Oc 606 Av Américas 13033 C. Villagio Felicita-R. Sebastiao Saldanha, Z6, 71, Barra da Tijuca, Rio de Janeiro (RJ) - CEP.: 22631-000SEMPRE AVISAR COM 24 H DE ANTECEDÊNCIA DAS ENTREGAS. (21) 99512-4022 (JORGE)
Mario-UREGNTE 
 Pedido nº 2104 enviado pelo vendedor Ricardo Henrique  criado em 13/02/2025 15:34:46 integrado por meio do Bendito no dia 13/02/2025 às 20:40:30
NÃO ENTREGAR S/ENTRAR EM CONTATO COM O TELEFONE: JORGE (21) 99512-4022 AO MENOS C/ 24H</t>
  </si>
  <si>
    <t>a-9ocdo7KRQuuTnbxpuDVvw</t>
  </si>
  <si>
    <t>17085-B</t>
  </si>
  <si>
    <t>8F00241021260038</t>
  </si>
  <si>
    <t>sMxHtTU7T8aCokrDvbXA</t>
  </si>
  <si>
    <t>17086</t>
  </si>
  <si>
    <t>8A00240514003115</t>
  </si>
  <si>
    <t>Oc 985 LOCAL DE ENTREGA:
PESTANA RIO ATLÂNTICA - Rua Domingos Ferreira, 201 - Copacabana
22050-011 - Rio de Janeiro - RJ
 Pedido nº 2106 enviado pelo vendedor Ricardo Henrique  criado em 13/02/2025 16:24:37 integrado por meio do Bendito no dia 13/02/2025 às 20:43:09</t>
  </si>
  <si>
    <t>QpmgnfjKT.K2aBulhpA57Q</t>
  </si>
  <si>
    <t>17087</t>
  </si>
  <si>
    <t>8F00241021260026</t>
  </si>
  <si>
    <t>Pedido nº 2107 enviado pelo vendedor Renato criado em 13/02/2025 16:30:51 integrado por meio do Bendito no dia 13/02/2025 às 20:44:58</t>
  </si>
  <si>
    <t>56l2Ugq0SAG7rfYiPmUGUg</t>
  </si>
  <si>
    <t>17088</t>
  </si>
  <si>
    <t>pedido 26356 COND. SUNSET BOULEVARD 
 Pedido nº 2108 enviado pelo vendedor Carlos Augusto  criado em 13/02/2025 17:07:01 integrado por meio do Bendito no dia 13/02/2025 às 20:45:52</t>
  </si>
  <si>
    <t>9sIFc.J7RcWa3OxHf6etfw</t>
  </si>
  <si>
    <t>17089</t>
  </si>
  <si>
    <t>8F00250104120003</t>
  </si>
  <si>
    <t>cliente vai aguardar a chegada próximo lote em 30/03 
 Pedido nº 2109 enviado pelo vendedor Renato criado em 14/02/2025 09:49:57 integrado por meio do Bendito no dia 15/02/2025 às 14:11:14</t>
  </si>
  <si>
    <t>C33hsGDMSSSdNKlsZpoFYw</t>
  </si>
  <si>
    <t>17091</t>
  </si>
  <si>
    <t>8F00241005160034</t>
  </si>
  <si>
    <t>Pedido nº 2110 enviado pelo vendedor Renato criado em 14/02/2025 13:31:19 integrado por meio do Bendito no dia 15/02/2025 às 14:12:44</t>
  </si>
  <si>
    <t>okiUfkd0SoeYB1cGTKVdoA</t>
  </si>
  <si>
    <t>17092</t>
  </si>
  <si>
    <t>8F00241005160088</t>
  </si>
  <si>
    <t>Pedido nº 2112 enviado pelo vendedor Renato criado em 14/02/2025 16:21:55 integrado por meio do Bendito no dia 15/02/2025 às 14:14:09</t>
  </si>
  <si>
    <t>uAivLdeqQe6XrL7aItuxCA</t>
  </si>
  <si>
    <t>17093</t>
  </si>
  <si>
    <t>8F00241021270019</t>
  </si>
  <si>
    <t>Mario-Gui retirará  do estoque de segurança .
 Pedido nº 2113 enviado pelo vendedor Carlos Augusto  criado em 17/02/2025 08:49:26 integrado por meio do Bendito no dia 17/02/2025 às 08:57:06</t>
  </si>
  <si>
    <t>1dIUS70PQGqCwlYa4ISw-w</t>
  </si>
  <si>
    <t>17094-A</t>
  </si>
  <si>
    <t>8E00241021140042</t>
  </si>
  <si>
    <t>Pedido nº 2114 enviado pelo vendedor Carlos Augusto  criado em 17/02/2025 08:50:51 integrado por meio do Bendito no dia 17/02/2025 às 08:57:35</t>
  </si>
  <si>
    <t>UnoYSOJ0SPq98vee-jXCgw</t>
  </si>
  <si>
    <t>17094-B</t>
  </si>
  <si>
    <t>8F00241021260008</t>
  </si>
  <si>
    <t>kEWPONtBqt8SOLnW4OIj</t>
  </si>
  <si>
    <t>17094-C</t>
  </si>
  <si>
    <t>8F00241021260032</t>
  </si>
  <si>
    <t>bcmtLxlBGqDXAdicNfFg</t>
  </si>
  <si>
    <t>17094-D</t>
  </si>
  <si>
    <t>8F00241118050041</t>
  </si>
  <si>
    <t>xkLEk1E9ezuZeLgDeN4i</t>
  </si>
  <si>
    <t>17095</t>
  </si>
  <si>
    <t>14077</t>
  </si>
  <si>
    <t>FITLOG / (011) 2212-5862E-mail para nota fiscal: , E-mail de cobrança: , Telefone para contato
NÃO ENTREGAR S/ENTRAR EM CONTATO COM O TELEFONE: JORGE (21) 99512-4022 AO MENOS C/ 24H</t>
  </si>
  <si>
    <t>JUsvj7Y9RweNKEiTB0akSw</t>
  </si>
  <si>
    <t>17096-A</t>
  </si>
  <si>
    <t>13970</t>
  </si>
  <si>
    <t>E4kgX3C2REu0EHGFMKeBsQ</t>
  </si>
  <si>
    <t>17096-B</t>
  </si>
  <si>
    <t>13969</t>
  </si>
  <si>
    <t>O1NndG3601NLbRjPT3X6</t>
  </si>
  <si>
    <t>17096-C</t>
  </si>
  <si>
    <t>JYuzLFL9lIf7S4p5kwlE</t>
  </si>
  <si>
    <t>17096-D</t>
  </si>
  <si>
    <t>13967</t>
  </si>
  <si>
    <t>xHHcoB4ZPFcgb61NleRC</t>
  </si>
  <si>
    <t>17097-A</t>
  </si>
  <si>
    <t>20028</t>
  </si>
  <si>
    <t xml:space="preserve">&lt;HTML&gt;
&lt;HEAD&gt;
&lt;TITLE&gt;Moved Temporarily&lt;/TITLE&gt;
&lt;/HEAD&gt;
&lt;BODY BGCOLOR="#FFFFFF" TEXT="#000000"&gt;
&lt;!-- GSE Default Error --&gt;
&lt;H1&gt;Moved Temporarily&lt;/H1&gt;
The document has moved &lt;A HREF="https://script.googleusercontent.com/macros/echo?user_content_key=AehSKLjwlV-u9Kv64rP74mk64XhA4rAQtwvfC6U4JenyQqN6kctxQzImWxoqffgn7gZQPzXqHJsemLlAWoBcGrHTMw-forMnkqFXKNPai34R9smr7BtjBFZHi_tc0hvCmrB9UoHqlJCnXasHf2HoPa9N6AFn569Gf0J9Gbef35U_NRecW6Nk1VOzBjnmWxa-wcy35ODiOYyVJokvCJmN1YyhyW3P7Cm7rcom_LjaGA_YTdc23jLVA9L2Jrb3hlLrVmrTmtKDrgQB2P-y6q-TS9lEH_IN91xKSfdJUHC2SUVnFmhYxm5BFLTpRdpj-l5rdw&amp;amp;lib=M-zdWbhavtdZ1B_W2dnFDM0qoVt4lWzJ-"&gt;here&lt;/A&gt;.
&lt;/BODY&gt;
&lt;/HTML&gt;
</t>
  </si>
  <si>
    <t>uEdXBZ-SSWiL98jodKnMnA</t>
  </si>
  <si>
    <t>17097-B</t>
  </si>
  <si>
    <t>zwjp9qj2Niqgt1lM2y7X</t>
  </si>
  <si>
    <t>17098</t>
  </si>
  <si>
    <t>12259</t>
  </si>
  <si>
    <t>yuEBUHABTUidXMjoHGAsjw</t>
  </si>
  <si>
    <t>17100</t>
  </si>
  <si>
    <t>8F00241005160090</t>
  </si>
  <si>
    <t>REDESPACHO FOB  CNPJ 24.882.886/0002-93 - RADLOG TRANSPORTES LTDA Rua UMBUZEIRO, 123 - Cep 07.224-010 - BAIRRO CIDADE INDUSTRIAL SATELITE DE SAO PAULO - GUARULHOS - SP I.E. 796.514.930.111
 Pedido nº 2117 enviado pelo vendedor Ranoika  criado em 17/02/2025 16:35:29 integrado por meio do Bendito no dia 17/02/2025 às 22:39:24
REDESPACHO FOB  CNPJ 24.882.886/0002-93 - RADLOG TRANSPORTES LTDA Rua UMBUZEIRO, 123 - Cep 07.224-010 - BAIRRO CIDADE INDUSTRIAL SATELITE DE SAO PAULO - GUARULHOS - SP I.E. 796.514.930.111</t>
  </si>
  <si>
    <t>V43U-6XLRRqvntJ9gFWrvg</t>
  </si>
  <si>
    <t>17101</t>
  </si>
  <si>
    <t>8E00241021140032</t>
  </si>
  <si>
    <t>ENVIAR PELA SAO MIGUEL
 Pedido nº 2116 enviado pelo vendedor DANIELE criado em 17/02/2025 14:16:39 integrado por meio do Bendito no dia 17/02/2025 às 22:39:48</t>
  </si>
  <si>
    <t>5MLg7fifRcSmv8W3Fk615w</t>
  </si>
  <si>
    <t>17102</t>
  </si>
  <si>
    <t>AIRTON JOSE DE OLIVEIRA</t>
  </si>
  <si>
    <t>8E00241021140016</t>
  </si>
  <si>
    <t>Pagamento em boleto a vista
Frete FOB sem redespacho :  CNPJ: 44.914.992/0036-68 - IE. 260.650.455 - CONTATO (48) 32027150 ENDEREÇO : ROD BR 101 , 7725 - SÃO VICENTE - ITAJAI - OBS.: o cliente quem agenda com a transportadora, avisar quando a carga estiver liberada.
 Pedido nº 2099 enviado pelo vendedor Luiz  criado em 13/02/2025 11:53:25 integrado por meio do Bendito no dia 18/02/2025 às 08:33:33</t>
  </si>
  <si>
    <t>SXLvTmrSSzimMHLVGydcNQ</t>
  </si>
  <si>
    <t>17104</t>
  </si>
  <si>
    <t>Roberto Chaves de Vasconcelos</t>
  </si>
  <si>
    <t>8F00250104060002</t>
  </si>
  <si>
    <t>VENDA INDICADA PELA AGUAS E VAPORES - RN / REDESPACHO PELA TRANSPORTADORA BOM JESUS: 70.033.451/0002-91 - (11) 2446 4443
Mario- Acréscimo do DIFAL 
 Pedido nº 2119 enviado pelo vendedor Sadi criado em 18/02/2025 09:25:33 integrado por meio do Bendito no dia 18/02/2025 às 10:17:13</t>
  </si>
  <si>
    <t>2WD14DRnT9yz3vp9nfXXfA</t>
  </si>
  <si>
    <t>17106</t>
  </si>
  <si>
    <t>8F00250104120001</t>
  </si>
  <si>
    <t>Pedido nº 2123 enviado pelo vendedor Renato criado em 18/02/2025 16:14:12 integrado por meio do Bendito no dia 19/02/2025 às 10:02:26</t>
  </si>
  <si>
    <t>K3qANFJOSIyGQuC26qLXgg</t>
  </si>
  <si>
    <t>17107-A</t>
  </si>
  <si>
    <t>ESTE PEDIDO SUBSTITUI E CANCELA O PEDIDO FROMTHERM 17068 COM DUAS FT115  - PEDIDO DO CLIENTE 19943 - FERNANDO SOARES
PREÇO NEGOCIADO O MESMO DAS FTI115 - AUTORIZADO POR ABEL  R$ 17.550,00 CADA UNIDADE 
 Pedido nº 2120 enviado pelo vendedor Carlos Augusto  criado em 18/02/2025 10:04:11 integrado por meio do Bendito no dia 19/02/2025 às 10:15:34</t>
  </si>
  <si>
    <t>lTmeQeg0Td64NhsZGOEvyQ</t>
  </si>
  <si>
    <t>17107-B</t>
  </si>
  <si>
    <t>13931</t>
  </si>
  <si>
    <t>Udnz96rKApP2olpir8xz</t>
  </si>
  <si>
    <t>17108</t>
  </si>
  <si>
    <t>13861</t>
  </si>
  <si>
    <t>PEDIDO ANGELITA 
 Pedido nº 2125 enviado pelo vendedor Carlos Augusto  criado em 18/02/2025 21:26:25 integrado por meio do Bendito no dia 19/02/2025 às 10:23:41</t>
  </si>
  <si>
    <t>goGOolaeRFCG0dZ8GUg7aw</t>
  </si>
  <si>
    <t>17109</t>
  </si>
  <si>
    <t>8F00241005160035</t>
  </si>
  <si>
    <t>Cliente - Pedro Camargo
 Pedido nº 2126 enviado pelo vendedor Fábio criado em 19/02/2025 12:15:15 integrado por meio do Bendito no dia 19/02/2025 às 14:00:15</t>
  </si>
  <si>
    <t>5LDkvfPZTbuna87IX-RhQA</t>
  </si>
  <si>
    <t>17111</t>
  </si>
  <si>
    <t>8E00241005110019</t>
  </si>
  <si>
    <t>PREÇO COMBINADO COM O CLIENTE A VISTA:  R$ 8.016,00
 Pedido nº 2130 enviado pelo vendedor Carlos Augusto  criado em 20/02/2025 08:00:43 integrado por meio do Bendito no dia 20/02/2025 às 08:37:25</t>
  </si>
  <si>
    <t>Kcoo7rCgTQOJozykK4-KRg</t>
  </si>
  <si>
    <t>17112</t>
  </si>
  <si>
    <t>8F00240812170082</t>
  </si>
  <si>
    <t>PEDIDO RAFFAELLA BONANINNI
 Pedido nº 2129 enviado pelo vendedor Carlos Augusto  criado em 19/02/2025 17:22:52 integrado por meio do Bendito no dia 20/02/2025 às 08:38:26</t>
  </si>
  <si>
    <t>MN3irOgNR1iauMIztbffaA</t>
  </si>
  <si>
    <t>17114</t>
  </si>
  <si>
    <t>8F00241021210006</t>
  </si>
  <si>
    <t>Cliente Wilson Rodrigues Silva (constar na NF)
 Pedido nº 2127 enviado pelo vendedor Fábio criado em 19/02/2025 15:47:08 integrado por meio do Bendito no dia 20/02/2025 às 08:40:39</t>
  </si>
  <si>
    <t>7IOgqtsgTWmmBKjq95BrzA</t>
  </si>
  <si>
    <t>17116</t>
  </si>
  <si>
    <t>13867</t>
  </si>
  <si>
    <t>PELA MINHA CONTA _+ 10% + 5%  E + 3% DE DESCONTO = R$ 20.872,16 
PEDIDO FAPEU 
 Pedido nº 2124 enviado pelo vendedor Carlos Augusto  criado em 18/02/2025 21:24:35 integrado por meio do Bendito no dia 20/02/2025 às 09:34:53</t>
  </si>
  <si>
    <t>qVDyAanJQ9awmpOLFvwXIQ</t>
  </si>
  <si>
    <t>17117</t>
  </si>
  <si>
    <t>14004</t>
  </si>
  <si>
    <t>S/ NF</t>
  </si>
  <si>
    <t>OBS: VAI SEM NF-E
O.S 2734 .EQUIPAMENTO VEIO PARA CONSERTO, FOI CONSERTADA E COBRADO DO CLEINTE R$600,0 E FOI PAGO. SEGUNDO A EXPEDIÇÃO FOI ENTRGUE POREM, NÃO HÁ COMPROVANTE DE SAIDA , E O CLIENTE JUSTIFICA QUE NÃO RETIROU E AGORA QUER UMA MAQUINA NOVA . 
 Pedido nº 2132 enviado pelo vendedor Carlos Augusto  criado em 20/02/2025 09:51:45 integrado por meio do Bendito no dia 20/02/2025 às 09:51:57</t>
  </si>
  <si>
    <t>CHwees9LSNOjRnqSH9Y5lQ</t>
  </si>
  <si>
    <t>17119</t>
  </si>
  <si>
    <t>8F00240812220283</t>
  </si>
  <si>
    <t>Pedido nº 2133 enviado pelo vendedor Renato criado em 20/02/2025 10:12:27 integrado por meio do Bendito no dia 20/02/2025 às 13:57:33</t>
  </si>
  <si>
    <t>kIFETFFvSiGnlffnAi399A</t>
  </si>
  <si>
    <t>17120</t>
  </si>
  <si>
    <t>8E00241021140009</t>
  </si>
  <si>
    <t>Pedido nº 2135 enviado pelo vendedor Renato criado em 20/02/2025 14:30:19 integrado por meio do Bendito no dia 20/02/2025 às 15:03:09</t>
  </si>
  <si>
    <t>a.xDttJZTTcODY7njTAcJpg</t>
  </si>
  <si>
    <t>17125-A</t>
  </si>
  <si>
    <t>8F00241021260002</t>
  </si>
  <si>
    <t>ENDEREÇO DE ENTREGA; DAN PISCINAS : RUA BENTO MUNHOZ DA ROCHA NETO,696-CENTRO- UNIÃO DA VITORIA - PR - CEP:84600000
 Pedido nº 2136 enviado pelo vendedor Renato criado em 20/02/2025 16:27:36 integrado por meio do Bendito no dia 20/02/2025 às 17:02:10</t>
  </si>
  <si>
    <t>n0rYfTB3TU-zuXLNv5F2iQ</t>
  </si>
  <si>
    <t>17125-B</t>
  </si>
  <si>
    <t>8F00241021260001</t>
  </si>
  <si>
    <t>tFiMlswxhAE27OobgLys</t>
  </si>
  <si>
    <t>17126</t>
  </si>
  <si>
    <t>13998</t>
  </si>
  <si>
    <t>FT80B35W</t>
  </si>
  <si>
    <t>ATENÇÃO: Produção ver com PeD a liberação do controlador wi-fi 
Maquina FT80 com wifi, qualquer duvida entrar em contato com o Ednilson Henrique
Mario- Acréscimo de R$350,00 no wi-fi como case de acompanhamento . 
 Pedido nº 2138 enviado pelo vendedor Renato criado em 21/02/2025 09:15:43 integrado por meio do Bendito no dia 21/02/2025 às 11:25:21</t>
  </si>
  <si>
    <t>heUHIlDLSuCsgmuebjAZRQ</t>
  </si>
  <si>
    <t>17127</t>
  </si>
  <si>
    <t>Urbanic Incorporadora Ltda</t>
  </si>
  <si>
    <t>8E00241021140003</t>
  </si>
  <si>
    <t>PAGAMENTO CARTÃO CREDITO - ENVIAR PELA SAO MIGUEL
 Pedido nº 2140 enviado pelo vendedor DANIELE criado em 21/02/2025 13:47:15 integrado por meio do Bendito no dia 21/02/2025 às 13:58:14</t>
  </si>
  <si>
    <t>hLUf8VS1SrSUe6Pr3iJVYA</t>
  </si>
  <si>
    <t>17128</t>
  </si>
  <si>
    <t>8A00240514003116</t>
  </si>
  <si>
    <t>Pedido nº 2141 enviado pelo vendedor Renato criado em 21/02/2025 17:28:16 integrado por meio do Bendito no dia 24/02/2025 às 08:13:34</t>
  </si>
  <si>
    <t>5EdMmuL1Qz6u3apVvIryKQ</t>
  </si>
  <si>
    <t>17132-A</t>
  </si>
  <si>
    <t>Frete CIF, valor para pagamento antecipado com desconto 3% R$ 116,261,78, gerar boleto para 17/03/2025 no valor antecipado.
 Pedido nº 2121 enviado pelo vendedor Ranoika  criado em 18/02/2025 15:20:26 integrado por meio do Bendito no dia 24/02/2025 às 10:48:34
FRETE SEMPRE CIF SEM REDESPACHO</t>
  </si>
  <si>
    <t>bV5i6Yn4Qrm48VxtMr725g</t>
  </si>
  <si>
    <t>17132-B</t>
  </si>
  <si>
    <t>13988</t>
  </si>
  <si>
    <t>aLdL6uqsgLguX9yLimRL</t>
  </si>
  <si>
    <t>17132-C</t>
  </si>
  <si>
    <t>13990</t>
  </si>
  <si>
    <t>dh3Y6n8YKy28Rj2a4vj8</t>
  </si>
  <si>
    <t>17132-D</t>
  </si>
  <si>
    <t>13989</t>
  </si>
  <si>
    <t>LNQ4si6pnk6LeFWnrAvq</t>
  </si>
  <si>
    <t>17134</t>
  </si>
  <si>
    <t>FERNANDA VALLE KRIEGER</t>
  </si>
  <si>
    <t>8E00241021140004</t>
  </si>
  <si>
    <t>Frete CIF - Descontar comissão
Previsão de entrega: 11/03
Boletos 30/60/90 já podem ser emitidos 
 VALOR DA NF R$  14.320,00 
VALOR TABELA R$   7.364,70 
 -   DIF VAL TAB X NF R$  6.955,30 
 -   DIF IMPOSTO 17% R$ 1.182,40 
IMPOSTO ESTADUAL R$ 716,00
TOTAL A PAGAR R$ 9.263,10 
 Pedido nº 2145 enviado pelo vendedor DANIELE criado em 24/02/2025 16:02:41 integrado por meio do Bendito no dia 24/02/2025 às 16:05:27</t>
  </si>
  <si>
    <t>8hLXf2JzRfWLgMZwiTvkpQ</t>
  </si>
  <si>
    <t>17137</t>
  </si>
  <si>
    <t>13996</t>
  </si>
  <si>
    <t>Maquina ref substituicao ref nf 13869 - Pedido 43 - 05/08/2024. Valor da maquina 10.000,00.
Sem cobrança e sem comissão . 
 Pedido nº 2148 enviado pelo vendedor Ricardo Henrique  criado em 24/02/2025 17:05:50 integrado por meio do Bendito no dia 24/02/2025 às 17:23:47
NÃO ENTREGAR S/ENTRAR EM CONTATO COM O TELEFONE: JORGE (21) 99512-4022 AO MENOS C/ 24H</t>
  </si>
  <si>
    <t>GCGAo4d8SMe9CcsgRxhzfg</t>
  </si>
  <si>
    <t>17139-A</t>
  </si>
  <si>
    <t>CONDOMINIO PRAIA DOS CORAIS</t>
  </si>
  <si>
    <t>14000</t>
  </si>
  <si>
    <t>REIS/AMARAL TRANSPORTES</t>
  </si>
  <si>
    <t>PEDIDO A SER PAGO EM 15/03/2025. -  OBS: Devem sair com painel deslocado. O pedido que possui 10% de comissão para o André da Polihidro.
REDESPACHO: Reis Transportes, segue link abaixo da transportadora.
https://www.reistransportes.com.br/novo/contato.php
PEDIDO COM IMPOSTO DIFAL INCLUSO.
PEDIDO A SER PAGO EM 15/03/2025.- 
Mario- Eline liberar após o pagamento 
 Pedido nº 2144 enviado pelo vendedor Carlos Henrique criado em 24/02/2025 08:21:07 integrado por meio do Bendito no dia 25/02/2025 às 09:28:11</t>
  </si>
  <si>
    <t>34LgjfNvR3KLTbiIkCyH3Q</t>
  </si>
  <si>
    <t>17139-B</t>
  </si>
  <si>
    <t>YsXpXOWwLV0WguQn1LpP</t>
  </si>
  <si>
    <t>17140</t>
  </si>
  <si>
    <t>BOTTEGA HOTEL LTDA</t>
  </si>
  <si>
    <t>14001</t>
  </si>
  <si>
    <t>EXPRESSO SÃO MIGUEL</t>
  </si>
  <si>
    <t>ALLIEXLOG TRANSPORTE LTDA / (0) -Obs.Interna: acréscimo de Difal - Forma de pagamento 25% + 30/60/90/120/150 ds .  (Comprovante de entrada c financeiro )  / E-mail para nota fiscal: , E-mail de cobrança: , Telefone para contato</t>
  </si>
  <si>
    <t>mu58lNDfTCqX7jShhOlv0w</t>
  </si>
  <si>
    <t>17142</t>
  </si>
  <si>
    <t>Pedido nº 2151 enviado pelo vendedor Carlos Augusto  criado em 25/02/2025 16:35:29 integrado por meio do Bendito no dia 25/02/2025 às 17:12:07</t>
  </si>
  <si>
    <t>JZHL9BFITXCnc3D37kLUGg</t>
  </si>
  <si>
    <t>17145</t>
  </si>
  <si>
    <t>8E00241021140024</t>
  </si>
  <si>
    <t>Cliente: Dalila Vieira Pinheiro Soares - constar em NF
 Pedido nº 2157 enviado pelo vendedor Fábio criado em 26/02/2025 14:23:06 integrado por meio do Bendito no dia 26/02/2025 às 15:03:19</t>
  </si>
  <si>
    <t>40gbpbdzSdS.99xZ7CPfAw</t>
  </si>
  <si>
    <t>17146</t>
  </si>
  <si>
    <t>8E00241021140006</t>
  </si>
  <si>
    <t>MIN4C14 - RETIRA - MARCIO BEDNAREK - 99241560053 - JAC / J3 TOURING / PRETA / 2011</t>
  </si>
  <si>
    <t>preço a vista negociado com o cliente:  R$ 7.932,50 - depositado dia 21/02/2025 
 Pedido nº 2152 enviado pelo vendedor Carlos Augusto  criado em 25/02/2025 16:51:59 integrado por meio do Bendito no dia 26/02/2025 às 15:05:30</t>
  </si>
  <si>
    <t>7QACMqMrQySQF1LXaFLbfQ</t>
  </si>
  <si>
    <t>17147-A</t>
  </si>
  <si>
    <t>8F00241021260005</t>
  </si>
  <si>
    <t>Pedido nº 2153 enviado pelo vendedor Carlos Augusto  criado em 25/02/2025 17:28:20 integrado por meio do Bendito no dia 26/02/2025 às 15:05:58</t>
  </si>
  <si>
    <t>cqCUv2y.QHqm-ce6hQVAsg</t>
  </si>
  <si>
    <t>17147-B</t>
  </si>
  <si>
    <t>Pb0rzX6sfTZ2hTMbwNg6</t>
  </si>
  <si>
    <t>17147-C</t>
  </si>
  <si>
    <t>13994</t>
  </si>
  <si>
    <t>JJDSLetar3izgLNvMQ6X</t>
  </si>
  <si>
    <t>17148-A</t>
  </si>
  <si>
    <t>8F00241021210034</t>
  </si>
  <si>
    <t>PEDIDO 20010 - TRAMONTO 
 Pedido nº 2154 enviado pelo vendedor Carlos Augusto  criado em 26/02/2025 09:27:00 integrado por meio do Bendito no dia 26/02/2025 às 15:06:26</t>
  </si>
  <si>
    <t>oyx9pFQpjKwxUzYGs72C</t>
  </si>
  <si>
    <t>17148-B</t>
  </si>
  <si>
    <t>13992</t>
  </si>
  <si>
    <t>utZ4ufS7SP-PFnU1uAC1Ew</t>
  </si>
  <si>
    <t>17149-A</t>
  </si>
  <si>
    <t>SHOPPING DA PISCINA</t>
  </si>
  <si>
    <t>ALTERAR PRAZO DE PAGAMENTO PARA 30/60/90/120 DIAS
NOTA FISCAL   COM REMESSA DE ENTREGA FUTURA PARA 120 DIAS MAS COM PAGAMENTO NO PRAZO ACIMA A CONTAR DA NOTA FISCAL SEM REMESSSA .
Mario- As maquinas sairão após o pagamento conforme combinado com cliente . 
 Pedido nº 2156 enviado pelo vendedor Carlos Augusto  criado em 26/02/2025 10:48:34 integrado por meio do Bendito no dia 26/02/2025 às 15:08:03</t>
  </si>
  <si>
    <t>jPX2PKQBTkOvl7pe7E0i4w</t>
  </si>
  <si>
    <t>17149-B</t>
  </si>
  <si>
    <t>Y9AUSnZDToKqqtd0V4u0</t>
  </si>
  <si>
    <t>17152-A</t>
  </si>
  <si>
    <t>8A00240514003117</t>
  </si>
  <si>
    <t>RLL3I15 - RETIRA - MARCIO ALBANO -  - RENAUT / MASTER  / BRANCA  / 2022</t>
  </si>
  <si>
    <t>MARIO - CONCEDER DESCONTO DE R$ 249,00  RELATIVO A BRINDE DE FINAL DE ANO PARA OS FUNCIONÁRIOS DA EMPRESA .
Mario- Eu concedi esse desconto conforme conversa no WhatsApp dia 28/11/2024 . 
 Pedido nº 2160 enviado pelo vendedor Carlos Augusto  criado em 26/02/2025 22:11:56 integrado por meio do Bendito no dia 27/02/2025 às 08:42:58</t>
  </si>
  <si>
    <t>TIB2KYyZRFml1jT03O9PIQ</t>
  </si>
  <si>
    <t>17152-B</t>
  </si>
  <si>
    <t>8F00241021260003</t>
  </si>
  <si>
    <t>nDrfKHFDVr2q2ybsi0rx</t>
  </si>
  <si>
    <t>17152-C</t>
  </si>
  <si>
    <t>8E00241021130025</t>
  </si>
  <si>
    <t>iSC9TkVG9No149k6fdvM</t>
  </si>
  <si>
    <t>17153</t>
  </si>
  <si>
    <t>8F00250104120002</t>
  </si>
  <si>
    <t>Pedido nº 2159 enviado pelo vendedor Carlos Augusto  criado em 26/02/2025 22:08:48 integrado por meio do Bendito no dia 27/02/2025 às 08:43:19</t>
  </si>
  <si>
    <t>US6Ce0PeS3yJ4aJ0zraV6Q</t>
  </si>
  <si>
    <t>17154</t>
  </si>
  <si>
    <t>CLAUDIO ABREU SOCIEDADE INDIVIDUAL DE ADVOCACIA</t>
  </si>
  <si>
    <t>8F00241021260022</t>
  </si>
  <si>
    <t>BOLETOS PARA 06/03/2025 R$6.130,00  06/04/2025 R$6.130,00 06/05/2025 R$6.130,00
LOCAL DE ENTREGA: RUA DONA ADDA MASCARENHAS DE MORAES Nº 1528 - CEP:  91.220-140 BAIRRO: JARDIM SABARA - PORTO ALEGRE/ RS
FRET CIF - DESCONTAR DA COMISSÃO
 VALOR DA NF R$  18.390,00 
VALOR TABELA R$   9.708,70 
 -   DIF VAL TAB X NF R$ 8.681,30 
-   DIF IMPOSTO 17% R$ 1.475,82 
IMPOSTO ESTADUAL R$  919,50 
TOTAL A PAGAR: R$  12.104,02                    
 Pedido nº 2161 enviado pelo vendedor DANIELE criado em 27/02/2025 07:46:08 integrado por meio do Bendito no dia 27/02/2025 às 08:43:54</t>
  </si>
  <si>
    <t>qSby1wq8TKCFg2VtGrjDHw</t>
  </si>
  <si>
    <t>17155-A</t>
  </si>
  <si>
    <t>8F00240812170079</t>
  </si>
  <si>
    <t>Pedido nº 2162 enviado pelo vendedor Renato criado em 27/02/2025 08:05:13 integrado por meio do Bendito no dia 27/02/2025 às 08:45:52</t>
  </si>
  <si>
    <t>AsxFxcdRT3uTwLAtqd8tSg</t>
  </si>
  <si>
    <t>17155-B</t>
  </si>
  <si>
    <t>8E00241021140007</t>
  </si>
  <si>
    <t>GjBwkpqAD1Fj0UD0xxFq</t>
  </si>
  <si>
    <t>17156</t>
  </si>
  <si>
    <t>8F00241021210015</t>
  </si>
  <si>
    <t>Pedido nº 2163 enviado pelo vendedor Carlos Augusto  criado em 27/02/2025 10:34:12 integrado por meio do Bendito no dia 27/02/2025 às 10:34:58</t>
  </si>
  <si>
    <t>G1-BagmSTLGM6BW.uyjN9Q</t>
  </si>
  <si>
    <t>17157</t>
  </si>
  <si>
    <t>8F00250104060001</t>
  </si>
  <si>
    <t>FOB / E-mail para nota fiscal: , E-mail de cobrança: , Telefone para contato</t>
  </si>
  <si>
    <t>DjfKxaJlScCbWyD7C9NxVg</t>
  </si>
  <si>
    <t>ASSOCIACAO DE PAIS E AMIGOS DOS EXCEPCIONAIS DE S</t>
  </si>
  <si>
    <t>8F00241225070013</t>
  </si>
  <si>
    <t>ANTIGO - 18178 NF ANTIGA - 13641 FIZERAM CONFUSAO</t>
  </si>
  <si>
    <t xml:space="preserve">&lt;HTML&gt;
&lt;HEAD&gt;
&lt;TITLE&gt;Moved Temporarily&lt;/TITLE&gt;
&lt;/HEAD&gt;
&lt;BODY BGCOLOR="#FFFFFF" TEXT="#000000"&gt;
&lt;!-- GSE Default Error --&gt;
&lt;H1&gt;Moved Temporarily&lt;/H1&gt;
The document has moved &lt;A HREF="https://script.googleusercontent.com/macros/echo?user_content_key=AehSKLhId8z4wXkP_pq1mu_8RzIDu9U90te9eEtdh0JFX2Dsb1GwUNhHKsUrAslZmP9mtaPsT-JZO3HplJ9f9EyEDbdqcUFuunk5uQ8bYLEhxFMx_-u957iDipyctcvBSunnhUG7yo-pu_Es6Y9llkZiYeKJkvAAOdoglp0EtSkHe77FeWFQJdRWGX-A8SFS1A5oL3_11UkV9H-ROpb2Ph1OxZpTGwZiRpllUdK9GF1yWD8LobrVo7iZ9li2iBOsJRBNlKfH6KN8ztCZ01KrEEgMwHNE5TIWftiky7hnkxcOyzwTgVfPxpIj1bcp139CuQ&amp;amp;lib=M-zdWbhavtdZ1B_W2dnFDM0qoVt4lWzJ-"&gt;here&lt;/A&gt;.
&lt;/BODY&gt;
&lt;/HTML&gt;
</t>
  </si>
  <si>
    <t>nNLDubTES.6Y8d.g4l39XA</t>
  </si>
  <si>
    <t>17161-A</t>
  </si>
  <si>
    <t>TAJ HOME RESORT SPE 037 - EMPREENDIMENTOS IMOBILIARIOS LTDA</t>
  </si>
  <si>
    <t>ATENÇÃO; Entrega será informada. Maquinas terão que sair com comando para acionar varias maquinas num só controlador .Entrega para outubro  de 2025.
Maquinas Taj Home Resort. Pgto em 10 boletos . Remessa entrega futura.
Entrega será informada. Maquinas terão que sair com comando para acionar varias maquinas num só controlador .Entrega para outubro  de 2025.
Eline- Cliente irá  pagar valor de R$ 662.888,00 referente ao acréscimo de 7,5 % de DIFAL . Portanto os boletos serão de R$66.288,80 cada 
 Pedido nº 2150 enviado pelo vendedor Ricardo Henrique  criado em 25/02/2025 15:29:43 integrado por meio do Bendito no dia 27/02/2025 às 14:15:23</t>
  </si>
  <si>
    <t>K1YbNEmeTOKNqvOCuOWFWw</t>
  </si>
  <si>
    <t>17161-B</t>
  </si>
  <si>
    <t>JMhHtR9aXaQ68Whu7iTz</t>
  </si>
  <si>
    <t>17161-C</t>
  </si>
  <si>
    <t>SOLICITADO14/10 : COMPRESSOR, GABINETE, EVAPORADORA
CUBA TEMOS EM ESTOQUE</t>
  </si>
  <si>
    <t>GM5OfVq4b2JGDoymSg5g</t>
  </si>
  <si>
    <t>17161-D</t>
  </si>
  <si>
    <t>N1xtF7YQl7U6Tey4Dmaq</t>
  </si>
  <si>
    <t>17161-E</t>
  </si>
  <si>
    <t>I0brxU1M7mgFiP5Enkwd</t>
  </si>
  <si>
    <t>17161-F</t>
  </si>
  <si>
    <t>WFBvhcmyc0QRGq3FNYKD</t>
  </si>
  <si>
    <t>17161-G</t>
  </si>
  <si>
    <t>bAU6OgRwyqbxgFr4GrDK</t>
  </si>
  <si>
    <t>17161-H</t>
  </si>
  <si>
    <t>2x9qbOMhH9HdAYef6MLm</t>
  </si>
  <si>
    <t>17161-I</t>
  </si>
  <si>
    <t>uS9AvS4Brl7FAzodLSNF</t>
  </si>
  <si>
    <t>17161-J</t>
  </si>
  <si>
    <t>2YWQak2ZPgfoBX68kYp1</t>
  </si>
  <si>
    <t>17161-K</t>
  </si>
  <si>
    <t>TOEKV8ZQBcA2pfL9UUTd</t>
  </si>
  <si>
    <t>17161-L</t>
  </si>
  <si>
    <t>BgMRoDkkgfMPvKoQihW1</t>
  </si>
  <si>
    <t>17161-M</t>
  </si>
  <si>
    <t>GMWrSe388yNwQoLgPfzy</t>
  </si>
  <si>
    <t>17161-N</t>
  </si>
  <si>
    <t>dLuf3z2PTtjJwXx6p9kY</t>
  </si>
  <si>
    <t>17161-O</t>
  </si>
  <si>
    <t>5CtzHtVbz0XoEcDi7ETL</t>
  </si>
  <si>
    <t>17161-P</t>
  </si>
  <si>
    <t>pD0NLcrVTgQeIrHQoi4Y</t>
  </si>
  <si>
    <t>17161-Q</t>
  </si>
  <si>
    <t>WrI84O9S9EclKiInouob</t>
  </si>
  <si>
    <t>17161-R</t>
  </si>
  <si>
    <t>yqjFQQhj5zy001DHNFiW</t>
  </si>
  <si>
    <t>17161-S</t>
  </si>
  <si>
    <t>P96NBpHuvmBVpDS4dWOB</t>
  </si>
  <si>
    <t>17161-T</t>
  </si>
  <si>
    <t>0SwoZKE5VwKwcmmo9dSr</t>
  </si>
  <si>
    <t>17161-U</t>
  </si>
  <si>
    <t>bGzCSSvWEZ3KMknRirqr</t>
  </si>
  <si>
    <t>17161-W</t>
  </si>
  <si>
    <t>hN5u6sVgezF3aoVdyq1o</t>
  </si>
  <si>
    <t>17161-Y</t>
  </si>
  <si>
    <t>o6FptUXuHc2kKAAdqZgv</t>
  </si>
  <si>
    <t>17162-A</t>
  </si>
  <si>
    <t>8E00241021140005</t>
  </si>
  <si>
    <t>Despachar com urgencia 
 Pedido nº 2168 enviado pelo vendedor Ricardo Henrique  criado em 27/02/2025 14:23:24 integrado por meio do Bendito no dia 27/02/2025 às 14:35:38</t>
  </si>
  <si>
    <t>3A0MVDkURdqDOLL6D2zg8Q</t>
  </si>
  <si>
    <t>17162-B</t>
  </si>
  <si>
    <t>8F00241021260020</t>
  </si>
  <si>
    <t>tMefiT1p8nXCZOgxWeWN</t>
  </si>
  <si>
    <t>17163</t>
  </si>
  <si>
    <t>8F00241005100013</t>
  </si>
  <si>
    <t>Pedido nº 2169 enviado pelo vendedor Fábio criado em 27/02/2025 14:49:20 integrado por meio do Bendito no dia 27/02/2025 às 14:51:46</t>
  </si>
  <si>
    <t>6T7y7FqBQeCjbNKbkKpOTA</t>
  </si>
  <si>
    <t>17164-A</t>
  </si>
  <si>
    <t>8F00241021260019</t>
  </si>
  <si>
    <t>CLIENTE: LE PREMIR
 Pedido nº 2170 enviado pelo vendedor Mario  criado em 27/02/2025 15:07:38 integrado por meio do Bendito no dia 27/02/2025 às 15:34:43</t>
  </si>
  <si>
    <t>FmN9u7k7NCsJRZvbawQd</t>
  </si>
  <si>
    <t>17164-B</t>
  </si>
  <si>
    <t>8F00241021260016</t>
  </si>
  <si>
    <t>8g1ut5AcSLqROrqw9XYbKQ</t>
  </si>
  <si>
    <t>17165</t>
  </si>
  <si>
    <t>8F00250104060009</t>
  </si>
  <si>
    <t>CLIENTE: AIR RODRIGO
 Pedido nº 2171 enviado pelo vendedor Mario  criado em 27/02/2025 15:40:03 integrado por meio do Bendito no dia 27/02/2025 às 15:47:48</t>
  </si>
  <si>
    <t>EJCjClunTEqFsKrBFezOnw</t>
  </si>
  <si>
    <t>17166-A</t>
  </si>
  <si>
    <t xml:space="preserve">FRANCA PISCINAS
</t>
  </si>
  <si>
    <t>8E00241021140012</t>
  </si>
  <si>
    <t>Pedido nº 2172 enviado pelo vendedor Renato criado em 27/02/2025 18:09:38 integrado por meio do Bendito no dia 28/02/2025 às 08:48:06</t>
  </si>
  <si>
    <t>tL3tSQOJMWBPTrr4oEPV</t>
  </si>
  <si>
    <t>17166-B</t>
  </si>
  <si>
    <t>8F00241021210010</t>
  </si>
  <si>
    <t>SAueMmzdQ.2dxTYEFmvSQw</t>
  </si>
  <si>
    <t>17169-A</t>
  </si>
  <si>
    <t>8E00241021140013</t>
  </si>
  <si>
    <t>Pedido nº 2173 enviado pelo vendedor Carlos Augusto  criado em 28/02/2025 11:23:27 integrado por meio do Bendito no dia 28/02/2025 às 12:32:21</t>
  </si>
  <si>
    <t>dPSqyXCJRKaqI5DJfuoMfQ</t>
  </si>
  <si>
    <t>17169-B</t>
  </si>
  <si>
    <t>8F00241021260031</t>
  </si>
  <si>
    <t>o243-coJTEGQ99.vkI7WPg</t>
  </si>
  <si>
    <t>17170</t>
  </si>
  <si>
    <t>8E00241021140010</t>
  </si>
  <si>
    <t>Pedido nº 2174 enviado pelo vendedor Renato criado em 28/02/2025 12:06:27 integrado por meio do Bendito no dia 28/02/2025 às 12:32:42</t>
  </si>
  <si>
    <t>JvH.aDUaT3KTn-Mo35Vmww</t>
  </si>
  <si>
    <t>17171</t>
  </si>
  <si>
    <t>VMG SERVIÇOS EMPRESARIAIS</t>
  </si>
  <si>
    <t>8E00241021140026</t>
  </si>
  <si>
    <t>Pedido nº 2176 enviado pelo vendedor Marcelo criado em 05/03/2025 13:42:14 integrado por meio do Bendito no dia 05/03/2025 às 14:25:51</t>
  </si>
  <si>
    <t>scSKabjwS2eLWu4ww3c0zQ</t>
  </si>
  <si>
    <t>17172-A</t>
  </si>
  <si>
    <t>EDIFICIO EMMENDOERFER HOME CLUB</t>
  </si>
  <si>
    <t>13978</t>
  </si>
  <si>
    <t>ATENÇÃO: PAINEL DESLOCADO E ABAFADOR DE RUIDOS NO COMPRESSOR - ESTE PEDIDO SUBSTITUI E CANCELA O PEDIDO ORIGINAL 16897
VENDA FEITA PELO NOSSO CLIENTE: NEOENERGY - 
 Pedido nº 2143 enviado pelo vendedor Carlos Augusto  criado em 24/02/2025 08:02:22 integrado por meio do Bendito no dia 24/02/2025 às 13:07:16</t>
  </si>
  <si>
    <t>MsJq5utUQAapj7ZeVOZAgg</t>
  </si>
  <si>
    <t>17172-B</t>
  </si>
  <si>
    <t>JCZFzxGJtmLfiF28VGld</t>
  </si>
  <si>
    <t>17172-C</t>
  </si>
  <si>
    <t>13980</t>
  </si>
  <si>
    <t>Zn4xNErEdS0iQCGhkukv</t>
  </si>
  <si>
    <t>17173-A</t>
  </si>
  <si>
    <t>13961</t>
  </si>
  <si>
    <t>XXXXXXx - RETIRA - CLAUDIO - S/N00000000 - S/N / S/N / S/N / S/N00</t>
  </si>
  <si>
    <t>ALTERAR TRANSPORTADORA PARA:  ALFA TRANSPORTES 
CLIENTES: DENIS FIEDLER E RODRIGO MEURER 
 Pedido nº 2177 enviado pelo vendedor Carlos Augusto  criado em 06/03/2025 05:43:10 integrado por meio do Bendito no dia 07/03/2025 às 07:49:12</t>
  </si>
  <si>
    <t>MAOsbD0UvGktv4PbwJUK</t>
  </si>
  <si>
    <t>17173-B</t>
  </si>
  <si>
    <t>13959</t>
  </si>
  <si>
    <t>cghbd8NWSh-h.ds3AQw4DA</t>
  </si>
  <si>
    <t>17174</t>
  </si>
  <si>
    <t>8F00241021260012</t>
  </si>
  <si>
    <t>Pedido de Compra Nº 7151 - constar em NF
 Pedido nº 2179 enviado pelo vendedor Fábio criado em 06/03/2025 10:52:33 integrado por meio do Bendito no dia 07/03/2025 às 07:50:44</t>
  </si>
  <si>
    <t>i.Y-u.hQRtuIhEsFagIOsw</t>
  </si>
  <si>
    <t>17175</t>
  </si>
  <si>
    <t>13374</t>
  </si>
  <si>
    <t>Pedido de Compra Nº 7061 - Constar em NF
ATENÇÃO - DESCONTAR DO CRÉDITO QUE O CLIENTE TEM ME DEVOLUÇÕES
VALORR FRETE R$573,75 COMPOSIÇÃO NO PEDIDO .
Esse pedido será despachado pela Fromtherm com a NF de venda do nosso cliente:
ENTREGA AO CLIENTE FINAL - Aguardo confirmação do faturamento para envio da nossa NF.
Segue dados do cliente para envio VIA TRANSPORTADORA:
CONDOMINIO COMERCIAL E RESIDENCIAL DE LA TORRE
CNPJ: 20.890.553/0001-74
Avenida Central, n° 362
Centro - Balneário Camboriú/SC - Brasil - CEP 88330-668
Valor da NF para cotação na transportadora: R$ 31.844,51
CNPJ para cotação do frete: 20.810.361/0002-91
Aguardo dados e valor do transporte.
 Pedido nº 2180 enviado pelo vendedor Fábio criado em 06/03/2025 16:45:00 integrado por meio do Bendito no dia 07/03/2025 às 07:51:03</t>
  </si>
  <si>
    <t>JaXDjW1AQMqA3LJu9V98wQ</t>
  </si>
  <si>
    <t>17177</t>
  </si>
  <si>
    <t>8F00241021260036</t>
  </si>
  <si>
    <t>Pedido nº 2182 enviado pelo vendedor Renato criado em 06/03/2025 17:48:10 integrado por meio do Bendito no dia 07/03/2025 às 07:51:56</t>
  </si>
  <si>
    <t>d8ugps7cRju87KDRw7NM6w</t>
  </si>
  <si>
    <t>17178</t>
  </si>
  <si>
    <t>8F00240812200259</t>
  </si>
  <si>
    <t>MIY8690 - RETIRA - VITOR QUEIROZ - 06345770507 - HYUNDAI / HR HDB / BRANCA / 2013</t>
  </si>
  <si>
    <t>CLIENTE CASSIO EDUARDO URNAU 
 Pedido nº 2183 enviado pelo vendedor Carlos Augusto  criado em 07/03/2025 06:52:49 integrado por meio do Bendito no dia 07/03/2025 às 07:52:19</t>
  </si>
  <si>
    <t>ywmCeR8mR9e.O2W2UeEk8w</t>
  </si>
  <si>
    <t>17179</t>
  </si>
  <si>
    <t>PEDIDO 26643 - VALE AURORA 
DESCONTO EXTRA DE +8% NA LINHA FT  VALOR A SER COBRADO:  R$ 6.297,50 
 Pedido nº 2184 enviado pelo vendedor Carlos Augusto  criado em 07/03/2025 08:05:09 integrado por meio do Bendito no dia 07/03/2025 às 10:15:15</t>
  </si>
  <si>
    <t>r3iIkOztTXW6eyO1L0ksyA</t>
  </si>
  <si>
    <t>17180</t>
  </si>
  <si>
    <t>8A00240514003118</t>
  </si>
  <si>
    <t>Pedido nº 2185 enviado pelo vendedor Renato criado em 07/03/2025 09:59:35 integrado por meio do Bendito no dia 07/03/2025 às 11:58:26</t>
  </si>
  <si>
    <t>7XvI2Cy0QLaDjRodlu7dPQ</t>
  </si>
  <si>
    <t>17182</t>
  </si>
  <si>
    <t>8F00241021260037</t>
  </si>
  <si>
    <t>REDESPACHO FOB  CNPJ 24.882.886/0002-93 - RADLOG TRANSPORTES LTDA Rua UMBUZEIRO, 123 - Cep 07.224-010 - BAIRRO CIDADE INDUSTRIAL SATELITE DE SAO PAULO - GUARULHOS - SP I.E. 796.514.930.111
 Pedido nº 2187 enviado pelo vendedor Ranoika  criado em 07/03/2025 16:40:49 integrado por meio do Bendito no dia 10/03/2025 às 10:57:07
REDESPACHO FOB  CNPJ 24.882.886/0002-93 - RADLOG TRANSPORTES LTDA Rua UMBUZEIRO, 123 - Cep 07.224-010 - BAIRRO CIDADE INDUSTRIAL SATELITE DE SAO PAULO - GUARULHOS - SP I.E. 796.514.930.111</t>
  </si>
  <si>
    <t>oIsdcPSKRS-OEqHIatqbtg</t>
  </si>
  <si>
    <t>17184</t>
  </si>
  <si>
    <t>8F00250104060008</t>
  </si>
  <si>
    <t>Pedido nº 2188 enviado pelo vendedor Renato criado em 10/03/2025 08:20:06 integrado por meio do Bendito no dia 10/03/2025 às 11:11:44</t>
  </si>
  <si>
    <t>m0Yn5ZxoTbe7Q0mU1VuJeA</t>
  </si>
  <si>
    <t>17186</t>
  </si>
  <si>
    <t>8F00241021260034</t>
  </si>
  <si>
    <t>Oc 3585. Entregar Rua Agostinho Goulao 22, Corrêas, Petropolis - CEP: 25730-050 - RJ
 Pedido nº 2190 enviado pelo vendedor Ricardo Henrique  criado em 10/03/2025 12:33:22 integrado por meio do Bendito no dia 10/03/2025 às 15:50:19</t>
  </si>
  <si>
    <t>gGplx3ruTgGKwJO.BXfzAg</t>
  </si>
  <si>
    <t>17187</t>
  </si>
  <si>
    <t>8F00241021260030</t>
  </si>
  <si>
    <t>cliente: MARCELA VIEGAS GRACIANO 
 Pedido nº 2191 enviado pelo vendedor Carlos Augusto  criado em 11/03/2025 06:28:53 integrado por meio do Bendito no dia 11/03/2025 às 12:55:51</t>
  </si>
  <si>
    <t>0eK8Buh6S12i59qKSsE6.Q</t>
  </si>
  <si>
    <t>17188</t>
  </si>
  <si>
    <t>8F00250104060010</t>
  </si>
  <si>
    <t>Pedido nº 2192 enviado pelo vendedor Renato criado em 11/03/2025 08:03:46 integrado por meio do Bendito no dia 11/03/2025 às 12:56:23</t>
  </si>
  <si>
    <t>j8N8zLv6SUqeJBf6D3HHxA</t>
  </si>
  <si>
    <t>17189</t>
  </si>
  <si>
    <t>8F00241005180020</t>
  </si>
  <si>
    <t xml:space="preserve"> JNR Logística</t>
  </si>
  <si>
    <t>Transportadora JNR Logística
Travessa Manoel Preto, 92 - Vila Guilherme - São Paulo - SP - (11) 29052500
 Pedido nº 2193 enviado pelo vendedor Marcelo criado em 11/03/2025 08:09:18 integrado por meio do Bendito no dia 11/03/2025 às 12:56:58
O REDESPACHO SERA FOB - TRANSP. AMC - CNPJ:04.767.841/0002-60 - END: R SLD. MANUEL F. GOMES, 25, CEP: 02.180-070</t>
  </si>
  <si>
    <t>4hsCuvVmRn6.kXzvq966aA</t>
  </si>
  <si>
    <t>17190</t>
  </si>
  <si>
    <t>8E00241021140041</t>
  </si>
  <si>
    <t>Pedido nº 2194 enviado pelo vendedor Renato criado em 11/03/2025 09:13:28 integrado por meio do Bendito no dia 11/03/2025 às 12:58:37</t>
  </si>
  <si>
    <t>xx4uHGJqT6iiOcqXSpmoCw</t>
  </si>
  <si>
    <t>17191-A</t>
  </si>
  <si>
    <t>14002</t>
  </si>
  <si>
    <t>OC 3587 Jardim do Golfe . Local de entrega será informado.
 Pedido nº 2195 enviado pelo vendedor Ricardo Henrique  criado em 11/03/2025 10:42:55 integrado por meio do Bendito no dia 11/03/2025 às 12:59:18</t>
  </si>
  <si>
    <t>NPY0p-mBQeq9OTDZAMD-Jw</t>
  </si>
  <si>
    <t>17191-B</t>
  </si>
  <si>
    <t>O7cxA5jSLfQC3rERAxPJ</t>
  </si>
  <si>
    <t>17192</t>
  </si>
  <si>
    <t>TROPICAL PISCINAS LTDA</t>
  </si>
  <si>
    <t>14006</t>
  </si>
  <si>
    <t>Cotar frete e embutir na nf . Entrega Boa tarde 
Av. Tenente Coronel Muniz de Aragão 83 rua B 02 bairro:Anil 
Rio de Janeiro 
CEP: 22765-003
 Pedido nº 2196 enviado pelo vendedor Ricardo Henrique  criado em 11/03/2025 10:50:02 integrado por meio do Bendito no dia 11/03/2025 às 12:59:48</t>
  </si>
  <si>
    <t>5a52XazVQeCW0w-EdaIj1w</t>
  </si>
  <si>
    <t>17194</t>
  </si>
  <si>
    <t>8F00241021260007</t>
  </si>
  <si>
    <t>Cliente: Lucie Mara de Carvalho Corra (constar em NF)
 Pedido nº 2198 enviado pelo vendedor Fábio criado em 11/03/2025 11:40:46 integrado por meio do Bendito no dia 11/03/2025 às 13:03:27</t>
  </si>
  <si>
    <t>Kmne4VEOS0uPSUxUfOWEDg</t>
  </si>
  <si>
    <t>17195-A</t>
  </si>
  <si>
    <t>8E00241021140029</t>
  </si>
  <si>
    <t>Mario valor de cada maquina é R$7.265,50
 Pedido nº 2178 enviado pelo vendedor Renato criado em 06/03/2025 10:42:59 integrado por meio do Bendito no dia 11/03/2025 às 16:27:51</t>
  </si>
  <si>
    <t>l.OP.m-zSQS5LHulQbCKjQ</t>
  </si>
  <si>
    <t>17195-B</t>
  </si>
  <si>
    <t>8E00241021140028</t>
  </si>
  <si>
    <t>WJVZ7Qy6vSKP3tE2Ne9S</t>
  </si>
  <si>
    <t>17196-A</t>
  </si>
  <si>
    <t>14021</t>
  </si>
  <si>
    <t>JAT8F11 - RETIRA - LEONARDO - 00000000000 - TOYOTA / HILUX  / CINZA / 2023</t>
  </si>
  <si>
    <t>FOB / Obs.Interna: PAGAMENTO A VISTA - CLIENTE RETIRA NA FABRICA / E-mail para nota fiscal: , E-mail de cobrança: , Telefone para contato</t>
  </si>
  <si>
    <t>avxNmjNCTIS1xBDVxDDByw</t>
  </si>
  <si>
    <t>17196-B</t>
  </si>
  <si>
    <t>13927</t>
  </si>
  <si>
    <t>QSVNXejyd4mpyhPZUcky</t>
  </si>
  <si>
    <t>17197</t>
  </si>
  <si>
    <t>8F00250104060005</t>
  </si>
  <si>
    <t>EXP SAO MIGUEL / (0) Obs.Interna: Boleto 30/60/90 dd - Enviar pela São Miguel / E-mail para nota fiscal: , E-mail de cobrança: , Telefone para contato</t>
  </si>
  <si>
    <t>0J9yYa0cSmO-GDRjxVRrNw</t>
  </si>
  <si>
    <t>17200</t>
  </si>
  <si>
    <t>13766</t>
  </si>
  <si>
    <t>OC 3591 idea investimentos. Entrega Rua Agostinho Goulao 22 Correas Petropolis cep 25730 050  
 Pedido nº 2200 enviado pelo vendedor Ricardo Henrique  criado em 11/03/2025 14:31:35 integrado por meio do Bendito no dia 12/03/2025 às 09:08:36</t>
  </si>
  <si>
    <t>q3KtYNQZQH6i3Y02hV5f3w</t>
  </si>
  <si>
    <t>17201</t>
  </si>
  <si>
    <t>8E00241021140023</t>
  </si>
  <si>
    <t>Frete Cif. 
 Pedido nº 2201 enviado pelo vendedor Ricardo Henrique  criado em 11/03/2025 14:31:35 integrado por meio do Bendito no dia 12/03/2025 às 09:09:02</t>
  </si>
  <si>
    <t>N1gPnWssTVydvvn2wIbIJA</t>
  </si>
  <si>
    <t>17202</t>
  </si>
  <si>
    <t>8F00250104120005</t>
  </si>
  <si>
    <t>Cliente: Wesley Antunes de Macedo (constar em NF)
 Pedido nº 2202 enviado pelo vendedor Fábio criado em 11/03/2025 16:12:05 integrado por meio do Bendito no dia 12/03/2025 às 09:09:30</t>
  </si>
  <si>
    <t>ApxWRD6WTICX.geKF8zP2g</t>
  </si>
  <si>
    <t>17203</t>
  </si>
  <si>
    <t>8F00250104060006</t>
  </si>
  <si>
    <t>PEDIDO FABIO LAGOA 
 Pedido nº 2203 enviado pelo vendedor Carlos Augusto  criado em 12/03/2025 07:01:54 integrado por meio do Bendito no dia 12/03/2025 às 09:09:58</t>
  </si>
  <si>
    <t>JU4PyFntQQuTg5kzzRJkug</t>
  </si>
  <si>
    <t>17204</t>
  </si>
  <si>
    <t>13883</t>
  </si>
  <si>
    <t>Pedido nº 2205 enviado pelo vendedor Renato criado em 12/03/2025 09:08:40 integrado por meio do Bendito no dia 12/03/2025 às 10:12:52</t>
  </si>
  <si>
    <t>uwnRejXeRv60CC4VNUZjjg</t>
  </si>
  <si>
    <t>17205-A</t>
  </si>
  <si>
    <t>13939</t>
  </si>
  <si>
    <t>FITLOG / (011) 2212-5862E-mail para nota fiscal: , E-mail de cobrança: , Telefone para contato
O REDESPACHO SERA FOB - SPP TRANSPORTE RODOVIARIO DE CARGAS LTDA CNPJ: 21.187.045/0001-97 
END: AVENIDA GUILHERME Nº: 483 Complemento: SALA: B; CEP: 02.053-000 Bairro: VILA GUILHERME - SAO PAULO/SP
AOS CUIDADOS DE FÁBIO CAMPINAS</t>
  </si>
  <si>
    <t>LjyozZG4Tk-FgTaSXjMRKA</t>
  </si>
  <si>
    <t>17205-B</t>
  </si>
  <si>
    <t>13940</t>
  </si>
  <si>
    <t>GZvSE5es2yhTIa1j1KLQ</t>
  </si>
  <si>
    <t>17205-C</t>
  </si>
  <si>
    <t>13952</t>
  </si>
  <si>
    <t>RsV1qRbAC9enyHXWJDS3</t>
  </si>
  <si>
    <t>17205-D</t>
  </si>
  <si>
    <t>13950</t>
  </si>
  <si>
    <t>zx87ai2XlTJjVHsw6er4</t>
  </si>
  <si>
    <t>17207</t>
  </si>
  <si>
    <t>IG BRASIL TRANSPORTES RODOVIARIOS LTDA</t>
  </si>
  <si>
    <t>O cliente vai retirar a mercadoria na galpão da transportadora da Fromtherm.
Dados do motorista: 
Motorista: Ivanildo de Souza CPF 169.483.272-49 Placa: VUC 5I57
a transportadora deverá avisar assim que a carga estiver liberada.
 Pedido nº 2207 enviado pelo vendedor Luiz  criado em 12/03/2025 10:02:56 integrado por meio do Bendito no dia 12/03/2025 às 10:25:29</t>
  </si>
  <si>
    <t>qWGND1grQP-TirwSpmyTgQ</t>
  </si>
  <si>
    <t>17208</t>
  </si>
  <si>
    <t>8A00240514003119</t>
  </si>
  <si>
    <t xml:space="preserve">TRANSPORTADORA RAPIDO FIGEURIREDO 07.855.774/0001-43
 Pedido nº 2209 enviado pelo vendedor Sadi criado em 12/03/2025 12:04:36 integrado por meio do Bendito no dia 12/03/2025 às 12:46:50
O REDESPACHO SERA FOB - TRANSP. RAPIDO FIGUEIREDO - CNPJ: 10.973.773/0001-08 - END: R OURO VERDE DE GOIAS, 1233, CEP: 07.221-080		</t>
  </si>
  <si>
    <t>rOqnep5HR1S.6110MOvbZg</t>
  </si>
  <si>
    <t>17209-A</t>
  </si>
  <si>
    <t>8E00241021130008</t>
  </si>
  <si>
    <t>Pedido de Compra Nº 7187 (constar em NF)
 Pedido nº 2211 enviado pelo vendedor Fábio criado em 12/03/2025 18:11:49 integrado por meio do Bendito no dia 13/03/2025 às 09:31:53</t>
  </si>
  <si>
    <t>CfbmsaKDQPOO6IZASoV2DQ</t>
  </si>
  <si>
    <t>17209-B</t>
  </si>
  <si>
    <t>8E00241021130003</t>
  </si>
  <si>
    <t>5JI3Q8ryKCjYjqRCfIBP</t>
  </si>
  <si>
    <t>17209-C</t>
  </si>
  <si>
    <t>8F00241021260024</t>
  </si>
  <si>
    <t>ut335gyirZps4N1Iz4MZ</t>
  </si>
  <si>
    <t>17209-D</t>
  </si>
  <si>
    <t>8F00241021260029</t>
  </si>
  <si>
    <t>UWmIqff9c1zVIvSvOSGg</t>
  </si>
  <si>
    <t>17210</t>
  </si>
  <si>
    <t>8E00241021140030</t>
  </si>
  <si>
    <t>Pedido nº 2210 enviado pelo vendedor Renato criado em 12/03/2025 16:06:50 integrado por meio do Bendito no dia 13/03/2025 às 09:32:24</t>
  </si>
  <si>
    <t>VLUEEKWfTSik.sqzM0RXyw</t>
  </si>
  <si>
    <t>17211</t>
  </si>
  <si>
    <t>SUL AQUECE</t>
  </si>
  <si>
    <t>8E00241021140015</t>
  </si>
  <si>
    <t>EXPRESSO SAO MIGUEL S/A / (051) 3586-2013Obs.Interna: BOLETO PARA 14/03/2025 - ENVIAR PELA SAO MIGUEL COTAÇÃO Nº 5895 / E-mail para nota fiscal: , E-mail de cobrança: , Telefone para contato</t>
  </si>
  <si>
    <t>xq098urITYGifJMCp1RM0A</t>
  </si>
  <si>
    <t>17212</t>
  </si>
  <si>
    <t>MADSON GUSTAVO ROGERIO CACIQUINHO</t>
  </si>
  <si>
    <t>8E00241021130004</t>
  </si>
  <si>
    <t>FRETE FOB COM REDESPACHO PELA TRANSPORTADORA RODONAVES TRANSPORTE E ENCOMENDAS LTDA CNPJ SÃO PAULO - 44.914.992/0037-49 RUA SÃO QUIRINO 1090, - VILA GUILHERME - SÃO PAULO CEP 02.056-070. 
 Pedido nº 2215 enviado pelo vendedor Luiz  criado em 14/03/2025 15:41:31 integrado por meio do Bendito no dia 15/03/2025 às 10:19:59</t>
  </si>
  <si>
    <t>4ocqy7AeTN2TqEGsOIJAqQ</t>
  </si>
  <si>
    <t>17213</t>
  </si>
  <si>
    <t>FTI115LPTBR</t>
  </si>
  <si>
    <t>AMAROK DO WILLIAM, NA FABRICA NOVA</t>
  </si>
  <si>
    <t>PEDIDO VILLA SANTO ANTONIO
 Pedido nº 2214 enviado pelo vendedor Carlos Augusto  criado em 14/03/2025 07:28:12 integrado por meio do Bendito no dia 15/03/2025 às 10:20:27</t>
  </si>
  <si>
    <t>6CZ31xDPQVe0xRw2wjHfLQ</t>
  </si>
  <si>
    <t>17214</t>
  </si>
  <si>
    <t>8F00241021210019</t>
  </si>
  <si>
    <t>Cliente: Gamaliel Barbosa da Silva (constar em NF)
 Pedido nº 2219 enviado pelo vendedor Fábio criado em 17/03/2025 15:20:49 integrado por meio do Bendito no dia 17/03/2025 às 20:04:28</t>
  </si>
  <si>
    <t>48iwIvTUQ1e6xaa6pDc2.g</t>
  </si>
  <si>
    <t>17215</t>
  </si>
  <si>
    <t>8E00241021140034</t>
  </si>
  <si>
    <t>bnuf6xr8RjWc.fP4zL3-fQ</t>
  </si>
  <si>
    <t>17216-A</t>
  </si>
  <si>
    <t>8E00241021130012</t>
  </si>
  <si>
    <t>RYH3F24 - EXPRESSO SÃO MIGUEL - WINDSON AURELIO SILVA PIMENTEL - 79202527334 - M.BENZ / ACCELO 1017 CE / BRANCA / 2023</t>
  </si>
  <si>
    <t>EXPRESSO SAO MIGUEL S/A / (051) 3586-2013Obs.Interna: PROGRAMAR FATURAMENTO E ENVIO PARA 07/04/2025 - ENVIAR PELA SAO MIGUEL - BOLETO 30/60/90 DD / E-mail para nota fiscal: , E-mail de cobrança: , Telefone para contato</t>
  </si>
  <si>
    <t>tBiQNIOuSOu1QlgfmGiu6A</t>
  </si>
  <si>
    <t>17216-B</t>
  </si>
  <si>
    <t>8E00241118030058</t>
  </si>
  <si>
    <t>LjYi8pEEKpqsLhc5i1Zu</t>
  </si>
  <si>
    <t>17217</t>
  </si>
  <si>
    <t>14019</t>
  </si>
  <si>
    <t>QUADRO DESLOCADO
R$13.000,00 ENTRADA + 3X R$6.228,25 
FOB / Informação Adicional: QUADRO DESLOCADO / Obs.Interna: R$13.000,00 ENTRADA + 3X R$6.228,25 / E-mail para nota fiscal: , E-mail de cobrança: , Telefone para contato</t>
  </si>
  <si>
    <t>QrFfjGPAS3mvaoueKzhlPw</t>
  </si>
  <si>
    <t>17218</t>
  </si>
  <si>
    <t>DINO PISCINAS</t>
  </si>
  <si>
    <t>8F00250110300010</t>
  </si>
  <si>
    <t>Pagamento a vista entrada R$ 8.000 em 14/03
EXPRESSO SAO MIGUEL S/A / (051) 3586-2013Obs.Interna: Pagamento a vista entrada R$ 8.000 em 14/03 - enviar pela São Miguel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</si>
  <si>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xgRvOdSvWrjK2qa2rUH-zojC8r1a1UoQT1Wf6xg51RLxzKHtZPabtJDEOFDp9XHIU1o_BiotaFfo6DdlQ6GUtvCyNdimcTpUPm_a_9wzXUz2fOl4qd_rxmdJYvsm9ZaNU7KqhnlIFxrJEFtZMaNfxFy8gnoDqSRmcJGPRatIDJ3bPccfWbRiYOB5fw86LP_MIx66rvXuEsIJj5WwDx9Q2JVeG4HeWBF1fs8yh3Q7nRgflcUiVs7C-Vrb4W8ZOD1OF5e6PXiYhb0bsmkJ42nIA3CfVCcz3985irwm1BjAPQsV_-qqQ27cFFkDmg&amp;amp;lib=M-zdWbhavtdZ1B_W2dnFDM0qoVt4lWzJ-"&gt;here&lt;/A&gt;.
&lt;/BODY&gt;
&lt;/HTML&gt;
</t>
  </si>
  <si>
    <t>SrjBck.TTtejSx4ecAK3lQ</t>
  </si>
  <si>
    <t>17219</t>
  </si>
  <si>
    <t>PREÇO ESPECIAL DO CLIENTE + 8% R$ 12.231,92
PEDIDO 13935 - KADA CONSTRUTORA
 Pedido nº 2204 enviado pelo vendedor Carlos Augusto  criado em 12/03/2025 07:07:07 integrado por meio do Bendito no dia 18/03/2025 às 12:35:17</t>
  </si>
  <si>
    <t>ktvgc2QYT8KU44NRmik.YA</t>
  </si>
  <si>
    <t>17222</t>
  </si>
  <si>
    <t>8F00241225060017</t>
  </si>
  <si>
    <t>Cliente tem frete Cif 
 Pedido nº 2222 enviado pelo vendedor Ricardo Henrique  criado em 18/03/2025 15:41:19 integrado por meio do Bendito no dia 18/03/2025 às 18:01:37</t>
  </si>
  <si>
    <t>iCJc.mjJQxy.gjArpGtwTQ</t>
  </si>
  <si>
    <t>17223</t>
  </si>
  <si>
    <t>Cliente possui Cif. 
 Pedido nº 2221 enviado pelo vendedor Ricardo Henrique  criado em 18/03/2025 11:45:06 integrado por meio do Bendito no dia 18/03/2025 às 18:02:19</t>
  </si>
  <si>
    <t>g82Q4yEERQWrSe5OhWVHDA</t>
  </si>
  <si>
    <t>17225</t>
  </si>
  <si>
    <t>8E00241021140038</t>
  </si>
  <si>
    <t>FRETE FOB COM REDESPACHO PELA EXPRESSO RAQUEL : CNPJ SP : 03.823.190/0002-16. - ENDEREÇO SÃO PAULO : RUA SOLDADO AMERICO RODRIGUES 131, GALPÃO MODULO A - PQ NOVO MUNDO
 Pedido nº 2224 enviado pelo vendedor Luiz  criado em 19/03/2025 14:13:51 integrado por meio do Bendito no dia 19/03/2025 às 22:53:59</t>
  </si>
  <si>
    <t>7Vy9I5aMS4K1nl4u8u.WbQ</t>
  </si>
  <si>
    <t>17226</t>
  </si>
  <si>
    <t>8F00241021210032</t>
  </si>
  <si>
    <t>PEDIDO: ED. PONTA PORÃ 
 Pedido nº 2225 enviado pelo vendedor Carlos Augusto  criado em 19/03/2025 18:37:13 integrado por meio do Bendito no dia 19/03/2025 às 22:54:21</t>
  </si>
  <si>
    <t>DqymB9rFQwapYz1mKGghrQ</t>
  </si>
  <si>
    <t>17227</t>
  </si>
  <si>
    <t>8F00241021260027</t>
  </si>
  <si>
    <t>RG 8F00241021260027 - Produto para troca em garantia.
Mario- Esse caso foi enviado 02 controladores para esse equipamento e não resolveu, vamos autorizar a devolução e enviar outro equipamento- SEM COBRANÇA . O.S 250058 
 Pedido nº 2226 enviado pelo vendedor Ranoika  criado em 20/03/2025 12:56:13 integrado por meio do Bendito no dia 20/03/2025 às 12:57:00
O REDESPACHO SERA FOB - TRANSP. RADLOG - CNPJ : 24.882.886/0002-93 - END: R UMBUZEIRO, 123, CEP: 07.224-010</t>
  </si>
  <si>
    <t>VdV5fPzAS3GOII.i0Hbh4A</t>
  </si>
  <si>
    <t>17229</t>
  </si>
  <si>
    <t>Lucilene Assis Marinho</t>
  </si>
  <si>
    <t>8F00241225060011</t>
  </si>
  <si>
    <t>Valor total da NF E BOLETO a vista  R$9.237,75
FRETE FOB : RODONAVES : SC - CNPJ: 44.914.992/0036-68  -  IE.260.650.455 - CONTATO (48) 32027150
ENDEREÇO : ROD BR 101 , 7725 - SÃO VICENTE  - ITAJAI - SC
O cliente solicita a transportadora : FRETE FOB 
considerando 11% do DIFAL 
 Pedido nº 2230 enviado pelo vendedor Luiz  criado em 21/03/2025 15:32:47 integrado por meio do Bendito no dia 21/03/2025 às 15:33:49</t>
  </si>
  <si>
    <t>mWhxxnScRp6u4cs64Evc1w</t>
  </si>
  <si>
    <t>17231</t>
  </si>
  <si>
    <t>8F00240812220281</t>
  </si>
  <si>
    <t>EXPRESSO SAO MIGUEL S/A / (051) 3586-2013Obs.Interna: ENVIO PELA SÃO MIGUEL / E-mail para nota fiscal: , E-mail de cobrança: , Telefone para contato</t>
  </si>
  <si>
    <t>R-UfFJkwT3SrofS1EulxEg</t>
  </si>
  <si>
    <t>17232</t>
  </si>
  <si>
    <t>CLAUDIO CARRARA</t>
  </si>
  <si>
    <t>8F00250102140011</t>
  </si>
  <si>
    <t>EXPRESSO SAO MIGUEL S/A / (051) 3586-2013Obs.Interna: AJUSTAR DATA DO BOLETO PARA 15/04/2025 R$ 25.710,00
FRETE FOB - DESCONTAR COMISSÃO
LOCAL DE ENTREGA: AV NOSSA SENHORA MEDIANEIRA 2100 LOJA HIDROTEC 
BAIRRO:  NOSSA SENHORA MEDIANEIRA  - CEP: 97.060-002
SANTA MARIA/ RS
VALOR DA NF R$ 25.710,00 
VALOR TABELA R$  13.225,33 
      -   DIF VAL TAB X NF R$  12.484,67 
      -   DIF IMPOSTO 17% R$  2.122,39 
IMPOSTO ESTADUAL R$ 1.285,50 - DIFAL
TOTAL A PAGAR R$ 16.633,22 / E-mail para nota fiscal: , E-mail de cobrança: , Telefone para contato</t>
  </si>
  <si>
    <t>U.Q0QCOKT7y85WjgKKnViQ</t>
  </si>
  <si>
    <t>17237</t>
  </si>
  <si>
    <t>8E00241021130015</t>
  </si>
  <si>
    <t>Frete Cif. Dei menos desconto para pagar o frete. 
 Pedido nº 2232 enviado pelo vendedor Ricardo Henrique  criado em 24/03/2025 13:00:17 integrado por meio do Bendito no dia 24/03/2025 às 16:48:05</t>
  </si>
  <si>
    <t>TxUi.HkCS2a4GWkGC2aqvw</t>
  </si>
  <si>
    <t>17238</t>
  </si>
  <si>
    <t>8F00250104120012</t>
  </si>
  <si>
    <t>RAPIDO FIGUEIREDO TRANSPORTES ME LTDA 07.855.774/0001-43
 Pedido nº 2233 enviado pelo vendedor Sadi criado em 24/03/2025 17:13:57 integrado por meio do Bendito no dia 24/03/2025 às 17:36:26</t>
  </si>
  <si>
    <t>J0n2VdJbT0Sx27V1VuCzeA</t>
  </si>
  <si>
    <t>17239</t>
  </si>
  <si>
    <t>8F00250104120009</t>
  </si>
  <si>
    <t>Cliente South Star Empreendimentos e Participações LTDA (constar em NF)
 Pedido nº 2241 enviado pelo vendedor Fábio criado em 25/03/2025 09:42:15 integrado por meio do Bendito no dia 25/03/2025 às 09:59:42</t>
  </si>
  <si>
    <t>TDuQ0VvaSoe5sR1-Twd8bg</t>
  </si>
  <si>
    <t>17243</t>
  </si>
  <si>
    <t>8F00241021260023</t>
  </si>
  <si>
    <t xml:space="preserve">UBERLOG TRANSPORTES E SERVICOS LTDA </t>
  </si>
  <si>
    <t>REDESPACHO FOB CNPJ 08.831.345/0003-60 - UBERLOG TRANSPORTES E SERVICOS LTDA - Rua TSARG JOAO LOPES FILHO,138 - PARQUE NOVO MUNDO, CEP 02.178-010, SÃO PAULO-SP, I.E. 148.682.380.110
 Pedido nº 2242 enviado pelo vendedor Ranoika  criado em 25/03/2025 10:27:02 integrado por meio do Bendito no dia 25/03/2025 às 10:32:58</t>
  </si>
  <si>
    <t>kg3pEr6yQRutkl5f4MOZbw</t>
  </si>
  <si>
    <t>17244</t>
  </si>
  <si>
    <t>11544</t>
  </si>
  <si>
    <t>QUADRO TOUCH EXTERNO SOBREPOR PREÇO NEGOCIADO COM  + 5% DESCONTO R$ 13.282,52
CLIENTE MARCELO - NOTA COM REMESSA DE ENTREGA FUTURA PREVISÃO MAIO 2025 
 Pedido nº 2237 enviado pelo vendedor Carlos Augusto  criado em 25/03/2025 06:51:32 integrado por meio do Bendito no dia 25/03/2025 às 11:03:34</t>
  </si>
  <si>
    <t>7xQK3d42Q-q58m3gWNiZWQ</t>
  </si>
  <si>
    <t>17245</t>
  </si>
  <si>
    <t>8F00241021260025</t>
  </si>
  <si>
    <t>Oc 691. Pgto 30 60.90 
Mario - essa forma autorizado 
 Pedido nº 2234 enviado pelo vendedor Ricardo Henrique  criado em 24/03/2025 17:15:59 integrado por meio do Bendito no dia 25/03/2025 às 11:06:39
NÃO ENTREGAR S/ENTRAR EM CONTATO COM O TELEFONE: JORGE (21) 99512-4022 AO MENOS C/ 24H</t>
  </si>
  <si>
    <t>C8pYuenqRrmDxfV0sMjX9Q</t>
  </si>
  <si>
    <t>17248-A</t>
  </si>
  <si>
    <t>14031</t>
  </si>
  <si>
    <t>URGENTE - Ver com a produção o prazo mais curto possível.
ATENÇÃO - Descontar do saldo de crédito que o cliente tem na linha FT
Pedido de Compra Nº 7280 (constar em NF)
URGENTE - Ver com a produção o prazo mais curto possível.
 Pedido nº 2255 enviado pelo vendedor Fábio criado em 26/03/2025 09:19:56 integrado por meio do Bendito no dia 26/03/2025 às 10:26:26</t>
  </si>
  <si>
    <t>H129gQ7OTZGaQuAYEwsX6A</t>
  </si>
  <si>
    <t>17248-B</t>
  </si>
  <si>
    <t>AT8xjAuSsPX4FTs8NvUC</t>
  </si>
  <si>
    <t>17248-C</t>
  </si>
  <si>
    <t>14033</t>
  </si>
  <si>
    <t>r9dC1JHVIZh4d7R4tx28</t>
  </si>
  <si>
    <t>17249</t>
  </si>
  <si>
    <t>8F00241118050011</t>
  </si>
  <si>
    <t>RLL3I15 - RETIRA - JAIR RODRIGUES - 11202705960 - RENAUT / MASTER  / BRANCA  / 2022</t>
  </si>
  <si>
    <t>Pedido Vanessa
 Pedido nº 2254 enviado pelo vendedor Carlos Augusto  criado em 26/03/2025 06:57:56 integrado por meio do Bendito no dia 26/03/2025 às 10:26:58</t>
  </si>
  <si>
    <t>zxzoLAxMRLeMEMTYbAuYTA</t>
  </si>
  <si>
    <t>17250</t>
  </si>
  <si>
    <t>8F00240812220277</t>
  </si>
  <si>
    <t>Pedido VALDECIR
 Pedido nº 2253 enviado pelo vendedor Carlos Augusto  criado em 26/03/2025 06:56:44 integrado por meio do Bendito no dia 26/03/2025 às 10:27:35</t>
  </si>
  <si>
    <t>SCvvkSU-TlaagtGKUVbB8Q</t>
  </si>
  <si>
    <t>17251-A</t>
  </si>
  <si>
    <t>8F00241118050010</t>
  </si>
  <si>
    <t>pedido CLAUDIO 
 Pedido nº 2252 enviado pelo vendedor Carlos Augusto  criado em 26/03/2025 06:55:06 integrado por meio do Bendito no dia 26/03/2025 às 10:28:24</t>
  </si>
  <si>
    <t>gTsdUiQwStuyzyfDJy4hYw</t>
  </si>
  <si>
    <t>17251-B</t>
  </si>
  <si>
    <t>8F00241118050009</t>
  </si>
  <si>
    <t>3Jz0YUOq1bwgYLM2tLMd</t>
  </si>
  <si>
    <t>17252</t>
  </si>
  <si>
    <t>8F00241118050007</t>
  </si>
  <si>
    <t>LXW3F15 - ACEVILLE - ELIZANDRO -  - VW / 7100 / BRANCA  / 1996</t>
  </si>
  <si>
    <t>URGENTE - A VISTA COM 5% DE DESCONTO 
 Pedido nº 2251 enviado pelo vendedor Carlos Augusto  criado em 26/03/2025 06:44:23 integrado por meio do Bendito no dia 26/03/2025 às 10:30:06</t>
  </si>
  <si>
    <t>MLTatej2Rk-4.zy74BUxpw</t>
  </si>
  <si>
    <t>17253-A</t>
  </si>
  <si>
    <t>8F00250104120006</t>
  </si>
  <si>
    <t>Pedido nº 2249 enviado pelo vendedor Marcelo criado em 25/03/2025 22:36:28 integrado por meio do Bendito no dia 26/03/2025 às 10:31:06</t>
  </si>
  <si>
    <t>MsDqfq3dTWaijmVaHZnkxw</t>
  </si>
  <si>
    <t>17253-B</t>
  </si>
  <si>
    <t>8F00250104120004</t>
  </si>
  <si>
    <t>IeYkfBtLdLPNee0ihZ8m</t>
  </si>
  <si>
    <t>17255</t>
  </si>
  <si>
    <t>8F00241118050005</t>
  </si>
  <si>
    <t>REDESPACHO FOB  CNPJ 24.882.886/0002-93 - RADLOG TRANSPORTES LTDA Rua UMBUZEIRO, 123 - Cep 07.224-010 - BAIRRO CIDADE INDUSTRIAL SATELITE DE SAO PAULO - GUARULHOS - SP I.E. 796.514.930.111
 Pedido nº 2256 enviado pelo vendedor Ranoika  criado em 26/03/2025 17:54:04 integrado por meio do Bendito no dia 26/03/2025 às 18:00:59
O REDESPACHO SERA FOB - TRANSP. RADLOG - CNPJ : 24.882.886/0002-93 - END: R UMBUZEIRO, 123, CEP: 07.224-010</t>
  </si>
  <si>
    <t>a3SXOXQ3Se-cmzsPuLL4rQ</t>
  </si>
  <si>
    <t>17256</t>
  </si>
  <si>
    <t>8E00241021140040</t>
  </si>
  <si>
    <t>EXP SAO MIGUEL / (0) E-mail para nota fiscal: , E-mail de cobrança: , Telefone para contato</t>
  </si>
  <si>
    <t>iRNCfjF4SVmPrVtUbZ9eYQ</t>
  </si>
  <si>
    <t>17259</t>
  </si>
  <si>
    <t>8E00241021140037</t>
  </si>
  <si>
    <t>Cliente Jandir Nogueira da Silva (constar em NF)
 Pedido nº 2258 enviado pelo vendedor Fábio criado em 27/03/2025 09:38:06 integrado por meio do Bendito no dia 27/03/2025 às 11:22:29</t>
  </si>
  <si>
    <t>tR5KuiwpSbOPqoGeRr8xQQ</t>
  </si>
  <si>
    <t>17262</t>
  </si>
  <si>
    <t>8F00250104060007</t>
  </si>
  <si>
    <t>Pedido nº 2262 enviado pelo vendedor Carlos Augusto  criado em 27/03/2025 13:51:02 integrado por meio do Bendito no dia 27/03/2025 às 17:08:15</t>
  </si>
  <si>
    <t>7Sl2YtP-Qre.AMl-6urd8Q</t>
  </si>
  <si>
    <t>17264-A</t>
  </si>
  <si>
    <t>8E00241021140046</t>
  </si>
  <si>
    <t>O REDESP. TRANSPORTARDORA CARVALIMA, AV. ALEXANDRE COLARES, 340 - PQ ANHANGUERA CEP. 05106-000 -SÃO
PAULO CNPJ. 33.070.814/0003-13 TEL. (11)2141-3100
 Pedido nº 2257 enviado pelo vendedor Juscelino criado em 27/03/2025 08:27:22 integrado por meio do Bendito no dia 27/03/2025 às 17:17:15</t>
  </si>
  <si>
    <t>a-dLTRc0OSqqUjDHpFXXIBA</t>
  </si>
  <si>
    <t>17264-B</t>
  </si>
  <si>
    <t>8F00250102140007</t>
  </si>
  <si>
    <t>9rq5FGp0qeGJ6LKmUy7I</t>
  </si>
  <si>
    <t>17265</t>
  </si>
  <si>
    <t>Pedido de Compra 657. Valor do equipamento R$ 13.002,90. Prazo de entrega 30/60/90. 
Entrega direto no endereço do cliente: Golden Green Club - Avenida Canal de Marapendi, 2901. Barra da Tijuca, Rio de Janeiro CEP 22640-100
Ligar para o Jorge da Aqualar antes da entrega
 Pedido nº 2246 enviado pelo vendedor Ricardo Henrique  criado em 25/03/2025 19:02:25 integrado por meio do Bendito no dia 27/03/2025 às 17:26:14
NÃO ENTREGAR S/ENTRAR EM CONTATO COM O TELEFONE: JORGE (21) 99512-4022 AO MENOS C/ 24H</t>
  </si>
  <si>
    <t>24UhmjBdQW2Q8h3aLIysYA</t>
  </si>
  <si>
    <t>17266</t>
  </si>
  <si>
    <t>20138</t>
  </si>
  <si>
    <t>Pedido de Compra 658. Valor do equipamento R$ 17.611,29 . Prazo de entrega 30/60/90/120. 
**Aguardar na fábrica, conforme orientação do Alvaro, em 25/03/25
Entrega direto no endereço do cliente: Rua Julieta Niemeyer, 37, São Conrado, Rio de Janeiro (RJ) - CEP.: 22610-190
Ligar para o Jorge da Aqualar antes da entrega
 Pedido nº 2247 enviado pelo vendedor Ricardo Henrique  criado em 25/03/2025 19:15:56 integrado por meio do Bendito no dia 27/03/2025 às 17:30:21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</si>
  <si>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hPxqNQ2nr77Aea38y18JOta6_8ra6882Zi1J3WXG4UNN05jgSh7tH-5ksmzIUqnehvjbLLanekK5VWpStGt7qmK7nud2Z-mGhQr52SJe2yAyC2pbag_5K00-lvn1b3QASFToXY5_ios1GcCh4bFFpTn6WI1R_8pIoUm8od_CnSSS_3ydUYdhQ3XcXhEd-c7T3FFHz9BwO3vpIConSUfQHYdqYmAwwENC6oZ72YAcpBRqh84A_lXs2D1S2QgHz-9FjEQr9DhIvi9dQDy24rh0AtqmrPIwQojJjM-NtbsbZjxX_OXs1BDZ7x12wSKA&amp;amp;lib=M-zdWbhavtdZ1B_W2dnFDM0qoVt4lWzJ-"&gt;here&lt;/A&gt;.
&lt;/BODY&gt;
&lt;/HTML&gt;
</t>
  </si>
  <si>
    <t>KwmePglXRSGzhcdctrFetw</t>
  </si>
  <si>
    <t>17267</t>
  </si>
  <si>
    <t>Pedido de Compra 659. Valor do equipamento R$ 17.611,29 . Prazo de entrega 30/60/90. 
Entrega direto no endereço do cliente  (RODRIGO AYRES MARTINS DE OLIVEIRA): Rua Noite Estrelada, 185. Barra da Tijuca, Rio de Janeiro CEP 22793-450
Ligar para o Jorge da Aqualar antes da entrega
 Pedido nº 2248 enviado pelo vendedor Ricardo Henrique  criado em 25/03/2025 19:30:18 integrado por meio do Bendito no dia 27/03/2025 às 17:36:19
NÃO ENTREGAR S/ENTRAR EM CONTATO COM O TELEFONE: JORGE (21) 99512-4022 AO MENOS C/ 24H</t>
  </si>
  <si>
    <t>oZ6JgfCaQoCGrt-mEqn.wg</t>
  </si>
  <si>
    <t>17269</t>
  </si>
  <si>
    <t>BRUNO  LUIZ CECHETTI</t>
  </si>
  <si>
    <t>8F00241021210025</t>
  </si>
  <si>
    <t>OURO NEGRO / (0) E-mail para nota fiscal: , E-mail de cobrança: , Telefone para contato</t>
  </si>
  <si>
    <t>leNPUxPPR2eqES3vgjiIWQ</t>
  </si>
  <si>
    <t>17270</t>
  </si>
  <si>
    <t>Pedido de Compra 656. Valor do equipamento R$ 9.643,91 (valor acordado com o Mário). Prazo de pagamento 30/60/90/120. 
Entrega direto no endereço do cliente (HELENO PALMIERI MOREIRA) RUA VISCONDE DE ITAÚNA,138, JARDIM BOTÂNICO, Rio de Janeiro (RJ) - CEP.: 22460-140
Ligar para o Jorge da Aqualar antes da entrega
 Pedido nº 2259 enviado pelo vendedor Ricardo Henrique  criado em 27/03/2025 10:49:19 integrado por meio do Bendito no dia 27/03/2025 às 17:45:20
NÃO ENTREGAR S/ENTRAR EM CONTATO COM O TELEFONE: JORGE (21) 99512-4022 AO MENOS C/ 24H</t>
  </si>
  <si>
    <t>Yeq4GCh0SdWZUbrihfI6Nw</t>
  </si>
  <si>
    <t>17271</t>
  </si>
  <si>
    <t>13708</t>
  </si>
  <si>
    <t>PEDIDO URGENTE - INFORMADO AO MARIO E GUILHERME NA CONTRUSUL - DESPACHAR ATÉ O DIA 28/03
PREÇO NEGOCIADO (4 MÁQUINAS ESTA SEMANA) R$ 17.176,43
 Pedido nº 2261 enviado pelo vendedor Carlos Augusto  criado em 27/03/2025 13:31:16 integrado por meio do Bendito no dia 27/03/2025 às 17:50:39</t>
  </si>
  <si>
    <t>yoRXOWALRi-vvt3LA4YuxA</t>
  </si>
  <si>
    <t>17273</t>
  </si>
  <si>
    <t>8E00241021140044</t>
  </si>
  <si>
    <t>Cliente Sidney Henrique Ramos (constar em NF)
 Pedido nº 2264 enviado pelo vendedor Fábio criado em 28/03/2025 08:13:19 integrado por meio do Bendito no dia 28/03/2025 às 08:42:28</t>
  </si>
  <si>
    <t>f7WELQLUQgmw5kV8N0TyKQ</t>
  </si>
  <si>
    <t>17274</t>
  </si>
  <si>
    <t>8F00241021210037</t>
  </si>
  <si>
    <t>EXPRESSO SAO MIGUEL / (0) E-mail para nota fiscal: , E-mail de cobrança: , Telefone para contato</t>
  </si>
  <si>
    <t>ElgB16ZGQn-FjqB.hAq4ng</t>
  </si>
  <si>
    <t>17283-A</t>
  </si>
  <si>
    <t>CHAMA ALTERNATIVA LAURA</t>
  </si>
  <si>
    <t>FH100J60T</t>
  </si>
  <si>
    <t>Forma de pagamento: Entrada R$ 25.000,00 e o saldo em 30/60/90, Desconto extra 7% autorizado Mário, valor final R$ 138.087,81. 
 Pedido nº 2268 enviado pelo vendedor Ranoika  criado em 28/03/2025 15:30:05 integrado por meio do Bendito no dia 31/03/2025 às 12:07:26</t>
  </si>
  <si>
    <t>eq3aPkenSKSYTZywUC.4og</t>
  </si>
  <si>
    <t>17283-B</t>
  </si>
  <si>
    <t>14035</t>
  </si>
  <si>
    <t>y7co7WvvuGWXmSBmJs9p</t>
  </si>
  <si>
    <t>17283-C</t>
  </si>
  <si>
    <t>FH240J60T</t>
  </si>
  <si>
    <t>O6eWArqRsghyrPJXw3H8</t>
  </si>
  <si>
    <t>17283-D</t>
  </si>
  <si>
    <t>14044</t>
  </si>
  <si>
    <t>lKLHyeWfEeUlgbxrZFFs</t>
  </si>
  <si>
    <t>17284</t>
  </si>
  <si>
    <t>RG - 8F00240723280539 EXP SAO MIGUEL / (0) E-mail para nota fiscal: , E-mail de cobrança: , Telefone para contato</t>
  </si>
  <si>
    <t>ZfiklIVnQZO5efBH.dxh9Q</t>
  </si>
  <si>
    <t>17285</t>
  </si>
  <si>
    <t>TERMOCLIMA AQUECIMENTOS E REFRIGERACOES</t>
  </si>
  <si>
    <t>12117</t>
  </si>
  <si>
    <t>EXPRESSO SAO MIGUEL S/A / (051) 3586-2013E-mail para nota fiscal: , E-mail de cobrança: , Telefone para contato</t>
  </si>
  <si>
    <t>qqADmBUbROKwFlrASTWKEQ</t>
  </si>
  <si>
    <t>17286-A</t>
  </si>
  <si>
    <t>14043</t>
  </si>
  <si>
    <t>PEDIDO FECHADO DIA 29/01/2025 - PRAZO DE PAGAMENTO ESPECIAL 30/60/90/120 DIAS 
 Pedido nº 2273 enviado pelo vendedor Carlos Augusto  criado em 31/03/2025 15:00:33 integrado por meio do Bendito no dia 31/03/2025 às 17:43:37</t>
  </si>
  <si>
    <t>aYPzqnasQz2OCIE26TpbWQ</t>
  </si>
  <si>
    <t>17286-B</t>
  </si>
  <si>
    <t>14039</t>
  </si>
  <si>
    <t>Hadc6KAUUAnEC4dEtzcp</t>
  </si>
  <si>
    <t>17286-C</t>
  </si>
  <si>
    <t>13900</t>
  </si>
  <si>
    <t>m4D0nnaYDTJO4OdFAPaV</t>
  </si>
  <si>
    <t>17287-A</t>
  </si>
  <si>
    <t>8F00250104150040</t>
  </si>
  <si>
    <t>Pedido nº 2274 enviado pelo vendedor Carlos Augusto  criado em 31/03/2025 16:25:17 integrado por meio do Bendito no dia 31/03/2025 às 17:44:05</t>
  </si>
  <si>
    <t>850npH9aSWKqzGIwkFigRg</t>
  </si>
  <si>
    <t>17287-B</t>
  </si>
  <si>
    <t>8F00250104150033</t>
  </si>
  <si>
    <t>wyOJPowTmpkmp0VCKjrP</t>
  </si>
  <si>
    <t>17287-C</t>
  </si>
  <si>
    <t>8F00241225060012</t>
  </si>
  <si>
    <t>AmA8RH8bYaupMhLL7YWf</t>
  </si>
  <si>
    <t>17287-D</t>
  </si>
  <si>
    <t>8F00241225060010</t>
  </si>
  <si>
    <t>PfTxSH2ZJ9H17OzstDeF</t>
  </si>
  <si>
    <t>17287-E</t>
  </si>
  <si>
    <t>8F00241225060006</t>
  </si>
  <si>
    <t>1wRake8kGci6KGkOSzeC</t>
  </si>
  <si>
    <t>17288</t>
  </si>
  <si>
    <t>8F00241225060024</t>
  </si>
  <si>
    <t>Frete FOB com redespacho pela Expresso Raquel - CNPJ SP : 03.823.190/0002-16. - ENDEREÇO SÃO PAULO : RUA SOLDADO AMERICO RODRIGUES 131, GALPÃO MODULO A - PQ NOVO MUNDO
 Pedido nº 2277 enviado pelo vendedor Luiz  criado em 31/03/2025 17:01:10 integrado por meio do Bendito no dia 31/03/2025 às 17:47:30
O REDESPACHO SERA FOB - TRANSP. EXPRESSO RAQUEL - CNPJ:03.823.190/0002-16 - END: R SOLD AMERICO R. 131, CEP: 02.186-020</t>
  </si>
  <si>
    <t>VpfN..3USk-9yNoMbOHsPA</t>
  </si>
  <si>
    <t>17289</t>
  </si>
  <si>
    <t>8E00250104050023</t>
  </si>
  <si>
    <t>Cliente Wanderley Rosalem (constar em NF)
 Pedido nº 2278 enviado pelo vendedor Fábio criado em 31/03/2025 17:52:41 integrado por meio do Bendito no dia 31/03/2025 às 17:56:13</t>
  </si>
  <si>
    <t>TSXMSEo3ROCjH1hDP7weCQ</t>
  </si>
  <si>
    <t>17290</t>
  </si>
  <si>
    <t>Lmg Gois</t>
  </si>
  <si>
    <t>8E00241021140019</t>
  </si>
  <si>
    <t>EMAIL DE CONFIRMAÇÃO: lucimarmedalha@hotmail.com 
ENDEREÇO DE ENTREGA: Rua Edson de Lima Souto-nº 358 zona 2 CIA NORTE PR- CEP 87200-400
DESTACAR NA NF COM CANETA AMARELA . 
FRETE FOB 
 Pedido nº 2279 enviado pelo vendedor Renato criado em 31/03/2025 18:05:24 integrado por meio do Bendito no dia 31/03/2025 às 18:07:35</t>
  </si>
  <si>
    <t>Qfc7mJwVSeWQLliw6bJpsg</t>
  </si>
  <si>
    <t>17291-A</t>
  </si>
  <si>
    <t>8F00250102140022</t>
  </si>
  <si>
    <t>Cz0HOK34RyiIO1ZSqLVM-g</t>
  </si>
  <si>
    <t>17291-B</t>
  </si>
  <si>
    <t>8F00250102050025</t>
  </si>
  <si>
    <t>pensa no rolo, dia 15/05 eline recebe mensagem que renato vendeu o pedido deste cliente para EM PISCINAS, entao a maquina que estava aqui antes foi pra outro cliente, estamos tendo que repor ele daqui de sao jose, mas o frete vai sair como se fosse do EM piscinas</t>
  </si>
  <si>
    <t>Aiw5G8d1rsMgu0XiWay2</t>
  </si>
  <si>
    <t>17292-A</t>
  </si>
  <si>
    <t>14056</t>
  </si>
  <si>
    <t>3vn6hceIRjqIimO0DyKhcw</t>
  </si>
  <si>
    <t>17292-B</t>
  </si>
  <si>
    <t>8F00241021210021</t>
  </si>
  <si>
    <t>kNq03tvuAMfrTXIq1qPO</t>
  </si>
  <si>
    <t>17295</t>
  </si>
  <si>
    <t>8F00250102140003</t>
  </si>
  <si>
    <t>O REDESP. TRANSPORTARDORA CARVALIMA, AV. ALEXANDRE COLARES, 340 - PQ ANHANGUERA CEP. 05106-000 -SÃO
PAULO CNPJ. 33.070.814/0003-13 TEL. (11)2141-3100
 Pedido nº 2282 enviado pelo vendedor Juscelino criado em 01/04/2025 12:20:07 integrado por meio do Bendito no dia 01/04/2025 às 17:14:46
O REDESP. SERA FOB TRANSPORTARDORA CARVALIMA, AV. ALEXANDRE COLARES, 340 - PQ ANHANGUERA CEP. 05106-000 -SÃO PAULO CNPJ. 33.070.814/0003-13 TEL. 
(11)2141-3100</t>
  </si>
  <si>
    <t>hKZPgbbXQ1KplE2udTaoOg</t>
  </si>
  <si>
    <t>17296</t>
  </si>
  <si>
    <t>8E00241021130010</t>
  </si>
  <si>
    <t>Pedido de Compra Nº 7309 (constar em NF)
 Pedido nº 2281 enviado pelo vendedor Fábio criado em 01/04/2025 09:40:29 integrado por meio do Bendito no dia 01/04/2025 às 17:15:56</t>
  </si>
  <si>
    <t>uyNbk9YqTm-s7IQpKrP1YQ</t>
  </si>
  <si>
    <t>17297-A</t>
  </si>
  <si>
    <t>DS CONFORTO E LAZER</t>
  </si>
  <si>
    <t>8F00241225060026</t>
  </si>
  <si>
    <t>ENVIAR PELA SAO MIGUEL
 Pedido nº 2280 enviado pelo vendedor DANIELE criado em 01/04/2025 08:06:20 integrado por meio do Bendito no dia 01/04/2025 às 17:18:44</t>
  </si>
  <si>
    <t>AaNj1CDbQQ6vMnjcvzj7.Q</t>
  </si>
  <si>
    <t>17297-B</t>
  </si>
  <si>
    <t>8F00241118050017</t>
  </si>
  <si>
    <t>retxyKy0MS431GBDISWc</t>
  </si>
  <si>
    <t>17298</t>
  </si>
  <si>
    <t>CONDOMINIO DO EDIFÍCIO PRIME RESIDENCE</t>
  </si>
  <si>
    <t>14041</t>
  </si>
  <si>
    <t>FRETE FOB SEM REDESPACHO, o cliente quem chama a transportadora RODONAVES - CNPJ: 44.914.992/0036-68 
ENDEREÇO : ROD BR 101 , 7725 - SÃO VICENTE  - ITAJAI - SC
PAGAMENTO ANTECIPADO COM BOLETO 
 Pedido nº 2283 enviado pelo vendedor Luiz  criado em 01/04/2025 17:18:39 integrado por meio do Bendito no dia 01/04/2025 às 17:19:54</t>
  </si>
  <si>
    <t>8G.sy1y-StSk7AF-16xKkg</t>
  </si>
  <si>
    <t>17299</t>
  </si>
  <si>
    <t>8A00240411003114</t>
  </si>
  <si>
    <t>EXP SAO MIGUEL / (0) Obs.Interna: ENVIAR PELA SAO MIGUEL / E-mail para nota fiscal: , E-mail de cobrança: , Telefone para contato</t>
  </si>
  <si>
    <t>EAPkI.4UQrmpnVmB7RsxUA</t>
  </si>
  <si>
    <t>17300</t>
  </si>
  <si>
    <t>8F00241118050006</t>
  </si>
  <si>
    <t>CLIENTE ALDENIZ POCCINELLI
 Pedido nº 2284 enviado pelo vendedor Mario  criado em 01/04/2025 18:00:18 integrado por meio do Bendito no dia 01/04/2025 às 18:00:29</t>
  </si>
  <si>
    <t>Cc6rgin5QJ-K2G1hNH-eZw</t>
  </si>
  <si>
    <t>17301</t>
  </si>
  <si>
    <t>8F00241118050008</t>
  </si>
  <si>
    <t>FITLOG / (011) 2212-5862E-mail para nota fiscal: , E-mail de cobrança: , Telefone para contato</t>
  </si>
  <si>
    <t>xa9Vi2oqTZOOQlnaORutCQ</t>
  </si>
  <si>
    <t>17302</t>
  </si>
  <si>
    <t>Maquina para substituir a FT 100 que nao temos como atender. Esta maquina deve sair no valor da FT 100 R$ 16.184,75 
 Pedido nº 2265 enviado pelo vendedor Ricardo Henrique  criado em 28/03/2025 12:23:14 integrado por meio do Bendito no dia 02/04/2025 às 10:01:46</t>
  </si>
  <si>
    <t>foqIEODOQj2q.NIP0NBbew</t>
  </si>
  <si>
    <t>17303</t>
  </si>
  <si>
    <t>8F00241118050004</t>
  </si>
  <si>
    <t>PEDIDO DIONE
OBS: EU JAIR, INTEGREI ESTE PEDIDO NO BENDITO, INSERI NA PLANILHA E APROVEI. EQUIPAMENTO SERÁ PREPARADO PARA O ENVIO A CAMPINAS CONFORME ACORDO COMERCIAL DO MÁRIO COM A ARCO-IRIS.
 Pedido nº 2286 enviado pelo vendedor Carlos Augusto  criado em 02/04/2025 07:29:12 integrado por meio do Bendito no dia 02/04/2025 às 13:10:15</t>
  </si>
  <si>
    <t>jfDMnVLxTMaoojmTh8NAVg</t>
  </si>
  <si>
    <t>17304-A</t>
  </si>
  <si>
    <t>8E00241021130014</t>
  </si>
  <si>
    <t>Pedido nº 2288 enviado pelo vendedor Carlos Augusto  criado em 02/04/2025 14:09:52 integrado por meio do Bendito no dia 02/04/2025 às 15:32:57</t>
  </si>
  <si>
    <t>zrLJl4tqQVGtzgzphva73Q</t>
  </si>
  <si>
    <t>17304-B</t>
  </si>
  <si>
    <t>8E00241021130006</t>
  </si>
  <si>
    <t>6JSk7846SL6gHweiHMPc</t>
  </si>
  <si>
    <t>17305</t>
  </si>
  <si>
    <t>8E00241021140021</t>
  </si>
  <si>
    <t>EXPRESSO SAO MIGUEL S/A / (051) 3586-2013Obs.Interna: ENVIAR PELA SAO MIGUEL / E-mail para nota fiscal: , E-mail de cobrança: , Telefone para contato</t>
  </si>
  <si>
    <t>qblY-ddoRVGfLvWYA-bszw</t>
  </si>
  <si>
    <t>17306-A</t>
  </si>
  <si>
    <t>8E00241118030059</t>
  </si>
  <si>
    <t>EXP SAO MIGUEL / (0) Informação Adicional: 15/30/45/60/75/90 / E-mail para nota fiscal: , E-mail de cobrança: , Telefone para contato</t>
  </si>
  <si>
    <t>1nr5uHlQTjmeNRyPfBeqjg</t>
  </si>
  <si>
    <t>17306-B</t>
  </si>
  <si>
    <t>8E00241021130016</t>
  </si>
  <si>
    <t>L0nphf0ZJsgMETLsSBAA</t>
  </si>
  <si>
    <t>17307</t>
  </si>
  <si>
    <t>Cliente Retira na fábrica, se possível em 04/04 - sexta-feira LEANDRO CIENETE 
 Pedido nº 2292 enviado pelo vendedor DANIELE criado em 03/04/2025 07:30:46 integrado por meio do Bendito no dia 03/04/2025 às 08:28:15</t>
  </si>
  <si>
    <t>v20scNDvRQ-38gHHQzaG4Q</t>
  </si>
  <si>
    <t>17308</t>
  </si>
  <si>
    <t>8E00241021140018</t>
  </si>
  <si>
    <t>Cliente - Pedro Rafael (constar em NF)
 Pedido nº 2289 enviado pelo vendedor Fábio criado em 02/04/2025 17:31:05 integrado por meio do Bendito no dia 03/04/2025 às 08:29:12</t>
  </si>
  <si>
    <t>D9iydcoPRtKnqH-gxsZ6zg</t>
  </si>
  <si>
    <t>17310-A</t>
  </si>
  <si>
    <t>PRAZO DE PAGAMENTO 30/45/60/75/90/105/120/135/150 DIAS 
MARIO- PRAZO DE PAG. AUTORIZADO PELA PRISCILLA .
 Pedido nº 2293 enviado pelo vendedor Carlos Augusto  criado em 03/04/2025 09:19:47 integrado por meio do Bendito no dia 03/04/2025 às 15:00:54</t>
  </si>
  <si>
    <t>a-n2PqcYpSqmCUk346PzrxA</t>
  </si>
  <si>
    <t>17310-B</t>
  </si>
  <si>
    <t>nOSY7zFAVGhjWaJPDnMK</t>
  </si>
  <si>
    <t>17310-C</t>
  </si>
  <si>
    <t>AQ0ukMdrJ5AZzzyQKjvl</t>
  </si>
  <si>
    <t>17310-D</t>
  </si>
  <si>
    <t>1SIeCpvqIX7JPU8ekyjj</t>
  </si>
  <si>
    <t>17310-E</t>
  </si>
  <si>
    <t>lJFcONbcrF6vx2f0F4IQ</t>
  </si>
  <si>
    <t>17312</t>
  </si>
  <si>
    <t>8F00241021210005</t>
  </si>
  <si>
    <t>4Q2LND8YTz-Jn8LF9m8cDQ</t>
  </si>
  <si>
    <t>17313</t>
  </si>
  <si>
    <t>8F00241118050001</t>
  </si>
  <si>
    <t>CLIENTE RETIRA
 Pedido nº 2300 enviado pelo vendedor DANIELE criado em 04/04/2025 14:56:02 integrado por meio do Bendito no dia 04/04/2025 às 15:08:35</t>
  </si>
  <si>
    <t>Cvx-nDpKQ0WGWW76KlD7CA</t>
  </si>
  <si>
    <t>17314</t>
  </si>
  <si>
    <t>WR PISCINAS ESPORTES E LAZER LTDA</t>
  </si>
  <si>
    <t>8F00241021210039</t>
  </si>
  <si>
    <t>Endereço de Entrega:
RODOVIA MARIO COVAS, 12151 
Bairro: MOREIRAS
Cidade: MAIRINQUE -SP
Contato: 11 996805598
Walkiria e Rogério
 Pedido nº 2297 enviado pelo vendedor Marcelo criado em 03/04/2025 17:41:46 integrado por meio do Bendito no dia 06/04/2025 às 14:04:46</t>
  </si>
  <si>
    <t>HEc0u0o6TuWXpQOSwmXqTg</t>
  </si>
  <si>
    <t>17315-A</t>
  </si>
  <si>
    <t>OC 699. Pdd Março, entra na regra antiga de frete. Pgto 30 60 90 120. FT 40 valor R$ 9.131,40.Entrega Rua das Aroeiras S/N cond Bracuhy /lote 09 bracui (cunhambebe) /Angra dos Reis Cep 23943007. Ligar antes de entregar 
 Pedido nº 2301 enviado pelo vendedor Ricardo Henrique  criado em 04/04/2025 16:15:04 integrado por meio do Bendito no dia 06/04/2025 às 14:09:47
NÃO ENTREGAR S/ENTRAR EM CONTATO COM O TELEFONE: JORGE (21) 99512-4022 AO MENOS C/ 24H</t>
  </si>
  <si>
    <t>LF8m2ngeTSCVjZdOycMTZA</t>
  </si>
  <si>
    <t>17315-B</t>
  </si>
  <si>
    <t>14054</t>
  </si>
  <si>
    <t>FT40B35W</t>
  </si>
  <si>
    <t>QiJ32HpNsYFGLIr4qnpb</t>
  </si>
  <si>
    <t>17316-A</t>
  </si>
  <si>
    <t>ACQUABELA</t>
  </si>
  <si>
    <t>14057</t>
  </si>
  <si>
    <t>IN5SvD3bQYaW2.97UzxjUA</t>
  </si>
  <si>
    <t>17316-B</t>
  </si>
  <si>
    <t>ZtOXI9y6EhimUqdyqVJu</t>
  </si>
  <si>
    <t>17318</t>
  </si>
  <si>
    <t>8E00241021140014</t>
  </si>
  <si>
    <t>BGYyyHnBQNaNZlqHT6d5Rw</t>
  </si>
  <si>
    <t>17319</t>
  </si>
  <si>
    <t>FT50B35W</t>
  </si>
  <si>
    <t>Frete CIF
 Pedido nº 2295 enviado pelo vendedor Ranoika  criado em 03/04/2025 10:55:33 integrado por meio do Bendito no dia 07/04/2025 às 09:00:39
FRETE SEMPRE CIF SEM REDESPACHO</t>
  </si>
  <si>
    <t>a.TLghY58TUuVdO0X55N3KQ</t>
  </si>
  <si>
    <t>17320</t>
  </si>
  <si>
    <t>8F00241225060019</t>
  </si>
  <si>
    <t>REDESPACHO FOB  CNPJ 24.882.886/0002-93 - RADLOG TRANSPORTES LTDA Rua UMBUZEIRO, 123 - Cep 07.224-010 - BAIRRO CIDADE INDUSTRIAL SATELITE DE SAO PAULO - GUARULHOS - SP I.E. 796.514.930.111
 Pedido nº 2303 enviado pelo vendedor Ranoika  criado em 07/04/2025 08:55:49 integrado por meio do Bendito no dia 07/04/2025 às 09:01:03
O REDESPACHO SERA FOB - TRANSP. RADLOG - CNPJ : 24.882.886/0002-93 - END: R UMBUZEIRO, 123, CEP: 07.224-010</t>
  </si>
  <si>
    <t>a.d65joyhQFqAwZGvn2z8dQ</t>
  </si>
  <si>
    <t>17322-M</t>
  </si>
  <si>
    <t>8F00241021210003</t>
  </si>
  <si>
    <t>pagamento 30/60/90/120/150/180. 
Cliente irá retirar as maquinas conforme sua demanda, porem iniciar o faturamento imediato . 
 Pedido nº 2227 enviado pelo vendedor Renato criado em 20/03/2025 15:21:28 integrado por meio do Bendito no dia 07/04/2025 às 10:02:41</t>
  </si>
  <si>
    <t>u2kHjc0w6FXPQHn95LGz</t>
  </si>
  <si>
    <t>17322-N</t>
  </si>
  <si>
    <t>8F00241021210002</t>
  </si>
  <si>
    <t>TQDZoOsiGL5eW5IHaK7h</t>
  </si>
  <si>
    <t>17322-R</t>
  </si>
  <si>
    <t>8F00241118050021</t>
  </si>
  <si>
    <t>RLN6D23 - EXPRESSO SÃO MIGUEL - RAFAEL FRIMINO DE SOUZA - 04652261918 - M.BENZ / CARGA CAMINHAO  / BRANCA  / 2022</t>
  </si>
  <si>
    <t>iZJrOEi56FQCcNk8olX4</t>
  </si>
  <si>
    <t>17322-S</t>
  </si>
  <si>
    <t>8F00241118050020</t>
  </si>
  <si>
    <t>j2dIH8hUdPxPyxIE8EMo</t>
  </si>
  <si>
    <t>17322-T</t>
  </si>
  <si>
    <t>8F00241118050032</t>
  </si>
  <si>
    <t>3LKnrZPQpqFeMqRXH11Y</t>
  </si>
  <si>
    <t>17323</t>
  </si>
  <si>
    <t>8E00241021140048</t>
  </si>
  <si>
    <t>REDESPACHO FOB  CNPJ 24.882.886/0002-93 - RADLOG TRANSPORTES LTDA Rua UMBUZEIRO, 123 - Cep 07.224-010 - BAIRRO CIDADE INDUSTRIAL SATELITE DE SAO PAULO - GUARULHOS - SP I.E. 796.514.930.111
 Pedido nº 2305 enviado pelo vendedor Ranoika  criado em 07/04/2025 09:37:04 integrado por meio do Bendito no dia 07/04/2025 às 10:07:35
REDESPACHO FOB  CNPJ 24.882.886/0002-93 - RADLOG TRANSPORTES LTDA Rua UMBUZEIRO, 123 - Cep 07.224-010 - BAIRRO CIDADE INDUSTRIAL SATELITE DE SAO PAULO - GUARULHOS - SP I.E. 796.514.930.111</t>
  </si>
  <si>
    <t>eHM6ZCYlQjC.waj0bADsPg</t>
  </si>
  <si>
    <t>17324</t>
  </si>
  <si>
    <t>8F00250104120008</t>
  </si>
  <si>
    <t>PEDIDO 20705 ADM.  A NOSSA 
 Pedido nº 2304 enviado pelo vendedor Carlos Augusto  criado em 07/04/2025 09:25:46 integrado por meio do Bendito no dia 07/04/2025 às 10:08:23</t>
  </si>
  <si>
    <t>tHsYDNI8SwCierAYvnAJJQ</t>
  </si>
  <si>
    <t>17325</t>
  </si>
  <si>
    <t>8F00240812180126</t>
  </si>
  <si>
    <t>V7Zu9b7WTY-vQHFx7nfiSw</t>
  </si>
  <si>
    <t>17326-A</t>
  </si>
  <si>
    <t>8F00250104120007</t>
  </si>
  <si>
    <t>2X9lYcwaSYS-u1RTWRTo2w</t>
  </si>
  <si>
    <t>17326-B</t>
  </si>
  <si>
    <t>8F00241118050060</t>
  </si>
  <si>
    <t>rh00BuZG3rhdHhMP2zM6</t>
  </si>
  <si>
    <t>17326-C</t>
  </si>
  <si>
    <t>8F00241118050016</t>
  </si>
  <si>
    <t>fMkNgeheV0HLMhjIHFTx</t>
  </si>
  <si>
    <t>17327</t>
  </si>
  <si>
    <t>FH80F60</t>
  </si>
  <si>
    <t>Alterar prazo de pagamento 30/60/90/120 DD
Autorizado pelo Mário.
 Pedido nº 2306 enviado pelo vendedor Fábio criado em 07/04/2025 10:09:37 integrado por meio do Bendito no dia 07/04/2025 às 10:53:09</t>
  </si>
  <si>
    <t>qgBSYtu7RKqInAY2n9M6Ow</t>
  </si>
  <si>
    <t>17328</t>
  </si>
  <si>
    <t>Santa Monica Rede de Ensino</t>
  </si>
  <si>
    <t>8F00250104150038</t>
  </si>
  <si>
    <t>Valor do equipamento R$ 23.733,36 (valor já inclui os juros do parcelamento). Pagamento em dez vezes no cartão de crédito. Frete CIF
Esse pedido NÃO  possui 10% de comissão da revenda . 
Possui DIFAL de 10% - R$2.368,79
Valor dos juros bandeira Master R$658,59
Favor entrar em contato com André, para que ele informe os dados do cartão de crédito &gt;&gt; (21) 96426-6347
 Pedido nº 2298 enviado pelo vendedor Ricardo Henrique  criado em 03/04/2025 20:17:17 integrado por meio do Bendito no dia 07/04/2025 às 11:25:20</t>
  </si>
  <si>
    <t>oIskyU2DRiuQYXCt9YatPg</t>
  </si>
  <si>
    <t>17329-A</t>
  </si>
  <si>
    <t>Remessa de entrega futura referente ao pedido 17329 que Substitui 17311 (Cancelado por sair com 5102)
PRAZO DE PAGAMENTO 30/45/60/75/90/105/120 DIAS
MARIO - PRAZO DE PAGAMENTO AUTORIZADO PELA PRISCILLA .
 Pedido nº 2294 enviado pelo vendedor Carlos Augusto  criado em 03/04/2025 09:22:43 integrado por meio do Bendito no dia 03/04/2025 às 15:01:19</t>
  </si>
  <si>
    <t>yC1HNvGqSEiJGFj1xJh-zA</t>
  </si>
  <si>
    <t>17329-B</t>
  </si>
  <si>
    <t>Y6rWiu3FHTr2LAiNwMLr</t>
  </si>
  <si>
    <t>17329-C</t>
  </si>
  <si>
    <t>8F00250706500007</t>
  </si>
  <si>
    <t xml:space="preserve">&lt;HTML&gt;
&lt;HEAD&gt;
&lt;TITLE&gt;Moved Temporarily&lt;/TITLE&gt;
&lt;/HEAD&gt;
&lt;BODY BGCOLOR="#FFFFFF" TEXT="#000000"&gt;
&lt;!-- GSE Default Error --&gt;
&lt;H1&gt;Moved Temporarily&lt;/H1&gt;
The document has moved &lt;A HREF="https://script.googleusercontent.com/macros/echo?user_content_key=AehSKLhSC2ICFqTwysQ2njowBTNaiI7cDq5Nez_spXcRY1QJFldvQcIxos7wUbB9Ggi_33EVKsTvZDvisd6a150PViGB3vGXLeieTb1z3mXMGnBdaWi1WP5l6Lizq1r0I1dNp7EwhgjNo8ECsUbNDee0Zut3DlEeM_bLeSWiYhDhHi65OFPP_D6f3dlMuk0UVToVa8uNFdAjCC2bG_rN9STqTX_SnlasXelljTXDG9aTCdPVjD-CgWh5sf4s1hDkm9lW4T5nbjaumUxVbCwq0ZuzrjQff_-_MSh2GH_rrhyWm7ffS8T2gq39KrdolfwNYQ&amp;amp;lib=M-zdWbhavtdZ1B_W2dnFDM0qoVt4lWzJ-"&gt;here&lt;/A&gt;.
&lt;/BODY&gt;
&lt;/HTML&gt;
</t>
  </si>
  <si>
    <t>xqyv31dIF2I3klXG6Kcj</t>
  </si>
  <si>
    <t>17329-D</t>
  </si>
  <si>
    <t>8F00250706500008</t>
  </si>
  <si>
    <t xml:space="preserve">&lt;HTML&gt;
&lt;HEAD&gt;
&lt;TITLE&gt;Moved Temporarily&lt;/TITLE&gt;
&lt;/HEAD&gt;
&lt;BODY BGCOLOR="#FFFFFF" TEXT="#000000"&gt;
&lt;!-- GSE Default Error --&gt;
&lt;H1&gt;Moved Temporarily&lt;/H1&gt;
The document has moved &lt;A HREF="https://script.googleusercontent.com/macros/echo?user_content_key=AehSKLjUV2Pdb6oUjeE2apNDrC77GcfgKZzwRPRKX2XNtYlOFE_cqtUFjHm-NOEw7o0nIfZF2Scz0Ztee5iMeiojqDOZXHqqkTvGNdGbz3wKmLqWK6FK1kkeP3kr6s3FcT_SxqVWXfGJH1OzZWFeG2M-fXLkgPZkTLq9yiA5GRKOuzBBWL6n2Pzv6t90nj6JcQYGovoQ_SFNXwI6I6WLit7Oa3zZilLXqBg7OR36Z91JxpdvEP2nAa_-sb5K4ha_MHSqXfNyOtbejwG9oHYgr2I-20sEJ27Pq-Wf6ba07sQ9klHrTNqNqSSK4qBFHI58gQ&amp;amp;lib=M-zdWbhavtdZ1B_W2dnFDM0qoVt4lWzJ-"&gt;here&lt;/A&gt;.
&lt;/BODY&gt;
&lt;/HTML&gt;
</t>
  </si>
  <si>
    <t>y7jDT3j406SLRzXt6iwa</t>
  </si>
  <si>
    <t>17329-E</t>
  </si>
  <si>
    <t>pxRALw7Ng6Vv5SGaMXYE</t>
  </si>
  <si>
    <t>17329-F</t>
  </si>
  <si>
    <t>eucI1Qm1iqImm6nvWCxO</t>
  </si>
  <si>
    <t>17329-G</t>
  </si>
  <si>
    <t>ueDeGvW5Z4Z6XqKnhBaL</t>
  </si>
  <si>
    <t>17329-H</t>
  </si>
  <si>
    <t>iAIGlVNXHWbtxIdvQvoU</t>
  </si>
  <si>
    <t>17329-I</t>
  </si>
  <si>
    <t>s9OeDaEjyR3Z2MZWhmgD</t>
  </si>
  <si>
    <t>17332</t>
  </si>
  <si>
    <t>8F00241021210009</t>
  </si>
  <si>
    <t>71VmHLRSRUeebnal9i73mg</t>
  </si>
  <si>
    <t>17335</t>
  </si>
  <si>
    <t>F SANTI LTDA</t>
  </si>
  <si>
    <t>MAQUINA FOI ENTREGUE AO RENATO PARA REVENDER 8E00241118030057</t>
  </si>
  <si>
    <t>a.R6eG6awThmMCdjpcCIiig</t>
  </si>
  <si>
    <t>17336</t>
  </si>
  <si>
    <t>8F00241021210004</t>
  </si>
  <si>
    <t>Cliente possui frete Cif conosco 
 Pedido nº 2312 enviado pelo vendedor Ricardo Henrique  criado em 08/04/2025 09:27:08 integrado por meio do Bendito no dia 08/04/2025 às 09:41:10</t>
  </si>
  <si>
    <t>LvHhlsjVToOEdo41QXzCMQ</t>
  </si>
  <si>
    <t>17339</t>
  </si>
  <si>
    <t>14063</t>
  </si>
  <si>
    <t>OC 3604 Orlando Soares 
 Pedido nº 2314 enviado pelo vendedor Ricardo Henrique  criado em 09/04/2025 09:31:22 integrado por meio do Bendito no dia 09/04/2025 às 11:21:26</t>
  </si>
  <si>
    <t>a-5mDpi25ReewNxmLomH3nA</t>
  </si>
  <si>
    <t>17340</t>
  </si>
  <si>
    <t>8F00241118050015</t>
  </si>
  <si>
    <t>Pedido nº 2311 enviado pelo vendedor Carlos Augusto  criado em 07/04/2025 21:37:34 integrado por meio do Bendito no dia 09/04/2025 às 11:22:04</t>
  </si>
  <si>
    <t>AVJuTiAOQoSdqdXqEira2A</t>
  </si>
  <si>
    <t>17341</t>
  </si>
  <si>
    <t>8F00241021210001</t>
  </si>
  <si>
    <t>9m2GYaowT521WdYLHN7IFw</t>
  </si>
  <si>
    <t>17342</t>
  </si>
  <si>
    <t>14062</t>
  </si>
  <si>
    <t>jb9ZO8x.St2a2T.4yKhhXA</t>
  </si>
  <si>
    <t>17343</t>
  </si>
  <si>
    <t>8E00241118030060</t>
  </si>
  <si>
    <t>d4T8LhrqRwq4Jc-dapELtg</t>
  </si>
  <si>
    <t>17344</t>
  </si>
  <si>
    <t>JERONIMO PIZZOLOTTO GOERGEN</t>
  </si>
  <si>
    <t>8F00241225060016</t>
  </si>
  <si>
    <t>EXPRESSO SAO MIGUEL S/A / (051) 3586-2013Obs.Interna: ALTERAR PARA CARTÃO DE CRÉDITO EM 1X 
FRETE CIF - DESCONTAR DA COMISSÃO
 VALOR DA NF R$  15.000,00 
VALOR TABELA R$  7.911,17 
  -   DIF VAL TAB X NF R$   7.088,83 
    -   DIF IMPOSTO 17% R$  1.205,10 
IMPOSTO ESTADUAL R$ 750,00 
TOTAL A PAGAR  R$ 9.866,27                   
 / E-mail para nota fiscal: , E-mail de cobrança: , Telefone para contato</t>
  </si>
  <si>
    <t>JiT.QbDYToW5ySQYpDQ54A</t>
  </si>
  <si>
    <t>17345</t>
  </si>
  <si>
    <t>20141</t>
  </si>
  <si>
    <t>QUADRO TOUCH EXTERNO SOBREPOR  PREÇO NEGOCIADO COM  + 5% DESCONTO R$ 13.282,52
CLIENTE SOUL - NOTA COM REMESSA DE ENTREGA FUTURA PREVISÃO MAIO 2025 - PODE ALTERAR A DATA 
 Pedido nº 2250 enviado pelo vendedor Carlos Augusto  criado em 26/03/2025 06:40:43 integrado por meio do Bendito no dia 27/03/2025 às 17:38:33</t>
  </si>
  <si>
    <t xml:space="preserve">&lt;HTML&gt;
&lt;HEAD&gt;
&lt;TITLE&gt;Moved Temporarily&lt;/TITLE&gt;
&lt;/HEAD&gt;
&lt;BODY BGCOLOR="#FFFFFF" TEXT="#000000"&gt;
&lt;!-- GSE Default Error --&gt;
&lt;H1&gt;Moved Temporarily&lt;/H1&gt;
The document has moved &lt;A HREF="https://script.googleusercontent.com/macros/echo?user_content_key=AehSKLgjRYJ7sUgjYRjnzTlMqH2o-4aVxrOOgqV_EO7bQwiR-1O9P4-XAS-hrtZGyGAj5dHxiFnttQBeE1wHDfZExf1wCqnIdRjttqx_w5rab8-vz_1rkWXkHSHPRbartGtglGlJARd_3YRHKrx8O0lzSvmnKpMVrES-o-zYikhclPFAz7iHTYlsIbQAgxrCf7gkQMwQHqx4YB1hyFT3lDU5r59LOsbOMI26Hqym8GEmgtj0CgjshMqV1ybph251Gi-8O9Ewkrg75XbpJUpvsg_F7uqPiY4soOQ6MT-laJmG8R2qiWbPTyFC_1HZs_OgqQ&amp;amp;lib=M-zdWbhavtdZ1B_W2dnFDM0qoVt4lWzJ-"&gt;here&lt;/A&gt;.
&lt;/BODY&gt;
&lt;/HTML&gt;
</t>
  </si>
  <si>
    <t>iZ.kgoX2TIWGihkoss4XlQ</t>
  </si>
  <si>
    <t>17346</t>
  </si>
  <si>
    <t>20140</t>
  </si>
  <si>
    <t>QUADRO TOUCH EXTERNO SOBREPOR  PREÇO NEGOCIADO COM  + 5% DESCONTO R$ 15.375,51
CLIENTE MORADAS  - NOTA COM REMESSA DE ENTREGA FUTURA PREVISÃO JULHO/AGOSTO  2025 - PODE ALTERAR A DATA 
 Pedido nº 2285 enviado pelo vendedor Carlos Augusto  criado em 01/04/2025 18:15:56 integrado por meio do Bendito no dia 09/04/2025 às 17:54:42</t>
  </si>
  <si>
    <t xml:space="preserve">&lt;HTML&gt;
&lt;HEAD&gt;
&lt;TITLE&gt;Moved Temporarily&lt;/TITLE&gt;
&lt;/HEAD&gt;
&lt;BODY BGCOLOR="#FFFFFF" TEXT="#000000"&gt;
&lt;!-- GSE Default Error --&gt;
&lt;H1&gt;Moved Temporarily&lt;/H1&gt;
The document has moved &lt;A HREF="https://script.googleusercontent.com/macros/echo?user_content_key=AehSKLi5ofLYrzV8EysMmn9bSpzBPW4Xr5r0iV_poAhP1qF1pJ4Zw52Rux825x7O9Btw6SWdB__1N_rg7IdBwV8JgJjbBnwMmInwRuwE_HHUQZgmvuln5QSl5UfqW1KtPEVtOH17Y2tQQisMYqDpgWK3rKg_Feb0Vf-meucJIdR6r-PpjwuA-FocnHXa5b7sMEwHjpsoXHeIv9Mbxrc_dLerr3hhRfnzHjBQIhniuVGWb6IBrfxW2ojIA7k2PSMQcMR4SPaCFR0frWhTuF6Fbi5eYTO1lY6tDpc802Fk7kw2OosX0V9MmfNJNv3CWGlbJg&amp;amp;lib=M-zdWbhavtdZ1B_W2dnFDM0qoVt4lWzJ-"&gt;here&lt;/A&gt;.
&lt;/BODY&gt;
&lt;/HTML&gt;
</t>
  </si>
  <si>
    <t>ZSHV88.PR92XvP-92lc-3w</t>
  </si>
  <si>
    <t>17348</t>
  </si>
  <si>
    <t>8F00241118050014</t>
  </si>
  <si>
    <t>possui título em aberto, vamos liberar somente apósopagamento - somente a vista
OC 127 
Frete Fob com redespacho pela Minas Star  -  CNPJ SP: 41.676.545/0002-80 - endereço : Rua Gonçalves , 118 - CIDADE INDUSTRIAL SATÉLITE DE SÃO PAULO - Guarulhos - SP 
 Pedido nº 2316 enviado pelo vendedor Luiz  criado em 10/04/2025 08:41:33 integrado por meio do Bendito no dia 10/04/2025 às 10:46:32</t>
  </si>
  <si>
    <t>2FEOQUzVQa6Tyvh1nudZUg</t>
  </si>
  <si>
    <t>17350</t>
  </si>
  <si>
    <t>8F00241225060027</t>
  </si>
  <si>
    <t>SEM COMISSÃO. VAI COM FRETE CIF A COBRAR DA TRANSPORTADORA.
EXP SAO MIGUEL / (0) Obs.Interna: sem cobrança e sem comissão .  / E-mail para nota fiscal: , E-mail de cobrança: , Telefone para contato</t>
  </si>
  <si>
    <t>xIPIpshCRDyCnFd4VrMezQ</t>
  </si>
  <si>
    <t>17353</t>
  </si>
  <si>
    <t>8F00241021210007</t>
  </si>
  <si>
    <t>cliente Jaide José de Oliveira (constar em NF)
 Pedido nº 2318 enviado pelo vendedor Fábio criado em 10/04/2025 15:55:08 integrado por meio do Bendito no dia 10/04/2025 às 16:32:34</t>
  </si>
  <si>
    <t>TnuKSqTlSpGitc3FKi6WlQ</t>
  </si>
  <si>
    <t>17354</t>
  </si>
  <si>
    <t>DSTK AQUECIMENTOS E EQUIPAMENTOS</t>
  </si>
  <si>
    <t>OP ANTIGO 8E00241005140035 EXPRESSO SAO MIGUEL S/A / (051) 3586-2013Obs.Interna: valor da maquina R$ 7833,00  ja pago pelo cliente / E-mail para nota fiscal: , E-mail de cobrança: , Telefone para contato</t>
  </si>
  <si>
    <t>SK0KjvvaRH6RTOmK-B.rGw</t>
  </si>
  <si>
    <t>17356</t>
  </si>
  <si>
    <t>8F00241021210035</t>
  </si>
  <si>
    <t>TnpRauubT2WVVKdmEJUufQ</t>
  </si>
  <si>
    <t>17357</t>
  </si>
  <si>
    <t>8F00241118050003</t>
  </si>
  <si>
    <t>cliente : ARAMBUL 
 Pedido nº 2322 enviado pelo vendedor Mario  criado em 11/04/2025 08:13:44 integrado por meio do Bendito no dia 11/04/2025 às 08:14:15</t>
  </si>
  <si>
    <t>YBBgB0t-SlW0JCuJBZwIQA</t>
  </si>
  <si>
    <t>17358-A</t>
  </si>
  <si>
    <t>Porto Caribe Empreendimentos</t>
  </si>
  <si>
    <t>8F00241225080016</t>
  </si>
  <si>
    <t>SEM COMISSÃO PARA CAXANGÁ - MARCELO
RESPONSABILIDADE FINANCEIRA CAXANGÁ BOMBAS - AGUAS E VAPORES
VALOR DA NF R$32.041,75- DEVIDO DIFAL 13,5 %
07.855.774/0001-43  RAPIDO FIGUEIREDO TRANSPORTES ME LTDA
 Pedido nº 2319 enviado pelo vendedor Sadi criado em 10/04/2025 18:18:07 integrado por meio do Bendito no dia 11/04/2025 às 08:29:09</t>
  </si>
  <si>
    <t>ymlj0PsZQhSm..1hzh7Beg</t>
  </si>
  <si>
    <t>17358-B</t>
  </si>
  <si>
    <t>8F00241118050030</t>
  </si>
  <si>
    <t>sjyiInQXTW7ftouSuKR8</t>
  </si>
  <si>
    <t>17360</t>
  </si>
  <si>
    <t>8F00241118050024</t>
  </si>
  <si>
    <t>PEDIDO MILLER PRETTO 
 Pedido nº 2320 enviado pelo vendedor Carlos Augusto  criado em 11/04/2025 07:06:53 integrado por meio do Bendito no dia 11/04/2025 às 10:48:36</t>
  </si>
  <si>
    <t>cQTOYgA2T5a3MG0wk18RXg</t>
  </si>
  <si>
    <t>17361</t>
  </si>
  <si>
    <t>8F00241021210012</t>
  </si>
  <si>
    <t>TEM  TÍTULO EM ABERTO, SEGURAR A APROVAÇÃO
PEDIDO FEITO POR LUCIANO 
 Pedido nº 2321 enviado pelo vendedor Carlos Augusto  criado em 11/04/2025 07:10:21 integrado por meio do Bendito no dia 11/04/2025 às 10:50:19</t>
  </si>
  <si>
    <t>dsxvQrDfSmaePZSQ3emsmg</t>
  </si>
  <si>
    <t>17362</t>
  </si>
  <si>
    <t>8F00241225080009</t>
  </si>
  <si>
    <t>Frete CIF
 Pedido nº 2323 enviado pelo vendedor Ranoika  criado em 11/04/2025 11:21:58 integrado por meio do Bendito no dia 11/04/2025 às 12:31:41
FRETE SEMPRE CIF SEM REDESPACHO</t>
  </si>
  <si>
    <t>mAtgLITnQCqZF6gwJiSbyQ</t>
  </si>
  <si>
    <t>17364</t>
  </si>
  <si>
    <t>8E00250104050017</t>
  </si>
  <si>
    <t>Cliente Cristiane Yoshie dos Santos Morimoto (constar em NF)
 Pedido nº 2324 enviado pelo vendedor Fábio criado em 11/04/2025 16:23:45 integrado por meio do Bendito no dia 13/04/2025 às 22:38:50</t>
  </si>
  <si>
    <t>TYh9qodqSdeR2Df2FRGt5g</t>
  </si>
  <si>
    <t>17365</t>
  </si>
  <si>
    <t>Leandro Mamede Braun</t>
  </si>
  <si>
    <t>8F00241005200005</t>
  </si>
  <si>
    <t>RF BRS TRANSPORTES</t>
  </si>
  <si>
    <t>RESPONSABILIDADE FINANCEIRA DA AGUAS E VAPORES / CAXANGÁ - ACRESCENTAR 13,5% DIFAL VALOR SEM DIFAL  R$17.955,56 
RAPIDO FIGUEIREDO TRANSPORTES ME LTDA   07.855.774/0001-43
SEM COMISSÃO PARA CAXANGÁ .
 Pedido nº 2325 enviado pelo vendedor Sadi criado em 11/04/2025 18:20:51 integrado por meio do Bendito no dia 13/04/2025 às 22:47:37</t>
  </si>
  <si>
    <t>e2PXdxlZQvSbzsm1yMqZUw</t>
  </si>
  <si>
    <t>17366</t>
  </si>
  <si>
    <t>TECH MED</t>
  </si>
  <si>
    <t>8F00241118050039</t>
  </si>
  <si>
    <t xml:space="preserve">Pedido reprocessado ao alterar dados do cliente 14/04/2025 10:34:41 usuário: P000992732
RESPONSABILIDADE FINANCEIRA DA AGUAS E VAPORES / CAXANGA
ACRESCENTAR DIFAL 13,5% R$ 9.906,59
RAPIDO FIGUEIREDO TRANSPORTES ME LTDA  07.855.774/0001-43
 Pedido nº 2326 enviado pelo vendedor Sadi criado em 11/04/2025 18:34:13 integrado por meio do Bendito no dia 13/04/2025 às 22:49:44
</t>
  </si>
  <si>
    <t>rNemX0MPRt-mL0XCirOVBQ</t>
  </si>
  <si>
    <t>17368</t>
  </si>
  <si>
    <t>8F00241118050012</t>
  </si>
  <si>
    <t>kwdpSob3RJGTOipAwD8jtw</t>
  </si>
  <si>
    <t>17370-A</t>
  </si>
  <si>
    <t>8F00250104120010</t>
  </si>
  <si>
    <t>PRAZO DE PAGAMENTO ESPECIAL: 30/45/60/75/90/105/120
RETIRA NA FABRICA DIA 15/04/2025 . 
 Pedido nº 2328 enviado pelo vendedor Carlos Augusto  criado em 14/04/2025 10:01:00 integrado por meio do Bendito no dia 14/04/2025 às 10:41:34</t>
  </si>
  <si>
    <t>h0yeDrlFSgi.-duiAkr5.Q</t>
  </si>
  <si>
    <t>17370-B</t>
  </si>
  <si>
    <t>8F00250104120011</t>
  </si>
  <si>
    <t>mojlqdoV5Tfh9bdKcglv</t>
  </si>
  <si>
    <t>17370-C</t>
  </si>
  <si>
    <t>8F00241021270013</t>
  </si>
  <si>
    <t>AzRMmdsyTffLNrlMRIS4</t>
  </si>
  <si>
    <t>17371</t>
  </si>
  <si>
    <t>14069</t>
  </si>
  <si>
    <t>EXPRESSO SAO MIGUEL S/A / (051) 3586-2013Obs.Interna: MAQUINA INCENDIOU E APROVADO PELO ABEL O ENVIO DE UMA NOVA SEM CUSTO PARA CLIENTE . SEM COMISSÃO P REPRESENTANTE. PEDIDO ORIGINAL 15305 . FOTOS ESTÁ COM REGISTRO ASSITENCIA TECNICA .  / E-mail para nota fiscal: , E-mail de cobrança: , Telefone para contato</t>
  </si>
  <si>
    <t>vvxTf-ySQKSIopO8agMx4w</t>
  </si>
  <si>
    <t>17373</t>
  </si>
  <si>
    <t>LTR COMERCIO E SERVICOS FISICOS E DIGITAIS</t>
  </si>
  <si>
    <t>8F00241225060008</t>
  </si>
  <si>
    <t>FAVOR COTAR O FRETE E INCLUIR NA NOTA   
COTAÇÃO 326507 R$219,41 FEITA PELO PAULO . 
 Pedido nº 2329 enviado pelo vendedor Ricardo Henrique  criado em 14/04/2025 10:08:16 integrado por meio do Bendito no dia 14/04/2025 às 14:48:03</t>
  </si>
  <si>
    <t>knwBU8e8S5qTTFRl0Xdq6w</t>
  </si>
  <si>
    <t>17374-A</t>
  </si>
  <si>
    <t>Antonio Francisco da Silva</t>
  </si>
  <si>
    <t>8F00250104150004</t>
  </si>
  <si>
    <t>RESPONSABILIDADE FINANCEIRA DA AGUAS E VAPORES / CAXANGÁ - REDESPACHO SÃO PAULO PELA RÁPIDO FIGUEIREDO 07.855.774/0001-43  . ACRESCENTAR DIFAL DE 13,5%
 Pedido nº 2330 enviado pelo vendedor Sadi criado em 14/04/2025 12:26:34 integrado por meio do Bendito no dia 14/04/2025 às 15:00:42</t>
  </si>
  <si>
    <t>ljMKLeiGQ8KWhZ4qFuuMbA</t>
  </si>
  <si>
    <t>17374-B</t>
  </si>
  <si>
    <t>8F00241021210023</t>
  </si>
  <si>
    <t>F8NkWAtVu9E08Zo4qbhd</t>
  </si>
  <si>
    <t>17376</t>
  </si>
  <si>
    <t>RECANTO DAS PISCINAS</t>
  </si>
  <si>
    <t>8E00250104050015</t>
  </si>
  <si>
    <t>Frete CIF: mas o desconto menor . 
 Pedido nº 2313 enviado pelo vendedor Ricardo Henrique  criado em 08/04/2025 15:57:17 integrado por meio do Bendito no dia 15/04/2025 às 10:53:19</t>
  </si>
  <si>
    <t>1qHUOim2TzqdwaN1NSXj5Q</t>
  </si>
  <si>
    <t>17379</t>
  </si>
  <si>
    <t>FITLOG / (011) 2212-5862Obs.Interna: Pedido de troca em garantia, o cliente optou pelo crédito de 1 FTi125 Tri nf 12198, crédito R$ 17.955,55 o cliente vai depositar a diferença R$ 811,70. Enviar CIF (garantia) e o cliente vai devolver a FTi125 Tri com problema. Instruir como clinete deve emitir a NF de devolução .  / E-mail para nota fiscal: , E-mail de cobrança: , Telefone para contato
O REDESPACHO SERA FOB - TRANSP. RADLOG - CNPJ : 24.882.886/0002-93 - END: R UMBUZEIRO, 123, CEP: 07.224-010</t>
  </si>
  <si>
    <t>4.EyBPruTOqKeL9LYLTMOw</t>
  </si>
  <si>
    <t>17380</t>
  </si>
  <si>
    <t>14026</t>
  </si>
  <si>
    <t>EXP SAO MIGUEL / (0) Informação Adicional: INCLUIR +10% DA PROMOÇÃO / Obs.Interna: INCLUIR +10% DA PROMOÇÃO / E-mail para nota fiscal: , E-mail de cobrança: , Telefone para contato</t>
  </si>
  <si>
    <t>IHJFiwGQTuy5XoZ-4oMAmA</t>
  </si>
  <si>
    <t>17381</t>
  </si>
  <si>
    <t>DLT LOGISTICA EM TRANSPORTES LTDA</t>
  </si>
  <si>
    <t xml:space="preserve">
DLT LOGISTICA EM TRANSPORTES LTDA / (048) 2102-5242
Informação Adicional: QUADRO TOUCH DESLOCADO DE SOBREPOR  / 
Obs.Interna: QUADRO TOUCH DESLOCADO DE SOBREPOR  / E-mail para nota fiscal: , E-mail de cobrança: , Telefone para contato</t>
  </si>
  <si>
    <t>5ZJZ61puTgWqw2O3v6weNA</t>
  </si>
  <si>
    <t>17383</t>
  </si>
  <si>
    <t>8F00250102050005</t>
  </si>
  <si>
    <t>O REDESP. TRANSPORTARDORA CARVALIMA, AV. ALEXANDRE COLARES, 340 - PQ ANHANGUERA CEP. 05106-000 -SÃO
PAULO CNPJ. 33.070.814/0003-13 TEL. (11)2141-3100
 Pedido nº 2331 enviado pelo vendedor Juscelino criado em 17/04/2025 07:04:23 integrado por meio do Bendito no dia 17/04/2025 às 07:04:57
O REDESP. SERA FOB TRANSPORTARDORA CARVALIMA, AV. ALEXANDRE COLARES, 340 - PQ ANHANGUERA CEP. 05106-000 -SÃO PAULO CNPJ. 33.070.814/0003-13 TEL. 
(11)2141-3100</t>
  </si>
  <si>
    <t>j0t5cGPBSHe6hLSUC.nYZw</t>
  </si>
  <si>
    <t>17384</t>
  </si>
  <si>
    <t>8F00250102140026</t>
  </si>
  <si>
    <t>FITLOG / (011) 2212-5862Obs.Interna: Valor promocional Antecipado R$ 12.145,00 / E-mail para nota fiscal: , E-mail de cobrança: , Telefone para contato
O REDESPACHO SERA FOB - TRANSP. RADLOG - CNPJ : 24.882.886/0002-93 - END: R UMBUZEIRO, 123, CEP: 07.224-010</t>
  </si>
  <si>
    <t>Q.HqpkRGSFel7dzrqGs9UA</t>
  </si>
  <si>
    <t>17385</t>
  </si>
  <si>
    <t>8F00241118050018</t>
  </si>
  <si>
    <t>FITLOG / (011) 2212-5862Obs.Interna: Desconto promocional extra antecipado 10% / E-mail para nota fiscal: , E-mail de cobrança: , Telefone para contato
REDESPACHO FOB  CNPJ 44.914.992/0013-71 - RODONAVES TRANSPORTES E ENCOMENDAS LTDA - AV ALEXANDRE COLARES, 500 - CEP 05.106-000 - BAIRRO PARQUE ANHANGUERA - SÃO PAULO-SP I.E. 112.782.533.118 / Redespacho: RODONAVES TRANSPORTES E ENCOMENDAS LTDA - CNPJ: 44.914.992/0020-09 - END: Trecho STRC Trecho - CEP:</t>
  </si>
  <si>
    <t>uQcyrp5JR.6XsoAubxvjQA</t>
  </si>
  <si>
    <t>17386</t>
  </si>
  <si>
    <t>8F00241118050019</t>
  </si>
  <si>
    <t>EXP SAO MIGUEL / (0) Obs.Interna: INCLUIR + 10% DE DESCONTO REFERENTE PAGAMENTO A VISTA / E-mail para nota fiscal: , E-mail de cobrança: , Telefone para contato</t>
  </si>
  <si>
    <t>Sy-TyaJuRxGZziiMb1CKdA</t>
  </si>
  <si>
    <t>17387</t>
  </si>
  <si>
    <t>53.661.729 PATRICIA ANTUNES DOS SANTOS</t>
  </si>
  <si>
    <t>8F00241118050031</t>
  </si>
  <si>
    <t>FITLOG TRANSPORTES E LOGISTICA LTDA / (011) 2212-5862Informação Adicional:  REDESPACHO: EXPRESSO RAQUEL CNPJ SP : 03.823.190/0002-16. - ENDEREÇO SÃO PAULO : RUA SOLDADO AMERICO RODRIGUES 131, GALPÃO MODULO A - PQ NOVO MUNDO / E-mail para nota fiscal: , E-mail de cobrança: , Telefone para contato</t>
  </si>
  <si>
    <t>SheXmAjERR-CkJTdYCFYfw</t>
  </si>
  <si>
    <t>17388</t>
  </si>
  <si>
    <t>8F00241225060028</t>
  </si>
  <si>
    <t>cliente vai coletar na unidade da FitLog, por favor ligar assim que chegar 21 9 77118 8526
FITLOG / (011) 2212-5862Obs.Interna: Faturar e despachar com urgencia, é uma academia  / E-mail para nota fiscal: , E-mail de cobrança: , Telefone para contato</t>
  </si>
  <si>
    <t>nGdRdoTAQiebnuqIEdugag</t>
  </si>
  <si>
    <t>17389-A</t>
  </si>
  <si>
    <t>8F00250104150005</t>
  </si>
  <si>
    <t>e1OOyVEeQNqs84bMXayoHg</t>
  </si>
  <si>
    <t>17389-B</t>
  </si>
  <si>
    <t>8F00241225060030</t>
  </si>
  <si>
    <t>1LWPR2nl4EkcIAZFy1t9</t>
  </si>
  <si>
    <t>17390</t>
  </si>
  <si>
    <t>8F00241021210008</t>
  </si>
  <si>
    <t>KfZvl0LOTOyHg0Eo9PJtNQ</t>
  </si>
  <si>
    <t>17392</t>
  </si>
  <si>
    <t>8F00241005100024</t>
  </si>
  <si>
    <t>FITLOG / (011) 2212-5862Obs.Interna: Frete CIF. Desconto extra promocional Abril 3% / E-mail para nota fiscal: , E-mail de cobrança: , Telefone para contato
REDESPACHO FOB CNPJ 74.167.222/0002-10 - SOLIDA TRANSPORTE LTDA - R PIRACURA, 113 - JURDIM FATIMA, CEP 07.177-020  GUARULHOS-SP -  I.E. 796.011.983.115</t>
  </si>
  <si>
    <t>xaFhGWeXQTCw.LKrWsR81A</t>
  </si>
  <si>
    <t>17393-A</t>
  </si>
  <si>
    <t>8E00241021130017</t>
  </si>
  <si>
    <t>FIIgtWxYRZ-DcJgUeje7Pg</t>
  </si>
  <si>
    <t>17393-B</t>
  </si>
  <si>
    <t>8E00241021130018</t>
  </si>
  <si>
    <t>88VYAdFMZAyrFym20xrx</t>
  </si>
  <si>
    <t>17398-A</t>
  </si>
  <si>
    <t>AGUARDANDO A CONFIRMAÇÃO DO MÁRIO PARA PAGAMENTO 60/90/120/150.
Pedido remessa entrega futura. Entrega em final de julho de 2025. Valor FT160 R$ 17.611,00. Valor FTi35 conceder desconto adicional autorizado pelo Mário. Pagamento 30/45/75/90/120.   
Total pedido R$85.246,00
 Pedido nº 2244 enviado pelo vendedor Ricardo Henrique  criado em 25/03/2025 18:00:54 integrado por meio do Bendito no dia 27/03/2025 às 17:15:56
NÃO ENTREGAR S/ENTRAR EM CONTATO COM O TELEFONE: JORGE (21) 99512-4022 AO MENOS C/ 24H</t>
  </si>
  <si>
    <t>sKbKQLjtSoiNHPudi-ZJew</t>
  </si>
  <si>
    <t>17398-B</t>
  </si>
  <si>
    <t>DaIft5DQhsubn5Rub4z7</t>
  </si>
  <si>
    <t>17398-C</t>
  </si>
  <si>
    <t>k3aAayEvtN6xYjbvk8Vw</t>
  </si>
  <si>
    <t>17398-D</t>
  </si>
  <si>
    <t>47tW41mHtHs9GOlaxr65</t>
  </si>
  <si>
    <t>17398-E</t>
  </si>
  <si>
    <t>VprxGRt89LASOWMqOBXv</t>
  </si>
  <si>
    <t>17398-F</t>
  </si>
  <si>
    <t>UoTvqnbkTlKgwJlhFxJ8</t>
  </si>
  <si>
    <t>17398-G</t>
  </si>
  <si>
    <t>MTxfwd61uxWxtIiimTC8</t>
  </si>
  <si>
    <t>17398-H</t>
  </si>
  <si>
    <t>j1ZVjL40RC2FwqKFmUmk</t>
  </si>
  <si>
    <t>17398-I</t>
  </si>
  <si>
    <t>7M2TWo3UpRwpDzQyN7C1</t>
  </si>
  <si>
    <t>17398-J</t>
  </si>
  <si>
    <t>tdOFCfH7zO9TNVVUQ1YK</t>
  </si>
  <si>
    <t>17399</t>
  </si>
  <si>
    <t>8E00241021140049</t>
  </si>
  <si>
    <t>FITLOG TRANSPORTES E LOGISTICA LTDA / (011) 2212-5862Obs.Interna: Desconto promocional antecipado Abril 2025 10% / E-mail para nota fiscal: , E-mail de cobrança: , Telefone para contato
REDESPACHO FOB  CNPJ 24.882.886/0002-93 - RADLOG TRANSPORTES LTDA Rua UMBUZEIRO, 123 - Cep 07.224-010 - BAIRRO CIDADE INDUSTRIAL SATELITE DE SAO PAULO - GUARULHOS - SP I.E. 796.514.930.111 / Redespacho: RADLOG - CNPJ: 24.882.886/0003-74 - END: QUADRA QI 14 - CEP: 72135140</t>
  </si>
  <si>
    <t>iRE4V8M-TYiWAiGSF0u.ww</t>
  </si>
  <si>
    <t>17400</t>
  </si>
  <si>
    <t>8E00241021140051</t>
  </si>
  <si>
    <t>FITLOG TRANSPORTES E LOGISTICA LTDA / (011) 2212-5862Obs.Interna: Desconto extra pagamento parcelado Abril 2025 3% / E-mail para nota fiscal: , E-mail de cobrança: , Telefone para contato
REDESPACHO FOB  CNPJ 24.882.886/0002-93 - RADLOG TRANSPORTES LTDA Rua UMBUZEIRO, 123 - Cep 07.224-010 - BAIRRO CIDADE INDUSTRIAL SATELITE DE SAO PAULO - GUARULHOS - SP I.E. 796.514.930.111 / Redespacho: RADLOG - CNPJ: 24.882.886/0003-74 - END: QUADRA QI 14 - CEP: 72135140</t>
  </si>
  <si>
    <t>8Ngfi86wS6uxoSvLm1lI9w</t>
  </si>
  <si>
    <t>17401-A</t>
  </si>
  <si>
    <t>CONDOMINIO MOULIN QUINTINO</t>
  </si>
  <si>
    <t>8F00241118050044</t>
  </si>
  <si>
    <t>EXPRESSO SAO MIGUEL S/A / (051) 3586-2013Informação Adicional: VALOR DA NF R$ 36.000,00
 VALOR TABELA R$ 18.834,86 
DIF VAL TAB X NF R$  17.165,14 
DIF IMPOSTO 17% R$    2.918,07 
IMPOSTO ESTADUAL R$    1.800,00 
TOTAL A PAGAR R$  23.552,93      
 FRETE CIF DESCONTAR COMISSÃO DA HIDROTEC
 / Obs.Interna: venda da HIDROTEC  / E-mail para nota fiscal: , E-mail de cobrança: , Telefone para contato</t>
  </si>
  <si>
    <t>54stiWzEQHiapcrwfZh6.Q</t>
  </si>
  <si>
    <t>17401-B</t>
  </si>
  <si>
    <t>8F00241118050043</t>
  </si>
  <si>
    <t>rrYfHSQh091JrVyFUDSX</t>
  </si>
  <si>
    <t>17403</t>
  </si>
  <si>
    <t>FITLOG / (011) 2212-5862Informação Adicional: APLICAR DESCONTO DE 3% (PAGAMENTO NO VALOR À VISTA COM BOLETO PARA 07 DIAS)
 / E-mail para nota fiscal: , E-mail de cobrança: , Telefone para contato
Pedido de Compra Nº 7366</t>
  </si>
  <si>
    <t>Y9W3OYutSoC5Er0g9uXXnA</t>
  </si>
  <si>
    <t>17405</t>
  </si>
  <si>
    <t>8F00241118050046</t>
  </si>
  <si>
    <t>XXXXXXX - RETIRA - HILTON JOSE CAMPOS - 78535689915 - XXXXXX / XXXXXXX / XXXXX / XXXXX</t>
  </si>
  <si>
    <t>fWS-cvqxS8GAcUfK9RJIdw</t>
  </si>
  <si>
    <t>17406</t>
  </si>
  <si>
    <t>8F00240812170098</t>
  </si>
  <si>
    <t>IVS2I98 - RETIRA - PAULO JOSUE SILVESTRE DA LUZ  - 01221711015 - FIATE/UNO / PASSAGEIRO  / VERMELHO / 2023</t>
  </si>
  <si>
    <t>RETIRADA NA FABRICA / (0) Obs.Interna: CLIENTE RETIRA EM 23/04 NA FABRICA / E-mail para nota fiscal: , E-mail de cobrança: , Telefone para contato</t>
  </si>
  <si>
    <t>NCN3oFffRa6egYaplX66eA</t>
  </si>
  <si>
    <t>17408</t>
  </si>
  <si>
    <t>8E00250104050013</t>
  </si>
  <si>
    <t>CLIENTE LUIZ GUSTAVO
FITLOG / (011) 2212-5862Informação Adicional: CLIENTE LUIZ GUSTAVO  / E-mail para nota fiscal: , E-mail de cobrança: , Telefone para contato</t>
  </si>
  <si>
    <t>7DeEvaOuTI6fvipKMTZJbQ</t>
  </si>
  <si>
    <t>17409</t>
  </si>
  <si>
    <t>ANDRE LUIZ BROCH 06101865908</t>
  </si>
  <si>
    <t>8F00241118050022</t>
  </si>
  <si>
    <t>RXZ6G36 - EXPRESSO SÃO MIGUEL - WILLIAN ALVES PEDRO - 10964269945 - M.BENZ / ACCELO 1016 CE / BRANCO / 2022</t>
  </si>
  <si>
    <t>Pedido reprocessado ao alterar dados do cliente 23/04/2025 14:55:09 usuário: P000992732
EXPRESSO SAO MIGUEL S/A / (051) 3586-2013Informação Adicional: Colocar mais 10% de desconto / E-mail para nota fiscal: , E-mail de cobrança: , Telefone para contato</t>
  </si>
  <si>
    <t>DPg8HSFvTeSS83iLbUUolw</t>
  </si>
  <si>
    <t>17410</t>
  </si>
  <si>
    <t>Máquina para demonstração em evento na cidade de Petrópolis/RJ. NF deve sair consignada ou bonificada para retorno ou faturamento para o Representante após evento.
 Pedido nº 2333 enviado pelo vendedor Ricardo Henrique  criado em 23/04/2025 12:18:41 integrado por meio do Bendito no dia 23/04/2025 às 13:32:26</t>
  </si>
  <si>
    <t xml:space="preserve">&lt;HTML&gt;
&lt;HEAD&gt;
&lt;TITLE&gt;Moved Temporarily&lt;/TITLE&gt;
&lt;/HEAD&gt;
&lt;BODY BGCOLOR="#FFFFFF" TEXT="#000000"&gt;
&lt;!-- GSE Default Error --&gt;
&lt;H1&gt;Moved Temporarily&lt;/H1&gt;
The document has moved &lt;A HREF="https://script.googleusercontent.com/macros/echo?user_content_key=AehSKLhp3xAQNfu__O3GR1CHL6Uu8Ji1nGe9qW52h8TMuJMo-HkHiR-DIEqk3vKmK_4ruZqc2bFrAVtJ4Q5otbEvwscrAL1DjOpZP2Q3yblD9drD7tbo7g0UuiNbnwkeBTl4KQ-xQHJSeRzoAgAZtNCLat_M8iOkfvW0pxeaXbwoc4oOgSrR4E1VNrhI0lLq0w2l_WXC2Qupc84tjFdmi-VsPXLa6E03FX0BIQ0HCTHObdxak2MJNSxymFztYJiiJIqdAB9-TLBQ_uCIU7LJHf4ZIYvFw5SHSXHwBH1dNAtCclX9jEAjlCe8StWc9kkPmg&amp;amp;lib=Ma_tYhIfieGpbEobSg2SQB8qVEvDIlAZD"&gt;here&lt;/A&gt;.
&lt;/BODY&gt;
&lt;/HTML&gt;
</t>
  </si>
  <si>
    <t>tbH9uYtASHC7RLWV5Km99g</t>
  </si>
  <si>
    <t>17411</t>
  </si>
  <si>
    <t>FRETE CIF: desconto só 5%, para compensar o frete . 
 Pedido nº 2332 enviado pelo vendedor Ricardo Henrique  criado em 23/04/2025 12:11:26 integrado por meio do Bendito no dia 23/04/2025 às 13:53:03</t>
  </si>
  <si>
    <t>uF9R9G1bQ3yS8xQRzdRz2w</t>
  </si>
  <si>
    <t>17415</t>
  </si>
  <si>
    <t>8F00241225070018</t>
  </si>
  <si>
    <t>Cliente: Lucas Ferezin
FITLOG / (011) 2212-5862E-mail para nota fiscal: , E-mail de cobrança: , Telefone para contato</t>
  </si>
  <si>
    <t>mzi819.gR0ODLQAGnBBUTw</t>
  </si>
  <si>
    <t>17416</t>
  </si>
  <si>
    <t>8F00241118040003</t>
  </si>
  <si>
    <t>Cliente: Senigallia Adm de Bens LTDA
FITLOG / (011) 2212-5862E-mail para nota fiscal: , E-mail de cobrança: , Telefone para contato</t>
  </si>
  <si>
    <t>LtcGQWVaTxqn2IQ6oV-x5A</t>
  </si>
  <si>
    <t>17417</t>
  </si>
  <si>
    <t>8E00250104050025</t>
  </si>
  <si>
    <t>Cliente: Efraim Bilheiro da Silva
FITLOG / (011) 2212-5862E-mail para nota fiscal: , E-mail de cobrança: , Telefone para contato</t>
  </si>
  <si>
    <t>WNwQWVnBQYeuCGrNb6BqvA</t>
  </si>
  <si>
    <t>17418</t>
  </si>
  <si>
    <t>8F00241118040004</t>
  </si>
  <si>
    <t>cliente: Daniel de Oliveira
FITLOG / (011) 2212-5862E-mail para nota fiscal: , E-mail de cobrança: , Telefone para contato</t>
  </si>
  <si>
    <t>Vlu2Qg4bS2yaTroHAQq9pw</t>
  </si>
  <si>
    <t>17419</t>
  </si>
  <si>
    <t>8E00250104050011</t>
  </si>
  <si>
    <t>RETIRADA NA FABRICA / (0) Obs.Interna: CLIENTE RETIRA NA FABRICA / E-mail para nota fiscal: , E-mail de cobrança: , Telefone para contato</t>
  </si>
  <si>
    <t>h2pAJNklQVO69bhaSacTCg</t>
  </si>
  <si>
    <t>17420</t>
  </si>
  <si>
    <t>14081</t>
  </si>
  <si>
    <t>Pedido gerado através do PedidoEletronico.com - 
Transportadora / telefone: ACEVILLE / (047) 3130-7350
Obs.Interna: preço negociado neste pedido R$ 17.176,43 igual ao pedido 17271 (desconto de 10% + 5%)  / E-mail para nota fiscal: , E-mail de cobrança: , Telefone para contato</t>
  </si>
  <si>
    <t>NxX8hdnpSly3V3EePJhE3g</t>
  </si>
  <si>
    <t>17421</t>
  </si>
  <si>
    <t>8F00250102140025</t>
  </si>
  <si>
    <t>Pedido gerado através do PedidoEletronico.com - 
Transportadora / telefone: ACEVILLE / (047) 3130-7350
Informação Adicional: DESCONTO ESPECIAL DE 7% A VISTA PARA ESTE PEDIDO / E-mail para nota fiscal: , 
E-mail de cobrança: , Telefone para contato</t>
  </si>
  <si>
    <t>k79x3FW7Rpi9m94oghqcFg</t>
  </si>
  <si>
    <t>17422-A</t>
  </si>
  <si>
    <t>8F00241118050028</t>
  </si>
  <si>
    <t>Pedido gerado através do PedidoEletronico.com - 
Transportadora / telefone: FITLOG TRANSPORTES E LOGISTICA LTDA / (011) 2212-5862
Obs.Interna: FALTOU DESCONTO DE 3 POR CENTO REF CAMPANHA ABRIL. VALOR CADA MAQUINA 9.609,00. FATURAR URGENTE / E-mail para nota fiscal: , E-mail de cobrança: , Telefone para contato</t>
  </si>
  <si>
    <t>t5Bnc3uES1-0h9CZur3WWw</t>
  </si>
  <si>
    <t>17422-B</t>
  </si>
  <si>
    <t>8F00241118050025</t>
  </si>
  <si>
    <t>Z7hWlcTZ6GOcK0nAF9Q9</t>
  </si>
  <si>
    <t>17423</t>
  </si>
  <si>
    <t>8F00250102050001</t>
  </si>
  <si>
    <t>Pedido gerado através do PedidoEletronico.com - 
Transportadora / telefone: FITLOG / (011) 2212-5862Obs.Interna: valor total do pedido R$ 9.411,49, com o desconto de 10% promoção de abril para pagamento antecipado. / E-mail para nota fiscal: , E-mail de cobrança: , Telefone para contato
O REDESPACHO SERA FOB - TRANSP. SETE LAGOS - CNPJ:03.098.929/0005-17 - END: R PEDRO TOLEDO, 407, CEP: 07.140-000</t>
  </si>
  <si>
    <t>GzIu4tDHTNKpT7elgZYgVA</t>
  </si>
  <si>
    <t>17424</t>
  </si>
  <si>
    <t>8F00250104150003</t>
  </si>
  <si>
    <t>Pedido gerado através do PedidoEletronico.com - 
Transportadora / telefone: ACEVILLE TRANSPORTES LTDA / (0) -
Informação Adicional: +3% DE DESCONTO E ENTRADA DE 10MIL + BOLETO PARA 15 DIAS
 / Obs.Interna: +3% DE DESCONTO E ENTRADA DE 10MIL + BOLETO PARA 15 DIAS / E-mail para nota fiscal: , E-mail de cobrança: , Telefone para contato</t>
  </si>
  <si>
    <t>MDBI7oOLSNOZe..s7hePXQ</t>
  </si>
  <si>
    <t>17425-A</t>
  </si>
  <si>
    <t>8E00241118030004</t>
  </si>
  <si>
    <t>Pedido gerado através do PedidoEletronico.com - 
Transportadora / telefone: RETIRADA NA FABRICA / (0) 
Obs.Interna: APLICAR DESCONTO 10 + 10 ( A vista)  CLIENTE RETIRA NA FÁBRICA / E-mail para nota fiscal: , E-mail de cobrança: , Telefone para contato</t>
  </si>
  <si>
    <t>bllJaCB0Ql6YQT4RhOI7sw</t>
  </si>
  <si>
    <t>17425-B</t>
  </si>
  <si>
    <t>8F00241021210011</t>
  </si>
  <si>
    <t>uarRKUHk5PTqwZNfbh5h</t>
  </si>
  <si>
    <t>17426</t>
  </si>
  <si>
    <t>8F00250104120013</t>
  </si>
  <si>
    <t>CONTEMPORANEO COND.
Pedido gerado através do PedidoEletronico.com - 
Transportadora / telefone: OURO NEGRO / (0) 
Informação Adicional: CONTEMPORANEO COND.  / E-mail para nota fiscal: , E-mail de cobrança: , Telefone para contato</t>
  </si>
  <si>
    <t>1fAH0rKJRFSXleel2j.YKQ</t>
  </si>
  <si>
    <t>17427</t>
  </si>
  <si>
    <t>8F00241225060018</t>
  </si>
  <si>
    <t>dqQtbm5.TP63aPFJ8MvGJg</t>
  </si>
  <si>
    <t>17428-A</t>
  </si>
  <si>
    <t>HIDRO VINIL PISCINAS E AQUECIMENTOS</t>
  </si>
  <si>
    <t>8F00241225060001</t>
  </si>
  <si>
    <t>REDESPACHO FOB  CNPJ 24.882.886/0002-93 - RADLOG TRANSPORTES LTDA Rua UMBUZEIRO, 123 - Cep 07.224-010 - BAIRRO CIDADE INDUSTRIAL SATELITE DE SAO PAULO - GUARULHOS - SP I.E. 796.514.930.111 / Redespacho: RADLOG - CNPJ: 24.882.886/0003-74 - END: QUADRA QI 14 - CEP: 72135140
Pedido gerado através do PedidoEletronico.com - 
Transportadora / telefone: FITLOG TRANSPORTES E LOGISTICA LTDA / (011) 2212-5862
Obs.Interna: Aplicar Desconto adicional 10% para condição pagamento antecipado Abril 2025 / E-mail para nota fiscal: , E-mail de cobrança: , Telefone para contato</t>
  </si>
  <si>
    <t>lKrZOSu9S3CxINVNBTtzHQ</t>
  </si>
  <si>
    <t>17428-B</t>
  </si>
  <si>
    <t>8F00250102140014</t>
  </si>
  <si>
    <t>dE4tlnCjMhjTBc42IUJ0</t>
  </si>
  <si>
    <t>17429</t>
  </si>
  <si>
    <t>47.862.757 ALAN FERREIRA DA SILVA BONFIM</t>
  </si>
  <si>
    <t>8E00250104050005</t>
  </si>
  <si>
    <t>RUA LIBIA 533 PINEVILLE PINHAIS PR
EXPRESSO SAO MIGUEL S/A / (051) 3586-2013Informação Adicional: RUA LIBIA 533 PINEVILLE PINHAIS PR / Obs.Interna: ADD.7,5 % DE DIFAL. SOB O VALOR DA PROMO DE R$6.763,00
 / E-mail para nota fiscal: , E-mail de cobrança: , Telefone para contato</t>
  </si>
  <si>
    <t>lnuDq4-0QZ2Kiaty0TPrCA</t>
  </si>
  <si>
    <t>17430</t>
  </si>
  <si>
    <t>8F00250104150036</t>
  </si>
  <si>
    <t>Pedido gerado através do PedidoEletronico.com - 
Transportadora / telefone: FITLOG / (011) 2212-5862
Obs.Interna: venda na condicao promocional valor da maquina R$ 15.520,00 / E-mail para nota fiscal: , E-mail de cobrança: , Telefone para contato</t>
  </si>
  <si>
    <t>4617zj0GRZmKBRNSL68j9Q</t>
  </si>
  <si>
    <t>17431</t>
  </si>
  <si>
    <t>14088</t>
  </si>
  <si>
    <t>Pedido gerado através do PedidoEletronico.com - 
Transportadora / telefone: FITLOG / (011) 2212-5862
Obs. Interna: Entrega urgente , é para um hotel. pgto 30 60 90 120, tem mais uma máquina 75 deste mesmo cliente que estou colocando em outro pedido /
 E-mail para nota fiscal: , E-mail de cobrança: , Telefone para contato</t>
  </si>
  <si>
    <t>FxLGs6AdTGa9RXWvM8D.9g</t>
  </si>
  <si>
    <t>17432</t>
  </si>
  <si>
    <t>14027</t>
  </si>
  <si>
    <t>Pedido gerado através do PedidoEletronico.com - 
Transportadora / telefone: FITLOG / (011) 2212-5862
Obs .Interna: PGTO 30 60 90 120 , 
Solicitei ai Mario este prazo. Cliente tem Cif. já tem outra maquina 115 do mesmo cliente que coloquei separado, pois não sei se esta tem estoque.  /
 E-mail para nota fiscal: , E-mail de cobrança: , Telefone para contato</t>
  </si>
  <si>
    <t>9pu9wdE0RCqLM-9Q3eMGDg</t>
  </si>
  <si>
    <t>17433-A</t>
  </si>
  <si>
    <t>8F00250102140012</t>
  </si>
  <si>
    <t>Pedido gerado através do PedidoEletronico.com - 
Transportadora / telefone: EXP SAO MIGUEL / (0) 
Obs.Interna: INCLUIR DESCONTO PAGAMENTO A VISTA - VALOR FINA DO PEDIDO R$ 29.291,80 / E-mail para nota fiscal: , E-mail de cobrança: , Telefone para contato</t>
  </si>
  <si>
    <t>vFMK2b81PHeO49AF0W4M</t>
  </si>
  <si>
    <t>17433-B</t>
  </si>
  <si>
    <t>8F00241021210040</t>
  </si>
  <si>
    <t>t8CbHD0zQfavs7VjPNtE5w</t>
  </si>
  <si>
    <t>17433-C</t>
  </si>
  <si>
    <t>8F00241021210038</t>
  </si>
  <si>
    <t>YtfM635q9H0PFHj6NKOT</t>
  </si>
  <si>
    <t>17434</t>
  </si>
  <si>
    <t>8F00250104100021</t>
  </si>
  <si>
    <t>Pedido gerado através do PedidoEletronico.com - 
Transportadora / telefone: RETIRADA NA FABRICA / (0) 
Informação Adicional: PREÇO ESPECIAL PROMOCIONAL COM MAIS 10% A VISTA  / 
Obs.Interna: PREÇO ESPECIAL PROMOCIONAL COM MAIS 10%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</si>
  <si>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ih-OleEQ3kX-FkXlCAmLk4-g0neiIWkZR0S3AYF8XCj4AW-3gApag0ZpSqRiy27S7RUkOuTHqICrlU_jfG6prtUPLtZSMfiHhOBxK3JKQkU7DyMevij_VZa2t8COFUdn3zQ34gEEkUVqkuslRVMHWFNKldrfhFTXF8ZS2LBG1dim3xJaoWKRCyqMbZIiJFg2hkOgP4aD1Ik-gGpQb-WyAGPKJJ8qkfEVSV5kRHLakzdD5v12fAHJ_AO9Ursx0UbwPi_bjES_rDF0dZXOYG6M3zzH3IGrMjngsxhzcON_WYN63XSlWRmhmHSUf0A&amp;amp;lib=M-zdWbhavtdZ1B_W2dnFDM0qoVt4lWzJ-"&gt;here&lt;/A&gt;.
&lt;/BODY&gt;
&lt;/HTML&gt;
</t>
  </si>
  <si>
    <t>Tt6Y93PGQCS7Sa.oD6O7NQ</t>
  </si>
  <si>
    <t>17435</t>
  </si>
  <si>
    <t>8F00241118050034</t>
  </si>
  <si>
    <t>Pedido gerado através do PedidoEletronico.com - 
Transportadora / telefone: RETIRADA NA FABRICA / (0) 
Informação Adicional: PREÇO ESPECIAL PROMOCIONAL COM MAIS 3% DE DESCONTO / 
Obs.Interna: PREÇO ESPECIAL PROMOCIONAL COM MAIS 3% DE DESCONTO / E-mail para nota fiscal: , E-mail de cobrança: , Telefone para contato</t>
  </si>
  <si>
    <t>hoWaQhyGQ.iDoLV4DBq1LA</t>
  </si>
  <si>
    <t>17436</t>
  </si>
  <si>
    <t>8F00241021210016</t>
  </si>
  <si>
    <t>Pedido gerado através do PedidoEletronico.com - 
Transportadora / telefone: FITLOG TRANSPORTES E LOGISTICA LTDA / (048) 996277956
Informação Adicional: Aplicar desconto a vista (conforme autorização do GV Mário) / E-mail para nota fiscal: , E-mail de cobrança: , Telefone para contato</t>
  </si>
  <si>
    <t>YRfA-85CQ7uqkX6Hu.JYwA</t>
  </si>
  <si>
    <t>17437</t>
  </si>
  <si>
    <t>8F00250102140019</t>
  </si>
  <si>
    <t>Pedido gerado através do PedidoEletronico.com - 
Transportadora / telefone: FITLOG / (011) 2212-5862Obs.Interna: Aplicar mais 3% de desconto no valor total do pedido / E-mail para nota fiscal: , E-mail de cobrança: , Telefone para contato</t>
  </si>
  <si>
    <t>JNy12rj0S2CPEb608w5DMA</t>
  </si>
  <si>
    <t>17438</t>
  </si>
  <si>
    <t>8E00241118030005</t>
  </si>
  <si>
    <t>MKM3732 - RETIRA - JAIME DOS SANTOS - 71166726991 - NISSAN / ESPECIAL CAMINHONETE  / BRANCA  / 2013</t>
  </si>
  <si>
    <t>Pedido gerado através do PedidoEletronico.com - 
Transportadora / telefone: RETIRADA NA FABRICA / (0) Obs.Interna: PIX- CLINETE RETIRA  / E-mail para nota fiscal: , E-mail de cobrança: , Telefone para contato</t>
  </si>
  <si>
    <t>q4By2g0XTd-DfuTplShUTw</t>
  </si>
  <si>
    <t>17439</t>
  </si>
  <si>
    <t>SOLAR &amp; LAZER</t>
  </si>
  <si>
    <t>8E00241021130020</t>
  </si>
  <si>
    <t>Pedido gerado através do PedidoEletronico.com - 
Transportadora / telefone: FITLOG TRANSPORTES E LOGISTICA LTDA / (011) 2212-5862
Obs.Interna: concedi menos desconto a este cliente, por favor considerar frete Cif que da 3% pela FitLog / E-mail para nota fiscal: , E-mail de cobrança: , Telefone para contato</t>
  </si>
  <si>
    <t>eTPqlFbGTfCsmrzedmqVYQ</t>
  </si>
  <si>
    <t>17440</t>
  </si>
  <si>
    <t>8F00250104150006</t>
  </si>
  <si>
    <t>Pedido gerado através do PedidoEletronico.com - 
Transportadora / telefone: FITLOG / (011) 2212-5862Obs.Interna: valor promocional R$ 15.520,00. Cliente possui Cif conosco.  / E-mail para nota fiscal: , E-mail de cobrança: , Telefone para contato</t>
  </si>
  <si>
    <t>syHrDEmTS4qx9PSvh-zweg</t>
  </si>
  <si>
    <t>17441</t>
  </si>
  <si>
    <t>8F00241118050035</t>
  </si>
  <si>
    <t>Pedido gerado através do PedidoEletronico.com - 
Transportadora / telefone: FITLOG TRANSPORTES E LOGISTICA LTDA / (048) 996277956
Obs.Interna: PGTO A VISTA BOLETO 7 DDL AUT PELO MARIO. Valor da Maquina R$ 8.916,00 . 
Cliente possui frete Cif conosco / E-mail para nota fiscal: , E-mail de cobrança: , Telefone para contato</t>
  </si>
  <si>
    <t>TGPpi1RTSo-nBFFSPzrk-g</t>
  </si>
  <si>
    <t>17445-A</t>
  </si>
  <si>
    <t>14091-A</t>
  </si>
  <si>
    <t>wRofXYqoSf-6rwkP2Ew0NA</t>
  </si>
  <si>
    <t>17445-B</t>
  </si>
  <si>
    <t>14090-A</t>
  </si>
  <si>
    <t>OEIN9JpmN0SmVILv9Z0Y</t>
  </si>
  <si>
    <t>17445-C</t>
  </si>
  <si>
    <t>14090-B</t>
  </si>
  <si>
    <t>KltBhCMfkTQGaZA9WcW4</t>
  </si>
  <si>
    <t>17445-D</t>
  </si>
  <si>
    <t>14090-C</t>
  </si>
  <si>
    <t>yuysfSrYGdCTg4weCUlr</t>
  </si>
  <si>
    <t>17448</t>
  </si>
  <si>
    <t>8F00241021210031</t>
  </si>
  <si>
    <t>9IXfSPOyS4eX4JPL4bg7Pg</t>
  </si>
  <si>
    <t>17449-A</t>
  </si>
  <si>
    <t>8F00241225060009</t>
  </si>
  <si>
    <t>8tssigvETCavpHIW5KsEag</t>
  </si>
  <si>
    <t>17449-B</t>
  </si>
  <si>
    <t>8F00241225060029</t>
  </si>
  <si>
    <t>rWgV67np5svoUYYF8Lai</t>
  </si>
  <si>
    <t>17449-C</t>
  </si>
  <si>
    <t>8F00241118050029</t>
  </si>
  <si>
    <t>Dro1sUNpICzMBFt2ABV2</t>
  </si>
  <si>
    <t>17450</t>
  </si>
  <si>
    <t>HIDROSOLAR PISCINAS LTDA</t>
  </si>
  <si>
    <t>8F00241118050036</t>
  </si>
  <si>
    <t>Pedido gerado através do PedidoEletronico.com - 
Transportadora / telefone: EXPRESSO SAO MIGUEL S/A / (051) 3586-2013
Informação Adicional: +10% da promoção / Obs.Interna: +10% da promoção / E-mail para nota fiscal: , E-mail de cobrança: , Telefone para contato</t>
  </si>
  <si>
    <t>SjQ5itW2Td-wS1OlE9XSgg</t>
  </si>
  <si>
    <t>17451</t>
  </si>
  <si>
    <t>8E00250104050018</t>
  </si>
  <si>
    <t xml:space="preserve">
RETIRADA NA FABRICA / (0)
 Informação Adicional: DESCONTO ADD. DE R$25.530,31 DEVIDO AO EMAIL DE ACORDO , DOS PEDIDOS ANTERIORES, NAO TEREM SIDO CONCEDIDO OS DESCONTOS . EMIAL DIA 10-03-25  /
Obs.Interna: DESCONTO ADD. DE R$25.530,31 DEVIDO AO EMAIL DE ACORDO , DOS PEDIDOS ANTERIORES, NAO TEREM SIDO CONCEDIDO OS DESCONTOS . EMIAL DIA 10-03-25  / 
E-mail para nota fiscal: , E-mail de cobrança: , Telefone para contato</t>
  </si>
  <si>
    <t>67k-8Kq0QtqshN5ejYoQVg</t>
  </si>
  <si>
    <t>17452-A</t>
  </si>
  <si>
    <t>14097</t>
  </si>
  <si>
    <t>Pedido gerado através do PedidoEletronico.com - 
Transportadora / telefone: FITLOG / (011) 2212-5862
Informação Adicional: obra RESERVA GOLF  / E-mail para nota fiscal: , E-mail de cobrança: , Telefone para contato
NÃO ENTREGAR S/ENTRAR EM CONTATO COM O TELEFONE: JORGE (21) 99512-4022 AO MENOS C/ 24H</t>
  </si>
  <si>
    <t>IcITqATgBbLYRt3EFPit</t>
  </si>
  <si>
    <t>17452-B</t>
  </si>
  <si>
    <t>14098</t>
  </si>
  <si>
    <t>NYftQEEuAaQXsc5ATspU</t>
  </si>
  <si>
    <t>17452-C</t>
  </si>
  <si>
    <t>TJtKCUES2EXg7MBlcPsv</t>
  </si>
  <si>
    <t>17452-D</t>
  </si>
  <si>
    <t>14100</t>
  </si>
  <si>
    <t>7DPINhXaQjy8aaA9OLQHtw</t>
  </si>
  <si>
    <t>17452-E</t>
  </si>
  <si>
    <t>Mhk6vnpof2D17Q6jgwaW</t>
  </si>
  <si>
    <t>17452-F</t>
  </si>
  <si>
    <t>É POSSIVEL QUE ESSA MAQUINA SEJA CANCELADA E A FT160 QUE SAIA PARA O CLIENTE DA AQUALAR SEJA DE ORIGEM DO PEDIDO 17097</t>
  </si>
  <si>
    <t>IMPRESSAO GERADA- 13/05/2025, 16:20:27-Leandro Bittencourt (Lider de Produção)</t>
  </si>
  <si>
    <t>7w17TjIP8LXpPkzJHCk4</t>
  </si>
  <si>
    <t>17453-A</t>
  </si>
  <si>
    <t>FITLOG / (011) 2212-5862Informação Adicional: SESC SÃO JOÃO DE MERITI  / E-mail para nota fiscal: , E-mail de cobrança: , Telefone para contato
NÃO ENTREGAR S/ENTRAR EM CONTATO COM O TELEFONE: JORGE (21) 99512-4022 AO MENOS C/ 24H</t>
  </si>
  <si>
    <t>AK5wD69DTTqt5f508XgTww</t>
  </si>
  <si>
    <t>17453-B</t>
  </si>
  <si>
    <t>Zv8Xo5UYC6Plg6ROB6aY</t>
  </si>
  <si>
    <t>17453-C</t>
  </si>
  <si>
    <t>Zxq6qXlXKdDF1vLviyH2</t>
  </si>
  <si>
    <t>17454-A</t>
  </si>
  <si>
    <t>8E00250104050034</t>
  </si>
  <si>
    <t>Pedido gerado através do PedidoEletronico.com - 
Transportadora / telefone: EXP SAO MIGUEL / (0) 
Obs.Interna: BRUNA- CONSULTAR CLIENTE SE ESTIVER LIMPO- VAMOS INICIAR UMA TENTAIVA PARA TIRAR CLIENTA DA FLUIDRA . TEM FLUXO DE COMPRA BOM .  / E-mail para nota fiscal: , E-mail de cobrança: , Telefone para contato</t>
  </si>
  <si>
    <t>FrlRmFAxT7OYdNQ-A5eqVQ</t>
  </si>
  <si>
    <t>17454-B</t>
  </si>
  <si>
    <t>8E00250104050026</t>
  </si>
  <si>
    <t>V6Z2IUyzI00zJSfSG2jk</t>
  </si>
  <si>
    <t>17454-C</t>
  </si>
  <si>
    <t>8E00241021140011</t>
  </si>
  <si>
    <t>lQZg3eBq83i98r2sdgA0</t>
  </si>
  <si>
    <t>17454-D</t>
  </si>
  <si>
    <t>8E00241118030001</t>
  </si>
  <si>
    <t>pxgEFmlunYff6DoyAABz</t>
  </si>
  <si>
    <t>17456-A</t>
  </si>
  <si>
    <t>8F00250102140002</t>
  </si>
  <si>
    <t>Pedido gerado através do PedidoEletronico.com -
 Transportadora / telefone: EXPRESSO SAO MIGUEL S/A / (051) 3586-2013
Obs.Interna: entrada +2 x  / E-mail para nota fiscal: , E-mail de cobrança: , Telefone para contato</t>
  </si>
  <si>
    <t>0b..m98jQ-ynJprpksyhYg</t>
  </si>
  <si>
    <t>17456-B</t>
  </si>
  <si>
    <t>8F00250102140004</t>
  </si>
  <si>
    <t>2YLeenNbnqfLSBoZP6pV</t>
  </si>
  <si>
    <t>17456-C</t>
  </si>
  <si>
    <t>8F00250104150002</t>
  </si>
  <si>
    <t>qHWC4w6u54vDOfkqfGEr</t>
  </si>
  <si>
    <t>17456-D</t>
  </si>
  <si>
    <t>8F00241021210020</t>
  </si>
  <si>
    <t>2yGTRmp6fkdUfqKDUGZV</t>
  </si>
  <si>
    <t>17456-E</t>
  </si>
  <si>
    <t>8F00241118050045</t>
  </si>
  <si>
    <t>sjmn1chAVUB3r9q7tG6f</t>
  </si>
  <si>
    <t>17456-F</t>
  </si>
  <si>
    <t>8F00241118050050</t>
  </si>
  <si>
    <t>g4aoxDfe1UYjmfi43y7y</t>
  </si>
  <si>
    <t>17456-G</t>
  </si>
  <si>
    <t>8F00241225060013</t>
  </si>
  <si>
    <t>oo4mEAElsXHGchXYUHnF</t>
  </si>
  <si>
    <t>17456-H</t>
  </si>
  <si>
    <t>8F00241225060003</t>
  </si>
  <si>
    <t>WNrhxpQWdUMQoDkIKmiy</t>
  </si>
  <si>
    <t>17457-A</t>
  </si>
  <si>
    <t>8E00250104050022</t>
  </si>
  <si>
    <t>FITLOG TRANSPORTES E LOGISTICA LTDA / (048) 996277956Informação Adicional: ESTOQUE / E-mail para nota fiscal: , E-mail de cobrança: , Telefone para contato</t>
  </si>
  <si>
    <t>WS7dA29hjxE1xYSMZIIq</t>
  </si>
  <si>
    <t>17457-B</t>
  </si>
  <si>
    <t>8F00241021210013</t>
  </si>
  <si>
    <t>ukdsaPdn9RZ3sLqzJkj1</t>
  </si>
  <si>
    <t>17457-C</t>
  </si>
  <si>
    <t>8F00241118050040</t>
  </si>
  <si>
    <t>w0KFmg7bS6ifc5IjZ0U8DA</t>
  </si>
  <si>
    <t>17458</t>
  </si>
  <si>
    <t>8F00241021210014</t>
  </si>
  <si>
    <t>Cliente Denis Fernando Freitas
FITLOG TRANSPORTES E LOGISTICA LTDA / (048) 996277956Informação Adicional: Cliente Denis Fernando Freitas / E-mail para nota fiscal: , E-mail de cobrança: , Telefone para contato</t>
  </si>
  <si>
    <t>TfJ0hW9qTpSiv8SuYAqcMw</t>
  </si>
  <si>
    <t>17459</t>
  </si>
  <si>
    <t>8F00241021210022</t>
  </si>
  <si>
    <t xml:space="preserve">Cliente Raphael Felippe Veloso
Pedido gerado através do PedidoEletronico.com - 
Transportadora / telefone: FITLOG TRANSPORTES E LOGISTICA LTDA / (048) 996277956
Informação Adicional: Cliente Raphael Felippe Veloso / E-mail para nota fiscal: , E-mail de cobrança: , Telefone para contato
</t>
  </si>
  <si>
    <t>JdpZR0.gS2aTLhkGNqO9kQ</t>
  </si>
  <si>
    <t>17460</t>
  </si>
  <si>
    <t>MATERIAIS DE CONSTRUCAO PANKA LTDA</t>
  </si>
  <si>
    <t>8F00250102050028</t>
  </si>
  <si>
    <t>Pedido gerado através do PedidoEletronico.com - 
Transportadora / telefone: EXP SAO MIGUEL / (0) E-mail para nota fiscal: , E-mail de cobrança: , Telefone para contato</t>
  </si>
  <si>
    <t>CVweUhGGTuGuMgfSVEZmQQ</t>
  </si>
  <si>
    <t>17461</t>
  </si>
  <si>
    <t>8E00241118030002</t>
  </si>
  <si>
    <t>Pedido gerado através do PedidoEletronico.com - 
Transportadora / telefone: FITLOG / (011) 2212-5862E-mail para nota fiscal: , E-mail de cobrança: , Telefone para contato</t>
  </si>
  <si>
    <t>QKemnNqxTwu75Mz-wftC3A</t>
  </si>
  <si>
    <t>17462</t>
  </si>
  <si>
    <t>8F00241225060025</t>
  </si>
  <si>
    <t>Pedido gerado através do PedidoEletronico.com - 
Transportadora / telefone: EXP SAO MIGUEL / (0) 
Obs.Interna: INCLUIR 10% DE DESCONTO A VISTA - VALOR FINAL R$ 7.490,07
 / E-mail para nota fiscal: , E-mail de cobrança: , Telefone para contato</t>
  </si>
  <si>
    <t>a-FVBJrGJRKWRk32O0j8AOA</t>
  </si>
  <si>
    <t>17463-A</t>
  </si>
  <si>
    <t>BELAS AGUAS PRODUTOS DE LIMPEZA</t>
  </si>
  <si>
    <t>8E00250104050024</t>
  </si>
  <si>
    <t>Pedido gerado através do PedidoEletronico.com - 
Transportadora / telefone: EXPRESSO SAO MIGUEL S/A / (051) 3586-2013Informação Adicional: +10% DE DESCONTO DA PROMOÇÃO / Obs.Interna: +10% DE DESCONTO DA PROMOÇÃO / E-mail para nota fiscal: , E-mail de cobrança: , Telefone para contato</t>
  </si>
  <si>
    <t>9MOmS55ySfCvZFKNFvPpbg</t>
  </si>
  <si>
    <t>17463-B</t>
  </si>
  <si>
    <t>8F00241225060021</t>
  </si>
  <si>
    <t>qlzGLCoYX1M3fkGlivGf</t>
  </si>
  <si>
    <t>17463-C</t>
  </si>
  <si>
    <t>8F00250104150001</t>
  </si>
  <si>
    <t>fDyJAk7jhHS7QUCEbfrG</t>
  </si>
  <si>
    <t>17464</t>
  </si>
  <si>
    <t>8E00241118030006</t>
  </si>
  <si>
    <t>Pedido gerado através do PedidoEletronico.com - 
Transportadora / telefone: FITLOG / (011) 2212-5862Obs.Interna: 
TABELA PROMOCIONAL, VALOR DE VENDA R$ 6826,00. 
ENTREGA FUTURA, LIBERAR MAQUINA SOMENTE APÓS 10/05/2025.FAVOR COTAR O FRETE E INCLUIR NA NOTA. / E-mail para nota fiscal: , E-mail de cobrança: , Telefone para contato</t>
  </si>
  <si>
    <t>GRBZA3KCR26qn.Ubo.uIyg</t>
  </si>
  <si>
    <t>17465-A</t>
  </si>
  <si>
    <t>8E00250104050029</t>
  </si>
  <si>
    <t>EXP SAO MIGUEL / (0) Informação Adicional: +3% DA PROMOÇÃO / Obs.Interna: +3% DA PROMOÇÃO / E-mail para nota fiscal: , E-mail de cobrança: , Telefone para contato</t>
  </si>
  <si>
    <t>p9iZRjMESoazPU4kt26L1A</t>
  </si>
  <si>
    <t>17465-B</t>
  </si>
  <si>
    <t>8F00241118050057</t>
  </si>
  <si>
    <t>6kG7m3MrMuDGYoY9Q7JF</t>
  </si>
  <si>
    <t>17466-A</t>
  </si>
  <si>
    <t>CLIMA SOLIS</t>
  </si>
  <si>
    <t>8E00241021130024</t>
  </si>
  <si>
    <t>Pedido gerado através do PedidoEletronico.com - 
Transportadora / telefone: EXP SAO MIGUEL / (0) 
Obs.Interna: ALTERAR PAGAMENTO PARA BOLETO 45/75/105  DIAS, conforme Mário via watsapp / E-mail para nota fiscal: , E-mail de cobrança: , Telefone para contato</t>
  </si>
  <si>
    <t>cPOGYM5NQD2LK09e1kkqlA</t>
  </si>
  <si>
    <t>17466-B</t>
  </si>
  <si>
    <t>8E00241118030003</t>
  </si>
  <si>
    <t>NplYf97mCJJRnRJFQ5IS</t>
  </si>
  <si>
    <t>17467</t>
  </si>
  <si>
    <t>8F00250104120014</t>
  </si>
  <si>
    <t>Pedido gerado através do PedidoEletronico.com - 
Transportadora / telefone: FITLOG / (011) 2212-5862
Obs.Interna: Aplicar mais 3% de desconto no valor total do pedido / E-mail para nota fiscal: , E-mail de cobrança: , Telefone para contato</t>
  </si>
  <si>
    <t>smR.XdDpQg-RBdxY7L3N7w</t>
  </si>
  <si>
    <t>17468</t>
  </si>
  <si>
    <t>8F00241021210018</t>
  </si>
  <si>
    <t>Pedido gerado através do PedidoEletronico.com - 
Transportadora / telefone: FITLOG / (011) 2212-5862
Informação Adicional: FTI55 (CE936 - DANIEL DELMARCO SANT ANGELO DA SILVA E SOUZA) já tem o pedido de compra emitido, mas não enviado ao fornecedor pela recusa de entrega manifestada pelo cliente. Os itens dele já comprados e recebidos dos fornecedores, foram entregues somente hoje, e o PC660, foi gerado em 18/3/25. / 
Obs.Interna: 1,5% de desconto mais do promocional devido ao frete pago por ele .  / E-mail para nota fiscal: , E-mail de cobrança: , Telefone para contato
NÃO ENTREGAR S/ENTRAR EM CONTATO COM O TELEFONE: JORGE (21) 99512-4022 AO MENOS C/ 24H</t>
  </si>
  <si>
    <t>el4dTE0qQC2BUe-DH7BRqQ</t>
  </si>
  <si>
    <t>17469-A</t>
  </si>
  <si>
    <t>8F00250102050012</t>
  </si>
  <si>
    <t>Pedido gerado através do PedidoEletronico.com - 
Transportadora / telefone: EXP SAO MIGUEL / (0) 
Informação Adicional: +3% de desconto da promoção / Obs.Interna: +3% de desconto da promoção / E-mail para nota fiscal: , E-mail de cobrança: , Telefone para contato</t>
  </si>
  <si>
    <t>L.w2AKYFS0-9VXjH-oEBsQ</t>
  </si>
  <si>
    <t>17469-B</t>
  </si>
  <si>
    <t>8F00250102140010</t>
  </si>
  <si>
    <t>RPinbykkRvH96nb9lZfV</t>
  </si>
  <si>
    <t>17470</t>
  </si>
  <si>
    <t>8E00241021130022</t>
  </si>
  <si>
    <t>cr26uKImS7Os0LYZ7pxvMg</t>
  </si>
  <si>
    <t>17471</t>
  </si>
  <si>
    <t>13771</t>
  </si>
  <si>
    <t>FITLOG / (011) 2212-5862Obs.Interna: Desconto adiconal 5% pagamento antecipado. Frete CIF. / E-mail para nota fiscal: , E-mail de cobrança: , Telefone para contato
FRETE SEMPRE CIF SEM REDESPACHO</t>
  </si>
  <si>
    <t>wxJLoK48R5yBZmX5z4lDjg</t>
  </si>
  <si>
    <t>17472-A</t>
  </si>
  <si>
    <t>8F00241005200017</t>
  </si>
  <si>
    <t>CLIENTE LUIS JOB</t>
  </si>
  <si>
    <t>jaTiihUUT7m4dnr30MFq8w</t>
  </si>
  <si>
    <t>17472-B</t>
  </si>
  <si>
    <t>8F00250102050033</t>
  </si>
  <si>
    <t>CLIENTE ADERBAL GRILLO</t>
  </si>
  <si>
    <t>L8gCSF3Ec6po1inFfYnl</t>
  </si>
  <si>
    <t>17472-C</t>
  </si>
  <si>
    <t>8F00241021210017</t>
  </si>
  <si>
    <t>CLIENTE ALEXANDRE DE MORAES</t>
  </si>
  <si>
    <t>IH2pRCKfFqeYCth4hKex</t>
  </si>
  <si>
    <t>17472-D</t>
  </si>
  <si>
    <t>8F00241005190029</t>
  </si>
  <si>
    <t>KQT3tdXHvqg0LFdFappJ</t>
  </si>
  <si>
    <t>17473</t>
  </si>
  <si>
    <t>13715</t>
  </si>
  <si>
    <t>CLIENTE: LA PRIERETROMPOWSKI</t>
  </si>
  <si>
    <t>1s4shp-TTTihPMo4Mdwhxw</t>
  </si>
  <si>
    <t>17475-A</t>
  </si>
  <si>
    <t>14091-B</t>
  </si>
  <si>
    <t>Pedido gerado através do PedidoEletronico.com -
 Transportadora / telefone: RETIRADA NA FABRICA / (0) 
Informação Adicional: PEDIDO PASQUALOTTO E GT - VITTRA / E-mail para nota fiscal: , E-mail de cobrança: , Telefone para contato</t>
  </si>
  <si>
    <t>ZRNeHN4KyUUUAA5cO3DI</t>
  </si>
  <si>
    <t>17475-B</t>
  </si>
  <si>
    <t>14091-C</t>
  </si>
  <si>
    <t>pun2E9PBbvbZ2eSF9axc</t>
  </si>
  <si>
    <t>17475-C</t>
  </si>
  <si>
    <t>14091-D</t>
  </si>
  <si>
    <t>bBZb7HD1RjWTcWguF3rDTQ</t>
  </si>
  <si>
    <t>17475-D</t>
  </si>
  <si>
    <t>14091-E</t>
  </si>
  <si>
    <t>QHvEXXI42qwcIsU3eY9Y</t>
  </si>
  <si>
    <t>17475-E</t>
  </si>
  <si>
    <t>14091-F</t>
  </si>
  <si>
    <t>q0ZsTn5eIngg6FEO8OtT</t>
  </si>
  <si>
    <t>17475-F</t>
  </si>
  <si>
    <t>14091-G</t>
  </si>
  <si>
    <t>IdtBV2CxJ8gxCsuEeN6Y</t>
  </si>
  <si>
    <t>17476</t>
  </si>
  <si>
    <t>8F00241021210036</t>
  </si>
  <si>
    <t>Pedido gerado através do PedidoEletronico.com - 
Transportadora / telefone: FITLOG TRANSPORTES E LOGISTICA LTDA / (048) 996277956
Informação Adicional: Pedido de Compra Nº 7415 / E-mail para nota fiscal: , E-mail de cobrança: , Telefone para contato</t>
  </si>
  <si>
    <t>zL-XVhI.QcuqoAOO19V3Eg</t>
  </si>
  <si>
    <t>17477</t>
  </si>
  <si>
    <t>8F00250102050034</t>
  </si>
  <si>
    <t>FITLOG / (011) 2212-5862Informação Adicional: REDESPACHO FOB: TAS LOGISTICA E TRANSPORTE LTDA, CNPJ: 40.835.229/0001-60 - RUA
FRANCISCO DIOGO DE ASSIS VASCONCELOS Nº: 173 CEP: 06.230-010 Bairro:
PIRATININGA, OSASCO - SP / E-mail para nota fiscal: , E-mail de cobrança: , Telefone para contato
O REDESPACHO SERA FOB - 40.835.229/0001-60 - TAS LOGISTICA E TRANSPORTE LTDARUA FRANCISCO DIOGO DE ASSIS VASCONCELOS 173, PIRATININGA, OSASCO/SP - CEP - 06.230-010</t>
  </si>
  <si>
    <t>oMVei052Skyaz4x6e2yJDw</t>
  </si>
  <si>
    <t>17478</t>
  </si>
  <si>
    <t>8E00241225030015</t>
  </si>
  <si>
    <t>FITLOG TRANSPORTES E LOGISTICA LTDA / (048) 996277956Informação Adicional: Cliente: Patricia Elisabete / E-mail para nota fiscal: , E-mail de cobrança: , Telefone para contato</t>
  </si>
  <si>
    <t>guYFHaQmRBimDFBBN9YDwg</t>
  </si>
  <si>
    <t>17479</t>
  </si>
  <si>
    <t>8F00241225060004</t>
  </si>
  <si>
    <t>FITLOG TRANSPORTES E LOGISTICA LTDA / (048) 996277956Informação Adicional: Cliente: Julio Henrique Dias / E-mail para nota fiscal: , E-mail de cobrança: , Telefone para contato</t>
  </si>
  <si>
    <t>hovAROpDTc2P.169YoWeXA</t>
  </si>
  <si>
    <t>17480-A</t>
  </si>
  <si>
    <t>14092</t>
  </si>
  <si>
    <t>FITLOG / (011) 2212-5862Obs.
Interna: conceder  mais 3% do a vista, pra mim aqui não esta aparecendo este desconto. cliente vai depositar segunda feira / E-mail para nota fiscal: , E-mail de cobrança: , Telefone para contato</t>
  </si>
  <si>
    <t>z7StGGBdQSmw7eH4jbWsgg</t>
  </si>
  <si>
    <t>17480-B</t>
  </si>
  <si>
    <t>14075</t>
  </si>
  <si>
    <t>EcnRCVdZe96GIitY2Gal</t>
  </si>
  <si>
    <t>17481</t>
  </si>
  <si>
    <t>8F00241021210030</t>
  </si>
  <si>
    <t>EXP SAO MIGUEL / (0) 
Obs.Interna: CONCEDER DESCONTO A VISTA + 10% - TOTAL A PAGAR  R$ 8.573,06 a vista
PAGOU A VISTA 05 05 25 / E-mail para nota fiscal: , E-mail de cobrança: , Telefone para contato</t>
  </si>
  <si>
    <t>La3uWuy8Qm-eDE2qZyknEw</t>
  </si>
  <si>
    <t>17484-A</t>
  </si>
  <si>
    <t>8E00241225030006</t>
  </si>
  <si>
    <t>Pedido gerado através do PedidoEletronico.com - 
Transportadora / telefone: FITLOG TRANSPORTES E LOGISTICA LTDA / (048) 996277956
Informação Adicional: Preço promocional autorizado pelo Mário.
10% +3% promocional de Abril. Prazo de pagamento, favor alterar para 15/30/45/60/75/90/105 DD. Cancelar  pedido 17474  ESSE SUBSTITUI 
Faturamento alterar para 15/30/45/60/75/90/105 DD. / E-mail para nota fiscal: , E-mail de cobrança: , Telefone para contato</t>
  </si>
  <si>
    <t>vysuShTfTUKtk3Su16uy9w</t>
  </si>
  <si>
    <t>17484-B</t>
  </si>
  <si>
    <t>8F00241225060020</t>
  </si>
  <si>
    <t>mLVlWxgpsLDdqFvJjeab</t>
  </si>
  <si>
    <t>17484-C</t>
  </si>
  <si>
    <t>8F00241021210029</t>
  </si>
  <si>
    <t>5w8ETGDwVvwbfHRhBMun</t>
  </si>
  <si>
    <t>17484-D</t>
  </si>
  <si>
    <t>8F00241118050056</t>
  </si>
  <si>
    <t>Ymgus0kY9mAxCqTQS6QU</t>
  </si>
  <si>
    <t>17485</t>
  </si>
  <si>
    <t>8F00241225060022</t>
  </si>
  <si>
    <t>EXP SAO MIGUEL / (0) Informação Adicional: +3% DE DESCONTO NA PROMOÇÃO / Obs.Interna: +3% DE DESCONTO NA PROMOÇÃO / E-mail para nota fiscal: , E-mail de cobrança: , Telefone para contato</t>
  </si>
  <si>
    <t>PKSaQxLjThuk-OnxiFKlCg</t>
  </si>
  <si>
    <t>17486</t>
  </si>
  <si>
    <t>8F00241118050054</t>
  </si>
  <si>
    <t>Pedido gerado através do PedidoEletronico.com - 
Transportadora / telefone: FITLOG TRANSPORTES E LOGISTICA LTDA / (048) 996277956
Informação Adicional: Frete com Redespacho pela expresso raquel, CNPJ SP : 03.823.190/0002-16. - ENDEREÇO SÃO PAULO : RUA SOLDADO AMERICO RODRIGUES 131, GALPÃO MODULO A - PQ NOVO MUNDO.
10% de desconto pela promoção de abril + 3% de direito adquirido.
O cliente pagará 70% via pix e 30% no boleto 30DD. (Autorizado pelo Mario) 
Mario- APROVADO  / E-mail para nota fiscal: , E-mail de cobrança: , Telefone para contato</t>
  </si>
  <si>
    <t>Uy4yMBEKSSW1LDFNNQTYiw</t>
  </si>
  <si>
    <t>17487</t>
  </si>
  <si>
    <t>Pedido gerado através do PedidoEletronico.com - 
Transportadora / telefone: FITLOG / (011) 2212-5862
Informação Adicional: EQUIPAMENTO DE TROCA EM GARANTIA, CONFORME O.S250097 E NF. 12438 DE 15/01/2025. MANTER OS BOLETOS DA NF. 12438. / E-mail para nota fiscal: , E-mail de cobrança: , Telefone para contato</t>
  </si>
  <si>
    <t>QUfF1YtKTzuWTqXj-Uy0fg</t>
  </si>
  <si>
    <t>17489-A</t>
  </si>
  <si>
    <t>8F00241225060002</t>
  </si>
  <si>
    <t>Pedido gerado através do PedidoEletronico.com - 
Transportadora / telefone: FITLOG TRANSPORTES E LOGISTICA LTDA / (048) 996277956
Informação Adicional: Desconto promocional Abril (10% -3%), autorizado pelo Mário. / E-mail para nota fiscal: , E-mail de cobrança: , Telefone para contato</t>
  </si>
  <si>
    <t>yqCEBob7RR6tW0St.FuYhQ</t>
  </si>
  <si>
    <t>17489-B</t>
  </si>
  <si>
    <t>8F00241225060014</t>
  </si>
  <si>
    <t>j55GEoXa3NW6XB03RLt5</t>
  </si>
  <si>
    <t>17489-C</t>
  </si>
  <si>
    <t>8F00241021210027</t>
  </si>
  <si>
    <t>7K3DkATAeKUYb109pM0l</t>
  </si>
  <si>
    <t>17489-D</t>
  </si>
  <si>
    <t>8F00241021210026</t>
  </si>
  <si>
    <t>IEbklppbACVxWBD729UA</t>
  </si>
  <si>
    <t>17489-E</t>
  </si>
  <si>
    <t>8F00250102050013</t>
  </si>
  <si>
    <t>O5Qj2RLgulKsUT0c8Ujl</t>
  </si>
  <si>
    <t>17490</t>
  </si>
  <si>
    <t>8F00250102050008</t>
  </si>
  <si>
    <t>Pedido gerado através do PedidoEletronico.com - 
Transportadora / telefone: FITLOG TRANSPORTES E LOGISTICA LTDA / (048) 996277956
Informação Adicional: cliente - Valdeir Aparecido Silva / E-mail para nota fiscal: , E-mail de cobrança: , Telefone para contato</t>
  </si>
  <si>
    <t>cBObF2r2ROetoomD4mi84g</t>
  </si>
  <si>
    <t>17491</t>
  </si>
  <si>
    <t>8F00250102140006</t>
  </si>
  <si>
    <t>KgkRlzaNSLqOipln891IbA</t>
  </si>
  <si>
    <t>17492</t>
  </si>
  <si>
    <t>8F00241021210033</t>
  </si>
  <si>
    <t>Ldq6Tf3QQMCfnqMriZVB2Q</t>
  </si>
  <si>
    <t>17493-A</t>
  </si>
  <si>
    <t>AQUAVALE PISCINAS E LAZER</t>
  </si>
  <si>
    <t>8F00250102050030</t>
  </si>
  <si>
    <t>Pedido gerado através do PedidoEletronico.com - 
Transportadora / telefone: DLT LOGISTICA EM TRANSPORTES LTDA / (048) 2102-5229
Informação Adicional: Preço Promoção ABRIL  / E-mail para nota fiscal: , E-mail de cobrança: , Telefone para contato</t>
  </si>
  <si>
    <t>sRTCmEJVRkSqeGgqgYkALA</t>
  </si>
  <si>
    <t>17493-B</t>
  </si>
  <si>
    <t>8F00250102140008</t>
  </si>
  <si>
    <t>2I3LPh6SRK7fot69MM9c</t>
  </si>
  <si>
    <t>17494</t>
  </si>
  <si>
    <t>8F00250104150012</t>
  </si>
  <si>
    <t>Pedido gerado através do PedidoEletronico.com - 
Transportadora / telefone: ACEVILLE TRANSPORTES LTDA / (0) -Informação Adicional: TABELA PROMOCIONAL ABRIL/MAIO  / E-mail para nota fiscal: , E-mail de cobrança: , Telefone para contato</t>
  </si>
  <si>
    <t>XA3uW-0OSvaElZ903Z9pUg</t>
  </si>
  <si>
    <t>17495</t>
  </si>
  <si>
    <t>8F00241021210028</t>
  </si>
  <si>
    <t>LOWdreHXT6GmZnOwzVfklQ</t>
  </si>
  <si>
    <t>17496</t>
  </si>
  <si>
    <t>8F00250104150011</t>
  </si>
  <si>
    <t>FITLOG / (011) 2212-5862Obs.Interna: Valor do item: R$ 16.400,00.
Endereço de entrega: Rua Jornalista Aristides de Melo, 139 casa 2 cep 24330-030, Niterói RJ (Ponto de referencia Final da rua após a oficina do Charles, subida do morro (casa azul, portão branco) / E-mail para nota fiscal: , E-mail de cobrança: , Telefone para contato</t>
  </si>
  <si>
    <t>PZXnG7HvRPuZIRqmIbllYQ</t>
  </si>
  <si>
    <t>17497-A</t>
  </si>
  <si>
    <t>8E00241118030016</t>
  </si>
  <si>
    <t>RISSO TRANSPORTES LTDA / (014) 3604-3000E-mail para nota fiscal: , E-mail de cobrança: , Telefone para contato
O REDESP. SERA FOB - TRANSP. RISSO - CNPJ:59.504.225/0003-90 - Endereço: Av. Jornalista Paulo Zingg, 300, CEP: 05157-030</t>
  </si>
  <si>
    <t>VPTP4OfGQpiuABkTVNTP6Q</t>
  </si>
  <si>
    <t>17497-B</t>
  </si>
  <si>
    <t>8E00241118030015</t>
  </si>
  <si>
    <t>mCOL6nBbt0UmymSTigiW</t>
  </si>
  <si>
    <t>17498</t>
  </si>
  <si>
    <t>CONDOMINIO EDIFICIO URBAN LIFE</t>
  </si>
  <si>
    <t>8F00250104100012</t>
  </si>
  <si>
    <t xml:space="preserve">
RETIRADA NA FABRICA / (0) 
Obs.Interna: venda da HIDROESTE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</si>
  <si>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MLdHVSMB2I0id-UgJUj_c5DBWeP_5US_DyueRIRy3Sl91miw0eTFrMlOZKf5__c1kp7_zpD98N5R7GCdUiJ5OBDNLtmpzdkHvMw1yE_M9IqIQ70NAVE1kpdMSFGHLye_xgkUxEsRP607BGCBJ31dkosYtTTui8dovLhID-hTvRKEJBqe7Rmi22dPXk4QV6rSafCLAAn8rbQSfFycxcMnlTUIG3CHtzSj7SjetZSOk4GILUu2QDwHT-YOARyE-7QX67ojljdj5B1M_IX4oYn2KuSCEqQC854O3BcpSUgsB3AJbwGWS0Hnk4e0UWQ&amp;amp;lib=M-zdWbhavtdZ1B_W2dnFDM0qoVt4lWzJ-"&gt;here&lt;/A&gt;.
&lt;/BODY&gt;
&lt;/HTML&gt;
</t>
  </si>
  <si>
    <t>G.uxYSGeTjOs7iQDZqxmMA</t>
  </si>
  <si>
    <t>17499</t>
  </si>
  <si>
    <t>8F00250102140005</t>
  </si>
  <si>
    <t>5iNUB7sxSM6IdhnqVysj8g</t>
  </si>
  <si>
    <t>17502</t>
  </si>
  <si>
    <t>8F00240723260488</t>
  </si>
  <si>
    <t>FITLOG / (011) 2212-5862Informação Adicional: Conceder desconto adicional 10% pagamento antecipado Promoção Abril/2025. Frete CIF / E-mail para nota fiscal: , E-mail de cobrança: , Telefone para contato
FRETE SEMPRE CIF SEM REDESPACHO</t>
  </si>
  <si>
    <t>zWrxioZaS9GkljTgFjHxbA</t>
  </si>
  <si>
    <t>17504</t>
  </si>
  <si>
    <t>8F00250102140009</t>
  </si>
  <si>
    <t>FITLOG / (011) 2212-5862
Informação Adicional: REDESPACHO FOB  CNPJ 24.882.886/0002-93 - RADLOG TRANSPORTES LTDA Rua UMBUZEIRO, 123 - Cep 07.224-010 - BAIRRO CIDADE INDUSTRIAL SATELITE DE SAO PAULO - GUARULHOS - SP I.E. 796.514.930.111 / 
Obs.Interna: Desconto adicional 10% pagamento antecipado, promoção Abril 2025 / E-mail para nota fiscal: , E-mail de cobrança: , Telefone para contato
O REDESPACHO SERA FOB - TRANSP. RADLOG - CNPJ : 24.882.886/0002-93 - END: R UMBUZEIRO, 123, CEP: 07.224-010</t>
  </si>
  <si>
    <t>WLEXdmo8QoGCSUlMTinWFA</t>
  </si>
  <si>
    <t>17505</t>
  </si>
  <si>
    <t>14094</t>
  </si>
  <si>
    <t>BOLETO DEVE SER CANCELADO ASSIM QUE A MÁQUINA DO CLIENTE CHEGAR.
EXP SAO MIGUEL / (0) 
Obs.Interna: FRETE POR CONTA DA HIDROTEC POR CONTA DO ERRO NO PEDIDO, SEM COBRANÇA POIS O CLIENTE JÁ PAGOU A MÁQUINA - REFERENTE DEVOLUÇÃO  NF 12991- VERIFICAR COM A DEBORA SOBRE O VALOR DA NF (DANI) / E-mail para nota fiscal: , E-mail de cobrança: , Telefone para contato</t>
  </si>
  <si>
    <t>jUxQZvPBQY6bK0HDoboEYg</t>
  </si>
  <si>
    <t>17506</t>
  </si>
  <si>
    <t>29.027.856 JUDITE FAUSTO LA ROQUE</t>
  </si>
  <si>
    <t>14096</t>
  </si>
  <si>
    <t>Redespacho FOB: CARVALIMA TRANSPORTES LTDA - CNPJ: 33.070.814/0003-13 - END: AVENIDA ALEXANDRE COLARES - CEP: 05106000
ENDEREÇO DE ENTREGA: Rua Foz do Iguaçu 
Bairro Menino Deus
Lucas do Rio Verde, MT
Complemento: Condomínio Residencial Saint German
FITLOG TRANSPORTES E LOGISTICA LTDA / (011) 2212-5862Obs.Interna: cliente instalador parceiro . verificar o pix - somente depois colocar em produção .  / E-mail para nota fiscal: , E-mail de cobrança: , Telefone para contato</t>
  </si>
  <si>
    <t>bR-UQ43bR3iEg0mNpVXjCA</t>
  </si>
  <si>
    <t>17507</t>
  </si>
  <si>
    <t>MELNICK LEO EMPREENDIMENTO IMOBILIARIO LTDA.</t>
  </si>
  <si>
    <t>Obs.Interna: PEDIDO REVENDA OZIO - FATURAMENTO PELA PJ COMERCIO AUTORIZADO POR MÁRIO.
PJ IRÁ EMITIR A NF DE COBRAÇA PARA CLIENTE - ACERTAR INTERNAMENTE NA PLANILHA . 
Pedido gerado através do PedidoEletronico.com - 
Transportadora / telefone: EXP SAO MIGUEL / (0) 
  / E-mail para nota fiscal: , E-mail de cobrança: , Telefone para contato</t>
  </si>
  <si>
    <t>zclZ2vYcSRypx3xl-oOKoA</t>
  </si>
  <si>
    <t>17509</t>
  </si>
  <si>
    <t>8F00241225060023</t>
  </si>
  <si>
    <t>Pedido gerado através do PedidoEletronico.com -
 Transportadora / telefone: FITLOG / (011) 2212-5862
Obs.Interna: maquina deve ser faturada a R$ 7.490,00 REF PROMOCAO ABRIL autorizado pelo Carlos Kubtiza / E-mail para nota fiscal: , E-mail de cobrança: , Telefone para contato</t>
  </si>
  <si>
    <t>AO13qOijSN-tXud8h0qSzw</t>
  </si>
  <si>
    <t>17510</t>
  </si>
  <si>
    <t>BEST CONSTRUÇÕES</t>
  </si>
  <si>
    <t>8E00250104050021</t>
  </si>
  <si>
    <t>Pedido gerado através do PedidoEletronico.com - 
Transportadora / telefone: DESTAK / (048) 2102-5242Informação Adicional: ALTERAR PRAZO DE PAGAMENTO PARA 3X 30/45/60 DIAS / 
Obs.Interna: ALTERAR PRAZO DE PAGAMENTO PARA 3X 30/45/60 DIAS / E-mail para nota fiscal: , E-mail de cobrança: , Telefone para contato
O.C 10148</t>
  </si>
  <si>
    <t xml:space="preserve">&lt;HTML&gt;
&lt;HEAD&gt;
&lt;TITLE&gt;Moved Temporarily&lt;/TITLE&gt;
&lt;/HEAD&gt;
&lt;BODY BGCOLOR="#FFFFFF" TEXT="#000000"&gt;
&lt;!-- GSE Default Error --&gt;
&lt;H1&gt;Moved Temporarily&lt;/H1&gt;
The document has moved &lt;A HREF="https://script.googleusercontent.com/macros/echo?user_content_key=AehSKLi6QcpOFjsg161xSZPuC0R32CbYvJfQqanrzMR6ZBifyUgC5MPmaXP5muekuT0nexNR6wvevlLE1L3c59ciL72oMUXG21L1cUpMqhlHLUiK0T1ec7YvPmiYDmfhuP3o-CIZQkhdEqwzGbIv5zg3xHdAXBb9GeXiyOiBczRun4d5FkdoIbUtXJoDz8AWu7ci1H7RFdp3500QbF34vxqsuDSp5Gs1MxKc3PBneBSFZviUaduNxORUl6LSsxLO1qTI232TzwYLsrqESu2_UQde11I_ldaeMkeE22jk9drnhdlcbq1hF3Cqz3FwMN_K-g&amp;amp;lib=M-zdWbhavtdZ1B_W2dnFDM0qoVt4lWzJ-"&gt;here&lt;/A&gt;.
&lt;/BODY&gt;
&lt;/HTML&gt;
</t>
  </si>
  <si>
    <t>Gv6RSPCtSTm6rOPqzhBhpw</t>
  </si>
  <si>
    <t>17511</t>
  </si>
  <si>
    <t>8F00241021210024</t>
  </si>
  <si>
    <t>FITLOG / (011) 2212-5862Informação Adicional: REDESPACHO FOB
TRANSPORTADORA : FORMATO TRANSPORTES LTDA-CNPJ: 13.727.240/0001-34 RUA RIO GRANDE DP PIAUI-130 CIDADE ARACILIA GUARULHOS SP -FONE 11 25367215- / Obs.Interna: PEDIDO COM DESCONTO DEVIDO A COMISSÃO DO PEDIDO 16448 DE EDNA ANDRADE NERY- 10% VALOR R$1.458,45   -  NOVO PEDIDO PAGAMENTO EM 10 X CONFORME SIMULAÇÃO DE BRUNA R$8.324,37  / E-mail para nota fiscal: , E-mail de cobrança: , Telefone para contato
FORMATO TRANSPORTES LTDA-CNPJ: 13.727.240/0001-34 RUA RIO GRANDE DP PIAUI-130 CIDADE ARACILIA GUARULHOS SP -FONE 1125367215</t>
  </si>
  <si>
    <t>hgd.Df05S2GyYmmuzba4HQ</t>
  </si>
  <si>
    <t>17512</t>
  </si>
  <si>
    <t>8F00240812220296</t>
  </si>
  <si>
    <t>DMS1E02 - RETIRA - LAERCIO GAVIRAGHI - 92905706015 - VOLKSWAGEN / SAVEIRO / BRANCO / 2024</t>
  </si>
  <si>
    <t>RETIRADA NA FABRICA / (0) 
Obs.Interna: CLIENTE IRÁ RETIRAR NA FABRICA SEGUNDA FEIRA PELA MANHÃ DIA 12-05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</si>
  <si>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kRKMxjt_DbonrXoLfp5U7NiCe4c5Iw3kDi0TXhpVen1ThVb83SPky6_Kwai8FwnnodOICCHquvgHlEQtK6UA_rcaxqe4wS3f4KRY6sHjS1vEZcCHDtYFZrdFkxES577vLYc7pOb2RcMQ1_o2KaX-LSxw1f4hRoldxb3hXE75N9pAWuONncYOu7uJ2MKl0PzXPaP1MdBLXvS1tTNZcABXxikmYgFHhfLPADHo_eUxA8sVMKUH7l7_HGdEZWvc-JRiJ3T6lOpmFxEZK58hnX-KuMvXMZtN397fQPewClWTV0p4zduilyPDDATK9A&amp;amp;lib=M-zdWbhavtdZ1B_W2dnFDM0qoVt4lWzJ-"&gt;here&lt;/A&gt;.
&lt;/BODY&gt;
&lt;/HTML&gt;
</t>
  </si>
  <si>
    <t>Zdc-Io56TGSY0Mxn4eW08A</t>
  </si>
  <si>
    <t>17513-A</t>
  </si>
  <si>
    <t>8E00241118030031</t>
  </si>
  <si>
    <t>RETIRADA NA FABRICA / (0) Informação Adicional: A RETIRADA SERÁ FEITA, NO MÁXIMO, NO INÍCIO DO MÊS DE JUNHO O PAGAMENTO SERÁ FEITO AINDA NO MÊS DE MAIO. CASO O CLIENTE RETIRE ANTES DO FINAL DE MAIO, ELE PAGARÁ NA HORA. CASO CONTRÁRIO, FARÁ O PAGAMENTO ATÉ O FINAL DO MÊS DE MAIO. / Obs.Interna: A RETIRADA SERÁ FEITA, NO MÁXIMO, NO INÍCIO DO MÊS DE JUNHO O PAGAMENTO SERÁ FEITO AINDA NO MÊS DE MAIO. CASO O CLIENTE RETIRE ANTES DO FINAL DE MAIO, ELE PAGARÁ NA HORA. CASO CONTRÁRIO, FARÁ O PAGAMENTO ATÉ O FINAL DO MÊS DE MAIO. / E-mail para nota fiscal: , E-mail de cobrança: , &lt;mark&gt;Telefone para contato&lt;/mark&gt;</t>
  </si>
  <si>
    <t xml:space="preserve">&lt;HTML&gt;
&lt;HEAD&gt;
&lt;TITLE&gt;Moved Temporarily&lt;/TITLE&gt;
&lt;/HEAD&gt;
&lt;BODY BGCOLOR="#FFFFFF" TEXT="#000000"&gt;
&lt;!-- GSE Default Error --&gt;
&lt;H1&gt;Moved Temporarily&lt;/H1&gt;
The document has moved &lt;A HREF="https://script.googleusercontent.com/macros/echo?user_content_key=AehSKLhL7mEZdbf-57F6yTr2AGKhPbnqW92fXhbO_AQRrUP9JWm4rcCZNLtguJ7jqfHarwWKWMROWtGJtxV6YfSFzo559FlI6nIU7OdulAQJWwkhDynN3LhAiSkBpNDqvgEOCmy2czCj9aHZn2aYluMmPQfRjU0qSxdwDTD2wZnoJF9mnfloaoMpMcDRuCEXGMYU-ExWeR233Vkl4fAsIlRAuZdUcrhaYl5h7MEgWGBlKb162PJ_IIvgRkdb3p4kaMJpSNjP_rGIbfGOtZaWjipoPP4Ly4W7YBVVs0U_Fi9a9sdC5eJv-MRgzhwkFbuXNw&amp;amp;lib=M-zdWbhavtdZ1B_W2dnFDM0qoVt4lWzJ-"&gt;here&lt;/A&gt;.
&lt;/BODY&gt;
&lt;/HTML&gt;
</t>
  </si>
  <si>
    <t>AkG-4ssSQVW.XEoyYIPztw</t>
  </si>
  <si>
    <t>17513-B</t>
  </si>
  <si>
    <t>8F00241005200010</t>
  </si>
  <si>
    <t>RETIRADA NA FABRICA / (0) Informação Adicional: A RETIRADA SERÁ FEITA, NO MÁXIMO, NO INÍCIO DO MÊS DE JUNHO
O PAGAMENTO SERÁ FEITO AINDA NO MÊS DE MAIO. 
CASO O CLIENTE RETIRE ANTES DO FINAL DE MAIO, ELE PAGARÁ NA HORA. CASO CONTRÁRIO, FARÁ O PAGAMENTO ATÉ O FINAL DO MÊS DE MAIO.  / Obs.Interna: A RETIRADA SERÁ FEITA, NO MÁXIMO, NO INÍCIO DO MÊS DE JUNHO
O PAGAMENTO SERÁ FEITO AINDA NO MÊS DE MAIO. 
CASO O CLIENTE RETIRE ANTES DO FINAL DE MAIO, ELE PAGARÁ NA HORA. CASO CONTRÁRIO, FARÁ O PAGAMENTO ATÉ O FINAL DO MÊS DE MAIO.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</si>
  <si>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1A0TxbJAG_ErNbUYakq0l1z9PJQIllTajG315Cb1T3gjlgzUGu88jchTYeNjeN2PCw3zW5Tic12JA9Oabg2t3vXj3cq5RYQKXmE48z3wrFXETjkMgFV4cFgKB22I3BBbmhQrdkWtIrChkGmLoS3L52mMcSb6EsKBpyheLFbvbajMBBv0hDb_QGDGOceOz0GP7sP5SJ_jCQZ-lUC3OHMR9CCJnMDt4iv9_7LTe6m33uu5IxuqAUWbDq7S5Wn62SFkvv4YBXZPrTuoyptlIPOlcq8tBKewcLQri3C6nKu5FaM788P05Kgdz6NyBUA&amp;amp;lib=M-zdWbhavtdZ1B_W2dnFDM0qoVt4lWzJ-"&gt;here&lt;/A&gt;.
&lt;/BODY&gt;
&lt;/HTML&gt;
</t>
  </si>
  <si>
    <t>TyVV5rCS0ICfou6tEwuG</t>
  </si>
  <si>
    <t>17514</t>
  </si>
  <si>
    <t>20004</t>
  </si>
  <si>
    <t>FT20B35W</t>
  </si>
  <si>
    <t>Pedido gerado através do PedidoEletronico.com - 
Transportadora / telefone: RETIRADA NA FABRICA / (0) 
Informação Adicional: ALTERAR VALOR DO PEDIDO: R$6.297,50 (10% DO CLIENTE + 8% DO DESCONTO EM FT DO CLIENTE) / 
Obs.Interna: ALTERAR VALOR DO PEDIDO: R$6.297,50 (10% DO CLIENTE + 8% DO DESCONTO EM FT DO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</si>
  <si>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ohlCJBJHli6vU0l_kvr0d0noss8QOdUiLee5zHp0vCDg7YcgbnIxuwUXp7gTQV5vCd6HzD5lVE7_ZFnhuhgoJGVLPDmT_Q4tHZc5QKDmtouSlOjBPBr1OMhPxsk96JK8ZOtlmDCysbFEBl1rTQcsZRT8iWC7MFtNNmDc8vx8BIzMlYMUtwwIfQz_GYi57Lu9gBjhVGaMxE42wWLIpnYg2SzqiSiPY7GS2BMl45MtHsTMaTDbAosIm9DvbKh_tDyOKK06xhKk0CLViZI-amyrcxSBu4qCOTA-76VLkkhf-xSaJCm5vul0-rqhaPg&amp;amp;lib=M-zdWbhavtdZ1B_W2dnFDM0qoVt4lWzJ-"&gt;here&lt;/A&gt;.
&lt;/BODY&gt;
&lt;/HTML&gt;
</t>
  </si>
  <si>
    <t>WtOv15sxQ1eIGSeRiUVVVg</t>
  </si>
  <si>
    <t>17516</t>
  </si>
  <si>
    <t>8F00250102140013</t>
  </si>
  <si>
    <t>EXP SAO MIGUEL / (0) Obs.Interna: +10% DE DESCONTO DA PROMOÇÃO / E-mail para nota fiscal: , E-mail de cobrança: , Telefone para contato</t>
  </si>
  <si>
    <t>bSwVSUXGRFeIcotTL511Gg</t>
  </si>
  <si>
    <t>17517-A</t>
  </si>
  <si>
    <t>8E00241118030014</t>
  </si>
  <si>
    <t>FITLOG / (011) 2212-5862Obs.Interna: Considerar os seguintes valores: FTI25 &gt;&gt; R$ 6,828,00 e FTI105 &gt;&gt; R$ 13.090,00
Valor tabela promocional autorizado por Carlos Kubtiza / E-mail para nota fiscal: , E-mail de cobrança: , Telefone para contato</t>
  </si>
  <si>
    <t>exlDfd6hSiWbXEQizuk9cw</t>
  </si>
  <si>
    <t>17517-B</t>
  </si>
  <si>
    <t>8F00250102140018</t>
  </si>
  <si>
    <t>HxwxsUN5aiVBSRbFUkfB</t>
  </si>
  <si>
    <t>17518</t>
  </si>
  <si>
    <t>8E00241118030007</t>
  </si>
  <si>
    <t>FITLOG TRANSPORTES E LOGISTICA LTDA / (048) 996277956Informação Adicional: APLICAR DESCONTO DE 5% (PAGAMENTO NO VALOR À VISTA COM BOLETO PARA 7 DIAS)
Pedido de compra - Nº 7441 / E-mail para nota fiscal: , E-mail de cobrança: , Telefone para contato</t>
  </si>
  <si>
    <t>yVwA6dLYTlqBRI49.5cP7A</t>
  </si>
  <si>
    <t>17519</t>
  </si>
  <si>
    <t>8E00241118030041</t>
  </si>
  <si>
    <t>FITLOG TRANSPORTES E LOGISTICA LTDA / (048) 996277956Informação Adicional: Desconto promocional Abril (10% +3%), autorizado pelo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</si>
  <si>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Wz9CUfI_nYHQcBXS2eBIu7tx2ZQpAI7KYTzckS4xlVQwc8IR6jOotnba8KmLZaTWS2Tw2mwccAywK4Ln1p6ylHV4U3Po7XRXt5qevmGHMrLD6RkPADQaZoABS-vsaBX_UzoYvHJYQGgUUfqYSAihVZozSiG26QrRJvNHCvjk_qjn-XoJEJundeJdZnTw-KewpDaXk-DyGNCvd1oD10XZGludTOTEiS9-bDpx9n42a0l3GLITFolNBc2WVVYQlAaKdgzztjT608r4LuEl50dhF0NE-vLXc0VpiOzIyaMf0V9F5njOHMRSS_DH6Aw&amp;amp;lib=M-zdWbhavtdZ1B_W2dnFDM0qoVt4lWzJ-"&gt;here&lt;/A&gt;.
&lt;/BODY&gt;
&lt;/HTML&gt;
</t>
  </si>
  <si>
    <t>jnKmZlIRR5qNlFv.InV2AA</t>
  </si>
  <si>
    <t>17520</t>
  </si>
  <si>
    <t>8F00250110270037</t>
  </si>
  <si>
    <t>DESTAK / (048) 2102-5242E-mail para nota fiscal: , E-mail de cobrança: , Telefone para contato</t>
  </si>
  <si>
    <t>wUgDLD.2QjicIU7AD2S29Q</t>
  </si>
  <si>
    <t>17521</t>
  </si>
  <si>
    <t>8F00250104150010</t>
  </si>
  <si>
    <t>Pedido gerado através do PedidoEletronico.com -
Transportadora / telefone: FITLOG / (011) 2212-5862
Obs.Interna: valor da maquina 14.400,00 despachar com urgencia, trata se de academia , precisamos entregar esta maquina ate sexta feira  / E-mail para nota fiscal: , E-mail de cobrança: , Telefone para contato</t>
  </si>
  <si>
    <t>mRhjMeyqQcqcautFykXTAw</t>
  </si>
  <si>
    <t>17522</t>
  </si>
  <si>
    <t>8F00250102050038</t>
  </si>
  <si>
    <t>6lKW.oWqQ3WxzDJS0tG5NA</t>
  </si>
  <si>
    <t>17523-A</t>
  </si>
  <si>
    <t>8E00241225030004</t>
  </si>
  <si>
    <t>PzsjUXgCS.uYI-uuERrtSQ</t>
  </si>
  <si>
    <t>17523-B</t>
  </si>
  <si>
    <t>8F00241225060015</t>
  </si>
  <si>
    <t>mXUEYk5fqkhY2ySXTGSn</t>
  </si>
  <si>
    <t>17523-C</t>
  </si>
  <si>
    <t>8F00250102050040</t>
  </si>
  <si>
    <t>bM169h5Vp73kRkUmLgOt</t>
  </si>
  <si>
    <t>17523-D</t>
  </si>
  <si>
    <t>8F00250102050035</t>
  </si>
  <si>
    <t>SypxAiWYmEsNPlV32Yql</t>
  </si>
  <si>
    <t>17524</t>
  </si>
  <si>
    <t>8F00250102050031</t>
  </si>
  <si>
    <t>4grV2.HWQbWIm0lxTKGnFQ</t>
  </si>
  <si>
    <t>17525</t>
  </si>
  <si>
    <t>8F00250104150009</t>
  </si>
  <si>
    <t>Pedido gerado através do PedidoEletronico.com -
Transportadora / telefone: FITLOG TRANSPORTES E LOGISTICA LTDA / (048) 996277956
Informação Adicional: CLIENTE: CLAUDIO DA SILVA / E-mail para nota fiscal: , E-mail de cobrança: , Telefone para contato</t>
  </si>
  <si>
    <t>boLVRcayRIq4Cfo9Je1xhQ</t>
  </si>
  <si>
    <t>17526</t>
  </si>
  <si>
    <t>8E00250104050008</t>
  </si>
  <si>
    <t>Pedido gerado através do PedidoEletronico.com -
Transportadora / telefone: FITLOG TRANSPORTES E LOGISTICA LTDA / (048) 996277956
Informação Adicional: CLIENTE: MARCELO SILVA OLIN / E-mail para nota fiscal: , E-mail de cobrança: , Telefone para contato</t>
  </si>
  <si>
    <t>2RY2sojqRia9-BM6cQQObA</t>
  </si>
  <si>
    <t>17527</t>
  </si>
  <si>
    <t>8E00241118030013</t>
  </si>
  <si>
    <t>FITLOG TRANSPORTES E LOGISTICA LTDA / (048) 996277956Informação Adicional: Para Pagamento Antecipado R$ 6.334,00
REDESPACHO FOB  CNPJ 24.882.886/0002-93 - RADLOG TRANSPORTES LTDA Rua UMBUZEIRO, 123 - Cep 07.224-010 - BAIRRO CIDADE INDUSTRIAL SATELITE DE SAO PAULO - GUARULHOS - SP I.E. 796.514.930.111 / E-mail para nota fiscal: , E-mail de cobrança: , Telefone para contato
REDESPACHO FOB  CNPJ 24.882.886/0002-93 - RADLOG TRANSPORTES LTDA Rua UMBUZEIRO, 123 - Cep 07.224-010 - BAIRRO CIDADE INDUSTRIAL SATELITE DE SAO PAULO - GUARULHOS - SP I.E. 796.514.930.111</t>
  </si>
  <si>
    <t>jYSA9HmnR0yQN2.aYncl5w</t>
  </si>
  <si>
    <t>17528-A</t>
  </si>
  <si>
    <t>8F00241118040008</t>
  </si>
  <si>
    <t>Pedido gerado através do PedidoEletronico.com -
Transportadora / telefone: FITLOG TRANSPORTES E LOGISTICA LTDA / (048) 996277956
Informação Adicional: Desconto Abril (10%+3%) / E-mail para nota fiscal: , E-mail de cobrança: , Telefone para contato</t>
  </si>
  <si>
    <t>cIG11WkjT6-1yEy4ut-pAQ</t>
  </si>
  <si>
    <t>17528-B</t>
  </si>
  <si>
    <t>8F00250102050037</t>
  </si>
  <si>
    <t>mFSfgJURpENDyNWHQAL3</t>
  </si>
  <si>
    <t>17529-A</t>
  </si>
  <si>
    <t>8E00241118030042</t>
  </si>
  <si>
    <t xml:space="preserve">&lt;HTML&gt;
&lt;HEAD&gt;
&lt;TITLE&gt;Moved Temporarily&lt;/TITLE&gt;
&lt;/HEAD&gt;
&lt;BODY BGCOLOR="#FFFFFF" TEXT="#000000"&gt;
&lt;!-- GSE Default Error --&gt;
&lt;H1&gt;Moved Temporarily&lt;/H1&gt;
The document has moved &lt;A HREF="https://script.googleusercontent.com/macros/echo?user_content_key=AehSKLiPvv4xRiWFtLUmRUFSy-C6IdEA5Ty04YKjk0wZc9Xh094C2lpx3wfLh-fNpxZAYquQ4XuHA88KhY1YpaZMilxe1NSYD0rgw3ERdUv1-JCP5iKcx4aJWfZ9MBAQWv4pI-xw9AeCpoU0MgR95WYqRyfYXG5cknNpyag4vrTzrAgWBDuUcFV2-wtiR7C2xhS01VjyufIwHCb0mkqkaJf-TF3LNJMDS0NXOpODgoYc3qmbU5Itd3pu32klL5LuleHHqAoObmlbtV5l3ZML8l_khvrx57coFgvbqDzENTnRAHC5FQTJnnjjXuVKhUX86A&amp;amp;lib=M-zdWbhavtdZ1B_W2dnFDM0qoVt4lWzJ-"&gt;here&lt;/A&gt;.
&lt;/BODY&gt;
&lt;/HTML&gt;
</t>
  </si>
  <si>
    <t>Ojsg2A16nlJpAXL0lQya</t>
  </si>
  <si>
    <t>17529-B</t>
  </si>
  <si>
    <t>8E00250104050004</t>
  </si>
  <si>
    <t xml:space="preserve">&lt;HTML&gt;
&lt;HEAD&gt;
&lt;TITLE&gt;Moved Temporarily&lt;/TITLE&gt;
&lt;/HEAD&gt;
&lt;BODY BGCOLOR="#FFFFFF" TEXT="#000000"&gt;
&lt;!-- GSE Default Error --&gt;
&lt;H1&gt;Moved Temporarily&lt;/H1&gt;
The document has moved &lt;A HREF="https://script.googleusercontent.com/macros/echo?user_content_key=AehSKLifWB-pa9tRprdDzrpKoA9htU5Vhot1uq6EezQDpJH4d7jOHcOoXHXladcC3pRsWcD7OhhbK5u-zeHyYvFxATNNSmRXFnthDST4etXhRcbI8nL8byGPLxO5Zd1Ozk1ksew3ox2NXnFnlalwWO8E7AYAOth1k3pUjtazV_eJHLF8sl0a6reUz0w2v4g2eJtdkX5ibUTRq8lX_XIxn8DUovUM4w1cnTuJNgbRx8GHNHUKBB1QPw2ahTPavgZgm3WNhtR5hTAs3Ri72tdkvzR1CLyhA0IXUCs618pk6PNt1C-9nd5HF5_rUwdxZA9PLw&amp;amp;lib=M-zdWbhavtdZ1B_W2dnFDM0qoVt4lWzJ-"&gt;here&lt;/A&gt;.
&lt;/BODY&gt;
&lt;/HTML&gt;
</t>
  </si>
  <si>
    <t>73W7OjhjHPAyVmCQ1CYo</t>
  </si>
  <si>
    <t>17529-C</t>
  </si>
  <si>
    <t>8E00250104050001</t>
  </si>
  <si>
    <t xml:space="preserve">&lt;HTML&gt;
&lt;HEAD&gt;
&lt;TITLE&gt;Moved Temporarily&lt;/TITLE&gt;
&lt;/HEAD&gt;
&lt;BODY BGCOLOR="#FFFFFF" TEXT="#000000"&gt;
&lt;!-- GSE Default Error --&gt;
&lt;H1&gt;Moved Temporarily&lt;/H1&gt;
The document has moved &lt;A HREF="https://script.googleusercontent.com/macros/echo?user_content_key=AehSKLg8ab6A--GnGgTkXhkrWQW_Xsz1iBHXgzbPVIuyulEw-bGgDPKxa1W8AWNSUIj29WDotx3o6XWfZ5gkySK1egB6Q5aXChaQVC8vLuvXfHsCghzPdWTAlFlV7LvbMtppKiRIkG0f5Yj4ViCyDjJGN3A81PM35TCwp_WIdN3nTnEyBSi-DXgEdKEdxmTvqjBIDieXzDICK-xg71fFRlu0JZD41B8dyi8G8J0XS4MIMW9BtR5pwntlR8cIIj4fYT3zViNkn64h7PL1BE0lsr_EAJ1lyI35UGy08deu_DJ7gsw40ljdR6t3--8ExgoaPA&amp;amp;lib=M-zdWbhavtdZ1B_W2dnFDM0qoVt4lWzJ-"&gt;here&lt;/A&gt;.
&lt;/BODY&gt;
&lt;/HTML&gt;
</t>
  </si>
  <si>
    <t>G7MN6jTRSuyQhAAVGiNH4w</t>
  </si>
  <si>
    <t>17529-D</t>
  </si>
  <si>
    <t>8F00241118040022</t>
  </si>
  <si>
    <t xml:space="preserve">&lt;HTML&gt;
&lt;HEAD&gt;
&lt;TITLE&gt;Moved Temporarily&lt;/TITLE&gt;
&lt;/HEAD&gt;
&lt;BODY BGCOLOR="#FFFFFF" TEXT="#000000"&gt;
&lt;!-- GSE Default Error --&gt;
&lt;H1&gt;Moved Temporarily&lt;/H1&gt;
The document has moved &lt;A HREF="https://script.googleusercontent.com/macros/echo?user_content_key=AehSKLiPc4XwqoKEgMk8vpHYLSCXj_4zzdL2QBVMjYsxVc4tKmslVOnDgEiZUeWiAP-VWfEgGG6jma9ogjIudyjZf7J6bcL3EIulg9wehDYObqDrwVvjfrirZdtSdDqkoGxqHe3qefrIizW1KY2nDSo16fEY2q91Fsh2kk2faUaPWHcLx7ElVnVE-FMTd4mmBoaWxMh5HNyCZgj_00cdLLO1XedvG1uxj_reCzEOe4MZ1LkSGh7V2F-lXEDkWUCoM5SLZOi5Rsdmze33eovWp6G8yCv21v4xp9Qwp6cvK6OAappKlLtyKcVhp7HQItWTQQ&amp;amp;lib=M-zdWbhavtdZ1B_W2dnFDM0qoVt4lWzJ-"&gt;here&lt;/A&gt;.
&lt;/BODY&gt;
&lt;/HTML&gt;
</t>
  </si>
  <si>
    <t>w0iOgGPawxg518Kae35E</t>
  </si>
  <si>
    <t>17529-E</t>
  </si>
  <si>
    <t>8F00241118040016</t>
  </si>
  <si>
    <t xml:space="preserve">&lt;HTML&gt;
&lt;HEAD&gt;
&lt;TITLE&gt;Moved Temporarily&lt;/TITLE&gt;
&lt;/HEAD&gt;
&lt;BODY BGCOLOR="#FFFFFF" TEXT="#000000"&gt;
&lt;!-- GSE Default Error --&gt;
&lt;H1&gt;Moved Temporarily&lt;/H1&gt;
The document has moved &lt;A HREF="https://script.googleusercontent.com/macros/echo?user_content_key=AehSKLgh4k8jDcOBP39iJU1OftLyAbe4Mv9Jo_FXyobiaqCxD2rpBmZ1Y1L1ImmesefaSe6DCoxJk1BLChGqf6eD5nuuzavhPwOUBNlSKNgMY01J99_aaZQ600c1b5WhXdIj9nJnfHfVxWKkllL2K2NCMWVuVZBpwn5tzoEIDM9aySn_vAW4qmnxhx2sfruc2WBYQDhwkfrUszk5b6hLwRCFRyjlETHpmPLjiPPoR_pEDOHqqk6mRRKuAKI7tVK66LkhjnXKvaetAIDGWMWQ4T1-IBf7JPEqB_u99A6JSlkG44HEl15NbZH9GaDw5m1bOQ&amp;amp;lib=M-zdWbhavtdZ1B_W2dnFDM0qoVt4lWzJ-"&gt;here&lt;/A&gt;.
&lt;/BODY&gt;
&lt;/HTML&gt;
</t>
  </si>
  <si>
    <t>h2leEj7BvtNB02KDfshy</t>
  </si>
  <si>
    <t>17529-F</t>
  </si>
  <si>
    <t>8F00250102050020</t>
  </si>
  <si>
    <t xml:space="preserve">&lt;HTML&gt;
&lt;HEAD&gt;
&lt;TITLE&gt;Moved Temporarily&lt;/TITLE&gt;
&lt;/HEAD&gt;
&lt;BODY BGCOLOR="#FFFFFF" TEXT="#000000"&gt;
&lt;!-- GSE Default Error --&gt;
&lt;H1&gt;Moved Temporarily&lt;/H1&gt;
The document has moved &lt;A HREF="https://script.googleusercontent.com/macros/echo?user_content_key=AehSKLhbbH6Ng0na42eyY1TRK1kcRuK-51yrWGCnb-AqvCNPP9-7UM40M2dwaUTLTWtXm8SYn6VEzU5nGgEElrw5-xb3MA9EvnzR9Hz5DOdWZ-tcUKQjpqAIkSKVhJVx01Dm8QSxyX1sx6lZIj8wp_43ZoWVjpFUhEBg6RpZPDScPeQ_Lu30N_CxjjwzkmFL6G_4Y_0Ep7jPnkQjVhJB4dQ2BTYwnn6aTe1vvwa3FlUwMiGA_LY_JP_J7uPcE4gyLwSOzvaew9VAxKfBf_MDxntc5UTQc983Ep4Tl0847VzFCwsmoZ_385ZICVj_7uq7og&amp;amp;lib=M-zdWbhavtdZ1B_W2dnFDM0qoVt4lWzJ-"&gt;here&lt;/A&gt;.
&lt;/BODY&gt;
&lt;/HTML&gt;
</t>
  </si>
  <si>
    <t>CTmdfKHtmbazjWahGqpy</t>
  </si>
  <si>
    <t>17529-G</t>
  </si>
  <si>
    <t>8F00250102050036</t>
  </si>
  <si>
    <t xml:space="preserve">&lt;HTML&gt;
&lt;HEAD&gt;
&lt;TITLE&gt;Moved Temporarily&lt;/TITLE&gt;
&lt;/HEAD&gt;
&lt;BODY BGCOLOR="#FFFFFF" TEXT="#000000"&gt;
&lt;!-- GSE Default Error --&gt;
&lt;H1&gt;Moved Temporarily&lt;/H1&gt;
The document has moved &lt;A HREF="https://script.googleusercontent.com/macros/echo?user_content_key=AehSKLh18-dibWb5ZlS53JCNLXEGSxTNm-BL9Fg9WMZE0n5gWDe7w4li4ah2SKmPbKr4Z0uGzs9TDAvUOp0DqERFrAzGPD1X12nYqhCjYrwOvVfk80URvUNJVWm-VEinRGO72MfEB5hSDi7QZSg52_ncPgq7RXSz-3nA2yZl803dQki-75ca0tYVXuriVzU8QZ1ZvB_4Hfa2tO4e1ZdEq_387Wrwq6HxfMZDMX00ODb2h9toxIGl0hlubJHm5bWbqvX_9530BM6JcFHMezGn0QQfi9x0c-yYZu_QRNzQOSgqq79qNBgvqi1QuPV_IrUUNQ&amp;amp;lib=M-zdWbhavtdZ1B_W2dnFDM0qoVt4lWzJ-"&gt;here&lt;/A&gt;.
&lt;/BODY&gt;
&lt;/HTML&gt;
</t>
  </si>
  <si>
    <t>5qADHh07C0T3uH3QD2F9</t>
  </si>
  <si>
    <t>17534-A</t>
  </si>
  <si>
    <t>PEDIDO 17602 - A - 14102-8F00250102140020</t>
  </si>
  <si>
    <t>K2RTqx0uTN-acvgwQWiOFw</t>
  </si>
  <si>
    <t>17534-B</t>
  </si>
  <si>
    <t>PEDIDO 17602 - B 14025</t>
  </si>
  <si>
    <t>vsFydUA2YAUDZHbIgXQe</t>
  </si>
  <si>
    <t>17535</t>
  </si>
  <si>
    <t>8F00250102140017</t>
  </si>
  <si>
    <t>CLIENTE: MARCELO</t>
  </si>
  <si>
    <t>8PEgBWD6SNeZlxQlSooG8A</t>
  </si>
  <si>
    <t>17536-A</t>
  </si>
  <si>
    <t>DOMINIO COMERCIO DE EQUIPAMENTOS LTDA</t>
  </si>
  <si>
    <t>8F00250104150008</t>
  </si>
  <si>
    <t>PREQUIP</t>
  </si>
  <si>
    <t>BCJ1696 - RETIRA - JONATAS BRUNO DA SILVA CASTRO - 05925101901 - VW / 17190 CRM 4X2 / BRANCA / 2019</t>
  </si>
  <si>
    <t>38WEywLITgOKmZtZHVBqog</t>
  </si>
  <si>
    <t>17536-B</t>
  </si>
  <si>
    <t>8F00250104150007</t>
  </si>
  <si>
    <t>FR7qrPVYYOVu1b5hIxwm</t>
  </si>
  <si>
    <t>17541</t>
  </si>
  <si>
    <t>Em Piscinas Ltda</t>
  </si>
  <si>
    <t>8F00241118050055</t>
  </si>
  <si>
    <t>ENDEREÇO DE ENTREGA: RUA LIBIA,533 PINEVILLE-PINHAIS - CEP: 83.320-020 BOLHA AZUL - FOB
CLIENTE RETIRA / (0) Informação Adicional: +10% da promoção, maquina que era do DHC SOlar((31210001000017) / Obs.Interna: +10% da promoção, maquina que era do DHC SOLAR(31210001000017) / E-mail para nota fiscal: , E-mail de cobrança: , Telefone para contato</t>
  </si>
  <si>
    <t>lvbpN5JJRx2UeCM-BDZbjw</t>
  </si>
  <si>
    <t>17542</t>
  </si>
  <si>
    <t>ELETROTECH MANUTENCAO E INSTALACAO</t>
  </si>
  <si>
    <t>20007</t>
  </si>
  <si>
    <t>FT25B35W</t>
  </si>
  <si>
    <t>FITLOG TRANSPORTES E LOGISTICA LTDA / (011) 2212-5862
Obs.Interna: FAVOR COTAR O FRETE E INCLUIR NA NOTA FISCAL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</si>
  <si>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0eCSA54pYeLMf_KhtS5s1HMxLTO08YjKT3vyTa21lAQagIyZRDaYH9ssz9ZMZSDKPDka1izHl3OA-Ct6YMQhn1tiAqBimRcB3fCzDXDrJ6h6b5ejB29HqS-E6wZIlwzsieKVDw25TNzSUmkCTJw6dbX37ProCBoI8SejjJ2d1SW5Ge_3rjl4HZGM5k3Ufz1zNCN5p-4FC47ny3I-Zn_J_5SOQivGV1fW2SMmIolhBidTRSmg3DtD6tIYH-lxVClFgYgMMU5LiB4Q6g4Twcz7kpgk3yrDqO8T1eVIf0PhYdRL0roqFq-gq7AvWZA&amp;amp;lib=M-zdWbhavtdZ1B_W2dnFDM0qoVt4lWzJ-"&gt;here&lt;/A&gt;.
&lt;/BODY&gt;
&lt;/HTML&gt;
</t>
  </si>
  <si>
    <t>aCpEC8zlR0SV9BuORRHtlg</t>
  </si>
  <si>
    <t>17543-A</t>
  </si>
  <si>
    <t>8F00241225060007</t>
  </si>
  <si>
    <t>FITLOG TRANSPORTES E LOGISTICA LTDA / (048) 996277956
Informação Adicional: CONSIDERAR VALOR FTI45 R$ 7.490,00 E DA FTI75 R$ 8.916,00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</si>
  <si>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TGuyuSmEJEjcc3genfb6exZdLv1PDKep0cYjTUpPUxQeQ2RWwo18HLsAF7Am2WUPtHdZOXzcDDrGqMpFoilS-FY_grWelcm9KcNgy2ABREx1YAu_0-FK9Dy6IP1uoOyIuX4D-VJ2QeyURFWol4gIrLVemPhSNqgqzrpo0sBOVg_5LscLI4X3wT09R4DxS_nxC7l2d4z6REWeHS2a_m_U_wbDasQ8botU-79XvE93OmE8GZpHfPj_ycL_-4P-ee-yYyB42FbLndIDi2tz7XVdVh5Yj6WJ8QFJeKOj2wQ7FiBaUSRr01UPbhz3wYg&amp;amp;lib=M-zdWbhavtdZ1B_W2dnFDM0qoVt4lWzJ-"&gt;here&lt;/A&gt;.
&lt;/BODY&gt;
&lt;/HTML&gt;
</t>
  </si>
  <si>
    <t>m7RCilL7QeCdco8zp-c6.A</t>
  </si>
  <si>
    <t>17543-B</t>
  </si>
  <si>
    <t>8F00250102050022</t>
  </si>
  <si>
    <t xml:space="preserve">&lt;HTML&gt;
&lt;HEAD&gt;
&lt;TITLE&gt;Moved Temporarily&lt;/TITLE&gt;
&lt;/HEAD&gt;
&lt;BODY BGCOLOR="#FFFFFF" TEXT="#000000"&gt;
&lt;!-- GSE Default Error --&gt;
&lt;H1&gt;Moved Temporarily&lt;/H1&gt;
The document has moved &lt;A HREF="https://script.googleusercontent.com/macros/echo?user_content_key=AehSKLgQ9tvsNaqlNZrXe2Rqz14XlJIclDjvk6o40yyK8oAGHqMtJd0Chs9ldXxH-Oat9_pq1rNRlLHd1c1EVDngmJWfGNfEg_yeIbzSrFjV8lNnC3T-IgjVYXavFyoh3LPq5L0jCxZQ9sfxGsXlyWAeAeInNz35oLB8SCP5af9uWcT6qniAaBihfeFB9u0oHIz9eNU_7BVv-atI-wUCOHq7y_9I67RG6SVfApVyP9pyVfz1QJ_F95hEHEbI-R6ls056RBJ1KeT1ZznBjpQGp6HABPQuYqy5Ua2QhPcHoWIOEIZtt7H8tqH7YSM3vYdMPw&amp;amp;lib=M-zdWbhavtdZ1B_W2dnFDM0qoVt4lWzJ-"&gt;here&lt;/A&gt;.
&lt;/BODY&gt;
&lt;/HTML&gt;
</t>
  </si>
  <si>
    <t>Dqvcqx5mGCr6dZV4sRyN</t>
  </si>
  <si>
    <t>17544</t>
  </si>
  <si>
    <t>8F00241225070016</t>
  </si>
  <si>
    <t>FITLOG TRANSPORTES E LOGISTICA LTDA / (048) 996277956
Obs.Interna: valor da maquina 9.239,00 promo abril , Kubtiza liberou.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</si>
  <si>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7ZcbVXiFf0ahjjnTZ_e79TYTfBSuc-6pymxwxZTsOs5zAHiSOgc6Mf72oWgbsOInJC5SF8S4pBZ98hzcnjEHWUI39mjQc_2X_ndPqNwq3_oBQ_Kxk7iAzMOWZSj-BcZLiJMZzTG1gZhvOoJ9PFjVv2CahPB20ZS-COKXUVd5HHF__kQpqgzczZUvqaZ3HrBrYEE141F4BuFGOrNBT7N9hbjWtMTPph_1DslPBs-QqXAVIm5raqlMiN8z3_0XI8R3l9vx5CD03VlmK3kzGCsQqsEmxlX01RhQzhBGRCDfVbIn0N9vJqtS2Z8Mu6A&amp;amp;lib=M-zdWbhavtdZ1B_W2dnFDM0qoVt4lWzJ-"&gt;here&lt;/A&gt;.
&lt;/BODY&gt;
&lt;/HTML&gt;
</t>
  </si>
  <si>
    <t>iHKqxYW1RIyYGg-iASbwrQ</t>
  </si>
  <si>
    <t>C17545-A</t>
  </si>
  <si>
    <t>CANCELADO</t>
  </si>
  <si>
    <t>FITLOG TRANSPORTES E LOGISTICA LTDA / (048) 996277956Informação Adicional: OC  / ENTREGA REMESSA FUTURA PARA JULHO ASSIM QUE TIVER CONTROLADOR WIFI DISPONIVEL / E-mail para nota fiscal: , E-mail de cobrança: , Telefone para contato</t>
  </si>
  <si>
    <t>jUMDIW27Q4iIL.dm5rOt2g</t>
  </si>
  <si>
    <t>C17545-B</t>
  </si>
  <si>
    <t>JhLjVrHvox8WFsqRymis</t>
  </si>
  <si>
    <t>C17546-A</t>
  </si>
  <si>
    <t>FITLOG TRANSPORTES E LOGISTICA LTDA / (048) 996277956Obs.Interna: Entrega remessa futura para final de 2025.  ligar antes de entregar . pgto 30 60 90 120 150 180  / E-mail para nota fiscal: , E-mail de cobrança: , Telefone para contato</t>
  </si>
  <si>
    <t>ZwAWoImxTeCtyIUInEbyFQ</t>
  </si>
  <si>
    <t>C17546-B</t>
  </si>
  <si>
    <t>gIjulZRmKVA0unBYdzJ7</t>
  </si>
  <si>
    <t>17547-A</t>
  </si>
  <si>
    <t>8E00241118030012</t>
  </si>
  <si>
    <t>FITLOG TRANSPORTES E LOGISTICA LTDA / (048) 996277956Informação Adicional: Pedido de Compra Nº 7466 - Boleto para 28 DD  / Obs.Interna: Mario- Eline 28 ds autorizado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</si>
  <si>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uOSFKoMZpwWABcbRnsNolDf5ntxpowpdsFEUBdbgJMSCJKgNoOxvdi0ZMtrvYVs_T7rPSIXwtsbJwNK1YyiZpaa6sXG1g-xr7Iu5S05h4lgR-jF_bSyLWh-qXQvCiUx7UQ7LCktczSMZVL3dPDtiv8ClN3R6_RVj7m_x9kEIgqTb8EuafOrLAXD-aXl0M7FtGTcurJQnD1mTbKc_o1FWRSfpqWFGCev5FW1ZGYl4ijBZpg_t-Xve_Qv7nrY_Mr1WXyvEIV5Fw4WyRArYBIM94Mj-N9aicUkfbLyCM_5Cyzn8atTqEw9qmn4L66Q&amp;amp;lib=M-zdWbhavtdZ1B_W2dnFDM0qoVt4lWzJ-"&gt;here&lt;/A&gt;.
&lt;/BODY&gt;
&lt;/HTML&gt;
</t>
  </si>
  <si>
    <t>YTF42nVFQNm.yJ6wi9ti3A</t>
  </si>
  <si>
    <t>17547-B</t>
  </si>
  <si>
    <t>8E00241118030011</t>
  </si>
  <si>
    <t xml:space="preserve">&lt;HTML&gt;
&lt;HEAD&gt;
&lt;TITLE&gt;Moved Temporarily&lt;/TITLE&gt;
&lt;/HEAD&gt;
&lt;BODY BGCOLOR="#FFFFFF" TEXT="#000000"&gt;
&lt;!-- GSE Default Error --&gt;
&lt;H1&gt;Moved Temporarily&lt;/H1&gt;
The document has moved &lt;A HREF="https://script.googleusercontent.com/macros/echo?user_content_key=AehSKLgbguO7hHugCfiywBE6uRJYVDpvpFhL4gwf3Ao-h43Q7O2PFZgOSfqoM_KgjFYWnpfKsmR7V00jX80G3TICB_9oco6-L9XJXE01k3VJq5hl8tAiLPoHO3IlEgY-E80kQlDcb3McXaEyksCpIwFgDvzRLF8MrNwg42PuNH80Wo1V3tGvPxwFzQuA-ThNn7YdqFZnR3h76IT6lISjvOhIQOmv54eMatCqGdy5UF0BVr2xkrH17s1EJBz50VPP8v0bv4z7l48LRuujJ0AQERrJOl9LTfWvILkEv1DFgj8YHYFCSbr_rBb_PaU72ly2XA&amp;amp;lib=M-zdWbhavtdZ1B_W2dnFDM0qoVt4lWzJ-"&gt;here&lt;/A&gt;.
&lt;/BODY&gt;
&lt;/HTML&gt;
</t>
  </si>
  <si>
    <t>HzG8XzH1tei8wg61YThh</t>
  </si>
  <si>
    <t>17547-C</t>
  </si>
  <si>
    <t>8F00250104100020</t>
  </si>
  <si>
    <t xml:space="preserve">&lt;HTML&gt;
&lt;HEAD&gt;
&lt;TITLE&gt;Moved Temporarily&lt;/TITLE&gt;
&lt;/HEAD&gt;
&lt;BODY BGCOLOR="#FFFFFF" TEXT="#000000"&gt;
&lt;!-- GSE Default Error --&gt;
&lt;H1&gt;Moved Temporarily&lt;/H1&gt;
The document has moved &lt;A HREF="https://script.googleusercontent.com/macros/echo?user_content_key=AehSKLgpFSb38fS3h1Uov7MMqdZp4787hTQxqDBowBVqAlH5QCkrOBEbSkbFh1hnnU7WsdFp26ut9toza18twYAYWoE4smo8aUEqUT8GVFKnM7x-BzLqdQAubKY5jGwu75xsOZmSN_2oDRWMZhixMRdeX13MNWfkzo6f3OgYDrTXl-u_uw896He2ghjVhd32GQEPvqGYVC_K08lrEcsnU5zbYLVgpw7vrenYSHiEFFOy0qN45eIx-76aPQwTikLKhWgHgLFBlOIAAsuIoMtNCKeLmHrgwN26Qm0wNnTmiCWdECSaQ8wy4QSrnxbvqWtsFQ&amp;amp;lib=M-zdWbhavtdZ1B_W2dnFDM0qoVt4lWzJ-"&gt;here&lt;/A&gt;.
&lt;/BODY&gt;
&lt;/HTML&gt;
</t>
  </si>
  <si>
    <t>9pYlcPtFukgPObReqAGZ</t>
  </si>
  <si>
    <t>17547-D</t>
  </si>
  <si>
    <t>8F00250102050024</t>
  </si>
  <si>
    <t xml:space="preserve">&lt;HTML&gt;
&lt;HEAD&gt;
&lt;TITLE&gt;Moved Temporarily&lt;/TITLE&gt;
&lt;/HEAD&gt;
&lt;BODY BGCOLOR="#FFFFFF" TEXT="#000000"&gt;
&lt;!-- GSE Default Error --&gt;
&lt;H1&gt;Moved Temporarily&lt;/H1&gt;
The document has moved &lt;A HREF="https://script.googleusercontent.com/macros/echo?user_content_key=AehSKLhOx4m8nyS33iIouCCYq2T5cEy9O0kw29tNdz94zCeKAr05EiITEYIq4oKFstW1Al2eKdvgWBwAtQLPrwYzaGNve5qJWXlgriSHZhf4L2FNEaWOK8Ngb7L_ppJsY75nrksnZLDTbmRZ86CeHfQrPPbN787TPazuXCHw3S3BS3tn0QzKMVNMsTNB093SokDCpUG7Lt7ikeJZExSc5g6gIeWmzIQOLZ_2NXE6YA7MReqRkycgoqiIdFqiu8eVcGa8s-yRz1zt2ReNk30acKyUe7YJS6Sa7mD81aEtTuuD9ksp7vwFzfECm3skAWuTMg&amp;amp;lib=M-zdWbhavtdZ1B_W2dnFDM0qoVt4lWzJ-"&gt;here&lt;/A&gt;.
&lt;/BODY&gt;
&lt;/HTML&gt;
</t>
  </si>
  <si>
    <t>Z5zMEX3tm23wko5PFsAd</t>
  </si>
  <si>
    <t>17547-E</t>
  </si>
  <si>
    <t>8F00250102050039</t>
  </si>
  <si>
    <t xml:space="preserve">&lt;HTML&gt;
&lt;HEAD&gt;
&lt;TITLE&gt;Moved Temporarily&lt;/TITLE&gt;
&lt;/HEAD&gt;
&lt;BODY BGCOLOR="#FFFFFF" TEXT="#000000"&gt;
&lt;!-- GSE Default Error --&gt;
&lt;H1&gt;Moved Temporarily&lt;/H1&gt;
The document has moved &lt;A HREF="https://script.googleusercontent.com/macros/echo?user_content_key=AehSKLh33q8d5YlnK1_QsbQANpdsrr6jkAZZHPA2KbFH3oBiVLSOOQwU39WIW5vJkTEGtRBOIhBEKllyUpcjCTmhRQDNstDjbpXMX824l2qeX831BlA24lX-hBH4arBSguNgzII-j1rBJMvA4XnrtyDRL-GPYiklPdq8E2UI_-SHcwZ58FX5JIT7K_DZEdM42_-aGAtd6YFuyqdSGQlz1VkmUc5d5C_kjocshZvqEukTyM5f5UZehRVJiiH2xgE19tR8LLiem5BuhLzKVKGvVMMc7RERlj4TSMr_f2SIEuHD1UgVLHpEu-ltx-JN8yJE1A&amp;amp;lib=M-zdWbhavtdZ1B_W2dnFDM0qoVt4lWzJ-"&gt;here&lt;/A&gt;.
&lt;/BODY&gt;
&lt;/HTML&gt;
</t>
  </si>
  <si>
    <t>lxC9aIJoBrd7ovhyC5S1</t>
  </si>
  <si>
    <t>17547-F</t>
  </si>
  <si>
    <t>8F00250102050032</t>
  </si>
  <si>
    <t xml:space="preserve">&lt;HTML&gt;
&lt;HEAD&gt;
&lt;TITLE&gt;Moved Temporarily&lt;/TITLE&gt;
&lt;/HEAD&gt;
&lt;BODY BGCOLOR="#FFFFFF" TEXT="#000000"&gt;
&lt;!-- GSE Default Error --&gt;
&lt;H1&gt;Moved Temporarily&lt;/H1&gt;
The document has moved &lt;A HREF="https://script.googleusercontent.com/macros/echo?user_content_key=AehSKLg_HSQ3kia-tvEQLEY-4J2Y_tTekPFbKsFBu_Ync-nAx_6fywgMgXnGBN4F5cSoVxH2yIwBXUA10705-Fv-RP-yK60wYJDkuZAybLr2NRLoLScNjDsEtr8TX9AlTF7w1hE7a_PDaSGHfrRE9rUt7J0-5FPDbgXF8VkeMRc33Tw8Viw9O_SqwXW4rEWLM1ZSufOpPQBLzD1SJQnG1TIfvqC4cJI0OGbby5w45CqPCev95Bjiblel8E31J_iG1mQj5C7wKopn9-N9rBHf9aUekuuykgcynRhihxYvCBppj_4RNUdz8LWO39VmFA5wcw&amp;amp;lib=M-zdWbhavtdZ1B_W2dnFDM0qoVt4lWzJ-"&gt;here&lt;/A&gt;.
&lt;/BODY&gt;
&lt;/HTML&gt;
</t>
  </si>
  <si>
    <t>gOfgExtg4qsH1LBt4FHD</t>
  </si>
  <si>
    <t>17548</t>
  </si>
  <si>
    <t>8F00250104150013</t>
  </si>
  <si>
    <t>FITLOG TRANSPORTES E LOGISTICA LTDA / (048) 996277956Informação Adicional: Cliente: WESLEY ANTUNES
Manter desconto de 10% referente a promoção do mês passado.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</si>
  <si>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63KCqzC444Nd57qh79uK0e05AVI6S30paVIK6Q9PmX6QCEfjHjN2WVIe8y9HKdDJm_OwHHXPCiHidg7lVmvJwqnvFFabT3B3doZ2UrLebeYnFXQ_8eVx7R-hbKOlMUbocdq93fLUvPvASTPf3CoggFEnMd3mvKUHlxOhIrX-ftGdA-qKPaPQxMDCje_4q3F0fSaqTZf5svSBXU0GVGYEPftJdL4ukZ3WkCQ29EHZaDYEvDxLo2VLvGGPukF01nVn8_kMaKbvC7l86-RnOwIPbsQKZa_6KjzP5E37jxh4B6PMTS0gl_tw8k3pVYw&amp;amp;lib=M-zdWbhavtdZ1B_W2dnFDM0qoVt4lWzJ-"&gt;here&lt;/A&gt;.
&lt;/BODY&gt;
&lt;/HTML&gt;
</t>
  </si>
  <si>
    <t>4duwrTJsRiqEA2poNHuHvg</t>
  </si>
  <si>
    <t>17549</t>
  </si>
  <si>
    <t>8E00241225030008</t>
  </si>
  <si>
    <t>EXP SAO MIGUEL / (0) Obs.Interna: Desconto 2% + 10% a vista / E-mail para nota fiscal: , E-mail de cobrança: , Telefone para contato</t>
  </si>
  <si>
    <t>tO3naxFjS4iNLEbaOAardA</t>
  </si>
  <si>
    <t>17550</t>
  </si>
  <si>
    <t>8E00241225030014</t>
  </si>
  <si>
    <t>FITLOG TRANSPORTES E LOGISTICA LTDA / (048) 996277956Informação Adicional: Frete CIF. Desconto promocional pagamento antecipado 10% valor R$ 6.763,00 / E-mail para nota fiscal: , E-mail de cobrança: , Telefone para contato
FRETE SEMPRE CIF SEM REDESPACHO</t>
  </si>
  <si>
    <t xml:space="preserve">&lt;HTML&gt;
&lt;HEAD&gt;
&lt;TITLE&gt;Moved Temporarily&lt;/TITLE&gt;
&lt;/HEAD&gt;
&lt;BODY BGCOLOR="#FFFFFF" TEXT="#000000"&gt;
&lt;!-- GSE Default Error --&gt;
&lt;H1&gt;Moved Temporarily&lt;/H1&gt;
The document has moved &lt;A HREF="https://script.googleusercontent.com/macros/echo?user_content_key=AehSKLi7EmOUfiEvPnhMX03Gp5lrk1X3ag6dALDt58DoqPHuM-LSFeJ2TssNk2CR72FEN4ovgpvT2rjBherUF3anKh0wQXiP-9MdNWOLGIikNwCnfVp3w98Ep_HBDEh8Aogz03KBe01uRJTbpFKYCw_kdM7k_aEkYwLaAGxdGf_c9ujVYBXBM611Qz7Vzmp7H7PkqHWpVMq-sH8wExwvWQAw04F-hJR3KulKMoImZ1LLwC2AVijuStvAEvCRMX68Cfd-0dCPjVLAGRRn1uajN7plvESZwY1hD69JtSUqWz_Z6J-6XDUj-EAp2D_yofQXNw&amp;amp;lib=M-zdWbhavtdZ1B_W2dnFDM0qoVt4lWzJ-"&gt;here&lt;/A&gt;.
&lt;/BODY&gt;
&lt;/HTML&gt;
</t>
  </si>
  <si>
    <t>ZdBO5mpXTEe9qgFMb5to9A</t>
  </si>
  <si>
    <t>17551</t>
  </si>
  <si>
    <t>8F00250102050027</t>
  </si>
  <si>
    <t>FITLOG TRANSPORTES E LOGISTICA LTDA / (048) 996277956Informação Adicional: Cliente: Roberto Carlos Guimarães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</si>
  <si>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jfHbKojHWV0r0EMsd4DkEkPp-vm_JTtOlaJN4dyhvnoe9ve9PXjmMBovArw40i4brf31HB0CvwEYr73FPxpxg6UI2PijBz6nTQ8dyBkrLysXnhSAeLe66EVemoaJUm7N1xoicVtEenSP-BXAeF6FpzM64MTMfsDrq-zqmyc073saKiWzO-CWLMaKtGjDAH7B70txbhIEAW9DrTB9Hy-Phv9FVqZnZKyoZLqCOG-s2KnnbgINGdP44CDtEX1pl-XcMXNENUTeOoBym5Kv_09Emu7syqe9HREVNwHLklvEes9doML_nJVoVysRiQA&amp;amp;lib=M-zdWbhavtdZ1B_W2dnFDM0qoVt4lWzJ-"&gt;here&lt;/A&gt;.
&lt;/BODY&gt;
&lt;/HTML&gt;
</t>
  </si>
  <si>
    <t>wht3OJiKSbedyOcL9txOtQ</t>
  </si>
  <si>
    <t>17552</t>
  </si>
  <si>
    <t>8F00240723280522</t>
  </si>
  <si>
    <t>FITLOG TRANSPORTES E LOGISTICA LTDA / (048) 996277956Informação Adicional: DESCONTO ABRIL (10% +3% DE DESCONTO) / E-mail para nota fiscal: , E-mail de cobrança: , Telefone para contato</t>
  </si>
  <si>
    <t>4fUNRtYOQcW6Col1BlsmUQ</t>
  </si>
  <si>
    <t>17555</t>
  </si>
  <si>
    <t>8E00250104050030</t>
  </si>
  <si>
    <t>EXP SAO MIGUEL / (0) Informação Adicional: +10% DE DESCONTO DA PROMOÇÃO / Obs.Interna: +10% DE DESCONTO DA PROMOÇÃO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</si>
  <si>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B5fLk3aHsadcugYgcn5xammwQtIzHXkWB0HyRD7bKunfzm1oaKcmTPRVJPJM9a6FYPY2HvPx3Z9410dNXojtjtfJKOepZ8ggcIisKIBbssyGJHWFhbz0cVYcmDm2e6Q93SjwJPf5AgSI8wkb85E9_Y8_VFrcYLRjXkp1ifkwDkxYwBTLGtXyZDG8-IWPlVzXe028NbwRjHNgr35dBiT0bqcQhZVQrzOIAVfU4VOE_kj5-z0Ep5EGSSO_5V2zYNZqo0FRfD9WNBeI3YDnfQqzRa2S-jYROYwQ506nTeKg2AjahtO074APRPy2SBA&amp;amp;lib=M-zdWbhavtdZ1B_W2dnFDM0qoVt4lWzJ-"&gt;here&lt;/A&gt;.
&lt;/BODY&gt;
&lt;/HTML&gt;
</t>
  </si>
  <si>
    <t>UpM96dsVSMuHHtscdQF8bQ</t>
  </si>
  <si>
    <t>17556</t>
  </si>
  <si>
    <t>8F00250102050021</t>
  </si>
  <si>
    <t xml:space="preserve">&lt;HTML&gt;
&lt;HEAD&gt;
&lt;TITLE&gt;Moved Temporarily&lt;/TITLE&gt;
&lt;/HEAD&gt;
&lt;BODY BGCOLOR="#FFFFFF" TEXT="#000000"&gt;
&lt;!-- GSE Default Error --&gt;
&lt;H1&gt;Moved Temporarily&lt;/H1&gt;
The document has moved &lt;A HREF="https://script.googleusercontent.com/macros/echo?user_content_key=AehSKLiJ4UD58Pxa6yCIAsIS86R0x8hc5SlISe3t2t41PZzLEb-BFiiwART_zhSplc1lv9PC80xvrZK86Hzbs_8gjD0eEaLPLWJvk1vwAFAswNxrN4Wn4Jr7BB50CG2U_Rlc3jOabkH3VKEwa1uiDehgg70BngzDZv8UqnZwcVU7M0tHeMj4gfnpOniNKr6ySgZ9RAWX8hbdfuyreEA2BcUuBT1urJDT52RrKTFG8SPuUqNW9L4gLwj-whNnBzdU6v_aeT1aOSTJatN350DZIkYXquZi9ECRrtVSV3UkDOKOMywatrUbh2wyB6LvuqintA&amp;amp;lib=M-zdWbhavtdZ1B_W2dnFDM0qoVt4lWzJ-"&gt;here&lt;/A&gt;.
&lt;/BODY&gt;
&lt;/HTML&gt;
</t>
  </si>
  <si>
    <t>nU2CFq0CQKeL8Y6iBpEjKA</t>
  </si>
  <si>
    <t>17557</t>
  </si>
  <si>
    <t>8F00241118040023</t>
  </si>
  <si>
    <t xml:space="preserve">&lt;HTML&gt;
&lt;HEAD&gt;
&lt;TITLE&gt;Moved Temporarily&lt;/TITLE&gt;
&lt;/HEAD&gt;
&lt;BODY BGCOLOR="#FFFFFF" TEXT="#000000"&gt;
&lt;!-- GSE Default Error --&gt;
&lt;H1&gt;Moved Temporarily&lt;/H1&gt;
The document has moved &lt;A HREF="https://script.googleusercontent.com/macros/echo?user_content_key=AehSKLgkdTN6dazM8h6Hg2Xn719dFwcUSugaDdok4maXSD_q3RRLOWF2vycHGnuzHfuZ1GcpXMZx3GLkUyrSCiYfAlAbHp_Prz67s_cdfLwMJP3IScmGtVinJzD-gT-PlfhdTY4jXZRGBjxkuz-lnzozBu6b0Gw1GUPiU5aIzYLhW7ETTgM-RBRvOQh7vuZffXv7XbmYvJUT5fM6ginVTZzJtL8teD5XexNGHl2sI0SsWHS_rpaaz3pYincN_1_OEu4diWEzGMZrFjH8q5duAZP00GcHhZdc3o3Sol1oDb0q1l7RM_DOwA0QXwvxxITZUg&amp;amp;lib=M-zdWbhavtdZ1B_W2dnFDM0qoVt4lWzJ-"&gt;here&lt;/A&gt;.
&lt;/BODY&gt;
&lt;/HTML&gt;
</t>
  </si>
  <si>
    <t>l30659RmT7-PZGvtrbtdiA</t>
  </si>
  <si>
    <t>17558</t>
  </si>
  <si>
    <t>8F00241225060005</t>
  </si>
  <si>
    <t>FITLOG TRANSPORTES E LOGISTICA LTDA / (048) 996277956Informação Adicional: Desconto à vista 5% mês de Maio.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</si>
  <si>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_UPPBxjZTsfKGFY6E-LIAeY2aOtoCzgFP8yjEzd5eQfoX2H9eX_n__d4Ulzrt8xS-3xw0D2X-_onhrcqsKJtp-OZ0-jT5BXakZgUq3G4ftDhARlWQYKQIvEhze-W4i--sS7s7HelOghtFJf2ZBMXtvLHVyIdRhA0Oynq7qejz9o1_YWsylIwoi19N-xSrjtbZQNVetuYzcjLbkgPDfzYqiUWFvxAWin3nqZ2rUpdnZd1PghPD0GjXK_tmdQ8QaCOVRCR3FyuYNcEmWNGMF5nxEBygrQNpS4JhDSPmF0mpDK3_BWu76srzVD810w&amp;amp;lib=M-zdWbhavtdZ1B_W2dnFDM0qoVt4lWzJ-"&gt;here&lt;/A&gt;.
&lt;/BODY&gt;
&lt;/HTML&gt;
</t>
  </si>
  <si>
    <t>mQQp3RToTOC.bL-2cZS9vw</t>
  </si>
  <si>
    <t>17559-A</t>
  </si>
  <si>
    <t>8E00241118030020</t>
  </si>
  <si>
    <t>FITLOG TRANSPORTES E LOGISTICA LTDA / (048) 996277956Informação Adicional: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</si>
  <si>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QnRWSlyglovpmr9cGB7o7q2YZr-_larf42GInMuvQUXrmJx6rlR6bWOHm5w-P0kMWOvI6sqELOgqJ4Tn7_Kte3_igG55v6GIvdsnvvuyZIqNzDTns9-DuApzWId-mJ9wTQVlTkdYWUK4xbCgagqt5DEK_dPQdj7pcW48fQmP8DAb9GmxpuJ_a1EgztI1t5CQGnpb9DWLhZTHkoHw41FSZR_V2UUP_kVM5iyh47LFDbX7h71oLafBDvYqT3AgZpI5PyD782v3f6QFzFaUVAQdKmFbd641NjJ-yNA0VLvL6JEhf1vCyy5ikb6AJxA&amp;amp;lib=M-zdWbhavtdZ1B_W2dnFDM0qoVt4lWzJ-"&gt;here&lt;/A&gt;.
&lt;/BODY&gt;
&lt;/HTML&gt;
</t>
  </si>
  <si>
    <t>h8d4ke1SRsm2yuJA3a7SrQ</t>
  </si>
  <si>
    <t>17559-B</t>
  </si>
  <si>
    <t>8E00241118030021</t>
  </si>
  <si>
    <t xml:space="preserve">&lt;HTML&gt;
&lt;HEAD&gt;
&lt;TITLE&gt;Moved Temporarily&lt;/TITLE&gt;
&lt;/HEAD&gt;
&lt;BODY BGCOLOR="#FFFFFF" TEXT="#000000"&gt;
&lt;!-- GSE Default Error --&gt;
&lt;H1&gt;Moved Temporarily&lt;/H1&gt;
The document has moved &lt;A HREF="https://script.googleusercontent.com/macros/echo?user_content_key=AehSKLiJ8zHXZEEzN2aj_2yd0DREjnUOHt2segbVcCwnbi2falHC-GeMkU7J_iHE_i-HT9Iw6XB-EiMwuRAyVzvT84cbA1Hiw2e9_6LrQ6ghyrBSy9yekegfDzTKual5_1NLTcugEtRbkpJnZPbptAZyQW3hdZSujQAEnwQUjrGhMhRN2omGt-iQ5S7Jrd6AaeQ2mN_5Zcgza9vERtQRYxvGsmQRkUuR7Vtf8gBz7kW0ynQlqsYbtLLyJhaPgJKzmudVgKuekIS3ucdl6PE0pn7cGmDz6yv0ovxa-Ezixitekcza7LW4Su6YRe8-P7ZhJg&amp;amp;lib=M-zdWbhavtdZ1B_W2dnFDM0qoVt4lWzJ-"&gt;here&lt;/A&gt;.
&lt;/BODY&gt;
&lt;/HTML&gt;
</t>
  </si>
  <si>
    <t>uSwSX4DJeeGz7YWO6Vsf</t>
  </si>
  <si>
    <t>17559-C</t>
  </si>
  <si>
    <t>8F00250102140021</t>
  </si>
  <si>
    <t xml:space="preserve">&lt;HTML&gt;
&lt;HEAD&gt;
&lt;TITLE&gt;Moved Temporarily&lt;/TITLE&gt;
&lt;/HEAD&gt;
&lt;BODY BGCOLOR="#FFFFFF" TEXT="#000000"&gt;
&lt;!-- GSE Default Error --&gt;
&lt;H1&gt;Moved Temporarily&lt;/H1&gt;
The document has moved &lt;A HREF="https://script.googleusercontent.com/macros/echo?user_content_key=AehSKLg2MPr2Ht8slcuA9EtJRWhkwkkbaS62Q24kqA5DnJtJPALYzJvbHQj7YWbjJ6d9FCB0PJThgCh9hdma97DjXgB2JTepl6X2N4wx3q5ThcnQWqMGlNQKsf0TP_Hk34A9z5_9vAqdLLUhzoSCZDFtY-2qmKL82ExwcnCretopw3K3Lew4Pb8Wc_FzoCyMBo0Sss462UlCY06Kg-BP92h85AWpLj4l0aBLinArD7_MhzYQavGiCTHIc4gXEvi8dBenOeA22pzJttD-wBK2UxBFIrbk1k7aAfiJqAWq6jG0VuUH1ofZjCTvU2a-4cQHPg&amp;amp;lib=M-zdWbhavtdZ1B_W2dnFDM0qoVt4lWzJ-"&gt;here&lt;/A&gt;.
&lt;/BODY&gt;
&lt;/HTML&gt;
</t>
  </si>
  <si>
    <t>EqkgDeYsnpfing8wUW4d</t>
  </si>
  <si>
    <t>17560</t>
  </si>
  <si>
    <t>9866</t>
  </si>
  <si>
    <t>FITLOG TRANSPORTES E LOGISTICA LTDA / (048) 996277956Informação Adicional: OC 655 cliente Margareth Coelho de Figueiredo . Ligar antes de entregar 21 9 9512 4022 Jorge / Obs.Interna: valor da maquina 12.363,88 QUADRO DESLOCADO SOBREPOR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</si>
  <si>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NuCHthaLGWswSHOXbYuHbMSPXQcRZel731JNC35zcg1IUuvt5a6YQGq6pIOIPCMlhDD42ULt9rrMqNgfeR82iZ0aSMednO9RsyFeKcYwdHSvHAcLXvBkBHKY2hlJ2aISDlyeTep0yf9BB99AAgzh6oJ08WdVt9_6FsbhxTP3apsCKC8vy4k2lwOUCU0raLwyVv9SUztxfbe7nHgbXC3Y3RJtLnO1TuyrrjkDGMOAM8ODXCWfZKBmmATqLlRJwEP5tCXGnEi7iHmQ3KiVfJ6OwHUgcFplIIan7xfu0HLY_drefJWhRzh2P1bZ3Iw&amp;amp;lib=M-zdWbhavtdZ1B_W2dnFDM0qoVt4lWzJ-"&gt;here&lt;/A&gt;.
&lt;/BODY&gt;
&lt;/HTML&gt;
</t>
  </si>
  <si>
    <t>khcaxgpSRqOkz-cXQjZQQQ</t>
  </si>
  <si>
    <t>17561</t>
  </si>
  <si>
    <t>8F00250110320006</t>
  </si>
  <si>
    <t>FITLOG TRANSPORTES E LOGISTICA LTDA / (048) 996277956Informação Adicional: PEDIDO FEITO PELO YAN VIA WHATS
Aplicar desconto promocional de 10% à vista com boleto para 28 DD / Obs.Interna: COMPLEMENTO AO PEDIDO 17547 - MESMO DIA DO BOLETO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</si>
  <si>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owJdHmJiEswKuWXmFevdf8aTeJw_v80h3lgeBM8UKJuorWHopOO0b8J4q7O_N9r_VRkyh66T3_paEeynNGewwFMplDuist48EOOQsrEb_a1dtuwh-gP2QzPsP8nmHC70yEc9WrNmnxL6Qx82I1VxAsU5bAv67_K1FBKWPVF82BobZTi4XHM-hZ-W_0_O6-B4QekK2sZ9asYjxTcTS0n0_oww2d4Dpy5ZEgnRff9y4on-XGiju1XCVrXcp68GId9Ui15nJombcjXZqU2h38G95oI9q-0-QNVhl46Rv5UsJvWJzv__BbQB-nQ-JGA&amp;amp;lib=M-zdWbhavtdZ1B_W2dnFDM0qoVt4lWzJ-"&gt;here&lt;/A&gt;.
&lt;/BODY&gt;
&lt;/HTML&gt;
</t>
  </si>
  <si>
    <t>7gY8q0OCRZijMfOnBzvNDg</t>
  </si>
  <si>
    <t>17563-A</t>
  </si>
  <si>
    <t>CONDOMINIO VILLA DO ARVOREDO</t>
  </si>
  <si>
    <t>8F00241005200011</t>
  </si>
  <si>
    <t>RETIRADA NA FABRICA / (0) Informação Adicional: VENDA REALIZADA PELA EMPRESA NEOENERGY BRASIL LTDA DE FLORIANÓPOLIS
NÃO EMITIR A NOTA FISCAL ANTES DO DIA 27/05
RESPEITAR DATA DE FATURAMENTO / Obs.Interna: VENDA REALIZADA PELA EMPRESA NEOENERGY BRASIL LTDA DE FLORIANÓPOLIS</t>
  </si>
  <si>
    <t xml:space="preserve">&lt;HTML&gt;
&lt;HEAD&gt;
&lt;TITLE&gt;Moved Temporarily&lt;/TITLE&gt;
&lt;/HEAD&gt;
&lt;BODY BGCOLOR="#FFFFFF" TEXT="#000000"&gt;
&lt;!-- GSE Default Error --&gt;
&lt;H1&gt;Moved Temporarily&lt;/H1&gt;
The document has moved &lt;A HREF="https://script.googleusercontent.com/macros/echo?user_content_key=AehSKLjxlcBefWUEYKg-7H3rmyRYLXN8WdYcuOgNPe1OfQQpS-eimiuiiJjT0CTrsjthbkaY6lNy9X8uaOVLkFTpBHXZPCUojlmVgfhxCgvpJYijxXjzNNOJpVc8yZ26L1HOxLK7TmARZ_3BSSxWauL29e8CClpjJJMSsz5PFr3B3QSYjiL1qGm3lrnEP-MMf7Q9qm6fNe-CYG0yL4uBAqYP0_59lVwieFp5VjCQG0doXkNHLsz5aIAsmrkxvNMj4W6pXU4_VbeKxwANR1VNJIDO0q75U6thMxENPKdqOabZ7oo6rgmm1JFk9cJN7vKiOA&amp;amp;lib=M-zdWbhavtdZ1B_W2dnFDM0qoVt4lWzJ-"&gt;here&lt;/A&gt;.
&lt;/BODY&gt;
&lt;/HTML&gt;
</t>
  </si>
  <si>
    <t>KrXp9xiwTn6-VR5k0Y279Q</t>
  </si>
  <si>
    <t>17563-B</t>
  </si>
  <si>
    <t>8F00241005200012</t>
  </si>
  <si>
    <t xml:space="preserve">&lt;HTML&gt;
&lt;HEAD&gt;
&lt;TITLE&gt;Moved Temporarily&lt;/TITLE&gt;
&lt;/HEAD&gt;
&lt;BODY BGCOLOR="#FFFFFF" TEXT="#000000"&gt;
&lt;!-- GSE Default Error --&gt;
&lt;H1&gt;Moved Temporarily&lt;/H1&gt;
The document has moved &lt;A HREF="https://script.googleusercontent.com/macros/echo?user_content_key=AehSKLhP8ZuG6AUrpqnxlWTPhTeuEnvlvTPHyRXjBUhKQB5eboToNzQHIJ2mCODtNfwMIyKEZJLlxfmsj2BweFHkYnnVOwCxJV9UoojOE5fjvsGy9QXdgODs1UQ3aJPzjsZYhNMvAAJUiH3Xz_B0r_Tl3faDZ49y72qoppQV7Et6nN20fI91FAVhOIpx3AmbQL8qmmgvxXI8kRpMnC7jb88dkJBYxRA93DEiDDpyeBWOiwq51TUl1YUAu7L8kB4VJOn3U2osqQYAbRiJzt9dyXZOKB1izx7TsrLXthxpVUFWtbaokzDL5Epgy7_W-TmjnQ&amp;amp;lib=M-zdWbhavtdZ1B_W2dnFDM0qoVt4lWzJ-"&gt;here&lt;/A&gt;.
&lt;/BODY&gt;
&lt;/HTML&gt;
</t>
  </si>
  <si>
    <t>rnDuLQrv8zkeP9E1EcQC</t>
  </si>
  <si>
    <t>17564</t>
  </si>
  <si>
    <t>8F00250104100002</t>
  </si>
  <si>
    <t>FITLOG TRANSPORTES E LOGISTICA LTDA / (048) 996277956Informação Adicional: +3% DE DESCONTO / Obs.Interna: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</si>
  <si>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OMvzCzJUsAV1yPBzOKWddDTGMMtS6y8_i0etWuKUTumrTM6QE4HwAK1vIl9Jw6a5DVNIL_hzkFPO2IU-tg6vI4LQ-8hJd53Q3LfJZgFkTeA2Rim7ZfUO86ZQvYxfClJg-1d5inyOnwDjAGTf8lfDmYsdPk5aGQ2MYtqLLlNWmlErpor7IvBzAOo8ApZW_I0mHYTdH7vPAhOnsIzEiJzZPOUI8_mkh1NELMEPguXfvnhy195d6lxceg2_pxJQzZyqvV4OV6xIM1es9qU5DqoGLza2p9Mkag42NNuH4VgW39wEQpnkjp5hbXnLiHQ&amp;amp;lib=M-zdWbhavtdZ1B_W2dnFDM0qoVt4lWzJ-"&gt;here&lt;/A&gt;.
&lt;/BODY&gt;
&lt;/HTML&gt;
</t>
  </si>
  <si>
    <t>5eJtI8AKQ6am1VLeKVmCvQ</t>
  </si>
  <si>
    <t>17565</t>
  </si>
  <si>
    <t>Marli T. Montibeller</t>
  </si>
  <si>
    <t>8E00241225030013</t>
  </si>
  <si>
    <t>RETIRADA NA FABRICA / (0) Informação Adicional: AO RETIRAR O CLIENTE PAGARA COM CHEQUES COMO SEMPRE FAZ
VENDA FEITA PELA LOJA SOLTEC PISCINAS DE BRUSQUE / Obs.Interna: AO RETIRAR O CLIENTE PAGARA COM CHEQUES COMO SEMPRE FAZ</t>
  </si>
  <si>
    <t xml:space="preserve">&lt;HTML&gt;
&lt;HEAD&gt;
&lt;TITLE&gt;Moved Temporarily&lt;/TITLE&gt;
&lt;/HEAD&gt;
&lt;BODY BGCOLOR="#FFFFFF" TEXT="#000000"&gt;
&lt;!-- GSE Default Error --&gt;
&lt;H1&gt;Moved Temporarily&lt;/H1&gt;
The document has moved &lt;A HREF="https://script.googleusercontent.com/macros/echo?user_content_key=AehSKLjhvQiNWI1dzKg6bO9vFSgTXnLFpIY9c5rCb-7sK6Ql3cwlP9eLQ9fF78xJBHfP5vriIoI6qYs_N1_R3D-NcektrMVJwG8glpTK743ABlEHsacj2rzyz4go_Z-EKNhnGEGI-_tJz1M41ZzSD0nPBkGE_nK7Ae7PPpj3m-XhF1Fpok2QuSzmuPwwIhCuFPwBOimZX4Q_x6xDNQOAC-QBU_sZ0A0C6xEmE4XNB0Nw1igAnmDIhfBa-jGo60EO-TdGf-5-NtXJW5oj2ejWYPuQNL5H4qjS4Fh7rR2goBq-u_rZkUFmkt0MB3QLAKVAOw&amp;amp;lib=M-zdWbhavtdZ1B_W2dnFDM0qoVt4lWzJ-"&gt;here&lt;/A&gt;.
&lt;/BODY&gt;
&lt;/HTML&gt;
</t>
  </si>
  <si>
    <t>8s6Iw.suTzardlfvE5JHOw</t>
  </si>
  <si>
    <t>17566</t>
  </si>
  <si>
    <t>BROILO AQUECIMENTO COMERCIO E INSTALACOES LTDA</t>
  </si>
  <si>
    <t>PRL4B04 - RETIRA - ANDERSON  - 00122233344 - WV / SAVEIRO / BRANCA  / 2020</t>
  </si>
  <si>
    <t>OP ANTIGA 20005</t>
  </si>
  <si>
    <t xml:space="preserve">&lt;HTML&gt;
&lt;HEAD&gt;
&lt;TITLE&gt;Moved Temporarily&lt;/TITLE&gt;
&lt;/HEAD&gt;
&lt;BODY BGCOLOR="#FFFFFF" TEXT="#000000"&gt;
&lt;!-- GSE Default Error --&gt;
&lt;H1&gt;Moved Temporarily&lt;/H1&gt;
The document has moved &lt;A HREF="https://script.googleusercontent.com/macros/echo?user_content_key=AehSKLg-oQitGsH1lf9Dm1tSV_9znyJL6aMvTSjMGu1lX3C4LPYV6Uugbui5QGsuQU9GlNfntbJgPmzzTkdSauoLkKXEvQCDpBjaKo7fl3xr6bDizScUosp2zxUN3OIwNEqGDXoOG7fu53VWBQ-zqBLRrpdHWWY5fAyS-47uFgZjUGknmjTJcuNYvjmpYrc-sv7CUljBsExPNkES7AU_sXLv7_ixs2G5yefCe1sDhRUTbE-JnlJp0cJzeLQuOr8WSkcAOrdNVbuM_f-4CNjbdGGhpmjLS46NKzDq6xA1IC9_fGI2H6R5WmAfeI1csRW0dA&amp;amp;lib=M-zdWbhavtdZ1B_W2dnFDM0qoVt4lWzJ-"&gt;here&lt;/A&gt;.
&lt;/BODY&gt;
&lt;/HTML&gt;
</t>
  </si>
  <si>
    <t>1ZNzAhnFSxSEdxwf2lzDGQ</t>
  </si>
  <si>
    <t>17567</t>
  </si>
  <si>
    <t>8F00250104150034</t>
  </si>
  <si>
    <t>FITLOG TRANSPORTES E LOGISTICA LTDA / (048) 996277956Obs.Interna: VALOR PROMOCIONAL AUT CARLOS  R$ 14.400,00 VAI PAGAR ANTECPIADO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</si>
  <si>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f42-U_w5jLU3Z5ozZNDleTeQFwFJqpGaeVZgqQrB6LlO9AcspF0t59APWQwzteJ_G_fG51pMvgSyFfuV2ud0KwTqjxWbLMGq66Q4_gEok66mljAL-XyAVUfA0H7IFV6e2UDiju3Yn31mfr09WQ9PCEa1pRKlsHxVTxxZXRxVku5ZK2ZpaHM9-sJBXstiGetRu9jQ68iGOPEm7zVEPoyULfcXoM5L8H7b7Tl2yt1fDqvRbcUHUBQG2CgZKTzcYX2HzduxhJIXhimbVvqWsrf2Q1FDKJf5ZTLT91xpYmaTSBUjMsCX_FZIw0qwKFQ&amp;amp;lib=M-zdWbhavtdZ1B_W2dnFDM0qoVt4lWzJ-"&gt;here&lt;/A&gt;.
&lt;/BODY&gt;
&lt;/HTML&gt;
</t>
  </si>
  <si>
    <t>OeRilf37QACfI1wCgFrNdQ</t>
  </si>
  <si>
    <t>17568</t>
  </si>
  <si>
    <t>8F00250104100006</t>
  </si>
  <si>
    <t xml:space="preserve">&lt;HTML&gt;
&lt;HEAD&gt;
&lt;TITLE&gt;Moved Temporarily&lt;/TITLE&gt;
&lt;/HEAD&gt;
&lt;BODY BGCOLOR="#FFFFFF" TEXT="#000000"&gt;
&lt;!-- GSE Default Error --&gt;
&lt;H1&gt;Moved Temporarily&lt;/H1&gt;
The document has moved &lt;A HREF="https://script.googleusercontent.com/macros/echo?user_content_key=AehSKLhpOZ3r4dyz6O2jjN3gxiAm_0Br9z1D4huH2dReuJlnVpBUIfHRDWyw-np7vxOsiKWa75cjHcBE8uuctdgF6_Fl-YboFF0yOr7kRM1DkuVjPtQ_Ta3Xx0HjEKbEmIXTO1CLUp3ADZcps-e-3uHIYY4_Y1kTRkacPXMNuYIK3hlWAuEOQ9xxhPLksNunhSX2mbz0EzuCYOt3ijgRNrxX_kswFUbP4dbYEzgizlo3su7d9jhfnAtx2FBQOeOqGqCnNNnDGOgSiOe5HMdo_DjyonT99HETJb5sFZbAUF78-rzjGc6OZQ_Y0sTGZveawg&amp;amp;lib=M-zdWbhavtdZ1B_W2dnFDM0qoVt4lWzJ-"&gt;here&lt;/A&gt;.
&lt;/BODY&gt;
&lt;/HTML&gt;
</t>
  </si>
  <si>
    <t>liKFAb1YTpuLJniX8-SgSA</t>
  </si>
  <si>
    <t>17569-A</t>
  </si>
  <si>
    <t>13714</t>
  </si>
  <si>
    <t xml:space="preserve">&lt;HTML&gt;
&lt;HEAD&gt;
&lt;TITLE&gt;Moved Temporarily&lt;/TITLE&gt;
&lt;/HEAD&gt;
&lt;BODY BGCOLOR="#FFFFFF" TEXT="#000000"&gt;
&lt;!-- GSE Default Error --&gt;
&lt;H1&gt;Moved Temporarily&lt;/H1&gt;
The document has moved &lt;A HREF="https://script.googleusercontent.com/macros/echo?user_content_key=AehSKLiyP3MUhBzb3BdFLKR-NnZRYZ3d1dy7B3b-eClHVk5uAlNQ0occb6Hr3JrqnvVtgKTynVHc5ReHH32oazgFdMFcNgwCPqvVdb3VCgPNvYKBQO299IdwPk7dO0tmVqkEZaII9wHPClvFd1n-zzvN7jxy2trGuJV4usfF4VHL04yXIvg-d9aRDLzHlrpkYwptygHh_hKXTpRXQHvzWbK5jVuuwg7mV6FRc2QKs3dVMKHkHhYgT1VyUv0m4ZnjRlChYcBS0LUdmK5KP-stATckO1uW2H21x-JcERuEGGo9R-TthqpR6KwtWVKfgw4sjA&amp;amp;lib=M-zdWbhavtdZ1B_W2dnFDM0qoVt4lWzJ-"&gt;here&lt;/A&gt;.
&lt;/BODY&gt;
&lt;/HTML&gt;
</t>
  </si>
  <si>
    <t>zyULorn9RCyKTXGW3gpzhg</t>
  </si>
  <si>
    <t>17569-B</t>
  </si>
  <si>
    <t>13862</t>
  </si>
  <si>
    <t xml:space="preserve">&lt;HTML&gt;
&lt;HEAD&gt;
&lt;TITLE&gt;Moved Temporarily&lt;/TITLE&gt;
&lt;/HEAD&gt;
&lt;BODY BGCOLOR="#FFFFFF" TEXT="#000000"&gt;
&lt;!-- GSE Default Error --&gt;
&lt;H1&gt;Moved Temporarily&lt;/H1&gt;
The document has moved &lt;A HREF="https://script.googleusercontent.com/macros/echo?user_content_key=AehSKLifxoA_QWj9yPVO50j7tHHogdxFIhBcntVD88FmTEUeurROHCbw4q1wnDIgRL3yxnxov2dXg9K0IDifLlD95m6MFVwIwg7_PO9a4hbBNqz9JF2VvtLSpYSISHX-9vcWtKDiQe1W9MuDfdSk_UtqIX46pxBrbFGOl_JjDdZKSl25oGnonUjN3TJ1MFxw0eHjeBthArfNbgzcOlAzBceok89J0cVjhI9q9m6fW-F4szpVSLfSBtd4pKqrA8ATtq8uDGUI-HxcDJ2LHm0FNZT72VNfrCD1aTa_km0PlLJ2Rm0bdYr5aTir_swKkDZqNw&amp;amp;lib=M-zdWbhavtdZ1B_W2dnFDM0qoVt4lWzJ-"&gt;here&lt;/A&gt;.
&lt;/BODY&gt;
&lt;/HTML&gt;
</t>
  </si>
  <si>
    <t>TTzZBWSSRfulk2LH3O8A</t>
  </si>
  <si>
    <t>17570</t>
  </si>
  <si>
    <t>HOTECH COMERCIAL</t>
  </si>
  <si>
    <t>8F00250102050023</t>
  </si>
  <si>
    <t xml:space="preserve">&lt;HTML&gt;
&lt;HEAD&gt;
&lt;TITLE&gt;Moved Temporarily&lt;/TITLE&gt;
&lt;/HEAD&gt;
&lt;BODY BGCOLOR="#FFFFFF" TEXT="#000000"&gt;
&lt;!-- GSE Default Error --&gt;
&lt;H1&gt;Moved Temporarily&lt;/H1&gt;
The document has moved &lt;A HREF="https://script.googleusercontent.com/macros/echo?user_content_key=AehSKLjktSq68HkbtVDfYDo8H-LoR1YjuD8OEWjrdSx0-byiU0BqrW7_vojkCp97cP0NksJV_ZPXJ0RPy2oJMUaqK4bt7FTEcxTpUrpYr_qL4u13-Vsk1rRL8abR0EvONVJ7eFMiA0B1qVuLDioEmsKJCfbyLeJFy3MJs9qLAwyt6wEu1QMV3boCDVintYT5929SYFEoM9RnvjbgYxQw407-KGBnV-PjgT1EQjyS4LbDNuj_hTXjD_FhFJkIb8E5ZtxdWk4GDApl4gC003AyHDsOtbwpZA77PhgycxkUFI14bZkGI40QUZHArEkTRe_gLw&amp;amp;lib=M-zdWbhavtdZ1B_W2dnFDM0qoVt4lWzJ-"&gt;here&lt;/A&gt;.
&lt;/BODY&gt;
&lt;/HTML&gt;
</t>
  </si>
  <si>
    <t>1gJY1UtfSOaofkX3NEt6lQ</t>
  </si>
  <si>
    <t>17571</t>
  </si>
  <si>
    <t>8E00241225030007</t>
  </si>
  <si>
    <t>FITLOG TRANSPORTES E LOGISTICA LTDA / (048) 996277956E-mail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</si>
  <si>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mJsIFfiBw1wzEU_hKw3-CztiPRZKLJ5_j1uiccVGloWxK7MpJJkoCj2aw667RyB8e6VnpuuycOtyFyUqKKyypAZrkBBZJg2QUxI0VsZ3iUQnyK3qVPTDNAg1iniUMBm_0xgJ9iOx3h2oimouNU_WN_HaLQlel8_D8525CoQsh9X2fWTI51VX4MnqhPWMJuF6zI4CfBUQ4J5FGHtuJuoYQBeyUz80yWQYR-MFL-UJ7dZoxcR16ijccAZRf7rkU7tc5Uwjr-R70YP3nECeH8Ar9ruepDUZ_IWM_rNpwt5-KHjNiAWWEqWNbhKWJzw&amp;amp;lib=M-zdWbhavtdZ1B_W2dnFDM0qoVt4lWzJ-"&gt;here&lt;/A&gt;.
&lt;/BODY&gt;
&lt;/HTML&gt;
</t>
  </si>
  <si>
    <t>XUpw1g9DQVmiFdvJpzJBEg</t>
  </si>
  <si>
    <t>17572</t>
  </si>
  <si>
    <t>8E00241118030022</t>
  </si>
  <si>
    <t>RETIRADA NA FABRICA / (0) Informação Adicional: PEDIDO 21054 - BRAVA SELECT / Obs.Interna: PEDIDO 21054 - BRAVA SELECT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</si>
  <si>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crUT_94qG_6LbZB9LTycWMNYJ30gc16ETRiBvi3jDTHs-oNRBcX-gWItPZFQu52RgQGbdAvumX2MUi9boKER1QZPeuS_eH1x5a-XeXgNdq9SCWL1Vz3fjNWKTW41NS_4w58b_92utttYxjz5ZOMdYGYY1d1uXUcSuwL2pUCs-zvr0h5MkAEuwmK9Gqy-O3f-9ScJilPxRd9I0MgdFJvcvr817AmH-gQXjswo9bj3aEqwHxoJNBQjv4ef4h5hi0soDEPNIs2-cgReThkIpQfhF9R1sCRfMwIVUrJTJpfEeotTF_sTO17w36GHZTg&amp;amp;lib=M-zdWbhavtdZ1B_W2dnFDM0qoVt4lWzJ-"&gt;here&lt;/A&gt;.
&lt;/BODY&gt;
&lt;/HTML&gt;
</t>
  </si>
  <si>
    <t>qIfuNhuqQmevdIGaZk3hDw</t>
  </si>
  <si>
    <t>17573</t>
  </si>
  <si>
    <t>8F00250104150032</t>
  </si>
  <si>
    <t>EXP SAO MIGUEL / (0) Informação Adicional: +10% DE DESCONTO / Obs.Interna: +10% DE DESCONTO / ENTRADA +28 DS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</si>
  <si>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t_6nR6_1OGD-sBAJgH2AMe3MJ44S7cMFTG0agdpQDKojSM4L5-vxSfg0qcEtaa-90IpnLdMB0Xw2BAHhxFN_rOZPDK3L_XOrrlgEyzk2PztEX6VE1PP4lOlqC2vBn0JB-TJmwA6iDJs5dJZry62-Y1g4wVr6Kace-PCcVlwjdrDeFBmQ5sCWeVSLKuj2ltON0GRZ0jKdw-mi_0vSK-LStgPeuURTiHtwzNLqJdu39vCunuJmxbXs2YfWez0dCNtF-yZtmZwbzddHzTCiPc6tX8t5PCi8pJzLLrUvVJMWrhGofKFpuuRHaNTzKSw&amp;amp;lib=M-zdWbhavtdZ1B_W2dnFDM0qoVt4lWzJ-"&gt;here&lt;/A&gt;.
&lt;/BODY&gt;
&lt;/HTML&gt;
</t>
  </si>
  <si>
    <t>hg7wXqWASGGqMTmPq.mVNA</t>
  </si>
  <si>
    <t>17574</t>
  </si>
  <si>
    <t>8F00250110270003</t>
  </si>
  <si>
    <t xml:space="preserve">&lt;HTML&gt;
&lt;HEAD&gt;
&lt;TITLE&gt;Moved Temporarily&lt;/TITLE&gt;
&lt;/HEAD&gt;
&lt;BODY BGCOLOR="#FFFFFF" TEXT="#000000"&gt;
&lt;!-- GSE Default Error --&gt;
&lt;H1&gt;Moved Temporarily&lt;/H1&gt;
The document has moved &lt;A HREF="https://script.googleusercontent.com/macros/echo?user_content_key=AehSKLjArdK4xjiN6y1k_2tHrzZRkvAd90KB9AJTEhNLCcS4cAzFSbAZ5xM_bEWhtdtMa5LGKaR8YqVEUloLMbY0CoV98wbr-Ao2lCpaH-nxdujh5ieHOoQDAmAupjf7KUX_E8c2a1W0syujIbG8Uo2YGd9K0YeDLHiUggqtMwfI_DzButzZ951rKmMwKbJDvyFcjJsVAolaQ6jIa_H73dCoUBe2ulMd0x4DaH--L6fa0s7IK6OoyJE419gAmmxjy_-Pd_tMk2h_gcqqxFHd-bHfWntIeDbN2gW68qxO-daKgzAbHWy_3IZTiRC5fiSOoA&amp;amp;lib=M-zdWbhavtdZ1B_W2dnFDM0qoVt4lWzJ-"&gt;here&lt;/A&gt;.
&lt;/BODY&gt;
&lt;/HTML&gt;
</t>
  </si>
  <si>
    <t>Lf.waFOjR.eqe6eBP1xWwQ</t>
  </si>
  <si>
    <t>17576-A</t>
  </si>
  <si>
    <t>8F00250104100005</t>
  </si>
  <si>
    <t xml:space="preserve">&lt;HTML&gt;
&lt;HEAD&gt;
&lt;TITLE&gt;Moved Temporarily&lt;/TITLE&gt;
&lt;/HEAD&gt;
&lt;BODY BGCOLOR="#FFFFFF" TEXT="#000000"&gt;
&lt;!-- GSE Default Error --&gt;
&lt;H1&gt;Moved Temporarily&lt;/H1&gt;
The document has moved &lt;A HREF="https://script.googleusercontent.com/macros/echo?user_content_key=AehSKLgZ9a-GDi51GwJ4b6vmdxrUU_UHsj0b4csMUYRmBvSK9sJor7hHtkFL-i_3zZXr1zORvY1-Bfzu9zYd5ZXibTBNXiXDzmxc8iSMlW8nphf-z6xc_XGsDS7yCo6tJmpvYM_XbTOtWYzJeOXCHxgQMRyyhztD7IuQ2mp3xmet3yWShOMINWQPb8QYX79xZYsmSnXrF4LKedXomUj2lr6_scvLZs-RQ_UpFlB_N8P2HR4tK5VVLhqIEeWwyMNp1PyJUYh-Gz0xRnn6l13fWgLPNuxudXzGhB5ZYJ8Z3J2osqaR39b9L3u1BohzeW8Xuw&amp;amp;lib=M-zdWbhavtdZ1B_W2dnFDM0qoVt4lWzJ-"&gt;here&lt;/A&gt;.
&lt;/BODY&gt;
&lt;/HTML&gt;
</t>
  </si>
  <si>
    <t>Sex5LPDxQDWlobJLJQ-1RA</t>
  </si>
  <si>
    <t>17576-B</t>
  </si>
  <si>
    <t>8F00241118040017</t>
  </si>
  <si>
    <t xml:space="preserve">&lt;HTML&gt;
&lt;HEAD&gt;
&lt;TITLE&gt;Moved Temporarily&lt;/TITLE&gt;
&lt;/HEAD&gt;
&lt;BODY BGCOLOR="#FFFFFF" TEXT="#000000"&gt;
&lt;!-- GSE Default Error --&gt;
&lt;H1&gt;Moved Temporarily&lt;/H1&gt;
The document has moved &lt;A HREF="https://script.googleusercontent.com/macros/echo?user_content_key=AehSKLi8_iH9B6eUJ1Uq8wvqFSCHE0egehAtZdMQ04RBy3xxDwDasqd-bfbuRMnfpLo3s4m-AZijEGHqdrubV1PsE3ZzyC6S2NO0QsayStPwseVE-3K1FJ__ALdj8xb38I1GwVjAwZhARTbPQ3YyfVr7MluDKtpmcqOchehNaAPLzOKEEmZ7SjBhJrKJDCHk2v5-ZwCdFdrK_spM3tcSGpyKkDWs8OgQ0pIAwm1WxsjfFquMxecJW5BEBSAVh9p6sl5UfgbPtTnfAClSqHRedFRNDBCj9tDxVxaA-FxLWV9eZtG4ekj8ySpyQWDCHUSNyg&amp;amp;lib=M-zdWbhavtdZ1B_W2dnFDM0qoVt4lWzJ-"&gt;here&lt;/A&gt;.
&lt;/BODY&gt;
&lt;/HTML&gt;
</t>
  </si>
  <si>
    <t>3zr1lu61wHgRPZ27gqWx</t>
  </si>
  <si>
    <t>17579</t>
  </si>
  <si>
    <t>8F00241118040021</t>
  </si>
  <si>
    <t>FITLOG TRANSPORTES E LOGISTICA LTDA / (048) 996277956E-mail para nota fiscal: , E-mail de cobrança: , Telefone para contato
O REDESPACHO SERA FOB - TRANSP. RAPIDO FIGUEIREDO - CNPJ: 10.973.773/0001-08 - END: R OURO VERDE DE GOIAS, 1233, CEP: 07.221-080</t>
  </si>
  <si>
    <t xml:space="preserve">&lt;HTML&gt;
&lt;HEAD&gt;
&lt;TITLE&gt;Moved Temporarily&lt;/TITLE&gt;
&lt;/HEAD&gt;
&lt;BODY BGCOLOR="#FFFFFF" TEXT="#000000"&gt;
&lt;!-- GSE Default Error --&gt;
&lt;H1&gt;Moved Temporarily&lt;/H1&gt;
The document has moved &lt;A HREF="https://script.googleusercontent.com/macros/echo?user_content_key=AehSKLhCMsNJSvoLFqTuYelA8v2Pk3WPSh99cpr2rxBSBZvDQZIdSDYBDOT8LIEhEy63v3Te-Rxn7eZt3fm-pLoAOdi8SzdT6ivrp2FghRA0Nt_8SmDExKPag4rAL4pXIiOdlbTMrw4pgAERcaMDyWVHgh3piq-4k8ZhDVefE8BrLVnmFxa8QrVGrI-5u8m8N11yUHp7BC6JCqQSIdZhPEQf91VvzcUaQeAfUzTqSIvXOnT07UFDvH49qcK8CGY-XdvfZ0Vomx7EYJ-CtEORFrM6ohyY0ilfmnsJv_jHiyge--KdV3yVfaTUmt1hCNZp-Q&amp;amp;lib=M-zdWbhavtdZ1B_W2dnFDM0qoVt4lWzJ-"&gt;here&lt;/A&gt;.
&lt;/BODY&gt;
&lt;/HTML&gt;
</t>
  </si>
  <si>
    <t>9DYDbboRTzSXUK4RbWNQHg</t>
  </si>
  <si>
    <t>17581-A</t>
  </si>
  <si>
    <t>PISCINAS AGUA E LAZER LTDA</t>
  </si>
  <si>
    <t>8E00250104050002</t>
  </si>
  <si>
    <t>FITLOG TRANSPORTES E LOGISTICA LTDA / (011) 2212-5862Informação Adicional: cliente novo do mesmo sócio da COMERCIAL AGUA E LAZER - CNPJ 22.822.303/0001-22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</si>
  <si>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ujLSFzLJ0V90llzfsyrFLeLYDbWeTUun54aG69-ANKulxFwXxoe4gMm4GW8nccntkEENPLhP_YcYOFs1TWaoiBmyU4FmovJE35Z53EwmwnFOTWeI7sFCwwqG4kXz6de58iWg4MzXBtgifD0YlDeIYojbEj2RiYJMPQE_NhRRgrpaASS3oR4k9sKvLjJ3UG2M5jue4qXQgjAB7T-eZQYVj1Kv2oNaz9Mqc_Po9AuKeODGLoui1hAKJNEPjp3WFJ1OfkLqVRpRyvNnFYinE7l8A7Ak-kzFuf4HfHlNBuh_1rUfA2Epnnq3b50f75g&amp;amp;lib=M-zdWbhavtdZ1B_W2dnFDM0qoVt4lWzJ-"&gt;here&lt;/A&gt;.
&lt;/BODY&gt;
&lt;/HTML&gt;
</t>
  </si>
  <si>
    <t>4Cq6N4RKRZ-hDQUxjDbPBQ</t>
  </si>
  <si>
    <t>17581-B</t>
  </si>
  <si>
    <t>8F00241118040018</t>
  </si>
  <si>
    <t xml:space="preserve">&lt;HTML&gt;
&lt;HEAD&gt;
&lt;TITLE&gt;Moved Temporarily&lt;/TITLE&gt;
&lt;/HEAD&gt;
&lt;BODY BGCOLOR="#FFFFFF" TEXT="#000000"&gt;
&lt;!-- GSE Default Error --&gt;
&lt;H1&gt;Moved Temporarily&lt;/H1&gt;
The document has moved &lt;A HREF="https://script.googleusercontent.com/macros/echo?user_content_key=AehSKLiSdHMSPJwPZfq-jvjrYHIUQK4zlhflEfo60BO2xyuYxIoxAzvtXJCzdSYCfcNzTxyacBp5fO8983-blQBdmWlgVGf-Z_A8Pjas5XnzlI8-VoWddtS-PmffzgAynGAaW6Eu-GyCpDbGBq0hov9wPaxgP4TgCW9HtCJpI-wiCe3kraPGK1dhsq1eKFaUOt2GQryj_pxN2xtN_T7V5w_y7LN1vlLpJOhcOHeE7B6vTEw10ZnFmaG-2rF1340FRdT1xCHV4oNBH9lfaD24y6WjrBRwVK6aLhbjblmXvaohlsvVg7GWdiiIdPV0jG3T2Q&amp;amp;lib=M-zdWbhavtdZ1B_W2dnFDM0qoVt4lWzJ-"&gt;here&lt;/A&gt;.
&lt;/BODY&gt;
&lt;/HTML&gt;
</t>
  </si>
  <si>
    <t>cII0l947Lg4yCm6M1r3Q</t>
  </si>
  <si>
    <t>17582</t>
  </si>
  <si>
    <t>14024</t>
  </si>
  <si>
    <t>EXP SAO MIGUEL / (0) Informação Adicional: +3% de desconto / Obs.Interna: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</si>
  <si>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fVo1FiLl0IxBNpFwplp8hMtEGTjrkv7BZkprohttUZF5cGSmO-AK-Z98EMzTfurXd_b8Ea_hPSwE1X4Ji-kSKtjtCVz4Q-0sbbr9TpqDGjD5z9EPSThPXEc3b3P5AM1F1XFU-_0VZrjBa04tgBQ1aokwHCZAxm_kIug_wJBMLsF5GBnmgvqyZ9BOAfbYtxXzQBA2w1pYwFI4IYg8eaCq9y8NYbF5TYNt1iqVollnTbO73icRNwDP6BThMUzZPdjqwi655ANdtg-nK7LM6pu3TtQj9HPgBOFWQ_oUmr5PaSAcTWZ2qRnbjayEfeQ&amp;amp;lib=M-zdWbhavtdZ1B_W2dnFDM0qoVt4lWzJ-"&gt;here&lt;/A&gt;.
&lt;/BODY&gt;
&lt;/HTML&gt;
</t>
  </si>
  <si>
    <t>Pgq6qAddQKyxOXFU5z6oyA</t>
  </si>
  <si>
    <t>17583</t>
  </si>
  <si>
    <t>FAROL PISCINAS</t>
  </si>
  <si>
    <t>8E00250104050031</t>
  </si>
  <si>
    <t>EXPRESSO SAO MIGUEL S/A / (051) 3586-2013Informação Adicional: +10% de desconto / Obs.Interna: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</si>
  <si>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10ierRbueylb5KtO_grO4ZkaXP-EZw8PYwuTfbwGQ9O9FgrzK5GmvUL1VYKptxlcF3WXts9tE2KGV-0nLdsd7DVsCpYpzw0aRQg_Zkzsf3R0cSagPNCVX-4t-vG21Alpq-PUME2ShhF1jTBrDEBYtUOD3G8Bt4FuxLjCWbvdRFAGkT1qPZUYJHCejvV82yrsZ8WVIBUQAMgtyWumwkuSxSZFYBjTA809zGPkw5MgwSszBCH7rCfVTtrGnVSsIPxSRzo0NDlPg5W0_3dtUNHggo74AQEOOwQM1FbkxnR8ySTiqARPY0-DXp2WYpQ&amp;amp;lib=M-zdWbhavtdZ1B_W2dnFDM0qoVt4lWzJ-"&gt;here&lt;/A&gt;.
&lt;/BODY&gt;
&lt;/HTML&gt;
</t>
  </si>
  <si>
    <t>5haOxRyNQ.GlgkzE7PtEbQ</t>
  </si>
  <si>
    <t>17584</t>
  </si>
  <si>
    <t>20094</t>
  </si>
  <si>
    <t xml:space="preserve">&lt;HTML&gt;
&lt;HEAD&gt;
&lt;TITLE&gt;Moved Temporarily&lt;/TITLE&gt;
&lt;/HEAD&gt;
&lt;BODY BGCOLOR="#FFFFFF" TEXT="#000000"&gt;
&lt;!-- GSE Default Error --&gt;
&lt;H1&gt;Moved Temporarily&lt;/H1&gt;
The document has moved &lt;A HREF="https://script.googleusercontent.com/macros/echo?user_content_key=AehSKLjSzd-A7Nrgzi4_eoqWpkouYrwPTAzl52JDLS_WerPJs8j0-4NtyBS_KeKDSmLF43bn-l-vq5NnF1pUUFMSmISTN6NWG8l2l7_Jt748g0S1anthQmj1iqA1nUqpRXvG4wPo-IQXUC03Qbd-ApTR37nqBF4hTtNfG9yqmCY20iAdASu3g0Sk5h3KFj0cZW1Xl9iQWpWQFSU4o8qJHxVz-NDzU-LN7BOMzNvywWLb-ntlUzI0akmTL3HRb0HeRMxdf8m7k8Zymipy-LrHHIci-_am4153oxjanUozLzo1DAvHstd6O-2Szt6n6RTP5g&amp;amp;lib=M-zdWbhavtdZ1B_W2dnFDM0qoVt4lWzJ-"&gt;here&lt;/A&gt;.
&lt;/BODY&gt;
&lt;/HTML&gt;
</t>
  </si>
  <si>
    <t>Dp5-pt-DQI-fSrORA3unXg</t>
  </si>
  <si>
    <t>17585</t>
  </si>
  <si>
    <t>ROGER POLO</t>
  </si>
  <si>
    <t>8E00250104050033</t>
  </si>
  <si>
    <t>OURO NEGRO / (0) Informação Adicional: VENDA REALIZADA PELA HIDROESTE PISCINAS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</si>
  <si>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P3z-6y24dJPu5U0R1st8dADRK-wMUnEvPPm8EBR2q8oIdA4DH7sw7WZkiktF-4R4fEpuvF-nt5qDgdmNe_yk11yVS_-da-94aeVfLNN1afrUoLcbXh1vy2hUrWphGVYOdLdCVhmNSPaWl_iH-ENXggv3TC0XLyc17O-nDLnUiUUkw6GwsaILVfNlhNG0yj3pWi-mcOJE1PQhjjy8VODNK57_sci45ZeQms-FW2kqdeSycuUfsxiKW2TwKHNonWGS_miXy62_iHWIK0BevKYm8S35NtidImC2685nz78syVGN4p1yfNeypMiYwfQ&amp;amp;lib=M-zdWbhavtdZ1B_W2dnFDM0qoVt4lWzJ-"&gt;here&lt;/A&gt;.
&lt;/BODY&gt;
&lt;/HTML&gt;
</t>
  </si>
  <si>
    <t>Eca.nfxGSxeW1c3xjIfUww</t>
  </si>
  <si>
    <t>17586</t>
  </si>
  <si>
    <t>QUALITY LAVANDERIA CIDADE NOVA</t>
  </si>
  <si>
    <t>8F00241118040020</t>
  </si>
  <si>
    <t xml:space="preserve">RODONAVES </t>
  </si>
  <si>
    <t>RODONAVES TRANSPORTES E ENCOMENDAS LTDA / (016) 3965-3955Informação Adicional: o pagamento será no cartão de 3x
valor do pedido R$ 10.097,16 tem acréscimo de 6% DIFAL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</si>
  <si>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8iy0blzoQ_InhN_WNISZxNC-u6Fuf5oBDBYrQVKjes6izPXxdrldBg9vcRnkwh58EthVi7JIssLk0BEHqhbm0o-MA_PEgcX14TXJScTUv_cA90L_sr0ep50Z0S2U2sT6QNy6y6tlyKPvASWf8gxxJP2OGNSW1oFC-W7dX2NXsSo5UCcAIrtxs5dv0ae49tdgu95Evy2rKVfoabQ7dMDQAOLFYoMmNhW93slcYfAxuILBrcwBYOjj-nlLzzR9dwG0yjPT84gHU84dm6K66Y6XZEJyQF55fyIsX75dsRb00aWeg3AF_yZxyUdgjcg&amp;amp;lib=M-zdWbhavtdZ1B_W2dnFDM0qoVt4lWzJ-"&gt;here&lt;/A&gt;.
&lt;/BODY&gt;
&lt;/HTML&gt;
</t>
  </si>
  <si>
    <t>8QUaIa.1R.SuXqJkhyg9tQ</t>
  </si>
  <si>
    <t>17588</t>
  </si>
  <si>
    <t>20011</t>
  </si>
  <si>
    <t xml:space="preserve">&lt;HTML&gt;
&lt;HEAD&gt;
&lt;TITLE&gt;Moved Temporarily&lt;/TITLE&gt;
&lt;/HEAD&gt;
&lt;BODY BGCOLOR="#FFFFFF" TEXT="#000000"&gt;
&lt;!-- GSE Default Error --&gt;
&lt;H1&gt;Moved Temporarily&lt;/H1&gt;
The document has moved &lt;A HREF="https://script.googleusercontent.com/macros/echo?user_content_key=AehSKLivqvlsEd0bcyM6FJYmozNZU_Vdqi8IHCAlzr9SRUW0tZYa87BwnfkPc8G0TySiARChgQS-PDur9miIE1VwL1yGUvfllJVnkQxdbaIFXFV8wn7fKTCRQwiWT8wLsGTlz4NKEtiDJrQ2zth1707mJLzjWgH06QhmXli0NbtbOTYlrzuCA-JGso2rhUvxLtEOar_EfRQr165qXJJab7KgJgOlWPBcGvZ1GwVN2dLQe_yxJNq9h-dErPggSghGFRPcWGBhJwb3mCwXLTmFhDG9TqbJPiBVk2b_W6t_viBROnECyCwP8ta9vxT32x2gOg&amp;amp;lib=M-zdWbhavtdZ1B_W2dnFDM0qoVt4lWzJ-"&gt;here&lt;/A&gt;.
&lt;/BODY&gt;
&lt;/HTML&gt;
</t>
  </si>
  <si>
    <t>WOsv26lsSBuQdbDAdKsszQ</t>
  </si>
  <si>
    <t>17589</t>
  </si>
  <si>
    <t>AQUALIFE BRASIL</t>
  </si>
  <si>
    <t>EQUIPAMENTO DEVOLVIDO, RG 8E00250104050003, DE ACORDO COM A ELINE ESTÁ SOB POSSE DO RENATO NO PARANÁ</t>
  </si>
  <si>
    <t xml:space="preserve">&lt;HTML&gt;
&lt;HEAD&gt;
&lt;TITLE&gt;Moved Temporarily&lt;/TITLE&gt;
&lt;/HEAD&gt;
&lt;BODY BGCOLOR="#FFFFFF" TEXT="#000000"&gt;
&lt;!-- GSE Default Error --&gt;
&lt;H1&gt;Moved Temporarily&lt;/H1&gt;
The document has moved &lt;A HREF="https://script.googleusercontent.com/macros/echo?user_content_key=AehSKLjgNNFFBXrKv5PKZihKYypJ9HuhTN_47spopoJxu9cIsMnii4NQxt9905YxXpYJTXoAuwIOk76uO2HIrdvP0OKKCcpQ2nMnQpYMQcSN4dAsdSavt8nPvoOcZxR950PW5TT5mi5j4aELQeP5-CkY6tkX7SHAI9RaBMuOpLPs2BKmLBPwj-hvwt0vxiZzjNKP8KGxuUodc2WP06Xo55CbeBlaOUzudQBZon6BY3i1p2LUlF6X9_uyGGok_7zLnlXykQEtc7U3r0CjLKCDdGpOmvnU-NPzL2ZPUbZ8pKQEPpwXhi9D9cqNTkDHassVoA&amp;amp;lib=M-zdWbhavtdZ1B_W2dnFDM0qoVt4lWzJ-"&gt;here&lt;/A&gt;.
&lt;/BODY&gt;
&lt;/HTML&gt;
</t>
  </si>
  <si>
    <t>MFfdoH1ySNaQQ3Jd1PhF4Q</t>
  </si>
  <si>
    <t>17590-A</t>
  </si>
  <si>
    <t>8F00241005200026</t>
  </si>
  <si>
    <t>RXM3C37 - RETIRA - MAYCON DOS SANTOS ALVES - 37639327806 - DAILY / CARGA CAMINHAO / PRATA / 2020</t>
  </si>
  <si>
    <t>Pedido gerado através do PedidoEletronico.com -
Transportadora / telefone: OURO NEGRO / (0)
Informação Adicional: VENDA PARA USO NO  RESORT TAUÃ - MG   /
Obs.Interna: FROMTHERM ENTREGARÁ NO ENDEREÇO DO CLIENTE . PIX DIA 30/05/2025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</si>
  <si>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vd2XjmQmKPcIUpC-iKVxx8CCJ8UoYFbfXoHaBgWqiGBGJ__DyhF242aRHyrxCqk_HCWuC5NxH83Z1KFrwsvKdmjoCZVp0bAT1kOnkDOWe2_00Eqy0XZdvH2P_QGKP5ksGeg3_yQFmT6aHu6W6SKb-HuxZcSLFqviXSn6WDXw-lxUJvw-XHgbe4M4WHTNRt0fx5fU4gLV-vSOa2_QM_B9kbytpyZrHkexWuX018_xkEXBYwQenz7PNoEQiDdQgRxwpObi0R0b4FtUNquf1ASsrStv680pOokj4nzdjsr9NBHItZBsUN5rMJ1KoQQ&amp;amp;lib=M-zdWbhavtdZ1B_W2dnFDM0qoVt4lWzJ-"&gt;here&lt;/A&gt;.
&lt;/BODY&gt;
&lt;/HTML&gt;
</t>
  </si>
  <si>
    <t>a-MGitR1aSE6nXSfyZrofhQ</t>
  </si>
  <si>
    <t>17590-B</t>
  </si>
  <si>
    <t>8F00241005200027</t>
  </si>
  <si>
    <t xml:space="preserve">&lt;HTML&gt;
&lt;HEAD&gt;
&lt;TITLE&gt;Moved Temporarily&lt;/TITLE&gt;
&lt;/HEAD&gt;
&lt;BODY BGCOLOR="#FFFFFF" TEXT="#000000"&gt;
&lt;!-- GSE Default Error --&gt;
&lt;H1&gt;Moved Temporarily&lt;/H1&gt;
The document has moved &lt;A HREF="https://script.googleusercontent.com/macros/echo?user_content_key=AehSKLjfW9ziOsR0imIRAiLM4B9jJ-IBKYHCoN1WX55zWXGQ5jandlA9QVDO-urba7liaZ0tXWUCs8dTKkHtnlDE4A8AoMJ2UZ4TvY3fair3YQXASQ4YzAlSBhSysLyYTyYXOxvF67UovfTe5Ivnpi7vQhIb2HkJHnxYL3XyZTg-yYKWd88upm_OqQ5ThZTXboMMq28ctIyQ-HIEEw0fmwCQykM_ypXB35p94l3oGLW3PgMFp1VUD2yfUvfHGRMMj15mnCBc2X0NwNA9CdnvKmJKqQSwwx8tX1UlStwmTgOvWMn5CTEuFWQlS07Fwpde1A&amp;amp;lib=M-zdWbhavtdZ1B_W2dnFDM0qoVt4lWzJ-"&gt;here&lt;/A&gt;.
&lt;/BODY&gt;
&lt;/HTML&gt;
</t>
  </si>
  <si>
    <t>NOd8hXANQ9wpR2Ovxi1D</t>
  </si>
  <si>
    <t>17590-C</t>
  </si>
  <si>
    <t>8F00241005200023</t>
  </si>
  <si>
    <t xml:space="preserve">&lt;HTML&gt;
&lt;HEAD&gt;
&lt;TITLE&gt;Moved Temporarily&lt;/TITLE&gt;
&lt;/HEAD&gt;
&lt;BODY BGCOLOR="#FFFFFF" TEXT="#000000"&gt;
&lt;!-- GSE Default Error --&gt;
&lt;H1&gt;Moved Temporarily&lt;/H1&gt;
The document has moved &lt;A HREF="https://script.googleusercontent.com/macros/echo?user_content_key=AehSKLhB_AKfIvHWLFI5ZXh75ku0u_Pw5dcBFyXQoYyhaT5_PaWLUbt7O280x8gZuZXem4zi7vOARzD971ALZv_Ot0n8PfsPsmuAtYEkb7s5gjrLSwi8kJh7dLEJPozxhmuhBHGe3OjZkC6Gb6tsweEr9baZ3K014lqaV_ux04lsNxjFNbn9p25MBISV9vATUc_0bB8ks98kLtlmHg-ildvgruhJH7dTPV_oMtjE1MS_ZEEwpMn0PBvUYqN_kE03sgIvewZ3iRuNTMPEXWe1t_lqPMnqBqnOPaQCR-nn8v-ipUgbRnXj4YJSoKYgfmNvLw&amp;amp;lib=M-zdWbhavtdZ1B_W2dnFDM0qoVt4lWzJ-"&gt;here&lt;/A&gt;.
&lt;/BODY&gt;
&lt;/HTML&gt;
</t>
  </si>
  <si>
    <t>twoYDdWgOCKa4h2W3EwB</t>
  </si>
  <si>
    <t>17590-D</t>
  </si>
  <si>
    <t>8F00241005200021</t>
  </si>
  <si>
    <t xml:space="preserve">&lt;HTML&gt;
&lt;HEAD&gt;
&lt;TITLE&gt;Moved Temporarily&lt;/TITLE&gt;
&lt;/HEAD&gt;
&lt;BODY BGCOLOR="#FFFFFF" TEXT="#000000"&gt;
&lt;!-- GSE Default Error --&gt;
&lt;H1&gt;Moved Temporarily&lt;/H1&gt;
The document has moved &lt;A HREF="https://script.googleusercontent.com/macros/echo?user_content_key=AehSKLhKqEzWk_s_QaGCCsTBeI9HNCMCqqh-wkwsk3Blj6U89jGCKv2w8aD0fH4cxxKYliwBihT_devVWi1--ThptnP-BtBpcfrD9kD9yI8h_4EGjCsr7_8QYWkodDGuVtOOjowgrct5wLtaoPLyJ0wLdV-C_sAOYOibGiJkfGdXbyTwOlzxSrWe7467qpXs6rJnHCP7AH-1t228JpYGhkXcIgarR0uE70up-lmaMlFMJkDVgwVqzO99GsIRbi99iliqfLnMyzqpUuYgPyxE8NnRFGS0UAWjqA2b1kd31XoSel2efDpi9ltnFZmdNU-qBw&amp;amp;lib=M-zdWbhavtdZ1B_W2dnFDM0qoVt4lWzJ-"&gt;here&lt;/A&gt;.
&lt;/BODY&gt;
&lt;/HTML&gt;
</t>
  </si>
  <si>
    <t>RSZWuscC35u8BLHkKNlu</t>
  </si>
  <si>
    <t>17590-E</t>
  </si>
  <si>
    <t>8F00241005200024</t>
  </si>
  <si>
    <t xml:space="preserve">&lt;HTML&gt;
&lt;HEAD&gt;
&lt;TITLE&gt;Moved Temporarily&lt;/TITLE&gt;
&lt;/HEAD&gt;
&lt;BODY BGCOLOR="#FFFFFF" TEXT="#000000"&gt;
&lt;!-- GSE Default Error --&gt;
&lt;H1&gt;Moved Temporarily&lt;/H1&gt;
The document has moved &lt;A HREF="https://script.googleusercontent.com/macros/echo?user_content_key=AehSKLhE0IWLO9c8a9zMyHrN9kAJicKRhucyZtwZ44tHgosNw2sL5-YCmDzppFkZJfTVRWWSfZvDjfPUk5-OzkDhzvN4qi_rUcL5QQ8xf9rGorghVPwRRFaBA64ZjbUrxqg6hMuCy77prXdC0s2T2NN59hD4YGuUu-lBDNSq1K1-u7alOQZwHZq8AS-_yavXk3HwH85c0bbq_RUD0w_9ajonx0pfE9JbbkjaOCubOyPeCjxux81uSc7MFgLRscaRCcGf4J9CPZWADJfcC1yubnkTGPQzmb8IVLPsMfPnzlk9QRvtoXUAkuSFlbYJMCX5IA&amp;amp;lib=M-zdWbhavtdZ1B_W2dnFDM0qoVt4lWzJ-"&gt;here&lt;/A&gt;.
&lt;/BODY&gt;
&lt;/HTML&gt;
</t>
  </si>
  <si>
    <t>UIIVJFD5KTtMEr5klLao</t>
  </si>
  <si>
    <t>17590-F</t>
  </si>
  <si>
    <t>8F00241225080007</t>
  </si>
  <si>
    <t xml:space="preserve">&lt;HTML&gt;
&lt;HEAD&gt;
&lt;TITLE&gt;Moved Temporarily&lt;/TITLE&gt;
&lt;/HEAD&gt;
&lt;BODY BGCOLOR="#FFFFFF" TEXT="#000000"&gt;
&lt;!-- GSE Default Error --&gt;
&lt;H1&gt;Moved Temporarily&lt;/H1&gt;
The document has moved &lt;A HREF="https://script.googleusercontent.com/macros/echo?user_content_key=AehSKLir3MBc2W_eTD42Od42jUTejfhSoGda7ieVSG-9N33cQjbQNNwTR9NsuyTnMTPfi218ndGSCtXsfKC7WyJuBzRDzSL331nZ7i44zCzXNIBIzkFaXLC94p5rdETufG182p_5v_mEcXascxOPLfmbc6MXmUxI2X3X3t6LRsirp4DhNa1ij7huSBj72xLeCW5TrST7BQyozQjwjHOeAIb09Uddgb-t7RJp6BgYaWowxVcHqdvHHVrjvb6KBvOi45bF_oC3oBDn_tGz1UwWEH6zoLPppXnZw4hLJovxW2HVPoIcAPqzlqqMwuhInmFIMA&amp;amp;lib=M-zdWbhavtdZ1B_W2dnFDM0qoVt4lWzJ-"&gt;here&lt;/A&gt;.
&lt;/BODY&gt;
&lt;/HTML&gt;
</t>
  </si>
  <si>
    <t>v23H6GIn1MK70bVefMGT</t>
  </si>
  <si>
    <t>17590-G</t>
  </si>
  <si>
    <t>8F00241005200028</t>
  </si>
  <si>
    <t xml:space="preserve">&lt;HTML&gt;
&lt;HEAD&gt;
&lt;TITLE&gt;Moved Temporarily&lt;/TITLE&gt;
&lt;/HEAD&gt;
&lt;BODY BGCOLOR="#FFFFFF" TEXT="#000000"&gt;
&lt;!-- GSE Default Error --&gt;
&lt;H1&gt;Moved Temporarily&lt;/H1&gt;
The document has moved &lt;A HREF="https://script.googleusercontent.com/macros/echo?user_content_key=AehSKLjhXb74n1RshtS7MGc3K9LRE_RcFV8qQbXMG0acj2QBb_fN8rG5l215ow2f5wpHxiUtxiYYv8WmBbnalZnuxoyIdLZSmEa_z7ubefHk4udYeCDVtHq6qsc_Ufi7GA09FosCsJNDwVbVDnMyR2m603SNYsOSvJB5h9nKudmIPhpvdHlMsxtOPp-C6gsGQ0E5e0tUYboEAjvv44-7lLVl7BkCcl0NTmVsVktlu4ih8YpBRgyfJ2mQCl1CV02OGlgo4FuaCrD6DWNqE9AlUCd-YqWGu4q5dvru4JCkFb05Dprkjo5GeF1UHC_mCecrIQ&amp;amp;lib=M-zdWbhavtdZ1B_W2dnFDM0qoVt4lWzJ-"&gt;here&lt;/A&gt;.
&lt;/BODY&gt;
&lt;/HTML&gt;
</t>
  </si>
  <si>
    <t>jZuALQLSzIS84cjQkrC1</t>
  </si>
  <si>
    <t>17590-H</t>
  </si>
  <si>
    <t>8F00241005200020</t>
  </si>
  <si>
    <t xml:space="preserve">&lt;HTML&gt;
&lt;HEAD&gt;
&lt;TITLE&gt;Moved Temporarily&lt;/TITLE&gt;
&lt;/HEAD&gt;
&lt;BODY BGCOLOR="#FFFFFF" TEXT="#000000"&gt;
&lt;!-- GSE Default Error --&gt;
&lt;H1&gt;Moved Temporarily&lt;/H1&gt;
The document has moved &lt;A HREF="https://script.googleusercontent.com/macros/echo?user_content_key=AehSKLiwQTl8L-GW0M6y1L_Y1Kw8erZPZv2ORclansA7kvyvck85usiHgRKNR_xe-jIhiVQ899BGLVfbD6qj4O5x4log0PGwREA4RlWPMhsR8sDIFrPT6RdaK7TMaiRXHNNG9JSuVyXZ-F0nfljOYAHP1n1DqxLnfytT_itIchoOdr1rTbQB0IwkInWG3t8FhV0-nTfQ0eS26qXamdcMpdEx0UI94kq43F3-D6LjB9ZMM0l27cQ-xvu39bf-GHkx6w6RsoQBPlYwskjnkrT3gpwx_jlIMUzKEbPFa2GbIfBhYSVr-YCQxCOSjyyB_2ogIA&amp;amp;lib=M-zdWbhavtdZ1B_W2dnFDM0qoVt4lWzJ-"&gt;here&lt;/A&gt;.
&lt;/BODY&gt;
&lt;/HTML&gt;
</t>
  </si>
  <si>
    <t>kAk5Gcw8XS0ITdSKf5wW</t>
  </si>
  <si>
    <t>17590-I</t>
  </si>
  <si>
    <t>8F00241225080004</t>
  </si>
  <si>
    <t xml:space="preserve">&lt;HTML&gt;
&lt;HEAD&gt;
&lt;TITLE&gt;Moved Temporarily&lt;/TITLE&gt;
&lt;/HEAD&gt;
&lt;BODY BGCOLOR="#FFFFFF" TEXT="#000000"&gt;
&lt;!-- GSE Default Error --&gt;
&lt;H1&gt;Moved Temporarily&lt;/H1&gt;
The document has moved &lt;A HREF="https://script.googleusercontent.com/macros/echo?user_content_key=AehSKLiQhCSgpybD8ipVZj-VEciq0zr85g5K3kcJZzUdH99Bm-KV6EQajoZCtBsKTCZVg1qjWfiEIse-EPsOYcnJO2O_lriJlPvVaVIA5pgdh1ndQwqce2spJWi6lmx-DkPmFbWgGEO0zoiWxG6T_6eE7RL_QxqQyTIkSDjUw7SVNfg85U46q0t0cGONX5tO8vReRuhdah40SMX2YGU5r-d4EP_VSW8FjczUduWqv0eDCT2dLlBtE_qNbaQL2GgikdTp4qElFCpkLxrV7zg-TM3YfNnYCWC5XbuNfIWlHhBdccnWEmxvAl4PmsDivmbCaQ&amp;amp;lib=M-zdWbhavtdZ1B_W2dnFDM0qoVt4lWzJ-"&gt;here&lt;/A&gt;.
&lt;/BODY&gt;
&lt;/HTML&gt;
</t>
  </si>
  <si>
    <t>dw6XdaiEJlpd3VXSfXs1</t>
  </si>
  <si>
    <t>17590-J</t>
  </si>
  <si>
    <t>8F00241005200029</t>
  </si>
  <si>
    <t xml:space="preserve">&lt;HTML&gt;
&lt;HEAD&gt;
&lt;TITLE&gt;Moved Temporarily&lt;/TITLE&gt;
&lt;/HEAD&gt;
&lt;BODY BGCOLOR="#FFFFFF" TEXT="#000000"&gt;
&lt;!-- GSE Default Error --&gt;
&lt;H1&gt;Moved Temporarily&lt;/H1&gt;
The document has moved &lt;A HREF="https://script.googleusercontent.com/macros/echo?user_content_key=AehSKLi-Bj_Y5VgX1FYHYgR3LSncNIa3hm7k-X-x2QI6dRvAcenmQwyweV-Eu6GpNg6gL0hEpwDHbDfzTJfkRKFnEjbclblwo_BXQJPmOpKYmVkoKn-AAKVmC3HorSl-yRGNtM6FPz06N1cdWKRcLv7SrddCJO3BuyfkRYp6uWnLe5_04Az57ETt5rR7AJO2JcmdvkwyKfjQd3HoJP2QHLO-XdQztS40Q7EnDhT6qJtlWX6J25KbPE-O4ZC65tKftkKweglWvz8FqhfvliuPfhfEVyKZP5ZjhvkfZNlmbxJoUNm5qKk9pAnBV1Mst8cJdg&amp;amp;lib=M-zdWbhavtdZ1B_W2dnFDM0qoVt4lWzJ-"&gt;here&lt;/A&gt;.
&lt;/BODY&gt;
&lt;/HTML&gt;
</t>
  </si>
  <si>
    <t>ma7kRMmw75luN7Nw5q5y</t>
  </si>
  <si>
    <t>17590-K</t>
  </si>
  <si>
    <t>8F00241225080003</t>
  </si>
  <si>
    <t xml:space="preserve">&lt;HTML&gt;
&lt;HEAD&gt;
&lt;TITLE&gt;Moved Temporarily&lt;/TITLE&gt;
&lt;/HEAD&gt;
&lt;BODY BGCOLOR="#FFFFFF" TEXT="#000000"&gt;
&lt;!-- GSE Default Error --&gt;
&lt;H1&gt;Moved Temporarily&lt;/H1&gt;
The document has moved &lt;A HREF="https://script.googleusercontent.com/macros/echo?user_content_key=AehSKLiiLp9qHeXSTMuA5335egzByu7VpXg29UPoYY1KY0k9AtDJDTWVJMCuxR1lvzgqE9nUPiSCVjZJ0bPOjp5pegCQb3J4yLVV6T_SpyX_mqwL_zyWcSSw1sX7m2K_2dBsnBkvskKcBYGXvtcKnX81qi4bYAXvFi6ak2jF6PSq98nRHGfhVg8dYicw6rCwXQKkvWtqQnPLGetxLn9HToOTAJS3PXabmHYJyo98lr2cz-xkxWSEMIxLkvRfx8mVCBchzWKeTQe8JLupoSx_1_XWf5BuCR9eRtRNXxdB0a7MdLYen_m4ggM_GpmCRQJooQ&amp;amp;lib=M-zdWbhavtdZ1B_W2dnFDM0qoVt4lWzJ-"&gt;here&lt;/A&gt;.
&lt;/BODY&gt;
&lt;/HTML&gt;
</t>
  </si>
  <si>
    <t>YzOrb2vy3gIFQMPuhV0C</t>
  </si>
  <si>
    <t>17590-L</t>
  </si>
  <si>
    <t>8F00241225080006</t>
  </si>
  <si>
    <t xml:space="preserve">&lt;HTML&gt;
&lt;HEAD&gt;
&lt;TITLE&gt;Moved Temporarily&lt;/TITLE&gt;
&lt;/HEAD&gt;
&lt;BODY BGCOLOR="#FFFFFF" TEXT="#000000"&gt;
&lt;!-- GSE Default Error --&gt;
&lt;H1&gt;Moved Temporarily&lt;/H1&gt;
The document has moved &lt;A HREF="https://script.googleusercontent.com/macros/echo?user_content_key=AehSKLhHc_x1nADEI1NEIFVM8rtAhv1kR8XKnhrRuW1YzuLP00fjRDe9oRoURaFhJayku5zigxkIKNphI-CkZZQ2GmOrQDToa9isM1dFfoEkhK44pmjMIws-3SJ-ULpQc-cSxaSsa7mAPOVWc_0mxuWiGP8_ksp439uSYM65NAG_FFGdbeQg3b1Tq_7B9ziNxWMWw4ehRxtHl56rkTSKQBKybkdghLDbcRzoVIRxwZHSpdfFRyqpMF3rxRaN7O5rPyB2NN9YnWNMxF2eTVofaFpYSdda39onjyhk8oEKtQupBjBM73hspDaNWGn9-v96nA&amp;amp;lib=M-zdWbhavtdZ1B_W2dnFDM0qoVt4lWzJ-"&gt;here&lt;/A&gt;.
&lt;/BODY&gt;
&lt;/HTML&gt;
</t>
  </si>
  <si>
    <t>Ujc2tLucmrOHDQcFcSn6</t>
  </si>
  <si>
    <t>17590-M</t>
  </si>
  <si>
    <t>8F00241225080005</t>
  </si>
  <si>
    <t xml:space="preserve">&lt;HTML&gt;
&lt;HEAD&gt;
&lt;TITLE&gt;Moved Temporarily&lt;/TITLE&gt;
&lt;/HEAD&gt;
&lt;BODY BGCOLOR="#FFFFFF" TEXT="#000000"&gt;
&lt;!-- GSE Default Error --&gt;
&lt;H1&gt;Moved Temporarily&lt;/H1&gt;
The document has moved &lt;A HREF="https://script.googleusercontent.com/macros/echo?user_content_key=AehSKLjsoukm7Mc0PW2ICKSeMERBZh4pryOZBsyCECY84DVHZl8qmQh6viLHUx4HgZbu0hSflL5M4XVIbJv5NItEAYKpSD6JrKwE0FDMt6DoX3arNmr9wa3DkgHowHWx40MNrUcHJgSbuZoaTclfOKAFfvEKMewlwegihKOWSlzhp0g5HgYj-NvhYzgYMMFCL9gNx2AuOxDSKllPy8PrqYJ-2rfU6NOQWTzrY8ac-jm6b6KYLHB2DuHqkiwe4fvmDqv9sWEUvtieOtWvlJoVmSjimnWWXpydtvh6gd7ES1_Nx_NG6C7GxCpEUjKDyUgtAA&amp;amp;lib=M-zdWbhavtdZ1B_W2dnFDM0qoVt4lWzJ-"&gt;here&lt;/A&gt;.
&lt;/BODY&gt;
&lt;/HTML&gt;
</t>
  </si>
  <si>
    <t>s6cY86lrVG0VrV8DL7hx</t>
  </si>
  <si>
    <t>17590-N</t>
  </si>
  <si>
    <t>8F00241005200030</t>
  </si>
  <si>
    <t xml:space="preserve">&lt;HTML&gt;
&lt;HEAD&gt;
&lt;TITLE&gt;Moved Temporarily&lt;/TITLE&gt;
&lt;/HEAD&gt;
&lt;BODY BGCOLOR="#FFFFFF" TEXT="#000000"&gt;
&lt;!-- GSE Default Error --&gt;
&lt;H1&gt;Moved Temporarily&lt;/H1&gt;
The document has moved &lt;A HREF="https://script.googleusercontent.com/macros/echo?user_content_key=AehSKLh1tvl_UCVkIBoWur3zq7qFPPSKSg2f9NiaJO2jN2iQMti5F9TBBaPBrkPoXGoT_-tVJTF80Pp2u1gqDYpKvK1D-8GelDoFywQkORcspZz2cPcr0mnITO4nOMgVo7IulMX4TWQO5eOk1AnP4WXeZI1gnB4vus-OSPOqvkP0qY88emOm-i71zdgyOYRAU_wYhyiEwFZu9XQ-uOAGntR-WYzgGrNtQKArrPcCzdV-eGEiYGdT2iX9XoCBFgrMwZZlj40JMPIIf-C_fcz8JckTvLS81aB0k0qFquLRCkBduMIt0ppfKGfrcKtwdHOjOQ&amp;amp;lib=M-zdWbhavtdZ1B_W2dnFDM0qoVt4lWzJ-"&gt;here&lt;/A&gt;.
&lt;/BODY&gt;
&lt;/HTML&gt;
</t>
  </si>
  <si>
    <t>hcAomhmYgE1yQHmx6IIi</t>
  </si>
  <si>
    <t>17590-O</t>
  </si>
  <si>
    <t>8F00241005200025</t>
  </si>
  <si>
    <t xml:space="preserve">&lt;HTML&gt;
&lt;HEAD&gt;
&lt;TITLE&gt;Moved Temporarily&lt;/TITLE&gt;
&lt;/HEAD&gt;
&lt;BODY BGCOLOR="#FFFFFF" TEXT="#000000"&gt;
&lt;!-- GSE Default Error --&gt;
&lt;H1&gt;Moved Temporarily&lt;/H1&gt;
The document has moved &lt;A HREF="https://script.googleusercontent.com/macros/echo?user_content_key=AehSKLjY7z05bMfiWqM-50BT5mTeNkJwn0nrvQF6369OAR7Gb3zbQmNwAlRUkRqgHs_Rn1UKYcELxe-q18iRBCQTRQ0P8P9pSr2U-JM3d8Wi3X19bdZXhovkLl2TgqtUV7rhJgLMMJTkJSusUR4ui3NNKu6231iwAbdoieQsFVcH-RBtIieooO9uHfUBS3rnp5hXTs8-k61mY6aotjuP9p0iTNXLSISCJ-7NzJ3AcPrKeo9uVGeC9O87_cKEdkiG09P3_ROIhMElugIf7UyyVoFL8s9w3PS5pYpeaG3uoYq9w9kKbDFIR9wRdUlqj6DajA&amp;amp;lib=M-zdWbhavtdZ1B_W2dnFDM0qoVt4lWzJ-"&gt;here&lt;/A&gt;.
&lt;/BODY&gt;
&lt;/HTML&gt;
</t>
  </si>
  <si>
    <t>NXs3xHJ0bnEriTRMT8oN</t>
  </si>
  <si>
    <t>17590-P</t>
  </si>
  <si>
    <t>8F00241225080010</t>
  </si>
  <si>
    <t xml:space="preserve">&lt;HTML&gt;
&lt;HEAD&gt;
&lt;TITLE&gt;Moved Temporarily&lt;/TITLE&gt;
&lt;/HEAD&gt;
&lt;BODY BGCOLOR="#FFFFFF" TEXT="#000000"&gt;
&lt;!-- GSE Default Error --&gt;
&lt;H1&gt;Moved Temporarily&lt;/H1&gt;
The document has moved &lt;A HREF="https://script.googleusercontent.com/macros/echo?user_content_key=AehSKLgmF9zvigwjOlJ85cQ2DQm2dk6PrxmkhF3vOTRW5WtTgUo94XHiebr_XZAMOb8kpNGre9n9OqSISY3rOTULQi-QErn9i4SvYdDiLyWAQTBTrZd3qHxysG3OIGaKD63GJT1bPEVhyje6pkdalnt_K_IcC-W7XKMWmbGIjj9g4dm2349qr9ZDYL5ATG4bIzLpumTwXkHP6aFVTvTtTcQLgJK5OXazPG6V8Y2mDKDhsWV6GGt2KSBMjX_GyLpDIhi6vpKUW0bbSzKKogOkTrLe-RrwoxYvtURNEHje5SoAhGdZ8G1N04a4POnjsbiCMQ&amp;amp;lib=M-zdWbhavtdZ1B_W2dnFDM0qoVt4lWzJ-"&gt;here&lt;/A&gt;.
&lt;/BODY&gt;
&lt;/HTML&gt;
</t>
  </si>
  <si>
    <t>CY23neDCkrTOcfNn9vZP</t>
  </si>
  <si>
    <t>17594-A</t>
  </si>
  <si>
    <t>8F00241118040010</t>
  </si>
  <si>
    <t>KEEPERS</t>
  </si>
  <si>
    <t>RETIRA EM SP / (048) 996277956E-mail para nota fiscal: , E-mail de cobrança: , Telefone para contato</t>
  </si>
  <si>
    <t>cytri2sNQPiKHFOLnMiLQQ</t>
  </si>
  <si>
    <t>17594-B</t>
  </si>
  <si>
    <t>8F00250110310002</t>
  </si>
  <si>
    <t>wf53eoVs6UnZwwuXln1t</t>
  </si>
  <si>
    <t>17595</t>
  </si>
  <si>
    <t>8E00250104050019</t>
  </si>
  <si>
    <t>EXPRESSO SAO MIGUEL S/A / (049) 3361-6627Informação Adicional: +3% DA PROMOÇÃO / Obs.Interna: +3% DA PROMOÇÃO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</si>
  <si>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Qzpmv1tKoOTTANtLi18U20HtdvF6UId0sn0LWVS7ZsR_eS371bbYVOvK6AE7T4GBGNUGn97kznKPnFVPj-n9C1OHcD7t8wGlIaZlNsn-HuDcPKJxjxlK85X6Pm6BN13gGgALzaTcRdr7ApFccyt1adaZMLXEd9_RAA1-s2Igdd554PzRpFte4ha7auO7yyigrvo2wfgUw-MximZLDT95q9knpP4FRAkdIuVFNXW1Ufx5pwjUptcKgFDlzRspxslixvJGzL5gd47R7UPNbmtApYtdFmpi7zk-CRes5pqvf2HBNL0M_9xnOHOS6JA&amp;amp;lib=M-zdWbhavtdZ1B_W2dnFDM0qoVt4lWzJ-"&gt;here&lt;/A&gt;.
&lt;/BODY&gt;
&lt;/HTML&gt;
</t>
  </si>
  <si>
    <t>YFxgtPslTpejut7-0ZNQjQ</t>
  </si>
  <si>
    <t>17596</t>
  </si>
  <si>
    <t>20014</t>
  </si>
  <si>
    <t>FITLOG TRANSPORTES E LOGISTICA LTDA / (011) 2212-5862Informação Adicional: REDESPACHO:
O REDESPACHO SERA FOB - TRANSP. RAPIDO FIGUEIREDO - CNPJ: 10.973.773/0001-08 - END: R OURO VERDE DE GOIAS, 1233, CEP: 07.221-080
&lt;br&gt;</t>
  </si>
  <si>
    <t xml:space="preserve">&lt;HTML&gt;
&lt;HEAD&gt;
&lt;TITLE&gt;Moved Temporarily&lt;/TITLE&gt;
&lt;/HEAD&gt;
&lt;BODY BGCOLOR="#FFFFFF" TEXT="#000000"&gt;
&lt;!-- GSE Default Error --&gt;
&lt;H1&gt;Moved Temporarily&lt;/H1&gt;
The document has moved &lt;A HREF="https://script.googleusercontent.com/macros/echo?user_content_key=AehSKLi0JGXx3mS723AD5gutRxzmlzen2AstOWBZrgo6Fj2GvuSQ5e-L5eC0hGTZlTrNE1Nah7QEOYLwvnqZDjq5mpGQIBhl2r-ysWW-WkRuxfP5TL3DAP3_3awL1XDRKaTDQHekXsZRmjJwYbp9BJS2_ceCTi7v5Rjk6KieLlTU4ztzXVQWDXXB4UcjnUlAOWhW_tH1dTQ5m_51JNonriRLR6660fTkj7r6WrcMoE6-tCE1GaDE_7KQ3vQG_NZzG2iucqSkrD0oAFrFaAzydHFyOzC3SwU5xjzDIUxq3-LUQxHsqgjndo9s6uCkK-Si2Q&amp;amp;lib=M-zdWbhavtdZ1B_W2dnFDM0qoVt4lWzJ-"&gt;here&lt;/A&gt;.
&lt;/BODY&gt;
&lt;/HTML&gt;
</t>
  </si>
  <si>
    <t>xcGxUVDfROmcZRgCRmhUaA</t>
  </si>
  <si>
    <t>17598</t>
  </si>
  <si>
    <t>8F00250104100003</t>
  </si>
  <si>
    <t>EXPRESSO SAO MIGUEL S/A / (049) 3361-6627E-mail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</si>
  <si>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HapFfvQ64Jo5srxCiS8jH26NVNyc9CI4nIxd52YcekMhmh8o1F8_5mQfnb8Y8YhYvnbvamTMQfz9Voqh7Ig3ScH6NBQuT6xjbCIFpCcf4mHl-UnhZgot00yUqlLtsg14Z5h4BMGJzq5mOMIhdV154ONC416-k03b3JuoT14DD1vXF1Ht93iut-a7Dt3l55wfE2OTVp6oCL4VA4Br883gWmOD5Haybs5F01mI7eDUXWMNgxzpnPwnEwlgObimT3HIFnzQ1ve79fnsTlT5mapwUt07HuNMAzYYclphsumirJJq5VM5heE7AqTTabg&amp;amp;lib=M-zdWbhavtdZ1B_W2dnFDM0qoVt4lWzJ-"&gt;here&lt;/A&gt;.
&lt;/BODY&gt;
&lt;/HTML&gt;
</t>
  </si>
  <si>
    <t>f8YTZ7PgQOe.Nf2rJ6IqFA</t>
  </si>
  <si>
    <t>17599</t>
  </si>
  <si>
    <t>SOLLIO COMERCIO E REPRESENTACOES</t>
  </si>
  <si>
    <t>8E00250104050009</t>
  </si>
  <si>
    <t xml:space="preserve">&lt;HTML&gt;
&lt;HEAD&gt;
&lt;TITLE&gt;Moved Temporarily&lt;/TITLE&gt;
&lt;/HEAD&gt;
&lt;BODY BGCOLOR="#FFFFFF" TEXT="#000000"&gt;
&lt;!-- GSE Default Error --&gt;
&lt;H1&gt;Moved Temporarily&lt;/H1&gt;
The document has moved &lt;A HREF="https://script.googleusercontent.com/macros/echo?user_content_key=AehSKLgGf02I0Tgmo-ClDbnNfUw6Oi4d0XARkXuUBhlG5tAxggj1wCTsTcsl57NafkpT_PrggZonoNFzc3qkv8dGUeIgZz61d-grecZhUWd3gHN7wrKgi0qfLcQS9QZymWUgUnHWYKmfBzhgVu0WbwhQDZwRldNKYDFCgUutZwOIkhWQXRw3470t54Ck4UsNLMgzkGyjdbR9TP9Tql_zhqzWYz1KkSsLZevj9wAHr3qimqp-l-dRCr-Ero5jL4hoP1HRPY9ysO0Qpke3x1XLyNfM0lhZyAwwqtmQ_iD_b2XtDw-8jazZtB-5DRTAk_Foog&amp;amp;lib=M-zdWbhavtdZ1B_W2dnFDM0qoVt4lWzJ-"&gt;here&lt;/A&gt;.
&lt;/BODY&gt;
&lt;/HTML&gt;
</t>
  </si>
  <si>
    <t>JB3Ezf6rRXq9-Xo9x4SNDg</t>
  </si>
  <si>
    <t>17600</t>
  </si>
  <si>
    <t>Andrea Letícia Kfouri</t>
  </si>
  <si>
    <t>8E00250104050010</t>
  </si>
  <si>
    <t>FITLOG TRANSPORTES E LOGISTICA LTDA / (011) 2212-5862Obs.Interna: SAIDA PELA FROMTHERM - DIFAL DE R$575,00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</si>
  <si>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8qI5HJv8Obgm_pwrHoAY7sTW3sZ7GIfxAcYMqP5rdXQVqmVnb1hKzsvEsk3_MHsADyUKbXthhPcAinnGkr8eSHg91VNVKQd_Edw4chrEQMRuEeLhb4k1cVnJN7mjvSB77pgyjDgGAMofECTIArTqEoDF0YKatSX0yeeC68xpQXxnPT3k4ejrkK9mBvwPqDzT4IYzAEupYLcHfzYuFj_qTNCTS1zMbkQ6mB_YD1ReKCdY4RoaZ2mIXCWM6TuhGlxnA1rjZ-bynzXAjblrRgLQpB4RpsmZj_rnRsKGAJNyXz8o2pgxmTG9X2UWQuA&amp;amp;lib=M-zdWbhavtdZ1B_W2dnFDM0qoVt4lWzJ-"&gt;here&lt;/A&gt;.
&lt;/BODY&gt;
&lt;/HTML&gt;
</t>
  </si>
  <si>
    <t>kR43UOTgR8yhhDTZHuaWHA</t>
  </si>
  <si>
    <t>17602-A</t>
  </si>
  <si>
    <t>14025</t>
  </si>
  <si>
    <t xml:space="preserve">&lt;HTML&gt;
&lt;HEAD&gt;
&lt;TITLE&gt;Moved Temporarily&lt;/TITLE&gt;
&lt;/HEAD&gt;
&lt;BODY BGCOLOR="#FFFFFF" TEXT="#000000"&gt;
&lt;!-- GSE Default Error --&gt;
&lt;H1&gt;Moved Temporarily&lt;/H1&gt;
The document has moved &lt;A HREF="https://script.googleusercontent.com/macros/echo?user_content_key=AehSKLjlRM5vMync1jU4IfjClDHZMMIHdfID9N3SuJ-e-eO155pJm3mL-Vcx755YygnPhAQJw0Xh6ub59E5FBkGFxuFK_Co34G4xKRnNipWlWaTXSQ7NyB1B0RdStULkz2jF0JqoYlhDXLc3dzNZOl_oAabTbGpE1lBZvMSdivr3zeiCvWb9NAw6VQjrh100CNIvn0Y88uSbRUN-4lBuU0JVntzdUj72Wvgu5RMobEKN7qL9wZN0x1iHzY2UJOZeehFcrlmJnyciIbCQc15GxEYij_j_KNqzpyv3B-VdslQlr9L_NYen1NRXXwiDtOJ8Gw&amp;amp;lib=M-zdWbhavtdZ1B_W2dnFDM0qoVt4lWzJ-"&gt;here&lt;/A&gt;.
&lt;/BODY&gt;
&lt;/HTML&gt;
</t>
  </si>
  <si>
    <t>JSqj.LSyQNqykEMqNsSaiw</t>
  </si>
  <si>
    <t>17602-B</t>
  </si>
  <si>
    <t>14102</t>
  </si>
  <si>
    <t xml:space="preserve">&lt;HTML&gt;
&lt;HEAD&gt;
&lt;TITLE&gt;Moved Temporarily&lt;/TITLE&gt;
&lt;/HEAD&gt;
&lt;BODY BGCOLOR="#FFFFFF" TEXT="#000000"&gt;
&lt;!-- GSE Default Error --&gt;
&lt;H1&gt;Moved Temporarily&lt;/H1&gt;
The document has moved &lt;A HREF="https://script.googleusercontent.com/macros/echo?user_content_key=AehSKLhM67_UnUTKUceywJvarYrcDTXBv5YnLkIMA9ml_juBL-IW4gZGyLFrg47lzApIZNEVQ7_R_YpDn4bicL23aSMKG8EwZvV_mm42vXaONvFjoWYuJaJc-TJp0im3oD9WZcbvjA960rjrSFELq08Ti2_qk7mra_mZAtMle4SfktLZHAOj-P1G8eiH_DloL6axPGHuR02ZYfjK-nIJEAoWxl687d_j7LDzeBSz48EelMgf3B-kKrdHhEHx-ufOoc3tltvxT9nX284wAFk0v6jIChc4caGgKvdAaqp3Ac31obD57HLBDshjFs7Fh8U_wA&amp;amp;lib=M-zdWbhavtdZ1B_W2dnFDM0qoVt4lWzJ-"&gt;here&lt;/A&gt;.
&lt;/BODY&gt;
&lt;/HTML&gt;
</t>
  </si>
  <si>
    <t>bGMEbEJ3liMYps7AbRvg</t>
  </si>
  <si>
    <t>17604</t>
  </si>
  <si>
    <t>8F00250104150024</t>
  </si>
  <si>
    <t>ACEVILLE / (047) 3130-7350E-mail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</si>
  <si>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nozgGI-eFvI7vMZgeJqn2BGBj-mAI-18Ubm2NirU_FWBZYOu-9w1f8T8dQlK8lf9xy8AwyAcoNnjUCMglRcc2d7RWBahlSXf_GA3gXP-UJZ4oAIYpkrQMwe0q7KAS1RVfBvBBZAItVrujrb1NS0sbQKokwfZ94KXgCbK5VcBjt9o6pOx_7Q3xHyib2sbJRN2Fy7Rokk_97EJrjQNt4-MT6MBK4IGl1MlN5e6UJsmP3BO3G6quLIiNPXqBC_EbRALp2JECc4RdBTfQDgCpb83PedtozZKfvyKypsQTcLCp82psSdgpM1exPiYLsw&amp;amp;lib=M-zdWbhavtdZ1B_W2dnFDM0qoVt4lWzJ-"&gt;here&lt;/A&gt;.
&lt;/BODY&gt;
&lt;/HTML&gt;
</t>
  </si>
  <si>
    <t>lNrUrhwERdOa5C-NLPfXAA</t>
  </si>
  <si>
    <t>17605</t>
  </si>
  <si>
    <t>8E00250104050007</t>
  </si>
  <si>
    <t>FITLOG TRANSPORTES E LOGISTICA LTDA / (011) 2212-5862Informação Adicional: REDESPACHO : SETE LAGOS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</si>
  <si>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vnORMtejjbvaJGxBTgWnSIRRSgW7-6f_ObcfAHQ538HsGXusAZAzF0M5vX2YSXiX1iL_6JYu0xeN3FYZWYr4RbpZsWuEg6MXvWn6wxGrFGGIoqfdrfyADOqje35YAXpo1zf0w-Ct649jr9PPjLZvUbQPWPG1yfLhBWx9wMxfHCw-Xfi60WZF-mtjfFSjCFMCTfKlUtPlgo1xzwDpcM7pblKjA7nbrt-7Frx3MS-zU9PyU9cwgjmC4U_FeJ8HZ0Mm9TC1PIMuUAZtHXg-qyZajyKYgWjGzfFT2oR9if8LtGqwuwBc8VkHmE5fz3g&amp;amp;lib=M-zdWbhavtdZ1B_W2dnFDM0qoVt4lWzJ-"&gt;here&lt;/A&gt;.
&lt;/BODY&gt;
&lt;/HTML&gt;
</t>
  </si>
  <si>
    <t>my9O84WYQEaApIIMak.BHA</t>
  </si>
  <si>
    <t>17606</t>
  </si>
  <si>
    <t>8F00250102050026</t>
  </si>
  <si>
    <t>FITLOG TRANSPORTES E LOGISTICA LTDA / (048) 996277956Informação Adicional: Transportadora de redespacho : GRIFE TRANSPORTE / E-mail para nota fiscal: , E-mail de cobrança: , Telefone para contato
O REDESPACHO SERA FOB - TRANSP. GRIFE - CNPJ:25.406.384/0005-00 - END: R IRAQUARA, 24, CEP: 07.161-550</t>
  </si>
  <si>
    <t xml:space="preserve">&lt;HTML&gt;
&lt;HEAD&gt;
&lt;TITLE&gt;Moved Temporarily&lt;/TITLE&gt;
&lt;/HEAD&gt;
&lt;BODY BGCOLOR="#FFFFFF" TEXT="#000000"&gt;
&lt;!-- GSE Default Error --&gt;
&lt;H1&gt;Moved Temporarily&lt;/H1&gt;
The document has moved &lt;A HREF="https://script.googleusercontent.com/macros/echo?user_content_key=AehSKLj0wgacQrCAi9PBhVXkZnZHha5DC_GgxieGi0lvpOZNAeYroQUIq5tIDwYQUELef_BIcxcQhMydRvKvD8JNNHQjVnWM7Z350rhEiJJISKs-5bWZh3p6lMLA7jPDbCSySPsAsm8J6-Jk-VvoMgYByltktTjFo8W7Yx3AsgBa4Ke7JQ6wW4IMsqALYFrGkHc8E-niOZykQ0U9Z4X6X0f4lqriCFiWuSublYUtEoWFV5D3J24HKkEA9L0gn4aQVqZmuR5SKlyiltCQ7tDS7m6pmfMdCLJ3h7JH0Qye_OPnjxp0tf5ZNyb5IxS4hIa7XA&amp;amp;lib=M-zdWbhavtdZ1B_W2dnFDM0qoVt4lWzJ-"&gt;here&lt;/A&gt;.
&lt;/BODY&gt;
&lt;/HTML&gt;
</t>
  </si>
  <si>
    <t>YN0tqVWfRuWx.7KBLIKTpg</t>
  </si>
  <si>
    <t>17607-A</t>
  </si>
  <si>
    <t>8F00250102140029</t>
  </si>
  <si>
    <t>EXPRESSO SAO MIGUEL S/A / (049) 3361-6627Informação Adicional: +3% de desconto / Obs.Interna: +3% de desconto
PRAZO 30/60/90/12O DS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</si>
  <si>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4THCqiWdwze_E8s69HSE6WQDoUnnvFkKmCs7KQHTdwhKP8Ow8VgU5IbhQK8XCSqjpyAFVGD4dxguq8BejPa4VCfhS8tcKhip24kYXZMF1MRi5n9EcSdQsQDr1RUJtbI4rWR1Gp7JsyL1rIUkHni0p4z0UbAGdbLyEhP6UrLuLEeVvmn_T-tB9q7yntbbat4uVNVe0UDrWEzSgblxT1pB51cs6wuAMFKnfNuTDrz3Jmu85S5AIWmtiOAtUUBMGDqAuinb9b7F65AAwnJQByUKNvZzlx1NRZuW2nlugdVKe9kOGUxdxfD9O4e7pGQ&amp;amp;lib=M-zdWbhavtdZ1B_W2dnFDM0qoVt4lWzJ-"&gt;here&lt;/A&gt;.
&lt;/BODY&gt;
&lt;/HTML&gt;
</t>
  </si>
  <si>
    <t>mEeZBMggSRyzVOftNvelIA</t>
  </si>
  <si>
    <t>17607-B</t>
  </si>
  <si>
    <t>8F00250110310006</t>
  </si>
  <si>
    <t xml:space="preserve">&lt;HTML&gt;
&lt;HEAD&gt;
&lt;TITLE&gt;Moved Temporarily&lt;/TITLE&gt;
&lt;/HEAD&gt;
&lt;BODY BGCOLOR="#FFFFFF" TEXT="#000000"&gt;
&lt;!-- GSE Default Error --&gt;
&lt;H1&gt;Moved Temporarily&lt;/H1&gt;
The document has moved &lt;A HREF="https://script.googleusercontent.com/macros/echo?user_content_key=AehSKLg9r6y3WgLFNNw4H9hdBzC3jasFVVFd3JnrqkhZeVvczqnQCHL9oD0w5kdTr3m0DvoX5tsKTlOIAgBZzK_BVEM7_1tnbyJg-fxyP-QVwEA99A7zAl2Y5Oq39Ri2POJxHWsZVowt_njO726WiO7akOv0qceBV-Pfux4jQ5N2i100xhzYSdi0YYYeigYCxy9XnofWSHXbsl_zgPNZ5XOJ3mnXThWmzp9Cp_pSGwkVhquKN3ScSL4u6WvWQTR5XrZy0ZzNyJsPRzcr6ivO0dZMN3Dn-AaV8QRrYWtXH6uBs4NNczBsY0hKLh73pYegpw&amp;amp;lib=M-zdWbhavtdZ1B_W2dnFDM0qoVt4lWzJ-"&gt;here&lt;/A&gt;.
&lt;/BODY&gt;
&lt;/HTML&gt;
</t>
  </si>
  <si>
    <t>NmNdSqvnIdiys3ugd3pM</t>
  </si>
  <si>
    <t>17607-C</t>
  </si>
  <si>
    <t>8F00250104100004</t>
  </si>
  <si>
    <t xml:space="preserve">&lt;HTML&gt;
&lt;HEAD&gt;
&lt;TITLE&gt;Moved Temporarily&lt;/TITLE&gt;
&lt;/HEAD&gt;
&lt;BODY BGCOLOR="#FFFFFF" TEXT="#000000"&gt;
&lt;!-- GSE Default Error --&gt;
&lt;H1&gt;Moved Temporarily&lt;/H1&gt;
The document has moved &lt;A HREF="https://script.googleusercontent.com/macros/echo?user_content_key=AehSKLhrjj4lgk7DXroiZK5PLhFSbzPSJl-ds7DiHaxTTbqj_b5N8GSfk4Qk5v0qgPtGscn19Qx2G8GscYq6R8gbEfdjmL6DN3v7U3gY3F7xa7QgktM7SUc9aGC454bTWR7ytJE8LztoLcF96e1Rh2ZpFALIC9NVdgYclpQkhKxuaAnItxmS7ChDQ3eWnozrH0p_adifemPbwjitXblPp1BM2Ah82HDMPOFdUABRGU-sKvwZSX2utVgCWN_GtElyvzIlCWIdur_KStJysUQlE9_TotYt__J-9PQ0BkRzjYWcczmik4Ww1rW3DAmA3fuXaQ&amp;amp;lib=M-zdWbhavtdZ1B_W2dnFDM0qoVt4lWzJ-"&gt;here&lt;/A&gt;.
&lt;/BODY&gt;
&lt;/HTML&gt;
</t>
  </si>
  <si>
    <t>5dmeyqxXLsKApzBhuxIf</t>
  </si>
  <si>
    <t>17608</t>
  </si>
  <si>
    <t>Fabrício da Silva dos Santos</t>
  </si>
  <si>
    <t>8F00250104100001</t>
  </si>
  <si>
    <t>RETIRADA NA FABRICA / (0) Obs.Interna: SERÁ RETIRADO NA SEGUNDA FEIRA DIA 26/05 . VENDA FEITA PELA CRICIUMA PISCINAS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</si>
  <si>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VU2Bz1DWb3D71xGKjP2mYkRowqVhQObbHwyLoPBdz7YPUp5ubozly6V8x-Rl-BbzlOKbxu9OOxJ5grd4m7E9e1EECVOt-wpcjSg4AqI0ZPn9YDEhN06RGFzks6fJ0AlKBLsrHDegmfSHJniDW7-GDGgtLimnsYFOd_u9UGuYzK7dkx-e__3oPD0ihOMkEwwnG2_8XgzW6Y7b-Riz_vIo6-FSEoYkyWXfplyVv3ZR9t1cz9HrioknZO7-KN3JyzxZYGgvxqBZVCOUGJLQ1bNZ1LWUey-qIcknkqPlafXTV8dL3MtQxWmx37a10JQ&amp;amp;lib=M-zdWbhavtdZ1B_W2dnFDM0qoVt4lWzJ-"&gt;here&lt;/A&gt;.
&lt;/BODY&gt;
&lt;/HTML&gt;
</t>
  </si>
  <si>
    <t>9i3LapyMTcC-WTobSTIKLw</t>
  </si>
  <si>
    <t>17609</t>
  </si>
  <si>
    <t>EMPREENDIMENTO HOTELEIRO CAPIXABA LTDA</t>
  </si>
  <si>
    <t>20013</t>
  </si>
  <si>
    <t>Pedido reprocessado ao alterar dados do cliente 23/05/2025 09:12:34 usuário: P000992732
FITLOG TRANSPORTES E LOGISTICA LTDA / (048) 996277956Obs.Interna: entrada R$15.000,00 + R$15.000,00 BOLETO 30 DS . ENTREGA UGRENTE 4 DS PARA DESPACHAR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</si>
  <si>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Eqsed2a-xuBFzvqCNQPrvrtbC9MH6aYUkVIeOhae0oSOt7PiyDwz8tCTECnNmrLNlTwfUqLnFUELi6E24ITKqtSEg8BanxoAxSE5DY6ucDckZ5bnc5AMFKcnjvyfOTEjoE_Bez3ALmByl7_cBAnW2F1Okm7SeC3vzyKRDgxSQgwvW5buvs-LG4DGeGNYuOd3X9BMu6ZCT1WIwGFfxAA1ex0FPt6fDd9tVYh4puumCcjKJY1cQ2uiOlqujCEjVY5dyih_-SS7x4nGpU3zSrd1RgguiHQ60kd-0SQ5FttvsWqBFV4cbbCQFvreABg&amp;amp;lib=M-zdWbhavtdZ1B_W2dnFDM0qoVt4lWzJ-"&gt;here&lt;/A&gt;.
&lt;/BODY&gt;
&lt;/HTML&gt;
</t>
  </si>
  <si>
    <t>8DfIXbEFSbCg.2uAfPhEVw</t>
  </si>
  <si>
    <t>17610</t>
  </si>
  <si>
    <t>JUAN CARLOS KUHNEN DA SILVA</t>
  </si>
  <si>
    <t>20015</t>
  </si>
  <si>
    <t>IUZ7E40 - RETIRA - JOAO SILVA  - 88036356702 - FORD / CARGA CAMINHAO  / BRANCO / 2020</t>
  </si>
  <si>
    <t>ALFA TRANSPORTES LTDA / (049) 3561-5100E-mail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</si>
  <si>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xVtG7g18SXg5exMtZFHgAvFmxLc3pNFAVa4SLSQ8OAm0IB0dLmpouDGmEH0jycgZbX2AsLlrd7LB6ptLKF7vLsyoMdxbC2cQxa70yA6aCjOgwnRqfxMdWPre_pPJziQHXdwtUcsmel8HOhLafNAKV5l4ysI9b99n-v10FAvJDaW5KFzmeIIuPPrEY9LNvPwGGZUNZnmYHk8-w6uZ_JYuG5ub8PGMUC3gh-tzOYLLRFudfysbzbgYS_EQ-OAQqGeuTS-d-K-KXY9iOYkc3Zr2PAsIl9XhNPVece3QEe_w6vZ64KLBT9RdLIXMe8w&amp;amp;lib=M-zdWbhavtdZ1B_W2dnFDM0qoVt4lWzJ-"&gt;here&lt;/A&gt;.
&lt;/BODY&gt;
&lt;/HTML&gt;
</t>
  </si>
  <si>
    <t>5JL-EA6mRqqkBc08-w3JBQ</t>
  </si>
  <si>
    <t>17611</t>
  </si>
  <si>
    <t>13976</t>
  </si>
  <si>
    <t>JAO8D94 - RETIRA - VALDNEI PONCIANO BARBOSA  - 05591097928 - M.BENZ  / CARGA CAMINHAO  / BRANCA  / 2021</t>
  </si>
  <si>
    <t>Enviar banner da inverter e 10 catálogos.
EXPRESSO LEOMAR LTDA / (051) 3714-1939Obs.Interna: despacho urgente , aguardar o pix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</si>
  <si>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Pry4SZlc7wlZS2nGR9-f6f1YX-oY31SNIyrwqQ2fjfilXMT4ZnmuwaT979dZ0j3D5E6Qf4n4YtDSX3c4UuAvxuZVZN3LBUv0hC_vjfF7rkX8t8fQECBfZtp2k_VDw6YAwXs-B9gH3qIOTyGa0qp5c_agdpzDy4R3yw2GQAKq_JfjGQHhQi57C7Zk0yik-AAeq_h5K582Kgp2tROEPOTjWuljsGstRdwCB530ap01f441AApZKOI6EIvq7VnqDltIZwfXj3UXt-bviDwomLh2ZFAgbRHnvp0Uk66XEEdMmOm33O9yLiM1P9ACzNw&amp;amp;lib=M-zdWbhavtdZ1B_W2dnFDM0qoVt4lWzJ-"&gt;here&lt;/A&gt;.
&lt;/BODY&gt;
&lt;/HTML&gt;
</t>
  </si>
  <si>
    <t>hFB3wlktSxq8VmK4LXOwBg</t>
  </si>
  <si>
    <t>17613</t>
  </si>
  <si>
    <t>8F00250102050029</t>
  </si>
  <si>
    <t>OURO NEGRO / (0) Informação Adicional: REDESPACHO FOB CNPJ 08.831.345/0003-60 - UBERLOG TRANSPORTES E SERVICOS LTDA - Rua TSARG JOAO LOPES FILHO,138 - PARQUE NOVO MUNDO ¿¿¿ CEP 02.178-010 ¿¿¿ SÃO PAULO-SP ¿¿¿ I.E. 148.682.380.110 / Obs.Interna: Desconto promocional pagamento antecipado 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</si>
  <si>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9GvpIimLl9Rj3pH_JcpRt3z0YYlMs4bX-OSITnKuPdWFY-wjGvbda4MB8UVrUHRNUVb3YO6YlX0jpSCiWbtMZQi7tHXU5K0hqo0uJlTgGilMRhiawdVIC9krOeXDjtRnn66HDed_99MYXnQafWVQ5UAqo2-XzRKJ53QSb_4Gaz_Pe4dqB48-ig03cOIyNQFgPJkq6mE5ph-EsbdM0z7mR-kueMsiX2PCNgyuFLT1xUSJVsIBmHiCnaf7ouxT96XzezQyxdpYZDg5EfODkZbro__5aeZUyXiLK6Bf54aFRbW2Xm58Ol-4v3DjsYw&amp;amp;lib=M-zdWbhavtdZ1B_W2dnFDM0qoVt4lWzJ-"&gt;here&lt;/A&gt;.
&lt;/BODY&gt;
&lt;/HTML&gt;
</t>
  </si>
  <si>
    <t>5gUnrL3KQ-q6dYeFiefDsw</t>
  </si>
  <si>
    <t>17615-A</t>
  </si>
  <si>
    <t>20017</t>
  </si>
  <si>
    <t>FITLOG TRANSPORTES E LOGISTICA LTDA / (048) 996277956Obs.Interna: 30/60/90/120 - SAIDA DA FABRICA CIF ATÉ O CLIENTE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</si>
  <si>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u0cYjhGM7lE2dH8Fg63lyml6DD35vSHmO7M7Ts2jH14WBu_aqgcr2saAeBgqwFj0kZQVK66Ex14HmlhYmNBOboQH-i3LVRjAQMnAGfzKBjCmDSUu_AbooxUP6JCIm13HNuiMfMAjsJ24ndMZWiYOPttwlyfIDP2x_lBCPT15-8si3zMvTilb2S8z5pVSIqqRfyfYgU7WNJcBnjbrftzdqcQxPCFr1Vx9BSHSg4tkkt6jJUamL9v6n_qOUpr0wNGuic4Fbq6rQFNt6xB6LyEVfrfuB8YZp7ce_UDybuRX3uVXkg73EsoeiAJnH2Q&amp;amp;lib=M-zdWbhavtdZ1B_W2dnFDM0qoVt4lWzJ-"&gt;here&lt;/A&gt;.
&lt;/BODY&gt;
&lt;/HTML&gt;
</t>
  </si>
  <si>
    <t>lNrbxn5PThKwBYFLODuclg</t>
  </si>
  <si>
    <t>17615-B</t>
  </si>
  <si>
    <t>20018</t>
  </si>
  <si>
    <t xml:space="preserve">&lt;HTML&gt;
&lt;HEAD&gt;
&lt;TITLE&gt;Moved Temporarily&lt;/TITLE&gt;
&lt;/HEAD&gt;
&lt;BODY BGCOLOR="#FFFFFF" TEXT="#000000"&gt;
&lt;!-- GSE Default Error --&gt;
&lt;H1&gt;Moved Temporarily&lt;/H1&gt;
The document has moved &lt;A HREF="https://script.googleusercontent.com/macros/echo?user_content_key=AehSKLiTuShtef5IdGNGEbCLAVTdZL53yZyvjGvZE2nf33FusnxJ8gySaz0iW3Ekvm3XEI2BBmmD9oHT0NGtgURy3zumGgKFIQg4qFw1MwCNBsR9WekjVPR3tYkFWjzLDdS1NqwtBwTvsviwILCusyaP4otyobzY42IMnC5NiECyp8ceSsF58kaZT7iPzFE2DFXtcKGBdMMQCm9UsMqljIFvl2bIPPATKRCD16gwSCuPnR02Y2cJSlUoq-4FgrZ4sgokOSmPmg0XN1h76a6CIdGFNOz5MD-FxbD8YcsL65waZP4E71LvPBbmvY0Yd-40eA&amp;amp;lib=M-zdWbhavtdZ1B_W2dnFDM0qoVt4lWzJ-"&gt;here&lt;/A&gt;.
&lt;/BODY&gt;
&lt;/HTML&gt;
</t>
  </si>
  <si>
    <t>N8ZE5yILn7mJISOj4gIi</t>
  </si>
  <si>
    <t>17615-C</t>
  </si>
  <si>
    <t>20021</t>
  </si>
  <si>
    <t xml:space="preserve">&lt;HTML&gt;
&lt;HEAD&gt;
&lt;TITLE&gt;Moved Temporarily&lt;/TITLE&gt;
&lt;/HEAD&gt;
&lt;BODY BGCOLOR="#FFFFFF" TEXT="#000000"&gt;
&lt;!-- GSE Default Error --&gt;
&lt;H1&gt;Moved Temporarily&lt;/H1&gt;
The document has moved &lt;A HREF="https://script.googleusercontent.com/macros/echo?user_content_key=AehSKLj_cabM_7xIBMD3Ziew7WTWxh58dWXDvTbmJRtdKKn-OIOXy2rS5hsTMHcMIPHSnxxqxJcwox_9ZJDJAmOOhZleHM8s68eOHI9Y5eHdmTCZOKWUuubETQBY4M7BeakZgYcDobox6EzR4m3JvYigxsmL9Bfta3Y7x4xyh2RV8RmoS-vcVauK2T5tweVYWdm1WkRf_8X527c_e4MXbSZEocrek-mzw_odzGUGCuUa2I8PHK_TGaqoT_jUJyoYLMMzgbqijqjr08k5HdMTAVW6klocqg00nLFcEfHQ4MF__m9XwJlMTxdZF5d5PUmonw&amp;amp;lib=M-zdWbhavtdZ1B_W2dnFDM0qoVt4lWzJ-"&gt;here&lt;/A&gt;.
&lt;/BODY&gt;
&lt;/HTML&gt;
</t>
  </si>
  <si>
    <t>b498xq0RNcJDwoRAcLpp</t>
  </si>
  <si>
    <t>17616</t>
  </si>
  <si>
    <t>20016</t>
  </si>
  <si>
    <t>FITLOG TRANSPORTES E LOGISTICA LTDA / (048) 996277956Informação Adicional: Redespacho pela Expresso Raquel
Forma de pagto de 4x 30/60/90/120 , autorizado pelo Mario Dick / Obs.Interna: 30/60/90/120 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</si>
  <si>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a2VBcmD77uPAJFZQH_K4EgAE0tItDIXbt3VUdpmfUWZuM3EWhBmYnafSDp5WB0nhO5wNGNDEXmu_pZ6LnFuDzcJdln1w7QWl8-vd4ZvX-DGCOkWy6lX2hqmh5VQvGW64Tk4_8Yu4psTIGBf9VZODHxm9CPlbE8stZIf-oekYY-F_ibpLXupe6zERIY6dEq3hm42tD6O5iI_yIvis-zLnxeWZ7nMVtuKbPOVt52qBQilV1FoCL9mMwvInDANzjB4orehYAGo94a2VWyOaggSM_VisP-lkDHtmoYFAeTIBFXnkbeDyt9d9SY6kIvg&amp;amp;lib=M-zdWbhavtdZ1B_W2dnFDM0qoVt4lWzJ-"&gt;here&lt;/A&gt;.
&lt;/BODY&gt;
&lt;/HTML&gt;
</t>
  </si>
  <si>
    <t>a.U8.Vjt6T1uEc67OX.EDNQ</t>
  </si>
  <si>
    <t>17617</t>
  </si>
  <si>
    <t>8E00250104050020</t>
  </si>
  <si>
    <t>EXPRESSO SAO MIGUEL S/A / (049) 3361-6627Obs.Interna: NF DE CONSIGNAÇÃO  SEM COBRANÇA - CORTESIA PARA SHOW ROOM . VER COM GUI A POSSIBILIDADE DE ENVIO DE AMOSTRAS DA CHINA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</si>
  <si>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5RAxkD1qXM4FudHV3DweM1S7mxDEK_bi0VXAb6E3Ps9buTC1j67x5j_EhHE0LtiyPa_wlfLGysBWqr61NJZHn88tcMY0vq5PNRXVMmHEzA0XWg-9bV76MMYvb8ap61xS_0X7_lNPmqVmmUSUvVXiz6qajbrKPO1oBFbVwCGuee32ewluInoHOKeoEm9_8VioZKmSGlf7lb-V2jKW1sqJuQnybhVF84PPMDAu9ofm6hT64Y4eprlyfiImnJ5cWygBdusLw81ba_VaSaNqBcmRcnYRbSOv4GpCcphH8rkiFmC5D7Rd9nWKyOUGRhA&amp;amp;lib=M-zdWbhavtdZ1B_W2dnFDM0qoVt4lWzJ-"&gt;here&lt;/A&gt;.
&lt;/BODY&gt;
&lt;/HTML&gt;
</t>
  </si>
  <si>
    <t>w-hug9gcTkC-FOiLb8m4dw</t>
  </si>
  <si>
    <t>17618</t>
  </si>
  <si>
    <t>8E00250104050006</t>
  </si>
  <si>
    <t>EXPRESSO SAO MIGUEL S/A / (049) 3361-6627Informação Adicional: +3% de desconto, ja pago no pedido 17404 / Obs.Interna: +3% de desconto, ja pago no pedido 17404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</si>
  <si>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rPVCijof_IaTpPsz5eFGlqudNikqGuyXeeitPCttVmxeFKDTXN15ESKXA_TNmfdT-MffNyYejKdj8mAs5ZGPRwjqenw8RReBmQ86ciPQ0r8FWl4j43ST_hCHKyHpDTE4BzkMg3LxZShxClCKqNFzhWSoV295XGEJE1kXkwCs6AkMvK0pL5Ql0CVVSYnMwnGgvKEbvLhhIlmQr7f5JLFADA8OTKKBmpZDeP-vxwBt4NeRZcYdmjmPoFWboMwX9QKBkDGV4DHfkdUOA20iwhEKujdd_M8tlVrFVsw_Tekp4um4vRIugL3U5wbDW-w&amp;amp;lib=M-zdWbhavtdZ1B_W2dnFDM0qoVt4lWzJ-"&gt;here&lt;/A&gt;.
&lt;/BODY&gt;
&lt;/HTML&gt;
</t>
  </si>
  <si>
    <t>8Mz7zQzyRqyvsfNaO1c92A</t>
  </si>
  <si>
    <t>17619</t>
  </si>
  <si>
    <t>8F00241118040019</t>
  </si>
  <si>
    <t>EXPRESSO SAO MIGUEL S/A / (049) 3361-6627Informação Adicional: boleto 14 dias / Obs.Interna: boleto  para 14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</si>
  <si>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aBhfUScZyC3Gktg6Qcki7T1aVK8707Iq1jkFKSbZ5H-qik4ZHS5S7ZaZuLsQV3QxncdYA2YQilnx_M064btRdGqOCKK9kvhUblH8Vr-1PbDHlx721kxQFPsaVV8jhOGO0IM3fk8Jlw7rRtIAE3ko2-2HqesrKDb_7vGJKOUuX3ODN6DLDqNbRGe36C502_m9KyhPRpQOvk2U-nArRTHxT_CFNBftgd4AZoX_VSvkAixqFkkjAuszIdHpWuBMq6_AoZQubzhP59qVYd6FpqC3hJKeIGwLVux4p4Ruy4Rj6HJUXxowvGgDA_dx_7Q&amp;amp;lib=M-zdWbhavtdZ1B_W2dnFDM0qoVt4lWzJ-"&gt;here&lt;/A&gt;.
&lt;/BODY&gt;
&lt;/HTML&gt;
</t>
  </si>
  <si>
    <t>PL7q93A4Qg-6q6Zzl6IRGA</t>
  </si>
  <si>
    <t>17620-A</t>
  </si>
  <si>
    <t>8F00241005200007</t>
  </si>
  <si>
    <t>EXPRESSO SAO MIGUEL S/A / (049) 3361-6627Obs.Interna: CONCEDER ABATIMENTO 10% + 10% = VALOR FINAL DO PEDIDO DEVE SER R$ 57.601,00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</si>
  <si>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ZO0ouMPRdp71kfhAH0uoNSheMtXh0ChEPWTLKNnBJshCrDed2yTAfmVEfWo5suFxldEURowJswz4uNOMXsikw3DZsUEovg2Q-GuPR5ZF-9-f2dgo7k0Fcedbf890ZuZ-jFrncfpckJgCkTF5o1VV4tQvaXnh6Blt6Vw6rlT9Yi13L3_stasMsNWXxM3ZvxZ_EVT4XuqVE4mNZmuFtJZkFvkpm2zv_NKMqfNa_FBpCwvy-U9FeYubRSHdVpCQ5tFlYkukC7FMgnGHWbPtOZuhWGuoO-YETdCr02u63ARjgGopM6PSSUVCT3XiFEQ&amp;amp;lib=M-zdWbhavtdZ1B_W2dnFDM0qoVt4lWzJ-"&gt;here&lt;/A&gt;.
&lt;/BODY&gt;
&lt;/HTML&gt;
</t>
  </si>
  <si>
    <t>737bySRTSByfHzFvtihe9Q</t>
  </si>
  <si>
    <t>17620-B</t>
  </si>
  <si>
    <t>8F00241225080001</t>
  </si>
  <si>
    <t xml:space="preserve">&lt;HTML&gt;
&lt;HEAD&gt;
&lt;TITLE&gt;Moved Temporarily&lt;/TITLE&gt;
&lt;/HEAD&gt;
&lt;BODY BGCOLOR="#FFFFFF" TEXT="#000000"&gt;
&lt;!-- GSE Default Error --&gt;
&lt;H1&gt;Moved Temporarily&lt;/H1&gt;
The document has moved &lt;A HREF="https://script.googleusercontent.com/macros/echo?user_content_key=AehSKLhnvmYvkoSVnrsT7M_H_jhQJsSRhyg5jDNv9TtUjCIGDxrMBzuelCylMAdfuXtJPKvsypp4B8LbJASiQ_9Ad4Zi0zZh0euwLksCgCmWOX1VNCiCdXmnT_9mO4UiegaeotvOn9K_mrE8HZPeEBtwtju7wSFrvr_5K22dPfQjg5wtUzcOsrQY7FKqhU6B0Vqrf1mukwBLLVFm4FeXCOveIoElCFn83lqzgo_0dGkXib91Ifewwvr0bx_FhnzeNTkJKtIdZRCy2snmFDh_8VIsVVrUTRlrwEXLZfAnp5etPrJ5VNinxQFY9RA7L-KX4w&amp;amp;lib=M-zdWbhavtdZ1B_W2dnFDM0qoVt4lWzJ-"&gt;here&lt;/A&gt;.
&lt;/BODY&gt;
&lt;/HTML&gt;
</t>
  </si>
  <si>
    <t>blcQWwEOA02lZRtXdMva</t>
  </si>
  <si>
    <t>17620-C</t>
  </si>
  <si>
    <t>8F00241005200009</t>
  </si>
  <si>
    <t xml:space="preserve">&lt;HTML&gt;
&lt;HEAD&gt;
&lt;TITLE&gt;Moved Temporarily&lt;/TITLE&gt;
&lt;/HEAD&gt;
&lt;BODY BGCOLOR="#FFFFFF" TEXT="#000000"&gt;
&lt;!-- GSE Default Error --&gt;
&lt;H1&gt;Moved Temporarily&lt;/H1&gt;
The document has moved &lt;A HREF="https://script.googleusercontent.com/macros/echo?user_content_key=AehSKLg9wcGCgIriOXAZW5SC4Ngk1NxL95TXExQHglnxjA0bVfA34Oi0LeS8cQGHIOX-b7hIJWurPDm2e7LOm2tY28Gn0U1r0yVh5fJxrLtRul7LOIN2Kvg67paICL85przPVl-f01YOGJcGFLx11vPxuKYX9gIsrHUY0hSo2RKbIv3l4NLE-L7hbOTWNcU1TAUkvValviL_K973Q29k1OnwB5rK25Z2difxKV2c7MZBErruRfBxfEZ4ffjtdWiFYCli3F_xKhW_Nr2hp_CynxWzqaH2ObJfKjPrMBSViBT2k-JWSl1xDHFvn_RALKSxTw&amp;amp;lib=M-zdWbhavtdZ1B_W2dnFDM0qoVt4lWzJ-"&gt;here&lt;/A&gt;.
&lt;/BODY&gt;
&lt;/HTML&gt;
</t>
  </si>
  <si>
    <t>kfaAsFzdTVjAgVa8Cgq2</t>
  </si>
  <si>
    <t>17620-D</t>
  </si>
  <si>
    <t>8F00241225080002</t>
  </si>
  <si>
    <t xml:space="preserve">&lt;HTML&gt;
&lt;HEAD&gt;
&lt;TITLE&gt;Moved Temporarily&lt;/TITLE&gt;
&lt;/HEAD&gt;
&lt;BODY BGCOLOR="#FFFFFF" TEXT="#000000"&gt;
&lt;!-- GSE Default Error --&gt;
&lt;H1&gt;Moved Temporarily&lt;/H1&gt;
The document has moved &lt;A HREF="https://script.googleusercontent.com/macros/echo?user_content_key=AehSKLg5hbY6MU2FvMEvbVN28fu4-AT7V9vqVmHJA7M7NODYDVZZNR0iQBMX6qibwXEWBHGYZarzUG0kGSu4FkDgW3pRY3AUTQgq8D6acECo1lnUjMYYcWtBH3iZvHOSuPgR2oXfFydMlGzK-x-_vKC-RMjRUiEBiuaDwGLdkUqEpkkFuUAFI1bxKw64tCcVJ15ZNYNK6vgmns00Yd9wvmEXpHVDbAcOFVWweY4C2NPIaNBlCDSH40b8YaegR0jzLlPwYNq_O1gK0CUYVsVGLcEJiQc5YGAul_e3JgHDyhqp2yRoCwtVOz4NOi6vlMhsug&amp;amp;lib=M-zdWbhavtdZ1B_W2dnFDM0qoVt4lWzJ-"&gt;here&lt;/A&gt;.
&lt;/BODY&gt;
&lt;/HTML&gt;
</t>
  </si>
  <si>
    <t>YjtCx8JqWYNRR1unzI7o</t>
  </si>
  <si>
    <t>17622</t>
  </si>
  <si>
    <t>8E00241118030028</t>
  </si>
  <si>
    <t>FITLOG TRANSPORTES E LOGISTICA LTDA / (048) 996277956Informação Adicional: Cliente: Flavio Marques de Sousa- SAIDA PELA FROMTHERM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</si>
  <si>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ASYmDba2H_ghvUJOU443_tzi87qSMwKNQOnvh-bBGFe5-L2xzP00PzO_dDm48oqhPu5p70n3rNHfEpKCilEz91CLQORikLI5ANaAb1fc6uLQlt_csVK00X5jfVRjXTphvIWargM2Ogvxu3-9l5OJsTvtcipEYEZdl5z58nsMMHfODGdzXm_owVoQMpX4UJkUSmSNHkUGOZom35JiljcLIEvNVXzyMQXagY1PXiTbvjiI8TP1_Xa9HErOdayCfGCkJ2vZJaZavE1nOK9EF_mamwR_5wxwdDYdNXbt75hSsEAaohtFRByX_EH3BkA&amp;amp;lib=M-zdWbhavtdZ1B_W2dnFDM0qoVt4lWzJ-"&gt;here&lt;/A&gt;.
&lt;/BODY&gt;
&lt;/HTML&gt;
</t>
  </si>
  <si>
    <t>WBy-QCLIT3mOTApId.sLHQ</t>
  </si>
  <si>
    <t>17623</t>
  </si>
  <si>
    <t>8E00241118030029</t>
  </si>
  <si>
    <t>FITLOG TRANSPORTES E LOGISTICA LTDA / (048) 996277956Informação Adicional: Cliente: Raphael Vanjura dos Santos - SAIDA PELA FROMTHERM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</si>
  <si>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FTdsdoZD8y8KW5j1sI6Z_4OGSOXENXb6EkD8jVnGtwEoNLfvxkfaxzu-jxwceQAeba8NC9lOFeFVpGLJmpyUai5zT2gmbPM6F82VMJwVBqoREIlSYIrtHpd8ACAheojVWo24vD0866G43acOrWVxHKVMQCwAVWe0oXEvXcvikahjOThfJSA_o3rfEOCfulvhqwi_2nc4MvZNSm54pFJXJGhclkiAQmSokj6IIAsFyGE2XUvMqazPEalaIO0izU_dfgkUlWusvNQE-NRYEjNN2B6VRWQoYKWzp3PIytZ_sayxajIb4pTk20XUYug&amp;amp;lib=M-zdWbhavtdZ1B_W2dnFDM0qoVt4lWzJ-"&gt;here&lt;/A&gt;.
&lt;/BODY&gt;
&lt;/HTML&gt;
</t>
  </si>
  <si>
    <t>iVKbb5gWQ2WmTzTMxhSVIw</t>
  </si>
  <si>
    <t>17624-A</t>
  </si>
  <si>
    <t>8F00241118040001</t>
  </si>
  <si>
    <t>FITLOG TRANSPORTES E LOGISTICA LTDA / (048) 996277956Informação Adicional: Pedido de Compra Nº 7518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</si>
  <si>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kU3CwbTwnckpRNzUT1tCtsgY5cvHvaAtpZ7JsH7szqwC6z-9eQtYDQlssPv82A0dft2K2gX9Wkl0a6BZeoGfBsNZ-8tbmApKR-amBu058po3VNtT4Z0GTgr3sHiHaYBBQJ46CwXD1ldf46nlvNtAVrye89B3U5njfXzPxroGr5Y3D8_Khogv3b4y_Hx2UQ5CguEOzmkXjRO1EM4Aq1O2N4rKcLXWE33FjmVqptzvXfpBfQvGnKlgR9ILx-8ryItnqHhIDYRoSTNbqnr16zGoz2aLrOUCm0MDQnHhJZ_36bfHLcvm3-2wap0Xkhg&amp;amp;lib=M-zdWbhavtdZ1B_W2dnFDM0qoVt4lWzJ-"&gt;here&lt;/A&gt;.
&lt;/BODY&gt;
&lt;/HTML&gt;
</t>
  </si>
  <si>
    <t>PBICqb8NQ.S157-OY1yNcQ</t>
  </si>
  <si>
    <t>17624-B</t>
  </si>
  <si>
    <t>8F00241118040002</t>
  </si>
  <si>
    <t xml:space="preserve">&lt;HTML&gt;
&lt;HEAD&gt;
&lt;TITLE&gt;Moved Temporarily&lt;/TITLE&gt;
&lt;/HEAD&gt;
&lt;BODY BGCOLOR="#FFFFFF" TEXT="#000000"&gt;
&lt;!-- GSE Default Error --&gt;
&lt;H1&gt;Moved Temporarily&lt;/H1&gt;
The document has moved &lt;A HREF="https://script.googleusercontent.com/macros/echo?user_content_key=AehSKLjINxKnLanFDZ49Jz1ZBWDsh1uAajGn1HHDIK7J3xHYntwo4XlFIIyksKF5py45RFmJLHlxQdgT9TaogF6UlWuxE5dLhvwUF3VZZfUkd-uI3aSGUAjAhpg9B_54hAG2hjXv0cisNqne7Dj9_Oz7IPe_odGLg5zqrROlH20yr-DscPvkb0PW1WdKGemWnEF6aVS_Iq7L8LuJnSMP8T8OfCMaqveDhNlBIUSjN4VnPCRYUBWLMG_zrdYf2vEl_5FncuDskrUt-DU7xDBF_7RSKWR6RWS3dZs5Cj-zYJ_tV5FS9A7r_7g2RJZ8LjCryw&amp;amp;lib=M-zdWbhavtdZ1B_W2dnFDM0qoVt4lWzJ-"&gt;here&lt;/A&gt;.
&lt;/BODY&gt;
&lt;/HTML&gt;
</t>
  </si>
  <si>
    <t>TD8I2nLItiQDR24JlRXS</t>
  </si>
  <si>
    <t>17625</t>
  </si>
  <si>
    <t>8F00250110320005</t>
  </si>
  <si>
    <t>FITLOG TRANSPORTES E LOGISTICA LTDA / (048) 996277956Informação Adicional: SAIDA PELA FROMTHERM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</si>
  <si>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ZVmgkKsjSktGXfeUSrkotxBDLodOfRxnPP1AraGTSd04uiOWXH4KErOtAbw4Fexo_rbAXcMypLFTpIKybILkoanuvmH0HCfN80qkw0prC-MNvBJzc0eoRgvYaHuzRBkrmX5YRVr2BJ8Ijfqpo-NBo3O9X3kF3u_mfDd1cOfouHhRiYkrMwlftnfQonMMcz9cEmBM_gpsJagu6TrMeTyfj_l3zT0-95ME96Noi5dHsU8OUAufN-Qv5_1JPuHQNNJlBd4zVCI9tzjajmQkBatg2jjfji4TVo_NLBENlWKMXs_nPXwCE-YJY21eDQw&amp;amp;lib=M-zdWbhavtdZ1B_W2dnFDM0qoVt4lWzJ-"&gt;here&lt;/A&gt;.
&lt;/BODY&gt;
&lt;/HTML&gt;
</t>
  </si>
  <si>
    <t>Zy.6CqVnSaW2LxvCKmeBJg</t>
  </si>
  <si>
    <t>17626</t>
  </si>
  <si>
    <t>8F00250104100008</t>
  </si>
  <si>
    <t>EXPRESSO SAO MIGUEL S/A / (049) 3361-6627Informação Adicional: ENTREGAR NA BOLHA AZUL: RUA LIBIA, 533 - PINEVILLE / Obs.Interna: ENTREGAR NA BOLHA AZUL: RUA LIBIA, 533 - PINEVILLE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</si>
  <si>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27w93PUHxGAjQVHzJc_42ypzqvTI5moEZdGY7eaPWErxdCC9UhBR_rcei3ZYJn5VsYvV3Za_FFPgiN8D-E5IPhE0jU2gH6gHWKXGXVBihhCEEWRLDv4OROZNY9ymJXZT2DLeoguB_DvxJHzctz-ilKVwQgVviZudYl5ktDIk94tYULFRayZW_W404fSZk-_67WYcceYlPUgSVclAMHa_82Qc4l124gnknomwL3VFiUQOI5V_EVEyhxDYD0cxO3sJFQglmbNJauHicJkanjPJquHPVwoPJwGAx8A4tqJ-RYLWOjWQNbl7eTC9m8A&amp;amp;lib=M-zdWbhavtdZ1B_W2dnFDM0qoVt4lWzJ-"&gt;here&lt;/A&gt;.
&lt;/BODY&gt;
&lt;/HTML&gt;
</t>
  </si>
  <si>
    <t>yzn3ELqETwmB2F1IT8d09w</t>
  </si>
  <si>
    <t>17627</t>
  </si>
  <si>
    <t>8F00241118040009</t>
  </si>
  <si>
    <t>K1 TRANSPORTES</t>
  </si>
  <si>
    <t>Informação Adicional: SAIDA CD SP -  / Obs.Interna: Cliente já efetivou o pagamento via pix</t>
  </si>
  <si>
    <t>WgGt-oyRR0S-HDYTtnY.rg</t>
  </si>
  <si>
    <t>17629</t>
  </si>
  <si>
    <t>GRAVATAL THERMAS PARQUE AQUATICO LTDA</t>
  </si>
  <si>
    <t>14085</t>
  </si>
  <si>
    <t>OURO NEGRO</t>
  </si>
  <si>
    <t>MDE2J76 - RETIRA - EDSON JOSE COSTA  - 03067757914 - FIAT / CARGA CAMINHAO  / AMARELA / 2005</t>
  </si>
  <si>
    <t>OURO NEGRO / (0) Informação Adicional: EMPRESA DO GRUPO HOTEL THERMAS GRAVATAL / Obs.Interna: EMPRESA DO GRUPO HOTEL THERMAS GRAVATAL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</si>
  <si>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R07lbvEhwnJAFBIGtelS84hdpZ2W6jovhzCgtlDjHbaTIjFYGA3b5Cl80KYuTSr0EVxMNKchHL_UkG_LkAHRKu4QTR-c-YiMrYQmD-Mq0zUpCJEBdhmIWsP4jlPiDW17mzyz7u3RgSzyPHUBxcP4nPjT5Mr_YmpBdRC2ux8SS0RdAdoQ2tI2GTbiFnjH3tiTZvYB2MxWN5eUbtqF8j63O_RF6yMHytVU_AOuY1m5muiG_0PNV-I3zgTLhuhQ2V6NPZeldDxz1g19o7S7vcr37weXgE6w4Y2xDfl2Om3IzFWSmx6BZSiHoIf4sPQ&amp;amp;lib=M-zdWbhavtdZ1B_W2dnFDM0qoVt4lWzJ-"&gt;here&lt;/A&gt;.
&lt;/BODY&gt;
&lt;/HTML&gt;
</t>
  </si>
  <si>
    <t>GWWKuyAgQIGs8nfOfUYeNQ</t>
  </si>
  <si>
    <t>17630</t>
  </si>
  <si>
    <t>8E00241118030023</t>
  </si>
  <si>
    <t>ACEVILLE TRANSPORTES LTDA / (041) 3266-0484E-mail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</si>
  <si>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zcEenao85xdB1LRYmeTlu_w7XYxtR2xm7RkEyXavhfJBC5WiNyOrsmWoGdMDRNL4XCshZLNCsQlHPcO6gHPyGggguOP83BX3J_-Wu3nlCXEZNitFHi4QjIx8RBPnwsRoMNhmzIuZS88ywaBX2YLDrfUrkKUV4yPRfGEMKfn11R8QjlkhRkZVPSC2pz41FHmlAl43WUAvI9SbGWZ8dTgIm0ixKiVDhR5Ymtwgmg-ludfTCNS5eFPuttEuB_MiNqfXfuuc_CPfEiwpofM3ZxEXJ50CKHDn-z8dovga4TZMEzqlN8VbOfxj8DyCeXg&amp;amp;lib=M-zdWbhavtdZ1B_W2dnFDM0qoVt4lWzJ-"&gt;here&lt;/A&gt;.
&lt;/BODY&gt;
&lt;/HTML&gt;
</t>
  </si>
  <si>
    <t>nlTGJY4cQ6uSeCffIT6mIw</t>
  </si>
  <si>
    <t>17631-A</t>
  </si>
  <si>
    <t>8F00250110270004</t>
  </si>
  <si>
    <t xml:space="preserve">&lt;HTML&gt;
&lt;HEAD&gt;
&lt;TITLE&gt;Moved Temporarily&lt;/TITLE&gt;
&lt;/HEAD&gt;
&lt;BODY BGCOLOR="#FFFFFF" TEXT="#000000"&gt;
&lt;!-- GSE Default Error --&gt;
&lt;H1&gt;Moved Temporarily&lt;/H1&gt;
The document has moved &lt;A HREF="https://script.googleusercontent.com/macros/echo?user_content_key=AehSKLjYqlYxMPvHORrC--JukJFBgZi-JKBjmaKbK7ACn7RQ5rmx6ErdVuNvi15HL-JyJCjbAqhPhlpJ9AbkIrJmAFS42Y0XEmPN9Nw8aYfs99Q8DysnT0irMQZ_Qfr61n0uAWr9xtvxlVRaENwLECbYCLJMol2AhuG7IR06Uf2G3ekU7xHqeoTc5P-zSc1WdsOFhwLhsvElX2thpt24ob_hKqU0ciaZn1M_3I85R1SnBGf48rfw-QhkNjlttJjKNBwpysVkcU1AqoNlAcEbKqRqbWPp3LYAHwQa1R8iGtGjgJ2T3Ad3jUn_sFkFwtzEmQ&amp;amp;lib=M-zdWbhavtdZ1B_W2dnFDM0qoVt4lWzJ-"&gt;here&lt;/A&gt;.
&lt;/BODY&gt;
&lt;/HTML&gt;
</t>
  </si>
  <si>
    <t>jxKDiCgKQqWuRuFyE-bsqg</t>
  </si>
  <si>
    <t>17631-B</t>
  </si>
  <si>
    <t>8F00250110270001</t>
  </si>
  <si>
    <t xml:space="preserve">&lt;HTML&gt;
&lt;HEAD&gt;
&lt;TITLE&gt;Moved Temporarily&lt;/TITLE&gt;
&lt;/HEAD&gt;
&lt;BODY BGCOLOR="#FFFFFF" TEXT="#000000"&gt;
&lt;!-- GSE Default Error --&gt;
&lt;H1&gt;Moved Temporarily&lt;/H1&gt;
The document has moved &lt;A HREF="https://script.googleusercontent.com/macros/echo?user_content_key=AehSKLhFcxF1-5sj5dME2wUObusd_U75GrhIThMrNzZfm6cDH6GiwvumgbTCbQaLUBEHLvJtSlmb2NaFRyyNIN46S00Sr4XPW64Wmh-Y40UAEpRGVXnZxtUtI2GJplYlDVfkEbdOhZKNA1TLZFdCowHFdZgpvfeol8oS197JZgO3uKUzeM1dVpv5msu94Tz1HVP8NMELUwQ0pZi7KQElYoFFt9VAwQ5ukutEQoSxAUmJhSqEPSgzIPHoRDAWO-Pp7eqznTxXjhpHO6RuDPxYZ9X-bTH-1DXwljieyGPROy0i-cmgvoKfhFTIeFcTCbEEnQ&amp;amp;lib=M-zdWbhavtdZ1B_W2dnFDM0qoVt4lWzJ-"&gt;here&lt;/A&gt;.
&lt;/BODY&gt;
&lt;/HTML&gt;
</t>
  </si>
  <si>
    <t>EzjCY6DJo2AkUzd0lxw2</t>
  </si>
  <si>
    <t>17631-C</t>
  </si>
  <si>
    <t>8F00241118040007</t>
  </si>
  <si>
    <t xml:space="preserve">&lt;HTML&gt;
&lt;HEAD&gt;
&lt;TITLE&gt;Moved Temporarily&lt;/TITLE&gt;
&lt;/HEAD&gt;
&lt;BODY BGCOLOR="#FFFFFF" TEXT="#000000"&gt;
&lt;!-- GSE Default Error --&gt;
&lt;H1&gt;Moved Temporarily&lt;/H1&gt;
The document has moved &lt;A HREF="https://script.googleusercontent.com/macros/echo?user_content_key=AehSKLghvc3E97FgKE5N755nqyyYxVzl75xz1PFW9MLK_y2QYurLGWZ-bybw3MJxFkt_7-TNUxCbr3aBueC58qbmf3GbLGBaBszj94T2mBf89yQjNFvZu0rwBKJZGWWV75ZhbU0IIP4zgBwVz88-q-P73lJmCfAZBEz6EmYLFx9xY90RdNtZ5dMjKC0ojGaCg6EFr9IlWDk2U9-hNGdfbvmSN79GTZcBWdrB-w7y8pqcRVcQOtE4tvyIXUXqCGwp0Z0kaTPWVs9PmCLBZpR_nTEUU0b-yTlZBiGKj5UoJ0qfMLB6cctz2x2ZvExzpcFZAA&amp;amp;lib=M-zdWbhavtdZ1B_W2dnFDM0qoVt4lWzJ-"&gt;here&lt;/A&gt;.
&lt;/BODY&gt;
&lt;/HTML&gt;
</t>
  </si>
  <si>
    <t>uQKDrnJWQDnLxfnoU33V</t>
  </si>
  <si>
    <t>17632</t>
  </si>
  <si>
    <t>8F00250104100007</t>
  </si>
  <si>
    <t>FITLOG TRANSPORTES E LOGISTICA LTDA / (048) 996277956E-mail para nota fiscal: , E-mail de cobrança: , Telefone para contato
O REDESPACHO SERA FOB - TRANSP. RODONAVES - CNPJ:44.914.992/0013-71 - END: Parque Anhanguera, Av. Alexandre Colares, 500 - Vila Jaguara, São Paulo - SP, 05106-000</t>
  </si>
  <si>
    <t xml:space="preserve">&lt;HTML&gt;
&lt;HEAD&gt;
&lt;TITLE&gt;Moved Temporarily&lt;/TITLE&gt;
&lt;/HEAD&gt;
&lt;BODY BGCOLOR="#FFFFFF" TEXT="#000000"&gt;
&lt;!-- GSE Default Error --&gt;
&lt;H1&gt;Moved Temporarily&lt;/H1&gt;
The document has moved &lt;A HREF="https://script.googleusercontent.com/macros/echo?user_content_key=AehSKLjnyGV1SOgZtqfMnbKiLyRYylGfJWQJj1wZA2osFxicIHYumeJptfKEsp0QJ1qUIzgoDn_mDQJaeUb9iOscUEq9NWGT-lGJopSKPeVhJdgSniEz3PvwIz_dXav6NNYYtd_QrumnDHbTy5uFOiKMxucn0JREB_R3IbHLpnSMiDJmkunq7Uz6PYqdzR2E8jh4RwGQ6zimKBJy6SXiLn8XhKyv6BV042FTDpiSIei1V-nm5hXo6YLS5bqh976QND6a-tvrH4JizXxa_LDIwgfJGmxDOsoEsRFEbvZNBccb9VF4R3RYvWmv4OojI6LQ6g&amp;amp;lib=M-zdWbhavtdZ1B_W2dnFDM0qoVt4lWzJ-"&gt;here&lt;/A&gt;.
&lt;/BODY&gt;
&lt;/HTML&gt;
</t>
  </si>
  <si>
    <t>uoSe1sgdQUOrZtuND-nDxQ</t>
  </si>
  <si>
    <t>17633</t>
  </si>
  <si>
    <t>8F00250104100011</t>
  </si>
  <si>
    <t>edido gerado através do PedidoEletronico.com - Transportadora / telefone: EXPRESSO SAO MIGUEL S/A / (049) 3361-6627E-mail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</si>
  <si>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ETf64DGBzmP0YkNpqroVKtnaBsSyJZ2yGLv7Jec94rW45vYTv8cJjbeJZB6D31wAUxsSlxaF2QKjopBqjTTT3c8h_dcwoz2FiFqGvgjUr5q8e8gy8_Znpm_FendW2aheoPdqnAKH0mu5OBv2T9r_eV0uRXdLtd57LdN10LOCNSW9uldagwTckdEhZ5qmfTcR-JrLINysUO7bnZFab6lv4cNwQCywMl5yEbk-lGurDuzZRvShDaWjF765T8hOVWOK0x35XizH8zEA-6XKQ4CnkwlnAITCEH8JftmwthAfQy3naYgg4j6h9gewo4Q&amp;amp;lib=M-zdWbhavtdZ1B_W2dnFDM0qoVt4lWzJ-"&gt;here&lt;/A&gt;.
&lt;/BODY&gt;
&lt;/HTML&gt;
</t>
  </si>
  <si>
    <t>rKdw72dKSoK0TfuhTLsHtw</t>
  </si>
  <si>
    <t>17634</t>
  </si>
  <si>
    <t>13951</t>
  </si>
  <si>
    <t>EXPRESSO SAO MIGUEL S/A / (049) 3361-6627Informação Adicional: +3% de desconto-valor final da maquina 10112,84 / Obs.Interna: +3% de desconto -valor final da maquina R$10112,84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</si>
  <si>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tDv3oEn6Cogtghbpds83kxgUOjZBm25Hj5PYu9pEsCqNJF6YJns70OgNyDKqk9XIxgamNu-C3H7LF50yv9HIp7YjywjcKxDfK0tshnj2hfP9PvAtUyui6JlCQcZQPWdkxBP8m3TDIJGYaZhqLRH-comFoRBwn9FelJzvh2anxNZK-YJLbMaDo7XZHX7dgvyVicFbexpiVvXOil4L-vnMtGDkkOfx67n7JHJL-3l8yzhvti3K0U2b9sIJRNihCaL-M2jvWZiNVRw5CsdYrobUNkqldEsBG6CIP5XC8ennQjSSQN1jBKrCzLD6cDA&amp;amp;lib=M-zdWbhavtdZ1B_W2dnFDM0qoVt4lWzJ-"&gt;here&lt;/A&gt;.
&lt;/BODY&gt;
&lt;/HTML&gt;
</t>
  </si>
  <si>
    <t>iv0TcTFZRkGocs47N-IQXQ</t>
  </si>
  <si>
    <t>17635</t>
  </si>
  <si>
    <t>8F00250110320003</t>
  </si>
  <si>
    <t>FITLOG TRANSPORTES E LOGISTICA LTDA / (048) 996277956Obs.Interna: Valor da maquina R$ 14.400,00 conforme valor antecipado acordado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</si>
  <si>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XhnWqy1JQnvIaAQ4lZcH3wCKFHxXZxJIlnVA9zXqsfE9rGNiaH0_TU-GD0BwYWBgQELkSHCjN95pGhyvX-DvhgFK4LxM8uvkpzwT0B_dbvBB3gJR574e0t7IZsnaZVkd6E8zSGBT9YokNHlDWuIDzsI91aiPU-RpckCAPtKpZLp1qyzuiBBXFNzmyepwOf7Oh12jf4syrObLknRY_2Qd-MIQI7dXKVSmqFP19EW6kzqLUW7UkJhvuodWkX1-dZj2HJVduhPHP4BTjy1jqy0wxZXjGTFU_OCPNgY9f-iSLeHNedo3pEXZc-zi3WA&amp;amp;lib=M-zdWbhavtdZ1B_W2dnFDM0qoVt4lWzJ-"&gt;here&lt;/A&gt;.
&lt;/BODY&gt;
&lt;/HTML&gt;
</t>
  </si>
  <si>
    <t>TkM1.nj4S1G5cxrmVyiXeQ</t>
  </si>
  <si>
    <t>17636</t>
  </si>
  <si>
    <t>8F00250110270054</t>
  </si>
  <si>
    <t>K1 TRANSPORTES LTDA  / (011) 4151-9079,E-mail para nota fiscal: , E-mail de cobrança: , Telefone para contato</t>
  </si>
  <si>
    <t>WpRJRgudTFq1i2RkBSEpIw</t>
  </si>
  <si>
    <t>17637</t>
  </si>
  <si>
    <t>8E00250104050016</t>
  </si>
  <si>
    <t>RETIRADA NA FABRICA / (0) Informação Adicional: CLIENTE ALEXANDRE MILAN / Obs.Interna: Devido a preços da Internet, William concedeu desconto extra adicional de + 10% e no prazo 30/60/90 dias .
Liberado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</si>
  <si>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k48BevmC-4wF-CzwIhx358Q-HDcNVBQI4dIDxqbhKtrVVgR77yE_lLWEvxd3Q6P3kv1cVh-dVpvke2vAAUbrCRv6GFFtJg-Rcx2eGdXv1czGnNI3Yzzgq7b472t6DiVRw-oiZv_115yb4IG8LubinRa0RJuuEJnmTuP7G59YRtklSPaPlTI1Cm58jfmB4HpChyQsOucmlyx4Cib6VvlfESCSllVf5TPPllNcV7BsVg-PI3-CAWLYjOHS5m1cB_XbSaANdAQYWpVb_OjNGwH-tPkRH_smY5O2JoBvbU5Nx28DbX8WIxwR5_hG_Wg&amp;amp;lib=M-zdWbhavtdZ1B_W2dnFDM0qoVt4lWzJ-"&gt;here&lt;/A&gt;.
&lt;/BODY&gt;
&lt;/HTML&gt;
</t>
  </si>
  <si>
    <t>a.n939vhqQpiCxqYnrDzfhA</t>
  </si>
  <si>
    <t>17638</t>
  </si>
  <si>
    <t>8F00250110310001</t>
  </si>
  <si>
    <t>AF2ElDcHQcmO3LNZlTQSXw</t>
  </si>
  <si>
    <t>17639</t>
  </si>
  <si>
    <t>O PEDIDO JÁ ESTA NA BOLHA AZUL, RENATO VAI FICAR COM A MÁQUINA DO CLIENTE QUE USOU PARA EXPOSIÇÃO - PEDIDO 17335 F SANTI LTDA NF-e 12864.</t>
  </si>
  <si>
    <t xml:space="preserve">&lt;HTML&gt;
&lt;HEAD&gt;
&lt;TITLE&gt;Moved Temporarily&lt;/TITLE&gt;
&lt;/HEAD&gt;
&lt;BODY BGCOLOR="#FFFFFF" TEXT="#000000"&gt;
&lt;!-- GSE Default Error --&gt;
&lt;H1&gt;Moved Temporarily&lt;/H1&gt;
The document has moved &lt;A HREF="https://script.googleusercontent.com/macros/echo?user_content_key=AehSKLjDtYYmDO1Ar-zEj9eZ2qNcJka4qoAgqixWFMwWHZdDYoJsiOzFleRDYN_he1muJOdN_dMroKgGwmGqpbhK-fQl-b72STptpZbXhgWPZ11RsVbNZWF8RYJ0qHJCXssrMWs5_8C7279UcYM_aXslitSyyzcsKtcYz35D9kFzEr8jmgeb9tCorahOX87EySaxhWJrpxxYQtIMo7VD2SIzLHPQTwRZ6N4Y56XkjZVesJZKuklj0GY0tLXiaVNXgFAXTPSIRvd9khdQh_bIL4qwb11nLm92N9Gro5TsBiD5sEvd4Ru36dE73GCqrQJPeA&amp;amp;lib=M-zdWbhavtdZ1B_W2dnFDM0qoVt4lWzJ-"&gt;here&lt;/A&gt;.
&lt;/BODY&gt;
&lt;/HTML&gt;
</t>
  </si>
  <si>
    <t>jbnxuEn9SV6O5FuKW-9GQg</t>
  </si>
  <si>
    <t>17640</t>
  </si>
  <si>
    <t>14073</t>
  </si>
  <si>
    <t>FITLOG / (011) 2212-5862Obs.Interna: VAI SER FEITO UMA TRIANGULAÇÃO NESSE PEDIDO, O CLIENTE VAI ENVIAR A NOTA PARA NÓS ENVIARMOS A MAQUINA DIRETO PARA O CLIENTE DELE. QUALQUER DUVIDA ME CHAMAR NO WHATS ATT EDNILSON HENRIQUE (OBS: O MARIO ESTÁ CIENTE)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</si>
  <si>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ly_21hE93OYXSCj18fEErIkTOzcDf9oitA-R2lgvaZuxkgFVGxweN3MCtr_rI3P1gUgyy_O4M5qUrEBVpL2mGZNzgpA21aaaBIdC_ZkDi1QKm4psJpFc5MHauu4Jr0f8o1BeFN3Z9qIYutVvEyelMcYmiS32l6o2rZJWMULXWkTVNkA15WGgBDSuxSyV9s135jN4PhbpMRBubJLfUM7asWvB19Qm-r2R2D1JyyiBDlWg_TrJNLfXf9QKBHJGfU-dNSs263RcU6wwBM7dkNkJoEgUA4TLWgMPbT6xjwZmySfOBDRkMUi6IYEQkeg&amp;amp;lib=M-zdWbhavtdZ1B_W2dnFDM0qoVt4lWzJ-"&gt;here&lt;/A&gt;.
&lt;/BODY&gt;
&lt;/HTML&gt;
</t>
  </si>
  <si>
    <t>m69yNbQ1QZSRPQqeFqMKYg</t>
  </si>
  <si>
    <t>17641</t>
  </si>
  <si>
    <t>RICARDO HOHMANN CAMINA</t>
  </si>
  <si>
    <t>8F00241005200015</t>
  </si>
  <si>
    <t>RETIRADA NA FABRICA / (0) Informação Adicional: VENDA REALIZADA PELA HIDROESTE PISCINAS / Obs.Interna: VENDA REALIZADA PELA HIDROESTE PISCINAS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</si>
  <si>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bpwTnLdasiX_OFdCxeGZ4kckmYuaHaQUqt3MuX9HvXYTL8KnicRkEHoJpqNxzWJ64It_IkTk_m-jUYj_O1KzwSQsDfofQJdqEEJWfHJm4u9FgbhrKnSM1iHbRD1E5_RjT9hQcRIN2fyYQMCKV74xv5SSgDOi_ECVoV3_OudkUCaH2_kvd_5AnN2531NgHf73cqCZp005f2Qwpf6YrmB1Ac7jKfjFkmz_zNIz81WFhCaS3hjeStIdN-lxqojdYmn-o_hi8mtiG2863VUQZyMv6lj0_e_EkYWlH9bPpThCPwxo5aITDI9KzXxorg&amp;amp;lib=M-zdWbhavtdZ1B_W2dnFDM0qoVt4lWzJ-"&gt;here&lt;/A&gt;.
&lt;/BODY&gt;
&lt;/HTML&gt;
</t>
  </si>
  <si>
    <t>a.ptanxXYRkmA-RS0bberVw</t>
  </si>
  <si>
    <t>17642</t>
  </si>
  <si>
    <t>20046</t>
  </si>
  <si>
    <t xml:space="preserve">&lt;HTML&gt;
&lt;HEAD&gt;
&lt;TITLE&gt;Moved Temporarily&lt;/TITLE&gt;
&lt;/HEAD&gt;
&lt;BODY BGCOLOR="#FFFFFF" TEXT="#000000"&gt;
&lt;!-- GSE Default Error --&gt;
&lt;H1&gt;Moved Temporarily&lt;/H1&gt;
The document has moved &lt;A HREF="https://script.googleusercontent.com/macros/echo?user_content_key=AehSKLgpGB7g-lnDqn7KZlNZ8R8QgPu4pyjPT-VkjqCPrtTWsDwDQISGMnEQShldwae58bI9cQf7BhZ5dmGj7Ad-3ORsG0JZndqG2h-m1pFHYjWsNvN6h3ypeC8WO8jzNUDdesCKnajmsAT_-Het-4T8h0KHH2pYMo3NFL-VOFGvbIIyjBklwL14INYjwMv8wsGbzPpe6YcFC9q5EHPmg8sa1Vjev8wveG7EVDZd_O27HewrQSdCMNZbOMP0j1RAfcOxw_81fn_j0xt91R9JtsbO6Q_mAfb-6vz_IEnfeW9MxseWFLv9HozigexJQIq0iw&amp;amp;lib=M-zdWbhavtdZ1B_W2dnFDM0qoVt4lWzJ-"&gt;here&lt;/A&gt;.
&lt;/BODY&gt;
&lt;/HTML&gt;
</t>
  </si>
  <si>
    <t>w8zqbjX0QW2m2TGDgItvGg</t>
  </si>
  <si>
    <t>17643</t>
  </si>
  <si>
    <t>20024</t>
  </si>
  <si>
    <t>FITLOG TRANSPORTES E LOGISTICA LTDA / (048) 996277956Obs.Interna: quadro deslocado sobrepor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</si>
  <si>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p4f1ElicWO2JPAGhus4uw71twzCxFsMDLuE2Kekqou2JcCbnWZHJ9JacnABJtacigy2TLi2mYMf0pJZLSYhz8dJCrbIeUuhI_8xzgcJkZl-Cq4NiblKxY64P5YbGiZy2YPUgmGBR5UAQLVn-tAZpjF5E2iTJE_fQNNtZ3Cw2BWcx4M3FrvcirQesgEMmI2Yg0pt4rwdCY6tXiBxXPhXDopreHrZ2M7BjmSwxSBnTYGJ19lffF5AFEMvS9aDx4C3rYRZKb1XPRvDURanglthMO65yGFvRWo6Ti3tR-rNIuEEnhK-moIIhG4eomg&amp;amp;lib=M-zdWbhavtdZ1B_W2dnFDM0qoVt4lWzJ-"&gt;here&lt;/A&gt;.
&lt;/BODY&gt;
&lt;/HTML&gt;
</t>
  </si>
  <si>
    <t>m5KN9ehYQnWtzvvgHYXQWg</t>
  </si>
  <si>
    <t>17644</t>
  </si>
  <si>
    <t>20031</t>
  </si>
  <si>
    <t>ACEVILLE / (047) 3130-7350Informação Adicional: DESCONTO EXTRA DE +7% NA CONDIÇÃO A VISTA AUTORIZADO PELO MARIO PREÇO NEGOCIADO R$ 17.478,36 / Obs.Interna: entrega urgente até  segunda feira dia 02/05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</si>
  <si>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MxCER75WKJ2m7yIlGq2Vy4pUvJrVhfHd_BeLBKsHVtHX4DLX491Ew_s-igJxuJHXU39X2uVybDDKLpwK6PeJwWdAIGrJkS4DFzpr_X7WAQZNRyQ1hTAB2F13NDE_fR3o9Pe2ZN-VX998RTOp_G6FWooNHoS28X78v7B3KgGB5wgO8zZ5IRQHrU10Nz3oGILUU61-BXpu9gQ7dKrtr2ExSfZtTfE6YqlfUZziOXmLWTDQPdaPi2PhOoo6Puvjs5TkfuHa-eJ9JP5QxHBnmwIpTwhEHG-m3dIJb-SihOgjtImD9KoYN7-NpB-ssAg&amp;amp;lib=M-zdWbhavtdZ1B_W2dnFDM0qoVt4lWzJ-"&gt;here&lt;/A&gt;.
&lt;/BODY&gt;
&lt;/HTML&gt;
</t>
  </si>
  <si>
    <t>NTIUZFwtQ6WTSjosvtxOMw</t>
  </si>
  <si>
    <t>17646-A</t>
  </si>
  <si>
    <t>8F00250110320008</t>
  </si>
  <si>
    <t>EXPRESSO SAO MIGUEL S/A / (049) 3361-6627Obs.Interna: Conceder desconto a vista + 10 - TOTAL DO PEDIDO R$ 43.200,00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</si>
  <si>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l-LPFhz9uOe4Lk-cLCLVbkhaxn-PWTYJEvroV6DLkxpVsFKmmZXSdwEMTa_jRYJlD-0siiApOQoTuQEtKTx_VQP8uOnrSNlUAsJDwkubnhDFqLFG81DHGI5MynpGJww65qf_toRN21xqn8UYBEAiKX-egl6UUvtJmSYKlubZ4z8SkkbODcsWuxUxsNgy2Dj6j2KjV3vho6ieEri75hkLGraIbuWfadHmPbNB-DCA8W53uENUevZhTERBP3_WgVkX9vgmN54kxwrIvj4dQ-HtSGfmwTGCK0vPfQPRKOiwsdMeK3AZ0S6_676rJHQ&amp;amp;lib=M-zdWbhavtdZ1B_W2dnFDM0qoVt4lWzJ-"&gt;here&lt;/A&gt;.
&lt;/BODY&gt;
&lt;/HTML&gt;
</t>
  </si>
  <si>
    <t>xzK3IDUoQeS10mw5478g-w</t>
  </si>
  <si>
    <t>17646-B</t>
  </si>
  <si>
    <t>8F00250110320007</t>
  </si>
  <si>
    <t xml:space="preserve">&lt;HTML&gt;
&lt;HEAD&gt;
&lt;TITLE&gt;Moved Temporarily&lt;/TITLE&gt;
&lt;/HEAD&gt;
&lt;BODY BGCOLOR="#FFFFFF" TEXT="#000000"&gt;
&lt;!-- GSE Default Error --&gt;
&lt;H1&gt;Moved Temporarily&lt;/H1&gt;
The document has moved &lt;A HREF="https://script.googleusercontent.com/macros/echo?user_content_key=AehSKLjKMYG-zTxL4iwfdEhUL7KsRHIjQpQdnEc-eiKKeiTX4nw1ahvcEp2p84oUdskIZRha1jxCHmW-NxUaZnxVJ_YnAi3DMNL1nBcSbJglHCGO6lzQ96vxK3qKfR9im0_GKn-n16rF1TveWMrhmhYtRSGweQDNgPYRIVZH4sINrD37OXVYCbOpPRpqhs-blYSQJTcis0_1T25tI5P3l662vDz2P_fO3-N1NXlHAG1fOhN0UtvHRI3VLjL-CU0RPgiKPrp4jUrvI7zHQxKcWyr1BF6CMzrl5RgMDoBWM1Qjzgl7jZ7yREDXNGhC9FPeqA&amp;amp;lib=M-zdWbhavtdZ1B_W2dnFDM0qoVt4lWzJ-"&gt;here&lt;/A&gt;.
&lt;/BODY&gt;
&lt;/HTML&gt;
</t>
  </si>
  <si>
    <t>bqI8fZnY0QNNbWvXUtvz</t>
  </si>
  <si>
    <t>17646-C</t>
  </si>
  <si>
    <t>8F00250110320001</t>
  </si>
  <si>
    <t xml:space="preserve">&lt;HTML&gt;
&lt;HEAD&gt;
&lt;TITLE&gt;Moved Temporarily&lt;/TITLE&gt;
&lt;/HEAD&gt;
&lt;BODY BGCOLOR="#FFFFFF" TEXT="#000000"&gt;
&lt;!-- GSE Default Error --&gt;
&lt;H1&gt;Moved Temporarily&lt;/H1&gt;
The document has moved &lt;A HREF="https://script.googleusercontent.com/macros/echo?user_content_key=AehSKLgJ4T20n3s7Pqrky4urxvzHDkxXol1FtCEo8vPG0lnFr4gwd7Sn4tEFajAVc5zsPyGRI-o0M-cQeI6v_rOsi4VikUBZ6hIEeGTdTYiXEAu6EvCxyPcltGjGcqqggL5PV7Us4d1cww3DHs-ZxC2ZRkF5-nDUsYBLSAKW9yjbZhsSc-YN05knWtlOG5QVHXGmusHO0ubgxUUit8F8OA_00dmfbQlaHDVnwWv3m-Rk5hMV87CaIYSZMPL-L12zmeGsMSvA5p93IvNz1l9WGsABn-0eUnORN5g-Iu2q6Yw3fdWQ3FIzcGDHlnZile0riA&amp;amp;lib=M-zdWbhavtdZ1B_W2dnFDM0qoVt4lWzJ-"&gt;here&lt;/A&gt;.
&lt;/BODY&gt;
&lt;/HTML&gt;
</t>
  </si>
  <si>
    <t>n69pnz4axokTKzoGgxiY</t>
  </si>
  <si>
    <t>17647</t>
  </si>
  <si>
    <t>14074</t>
  </si>
  <si>
    <t>EXPRESSO SAO MIGUEL S/A / (049) 3361-6627Informação Adicional: BOLETO 7 DS + BOLETO 30 DS  / Obs.Interna: PRECISA SAIR HJ DIA 29/05 - GUILHERME CIENTE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</si>
  <si>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eK7O-D6IcJYztGMQZi4OZa_NHTqpD0bZY22gkKRmIC00h7pIlyGWVrVfjlag-p73d4Ib-I27ZGxvqzpZ3UhRWcJKh_r21HmQoMOzJd0MPlm24u2Onl-d30SwmxdDf-MCoyZjGUse9Bi3y1k3WgXV-tDxUCBgJlW3ywo3cZn9O0_O_jwH_LIAiQKh9Q2py7fyMXPTX5GNVsxkZGxW4zPKUKmNFZI02_PiIx0l4c9QB1U_u8muTFVBL9Uf1NZHavcauqJrpP2C4sTrehF-SZzf9bBPQQdmCmasftgPVDRQDmC8K8ZAJrF4iaeoXlQ&amp;amp;lib=M-zdWbhavtdZ1B_W2dnFDM0qoVt4lWzJ-"&gt;here&lt;/A&gt;.
&lt;/BODY&gt;
&lt;/HTML&gt;
</t>
  </si>
  <si>
    <t>3no5dLaETSaVfQfdUpfgaw</t>
  </si>
  <si>
    <t>17648</t>
  </si>
  <si>
    <t>8F00250110310014</t>
  </si>
  <si>
    <t>EXPRESSO SAO MIGUEL S/A / (049) 3361-6627Informação Adicional: +10% de desconto da promoção / Obs.Interna: +10% de desconto da promoção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</si>
  <si>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1NrcwoNNWI4B1ie1HKCi5yiL8Tw6wn8d_kHfB_icBwe47HRnfZn-LpuE45TWQgovbh_SXrF3VimuyvJ8RVXNYPDJvm7ebNHHJqtF1EJwX-6sXaQ9czFOU7r3hNtqlnRV8YI4_hVOuWhk21WcN8ZY5ZNV2vrx1S_L0jF3lKHYRIiO4Cug5vbOTkS1OTy59gEwjoJ9_LVCUG4Uux15e6gUNl8xYzrQnpWvk0yoeCtP1BFAv9nuM6tdWhjUoWWtK8cn_SeGZ39RhICKjySrhuVjvi3dT0IxU3t9hNtrkvzTyMdHH8pLcJFFUNuI7zg&amp;amp;lib=M-zdWbhavtdZ1B_W2dnFDM0qoVt4lWzJ-"&gt;here&lt;/A&gt;.
&lt;/BODY&gt;
&lt;/HTML&gt;
</t>
  </si>
  <si>
    <t>FxYry33ATjyThbkXL8Pw2Q</t>
  </si>
  <si>
    <t>17650</t>
  </si>
  <si>
    <t>8E00250104050012</t>
  </si>
  <si>
    <t>FITLOG TRANSPORTES E LOGISTICA LTDA / (048) 996277956Informação Adicional: Frete CIF. Para pagamento antecipado R$ 6.763,00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</si>
  <si>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kk4XSZtNAlt7hzSe_suMfnEGz_h37jjFc35OuunQqn2T309C7G4dtQeIYmRTM5kPfTgGFWiv9htSUZlfgF_i30oPfJ_cNoYsWmtuwkHsEhCgluoc0nn8XinCaFL7sM5slqmQCPZQOoqv2Zm1bHrS2BxKemq_EvKx3uOY9dnseOPHhjhq7SEbgYWb-7B68yYrA-TKB-TUeQzJUmbKdAr0-lBdnp2YGHM9ThFAHauO3AKTTsl_iQutLqi9IJBfUYKZuFjrUlUn9fs4RMTd1Oc8Czofl9aNa_xTeq_u1m2xL_CtJ6eUNwqovEl1GLg&amp;amp;lib=M-zdWbhavtdZ1B_W2dnFDM0qoVt4lWzJ-"&gt;here&lt;/A&gt;.
&lt;/BODY&gt;
&lt;/HTML&gt;
</t>
  </si>
  <si>
    <t>reLCTGDtTNe5AW9Ol0pUkg</t>
  </si>
  <si>
    <t>17651-A</t>
  </si>
  <si>
    <t>20040</t>
  </si>
  <si>
    <t>RETIRADA NA FABRICA / (0) Informação Adicional: PRAZO DE PAGAMENTO NEGOCIADO:  15/30/45/60/75/90/105/120/135/150 DIAS  / Obs.Interna: DESCONTOS EXTRAS NESTE PEDIDO FT +5% FTI + 3%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</si>
  <si>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Qv2V8aY40hkLRND3csum1IRaM0KRbRsR7DQ7o0pyzIyLJPfAa8azcDhAdbSoHAfo1lT3iWkgrcCtF7qY225W-ovnv5nOd8qA00Oln9zpm4CZNlD0ajUYZUq15EUuqJcPzrfSrkGx8kzvJQsAUg3KK8eRa3NKj4_D2G8tSX1NyRMgouCcqzwnjCxNMyb2cvNU_z_bQlDVpR41il_XjeZBXskuuCuJcV8bt-mo9vpsV3uI8mCFPBsxWrWyftZsVKMFk9iAkRCy44k5j7ppsn3wpJwMZZkVgPbKZff2ORJVLn3bLOcrW5Tic9Ruy7g&amp;amp;lib=M-zdWbhavtdZ1B_W2dnFDM0qoVt4lWzJ-"&gt;here&lt;/A&gt;.
&lt;/BODY&gt;
&lt;/HTML&gt;
</t>
  </si>
  <si>
    <t>XtVMvHL1d3hen09Txsad</t>
  </si>
  <si>
    <t>17651-B</t>
  </si>
  <si>
    <t>8E00241118030039</t>
  </si>
  <si>
    <t xml:space="preserve">&lt;HTML&gt;
&lt;HEAD&gt;
&lt;TITLE&gt;Moved Temporarily&lt;/TITLE&gt;
&lt;/HEAD&gt;
&lt;BODY BGCOLOR="#FFFFFF" TEXT="#000000"&gt;
&lt;!-- GSE Default Error --&gt;
&lt;H1&gt;Moved Temporarily&lt;/H1&gt;
The document has moved &lt;A HREF="https://script.googleusercontent.com/macros/echo?user_content_key=AehSKLgpjlDUc277GBDmx29WmdVH8OG9hneTkboHO8T4UyDMQL2F_lpi6KUE7HrTWFfZOTq-sm8A7MtQ7UlljKG_evExU2GaVg_kf7xjAuYCS4yRFM144nqq9zHr3wrqX0lbfdcgAu3RMy-GdAPJL51YG9L9JTdvVTYp62botvJSvh_qin3S4ArVqJ8DDZ0j7f_yNl0r4C-JjuR6w2ssbicTHux2Fq87PX9IkhLCyoEjIIUPdz2aGkf4durlFl6-rDIGxknJdyvk-buli6lMvFJtzM5_BEIK1MkztOjFDb7E_UgH1sLbtE6zr6ExJv8lpQ&amp;amp;lib=M-zdWbhavtdZ1B_W2dnFDM0qoVt4lWzJ-"&gt;here&lt;/A&gt;.
&lt;/BODY&gt;
&lt;/HTML&gt;
</t>
  </si>
  <si>
    <t>vLS4lYHpYN2W43WRSe6P</t>
  </si>
  <si>
    <t>17651-C</t>
  </si>
  <si>
    <t>8E00241118030038</t>
  </si>
  <si>
    <t xml:space="preserve">&lt;HTML&gt;
&lt;HEAD&gt;
&lt;TITLE&gt;Moved Temporarily&lt;/TITLE&gt;
&lt;/HEAD&gt;
&lt;BODY BGCOLOR="#FFFFFF" TEXT="#000000"&gt;
&lt;!-- GSE Default Error --&gt;
&lt;H1&gt;Moved Temporarily&lt;/H1&gt;
The document has moved &lt;A HREF="https://script.googleusercontent.com/macros/echo?user_content_key=AehSKLhKf0vIsz1dKo0x2FNglUKXOpy6QQ2_uDsRjSBHPqI7Y_dgBweRjfKT0Kjj1iiHVjH14CYaWRKNhEbCuwMlnt0LSnTQ8xTYVwHNRq8t7EP_2wZJ6e2h2L8_EPXLKFpuhpVBw2TtKnXSPhltXsTV0vaSpakVst9FbwJmXLhMS24aflQjdZsd3OQNuW-UkZvmp-gCoOlBJwSoUWNxumEZS97jqazCfN3_4EZsEdgDNSUr-N5GJxLt7Jw6SZllAiRFTlm7aVaoZox0OtliaNensR7fbB3avo4T-P-rhjFjoDPfBjkBGaDG7ow7cfBvfQ&amp;amp;lib=M-zdWbhavtdZ1B_W2dnFDM0qoVt4lWzJ-"&gt;here&lt;/A&gt;.
&lt;/BODY&gt;
&lt;/HTML&gt;
</t>
  </si>
  <si>
    <t>IPIUtY4nzaD0tmgRLu95</t>
  </si>
  <si>
    <t>17651-D</t>
  </si>
  <si>
    <t>8E00250104050035</t>
  </si>
  <si>
    <t xml:space="preserve">&lt;HTML&gt;
&lt;HEAD&gt;
&lt;TITLE&gt;Moved Temporarily&lt;/TITLE&gt;
&lt;/HEAD&gt;
&lt;BODY BGCOLOR="#FFFFFF" TEXT="#000000"&gt;
&lt;!-- GSE Default Error --&gt;
&lt;H1&gt;Moved Temporarily&lt;/H1&gt;
The document has moved &lt;A HREF="https://script.googleusercontent.com/macros/echo?user_content_key=AehSKLgRa9GNARnJA6DQJ5hWooTLPLtzCZx2PJZn8mJYp5b54lYdWppLmMjqZlmcFgQvOJ6xZcNNKBUEvibexKbIx2N7dcZLvigIAugmXbTtluhgqQjEG0AtpxG7uPz0GQcrdfAimHRS3REl5iUupplskWDoUPfJk1rrSFA9gi9mb1mOGTnXk5s6DvmT2Oi0m0keKHbQEPlmVe_F1iFSE4XlGxIfduuiHKDwiArsbvtM0JWJcTrmFbpzshY4j4M7rALirgqsUg7kBezxjMV5D89TwlVWWrU84hT6W4ZQgKegZSzhwJIDn2V0eH3cNOKlXQ&amp;amp;lib=M-zdWbhavtdZ1B_W2dnFDM0qoVt4lWzJ-"&gt;here&lt;/A&gt;.
&lt;/BODY&gt;
&lt;/HTML&gt;
</t>
  </si>
  <si>
    <t>nnnHsk6uQAlOV3YMFzew</t>
  </si>
  <si>
    <t>17651-E</t>
  </si>
  <si>
    <t>8F00250110310007</t>
  </si>
  <si>
    <t xml:space="preserve">&lt;HTML&gt;
&lt;HEAD&gt;
&lt;TITLE&gt;Moved Temporarily&lt;/TITLE&gt;
&lt;/HEAD&gt;
&lt;BODY BGCOLOR="#FFFFFF" TEXT="#000000"&gt;
&lt;!-- GSE Default Error --&gt;
&lt;H1&gt;Moved Temporarily&lt;/H1&gt;
The document has moved &lt;A HREF="https://script.googleusercontent.com/macros/echo?user_content_key=AehSKLj-kEdqPJY27mVpQlW3kWYk3ItyhVgA1uiEEiyOn33zWsth3XnKVOMM9aibFm_p_51KGUsesr_UQk3_hiE-MPBwh1LVi6SzQiG9hVvzb3GnUbTLwILcjGAIueNHBC137BM2kdSt4vUXk_MgCSxJxZwbwbPEjKIJU9mDif1WwQHCXM52YJSyi5WgDuTeWYM0zn0VuO5H5TYpdaYoxjUi3P1wWRo_sCFi1BmMZ3YiQ5YOmL5FeGff9-VcdTdEfkACyh8VOrVumI9l_aOpPojusp-sr3AyLm_1b34HgPMG1lHjmep2LO2BUbqdpQlWgA&amp;amp;lib=M-zdWbhavtdZ1B_W2dnFDM0qoVt4lWzJ-"&gt;here&lt;/A&gt;.
&lt;/BODY&gt;
&lt;/HTML&gt;
</t>
  </si>
  <si>
    <t>CTq7eVeBTGeCcEhK40505A</t>
  </si>
  <si>
    <t>17651-F</t>
  </si>
  <si>
    <t>8F00250110320009</t>
  </si>
  <si>
    <t xml:space="preserve">&lt;HTML&gt;
&lt;HEAD&gt;
&lt;TITLE&gt;Moved Temporarily&lt;/TITLE&gt;
&lt;/HEAD&gt;
&lt;BODY BGCOLOR="#FFFFFF" TEXT="#000000"&gt;
&lt;!-- GSE Default Error --&gt;
&lt;H1&gt;Moved Temporarily&lt;/H1&gt;
The document has moved &lt;A HREF="https://script.googleusercontent.com/macros/echo?user_content_key=AehSKLi1k7K0e-g91GfUz72_FElcYYyseTTIUAeEKQglqxnRpPWcuHOBpAESXcazAu_h4n3BR1xARWkuQYdXG3RpwmClxSQkAACBRpLLV462AcXZ4yA-CinBpjP3uNUyNh1TtJlrxoDKw6lghNERtijoOaIQ9oF93sQN2p6RYB5mDmV_f_Xq6Ws3dPN7iInLasEgNCFDqmo4QtZz-uXGg5pSwnVmUoiaLm_QF_1m8XfLfUvpA391xFwfeSqMU_l4Mpze0mkW-f7lCqigKfXkQsTxKdttzJpJiyGEjiNmSCAnFrSIOi7lmgp9TAVYZ0k6Cg&amp;amp;lib=M-zdWbhavtdZ1B_W2dnFDM0qoVt4lWzJ-"&gt;here&lt;/A&gt;.
&lt;/BODY&gt;
&lt;/HTML&gt;
</t>
  </si>
  <si>
    <t>IsumIohnSt37aUwkpE3s</t>
  </si>
  <si>
    <t>17651-G</t>
  </si>
  <si>
    <t>8F00250110320010</t>
  </si>
  <si>
    <t xml:space="preserve">&lt;HTML&gt;
&lt;HEAD&gt;
&lt;TITLE&gt;Moved Temporarily&lt;/TITLE&gt;
&lt;/HEAD&gt;
&lt;BODY BGCOLOR="#FFFFFF" TEXT="#000000"&gt;
&lt;!-- GSE Default Error --&gt;
&lt;H1&gt;Moved Temporarily&lt;/H1&gt;
The document has moved &lt;A HREF="https://script.googleusercontent.com/macros/echo?user_content_key=AehSKLhN85aMGjwW1qfp5wad5K4IBzT2Fe3AwLE2nPDPeFqEjSpemNDuq_yNBGYsOPCW8f3OmnYFmCldBSNYqs7l88raOS1S4rei58yuJE6E1itMY3kwwE_-dtiHxlHz8hgHgOD-bhwvleQJJwda_BO5fE0g3IosEQQuMSR4HUZBdvREUinW2PmhQlhj02w9Md75NfJ9t9rvcA5L48f10eDnF4T7uf67yXzyYV7ama1YdKhpcdyMrdCtiwjoUprcEGC0CH1z270bG6aN_D_HCafeI9viKFKsOyBjPZGZ5Y1vU-LtMWTHqfie799sfv6uJg&amp;amp;lib=M-zdWbhavtdZ1B_W2dnFDM0qoVt4lWzJ-"&gt;here&lt;/A&gt;.
&lt;/BODY&gt;
&lt;/HTML&gt;
</t>
  </si>
  <si>
    <t>epfcmkxCkr18La5aod6g</t>
  </si>
  <si>
    <t>17651-H</t>
  </si>
  <si>
    <t>8F00250104150017</t>
  </si>
  <si>
    <t xml:space="preserve">&lt;HTML&gt;
&lt;HEAD&gt;
&lt;TITLE&gt;Moved Temporarily&lt;/TITLE&gt;
&lt;/HEAD&gt;
&lt;BODY BGCOLOR="#FFFFFF" TEXT="#000000"&gt;
&lt;!-- GSE Default Error --&gt;
&lt;H1&gt;Moved Temporarily&lt;/H1&gt;
The document has moved &lt;A HREF="https://script.googleusercontent.com/macros/echo?user_content_key=AehSKLhbUTX5Vi65vIYeXtUjweHEz2N1iPYWfNTQYqZ3HMBSrZ4dNFG3A5p86hgtwlVOFsO4YBAVOVohQkNcpMk7uy3DY6V4q0jpgQliedBbqF8K2QzkvjKzomxKXN7pK-QshvGEUCQFJ7fwCk0n6Q4C61io4MMETua4-iBi33ts2RrHaYGaeIJJuDIX6_nCX4p_3M3UrGlr5MfbiQ45po5t5qLKNOon2HDEB_b4RkPu4up32vn-lPysNT0g-EIQBCTwkZrQ6mdYABBA9epqvOKDKgo6qpuFT_QpLicOZBp9uM_rxteGthGsq5YkWsOcLw&amp;amp;lib=M-zdWbhavtdZ1B_W2dnFDM0qoVt4lWzJ-"&gt;here&lt;/A&gt;.
&lt;/BODY&gt;
&lt;/HTML&gt;
</t>
  </si>
  <si>
    <t>ZmJfadQeJ0xVRVzwo71t</t>
  </si>
  <si>
    <t>17651-I</t>
  </si>
  <si>
    <t>8F00241005200014</t>
  </si>
  <si>
    <t xml:space="preserve">&lt;HTML&gt;
&lt;HEAD&gt;
&lt;TITLE&gt;Moved Temporarily&lt;/TITLE&gt;
&lt;/HEAD&gt;
&lt;BODY BGCOLOR="#FFFFFF" TEXT="#000000"&gt;
&lt;!-- GSE Default Error --&gt;
&lt;H1&gt;Moved Temporarily&lt;/H1&gt;
The document has moved &lt;A HREF="https://script.googleusercontent.com/macros/echo?user_content_key=AehSKLinKDi3ngH7FuCHHusMSIHUg9DkxxuZsJz8CGjDLfbw1XavS0AKwGXkz5xVwjeR0wzTF4UtxzwYfNQYnfLjpZFN6qn6tMA8B9J3HGsNAd6cwSbziXGWxzqskAWRXrmZZwiu3WaMA8P6-FIswItGFZVh5h5t1UEM9H2uD67uukpnWPYTGU1u3invwoHBKi2eW3UbJdm5xDf7-UiMZKYHrRQRHvU8we_RG6kRtqIaJmSYwuy-QnuF_W6krhPq3bFVdh1n6_nbCosZnRAX8VLqDVk9arlE_PFJ8x7FDdRxzsVg1LzsFzP3plYnk_AS9g&amp;amp;lib=M-zdWbhavtdZ1B_W2dnFDM0qoVt4lWzJ-"&gt;here&lt;/A&gt;.
&lt;/BODY&gt;
&lt;/HTML&gt;
</t>
  </si>
  <si>
    <t>1HmWYf7TY2JuN80GlaqG</t>
  </si>
  <si>
    <t>17651-J</t>
  </si>
  <si>
    <t>8F00241005200019</t>
  </si>
  <si>
    <t xml:space="preserve">&lt;HTML&gt;
&lt;HEAD&gt;
&lt;TITLE&gt;Moved Temporarily&lt;/TITLE&gt;
&lt;/HEAD&gt;
&lt;BODY BGCOLOR="#FFFFFF" TEXT="#000000"&gt;
&lt;!-- GSE Default Error --&gt;
&lt;H1&gt;Moved Temporarily&lt;/H1&gt;
The document has moved &lt;A HREF="https://script.googleusercontent.com/macros/echo?user_content_key=AehSKLj4SJqUziFMaHczFmR4bJJzds62-e6VbiOXuIPN_lveqZIFZa_WLZKeFlY_0Nwgc13xHr1vtPNOBdPy2PKCrGLQWi2FPkSBA47SJvkM6QhvVp0DAkMiK5YrjX2tV9YpK29rRFQKRaCcGyFsI-3rzE3jIRMgxKhCNE46L9HT9HIs36Gf5jCBx-G7WymnUkqMwaT0XPjayKrjdL9uomsFM4s70Zpc3JW4mC3b0LQWsmbR-KyRqit2hE6OzUyANUAnDS1xUINQV2mwjHg666Gtx340RBFr8wF5srDkf2D-gsGy6YsClSoNwISRts8mCQ&amp;amp;lib=M-zdWbhavtdZ1B_W2dnFDM0qoVt4lWzJ-"&gt;here&lt;/A&gt;.
&lt;/BODY&gt;
&lt;/HTML&gt;
</t>
  </si>
  <si>
    <t>UenLDcBs8GrFsWNAa7tt</t>
  </si>
  <si>
    <t>17651-K</t>
  </si>
  <si>
    <t>8F00241005200013</t>
  </si>
  <si>
    <t xml:space="preserve">&lt;HTML&gt;
&lt;HEAD&gt;
&lt;TITLE&gt;Moved Temporarily&lt;/TITLE&gt;
&lt;/HEAD&gt;
&lt;BODY BGCOLOR="#FFFFFF" TEXT="#000000"&gt;
&lt;!-- GSE Default Error --&gt;
&lt;H1&gt;Moved Temporarily&lt;/H1&gt;
The document has moved &lt;A HREF="https://script.googleusercontent.com/macros/echo?user_content_key=AehSKLjmi2VnbPKUqnkQGruYSy-rMTOdsKtrx7ZQo6nFGUwwTM2TTJ6TW13L4FmS4vJN342U4922ahqK64DayXvWoTZQ9bPAvOD1wmvPu1zgkU5tKJoRb0kHhD5qbnfWTNsNdUS2yxqjXKkk0ulmFRNP4SCsktffJFX7eRN9quVcl8-3RD4oLgssRdnG6hNcE_wSL3g3t9qvileuBSQlv0ZL-YnomJEXK4GbJ0VvZ7OBTHonvLt0bFVJbNo5ytF_vs6xysQbKXTBqy5tOjfC0GNKtRlL8ssmmLNmQu-QOt2xnFthsyobAVahXKZNwf7TTQ&amp;amp;lib=M-zdWbhavtdZ1B_W2dnFDM0qoVt4lWzJ-"&gt;here&lt;/A&gt;.
&lt;/BODY&gt;
&lt;/HTML&gt;
</t>
  </si>
  <si>
    <t>5PHrhEEhxMmX25GbEtTa</t>
  </si>
  <si>
    <t>17651-L</t>
  </si>
  <si>
    <t>8F00241005200018</t>
  </si>
  <si>
    <t>maXaDXaivFPRx8kdz5mI</t>
  </si>
  <si>
    <t>17652-A</t>
  </si>
  <si>
    <t>20041</t>
  </si>
  <si>
    <t>RETIRADA NA FABRICA / (0) Informação Adicional: PRAZO DE PAGAMENTO NEGOCIADO:  15/30/45/60/75/90/105/120/135/150 DIAS  / Obs.Interna: DESCONTOS EXTRAS: + 5% FT E + 3% FTI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</si>
  <si>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T2quZ1w4BUV2STTbm1H8jmEoSayVzStIFISeZF9dA4TjGxNLsfI5IDXp_uTcxOC8IxeXawm_-GTsgxI3UTt1RMNY-kxdTcJ14ZfaIC47AhXBO4aa8yPcD4iq117MO8Zl_NVbO01Yiuf1bezPMfwnkQsOsIxz7kJjAylhYKr1hruYkxjdKwZx8GJd15QFS0TQNs1AqP7se7lKcvwr9zuyaUQJ_VtA1qkjZk9b17Ku4GRugkk5d01ClWq3tgbGn98imXmR11SAARFfKHZ_49zLawelt25nV9Ssi82rfZBeQoDgQK23xRfkyGMFK9w&amp;amp;lib=M-zdWbhavtdZ1B_W2dnFDM0qoVt4lWzJ-"&gt;here&lt;/A&gt;.
&lt;/BODY&gt;
&lt;/HTML&gt;
</t>
  </si>
  <si>
    <t>rQHKi09GB8IgnP1b4Xi6</t>
  </si>
  <si>
    <t>17652-B</t>
  </si>
  <si>
    <t>8E00241118030046</t>
  </si>
  <si>
    <t xml:space="preserve">&lt;HTML&gt;
&lt;HEAD&gt;
&lt;TITLE&gt;Moved Temporarily&lt;/TITLE&gt;
&lt;/HEAD&gt;
&lt;BODY BGCOLOR="#FFFFFF" TEXT="#000000"&gt;
&lt;!-- GSE Default Error --&gt;
&lt;H1&gt;Moved Temporarily&lt;/H1&gt;
The document has moved &lt;A HREF="https://script.googleusercontent.com/macros/echo?user_content_key=AehSKLhycT-i2L-V5Q1Oq0EZctGN_r-54n8RATRUJZwxcsp7aXgf5u4gBAd4asJwZnZoz5hVN61todzMYke8Bpm_ElhLgcTv9i2JNbVrWGhAP7QlswzqLErpIqFjlVsnVZvjYhcnkefMnWBh0gHzdR1TcptLSX3BrBaYB-UVOLCq1Y9jp6aqc4FhS10M5DScR203MBixqF1iOFUM3hS0OQboWlaXNK3pu0UCvXZYWg-Bssc48OarnJIJGdLFzXiBgcA5MYs6TM9q-TEi3w6PE7MiTdP4JrGwnKpzsH7IpNwrPGqhcpmChHKvUqeSEbp-pA&amp;amp;lib=M-zdWbhavtdZ1B_W2dnFDM0qoVt4lWzJ-"&gt;here&lt;/A&gt;.
&lt;/BODY&gt;
&lt;/HTML&gt;
</t>
  </si>
  <si>
    <t>SozttC8g3n1ZXz7cO8k7</t>
  </si>
  <si>
    <t>17652-C</t>
  </si>
  <si>
    <t>8E00241118030043</t>
  </si>
  <si>
    <t xml:space="preserve">&lt;HTML&gt;
&lt;HEAD&gt;
&lt;TITLE&gt;Moved Temporarily&lt;/TITLE&gt;
&lt;/HEAD&gt;
&lt;BODY BGCOLOR="#FFFFFF" TEXT="#000000"&gt;
&lt;!-- GSE Default Error --&gt;
&lt;H1&gt;Moved Temporarily&lt;/H1&gt;
The document has moved &lt;A HREF="https://script.googleusercontent.com/macros/echo?user_content_key=AehSKLhrDt1PfQfwOX-Y_Rze4lA7CAtU6UW8uM2eZvQA8sQEiXXM5nGkEfCZiwQJISUFhveNmlQwpTYj5nRjpol3HNfOPUyeQQMs2uAKbCiYbPtnyeA9wAZopJONZf6RO_l9oX3fHNSGf9F130X-RVvsJqtznPldJZEmIyPv9LL4hFZsWaCcoz_s3eo11aHuntUQ1E69Mt-kZKYy8U7vspJywFtpaVl9IDaoYpgGeqDp5BwY_i0hPE4Bpn_n8SS7_mD_wLjP1-57rDyl27iy51RmxyfjFWD14tn_Lu_2eUYTnNsWy8cw1cQPzTHb5t5dKg&amp;amp;lib=M-zdWbhavtdZ1B_W2dnFDM0qoVt4lWzJ-"&gt;here&lt;/A&gt;.
&lt;/BODY&gt;
&lt;/HTML&gt;
</t>
  </si>
  <si>
    <t>Q8pHNwT7FTlYaELt0pAF</t>
  </si>
  <si>
    <t>17652-D</t>
  </si>
  <si>
    <t>8E00241118030044</t>
  </si>
  <si>
    <t xml:space="preserve">&lt;HTML&gt;
&lt;HEAD&gt;
&lt;TITLE&gt;Moved Temporarily&lt;/TITLE&gt;
&lt;/HEAD&gt;
&lt;BODY BGCOLOR="#FFFFFF" TEXT="#000000"&gt;
&lt;!-- GSE Default Error --&gt;
&lt;H1&gt;Moved Temporarily&lt;/H1&gt;
The document has moved &lt;A HREF="https://script.googleusercontent.com/macros/echo?user_content_key=AehSKLi_FOl-pHgJ7K5YSO632qxjrgkzKczz0dNhxx0VJ4siiKNpwG65L3adcE2nCiU7JnXXWgrIaT1Cx4_GtBgbM3HEBswwIgjkUn9Tsc3w0CWtwikzj0na2nUJzlYRzKdTxjsxJPpJWuEyaCVYRkZh5psCGVpm3tCtnuocXBm4Q8BXwsTC-6GajfCpGKSpUYdnum3WgMOzZrOVmfiXnOYPK561MoWngf3dI3ShJwbwOj0PySiR0KBSXh96zE-RBkusMxgEHQb9WRVutre2l6-bYx6U8gJsKIV2WaIBSV1zW7xqK7w117VN9X3Rv5kUZg&amp;amp;lib=M-zdWbhavtdZ1B_W2dnFDM0qoVt4lWzJ-"&gt;here&lt;/A&gt;.
&lt;/BODY&gt;
&lt;/HTML&gt;
</t>
  </si>
  <si>
    <t>0U4GbGBUQtHq7wocmYCx</t>
  </si>
  <si>
    <t>17652-E</t>
  </si>
  <si>
    <t>8E00241118030047</t>
  </si>
  <si>
    <t xml:space="preserve">&lt;HTML&gt;
&lt;HEAD&gt;
&lt;TITLE&gt;Moved Temporarily&lt;/TITLE&gt;
&lt;/HEAD&gt;
&lt;BODY BGCOLOR="#FFFFFF" TEXT="#000000"&gt;
&lt;!-- GSE Default Error --&gt;
&lt;H1&gt;Moved Temporarily&lt;/H1&gt;
The document has moved &lt;A HREF="https://script.googleusercontent.com/macros/echo?user_content_key=AehSKLiV4OqA9tpOPDFE7wD4AM0kjIwnshy7RBXG3tPEf98OMaPS1F5Zv79fvf6ThOELi5F0LzfN6ksbBT-QDLxgTJOdhNMcNPfdaxb4nulYxAgUPUn0tStvFgNQmYxzsADLlFXgRzQe-bTW2xM3vmKVIiMTHpvBdMwSi-eOJUT2b7U5s5ybYD4pHnFDw8_RTuyH6LQ3NdObK5AjfIwMOEWcergrrXzPmEpvzOmPpu2VoqHqpUWFRvuyESef9MpJZ_ioTAGSaMFuNMNs8K1cCye_LKC9W0-P7zXbiq6moVggJA6L4gHB87um3c2QSJ4VKw&amp;amp;lib=M-zdWbhavtdZ1B_W2dnFDM0qoVt4lWzJ-"&gt;here&lt;/A&gt;.
&lt;/BODY&gt;
&lt;/HTML&gt;
</t>
  </si>
  <si>
    <t>qXZ12oJuafq1FLTLvfHc</t>
  </si>
  <si>
    <t>17652-F</t>
  </si>
  <si>
    <t>8E00241118030045</t>
  </si>
  <si>
    <t xml:space="preserve">&lt;HTML&gt;
&lt;HEAD&gt;
&lt;TITLE&gt;Moved Temporarily&lt;/TITLE&gt;
&lt;/HEAD&gt;
&lt;BODY BGCOLOR="#FFFFFF" TEXT="#000000"&gt;
&lt;!-- GSE Default Error --&gt;
&lt;H1&gt;Moved Temporarily&lt;/H1&gt;
The document has moved &lt;A HREF="https://script.googleusercontent.com/macros/echo?user_content_key=AehSKLjVdP_c--viTuN4QUHRr_BDc2iMrG96v20opKhHrVOpk7EXCDdrqzTEzkdtuw3NTmPYa3GOOG685B1bKDh19QDFDJrWvdAQ0vtoxZezbBOs7kUkB9bEKpMhZKrBDGNrwLZm14HcBBC4viUMSvKz453cJZjz8z_o1L0jXO2P0K_MjM_AELC51yko8MTjGul0yDVDNO6DRwCcDHaDwbSD-_C4gHDZ92PhO8pW9te6rW8UCcUvyqleb2ilEJFzM0YlOqMBxJkYyEJiIQldrLbzuOo3VEA870sBXxO62eOkbFZXyB1gMyO95a7ikP1prw&amp;amp;lib=M-zdWbhavtdZ1B_W2dnFDM0qoVt4lWzJ-"&gt;here&lt;/A&gt;.
&lt;/BODY&gt;
&lt;/HTML&gt;
</t>
  </si>
  <si>
    <t>Hhzc6fREaFAuXJ35Tc73</t>
  </si>
  <si>
    <t>17652-G</t>
  </si>
  <si>
    <t>8E00241118030040</t>
  </si>
  <si>
    <t xml:space="preserve">&lt;HTML&gt;
&lt;HEAD&gt;
&lt;TITLE&gt;Moved Temporarily&lt;/TITLE&gt;
&lt;/HEAD&gt;
&lt;BODY BGCOLOR="#FFFFFF" TEXT="#000000"&gt;
&lt;!-- GSE Default Error --&gt;
&lt;H1&gt;Moved Temporarily&lt;/H1&gt;
The document has moved &lt;A HREF="https://script.googleusercontent.com/macros/echo?user_content_key=AehSKLidr1-5hEkr_zF79v29vlz4hr6zch83pYArA2ni8kwpHeVF1wnJEFf-75bSCa0oB43_z1KLPKDJh2Rlb7ZJXEd0BbQHzJzcOfG08Cvwxi-_stoHEuyhmrQUceEYQrgfj8F5oXoAdqxvHkWFYgyZUMHA_wEg9u72MjjSz8VJXiadRPnGTUbUDAOKk22FsYJCkIok6365Z6FXIIM4cIYyET5tk8B9uiKpjjfPFubmmYrVggEcOiDUdvXNeVh7HKQPDNzWhtbYz8kM4L7j3OC55yKSW12TdGSiFmNDSV4_ydCmpVTWbr9fosYl-sBGPQ&amp;amp;lib=M-zdWbhavtdZ1B_W2dnFDM0qoVt4lWzJ-"&gt;here&lt;/A&gt;.
&lt;/BODY&gt;
&lt;/HTML&gt;
</t>
  </si>
  <si>
    <t>a.60eJ7mOTDqxJCtwHWgK4g</t>
  </si>
  <si>
    <t>17652-H</t>
  </si>
  <si>
    <t>8F00241118040028</t>
  </si>
  <si>
    <t xml:space="preserve">&lt;HTML&gt;
&lt;HEAD&gt;
&lt;TITLE&gt;Moved Temporarily&lt;/TITLE&gt;
&lt;/HEAD&gt;
&lt;BODY BGCOLOR="#FFFFFF" TEXT="#000000"&gt;
&lt;!-- GSE Default Error --&gt;
&lt;H1&gt;Moved Temporarily&lt;/H1&gt;
The document has moved &lt;A HREF="https://script.googleusercontent.com/macros/echo?user_content_key=AehSKLikkryZp4ILY463QIdUWY2BFhnafWhvDw0IaERzJECv_Y82UHk9rmUPykQiS9w1h6kAiAx2YS4plnXuZQYtOxtzUDScRdL2wNhnWIP1gBq0E0xe9_P8RuspsJwONQo1CW0pZKXyObccahTtLfQZWSrE6bRZNy0e4eigJjtglsy0z6nnpYLr2gIoT8TVZA38qpqMs1-7V9Lf_hdSFsvCBOYtsOzkhQHhky0Sq28DMqduclY4U1m4DGrFcVKS-krTRFK67v7T9csKdrP06hziRBB1EwBVhvLFH9APobnB9medidHWc-e66kQdH1ADiA&amp;amp;lib=M-zdWbhavtdZ1B_W2dnFDM0qoVt4lWzJ-"&gt;here&lt;/A&gt;.
&lt;/BODY&gt;
&lt;/HTML&gt;
</t>
  </si>
  <si>
    <t>AY0ji49gJHYScr2zi8Bd</t>
  </si>
  <si>
    <t>17653</t>
  </si>
  <si>
    <t>BHF INCORPORADORA LTDA</t>
  </si>
  <si>
    <t>8F00240812220285</t>
  </si>
  <si>
    <t xml:space="preserve">
RETIRADA NA FABRICA / (0) 
Obs.Interna: S/NF - COM RECIBO PARA POSSIVEL Nº SERIE 3121001000018  / E-mail para nota fiscal: , E-mail de cobrança: , Telefone para contato
VALOR DE VENDA 22.000,00 PAGO EM DINHEIRO</t>
  </si>
  <si>
    <t xml:space="preserve">&lt;HTML&gt;
&lt;HEAD&gt;
&lt;TITLE&gt;Moved Temporarily&lt;/TITLE&gt;
&lt;/HEAD&gt;
&lt;BODY BGCOLOR="#FFFFFF" TEXT="#000000"&gt;
&lt;!-- GSE Default Error --&gt;
&lt;H1&gt;Moved Temporarily&lt;/H1&gt;
The document has moved &lt;A HREF="https://script.googleusercontent.com/macros/echo?user_content_key=AehSKLhlZX6ZRZx0_rxyGeoiKh5qzgu92LTzhmusAf_SOhGkg11PuUbX4jDoqpsh_wZt-10kUx73Cxr6Pm2gpuhTqLtewEBNbwuvOlWe_ocXs1CCOPDdYWIzHtHYJI8oe8MGFJz9VFdZW89oXtao47Yab5GeBvaIuZReIEyF9b4iTQDBII5PeldVecQ6wDk63bcPmDZ7HcHsKnWtOKY9G9QbR2xA3kE2n2fKRZVEVfDLgJSggPqAz9CjVjk2v4QrTlZDVzkh5Lp0PkRDxkA5g7p-mwwcRRFs6j87dedCK0SrJL3CenOi_MF19x27ktMgqA&amp;amp;lib=M-zdWbhavtdZ1B_W2dnFDM0qoVt4lWzJ-"&gt;here&lt;/A&gt;.
&lt;/BODY&gt;
&lt;/HTML&gt;
</t>
  </si>
  <si>
    <t>ythqILa1QMeHsyJqRwquVA</t>
  </si>
  <si>
    <t>17656</t>
  </si>
  <si>
    <t>20044</t>
  </si>
  <si>
    <t xml:space="preserve">&lt;HTML&gt;
&lt;HEAD&gt;
&lt;TITLE&gt;Moved Temporarily&lt;/TITLE&gt;
&lt;/HEAD&gt;
&lt;BODY BGCOLOR="#FFFFFF" TEXT="#000000"&gt;
&lt;!-- GSE Default Error --&gt;
&lt;H1&gt;Moved Temporarily&lt;/H1&gt;
The document has moved &lt;A HREF="https://script.googleusercontent.com/macros/echo?user_content_key=AehSKLj6g2cCETSurPX_u-LRMzt5m1YMoS6F7mrfWQVp-1NrUjgNOLAugIlobEgt3BPY4DK56FPffe1J8uWvzkFBxDKUKfSF_7xHzNY29vPFEJE6HBDqzl15Nh8xa_EGR-3KiXxEpVWGU7oTwpsCNrF5xfTePscsrCIqjnn34W5UIh-rlR8Noa4UIazx7--mmZpbEE3M6lobP9abjFhKD0zV82rdNcvWwkcbfMz44w47EXVLOODogldtRwGwcYdYsR_bjLO2-0gaxXqPMfdtKB0ptrOsqT5h6WA5lAr4QnkSwRYhMZPLNeaumRgTcvt5hw&amp;amp;lib=M-zdWbhavtdZ1B_W2dnFDM0qoVt4lWzJ-"&gt;here&lt;/A&gt;.
&lt;/BODY&gt;
&lt;/HTML&gt;
</t>
  </si>
  <si>
    <t>XATpCFqlS-Kb.VSpH6xA4A</t>
  </si>
  <si>
    <t>17657-A</t>
  </si>
  <si>
    <t>8F00250104100009</t>
  </si>
  <si>
    <t>EXPRESSO SAO MIGUEL S/A / (049) 3361-6627Obs.Interna: ENTRADA+ BOLETO 30 DS - PEREÇO A VISTA APR.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</si>
  <si>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ycyIUPRsJYcmrrQiokPeXf2HPs1bb77FDmvbmVbwK8KFpsSr_auXBaKuX4A3qcKmF-bT8dUieXVP1y6lC9Myuh_LoDTdP_Gg441YJUjG-zfHuW20yzmGXdHu4S99tmPIUX0IAiO67otaUkcoMmOGsny-GMxOpt5Cx-jaoe2HYUxWPGUx5dgIGAXjNz5fY6v-Govz4axEaMCtfT6qxB4XhZcxH4GXCYYo9PTbjiujlXDrTfTPJYywNHgw5mLyt8F4_-NzmSnCniQuKCAfH2rQg3PuihKvTQs6J0BfBsbYtWNj7W6ccd5jX2cH4sA&amp;amp;lib=M-zdWbhavtdZ1B_W2dnFDM0qoVt4lWzJ-"&gt;here&lt;/A&gt;.
&lt;/BODY&gt;
&lt;/HTML&gt;
</t>
  </si>
  <si>
    <t>NSXZRXQYxocQkmbsQRW7</t>
  </si>
  <si>
    <t>17657-B</t>
  </si>
  <si>
    <t>8F00250110310012</t>
  </si>
  <si>
    <t xml:space="preserve">&lt;HTML&gt;
&lt;HEAD&gt;
&lt;TITLE&gt;Moved Temporarily&lt;/TITLE&gt;
&lt;/HEAD&gt;
&lt;BODY BGCOLOR="#FFFFFF" TEXT="#000000"&gt;
&lt;!-- GSE Default Error --&gt;
&lt;H1&gt;Moved Temporarily&lt;/H1&gt;
The document has moved &lt;A HREF="https://script.googleusercontent.com/macros/echo?user_content_key=AehSKLiGuYnrL8mUtcPPl_laPk5qC8pupbCrViWIB7gZIUmKpUhxNl9EPfGSjNJIgeoTglYzAz0XgzmN6RNP3evX11NqtdFVUHXr2LQBbpelHcZz0Nwz-vQXBfUYxx51kvqZoZ-2EkjiWAuEzVhRu-g2peYmqd_QD02K1e75Tzn4dl5COdedhq4wKzqlfTtBQE3K1Io4pmgok6ZqYMuNzn_pTXfnNolBSxGSjhz7w5tSGfV8O89nvBirZLFLfU6ARx428gCevKUDdk0G1WFuC1m_QkwRlpm_0lM8qUq7FjMth7cRfGXiGczb5E3n8YCZlw&amp;amp;lib=M-zdWbhavtdZ1B_W2dnFDM0qoVt4lWzJ-"&gt;here&lt;/A&gt;.
&lt;/BODY&gt;
&lt;/HTML&gt;
</t>
  </si>
  <si>
    <t>jQQc0eQUS6et.y-iUnXzfA</t>
  </si>
  <si>
    <t>17657-C</t>
  </si>
  <si>
    <t>8E00250104050027</t>
  </si>
  <si>
    <t xml:space="preserve">&lt;HTML&gt;
&lt;HEAD&gt;
&lt;TITLE&gt;Moved Temporarily&lt;/TITLE&gt;
&lt;/HEAD&gt;
&lt;BODY BGCOLOR="#FFFFFF" TEXT="#000000"&gt;
&lt;!-- GSE Default Error --&gt;
&lt;H1&gt;Moved Temporarily&lt;/H1&gt;
The document has moved &lt;A HREF="https://script.googleusercontent.com/macros/echo?user_content_key=AehSKLg-XUNWFhnZN_ZpVk7lZsTwRcl0zL0HcjBRbBjP-IXhm5kp9neNulTvZ3w7OAZdBaFk8VDlpfFFao6U0YSX06Xr4U9vF77ZZOBV5muSBvg9tCigEJ5kb54n6hyfCJdknTyIfroffrLoBYRgf9IKDKfCGqOvAP2uoCZNRssxtRyvMyJV_kDvnm9qfdErQBn5DHhklBw8S5bXMlXxtah7-f3eiSXkTzDx5q23IeE7DnPOddxeFfqe8TovILI6o1C--9EsctIPizPWlD8iGKeXzJLHrFkm7n6l3JMfgM3vpM2VtWW0u_yO0fo_ANlvHw&amp;amp;lib=M-zdWbhavtdZ1B_W2dnFDM0qoVt4lWzJ-"&gt;here&lt;/A&gt;.
&lt;/BODY&gt;
&lt;/HTML&gt;
</t>
  </si>
  <si>
    <t>ySgCV3o1Xplv6ZuJICfE</t>
  </si>
  <si>
    <t>17660-A</t>
  </si>
  <si>
    <t>8E00241118030035</t>
  </si>
  <si>
    <t>EXPRESSO SAO MIGUEL S/A / (049) 3361-6627Informação Adicional: 1 maquina ja esta com o Renato,  que retirou do cliente F Santi enviar as outras 2,emitir Nfe desta que ja esta maquina que ja esta com Renato /</t>
  </si>
  <si>
    <t xml:space="preserve">&lt;HTML&gt;
&lt;HEAD&gt;
&lt;TITLE&gt;Moved Temporarily&lt;/TITLE&gt;
&lt;/HEAD&gt;
&lt;BODY BGCOLOR="#FFFFFF" TEXT="#000000"&gt;
&lt;!-- GSE Default Error --&gt;
&lt;H1&gt;Moved Temporarily&lt;/H1&gt;
The document has moved &lt;A HREF="https://script.googleusercontent.com/macros/echo?user_content_key=AehSKLhSKG3UMnl-smcw--CSXWc-c27jkNoAgn9CE79fVHy6k7iXbYC0dBFogO9ch-UPAZHyYFNZFpGnto80yoInng63uZYQyTiLywvd1l7kz1B6ciqjNoMEvc57QP_x3XUT9i0J-EeK0CzSBKJFkVB2_4euW6iUI4OF2DgnT20KygunK3PaB3DxFbYu-L1-Z2DB1VM44DpWizdfLC6QiHtU3tV2szqUGquUssAS5rmqBV6T64vVoyu5hmiBr_dBkYcDshRGpU8OjI4Hg6QZ2ElG6QJwA0PrH3qa-fV97Doz7TRQsFtLnzBZV-DDx6BjyQ&amp;amp;lib=M-zdWbhavtdZ1B_W2dnFDM0qoVt4lWzJ-"&gt;here&lt;/A&gt;.
&lt;/BODY&gt;
&lt;/HTML&gt;
</t>
  </si>
  <si>
    <t>wcPOBtnFSyCXQbhoJXvWNg</t>
  </si>
  <si>
    <t>17660-B</t>
  </si>
  <si>
    <t>8E00241118030036</t>
  </si>
  <si>
    <t xml:space="preserve">&lt;HTML&gt;
&lt;HEAD&gt;
&lt;TITLE&gt;Moved Temporarily&lt;/TITLE&gt;
&lt;/HEAD&gt;
&lt;BODY BGCOLOR="#FFFFFF" TEXT="#000000"&gt;
&lt;!-- GSE Default Error --&gt;
&lt;H1&gt;Moved Temporarily&lt;/H1&gt;
The document has moved &lt;A HREF="https://script.googleusercontent.com/macros/echo?user_content_key=AehSKLi2RZmEX6gV-E2JboPZ0ws9dmXSRucvGnIycvP3j04J3_6fAk7Ivw8afpi9mqm5HwYVovhVd3lWO6avOJZQviJYgqlk7xxFp9AJNIeF1BINOVW8E9HmBshkCzzvKeinD21N9tP29oJWSvFJYKVnK8POjwh4eqWbkKpcOndMKicqtiEbq32zW4hhxk06CZRFO0-MK1C_0aVk-qOiA_0JaryXMfiWlISc331Ko5SIv5mEiSSu6Hk5vd3eYZTpQAiK_ma8TZYeY-uyaC8lHmbbst8rQQqu3g9UQalKX7xhsE4KfdQxggjfJ71bEyqybA&amp;amp;lib=M-zdWbhavtdZ1B_W2dnFDM0qoVt4lWzJ-"&gt;here&lt;/A&gt;.
&lt;/BODY&gt;
&lt;/HTML&gt;
</t>
  </si>
  <si>
    <t>PJrQWjxjAUZ0PzHCbCDX</t>
  </si>
  <si>
    <t>17660-C</t>
  </si>
  <si>
    <t>8E00241118030057</t>
  </si>
  <si>
    <t>w3vbmicMtZUV7VwMpNbT</t>
  </si>
  <si>
    <t>17661</t>
  </si>
  <si>
    <t>8F00241118040024</t>
  </si>
  <si>
    <t xml:space="preserve">&lt;HTML&gt;
&lt;HEAD&gt;
&lt;TITLE&gt;Moved Temporarily&lt;/TITLE&gt;
&lt;/HEAD&gt;
&lt;BODY BGCOLOR="#FFFFFF" TEXT="#000000"&gt;
&lt;!-- GSE Default Error --&gt;
&lt;H1&gt;Moved Temporarily&lt;/H1&gt;
The document has moved &lt;A HREF="https://script.googleusercontent.com/macros/echo?user_content_key=AehSKLiiu1FHwsIOpR94ciLNlDf4nJZGBIvt1z_2cViC6vLE5YMQixRUEdnTg7Ry-an_seAUy64yeIygpncNOylLraz-y79jBxrcYRcLv0CNRBBgucDXzZ9fWgCyyW74VUaG7OqygyBq4qFejSaIVQJoyAtoReWBD1GrvAoODs8DHupeVqDNrmZft87p0jAOxIhrFPNoS9HMp9tAdXQhcyvXLhKscRMAniS6YmgQtMtVQK17MuzvLQNeu_V16-s7AvzqZpw3Rjn9qz2WogwXIq_ppNKldzbQhYomryRKotZDbquPuYvyKveR6k9oDujKdw&amp;amp;lib=M-zdWbhavtdZ1B_W2dnFDM0qoVt4lWzJ-"&gt;here&lt;/A&gt;.
&lt;/BODY&gt;
&lt;/HTML&gt;
</t>
  </si>
  <si>
    <t>oJcSX0WsT-u-WLOy.AFmdg</t>
  </si>
  <si>
    <t>17662-A</t>
  </si>
  <si>
    <t>8F00250208120004</t>
  </si>
  <si>
    <t xml:space="preserve">&lt;HTML&gt;
&lt;HEAD&gt;
&lt;TITLE&gt;Moved Temporarily&lt;/TITLE&gt;
&lt;/HEAD&gt;
&lt;BODY BGCOLOR="#FFFFFF" TEXT="#000000"&gt;
&lt;!-- GSE Default Error --&gt;
&lt;H1&gt;Moved Temporarily&lt;/H1&gt;
The document has moved &lt;A HREF="https://script.googleusercontent.com/macros/echo?user_content_key=AehSKLhL9vRjdL5ayKY3QV3bS2VHk3M9Fp58ovGINvgyl-n_wUzPj2TnqXeL-548MMcTnucCojfdeLo2TlFQT6RJXUf3OZRsrH97PzXkWIDYv8cU1-vVjyda44G7an-4LXsuKgY6Uj1E9-rYl5J8N5zwGSgPEu29M9zvaF-5LRci0RXFSfDw-58DV5b_WbrTHWlZqz_t8KwxjMXedYM_b3uqt3XN2xuvp_4WEpYnc4_hyexyxMUbg4mIme0MBgGm9OWJDpfK7U47mblCJpdpKhfWMEKWqxoeb7cUG1IXb2x59pOxTKSVfvzLHXajEeUu2Q&amp;amp;lib=M-zdWbhavtdZ1B_W2dnFDM0qoVt4lWzJ-"&gt;here&lt;/A&gt;.
&lt;/BODY&gt;
&lt;/HTML&gt;
</t>
  </si>
  <si>
    <t>PQERdf0JQqm8VEfwFbOsFA</t>
  </si>
  <si>
    <t>17662-B</t>
  </si>
  <si>
    <t>8F00250208120002</t>
  </si>
  <si>
    <t xml:space="preserve">&lt;HTML&gt;
&lt;HEAD&gt;
&lt;TITLE&gt;Moved Temporarily&lt;/TITLE&gt;
&lt;/HEAD&gt;
&lt;BODY BGCOLOR="#FFFFFF" TEXT="#000000"&gt;
&lt;!-- GSE Default Error --&gt;
&lt;H1&gt;Moved Temporarily&lt;/H1&gt;
The document has moved &lt;A HREF="https://script.googleusercontent.com/macros/echo?user_content_key=AehSKLg4gTqqf-iwwogGiB49ei1HqdWeNJTxSj70qho4xeap3lgNM1RTd3nORw683FuZAHU6c1CmrOogFIAdLR1RAQHtxttasUk9R34PFb5JXqavXM3XO2vO4gEyT9RSCsw-NZeI8ZaJIjh8gjHhHGxVwf2yK_c0SpWB4rbLC5ppTZClhd5ruOefeXAu_A2W9_Xy5FZUt800ATKzoXDfqopZy54UezqnOhXjbkjB4Yvd14OhYZwp3FtTu1Ftu-a_VcYoDiLitunXVHyo91kYZ5CUr5N4WQrnyjzE6POChHHZk1BvR-y6fhTk_4rgcKRp9Q&amp;amp;lib=M-zdWbhavtdZ1B_W2dnFDM0qoVt4lWzJ-"&gt;here&lt;/A&gt;.
&lt;/BODY&gt;
&lt;/HTML&gt;
</t>
  </si>
  <si>
    <t>eFWR489LG0l1Qi95CF76</t>
  </si>
  <si>
    <t>17662-C</t>
  </si>
  <si>
    <t>8F00250208120003</t>
  </si>
  <si>
    <t xml:space="preserve">&lt;HTML&gt;
&lt;HEAD&gt;
&lt;TITLE&gt;Moved Temporarily&lt;/TITLE&gt;
&lt;/HEAD&gt;
&lt;BODY BGCOLOR="#FFFFFF" TEXT="#000000"&gt;
&lt;!-- GSE Default Error --&gt;
&lt;H1&gt;Moved Temporarily&lt;/H1&gt;
The document has moved &lt;A HREF="https://script.googleusercontent.com/macros/echo?user_content_key=AehSKLh8gKKhxSrXESF54fWXE7dNzsbo7Arpc-xzyZMiNy-iDVUVY7X6z4ivf9MytrSVYjylNQBlkMkVzEK1rJLj8qHtkLkXNn0_CxC9eb5-1-omJV8YuZIAoh_TxlG3oGqEBsoS0I0U8y8dajwvgyMs1nMftULRe7QKd_SCz4BX8AtW8eBFOKzg1-PbFEZNJPV56UdFpZgFTSPwE6kJ0g-95p6WOSqufkCd2fucWCpP6_hPdX73Fqlv8iY2VAiYIt_8gqbyD5XHqAbMOlZH4nDULqnjKyrtHCYEpCRfzru9DLnmXZJG6PymrTclgozvbQ&amp;amp;lib=M-zdWbhavtdZ1B_W2dnFDM0qoVt4lWzJ-"&gt;here&lt;/A&gt;.
&lt;/BODY&gt;
&lt;/HTML&gt;
</t>
  </si>
  <si>
    <t>IS09PI9BMDp5MdHhSOLl</t>
  </si>
  <si>
    <t>17663</t>
  </si>
  <si>
    <t>EXPRESSO SAO MIGUEL S/A / (049) 3361-6627Obs.Interna: CONCEDER DESCONTO A VISTA - VALOR TOTAL DO PEDIDO R$ 18.767,25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</si>
  <si>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T2qW9fYNfO15ogJ7rowZMC0t2tP3evkk_x0PgcvKq38mqCAnTF37Ozf5ynKY9ND8QnM3vac7DWGIw90N1JOeASQNp4GE4cfVQaibUs1x1nWPiIJgZXgbKy2Jo6AF8j4xFdZAqiQWzJMItUONhX9GvhSJhxHPEka0TMjXwE8YRNiEQuJ6n4bOfRBSaEyA4w9fu97fChsqaS_CRrhqOG7KITQVO5xVsvnIE0Zl6GaJ_AaLP7rdfH4AlQfI5xAmV0ZgFA5bwJPBtgekNeksp6hopJxCrkY-GRihg_TR_mkNcH5IMaGfMMHLNaZ2wzw&amp;amp;lib=M-zdWbhavtdZ1B_W2dnFDM0qoVt4lWzJ-"&gt;here&lt;/A&gt;.
&lt;/BODY&gt;
&lt;/HTML&gt;
</t>
  </si>
  <si>
    <t>a2HYcSOOTsaRfcm.jtaKVw</t>
  </si>
  <si>
    <t>17664</t>
  </si>
  <si>
    <t>8F00241118040025</t>
  </si>
  <si>
    <t xml:space="preserve">&lt;HTML&gt;
&lt;HEAD&gt;
&lt;TITLE&gt;Moved Temporarily&lt;/TITLE&gt;
&lt;/HEAD&gt;
&lt;BODY BGCOLOR="#FFFFFF" TEXT="#000000"&gt;
&lt;!-- GSE Default Error --&gt;
&lt;H1&gt;Moved Temporarily&lt;/H1&gt;
The document has moved &lt;A HREF="https://script.googleusercontent.com/macros/echo?user_content_key=AehSKLjoIm9jRRipgMG9ESSMT43gJS6M30fPuda4BwPK3oKDDAitviAZ3BqdPGlkY3zx0CS8yyAuUBBdsLYfNV5DnAMCnq5RTxFWafb2utc07w5Vt--iyGH952nMPg5TFjaAvVAVbh1iKCM_TWRU5BTGyVGyGmucFGfjpvMB4MjNUMJZO4nmM_M_p37XsNgBZGAdMKKpnIxPmc01CChIXUwjZPGfmC9ffHTxEdgvv8jWXPWyzrbgu4k_jG4-SrOpfznvAK2XyIvBzijTrT8jmiQxgzH88ftlLIRbMh5zqmuFAsfzZri4AgEh5cts-S3qcA&amp;amp;lib=M-zdWbhavtdZ1B_W2dnFDM0qoVt4lWzJ-"&gt;here&lt;/A&gt;.
&lt;/BODY&gt;
&lt;/HTML&gt;
</t>
  </si>
  <si>
    <t>N9Q9jMmZRdGmiBdob5op8Q</t>
  </si>
  <si>
    <t>17665</t>
  </si>
  <si>
    <t>8E00241118030030</t>
  </si>
  <si>
    <t xml:space="preserve">&lt;HTML&gt;
&lt;HEAD&gt;
&lt;TITLE&gt;Moved Temporarily&lt;/TITLE&gt;
&lt;/HEAD&gt;
&lt;BODY BGCOLOR="#FFFFFF" TEXT="#000000"&gt;
&lt;!-- GSE Default Error --&gt;
&lt;H1&gt;Moved Temporarily&lt;/H1&gt;
The document has moved &lt;A HREF="https://script.googleusercontent.com/macros/echo?user_content_key=AehSKLiyLDwHkz5UktMIPYkZ7fmo46TOGBdmSKWm2wbXgD9SqlNNYTEP83nhrF8LtnuJpBwOiJu4iV4yVuOC4Apv59iENoRO8BcR1YQ1s7iCPe2vZxwxxmdqXV1yltO95PeOzzQydN0oi3lAqfGJ8GoUcHsw84itZOuquPd1emI4ZwS8SVhYp5j19TPHw5nkiSEtkjwC0SfBpT09azjzA09IAZ0pa6tMD2A4HSULYEVa-r3eTFfTRWwqmUyl6k1eOiWwegb5O8mqoRJGnyoTmTLwX81EMja13TX5tmTDN_-h1YpSiGFE9U9b_rm-J4QqjQ&amp;amp;lib=M-zdWbhavtdZ1B_W2dnFDM0qoVt4lWzJ-"&gt;here&lt;/A&gt;.
&lt;/BODY&gt;
&lt;/HTML&gt;
</t>
  </si>
  <si>
    <t>x.RVmxhoTwarJGhBDeOy7A</t>
  </si>
  <si>
    <t>17666-A</t>
  </si>
  <si>
    <t>FITLOG TRANSPORTES E LOGISTICA LTDA / (048) 996277956Informação Adicional: ENTREGA FUTURA PARA DEZEMBRO 2025.
O REDESP. SERA FOB - TRANSP. TRANSFORT - CNPJ:38.243.029/0002-58 - END: R SOLD CRISTOVAO MORAIS GARCIA, 375, CEP: 02.187-090</t>
  </si>
  <si>
    <t>ooFs8q4LSyyTnAnjx.G-fA</t>
  </si>
  <si>
    <t>17666-B</t>
  </si>
  <si>
    <t>uyzT5AzLA70Fb9ekQyRe</t>
  </si>
  <si>
    <t>17666-C</t>
  </si>
  <si>
    <t>xE100jxlM0GA1GJ4u4LS</t>
  </si>
  <si>
    <t>17666-D</t>
  </si>
  <si>
    <t>h3Joj9rJ3b4AFhjwsUwM</t>
  </si>
  <si>
    <t>17666-E</t>
  </si>
  <si>
    <t>bhkHeDtoENcmJxzihYak</t>
  </si>
  <si>
    <t>17666-F</t>
  </si>
  <si>
    <t>U5GRp4unIxwzWhMsQvRO</t>
  </si>
  <si>
    <t>17667</t>
  </si>
  <si>
    <t>8F00250104100010</t>
  </si>
  <si>
    <t>FITLOG TRANSPORTES E LOGISTICA LTDA / (048) 996277956Obs.Interna: rua jornalista aristides de melo 139 casa 2 . niteroi RJ CEP 24330030 Referencia final da rua subida do morro, casa azul com portao branco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</si>
  <si>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WzL98DBy7zWLIEIDqO2lKTPxHzc16iAMcKIg0tC0YAUA1RNXxtEubdrGu8kijV35WKMw4xfF-clYCwLYQ4ljfHNwCcTQzFxG_4aFM5n4hPugoOLw2r0J8R4etJUIkNg3iK_LKVvQOq50CjWaKlCa_rylPLW1J9_ze7WGW4T577Bx2C_aG8YwZcFm_hsTev1oKwxWwbZkybiaC237ZbNnP71BnJ3-vwTcJAkIZYYlwjazxqEEbQj03BEoXp5qziEJpYQmKMVEhj32-xrAspcKDCI3_ovpnLM378wfAc0sbTF9Ztug9UPiW2469fQ&amp;amp;lib=M-zdWbhavtdZ1B_W2dnFDM0qoVt4lWzJ-"&gt;here&lt;/A&gt;.
&lt;/BODY&gt;
&lt;/HTML&gt;
</t>
  </si>
  <si>
    <t>dl.WdGo7TXuzBvV5yMh50g</t>
  </si>
  <si>
    <t>17668-A</t>
  </si>
  <si>
    <t>20047</t>
  </si>
  <si>
    <t>FITLOG TRANSPORTES E LOGISTICA LTDA / (048) 996277956Informação Adicional: MAQUINAS DO COND ED ROYAL BLUE BARRA DA TIJUCA / Obs.Interna: Equipamentos com quadro deslocado de sobrepor. Falta a Ordem de Compra e o endereço de entrega, cliente irá enviar esses dados para constar na NF.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</si>
  <si>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YJ-boRvYsaEcleSopPkHZq9dv6VtBR28jFqp9MxXrrVFPhKKeU1kijbNeTvot3ast6-uuNrG0yIWx_fWgPhcG-ELjZaEkbfsSBhp9c-ypbPiNSVeFzmciFCAdutEGOWxmlSFm0VQ9ri4fYiCZzhagNDtpPI8CJlYa5Z_llPvyzGNEIWmyVSuGzSj4Qkf1PzWeixayEQpZVokrhzT3CsZr0SJ9BxNeN-EpmvC02uMJAGQ_D7ceGP1sOTW7EMkUTxAclOf3HALScRBdD3EL_AU0Z8ikvhD1Q4FSA3vz2AzuXLpZKLWaCEJ-roVgA&amp;amp;lib=M-zdWbhavtdZ1B_W2dnFDM0qoVt4lWzJ-"&gt;here&lt;/A&gt;.
&lt;/BODY&gt;
&lt;/HTML&gt;
</t>
  </si>
  <si>
    <t>P6JhJh5UTmy9-.cnRZCDnA</t>
  </si>
  <si>
    <t>17668-B</t>
  </si>
  <si>
    <t>20048</t>
  </si>
  <si>
    <t xml:space="preserve">&lt;HTML&gt;
&lt;HEAD&gt;
&lt;TITLE&gt;Moved Temporarily&lt;/TITLE&gt;
&lt;/HEAD&gt;
&lt;BODY BGCOLOR="#FFFFFF" TEXT="#000000"&gt;
&lt;!-- GSE Default Error --&gt;
&lt;H1&gt;Moved Temporarily&lt;/H1&gt;
The document has moved &lt;A HREF="https://script.googleusercontent.com/macros/echo?user_content_key=AehSKLjs1pXSliZUS52kBZ4u-oOTHQddeN2oFuWjG-TdLmg_pJPCo9-NCPlUPJTgSZpgGEsVAN-jpiW3fUxXzlEnCApccMNvPRO22MVnV4FCPLIMcgLB4aruJfgYgeOT5TSnDRrwbsuLhMXLMvdHehE9lCqIHZjxshzBHNQ85YfmoHSZAf5Pd9koYlIojgiWEL9TAtZdj64VzAj3sQpAZgbjMbg-MSZgdvHR8pxlalApPbWsVHumXa1447fx8OrY9dMbhB9yF_qk__vMu-zvi6wCupjXmJAQzwhsWtFg1CjkVCfT9A0-MAx5S4ZHssyUyw&amp;amp;lib=M-zdWbhavtdZ1B_W2dnFDM0qoVt4lWzJ-"&gt;here&lt;/A&gt;.
&lt;/BODY&gt;
&lt;/HTML&gt;
</t>
  </si>
  <si>
    <t>zwSi357B4sRCvVdXwaTv</t>
  </si>
  <si>
    <t>17669</t>
  </si>
  <si>
    <t>20039</t>
  </si>
  <si>
    <t>FITLOG TRANSPORTES E LOGISTICA LTDA / (048) 996277956Obs.Interna: Pedido referente substituição de maquina FT 160 nf 12107  com  problema no compressor. Autorizado a troca pelo Abel/Kubtiza. Quadro deslocado de sobrepor.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</si>
  <si>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hgl6rt755x_VTWNU_Bmz4yzF05z16n1PF0woZV4-hIwYxc_HxClULLo5Ct2qdMZeseJ8Mm_u9q1SNYEA568SU0AfzkbHpwre4_gZ-wmQxUG8SrMrj4xeuUENirzDjMI3IEM9tRe6drUanUaHcyzeC8zi805qZOkv-pB7QQpq5LXKYgLBIww5fKmjzMgKkDw6aMZEBMwjaEdNMSjYsDulIctn-HWwCJieKn3kx5JMZG5ch681Vt-SgrCtbRIPZqTT2364Oad4UkOtOJhW6xLsLBetM_Oi7dtpbsXoASKEwSZbM5pMUrakJnhiT0g&amp;amp;lib=M-zdWbhavtdZ1B_W2dnFDM0qoVt4lWzJ-"&gt;here&lt;/A&gt;.
&lt;/BODY&gt;
&lt;/HTML&gt;
</t>
  </si>
  <si>
    <t>CYnIIcZUTa6Ab7rmMpKETA</t>
  </si>
  <si>
    <t>17670</t>
  </si>
  <si>
    <t>PROJETUS PISCINAS</t>
  </si>
  <si>
    <t>8E00241118030033</t>
  </si>
  <si>
    <t>OURO NEGRO / (0) Informação Adicional: MAIS 10% DO VALOR DA PROMOÇÃO / Obs.Interna: MAIS 10% DO VALOR DA PROMOÇÃO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</si>
  <si>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1s5fvTAqHKsELgcY45Qf1vxruUJk9gf40ksK2wFP5WtX_Rs680gOAQVWmQ_y5TzVunHEfM25UFr2bglHb13KgWvUsFBXL9i_nVbSJXeEX8OIIhWgazhmFGSDQ21gwGoc4Sjct5xBOJsLVJMtaMSFKHBcHFQkfPmZTJnXYUdTJjn1tLRFFRcdRC_z5_vuO2Y6pH8UDKMC79OpOANC8yH5W0fYe3YKAO8Wf4N4GY-6_KDA7eHpyXVZffYQKwi3lZmlfk6Zbh4_mOTbKJQ8ORGH2SRYCjDvS74xRfEzsVXOiO5gJu8hdiLeCbfwEDw&amp;amp;lib=M-zdWbhavtdZ1B_W2dnFDM0qoVt4lWzJ-"&gt;here&lt;/A&gt;.
&lt;/BODY&gt;
&lt;/HTML&gt;
</t>
  </si>
  <si>
    <t>6gtXvH6-T1qdMhVFDLD1Eg</t>
  </si>
  <si>
    <t>17671</t>
  </si>
  <si>
    <t>8F00250110270002</t>
  </si>
  <si>
    <t xml:space="preserve">&lt;HTML&gt;
&lt;HEAD&gt;
&lt;TITLE&gt;Moved Temporarily&lt;/TITLE&gt;
&lt;/HEAD&gt;
&lt;BODY BGCOLOR="#FFFFFF" TEXT="#000000"&gt;
&lt;!-- GSE Default Error --&gt;
&lt;H1&gt;Moved Temporarily&lt;/H1&gt;
The document has moved &lt;A HREF="https://script.googleusercontent.com/macros/echo?user_content_key=AehSKLgQHEDpXWLP5Lo77i8TFYXc-gRy4uK-rL0_JZg1QpJdC5mYda7p0uHb_glDj7JUTY1eEoyd2DR_S4TzMzUYwd_bLPs3m863urkIYfnCXI2Td7aOuFAGtnS-5sYULk6R-ZbtRP74Y0vgtaH48HeFZM7cmz603VaRu3gjXPsUsxrNW3BbwUGmI14kNkr1zzKwR18vabSMG4WUKi-ES8wvW-_Ryt2GZAEuImBnwxCWaSl4Z0CmBa2-Icsl9_qdkEB11DQ4YQjMLpuE8VhwZ3gjdBalCF4T0-30hF9z04dir_Nu00MeEim2N0NjoJaXOw&amp;amp;lib=M-zdWbhavtdZ1B_W2dnFDM0qoVt4lWzJ-"&gt;here&lt;/A&gt;.
&lt;/BODY&gt;
&lt;/HTML&gt;
</t>
  </si>
  <si>
    <t>a.J-Ve0G-QTu9Bcgb-9XyFg</t>
  </si>
  <si>
    <t>17673</t>
  </si>
  <si>
    <t>14086</t>
  </si>
  <si>
    <t>RETIRADA NA FABRICA / (0) Informação Adicional: CLIENTE: COND; JARDINS BORDEAUX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</si>
  <si>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qwCMSqxTZFGJXMStTAbAkl7swceqjEY-cB6JDv54obPRz8bpRCtbQlEievHsvXyLfFefx-Jq_1j6UmBLQwiDzyC7Hw48qH6Vab5v_4ywzVBn63qi96HUpXbvj6mi37TR0FH7EW-0_E9uYiEO9pEbq6kyKSB1-eWWHcGNVSHf-Crg1fbOVGfExxTTr2o4mFVw0TKGe0Nv4wuGQPyb9aIDoHieWWmwJTMEUVv5rb-Dol8u2sUZ40x8ieNFN1gHQDA3u0xmPG60E-Jot3f4dzyBx0GtNlxYIu3CXs39iowatltSzAnyZjD0K2_JVQ&amp;amp;lib=M-zdWbhavtdZ1B_W2dnFDM0qoVt4lWzJ-"&gt;here&lt;/A&gt;.
&lt;/BODY&gt;
&lt;/HTML&gt;
</t>
  </si>
  <si>
    <t>krelRGEVQtewnB6N9L2gSA</t>
  </si>
  <si>
    <t>17675</t>
  </si>
  <si>
    <t>8F00250329060002</t>
  </si>
  <si>
    <t>SOMENTE DIA 16/06
ACEVILLE TRANSPORTES LTDA / (0) Informação Adicional: FATURAR SOMENTE DIA 16/06/2025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</si>
  <si>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6r_I2lyhhQbaDhtp4dilf4Zc0cMfrojR-9u4zm_Ewab4OdcSuIQqBQIvezCr0ZBk8VvLjso7QC6YDyQuLLkpRBIb7uPDyLlV_KZkyZd_iplt9gTQdmyW9RbN5SVI0YgD8PBp51I_i9Yh0SnJjPmThh0GX-JJ6DuM5XILUT7usYpdK4Z4D8xsI8-8FrwU8R87NNCxAkrfC4UUUOprvSBLZFMkiBKVTzFkvCFqBwrYQkmH2xIY0ZFzJH6a3xLOvBL8zMiRePTHc1UjlGVigLpcJcGkZziM41Q2HjfVrRDwu1WakXUZLpRhkd28Qgg&amp;amp;lib=M-zdWbhavtdZ1B_W2dnFDM0qoVt4lWzJ-"&gt;here&lt;/A&gt;.
&lt;/BODY&gt;
&lt;/HTML&gt;
</t>
  </si>
  <si>
    <t>5--9mbXuRYiuwbFifZurYg</t>
  </si>
  <si>
    <t>17676</t>
  </si>
  <si>
    <t>8E00250210050012</t>
  </si>
  <si>
    <t>ACEVILLE TRANSPORTES LTDA / (0) Informação Adicional: URGENTE FATURAR DIA 04/06/25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</si>
  <si>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R3nkQKjOS70dtI7w4HMAk5El8sHM6ZFTmDcn3UvylKOu8aSTU-8CpvIa6_sK5D3aR2CbYarVbtNvx8uPml0OoCi0vTifYmAsvusQ26u4YtGg1MpKl62-1_i6cCxvJkXMSS8snLlc6UWOgJt6w145cvW31v6VZTzVpHc1iEVYjurBgCRviVKFoGq_WNcnHm52mAHeC2yCCMi-WYNnsTqEWMCrxfpcra11C70lZGgsx7xy65gxPtzx5GXInEZbMJh_DOOxrfCkPVR4qZbSI5kYuxAV6Izfohh3nPGNRzquwsEykoesIFHE0GVe34Q&amp;amp;lib=M-zdWbhavtdZ1B_W2dnFDM0qoVt4lWzJ-"&gt;here&lt;/A&gt;.
&lt;/BODY&gt;
&lt;/HTML&gt;
</t>
  </si>
  <si>
    <t>GIyhs.A5QHuIjvLnTN.sfA</t>
  </si>
  <si>
    <t>17677-A</t>
  </si>
  <si>
    <t>RETIRADA NA FABRICA / (0) Obs.Interna: PAGAMENTO DA ENTRADA 16/06/2025  / E-mail para nota fiscal: , E-mail de cobrança: , Telefone para contato</t>
  </si>
  <si>
    <t>IMPRESSAO GERADA- 09/06/2025, 10:30:58-Francisco/Rubens (Teste)</t>
  </si>
  <si>
    <t>bkGgiwGyTc-TzuwSiVnIig</t>
  </si>
  <si>
    <t>17677-B</t>
  </si>
  <si>
    <t>20051</t>
  </si>
  <si>
    <t xml:space="preserve">&lt;HTML&gt;
&lt;HEAD&gt;
&lt;TITLE&gt;Moved Temporarily&lt;/TITLE&gt;
&lt;/HEAD&gt;
&lt;BODY BGCOLOR="#FFFFFF" TEXT="#000000"&gt;
&lt;!-- GSE Default Error --&gt;
&lt;H1&gt;Moved Temporarily&lt;/H1&gt;
The document has moved &lt;A HREF="https://script.googleusercontent.com/macros/echo?user_content_key=AehSKLgxSp9-QtGWTxGypMmyvhX3khgnJjjIXqLY-4x8B4z9sH4pe1Ux12NRGmKBxqS37djks2iNeLZZL7kq4paPIUEYjPO2wYLrQBaNvrY0LsZFg-U4R_sHUzwfW-EDxJY8xMOibcD_zqpJxQkDfzV3nT3Tch96lX8pqtfTk9Lfk_3FrTY1V-i3FbgVnuSGQgDw2S3-VOrh1whRKxpZAPrKirArcwyiVr0oHUN9LtsyGr-RwMigD3KyPxyZstgEALN2j_pLDVyWYvjP87A74tqfWv6CTceU0hN1F0UTs8ugc7YQTVgCgLfga1W-5aIPMA&amp;amp;lib=M-zdWbhavtdZ1B_W2dnFDM0qoVt4lWzJ-"&gt;here&lt;/A&gt;.
&lt;/BODY&gt;
&lt;/HTML&gt;
</t>
  </si>
  <si>
    <t>Ca0Ocyb07jKYaxlGtYQ7</t>
  </si>
  <si>
    <t>17680</t>
  </si>
  <si>
    <t>8F00250102140015</t>
  </si>
  <si>
    <t>FITLOG TRANSPORTES E LOGISTICA LTDA / (048) 996277956Informação Adicional: SAIDA DA FROMTHERM  / Obs.Interna: FRETE CIF- CLIENTE ESTRATÉGICO NA REGIÃO AMERICANA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</si>
  <si>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93IjnwIypYRBo6G6UnQTaw4f6277BI1wa80cEkUhWvVfLobowSaQF2IIoHSB8h469M4e2CNyU0pK2CAccllBwZfAkCmzlfghtXeganvNM4uPsryxZSAHUixU4Y8dMwl5Mwv9ZnHqL40IJrh45Slo6HP9qw_wPtmG16xRZb5fN0FVh8-EhsDIbd-g1QyqAviJ4A5UjcIm-F8RuqUZGWpeTlCmgSEhKnNcZVckS5cbYkEOpddJML3rOZgs5WHLeHcvVv1jl81w7uHnZr1yDPMNKeavaONljAYXQ0IpQ-Tcv0b0XTW4S58i_d7GJRQ&amp;amp;lib=M-zdWbhavtdZ1B_W2dnFDM0qoVt4lWzJ-"&gt;here&lt;/A&gt;.
&lt;/BODY&gt;
&lt;/HTML&gt;
</t>
  </si>
  <si>
    <t>TekMJCWbQV-ZZNkmrnBWJw</t>
  </si>
  <si>
    <t>17682-A</t>
  </si>
  <si>
    <t>8F00241225080011</t>
  </si>
  <si>
    <t>EXPRESSO SAO MIGUEL S/A / (049) 3361-6627Informação Adicional: FRETE CIF - ENTRADA +28 DS  / Obs.Interna: FRETE CIF( TABELA COMBO- DESCONTO AD. DE R$1.000,00 NA  FTI35 )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</si>
  <si>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WoaOsNyCNMGFJwu3GOi1JIiOG9pumSKX-z_BiEv3byOpLsEm3rGV9chCsqXx5pSDiqMNQJ3OL35M7tGNNHqpStTaBuLnJ6xKxCyYobiQWhzUI6j4hW6sN1P285-jXOT4qB9IjJDSHLfEBSR0_C8uu643ieK13EUknzeElqwnNlsPaHeS7gDaAop6JJzvy9u97U8Pn4IHbwJUj2kK-f9b37xdi1TjJpCa9KNYNzkEO92Mfbc-095qF-J9XfVCLXJeW11Qj6b9CZr4gYsYdt60X024y5NJ4dJbukX8OXnosZW-28WCWiIGYd0tLZw&amp;amp;lib=M-zdWbhavtdZ1B_W2dnFDM0qoVt4lWzJ-"&gt;here&lt;/A&gt;.
&lt;/BODY&gt;
&lt;/HTML&gt;
</t>
  </si>
  <si>
    <t>YmpfaKuoTWqwMORABIg4Yw</t>
  </si>
  <si>
    <t>17682-B</t>
  </si>
  <si>
    <t>8E00250104050028</t>
  </si>
  <si>
    <t xml:space="preserve">&lt;HTML&gt;
&lt;HEAD&gt;
&lt;TITLE&gt;Moved Temporarily&lt;/TITLE&gt;
&lt;/HEAD&gt;
&lt;BODY BGCOLOR="#FFFFFF" TEXT="#000000"&gt;
&lt;!-- GSE Default Error --&gt;
&lt;H1&gt;Moved Temporarily&lt;/H1&gt;
The document has moved &lt;A HREF="https://script.googleusercontent.com/macros/echo?user_content_key=AehSKLjLaRPcGdJWLjL8iFSJMQd2PGofI0W6HeGn4VPPzi1sPAQ85ektcHeoyfUj3L8A692QfHuBBVY-ujOnWa5P8w1IPH0I-aMVe8w1RF2vLLLh2ekCjlEDVH2oWImS8PvQFTrDShZNbRI8hxlIHkjV22G31WATX8Dljp-cG-2brutdsQI348tku025ByQpc60tcp9enyXvzK4exKZ05zcWzwmK-1AO0wfQZHtOWyXMam9YSRfIvQBOaYskXqbNaPTFESVBvQNau8PL-9E6TPV6230jQ1mZ05K3HwIYRspLwLDRRmwKvMgA01nQZdvsLQ&amp;amp;lib=M-zdWbhavtdZ1B_W2dnFDM0qoVt4lWzJ-"&gt;here&lt;/A&gt;.
&lt;/BODY&gt;
&lt;/HTML&gt;
</t>
  </si>
  <si>
    <t>lH55WTsJu5ugabIH5XSk</t>
  </si>
  <si>
    <t>17683</t>
  </si>
  <si>
    <t>20055</t>
  </si>
  <si>
    <t xml:space="preserve">&lt;HTML&gt;
&lt;HEAD&gt;
&lt;TITLE&gt;Moved Temporarily&lt;/TITLE&gt;
&lt;/HEAD&gt;
&lt;BODY BGCOLOR="#FFFFFF" TEXT="#000000"&gt;
&lt;!-- GSE Default Error --&gt;
&lt;H1&gt;Moved Temporarily&lt;/H1&gt;
The document has moved &lt;A HREF="https://script.googleusercontent.com/macros/echo?user_content_key=AehSKLjbUnGwSaiqCaAuY7cJlBumezL2_YesLpJRTPuPgV4ouIXOOsx-19nDDEk567hvUFaKQp_ygKNQDIminGqx8JvWK3Hq20mh79vSOGofd173tgRCdiFt34SX4iP9QE7APBlWN4ToJjS6Qc4Fa4Mab0Z5O2fp2Vn1WVfvh_TnmkPwauZALfEaQUFzH1uYJ-5mh87NsYghkBo0BEqYHaDHqgPtWqdHIsojSZ7ym7HtXpnd_-oKfx2wlIuvSUpGrAsoEp7f6O6TwauccQBgV1wVmuqylFl8FRLgYiv9vYfNJeA6fDBC0Tc3lTbRRYlkmw&amp;amp;lib=M-zdWbhavtdZ1B_W2dnFDM0qoVt4lWzJ-"&gt;here&lt;/A&gt;.
&lt;/BODY&gt;
&lt;/HTML&gt;
</t>
  </si>
  <si>
    <t>sRibqhhETn2837QObCoaog</t>
  </si>
  <si>
    <t>17686</t>
  </si>
  <si>
    <t>8F00250110320004</t>
  </si>
  <si>
    <t>TRANSRUAS TRANSPORTES LTDA / (0)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</si>
  <si>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jFDqp_hV8CT9ArHX8xp2WjG8nGvdHvM1CRqJBtKAIN53dlOQnl6Z4QcaWV47YY5qyUCYGwacXWUyTVp2ZnFLSNboN37kjjqg-5KCU6cDVMCeW520BOskRsyp14QLJXqg09NnHUDOtvcda7RfKX7Aus4IAS4chj749dOJR4L7DZ8cI6jPOUFIzVGteFAiRkYs0WO2Fup6ZBwK6nK650Cs7unBsbXdGYwe7rY5bAGnuyXjuaGpAZJMsAwm1rbcGJjqUNFb5HlEwhflHpmhNV-JwQ8KiqEQfrB452Y_Wdr7rD0DOI1ANYkOgoZUdutg&amp;amp;lib=M-zdWbhavtdZ1B_W2dnFDM0qoVt4lWzJ-"&gt;here&lt;/A&gt;.
&lt;/BODY&gt;
&lt;/HTML&gt;
</t>
  </si>
  <si>
    <t>3bMFjO21QaqmNjULW.BqdQ</t>
  </si>
  <si>
    <t>17687</t>
  </si>
  <si>
    <t>8F00250104100015</t>
  </si>
  <si>
    <t>EXPRESSO SAO MIGUEL S/A / (049) 3361-6627Informação Adicional: é venda trinagular / Obs.Interna: é venda triangular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</si>
  <si>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Gd6ee2h7g3SvGG-CkGyQG3kW6k4zldvYXHmdJeadSOAvjgR9-WtC5zvWJm6reM9dzLWRE3i6tsW4NWFddqHs9Rz103Dd5bzw8GhQP87-r3KXHFqnKfRiU5ijB-q9KvG6oW904b7Jgh3bmLg4Yv7F0WHAsTYMeaXu3xmOsDPRt_IXQDJtH6mqANzeh_DAJ9ZVZPVeNF0_me94bRsjgfw_JYYi_U9-YPUAofh7tdLFazrhKABxHAs-YsN4sXcSLSyQ7sqQGxoMKhxErAup45q5vqEHvNdINPJ9CJOmf5Gg5r6tY9Y3CiSV8w1zUkg&amp;amp;lib=M-zdWbhavtdZ1B_W2dnFDM0qoVt4lWzJ-"&gt;here&lt;/A&gt;.
&lt;/BODY&gt;
&lt;/HTML&gt;
</t>
  </si>
  <si>
    <t>ErkkmRmjS.Cj815WdXqyAw</t>
  </si>
  <si>
    <t>17689</t>
  </si>
  <si>
    <t>8F00250110310009</t>
  </si>
  <si>
    <t xml:space="preserve">&lt;HTML&gt;
&lt;HEAD&gt;
&lt;TITLE&gt;Moved Temporarily&lt;/TITLE&gt;
&lt;/HEAD&gt;
&lt;BODY BGCOLOR="#FFFFFF" TEXT="#000000"&gt;
&lt;!-- GSE Default Error --&gt;
&lt;H1&gt;Moved Temporarily&lt;/H1&gt;
The document has moved &lt;A HREF="https://script.googleusercontent.com/macros/echo?user_content_key=AehSKLhkP-xk27skq9NdSJQiS0z7lYTVMtd24GYjU1oZbERFPlUzarVu06HlF8fcL5Xrn177RYbLr1gpQwhNviKHUGY1WnWEmU5r3dOrz1OqW6L_Ug3RhP__tzHopGCEgDE9L-AGWvFSQ5mKPlKyn81Y6n8WPNauWAeVY44Xo0zRIMZy7zXs3s53WruZAjbI0yg_hWl5PhY8lumj9LqEgWfZSY1m7eYlpSxkwknLdFzbri57mzQZB6lQfisuv6TDwZ-CXDCKpwPvxVOkk-GHHJWM3woQWAE6EgbjiG2BA-dVXg7Tg_fHk1Hi6UCnZFZLqQ&amp;amp;lib=M-zdWbhavtdZ1B_W2dnFDM0qoVt4lWzJ-"&gt;here&lt;/A&gt;.
&lt;/BODY&gt;
&lt;/HTML&gt;
</t>
  </si>
  <si>
    <t>21TttA9BQQuYykM7DJF7Ew</t>
  </si>
  <si>
    <t>17692</t>
  </si>
  <si>
    <t>20056</t>
  </si>
  <si>
    <t>FITLOG TRANSPORTES E LOGISTICA LTDA / (048) 996277956Informação Adicional: OC 3616 CLIENTE MARCO FREIRE / Obs.Interna: QUADRO DESLOCADO SOBREPOR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</si>
  <si>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2khLppyFOk0FC6kF5MNdpKgy87e1mb3_GIoRyWNrUW5m7kyEtXrg1o7CHi-FnKOXol4I9mNbGOerCK7mgVq6qtgGkgZSEX27ZE6woHgCkCrnXecWvMQnFGBrfsdzGnYlSs7wnwJ0hm-wQ_6Il55s_Tv2-BDck4zPdiMvKfcv5XVrtg_olBx1tDleXAy5w5MGydqhsbfVwXf7lppIadHqP4WCBx-vCmouevgjXtSScDMqSa0U55DS8k_jZ1uPvvHFlKaRIb9P7JmrdVTy0k5TfsSMRhOeNHhUVJpP4Yr5tdJ4in5FG97ijszs8Fg&amp;amp;lib=M-zdWbhavtdZ1B_W2dnFDM0qoVt4lWzJ-"&gt;here&lt;/A&gt;.
&lt;/BODY&gt;
&lt;/HTML&gt;
</t>
  </si>
  <si>
    <t>fh3T6mBTS6mUN25fN9dKcA</t>
  </si>
  <si>
    <t>17693</t>
  </si>
  <si>
    <t>20060</t>
  </si>
  <si>
    <t>FITLOG TRANSPORTES E LOGISTICA LTDA / (048) 996277956Informação Adicional: FAVOR DAR URGÊNCIA A ESTE PEDIDO / E-mail para nota fiscal: , E-mail de cobrança: , Telefone para contato</t>
  </si>
  <si>
    <t>iX32ninuTia6Z4KqCrU9dQ</t>
  </si>
  <si>
    <t>17694</t>
  </si>
  <si>
    <t>20026</t>
  </si>
  <si>
    <t>FITLOG TRANSPORTES E LOGISTICA LTDA / (048) 996277956Informação Adicional: Pedido Aqualar n° 1121
PRAZO DE PAGAMENTO 30/60/90/120 / E-mail para nota fiscal: , E-mail de cobrança: , Telefone para contato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</si>
  <si>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homTrFI6I5PTETQ-KwZB8UoFtZhT37SiAQKj73UdNZcjjDirj3pWAJpAkkCFcK-uzbTumnSyKaalCL592n_pGpOuoSU8AteDSpm9DL5AnMFo4jeKezaN92POt_Zc5zeE3aQp6xkdQJyB_C86yYIjOO77O9QiUozgIRfylEXLq9YlXjnstK8O_mQOFtROwVevlhhpsmF46PQ4IbTN0wkBP0OrJi7B5D5IsoO4M4KqkgsVtulAk_BPt9iquEKxbap7ZtasZ931PgCeZUB1loHtB5Np4CZSfYeS2SswEqYnNNDWcYgfj6CjXMIMOjLQ&amp;amp;lib=M-zdWbhavtdZ1B_W2dnFDM0qoVt4lWzJ-"&gt;here&lt;/A&gt;.
&lt;/BODY&gt;
&lt;/HTML&gt;
</t>
  </si>
  <si>
    <t>9Q6kAGbWTheC1SAj73yVTg</t>
  </si>
  <si>
    <t>17695</t>
  </si>
  <si>
    <t>LUCIANA DE MATOS PAIXÃO</t>
  </si>
  <si>
    <t>8F00250110320002</t>
  </si>
  <si>
    <t>EXPRESSO RAQUEL LTDA / (0) -Informação Adicional: mercadoria saindo  de SP - Transportadora Expresso Raquel  / E-mail para nota fiscal: , E-mail de cobrança: , Telefone para contato
Endereço de entrega: AV. ÁLVARO BRANDÃO APOCALIPSE, 275 - CONDOMÍNIO CONDADOS DO BOUGAINVILE - LAGOA SANTA MG
Redespacho FOB:  Transportadora Expresso Raquel
CNPJ SP : 03.823.190/0002-16. - ENDEREÇO SÃO PAULO : RUA SOLDADO AMERICO RODRIGUES 131, GALPÃO MODULO A - PQ NOVO MUNDO</t>
  </si>
  <si>
    <t xml:space="preserve">&lt;HTML&gt;
&lt;HEAD&gt;
&lt;TITLE&gt;Moved Temporarily&lt;/TITLE&gt;
&lt;/HEAD&gt;
&lt;BODY BGCOLOR="#FFFFFF" TEXT="#000000"&gt;
&lt;!-- GSE Default Error --&gt;
&lt;H1&gt;Moved Temporarily&lt;/H1&gt;
The document has moved &lt;A HREF="https://script.googleusercontent.com/macros/echo?user_content_key=AehSKLiMMby4lUteV-rXJWKUwdd75fsJC8wk1UG_yTDEoABUS1NbbkKFlXArKVKu0rEBk0Udy_bbiqm3PJ0NoE0iHYwoIUDjYB4hs-lhPUvTnBfs8xGcss7LKau9sOOLtv9QYR5ec8tO6B0SZZ99_tbZEfalJsSxCorsq8a1DyWV21MwTTeGYJaymWxQvnDlkR-heA-_izZ_KogjihkPhH4Yqh6guY5Au6wfnlS0LsrFaTDtbDpqFC30hUpyOPR6hZK64yzlKcs2nFcIAlv3hax7BgXm-_sMDSsoR13BQJ-vfe2Bo198be2M8x1hQBxvpA&amp;amp;lib=M-zdWbhavtdZ1B_W2dnFDM0qoVt4lWzJ-"&gt;here&lt;/A&gt;.
&lt;/BODY&gt;
&lt;/HTML&gt;
</t>
  </si>
  <si>
    <t>0uKluHP5S8qeIMwqrbzd3g</t>
  </si>
  <si>
    <t>17696-A</t>
  </si>
  <si>
    <t>PATRICIA ALEXANDRE DE SOUZA CAMPOS 22078107808</t>
  </si>
  <si>
    <t>20058</t>
  </si>
  <si>
    <t xml:space="preserve"> FITLOG TRANSPORTES</t>
  </si>
  <si>
    <t>FITLOG TRANSPORTES E LOGISTICA LTDA / (011) 2212-5862Informação Adicional: EQUIPAMENTOS COM PAINEL DESLOCADO.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</si>
  <si>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QMSDYZ4D5rvZ51Z05e_Ab5mTk9pV0SuGJMn2qKbb_1uAtde07K1GqBa2ZZfbkshMBuHz2rq9QIW_9oopHKV5cjykgYRL64CxGIyPP3Oy6v-xbwdsyiKS4nklyWx3GGsB9iscigVF_1F1vZzSBFH2ivvWdcnF2afUkSsrvQISDFGJtnr2_BRWUOxbcGBlN1sk-Ge56U1wYYzb5BBdEZbPC8x6BQbgV42cBCV3VD5TQIKgCWKRuLPaKil3wFU4sudVM6kUSQ6oZsPr2QWojBad6drPLV9tA6r9hxTnWKMbZ2sn9fFT1HHvodW_RMA&amp;amp;lib=M-zdWbhavtdZ1B_W2dnFDM0qoVt4lWzJ-"&gt;here&lt;/A&gt;.
&lt;/BODY&gt;
&lt;/HTML&gt;
</t>
  </si>
  <si>
    <t>18xfDRLeS3-zWs.jeJdd2A</t>
  </si>
  <si>
    <t>17696-B</t>
  </si>
  <si>
    <t>20057</t>
  </si>
  <si>
    <t xml:space="preserve">&lt;HTML&gt;
&lt;HEAD&gt;
&lt;TITLE&gt;Moved Temporarily&lt;/TITLE&gt;
&lt;/HEAD&gt;
&lt;BODY BGCOLOR="#FFFFFF" TEXT="#000000"&gt;
&lt;!-- GSE Default Error --&gt;
&lt;H1&gt;Moved Temporarily&lt;/H1&gt;
The document has moved &lt;A HREF="https://script.googleusercontent.com/macros/echo?user_content_key=AehSKLhlhqC2IvU2kA-OS10qmDI87yXgDoYNi2flvHHutmce8sF5Mp4OvOOo459X5c5kF9bs_dAPRMkMAReQRvX91JcmH5MCPI7qPrVuqHkcnHBY8x-tVY5hhjqO-3gxGTWrbLmJ3Y1NYxtqybMz4aIL6K2LjKI6QPzjrAurFO3DPFbEcvHx46oq6i3aRdfBWVjQ8Q97WF0pouuey-oUIC30NQm5c7h5IR08mYOb2v6Lga5ZWF96ydRwjUbNmwOwBJRkftoJwaDxk1mN327eJ5hS8ky529hx6JDKp1E3qPFuLWtMYGm_c1rqhE3hhaiSEw&amp;amp;lib=M-zdWbhavtdZ1B_W2dnFDM0qoVt4lWzJ-"&gt;here&lt;/A&gt;.
&lt;/BODY&gt;
&lt;/HTML&gt;
</t>
  </si>
  <si>
    <t>pbrk5gdKO6Ms6uVYl8VJ</t>
  </si>
  <si>
    <t>17696-C</t>
  </si>
  <si>
    <t>20032</t>
  </si>
  <si>
    <t xml:space="preserve">&lt;HTML&gt;
&lt;HEAD&gt;
&lt;TITLE&gt;Moved Temporarily&lt;/TITLE&gt;
&lt;/HEAD&gt;
&lt;BODY BGCOLOR="#FFFFFF" TEXT="#000000"&gt;
&lt;!-- GSE Default Error --&gt;
&lt;H1&gt;Moved Temporarily&lt;/H1&gt;
The document has moved &lt;A HREF="https://script.googleusercontent.com/macros/echo?user_content_key=AehSKLjVIKDxgez9Vf_PNWDioaBa_EG0Bd3XBAfFCGzLW73NdL83VoEQ9Dh2NTpuxM8BchihwsquR_4GxKQhk-Z6U1-CD5cpriIcK8Y2TGy2wR5YQXmeuM1G2nIZCHEgDTdoyqJ9Cs9-CrpdqA09-NZmopNu_hyyHSvqnqZkKXD7PQo-Imj5Mg6iemLBrsmQmvh_HAzvfF2AXPcktDSHV1EeD32paSfa4h7jc2388MjxR-GPakKS5uWdqEJQaM_sxZVwCZ7Dc-HPdTUvyNpDJpemjhcZwj0VwAxAxBBgkasNCyvkHU36SBLJdYs_gwVo9A&amp;amp;lib=M-zdWbhavtdZ1B_W2dnFDM0qoVt4lWzJ-"&gt;here&lt;/A&gt;.
&lt;/BODY&gt;
&lt;/HTML&gt;
</t>
  </si>
  <si>
    <t>fUgg0AVaEfWl5Ymvvbqs</t>
  </si>
  <si>
    <t>17697-A</t>
  </si>
  <si>
    <t>8F00250110310008</t>
  </si>
  <si>
    <t>FITLOG TRANSPORTES E LOGISTICA LTDA / (048) 996277956Obs.Interna: Valores autorizados pelo Carlos, valor do a vista faturado 30 60 90 . Faturar apenas em 16.06.25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</si>
  <si>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dtcPv29KZjfvWfROkICYzbskHNvg9vMeFpk_GiBf6kvkmW6RKExLeL6-bCH9JNJidXtKa9KhSlc7jWQQz_xXANyrks2ukmL9ToTzEKtcgjry4M4vWMXz4F0_9ijadAdcJ3UJ1bubvETIh8JijOhFUiIOlPerg9VpapOimqetggj-DKO5QpeXDHOTWQaI02WmzBXRCEq2Mfrf4T2SChrCP9-w-lB_au7KPs2y2mA05-JE5STayf5jj-A_n8Z9Jyd3kPxMMpcsCSvr2ULu0q3gRNLlUiAtfh9zs8p9UEGaPaPr2-KQBjzLfbSEDIA&amp;amp;lib=M-zdWbhavtdZ1B_W2dnFDM0qoVt4lWzJ-"&gt;here&lt;/A&gt;.
&lt;/BODY&gt;
&lt;/HTML&gt;
</t>
  </si>
  <si>
    <t>I7tXOzpAT2S5iCkShoKmIA</t>
  </si>
  <si>
    <t>17697-B</t>
  </si>
  <si>
    <t>8F00250104100025</t>
  </si>
  <si>
    <t xml:space="preserve">&lt;HTML&gt;
&lt;HEAD&gt;
&lt;TITLE&gt;Moved Temporarily&lt;/TITLE&gt;
&lt;/HEAD&gt;
&lt;BODY BGCOLOR="#FFFFFF" TEXT="#000000"&gt;
&lt;!-- GSE Default Error --&gt;
&lt;H1&gt;Moved Temporarily&lt;/H1&gt;
The document has moved &lt;A HREF="https://script.googleusercontent.com/macros/echo?user_content_key=AehSKLgCNC46_mVFY09mVAMg8meXBd_jR45b6JukrItd0RESD9c2gtawsF3I5S_kHX1uPImBLk7biRUrad5F1WXrthceg6o2dY3x8O1zb90YwwtNMx4cW0UtE8zVIrWH1vOXAxsFFzen3k7Xd6CpYpuUaXad2hcgYN39Wh5xQpJO3glw9f4sRdhWc9m2mFJ8p7f2UIqT6xA9Q1a4fixKIh9vm-r8r04PBX0dmqMP5siS8U-vDfUh9DWnL85cMf-aduCFNwTLo4e6Opq9tI57eHmwIiprC3VbFV_3kUEhdqzQEUPVEtZBQugpWu358GZxaQ&amp;amp;lib=M-zdWbhavtdZ1B_W2dnFDM0qoVt4lWzJ-"&gt;here&lt;/A&gt;.
&lt;/BODY&gt;
&lt;/HTML&gt;
</t>
  </si>
  <si>
    <t>PYQaQ4RUgZiNwScaAnDg</t>
  </si>
  <si>
    <t>17697-C</t>
  </si>
  <si>
    <t>8F00250329060005</t>
  </si>
  <si>
    <t xml:space="preserve">&lt;HTML&gt;
&lt;HEAD&gt;
&lt;TITLE&gt;Moved Temporarily&lt;/TITLE&gt;
&lt;/HEAD&gt;
&lt;BODY BGCOLOR="#FFFFFF" TEXT="#000000"&gt;
&lt;!-- GSE Default Error --&gt;
&lt;H1&gt;Moved Temporarily&lt;/H1&gt;
The document has moved &lt;A HREF="https://script.googleusercontent.com/macros/echo?user_content_key=AehSKLiJwaUAv2lFLyhWFzNLPG2gTIXpRbyw2cXv9exxAZwHLhmpRSMSuQfwuCKlFQtGL971EyQybhdHRoH2WiAuL5rmJwCwlcGr7SWCzhphiNiLTeWr6OXJqUihGIgJFDKV3sI53HcSzhg0yi8U8z_T73LhHpxfoPchHV2768lHxwyuPtuqR_wmQs5hLH7pkNlf7UQySFguvv6wjz50XQ1_a6wHWe4I4vuF17ZqKu8_sp3DqPBfTh6it4T99PPogU0QROP72P8BD0dqaeBBrJYqsCXuTAPWHTflQum_kUTfWiMq4LsDABdsl7L2MbnzLg&amp;amp;lib=M-zdWbhavtdZ1B_W2dnFDM0qoVt4lWzJ-"&gt;here&lt;/A&gt;.
&lt;/BODY&gt;
&lt;/HTML&gt;
</t>
  </si>
  <si>
    <t>zrFWmZYWRANaqRhHVA8w</t>
  </si>
  <si>
    <t>17697-D</t>
  </si>
  <si>
    <t>8F00250329060004</t>
  </si>
  <si>
    <t xml:space="preserve">&lt;HTML&gt;
&lt;HEAD&gt;
&lt;TITLE&gt;Moved Temporarily&lt;/TITLE&gt;
&lt;/HEAD&gt;
&lt;BODY BGCOLOR="#FFFFFF" TEXT="#000000"&gt;
&lt;!-- GSE Default Error --&gt;
&lt;H1&gt;Moved Temporarily&lt;/H1&gt;
The document has moved &lt;A HREF="https://script.googleusercontent.com/macros/echo?user_content_key=AehSKLgmNPHUNCSvU_6qI5a4iogfDAlJmaclwGn6pUDTQtfbswaTA89Pn9Cjmqh9eWmdZN7k3myJsDDBMWq8YeyM-vu9Fxf8lNbYQhSI4sV9aJGdOqqkeVDt8Rr5_Qx9pKoo3y77TrPX2he80i3u1QUfOJ-mhj2J0F2rl-s94m72ju5bhl56EgNa65kVb148JscVBtbWv43gXeOVyGyJ03HgX9E9PVCY3xH25PXV7S9uWs0a4PXOGqplVXMlAEMK_DJ_4iiWZwq5k3G_DQCO20_ba_IwK9cb96J09BCOW6R4YJgXEAab1HYFePAEIQ5MnQ&amp;amp;lib=M-zdWbhavtdZ1B_W2dnFDM0qoVt4lWzJ-"&gt;here&lt;/A&gt;.
&lt;/BODY&gt;
&lt;/HTML&gt;
</t>
  </si>
  <si>
    <t>zyCrWBoYbqQoOKpkknMA</t>
  </si>
  <si>
    <t>17698</t>
  </si>
  <si>
    <t>8E00241118030027</t>
  </si>
  <si>
    <t xml:space="preserve">&lt;HTML&gt;
&lt;HEAD&gt;
&lt;TITLE&gt;Moved Temporarily&lt;/TITLE&gt;
&lt;/HEAD&gt;
&lt;BODY BGCOLOR="#FFFFFF" TEXT="#000000"&gt;
&lt;!-- GSE Default Error --&gt;
&lt;H1&gt;Moved Temporarily&lt;/H1&gt;
The document has moved &lt;A HREF="https://script.googleusercontent.com/macros/echo?user_content_key=AehSKLiwTItl32f6WBmv83Gm_NlfIPg9mY2w061mDoBkcL4cwRXCvWo_NL1TdOl4hzsKDSKGsa5DeRX5Kgk_55FHVYbCeIJglUnHgjb6DmqT2zaOcNQgNl2yy9UNf-MhOJ9VkXbfWzyv6Ghf1UtgEdz58ay9xigzp5PSd2aMOkKzTzKtacNn2CsWQrkTSsogj4dXkPrCL9J090lbxMCKhibM7UTtkMGRpeGTuDCoLTySQgwkQmxr13qcbUyyEIIznaEF4mI0tibIriFKk4k05hnnRp0obHM5S1F6YcXq18YK1XKaB5P2H8GqoUkuhjAnGQ&amp;amp;lib=M-zdWbhavtdZ1B_W2dnFDM0qoVt4lWzJ-"&gt;here&lt;/A&gt;.
&lt;/BODY&gt;
&lt;/HTML&gt;
</t>
  </si>
  <si>
    <t>Q5mgh1NDRIWTxP.dcX5adQ</t>
  </si>
  <si>
    <t>17699</t>
  </si>
  <si>
    <t>VOLMIR JOSE COLLA</t>
  </si>
  <si>
    <t>8F00250411540017</t>
  </si>
  <si>
    <t>JAir Rodrigues (Logística)</t>
  </si>
  <si>
    <t>MKZ4G72 - EXPRESSO SÃO MIGUEL - OSVALDO SANTOS  - 00356589971 - FORD / CARGA CAMINHÃO / BRANCA  / 2020</t>
  </si>
  <si>
    <t>EXPRESSO SAO MIGUEL S/A / (051) 3586-2013Informação Adicional:  VALOR DA NF R$         32.300,00</t>
  </si>
  <si>
    <t xml:space="preserve">&lt;HTML&gt;
&lt;HEAD&gt;
&lt;TITLE&gt;Moved Temporarily&lt;/TITLE&gt;
&lt;/HEAD&gt;
&lt;BODY BGCOLOR="#FFFFFF" TEXT="#000000"&gt;
&lt;!-- GSE Default Error --&gt;
&lt;H1&gt;Moved Temporarily&lt;/H1&gt;
The document has moved &lt;A HREF="https://script.googleusercontent.com/macros/echo?user_content_key=AehSKLidbA7PWPZYs2YXBDjBkqhRsD3I30qw1Wjlv7E0dbIm2tGKT1S3Gslu1jVmyJYkjcKMV6kJF3D2LRqQUwT4ByLwM-VdFlTrua1KIetfLZYfmu1zseVR7XH5yObL4eEhK8gpBJuhqdzuIu6_IbkdtebQoPt8XGvPcrqwp4R5QK2Us2Cw6lFmYNxaqKHSnCN5GL3kH6jkiis1F4O-40VMparh518Pjpn497VkjZFiylXYwMW2tq5Iy0usQgrr0igaypV0_MqGIYcS8hAVvbRyG0kBIIrklH4Ao0SKqqOGJRIrtMcLRaDHmSPpkoECPw&amp;amp;lib=M-zdWbhavtdZ1B_W2dnFDM0qoVt4lWzJ-"&gt;here&lt;/A&gt;.
&lt;/BODY&gt;
&lt;/HTML&gt;
</t>
  </si>
  <si>
    <t>buPSMx-DStuJ3DKv2m96HA</t>
  </si>
  <si>
    <t>17700</t>
  </si>
  <si>
    <t>8F00250104100014</t>
  </si>
  <si>
    <t>ACEVILLE TRANSPORTES LTDA / (048) 99823-5770E-mail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</si>
  <si>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0dOPpMMD6vIfnSEKpqb8OjBj6CGj2QR0GJmGovKIpqTiwC_D_QE26jY3tJP4nwu6B5TuzCMQiV7Xjo88wEG8Io-9blXGbZquHzycCZwkWMmqTIvqe7QoijGjkuZAQ0KvmFrPv36CiwF4Bqti12aHE_6lvyUbPOjyYtCFq6M2Tp-HPBFEi636Mk5PlkLtqumFKEogGIQYzKXd1Q2H62psyJhjcxBDE_e16eTpcm45P_v8sZSH18jtrQh-3ZONRzsrHcF5fLj8hpFHa7KGxIM3VvEEoOcDleDTx_o5kvknQ1WtFA-drBQEDvXG4KQ&amp;amp;lib=M-zdWbhavtdZ1B_W2dnFDM0qoVt4lWzJ-"&gt;here&lt;/A&gt;.
&lt;/BODY&gt;
&lt;/HTML&gt;
</t>
  </si>
  <si>
    <t>KStFhYZEQQuelHlug5i7tA</t>
  </si>
  <si>
    <t>17701</t>
  </si>
  <si>
    <t>FISIOKIDS</t>
  </si>
  <si>
    <t>8F00250110310011</t>
  </si>
  <si>
    <t>EXPRESSO SAO MIGUEL S/A / (051) 3586-2013Informação Adicional: VALOR DA NF R$  25.710,00</t>
  </si>
  <si>
    <t xml:space="preserve">&lt;HTML&gt;
&lt;HEAD&gt;
&lt;TITLE&gt;Moved Temporarily&lt;/TITLE&gt;
&lt;/HEAD&gt;
&lt;BODY BGCOLOR="#FFFFFF" TEXT="#000000"&gt;
&lt;!-- GSE Default Error --&gt;
&lt;H1&gt;Moved Temporarily&lt;/H1&gt;
The document has moved &lt;A HREF="https://script.googleusercontent.com/macros/echo?user_content_key=AehSKLijauVGjVO4YZk3dc-zuOLzEuRCy_QUU-GgYZBCInt5w52UlprefwyeVPt7taLw9yGm_zbFchOZ1iWGQ-QsRElvehnBwXPVBltsfIPt7h3RM6kqlMCTrRjeesbw6NGVFdoDvbsklRogTLp6Glr0ImunstG26xoNisiwGgCTSGViaSjJWiFks4DbxYPTbuRA3wzXfRvxhwJZG2NbwmGVwzAA-6RYxYHblvsXSH2lNPxs1fL37RXtu9qRbDg4LTkwBCi4DG9GBGCR2dR9447T9imBnRwYMydj2bI4rXQYTwu8ERUJ3IKK20qtvcbC-Q&amp;amp;lib=M-zdWbhavtdZ1B_W2dnFDM0qoVt4lWzJ-"&gt;here&lt;/A&gt;.
&lt;/BODY&gt;
&lt;/HTML&gt;
</t>
  </si>
  <si>
    <t>iojvxdpLSVW-rvOCk7fkuw</t>
  </si>
  <si>
    <t>17703</t>
  </si>
  <si>
    <t>8F00250110270012</t>
  </si>
  <si>
    <t>FITLOG TRANSPORTES E LOGISTICA LTDA / (048) 996277956Informação Adicional: Cliente Glaucio Luiz Bezerra da Silva / Obs.Interna: SAIDA PELA FROMTHERM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</si>
  <si>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XjdteE4X3p1SxILh0bGmumiN1KJQBZBnPjdAwTYS-PS8o_KwgfpXTX3hh-uPmBKdX4bihJIJvY46kOaN5v-JNGzVKAvA1jD6lOELS1glN2JAPAWcK9Df1SaFJTzIOo1uoQ-XBsQdHpc3muDvs_6BHQW5ITZ2oMxNa4u8W6tyRQxwk6d4m6GlTAwmyh7Hos7CGXrkHZOu7LhW77slmf8biFJuNCeV95MSRe-4zomyCLAMcOesFxjEfgYYnuJzvCaI_-ZNrwROhiLzrYExuc6xGqdEVq5VWzD6JW3xZI8IeerapihhPR2MclfcuAg&amp;amp;lib=M-zdWbhavtdZ1B_W2dnFDM0qoVt4lWzJ-"&gt;here&lt;/A&gt;.
&lt;/BODY&gt;
&lt;/HTML&gt;
</t>
  </si>
  <si>
    <t>xqaRmGdQSr6mfM1yVg9HfQ</t>
  </si>
  <si>
    <t>17704</t>
  </si>
  <si>
    <t>8E00241118030032</t>
  </si>
  <si>
    <t>FITLOG TRANSPORTES E LOGISTICA LTDA / (048) 996277956Informação Adicional: Cliente Paulo César Prado Junior / Obs.Interna: SAIDA POR FROMTHERM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</si>
  <si>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8lbwGcU3vNGcGUEzWlBJ9P3T5xbT13P3WkKCkcnF4nvFVeR7zjIvfF95tk0hPHmEzaQzL5Xqr_ho3pvkp4eUSN96beazIA3ehMCLpvo09jahD865cb_NNnqZFWYMtXusY4-ztaQRdSGQ8SPhkjcIN31Bbhv12dueKyWnIvJwQck7ZL9uqe9rYJ8Pdbpx8_mWQXjeQmGLSHz31q9JQagTVBEGmF3_xpRbAI3cLx50iGKsFK9oxdswwuslaEK5oqc7m6tNUCqG2m7LjIGcd79UalBjGIPA1UTUfNjHbtN_Ew5b700IpT_WmDYyNGg&amp;amp;lib=M-zdWbhavtdZ1B_W2dnFDM0qoVt4lWzJ-"&gt;here&lt;/A&gt;.
&lt;/BODY&gt;
&lt;/HTML&gt;
</t>
  </si>
  <si>
    <t>gBopK7bnRyeRARh65iYrAw</t>
  </si>
  <si>
    <t>17705</t>
  </si>
  <si>
    <t>8F00250110270011</t>
  </si>
  <si>
    <t>EXPRESSO SAO MIGUEL S/A / (049) 3361-6627Obs.Interna: CONCEDER DESCONTO CAMPANHA + 3% = VALOR FINAL R$ 8.072,63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</si>
  <si>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Ow7cziE5XlcfI362bMV9hAYd9SwbhZYc3sPLakgTk7noF-7GG2g01t_N6wt5WxbwVH8-6e48Y2W-YdnKMHEjSAW_rWZs3B9P0ZyE29p2GWI9mFvMcykMfuOpDRTshknc0UGvy1IF7zy-bAs88H5iMFNOyzwtRRvD5JB9Z4bgKrPRyv9L92JOQGFErf71Ht1tODFKq-brQ0DnTlmADofy3O8Qu3xJCX05_0BvHRvi8bfJuckXfv30OABYCI_c2lgYDlMm14pDInuQgKtYmnfal7w7tmy8eEYxH33gLpjMcsUTDtLd8RSJQM1t9SA&amp;amp;lib=M-zdWbhavtdZ1B_W2dnFDM0qoVt4lWzJ-"&gt;here&lt;/A&gt;.
&lt;/BODY&gt;
&lt;/HTML&gt;
</t>
  </si>
  <si>
    <t>7nN-KwswQLe0ZYcIbg76IQ</t>
  </si>
  <si>
    <t>17706</t>
  </si>
  <si>
    <t>20067</t>
  </si>
  <si>
    <t>FITLOG TRANSPORTES E LOGISTICA LTDA / (048) 996277956Informação Adicional: PV 1093 CLIENTE GABRIEL FELZENSZWALB  / Obs.Interna: endereço e ordem de compra serão informados antes do faturamento / E-mail para nota fiscal: , E-mail de cobrança: , Telefone para contato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</si>
  <si>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ip0bvznip9cK_UtFwazctNYETPjP86IG7VRS8436v9vN0jlGMn8LT63uzjfp2hB4XTJ2SVBV8FQ5m0X6usaYqvX57upozuoUaqMxqed3ajguWWBNk7qhhcbe268_gVJvO-8K9TsUSijg9_ipr1PtF9_5Uz_-5kBK6sVgSCmVEPxiem7XKfwyp_zTDLEaXFi7pGxPbWfPCN_z48D1AeNaNG82o_TEUrBIC_5FaxvPaeDbZa57GbEt3zyluZBcAeUc-o8Eyvcj4blwogTJhO7BDVzrCNuylXgC8vR1xDsG1K2D1l8-Y1U9i6dnfpZw&amp;amp;lib=M-zdWbhavtdZ1B_W2dnFDM0qoVt4lWzJ-"&gt;here&lt;/A&gt;.
&lt;/BODY&gt;
&lt;/HTML&gt;
</t>
  </si>
  <si>
    <t>a-bgPqELoTNueuxUN-fxXNw</t>
  </si>
  <si>
    <t>17707-A</t>
  </si>
  <si>
    <t>8F00250104150020</t>
  </si>
  <si>
    <t>EXPRESSO SAO MIGUEL S/A / (049) 3361-6627Obs.Interna: pacote COMBO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</si>
  <si>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bFPMIaWWvlw4WjZY-RyxrlsMEDgRCjBtTeup4o0UN-V-9Lg2AV0CwWGnLAM661y3wTesAVyad84kiI8hftzU1de_Q26XDrQsV8dCRevtRxgRaxNiK2ihKgCiDOnEJAJsh0zvnxYxkeoZ2i-qcolxz50Q-TB_0G3rmUFJuNV27zY-lXLoUMLgS6REkFvPTi9NZmkSnp8Ch9psSohX2nrlKF5_o6uDOVNoMRyLI2nxfEevcDy_Huhabj97tHy4wqNRvhITfm6zmyjeD17j86Qa1U_ILh1YVL1SKxyrikWpJHoDIJaMRhOePqyMBnw&amp;amp;lib=M-zdWbhavtdZ1B_W2dnFDM0qoVt4lWzJ-"&gt;here&lt;/A&gt;.
&lt;/BODY&gt;
&lt;/HTML&gt;
</t>
  </si>
  <si>
    <t>TgujkvzcTuqlUarM5Nb91w</t>
  </si>
  <si>
    <t>17707-B</t>
  </si>
  <si>
    <t>8F00250110270010</t>
  </si>
  <si>
    <t xml:space="preserve">&lt;HTML&gt;
&lt;HEAD&gt;
&lt;TITLE&gt;Moved Temporarily&lt;/TITLE&gt;
&lt;/HEAD&gt;
&lt;BODY BGCOLOR="#FFFFFF" TEXT="#000000"&gt;
&lt;!-- GSE Default Error --&gt;
&lt;H1&gt;Moved Temporarily&lt;/H1&gt;
The document has moved &lt;A HREF="https://script.googleusercontent.com/macros/echo?user_content_key=AehSKLjP9zHhpixArxsxczy24dVKDKwnIlGvC7PvUbdrJdraje3OSi1SlvNndWZsaXPtsQJHrwmGPUe1FjCzRS09ytB6hTTBq_5KNF5d4ycebjx5revTCRN3V2qr4EzfdpM2Ip6fy475fUtQv2x1rwMAfQEVt3tTr5XIg75_kz8400SBBFfB4TI4kJGI2qDuhWLkUGrje7qrB2YSkNtuZ7zt2soeyP0NvC-58sX-ksY0kho3Az_e0i7rZ4AdMlYqlnaEDKHhfPmFUGz083kv_a39leTVZpM_VTO3h12_eDJagL8AjV2n6IhOXiPe6UEKOA&amp;amp;lib=M-zdWbhavtdZ1B_W2dnFDM0qoVt4lWzJ-"&gt;here&lt;/A&gt;.
&lt;/BODY&gt;
&lt;/HTML&gt;
</t>
  </si>
  <si>
    <t>0oRgvYIF7pqIvxbd7QXv</t>
  </si>
  <si>
    <t>17708</t>
  </si>
  <si>
    <t>VINICIUS OLIVEIRA GODOI</t>
  </si>
  <si>
    <t>8F00241118050048</t>
  </si>
  <si>
    <t>EXPRESSO SAO MIGUEL S/A / (051) 3586-2013Informação Adicional: FRETE FOB SEM REDESPACHO PELA RODONAVES</t>
  </si>
  <si>
    <t xml:space="preserve">&lt;HTML&gt;
&lt;HEAD&gt;
&lt;TITLE&gt;Moved Temporarily&lt;/TITLE&gt;
&lt;/HEAD&gt;
&lt;BODY BGCOLOR="#FFFFFF" TEXT="#000000"&gt;
&lt;!-- GSE Default Error --&gt;
&lt;H1&gt;Moved Temporarily&lt;/H1&gt;
The document has moved &lt;A HREF="https://script.googleusercontent.com/macros/echo?user_content_key=AehSKLgffE0JTcIrRuWYHXbt70DRrnq4z4-oyq68kLRC7ShJiVaJGTUwFG28AWmsjwUW6cirsT6yzimCP5t80RUDM_dZOXJDZVeONZEgc_TgiPE3uRAcBeLJVq4JjyN2uPe2dxh_hnDQZeCGrOXcukRALin7kaJsYvHXST2fdq6wt6nFZx3EE5iHXUaYmV3PT0eJdfk5RuETSUVWExdfajsJR8UJlx29AeBEZe4gXMPj2Z49nB5EDLXsmBSiOWW5lm7qq9McMhNghnlyw0iZ5nHVhk33MNhiaOtZpqk1TQrrqhQnY0_hOHVlG1lg-jQkfg&amp;amp;lib=M-zdWbhavtdZ1B_W2dnFDM0qoVt4lWzJ-"&gt;here&lt;/A&gt;.
&lt;/BODY&gt;
&lt;/HTML&gt;
</t>
  </si>
  <si>
    <t>F5zae6l-RBCa9-wZbb4mOA</t>
  </si>
  <si>
    <t>17709</t>
  </si>
  <si>
    <t>RENOVA ACQUA PISCINAS LTDA</t>
  </si>
  <si>
    <t>8F00241118040039</t>
  </si>
  <si>
    <t>FITLOG TRANSPORTES E LOGISTICA LTDA / (011) 2212-5862Informação Adicional: REDESPACHO : EXPRESSO RAQUEL -   CNPJ SP : 03.823.190/0002-16. - ENDEREÇO SÃO PAULO : RUA SOLDADO AMERICO RODRIGUES 131, GALPÃO MODULO A - PQ NOVO MUNDO / Obs.Interna: DIFAL R$514,00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</si>
  <si>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Uw77rgX4BRjAnVcrX9VArVjrQbrEYZ0QJtgTTtLFUkIeuLAaNOrjTazFO11YYEs6UzXhgHXqncKdtiCTvZAtkaOiPqVRghPqT_2V76pOrHcMcr8SPwIC0kipvvJUKODUjbIAhbzbSg0BPIxmvzmV9khOoyRV33Ck5qIcFNaeI4w_Xn2qnuorD3WhT7vwiTuZU5CegAMmNjB7_0iIXEQLtYwkAmpbNS1XFBwCeJZm2M2NkpUx6ZKOIAGqbV0KwcJOvDTNyZyiiSXDgPSEi6CMHpQ97qeD5sLgrRIgzXeeiqtoS5z3v9sOAJ229mQ&amp;amp;lib=M-zdWbhavtdZ1B_W2dnFDM0qoVt4lWzJ-"&gt;here&lt;/A&gt;.
&lt;/BODY&gt;
&lt;/HTML&gt;
</t>
  </si>
  <si>
    <t>7vS5Tt5.SxOUA4EsEnpLvw</t>
  </si>
  <si>
    <t>17710</t>
  </si>
  <si>
    <t>8F00250104100023</t>
  </si>
  <si>
    <t xml:space="preserve">&lt;HTML&gt;
&lt;HEAD&gt;
&lt;TITLE&gt;Moved Temporarily&lt;/TITLE&gt;
&lt;/HEAD&gt;
&lt;BODY BGCOLOR="#FFFFFF" TEXT="#000000"&gt;
&lt;!-- GSE Default Error --&gt;
&lt;H1&gt;Moved Temporarily&lt;/H1&gt;
The document has moved &lt;A HREF="https://script.googleusercontent.com/macros/echo?user_content_key=AehSKLi1pMapPuSRNfxR96A2ynAgDkTX6RcfaUaUPrfJDacRdpG26N56GjJGReVgt_Uzq869NC2xMAyS3TnvYJ-u0oF2aaJAZXy6TQ7FARV5Z_txTbyeP9BkolDUpBEpk7L-1Ph9vnfLmqLFFIC8CnRrJEZ1bXgWuroxgev-CBk5Q5gmaB-piplFTa-D9LN5XcSCDfSIj4Ta-LShmV2iS0VTYEt6d8XuOwOdlsyRBRkZWE08HxgO0JS14NFMJKKnWwJDdnyCxmdICsyIyavfVcOUxf1D5wYHX-3o83rwYpBm1aPTt_MKewoDDBDeTwPSqA&amp;amp;lib=M-zdWbhavtdZ1B_W2dnFDM0qoVt4lWzJ-"&gt;here&lt;/A&gt;.
&lt;/BODY&gt;
&lt;/HTML&gt;
</t>
  </si>
  <si>
    <t>mQxkyT5ZQ622m4lJrjuADg</t>
  </si>
  <si>
    <t>17711-A</t>
  </si>
  <si>
    <t>8F00250110310010</t>
  </si>
  <si>
    <t>FITLOG TRANSPORTES E LOGISTICA LTDA / (048) 996277956Informação Adicional: DESCONTO PROMOCIONAL ABRIL 10% + 3%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</si>
  <si>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P4SNC-g9NRoknGYO9YZRJL1dtkeGvzJvifeZkAmAjOPqZ07qVZ_pMA6RNgHpkjbzWlI08YgQPcfHRttp0wlCX0jc016Y_Vhh790mdRClMrazgcFTSN_l9EBmgAfWdWyZbijRlxsbnkoC8Fzcs33Ka5bBBJj59b3gRcOPSluBTCCUGpGI2egvMQlIuzB1XJiwmh6aWOIPJBDkzy1w_Q3hDBvqCo3oOmJnw3gWvpMvip0cVLHmYjKBo1GyDz0gveu9e5Bl4sw-8j8_G9NTiDNL9W5tXfDKNNc_elrstmlO2itOj1Pll-42r4eUVrg&amp;amp;lib=M-zdWbhavtdZ1B_W2dnFDM0qoVt4lWzJ-"&gt;here&lt;/A&gt;.
&lt;/BODY&gt;
&lt;/HTML&gt;
</t>
  </si>
  <si>
    <t>ml8ueUgYQFO0oWRKRmpwqA</t>
  </si>
  <si>
    <t>17711-B</t>
  </si>
  <si>
    <t>8F00241118050042</t>
  </si>
  <si>
    <t xml:space="preserve">&lt;HTML&gt;
&lt;HEAD&gt;
&lt;TITLE&gt;Moved Temporarily&lt;/TITLE&gt;
&lt;/HEAD&gt;
&lt;BODY BGCOLOR="#FFFFFF" TEXT="#000000"&gt;
&lt;!-- GSE Default Error --&gt;
&lt;H1&gt;Moved Temporarily&lt;/H1&gt;
The document has moved &lt;A HREF="https://script.googleusercontent.com/macros/echo?user_content_key=AehSKLhBp0zXIBVXd39FfPTbrYvRSBNKlRNCB_qFybVjDMKr2YS3Elp55nQlhgxlLWlTqDoJRnDn5qspI7mNmJvvm7RluI2RK5ID1mjD7xEacRZGgAwynOayQn8DjtKhTH5mbAoQl3nd-jRa4ACbJqtxhPj84Tqy--PAK-gCtMQg5E0VNS_MxN9xpwgVmYVxKm503jSnI8U_a7BtCw8epQw5MzTgVTs7ODCPFw5tY74tVlHDFuzgu3b8SwEIwkLtM9jobXucGXtrno4RXrKgR_6-cx5e5rgOkSb3J6dw5zSIv1x8qOWT1z4msYnLCfb6xg&amp;amp;lib=M-zdWbhavtdZ1B_W2dnFDM0qoVt4lWzJ-"&gt;here&lt;/A&gt;.
&lt;/BODY&gt;
&lt;/HTML&gt;
</t>
  </si>
  <si>
    <t>9n4upiy0xYEBXnFro3dI</t>
  </si>
  <si>
    <t>17712</t>
  </si>
  <si>
    <t>20078</t>
  </si>
  <si>
    <t>FT240J35W</t>
  </si>
  <si>
    <t>FITLOG TRANSPORTES E LOGISTICA LTDA / (048) 996277956Informação Adicional: REDESPACHO FOB CNPJ 17.910.909/0002-60 - ABM LOGISTICA LTDA - R BENEDITO CLIMERIO DE SANTANA, 559 ¿¿¿ BAIRRO VARZEA DO PALACIO- CEP 07.034-080 ¿¿¿ GUARULHOS ¿¿¿ SP ¿¿¿ I.E. 127.937.412.119 / Obs.Interna: forma de pagamento 30/60/90/120. Painel Wifi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</si>
  <si>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eCEYcZrxoejsb3etYHeHPXAgv1GzVlS09qY6a8bEObZAic1YaoTniHBeaa4UMwj0S4AorqkCHFmOlhXATb0vP9ngQWa-NToRoAetIvGA_ISDN6pTxtNdPQBxXSdB_HtlpKE4Eki6KqwCviTObT1phVPO_vvYEN0Zzr9sftgF4QJwK07JMB18GZpffWodhLyvFD8WU6p6EyK84sSNVIJqFXKTThAceJ1h6cvxhBenMNJjgDrOsHagJCZGCtw90as4AnlkAA2Zlqp_aJqj5xI_G18alt8zBJJejshEUaD-w0f5FQxPW0qieKVEH2w&amp;amp;lib=M-zdWbhavtdZ1B_W2dnFDM0qoVt4lWzJ-"&gt;here&lt;/A&gt;.
&lt;/BODY&gt;
&lt;/HTML&gt;
</t>
  </si>
  <si>
    <t>DzhcNDjjTMWNOOrNC5bClg</t>
  </si>
  <si>
    <t>17713</t>
  </si>
  <si>
    <t>8F00250110310003</t>
  </si>
  <si>
    <t>CLIENTE RETIRA / (0) Informação Adicional: DESCONTO PROMOCIONAL ABRIL
Cliente retira na transportadora
Dados do cliente:
Ricardo Alexandre leite rocha
31458205835
DJD5G33
Fiorino branca  / E-mail para nota fiscal: , E-mail de cobrança: , Telefone para contato</t>
  </si>
  <si>
    <t>o0TRQnmXQCylpx0AIzEAbQ</t>
  </si>
  <si>
    <t>17715</t>
  </si>
  <si>
    <t>8F00241118040027</t>
  </si>
  <si>
    <t>EXPRESSO SAO MIGUEL S/A / (049) 3361-6627Informação Adicional: Entrega: Rua Luiz deconto-186, barracão 2, Umbara- Curitiba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</si>
  <si>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tFjchUvu49Aoj2x42i_4OIj5UGwWPDTIJLbHnogiVuDwrkW7vGBQHgw9ZsF3SO3fdzsW9rtjJesEr7LYA0a7CzyGTVxdXlLdyYTjc9FWl5FqedfO7Ngrql7cup4eNu9AWs1vCrRFtfpdQ9bkZAwGT97WXah7wc1G4Kn-15Clz_bvuxuZrBKRlPTetpDGneEqWukcy_vZe0PBfexQbpQyEax1U8X7bZIFRJgt8ECXrvpNNLSREWHNkc76kgo8HOKZT4rwV_PO9ApY7He4lHDGpdWgKsXWYrSwRZdfBXfrO3VGrBMDMVPNBU016oQ&amp;amp;lib=M-zdWbhavtdZ1B_W2dnFDM0qoVt4lWzJ-"&gt;here&lt;/A&gt;.
&lt;/BODY&gt;
&lt;/HTML&gt;
</t>
  </si>
  <si>
    <t>wujLLougQCWofm41B86bog</t>
  </si>
  <si>
    <t>17716</t>
  </si>
  <si>
    <t>Edgar Moury Fernandes Neto</t>
  </si>
  <si>
    <t>8F00241225080017</t>
  </si>
  <si>
    <t>EXPRESSO SAO MIGUEL S/A / (051) 3586-2013Informação Adicional: INCLUIDO DIFAL 13,5% R$1.934,00  / Obs.Interna: REDESPACHO: RF BRA TRANSPORTES - CNPJ - 49.515.412/0001-53 - VENDAS SEM COMISSÃO PARA A CAXANGÁ PISCINAS - PEDIDO REALIZADO POR ELIZANGELA BERNARDO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</si>
  <si>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yLKG8jhul9PU9cW-zL4Gfon77sQwENtonzS-tH4hmBsyLfMz_dJhtg82-rmuyOMnm2ACeIWkx_Voo6s60iwHzMMV3bLNdp74693KNcwcCFs8OK-WeVCcHjaASTdemY14mEUPzEP2JT9Aaz6w9y4LSYXakZJvXObBVa1cvmzs-m8RnfXaG1-Sjq4z-tw_7i2TVPAoUP7kf93pcKPB2YVGSb79y7YieJ78Gqzyyhg6ZRF_f9CFc4WQ5BQVW8cYucUa2i3eae11MHqkuqg4uvuNEPkpfYkR20EYTTEOV2pabiIlWNqr1sXfSNwP8LQ&amp;amp;lib=M-zdWbhavtdZ1B_W2dnFDM0qoVt4lWzJ-"&gt;here&lt;/A&gt;.
&lt;/BODY&gt;
&lt;/HTML&gt;
</t>
  </si>
  <si>
    <t>QAozVFouQcKqsRuVj2I7yQ</t>
  </si>
  <si>
    <t>17717-A</t>
  </si>
  <si>
    <t>8F00241118040033</t>
  </si>
  <si>
    <t xml:space="preserve">&lt;HTML&gt;
&lt;HEAD&gt;
&lt;TITLE&gt;Moved Temporarily&lt;/TITLE&gt;
&lt;/HEAD&gt;
&lt;BODY BGCOLOR="#FFFFFF" TEXT="#000000"&gt;
&lt;!-- GSE Default Error --&gt;
&lt;H1&gt;Moved Temporarily&lt;/H1&gt;
The document has moved &lt;A HREF="https://script.googleusercontent.com/macros/echo?user_content_key=AehSKLg_PAyp5TGLO8rBvFkx5mXEeDXtqkZSGd0aRZKY_XOzMa-Spp8SxJcEPkr__nf0x_Giz46SqEcghCTECQgHtWRXzyiLYTFsXzJF3tnsG7e3UDaLoZriA83-k6gIKjTw5_ZKTFPQiPQnsfr2cOuc92-3Ie6y9jXBmX2iqWa8ecwqisz4eXasfvpBzbnMF8WGJNM1hAVcK-algyBnU8AJBdLjqJmvJ7rnRw0rE-rZMNBypromrC9_8XbHs72JZT8mdDFCqmZPbJDzm-xqE4kyLJAmPLD4uXTX_It1tjmMFF0k4kArTxpeagUglRYKPA&amp;amp;lib=M-zdWbhavtdZ1B_W2dnFDM0qoVt4lWzJ-"&gt;here&lt;/A&gt;.
&lt;/BODY&gt;
&lt;/HTML&gt;
</t>
  </si>
  <si>
    <t>GdDpnvrkQyeGrtRV.ZZDZw</t>
  </si>
  <si>
    <t>17717-B</t>
  </si>
  <si>
    <t>8F00241118040034</t>
  </si>
  <si>
    <t xml:space="preserve">&lt;HTML&gt;
&lt;HEAD&gt;
&lt;TITLE&gt;Moved Temporarily&lt;/TITLE&gt;
&lt;/HEAD&gt;
&lt;BODY BGCOLOR="#FFFFFF" TEXT="#000000"&gt;
&lt;!-- GSE Default Error --&gt;
&lt;H1&gt;Moved Temporarily&lt;/H1&gt;
The document has moved &lt;A HREF="https://script.googleusercontent.com/macros/echo?user_content_key=AehSKLidh_V2at60j0yJRhlKpU4zb8IWIWQkT2l0Pm6pOMlL28pbr-GIKAQ-ZAx_rrFBc2LdWKRH2AmQW2spZ08-je98ViTTb0cuoXJOyvoDai8dkPY1OOSv5krBgzC4rJFhpK7wDzp29ZxxeBsN2pf21DI8gmHKi-QPf681XU1UMu8MPjYQZFxuCzE5h6FhkPUz4emKXOj0sfpE501XACXOXRLJsEGkav0COENyqFaSlK0zkkLe0ddetLqJ0rCBZ2tdHvXamzyhVkPrnRrt9kU6T24vBuSlr2w7JotuqwoWRa5Evh_ou48FveGVaeNEqQ&amp;amp;lib=M-zdWbhavtdZ1B_W2dnFDM0qoVt4lWzJ-"&gt;here&lt;/A&gt;.
&lt;/BODY&gt;
&lt;/HTML&gt;
</t>
  </si>
  <si>
    <t>oBOGVXqmzpcWLQ2keDFf</t>
  </si>
  <si>
    <t>17719</t>
  </si>
  <si>
    <t>2006614</t>
  </si>
  <si>
    <t>RETIRADA NA FABRICA / (0) Informação Adicional: RETIRA NA FABRICA DIA 10/06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</si>
  <si>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5Wtft1__EtaAElN3ac14iTPGQ8D0_gEwL5OjH3-Lz74UnCzIIhjCt_imebWUAWXJJixPvtf_izHIyQMpJ9hHtgWy3MxnZjCEPE2-_qLH8s-1J_Ju3e3ntNUULHPWZR1lb8pUI-iNX4Clanf-QXNzUX3g0vsR3S7wDrk2dCplbTD5R4hPXFyJCLaEYm6yd8VHapxzp2yZ3AEXPN2ufL9LhlbBivIq-2BIl-acQmWy6f504f3NzvIeUVTTOBt6PVS0q1ORDWmWjP9vl6Un8xxbcDdh29G4PODNYfIysZCqiubLtEbN6EyLinLXGCg&amp;amp;lib=M-zdWbhavtdZ1B_W2dnFDM0qoVt4lWzJ-"&gt;here&lt;/A&gt;.
&lt;/BODY&gt;
&lt;/HTML&gt;
</t>
  </si>
  <si>
    <t>zMJETBCKRD2XLUE1qnJbow</t>
  </si>
  <si>
    <t>17720</t>
  </si>
  <si>
    <t>XXXXXXX - RETIRA - WILLIAM STEIN - 00000000000 - VOLKSWAGEN / AMAROK / CINZA / 0000</t>
  </si>
  <si>
    <t>RETIRADA NA FABRICA / (0) Informação Adicional: PEDIDO CLUBE 12  / Obs.Interna: PREÇO AUTORIZADO PELO ABEL NESTA BOMBA R$ 17.982,40 ,   - DEGELO EM CORTESIA , EM SUBSTITUIÇÃO DE OUTRA FT160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</si>
  <si>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MQuOx6QZFScjP4ieRaCmaPJAwJEG4T51h0_dTUnEICP67gtcbODmQibdYurVMdEUcAjq9v5vWoGyRMQTlDfZimwsKsdyp1Yif6cAsa4EM3g7H9-h8uZkIU0wUCs9jdVbStBa-SJpNRB6fI3w7Qg6q2mtNRdhUxkINx9AGTYgRWl970rTcRSuW0YiusWLdOUhqoo5xApCiI8eyl7dZOF1SLjC0_fuKEwxUJm8IR3kW_YmoYX0h6eIB13DmoCBpTarQWn0JeSpJ1V8hFYwmPW80PXKtXEH3jBDKvALn7B4W2iUITFIE5__rfctBTg&amp;amp;lib=M-zdWbhavtdZ1B_W2dnFDM0qoVt4lWzJ-"&gt;here&lt;/A&gt;.
&lt;/BODY&gt;
&lt;/HTML&gt;
</t>
  </si>
  <si>
    <t>KBEc.p8UTyG0uX6U1J5CfA</t>
  </si>
  <si>
    <t>17721</t>
  </si>
  <si>
    <t>2006610</t>
  </si>
  <si>
    <t>RETIRADA NA FABRICA / (0) Informação Adicional: PEDIDO 21284 - M18 CONCEPT / Obs.Interna: retira na fabrica 10/06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</si>
  <si>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9rkcQ8qX_pDcdjsiaGGwwjbstVMiYqA5JBEKUD_RMrJ-oztNvGy7qmHFNcrO6DECLw1sBDbms-ub8z3DJoNa7FY6u0I3a9L0VVogonfCnQ-BXWY4mn8yTVso_wg4xMZgbXybuqLuOLrZ_xrn0BYQ_tjPR9S-bXzdci_RP_l_Ggp0csIU7OthFZ8ic_xkjQTR3xOaKEgFTH08gLXvKnvUtHD3f_BDdmNrO6Gt14_eK4SU6a6ZuMldp8X00PuzdEp_-rDkeIs9C-jxti_JHBze42N5re2P0QrVp0SzyxzrwJmY7NZcMJnGhI4elhA&amp;amp;lib=M-zdWbhavtdZ1B_W2dnFDM0qoVt4lWzJ-"&gt;here&lt;/A&gt;.
&lt;/BODY&gt;
&lt;/HTML&gt;
</t>
  </si>
  <si>
    <t>1y849FmUQY2xdNIEG5ASRw</t>
  </si>
  <si>
    <t>17722</t>
  </si>
  <si>
    <t xml:space="preserve">STILLO D'AGUA
</t>
  </si>
  <si>
    <t>2006611</t>
  </si>
  <si>
    <t>RETIRADA NA FABRICA / (0) Informação Adicional: pedido 21315- FRANCISLAINI  / Obs.Interna: retira na fabrica 10/06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</si>
  <si>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eHvBbKFWllix8x7zgk-49dF-eKGdcWCEIaKuyNd3P623pRaVo6NWqGscLnPLwcjTRCgUZdkUazFBEBGkiOkbVLhWExyr51QVPMyJPNoHbtV-PHxx-FnhAYDz3-dmqMx4UjbaB5Mrq14CE1rDUUS4mbiRPxsHPJY1EhWvaGn2wmhQUKh0H0kmf2p34uyuS8AFt6TIc4TnfX-zaEgjA6GKenR1PEat7ACOI31RpI4Zz44XS0XH0fDQ9yAiTWmfin-euasyplZGmc8Mgy2O0q-2YrXw2Xpua6lc0V9wkrP08YK9QaiNGEW_u5eV2dA&amp;amp;lib=M-zdWbhavtdZ1B_W2dnFDM0qoVt4lWzJ-"&gt;here&lt;/A&gt;.
&lt;/BODY&gt;
&lt;/HTML&gt;
</t>
  </si>
  <si>
    <t>7pZ7hjY7TFO8Urw7UK8sfA</t>
  </si>
  <si>
    <t>17723-A</t>
  </si>
  <si>
    <t>2006612</t>
  </si>
  <si>
    <t>RETIRADA NA FABRICA / (0) Informação Adicional: PEDIDO ESTOQUE
\] / Obs.Interna: retira na fabrica 10-06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</si>
  <si>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4hgXVz1WIeVYuNAuX1BqK6yXljjdegK-BlY9HxQJQISiikoi2k9IhkDzdcw4VRw9wttmKozROLgyjU_-kWZoq9GfMjxdHcKkfsI7nv4gG3PNlrs9RHBHNDvFmkzOnNIYj0owBEeUZqhXRevpwgTnKSSF4s8pY-xB6VVqNlpoRqWWWsFgqThF04_qn44wLbDjJxDvWVVp3bFf-AHRDl-VrFIKneG9acrEKcXraVGxvsh1x7OXAkMVj8nyKOuw5aRw_wSvCUqXJ-qFiZdG75ALSo6RH3SgbB2cE3SQvIcntSdI03ziywrro-mJPfw&amp;amp;lib=M-zdWbhavtdZ1B_W2dnFDM0qoVt4lWzJ-"&gt;here&lt;/A&gt;.
&lt;/BODY&gt;
&lt;/HTML&gt;
</t>
  </si>
  <si>
    <t>oGPP1k5YSKG.cPB2RneySg</t>
  </si>
  <si>
    <t>17723-B</t>
  </si>
  <si>
    <t>2006613</t>
  </si>
  <si>
    <t xml:space="preserve">&lt;HTML&gt;
&lt;HEAD&gt;
&lt;TITLE&gt;Moved Temporarily&lt;/TITLE&gt;
&lt;/HEAD&gt;
&lt;BODY BGCOLOR="#FFFFFF" TEXT="#000000"&gt;
&lt;!-- GSE Default Error --&gt;
&lt;H1&gt;Moved Temporarily&lt;/H1&gt;
The document has moved &lt;A HREF="https://script.googleusercontent.com/macros/echo?user_content_key=AehSKLhvgkmstHyEycuU1cwn3Hca1pu_Ph3uawUTPp6nKCc5t2CATCWOLgUsGeDGYbDdLmwyqrRuWNEcDSENvbJ3SEVYhlPh1A1b27XYdYCzk0hyiRGc8SMahXrfuqmszoecl-3fX4Kk5FVumH_x3MMVSa2TcKWH9_YmK13K8U5U_-JaC1DpM18DbrZslonOV4xEy9RY5cqGLMu9EVCg2kvpnaB_CN5FVQqg9MMPeZuU7WYx12jZZifHye7YkmBqgQ6UGZeF8-n5k8Sm_WoaQRSmc5Nxwv_uTMpWhZtz-1Oh628fv8Qic9feGpNZBLnsgA&amp;amp;lib=M-zdWbhavtdZ1B_W2dnFDM0qoVt4lWzJ-"&gt;here&lt;/A&gt;.
&lt;/BODY&gt;
&lt;/HTML&gt;
</t>
  </si>
  <si>
    <t>kJYEEmDS1wlCtGeXJekN</t>
  </si>
  <si>
    <t>17724</t>
  </si>
  <si>
    <t>CASA NOBRE PISCINAS</t>
  </si>
  <si>
    <t>8E00250104050003</t>
  </si>
  <si>
    <t>RENATO MARCINHACK DIRETO DO PR</t>
  </si>
  <si>
    <t>CLIENTE RETIRA / (0) Informação Adicional: maquina o Renato vai retirar no cliente Aqualife o qual devolveu a maquina / Obs.Interna: maquina o Renato vai retirar no cliente Aqualife o qual devolveu a maquina / E-mail para nota fiscal: , E-mail de cobrança: , Telefone para contato</t>
  </si>
  <si>
    <t>RENATO MARCINHACK</t>
  </si>
  <si>
    <t>ioQsyT8eTeibjM4Q6McnFw</t>
  </si>
  <si>
    <t>17725</t>
  </si>
  <si>
    <t>8F00250110270009</t>
  </si>
  <si>
    <t>0000000 - RETIRA - EDUARDO GASPERI - 00000000000 - CHEVROLET / MONTANA / CINZA / 0000</t>
  </si>
  <si>
    <t xml:space="preserve">&lt;HTML&gt;
&lt;HEAD&gt;
&lt;TITLE&gt;Moved Temporarily&lt;/TITLE&gt;
&lt;/HEAD&gt;
&lt;BODY BGCOLOR="#FFFFFF" TEXT="#000000"&gt;
&lt;!-- GSE Default Error --&gt;
&lt;H1&gt;Moved Temporarily&lt;/H1&gt;
The document has moved &lt;A HREF="https://script.googleusercontent.com/macros/echo?user_content_key=AehSKLjOFinhQOvGkgM5VScyxJ5u9dQqj9FHMb6_79wne__CkMILZRCLp1KcQCR4_9B24kwu5qaPQBQzLEM0A8F6v3ryRYVkBhIWdh5bXyI_gPswgaDQk9Ho4L8bWU272mbnFRaSQDSXhqhOrfVQhpVTW_fc6H949AlfX126wzHLj_HaqC2mYKj82b26dHBQlfqZxwGo9NRXR8VcNraVyirAmz6g76Uv7ZYWp14rDGd_U5BcgRjT8dx6eDF2UAfFwtojB9mol_nQQt-N5_Bn_KCE9AbBQ91Dxa6fnKpPERHUT2fsqtmgEqWrvWi3AjhwiA&amp;amp;lib=M-zdWbhavtdZ1B_W2dnFDM0qoVt4lWzJ-"&gt;here&lt;/A&gt;.
&lt;/BODY&gt;
&lt;/HTML&gt;
</t>
  </si>
  <si>
    <t>0jIMBRYaQ3q8GxEKGfkIFg</t>
  </si>
  <si>
    <t>17726</t>
  </si>
  <si>
    <t>8F00250110310015</t>
  </si>
  <si>
    <t xml:space="preserve">&lt;HTML&gt;
&lt;HEAD&gt;
&lt;TITLE&gt;Moved Temporarily&lt;/TITLE&gt;
&lt;/HEAD&gt;
&lt;BODY BGCOLOR="#FFFFFF" TEXT="#000000"&gt;
&lt;!-- GSE Default Error --&gt;
&lt;H1&gt;Moved Temporarily&lt;/H1&gt;
The document has moved &lt;A HREF="https://script.googleusercontent.com/macros/echo?user_content_key=AehSKLiMVbPKgUT10H2BD4TeXJ3IfGq-e8RcyMGcnhW6dRaj52fqIO7t4U7phRdiiu9QGtPeSijA-KdHzp88tIdEhP-H2G2-9Bb368vf7XjBeG7W1zjUFv20LxATTJ9WGLbCE-ygZM1nKeVitBNiXSDWLYWR1Dj3_V1BOKZ7fFLQtqPuFNFFbAI0DiKe_vPhL7j-_m0inHbDxofRMFmyZYrF7RismiLk10qbajpEep_BK1U-uPv8qtxMPD1ydxNd040TTec2q71sike2BcSYrSrdJo-dP00l72AGhf5AZB-CccpsxwdwV3vI9XO_Mr74oA&amp;amp;lib=M-zdWbhavtdZ1B_W2dnFDM0qoVt4lWzJ-"&gt;here&lt;/A&gt;.
&lt;/BODY&gt;
&lt;/HTML&gt;
</t>
  </si>
  <si>
    <t>qM2xwE7VTMWbLtgEWMGRjw</t>
  </si>
  <si>
    <t>17727</t>
  </si>
  <si>
    <t>THERMOFUSAO AQUECIMENTO DE PISCINAS E CLIMATIZACA</t>
  </si>
  <si>
    <t>FITLOG / (011) 2212-5862Informação Adicional: entrega dentro do shopping Polo Mania . Ligar antes de entregar para Eleude Cristina 21 9 6827 0876 / Obs.Interna: desconto 10+2 do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</si>
  <si>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GICx2wTFSrK98DE6gagjwpa1C-fKcKUPZqNClsQ6V0cKC6s2FD10KjeUTAveQK9deaM9641T0I5bzOtXF8-katHkBeU6FBVHTASTBmg8kf1kf66N-D01lOaEOlgeZKyO1AckSlg99dRegYQBK23QQdxQMrt5HghzTuOJbJWok0TqjufxOCSx1DyOBB6NySTTO3eY-a8TSA-HMic1AGlg36MESpiTGZ9pH-CzEXEoOoSfEn0ECOd7KaAeFhYkWVBG4C17YORGK4gO14SCbEkhcCEqCluxhuWkzE4aII2lD6x7_bVdLZcnQxCKVA&amp;amp;lib=M-zdWbhavtdZ1B_W2dnFDM0qoVt4lWzJ-"&gt;here&lt;/A&gt;.
&lt;/BODY&gt;
&lt;/HTML&gt;
</t>
  </si>
  <si>
    <t>nKee8VWqQjOe3XO1DeP6UA</t>
  </si>
  <si>
    <t>17728</t>
  </si>
  <si>
    <t>8F00250104100024</t>
  </si>
  <si>
    <t>EXPRESSO SAO MIGUEL S/A / (051) 3586-2013Informação Adicional: TEM NFE DE DEVOLUÇAO NR 728 / Obs.Interna: TEM NFE DE DEVOLUÇAO NR 728 R$1.426,00 COMPROVANTE EM ANEXO . NF 728 ENVIADA ELINE- A MAQUINA DESTINADA PARA PISCINAS CAMPO LARGO -PEDIDO 17724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</si>
  <si>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y5O1Ezg8Ot5HKrE7hAFnFWULPYtax_IYyaeLncpbkXpd9oSLe3RHDuIgNpVWyVL4vrLOJF3MiXgc5H8Ao5EDIq8STZIskZdXtiIQwsEkIC2vmD5Jii_PBmGetmot10dLCEDJlq9rXYxVNFZH_ZMYnEQV2K4F4bzG2vtszKn6Ihc8Mvr3Cb4_PkK5HwGwXWzHaouf_4HmVm-RQoYpkDCsLpYBt6fnHMsUs0NoRuA3D2Nlp3MDXgL10rvdPul1R2fJLGRGM9ZqMmIyBDtMs6YU_cofF1sRBIZHuxOiouAfnLN0nEEuW7Y6u4XPxVQ&amp;amp;lib=M-zdWbhavtdZ1B_W2dnFDM0qoVt4lWzJ-"&gt;here&lt;/A&gt;.
&lt;/BODY&gt;
&lt;/HTML&gt;
</t>
  </si>
  <si>
    <t>pwLpAk-GQ02ZxgQrqiz-jQ</t>
  </si>
  <si>
    <t>17729</t>
  </si>
  <si>
    <t>PRUDENCIO PISCINAS LTDA</t>
  </si>
  <si>
    <t>8E00250104050014</t>
  </si>
  <si>
    <t>EXPRESSO SAO MIGUEL S/A / (051) 3586-2013Obs.Interna: HIDROAMBIENTAL TORRES - ACRESCENTAR + 10% DE DESCONTO A VISTA - VALOR DO PEDIDO R$ 6763,00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</si>
  <si>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CxEpDtFTg3vKnRfnX1uzMMgFdP_44qbRzJ6H7HksTeOhOkOBsF_IaEBTSHprtgoLWANnD7JB6UIKGA8ErZhUmP-YwFV2GoDecY_QCt1yda6zKtT11ARBb7gPjfJRILnXaNVlHQHw4E7ftFm1RMTu5uIkbvmg7TDJNZzsmp5UJgp7mKu30SI01_iCf570mFbHvDdeLC0MW-JlvLuFN7u2jChbvksVS-pIq4XsGxR32kY3yl3FKX0WIww0FLoEzu_yhmmVe9b0F3WL7XtXt6ADFifyrA-VCG8Ewo6YwQQ2gFY51BlK6kXdePAQMjg&amp;amp;lib=M-zdWbhavtdZ1B_W2dnFDM0qoVt4lWzJ-"&gt;here&lt;/A&gt;.
&lt;/BODY&gt;
&lt;/HTML&gt;
</t>
  </si>
  <si>
    <t>fVn63xRlSOidqm4lbdeNnw</t>
  </si>
  <si>
    <t>17730</t>
  </si>
  <si>
    <t>8E00250110260001</t>
  </si>
  <si>
    <t xml:space="preserve">&lt;HTML&gt;
&lt;HEAD&gt;
&lt;TITLE&gt;Moved Temporarily&lt;/TITLE&gt;
&lt;/HEAD&gt;
&lt;BODY BGCOLOR="#FFFFFF" TEXT="#000000"&gt;
&lt;!-- GSE Default Error --&gt;
&lt;H1&gt;Moved Temporarily&lt;/H1&gt;
The document has moved &lt;A HREF="https://script.googleusercontent.com/macros/echo?user_content_key=AehSKLjV7fkglpDxvg1I9oekfy4R9i8ZMXYiU3g1isxxKqmILTLQZdKlagPdO6EsonNMk-275U4dR5znNjzxrmV3V83eJbfVopxFMTZyVsrU6ha2TeYEOGRZJasnjhONHwYkjowVbYyyX8xL_pCCGwqDpU7fP0OCc8Caw7UvTdEx3e4lrSaU4dhicIdEgBz2_VXlptQsj8At7rP0JL2kCv6FSL6loRpLcIBn1AZROdYU74avgaB0yplpDG8HonfK04AF5_fGnziS3FI-ZbY9ji93VDjqLWlp4nXMfKWF9RjgRS2uMUj8wUQv0w-U6qfDDw&amp;amp;lib=M-zdWbhavtdZ1B_W2dnFDM0qoVt4lWzJ-"&gt;here&lt;/A&gt;.
&lt;/BODY&gt;
&lt;/HTML&gt;
</t>
  </si>
  <si>
    <t>1yJrSc.oR7mRlyVDCng-ig</t>
  </si>
  <si>
    <t>17731</t>
  </si>
  <si>
    <t>8F00250110270017</t>
  </si>
  <si>
    <t>FITLOG TRANSPORTES E LOGISTICA LTDA / (048) 996277956Informação Adicional: Pedido de Compra Nº 7566 / Obs.Interna: SAIDA PELA FROMTHERM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</si>
  <si>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cD9S11xNOFiQJOnXotnLmhuwX-hbRz75aLSbvg5vQ_KxH-iEW3PiJeTS4MsPKtDChOQLv0juCzUoud1O2Cr7_-8Y0w_vKHhAlGj4em9W01a8pQwjWAlRu-G5byH0rzPILuGAFce6rMF1KOc0jk6LJc13U5IvdsSwnef8oBU-M3eax3J9dXl2iC13YKdRLe94eEgRo1RqV7-yUoVPnnUkKbq8TDrAuYeg6lteD-NtBgVh9d026ZaDglwumai0GV_W6zZyEw0_DTcH9TGE2l07lyqMPRLvUqMH8iGlk47PK7b38lh955bkzTfV6hg&amp;amp;lib=M-zdWbhavtdZ1B_W2dnFDM0qoVt4lWzJ-"&gt;here&lt;/A&gt;.
&lt;/BODY&gt;
&lt;/HTML&gt;
</t>
  </si>
  <si>
    <t>CnUWbWtVRxuZIiXmTYQ5nA</t>
  </si>
  <si>
    <t>17732</t>
  </si>
  <si>
    <t>DOCTOR MANUTENÇÃO DE PISCINAS LTDA</t>
  </si>
  <si>
    <t>8E00250104050032</t>
  </si>
  <si>
    <t xml:space="preserve">&lt;HTML&gt;
&lt;HEAD&gt;
&lt;TITLE&gt;Moved Temporarily&lt;/TITLE&gt;
&lt;/HEAD&gt;
&lt;BODY BGCOLOR="#FFFFFF" TEXT="#000000"&gt;
&lt;!-- GSE Default Error --&gt;
&lt;H1&gt;Moved Temporarily&lt;/H1&gt;
The document has moved &lt;A HREF="https://script.googleusercontent.com/macros/echo?user_content_key=AehSKLjFcTqeUAymN7RVXoAPc79nvvmqTqU4DUMk3zpTGJemJGpj_YlYf_2RoxGqjRbx_A3d-eMst8e-b08uksW0oXBiULhJ3Bq9pnBAilCTvRtqHdRvnP2Bi4bKhVWJUSC1_nHea7AgAdZTX80OPeLBStkATcKznZKghH9UlyyYNWLKv5ZW37pAOw3m7sRr3spyY66dn99Sydx4fUZwWbfi4qwi-DSIEKJ7TeCBZyBieHFlOVV0qPRPrbIukimlYomeeV9B-FsMDYfY4ie0lDODJ_Sk9WaWJGquwCTCSFJ91__0k1vRz1c2h-YPHGQ-eA&amp;amp;lib=M-zdWbhavtdZ1B_W2dnFDM0qoVt4lWzJ-"&gt;here&lt;/A&gt;.
&lt;/BODY&gt;
&lt;/HTML&gt;
</t>
  </si>
  <si>
    <t>ZTivsM8yQSCpy--JU2McgQ</t>
  </si>
  <si>
    <t>17733</t>
  </si>
  <si>
    <t>GILMAR FREDEBON</t>
  </si>
  <si>
    <t>8F00241225080015</t>
  </si>
  <si>
    <t>EXPRESSO SAO MIGUEL S/A / (051) 3586-2013Informação Adicional:  VALOR DA NF R$  31.500,00
VALOR TABELA R$  17.068,54
\-   DIF VAL TAB X NF R$  14.431,46
  -   DIF IMPOSTO 17% R$   2.453,35
IMPOSTO ESTADUAL R$  1.575,00
TOTAL A PAGAR R$ 21.096,89 / Obs.Interna: PEDIDO CLIENTE HIDROTEC - FRETE FOB - POR CONTA DO DESTINATARIO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</si>
  <si>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W98bLyTARxpwFGUHIbp_fEv8-pJ6gSo_tO9tpTCNl9-HTzYRO6ULvXWEvUe6KHAT33bY4QL4C73a-0rce6Kl6p_wTbZSZyk09hN9YhX9nMszTDaZmhzPQYRZ73PJAr_zQ42ECOn9ILMs4L-MM9wygwn2CMmB-Ufw3a6p8L8RsWfbLX8tzcuBAc3X5PojT22UHaWsxjlC1W-qzt_vsKv87wPHIdZjo08etpv6db5A1-0YKjyH-uDYRnYay7phGxY17NcQyNjiBjnTKSkOgNty5sZi53g1mSJOJjc_7LYeh4lTtN4NjYHzas-G9Lg&amp;amp;lib=M-zdWbhavtdZ1B_W2dnFDM0qoVt4lWzJ-"&gt;here&lt;/A&gt;.
&lt;/BODY&gt;
&lt;/HTML&gt;
</t>
  </si>
  <si>
    <t>aOhL85W.R3OL2F9H.1sN4w</t>
  </si>
  <si>
    <t>17734-A</t>
  </si>
  <si>
    <t>8E00241118030054</t>
  </si>
  <si>
    <t>FITLOG TRANSPORTES E LOGISTICA LTDA / (048) 996277956E-mail para nota fiscal: , E-mail de cobrança: , Telefone para contato
O REDESP. SERA FOB - TRANSP. TRANSFORT - CNPJ:38.243.029/0002-58 - END: R SOLD CRISTOVAO MORAIS GARCIA, 375, CEP: 02.187-090</t>
  </si>
  <si>
    <t xml:space="preserve">&lt;HTML&gt;
&lt;HEAD&gt;
&lt;TITLE&gt;Moved Temporarily&lt;/TITLE&gt;
&lt;/HEAD&gt;
&lt;BODY BGCOLOR="#FFFFFF" TEXT="#000000"&gt;
&lt;!-- GSE Default Error --&gt;
&lt;H1&gt;Moved Temporarily&lt;/H1&gt;
The document has moved &lt;A HREF="https://script.googleusercontent.com/macros/echo?user_content_key=AehSKLgxBcLHj1f2B0R1GgHBdjNUuD--wNWYObRBgq84X4P0fU0IeX0mxD4LCvTmY9GN1titnBzwAazgXzJQK561CYB56l3foYYo_Ohxu0wZLxVJKJ52_7mpzf6cE7FG0zr6l3IBF6TQIZ1oIGShgc3ndgvLeJEhwo9HrmNJHpLv4vOokYjKb53JR9c_d080g2r_EWet5IEMgQhGiQytLE8jT7kNWLCc_NgEANW2PbzlCZgutKrVjKivuFotvD3H7o9i8EOJwQCBhso6GpnxJNh681l3AqQPcX6NMQQYgYZy6iwKweH4oic_1gXLPxrWdw&amp;amp;lib=M-zdWbhavtdZ1B_W2dnFDM0qoVt4lWzJ-"&gt;here&lt;/A&gt;.
&lt;/BODY&gt;
&lt;/HTML&gt;
</t>
  </si>
  <si>
    <t>o-i3DW8FSyKdxmWPQAG-Cw</t>
  </si>
  <si>
    <t>17734-B</t>
  </si>
  <si>
    <t>8E00241118030053</t>
  </si>
  <si>
    <t xml:space="preserve">&lt;HTML&gt;
&lt;HEAD&gt;
&lt;TITLE&gt;Moved Temporarily&lt;/TITLE&gt;
&lt;/HEAD&gt;
&lt;BODY BGCOLOR="#FFFFFF" TEXT="#000000"&gt;
&lt;!-- GSE Default Error --&gt;
&lt;H1&gt;Moved Temporarily&lt;/H1&gt;
The document has moved &lt;A HREF="https://script.googleusercontent.com/macros/echo?user_content_key=AehSKLjHqWjht48508_6ICNnlc3D9Cjeqo3DqmaW9BOLVjs7llLjZ0qcAKgWbq-PvSb-oAyLa88hKMaX6Dn2DSL6yQf_vdh7RCduIbvF-7aHnTykWDmiqJiuWfAfCQr7MKQMXr9gYlsUrKQlHy_u9YckUM_UDTgcFJ330F1RCzP-w7QH9FIOLTWMU1j5DeK7xbw2FacibCVdTkPqISL7ohHEaVYsykFQv8B0vxBgYcYz6H8FRObrkPxtlA_mC5CiItY44JWMa5C3iG5_cZ8sLa26kV6viB1dNSdMxCcPsJQJP0TKWLcj7xYHWuw3nMkOEw&amp;amp;lib=M-zdWbhavtdZ1B_W2dnFDM0qoVt4lWzJ-"&gt;here&lt;/A&gt;.
&lt;/BODY&gt;
&lt;/HTML&gt;
</t>
  </si>
  <si>
    <t>hYg5oF6WiMPxcd1htp2F</t>
  </si>
  <si>
    <t>17734-C</t>
  </si>
  <si>
    <t>8E00250110260007</t>
  </si>
  <si>
    <t xml:space="preserve">&lt;HTML&gt;
&lt;HEAD&gt;
&lt;TITLE&gt;Moved Temporarily&lt;/TITLE&gt;
&lt;/HEAD&gt;
&lt;BODY BGCOLOR="#FFFFFF" TEXT="#000000"&gt;
&lt;!-- GSE Default Error --&gt;
&lt;H1&gt;Moved Temporarily&lt;/H1&gt;
The document has moved &lt;A HREF="https://script.googleusercontent.com/macros/echo?user_content_key=AehSKLhU_OyIcbrI2ikX9z2UJoG1UUMZxdoI6Rw6r6YWf01sgrZ69EUT599uYCLVt-FejODGAZ_fIfAcwgRhLi0wXGhJykq1tMCkGXs6ecrPd9RvMdlTIol8x9r7MdZw9aZKDDjPKJSeHQiavtel7VM-JfJaq-9ivwFp-9EM8BDeizY2VElv5UKr82RLh2z2nOVejC_JOKhthSEh9ZoA8a67tNnx3TR_RuItKMXnzPrlo_QsBiqwY3pu0drCBp--PdLTyDOMG44N7Zqj4LGmSltVpbyqiiCrOBuG8yIwE2SumRHMJ_PZYjM9WfVWyafqDw&amp;amp;lib=M-zdWbhavtdZ1B_W2dnFDM0qoVt4lWzJ-"&gt;here&lt;/A&gt;.
&lt;/BODY&gt;
&lt;/HTML&gt;
</t>
  </si>
  <si>
    <t>jLKirzWJ1u11N9K11vBO</t>
  </si>
  <si>
    <t>17734-D</t>
  </si>
  <si>
    <t>8F00250110270005</t>
  </si>
  <si>
    <t xml:space="preserve">&lt;HTML&gt;
&lt;HEAD&gt;
&lt;TITLE&gt;Moved Temporarily&lt;/TITLE&gt;
&lt;/HEAD&gt;
&lt;BODY BGCOLOR="#FFFFFF" TEXT="#000000"&gt;
&lt;!-- GSE Default Error --&gt;
&lt;H1&gt;Moved Temporarily&lt;/H1&gt;
The document has moved &lt;A HREF="https://script.googleusercontent.com/macros/echo?user_content_key=AehSKLgolntkApuTNOeUzOYRoRSzLK9KM1TaeSsQUV-gevtZbiGcMCDMkCBQwyoVs10SbNOZGjoNfleWNTg8yRIrYjvxlxRYUP2qtWSbP1HG9ngVvKVvr4Fk8muRlsR5STXU-BVtGFQTiXQ-7Os3HbY_4Wiou80ZhElJW1RCEBe9xko5r_bmaYh6Rrn8wK8qASicJApDFoag8PIa2BzXQKAIPHioBbo2JjhMDow6APhmBIiAm844my0G1qhpeP_zZ1_7AoFchUUqaAD3SKuengQvixap-5KrHV2wZehtT3xIY-GOTDde0Z9SjCWCfiR3OQ&amp;amp;lib=M-zdWbhavtdZ1B_W2dnFDM0qoVt4lWzJ-"&gt;here&lt;/A&gt;.
&lt;/BODY&gt;
&lt;/HTML&gt;
</t>
  </si>
  <si>
    <t>BFLHFivmDPBl6ZGPIFd9</t>
  </si>
  <si>
    <t>17735</t>
  </si>
  <si>
    <t>8F00250110310013</t>
  </si>
  <si>
    <t xml:space="preserve">&lt;HTML&gt;
&lt;HEAD&gt;
&lt;TITLE&gt;Moved Temporarily&lt;/TITLE&gt;
&lt;/HEAD&gt;
&lt;BODY BGCOLOR="#FFFFFF" TEXT="#000000"&gt;
&lt;!-- GSE Default Error --&gt;
&lt;H1&gt;Moved Temporarily&lt;/H1&gt;
The document has moved &lt;A HREF="https://script.googleusercontent.com/macros/echo?user_content_key=AehSKLhHwK9gCEUfggxf5Du9eXJWETKp2lUHWAxwFGpu25mVVGrIY0xzIGX8V1A6ILj5jzUZEvUbwZXhCg_JMnDO1hrGaxKf66O_I4qqDSAoE0GaKrB8_A8HLu7CPmAXRqdxZDAnmYW88AC6r372535LtFZiInfX4xygqJ8hdDCIJBp2CmZTA6WKL5BGCCIUAkl9e4C_ILiyKSKWBPGEvORI5BxPKtGNl7krDSR9kHVaY3DPjhUJy-MFRUU_vUK2eHvTP771gik6zQIqArP2aCss0egkdG6tSEHeZZZMCH90q13fZCivuio3Mlrf0vcMig&amp;amp;lib=M-zdWbhavtdZ1B_W2dnFDM0qoVt4lWzJ-"&gt;here&lt;/A&gt;.
&lt;/BODY&gt;
&lt;/HTML&gt;
</t>
  </si>
  <si>
    <t>ezAcpgJKRoW5OSUi.FTSeg</t>
  </si>
  <si>
    <t>17736</t>
  </si>
  <si>
    <t>8F00250110270016</t>
  </si>
  <si>
    <t>EXPRESSO SAO MIGUEL S/A / (049) 3361-6627Informação Adicional: prazo de30/60/90/120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</si>
  <si>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RlDLpHqqtVjtwZ2JY5YK3CoyR4oGwyYLeFe6WIFMcXhJ64Iy5OZcxKgmfTVl5mAhgbaUVmJBGYn8a4VziLnlqzNrwMX2fTbWDd1M6FsNUhtRQBxakgQ5wkxrGti-boLH4EwPZe4hT8gKKEF_IG_376dtDLD6VN-IQDGIX8W3NWZ6vdoE29gKvIkU_sKyd5k27UuEGgW-Mib6AdzB8jX7Ns4ui6St9qJ5ky7i_BuAvCtdKPzEmJ090hnTg60EfGBycu3A72C92q1n4BHKMCSR6eiB8gigbWQA8r9Ya9-y-WzH_JMG0nkmPsnnhMA&amp;amp;lib=M-zdWbhavtdZ1B_W2dnFDM0qoVt4lWzJ-"&gt;here&lt;/A&gt;.
&lt;/BODY&gt;
&lt;/HTML&gt;
</t>
  </si>
  <si>
    <t>0QbqXpl8QQ2OFBCBnAvufg</t>
  </si>
  <si>
    <t>17738</t>
  </si>
  <si>
    <t>8E00241118030026</t>
  </si>
  <si>
    <t xml:space="preserve">&lt;HTML&gt;
&lt;HEAD&gt;
&lt;TITLE&gt;Moved Temporarily&lt;/TITLE&gt;
&lt;/HEAD&gt;
&lt;BODY BGCOLOR="#FFFFFF" TEXT="#000000"&gt;
&lt;!-- GSE Default Error --&gt;
&lt;H1&gt;Moved Temporarily&lt;/H1&gt;
The document has moved &lt;A HREF="https://script.googleusercontent.com/macros/echo?user_content_key=AehSKLhV46Wm5kcCHp2_VkqZq-cwzWYJej6mLSMky2zywVizP69fboR2iKlBDsx_LXjp49lkZKd1Ax-LyWZ7MBbmyuAHZ6jUgERIGoIHWKdlCtIdS_qdQZtGgDoGipzovLylskO_yd72ENQkFee-0YvRq2wVtk8W-gTwxDYC-Qkh2wUU29NwRgtggFIQ9cZPhA_pJ8B0W5jZB3xijz17Z_giK4iCDvuV5QU8qIQOT6ZDLiwfW4Q-18-Rv3kNu90WdACesBIbwUoqWEey3ysRUkxeCoApFvsZ0ctZv-w1WB-XHTjSF_QSXVgpB5JzaiBiBA&amp;amp;lib=M-zdWbhavtdZ1B_W2dnFDM0qoVt4lWzJ-"&gt;here&lt;/A&gt;.
&lt;/BODY&gt;
&lt;/HTML&gt;
</t>
  </si>
  <si>
    <t>j.16UYjuQri8ORbiGvahVw</t>
  </si>
  <si>
    <t>17740-A</t>
  </si>
  <si>
    <t>8F00250110270014</t>
  </si>
  <si>
    <t xml:space="preserve">&lt;HTML&gt;
&lt;HEAD&gt;
&lt;TITLE&gt;Moved Temporarily&lt;/TITLE&gt;
&lt;/HEAD&gt;
&lt;BODY BGCOLOR="#FFFFFF" TEXT="#000000"&gt;
&lt;!-- GSE Default Error --&gt;
&lt;H1&gt;Moved Temporarily&lt;/H1&gt;
The document has moved &lt;A HREF="https://script.googleusercontent.com/macros/echo?user_content_key=AehSKLi73fuMLs8yVcUifvpnn6GadwNqlose8DedPXHFdPYaI2UkVaFMonxnk7te-ZKF8lEEQwltVvDcBoDQ02zRW6J7yB33074SUQcy2t2owg0-T2SQ7HHZL0-_53qaY0OmvZOG8SC8LhaSd8rtmv6w1Oce-ONOFrwBu751T4YAMrUWkhVJ2lsI-rBpEzw_UHb9mRBWxY5ukn47dcCkBXSdJjBNd_5n3ClgogQZ_QpT_omfbLCzZOYiQMoIz30xja3NUiE16JMSe_R7geKDqjxE3NnDZ0hlXOy0jULMK6FytUzjNy4Z27rLnKG9KjuvVw&amp;amp;lib=M-zdWbhavtdZ1B_W2dnFDM0qoVt4lWzJ-"&gt;here&lt;/A&gt;.
&lt;/BODY&gt;
&lt;/HTML&gt;
</t>
  </si>
  <si>
    <t>GDJTxeoqT-6GOwM4ZgHRHA</t>
  </si>
  <si>
    <t>17740-B</t>
  </si>
  <si>
    <t>8F00250110270013</t>
  </si>
  <si>
    <t xml:space="preserve">&lt;HTML&gt;
&lt;HEAD&gt;
&lt;TITLE&gt;Moved Temporarily&lt;/TITLE&gt;
&lt;/HEAD&gt;
&lt;BODY BGCOLOR="#FFFFFF" TEXT="#000000"&gt;
&lt;!-- GSE Default Error --&gt;
&lt;H1&gt;Moved Temporarily&lt;/H1&gt;
The document has moved &lt;A HREF="https://script.googleusercontent.com/macros/echo?user_content_key=AehSKLg9rBsTnIM9wFHTbbJvQ8mOQXuRs0q8Cnzw4W99rQvB32IMfDKSA4DZxYyyHLvyuee80OmnNLX7iK1NadXCbitwDNQtm3VWUTugCCXUndStxNaj3PnB1zeqdiupx46FHDJ6wPeu9DNdR_OBSB3JkpI3RHKsaP3puM2g807K0hsDPOm4jm4g6FCnmXTUE4U_NezMLLDAbYjVDAMCSJIjSiFagXD4v7jZZIp66tFCK7qReNEre77Wmljj17wRACFPJf9XLQKOTXwltb0kB9Xqq8jLEqGiEqaWidMgoFihoXP4D1wtX7CiJ9C5QKS05A&amp;amp;lib=M-zdWbhavtdZ1B_W2dnFDM0qoVt4lWzJ-"&gt;here&lt;/A&gt;.
&lt;/BODY&gt;
&lt;/HTML&gt;
</t>
  </si>
  <si>
    <t>cFOP4lDLhhby8gtlqhik</t>
  </si>
  <si>
    <t>17741</t>
  </si>
  <si>
    <t>13973</t>
  </si>
  <si>
    <t>FITLOG TRANSPORTES E LOGISTICA LTDA / (048) 996277956Informação Adicional: Maquina para exposição na FEIRA DO ESPIRITO SANTO EM GUARATUBA- COM A POSSIBILIDADE DE DEVOLVER . BOLETO 120 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</si>
  <si>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o-HdR20LXPR4lEsEpLqesmdwyEqfvXdoCVbnhoQEGg3bmrAZBjq2AcBz2ReHMpdlUC2sEuxhBnPLZJZtcmiaoQCmXHQ7LALFH9bIhaBHGp4kToZkc6E2nWw2GvY5ureXUso4aRgbD5lZGPm5Ht-C4S5XF08bBRX_neYyOL2HAfwMHz2cHv6ja5vfSzIJ4hf89_BS9ir0K6CYisP6tKridLHUD848NslW3TYWvyMS9yh0WDAYDBrL-MvD0dyRt-yrOKYwgkJzRFsEodFcz1ayDNI5UKQ3uV2IdqC33yDxq4QneoNAxSxkf1VrqGQ&amp;amp;lib=M-zdWbhavtdZ1B_W2dnFDM0qoVt4lWzJ-"&gt;here&lt;/A&gt;.
&lt;/BODY&gt;
&lt;/HTML&gt;
</t>
  </si>
  <si>
    <t>GTSeZfQgTYKqF8I90iGCCw</t>
  </si>
  <si>
    <t>17742</t>
  </si>
  <si>
    <t>8F00240812220286</t>
  </si>
  <si>
    <t>FITLOG TRANSPORTES E LOGISTICA LTDA / (048) 996277956Informação Adicional: REDESPACHO FOB  CNPJ 44.914.992/0013-71 - RODONAVES TRANSPORTES E ENCOMENDAS LTDA - AV ALEXANDRE COLARES, 500 ¿¿¿ CEP 05.106-000 ¿¿¿ BAIRRO PARQUE ANHANGUERA ¿¿¿ SÃO PAULO-SP I.E. 112.782.533.118
O REDESPACHO SERA FOB - TRANSP. RADLOG - CNPJ : 24.882.886/0002-93 - END: R UMBUZEIRO, 123, CEP: 07.224-010</t>
  </si>
  <si>
    <t xml:space="preserve">&lt;HTML&gt;
&lt;HEAD&gt;
&lt;TITLE&gt;Moved Temporarily&lt;/TITLE&gt;
&lt;/HEAD&gt;
&lt;BODY BGCOLOR="#FFFFFF" TEXT="#000000"&gt;
&lt;!-- GSE Default Error --&gt;
&lt;H1&gt;Moved Temporarily&lt;/H1&gt;
The document has moved &lt;A HREF="https://script.googleusercontent.com/macros/echo?user_content_key=AehSKLg1NuVfXOnMP4k7Ao8mu5O8gSxz3CreUTYwi3vfjzzKEfJaSBipi1u8SF5RfUsgf7Bo0O1nmmtcx-WaZ_aJdhbEYiYIUegWDlSQr41xBBz9DMfkTUi-aetpFC4Z-yETsru7xOrZ9uY8UHiPz4kA6K15_9pLMclLubjB6iUw_2MDfiGZ3OfM71rr9VVjRvPAD4fPXEIO3pahjDvDmw0OHfplt4ryv-tTaKq5GtQmvXkO5MV2KF64_pxcdu3ToTF1zgInDm90v_LBf2y013nLaLxy1AyxXDUq3zqTzrvHYukD0NdG__F6CrsUJO6xng&amp;amp;lib=M-zdWbhavtdZ1B_W2dnFDM0qoVt4lWzJ-"&gt;here&lt;/A&gt;.
&lt;/BODY&gt;
&lt;/HTML&gt;
</t>
  </si>
  <si>
    <t>saV1AQ.7SjuWFHBFibmmXw</t>
  </si>
  <si>
    <t>17743</t>
  </si>
  <si>
    <t>8F00250104100028</t>
  </si>
  <si>
    <t xml:space="preserve">&lt;HTML&gt;
&lt;HEAD&gt;
&lt;TITLE&gt;Moved Temporarily&lt;/TITLE&gt;
&lt;/HEAD&gt;
&lt;BODY BGCOLOR="#FFFFFF" TEXT="#000000"&gt;
&lt;!-- GSE Default Error --&gt;
&lt;H1&gt;Moved Temporarily&lt;/H1&gt;
The document has moved &lt;A HREF="https://script.googleusercontent.com/macros/echo?user_content_key=AehSKLgJqrz9nk8nkY-Cr_EaKuAbW8VjRz_0eCb1MB7LTaRovqVpwbey_tXJB03U5HB8MNbDxDYXTm8QLACNpC9MWLfXEczlMJ_SF0uVhIcTqdZLo35M7mp1bFX4UrAdtSJXKxJiJmHTpXJKL-YCOUvi0qxr5hjajuWC-gTIG4tVrT6d3sXM0KEsba7TAm7LEGbS7dsfve_4z8A86aezb9-L7tl-WeAgtAsCtrXWvk_1xrQSHiUTbZzU8xDbCS5xYIrwghcbkz9nY1keD_V7WkGHI4M9jE6yfSyIaV7sHsEP-Q5hIPZVlfbwgBskC3AnLw&amp;amp;lib=M-zdWbhavtdZ1B_W2dnFDM0qoVt4lWzJ-"&gt;here&lt;/A&gt;.
&lt;/BODY&gt;
&lt;/HTML&gt;
</t>
  </si>
  <si>
    <t>asoqOeA1Qt64pqImZxJF8w</t>
  </si>
  <si>
    <t>17744</t>
  </si>
  <si>
    <t>FT60D35W</t>
  </si>
  <si>
    <t>ACEVILLE TRANSPORTES LTDA / (0)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</si>
  <si>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VVo3Pc8or816ZDTs7G5tlUy5xdyZOtAiwfqmjPh0s1emMa7foCnAES0PhsQRYj4Q3xX_oK8iMuk3qlV16JOBnS9Ex-Yc-VpO1f6KDsYP6GdlU6OyKa1Hlg38U0zNJjnb0Rbg97_6uX5qMI7hHW6yt1DT1WxGXw0GQ-WFaphVSMIIEEX5TrIxm5lmLc1bhfx4Z599MqQClQs0kVIldmq9LdOf_JRsQXrYfcpHb6giD3qVDkho66t7iZYuzQzRQGvPxGHipRQg8AGHoframYYl3G4TEbGlHZ_hmoAkT0RIZsu3OoNpzrNQTOQGxzg&amp;amp;lib=M-zdWbhavtdZ1B_W2dnFDM0qoVt4lWzJ-"&gt;here&lt;/A&gt;.
&lt;/BODY&gt;
&lt;/HTML&gt;
</t>
  </si>
  <si>
    <t>uVvFFENzQzGJNh-4VFBhog</t>
  </si>
  <si>
    <t>17745</t>
  </si>
  <si>
    <t>8F00241118040029</t>
  </si>
  <si>
    <t>FITLOG TRANSPORTES E LOGISTICA LTDA / (048) 996277956Informação Adicional: Cliente: Andre Luis de Aquino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</si>
  <si>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d8nWFt5QF5N-AyivRtxvRyYxxSca5ajZEiTAk8DMtE1gL9nSD-tq8DdktUokTbfe06eaDXiMP5WNLnB7-p7JmIs3wr_mJP79K6Shv11lXZ8mfTzP5YWEzYTCf0vbTNEkstMT6f4EHJEioXv3-Rx6oGptVu4rWuHFtu2r17sWVP86jKf2WkFbt9mQ_dlU_BumSI-yXcix2EV5FOWegv7wMb94g5Ll3jExONt4-5ZqlBcG9kElPW0f2TvdTbEKFBGnsAZ-e6fIpJ3iGpJjcpzF2HIy8HJHLkoxJnlEf6TypwJtiuvTk71pwVDbMA&amp;amp;lib=M-zdWbhavtdZ1B_W2dnFDM0qoVt4lWzJ-"&gt;here&lt;/A&gt;.
&lt;/BODY&gt;
&lt;/HTML&gt;
</t>
  </si>
  <si>
    <t>WUNPLrgrQnOTYW1xMh5ZvQ</t>
  </si>
  <si>
    <t>17746</t>
  </si>
  <si>
    <t>8F00241118040032</t>
  </si>
  <si>
    <t>FITLOG TRANSPORTES E LOGISTICA LTDA / (048) 996277956Informação Adicional: Cliente: Valdeci José Salicio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</si>
  <si>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KgchzGEm8x5i-Gr8iPvKnQ_aquETCU9DZwNq9wmxcnBMm3IL9UFnrGNHvInArfoEnhHN36HsCLqRn53YDM4vFuYX9VJ_HczygjdYTxQXzUn14s39wyXYDggcFvotiKmY-zBhjfsOe3SCYd8lcUlnestAwbqtoO4jbaM6YjtEvHavRmH9msYlJh7AmcWuD76hIqDESUKnJz8iCJOHYcCGCpJcI8Y-Bltn-Te63kl5HZ3IiLZo6QJYIFoUQxNwd7rffRZVjA7lT2ahcgO-tulUW2XForcf0B0TCRGnuOGcSRwbyJCMu1dso6JhN5g&amp;amp;lib=M-zdWbhavtdZ1B_W2dnFDM0qoVt4lWzJ-"&gt;here&lt;/A&gt;.
&lt;/BODY&gt;
&lt;/HTML&gt;
</t>
  </si>
  <si>
    <t>z2a0s3-HQnCwWD9qnTzTWg</t>
  </si>
  <si>
    <t>17747</t>
  </si>
  <si>
    <t>8F00250104150022</t>
  </si>
  <si>
    <t>EXPRESSO SAO MIGUEL S/A / (049) 3361-6627Informação Adicional: nf de devolução 4172 / Obs.Interna: É UMA TROCA PELA FTI125 TRIFASICA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</si>
  <si>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yCkgcA1Wjq1zXHyv_CWvDoYIyA4hb29Ayx-M8bzBWXuauOXOgOLE4VfqYu8x542COj_o4f68QmgZgYVGJ3SSlQnHRQJNqLix11xuLsYiNCiWtQI77mIDpehRgy9g_U4x1FnIRvH_AICr73FHog051SUDtV-T4ifNfsewJiS5V3FoCC0HtF-UczYUlBEdpzVsmVa9Yg3CfpQZ3dYB8hrOJWqbQjZqgssqdJ3Y6KTMG4KwAJaGz5HY5AXQkNOrYdPyw7G3GvKI_DbUbuUVSPoSDApQBdNZriZrYNkWyG3h6t5k_FpujouK5PZ2Xiw&amp;amp;lib=M-zdWbhavtdZ1B_W2dnFDM0qoVt4lWzJ-"&gt;here&lt;/A&gt;.
&lt;/BODY&gt;
&lt;/HTML&gt;
</t>
  </si>
  <si>
    <t>QPXawEQjTjO7SumPopuFxQ</t>
  </si>
  <si>
    <t>17749-A</t>
  </si>
  <si>
    <t>REZENDE AQUECIMENTO</t>
  </si>
  <si>
    <t>8F00250104150028</t>
  </si>
  <si>
    <t>FITLOG TRANSPORTES E LOGISTICA LTDA / (048) 996277956Informação Adicional: redespacho pela Expresso Raquel -   CNPJ SP : 03.823.190/0002-16. - ENDEREÇO SÃO PAULO : RUA SOLDADO AMERICO RODRIGUES 131, GALPÃO MODULO A - PQ NOVO MUNDO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</si>
  <si>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75a3IIyEIEybdRoiVlED07VWDstMUs2F7ZXLlv2ptl9uOGiHdKdgHVa75N4gqiV20HKh5BokpgKgxVlIQqn7e73U1d_J3-fFLP8KM7dF6FS0BaY4snEfUXKh2R1sIauU9bVVuz0fCsVbU2wX8ju0YXT51nkxoqDlcyCgHj_LfNPcW3SmC1II0kypZqBRKRBClY16L6nW0DXXjK27gRaX-kkebyjqs55xW8DhpXKNTEg_5nfXtiP9EN7EomOLJlDcf3IjI2G1me8vOJHhtahJdBL9fwnIgmbJO-1DovwbfGhGgyMoPXnuffIkQcw&amp;amp;lib=M-zdWbhavtdZ1B_W2dnFDM0qoVt4lWzJ-"&gt;here&lt;/A&gt;.
&lt;/BODY&gt;
&lt;/HTML&gt;
</t>
  </si>
  <si>
    <t>831oAnD2QkCS1j42WqIjdQ</t>
  </si>
  <si>
    <t>17749-B</t>
  </si>
  <si>
    <t>8F00250104150025</t>
  </si>
  <si>
    <t xml:space="preserve">&lt;HTML&gt;
&lt;HEAD&gt;
&lt;TITLE&gt;Moved Temporarily&lt;/TITLE&gt;
&lt;/HEAD&gt;
&lt;BODY BGCOLOR="#FFFFFF" TEXT="#000000"&gt;
&lt;!-- GSE Default Error --&gt;
&lt;H1&gt;Moved Temporarily&lt;/H1&gt;
The document has moved &lt;A HREF="https://script.googleusercontent.com/macros/echo?user_content_key=AehSKLiHW4ptDqxqWQCmjgkHN4u1jwAkgM3V50BYnqYGq2DggQ-GITjWFpsLNJ966AULmWicN8ZsCSQ8SJV772lId2e4wI5R2wLtWolgcAYNZBhi7byM3v2c7aIYdu9RqM6bfc0KdH1FkDZDVVkB73pgePv20vBlQ_NraMUczuavrTuHleEtB5VnDXGm5yPHNVtUz5hxc6pNNeoAqEm0rd9ccF12jSge69T-SY84d1tKPI5hQsy96TOwwQydim-MGOsPce4Wbv8QkTnTKX_8RdYYJgWjMySchdHdpz9HcRnlVqLGQrB1_1zoNwxIyizlBQ&amp;amp;lib=M-zdWbhavtdZ1B_W2dnFDM0qoVt4lWzJ-"&gt;here&lt;/A&gt;.
&lt;/BODY&gt;
&lt;/HTML&gt;
</t>
  </si>
  <si>
    <t>RQp4blAkPmHLf7POuHJh</t>
  </si>
  <si>
    <t>17750</t>
  </si>
  <si>
    <t>8F00250110270006</t>
  </si>
  <si>
    <t>SEM VEICULO CADASTRADO</t>
  </si>
  <si>
    <t>Cliente retira na fábrica, segunda-feira, 16/06.
RETIRA/ (049) 3361-6627E-mail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</si>
  <si>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iHpaa0juwrdxEJAMd1gVcMqkBRBiep3Dmjbkr1GBTwobYKM7X5oUATTTNhfTcmIAJVoTGTYr9lhvCqN0geTvkV8tvu6MXx8CT-TIZk7VrF9vZu9IVwAxsn-sUP50lI41dnqUizd7PE9MxQgRkCDUZokIthO2h0NjkhToRLUEypPb3TQCTJ6dR0C9k2N9lkdfiA-eIchn6KvBnC6FIvPQZV84dr5_n-KJwwRyg3IPdvzKb--xzc1truEc6kI1_IRGUJNBnIW0JQPOouSvCoaLeXzKkAWaFFWHDKLcV7fRDGimndFuVZkiTksD_9Q&amp;amp;lib=M-zdWbhavtdZ1B_W2dnFDM0qoVt4lWzJ-"&gt;here&lt;/A&gt;.
&lt;/BODY&gt;
&lt;/HTML&gt;
</t>
  </si>
  <si>
    <t>sB3HJGgdR.eJyO5tk2VTuw</t>
  </si>
  <si>
    <t>17751</t>
  </si>
  <si>
    <t>8E00250110260008</t>
  </si>
  <si>
    <t>EXPRESSO SAO MIGUEL S/A / (049) 3361-6627Obs.Interna: DESCONTO A VISTA +10% - VALOR DO PEDIDO A VISTA R$ 6.763,50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</si>
  <si>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ULmnVgH71iBYwARVtm3Hw-Yg-BEtTq-o5R1SLsty2lhoqYed2z9b28mQgSHsUKF3ae-0Uo0wZhbdvYlF0wR0kWChyBYW8BV4EHMHkw3gYd85mPnZH8A266v0kj4dpIVbLZbcdEoHmthMyZpeO2KylTmKAJagzvlyazYIo0oCOAWwyD5TwhYhzcp8jTdbxUYM4mYQ0ziV-mqBo9j9Y4ucRlE8uFsHQ0uWG2DlNGoLnQaHenf82j5ZLXABqVKxk0y-iRZfGqsESHURYJdR2EEqm-LsBP0zTtY4h3Is9ZhUyDnpasUvtsJGU6gItAQ&amp;amp;lib=M-zdWbhavtdZ1B_W2dnFDM0qoVt4lWzJ-"&gt;here&lt;/A&gt;.
&lt;/BODY&gt;
&lt;/HTML&gt;
</t>
  </si>
  <si>
    <t>GnKuVrvxTC-akxrx5bQ4Cw</t>
  </si>
  <si>
    <t>17752</t>
  </si>
  <si>
    <t>HAVANA COMERCIO DE PISCINAS E EQUIPAMENTOS LTDA</t>
  </si>
  <si>
    <t>8F00250104150019</t>
  </si>
  <si>
    <t xml:space="preserve">&lt;HTML&gt;
&lt;HEAD&gt;
&lt;TITLE&gt;Moved Temporarily&lt;/TITLE&gt;
&lt;/HEAD&gt;
&lt;BODY BGCOLOR="#FFFFFF" TEXT="#000000"&gt;
&lt;!-- GSE Default Error --&gt;
&lt;H1&gt;Moved Temporarily&lt;/H1&gt;
The document has moved &lt;A HREF="https://script.googleusercontent.com/macros/echo?user_content_key=AehSKLgF-0ZzWblAJ2PsNHT3dwWXhUPOatR4zf2_sYw6pAhSSgDNNadZaZwoI7Rck4k47a7yBi4Ym7uQ4q19y2cA9vSc3YeajLmQJJXnCVZTu10W7zARVjohkM6izqlu2wbKJ5rFVqPap6wox9RFbxej3rq_cDPqmn7b5vm2-NitYm5jz5Bx8AztPNKiCosuW94VqEUajk9BA8RKs6Dz91sJo_CYza7Af2OdoWeei24loOuwV6itJzEsxX2rU7JcinaKnsWwu54yKWBqHicN8YwwcdhPxgfeO1D5WawpRCQwfWEvPGn33iEKRQVC77GncQ&amp;amp;lib=M-zdWbhavtdZ1B_W2dnFDM0qoVt4lWzJ-"&gt;here&lt;/A&gt;.
&lt;/BODY&gt;
&lt;/HTML&gt;
</t>
  </si>
  <si>
    <t>x1Bn074DS-aRulODs0N.UA</t>
  </si>
  <si>
    <t>17754</t>
  </si>
  <si>
    <t>8F00250104150021</t>
  </si>
  <si>
    <t>FITLOG TRANSPORTES E LOGISTICA LTDA / (048) 996277956Informação Adicional: remessa entrega futura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</si>
  <si>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jUHjdwC8zHqkMUeOxHHXj4Gx7n8WPFFvBjfNHXdsa3-OT_WE30Yy0K14wQoRkRhoSGWg2gAg-JsCc1q-6255goW_3EPVRhBqQB5J8i1lTkVnwQEcRKhBE3b2ftiHHxxlSTCMxvGNuBsrWKFOgTpNS-tVK0EkDI0rRft2rlDLTcZJIZqJAvC0UcHLXjwDrEhrX5BivWUGbtLb1vvHrmHArTO1u2lIV9ujgYYz0Hw3faoYM5z5drEQlC5X1y0SP-Rz5UFlxpZU_PBZi_o_q1ZKTaQXLTFkxF_6cdq5XRd7QWaw6kBuDCRnqYIZOag&amp;amp;lib=M-zdWbhavtdZ1B_W2dnFDM0qoVt4lWzJ-"&gt;here&lt;/A&gt;.
&lt;/BODY&gt;
&lt;/HTML&gt;
</t>
  </si>
  <si>
    <t>z6a4Bbm6Qf-.zFCHDf6uYw</t>
  </si>
  <si>
    <t>17755</t>
  </si>
  <si>
    <t>8F00250104100019</t>
  </si>
  <si>
    <t>RETIRADA NA FABRICA / (0) Obs.Interna: entregar este pedido semana que vem junto com o pedido 17434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</si>
  <si>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8jzS4_LboCPchMa0UXPI45PVOniOJ8WdI_5c2nDV33UThVUMMIaBc14pMbRwVtR2y9cPba6wlvpQredMpJZ7QZGIdOLNTM_GYdakveqy09F6OFrW52rEWfVjpEhX-C_8_-QMayzIIL3iYHIABOPrrNYgxndSDnIRGfWJfxN323CFutJnWBO7ibOw7xLfHqnf5LWlN3EOzkkdY22_iF0pAluIob92VQJBoT-ca-UJgxTr1fVRdF-oivZpdxH30P5XoTzRs3Wqnkh_N407-2yS1FEOEXn4lQ8ClHYvB6UQolTO9KHuu2aqDLc93gA&amp;amp;lib=M-zdWbhavtdZ1B_W2dnFDM0qoVt4lWzJ-"&gt;here&lt;/A&gt;.
&lt;/BODY&gt;
&lt;/HTML&gt;
</t>
  </si>
  <si>
    <t>a-ShcToKyTZitwaK07qCTEg</t>
  </si>
  <si>
    <t>17756</t>
  </si>
  <si>
    <t>8E00250110260009</t>
  </si>
  <si>
    <t>EXPRESSO SAO MIGUEL S/A / (049) 3361-6627Informação Adicional: VALOR DA MAQUINA  R$ 6763,00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</si>
  <si>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rEEycyxg2u8bpR-12pjNqq_lWDIQR_kDhJ3YcrzZ2KjNgVcnFD3g-itcpj-VeLhrN5DiH4S_JCpqsIX27NzNqbop0c5B2uZ31c4ozW-4Vkz7r9x-gjpp2uWMwdf-5kzq_bbZ3XQiEqFwG2jeiKQrPAWamAivUUQpSbStMG_fhaWdlHfgSbw2ojBPQOd2D-4j7P_PHop8rtI8vpyWFzaqJ7zvMAw6-Ui5L6r5p0kxTh2qj_xVjqE7SVojMxH5tsxmxxg_xwLmHnEPD52cEojoOjtUOFaDoajrl68siuWS4dG4eSJ_HZqG7cTmIUA&amp;amp;lib=M-zdWbhavtdZ1B_W2dnFDM0qoVt4lWzJ-"&gt;here&lt;/A&gt;.
&lt;/BODY&gt;
&lt;/HTML&gt;
</t>
  </si>
  <si>
    <t>YHo9X08iRpmxWI7l-fwapA</t>
  </si>
  <si>
    <t>17757</t>
  </si>
  <si>
    <t>TOTAL - TEC PISCINAS</t>
  </si>
  <si>
    <t xml:space="preserve">&lt;HTML&gt;
&lt;HEAD&gt;
&lt;TITLE&gt;Moved Temporarily&lt;/TITLE&gt;
&lt;/HEAD&gt;
&lt;BODY BGCOLOR="#FFFFFF" TEXT="#000000"&gt;
&lt;!-- GSE Default Error --&gt;
&lt;H1&gt;Moved Temporarily&lt;/H1&gt;
The document has moved &lt;A HREF="https://script.googleusercontent.com/macros/echo?user_content_key=AehSKLgEzvQYuWtqbp02a68oBigtCGCieGSQAllPrB20MFcZlC0cOR7_-6DeuWdFTfXy8onH84tR912KBinPtiB-e06CIebKOyz71BIHxvrdWBpMAsIJTy7Ci__BxOITLtj4LIja_2mKCu2UK3BizGB_hWlSMkRQfRGgeakZOcQ62DL7Uy3yIVxpNSBipelkG6MZvOs1lyL5tFY64UpcX3bsnk4PZCJoaMsonOkyrK0KiezPJ9d5qYEeyBkJq48o1asqZ6mqaZgwMLfgkM9ygMf0b-8Lb1psIaLw9EkVtWR-GYSjiNghhHhj-5p0qL-erA&amp;amp;lib=M-zdWbhavtdZ1B_W2dnFDM0qoVt4lWzJ-"&gt;here&lt;/A&gt;.
&lt;/BODY&gt;
&lt;/HTML&gt;
</t>
  </si>
  <si>
    <t>VKHWV.Q7SkGIaCwW3PUB2g</t>
  </si>
  <si>
    <t>17759</t>
  </si>
  <si>
    <t>FITLOG TRANSPORTES E LOGISTICA LTDA / (048) 996277956Informação Adicional: DESCONTO DE 3% À VISTA (AUTORIZADO PELO GV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</si>
  <si>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1kdhCxngh7ENUFMJ2Jkw5g_1Sj_hG4xFPesWCURNCylnkrI7VYOV1E97B4W5CmJ9PAJb5ilcrP5vvWCNANECqIzrQX-PveGJj1qCP0laWQTC1VwE4BbrBT_oFVOkHRcTs9VoCIjJcBIqesGAjWw7h7GrPumi20mgaY35de-d8BVeq2zJhU23K-Jr2qxsabmy_wggHfeioCFpfnjA_5z4g3yChIcRf0vy1R12soOORDINiYAVXjyP95Bnswy9qxUU86e7JHzPjWg7b-al9eFV1QNuFXqwVPg1EwtbO5JzfiGHc1cY1aKKhlwGUbA&amp;amp;lib=M-zdWbhavtdZ1B_W2dnFDM0qoVt4lWzJ-"&gt;here&lt;/A&gt;.
&lt;/BODY&gt;
&lt;/HTML&gt;
</t>
  </si>
  <si>
    <t>OfXQro-uSoKka7uaW16uhg</t>
  </si>
  <si>
    <t>17760</t>
  </si>
  <si>
    <t>8F00250104150027</t>
  </si>
  <si>
    <t>FITLOG TRANSPORTES E LOGISTICA LTDA / (048) 996277956Informação Adicional: PROMOÇÃO (10% à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</si>
  <si>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EyVc92hT12rsxjXkBdqNUyHnw_AsA7b9N3O5YpYVlBN8OrdtPJOCnvcPQ4vGvBy-FkBgX0CqSBBTbc9GcSj494X8hA_WKL_bDVQ9unEhGK-z9_Ex4jfcGVU_5TUeVc54jPeEKHQ0Iek1_k3EGyXzBC2Yh3t6L4RsSaQKqW2d-qvY2QjUJ4pTv61sSXMMtGVCt62VQDY3Za23mnLoq3-bb_YMv9-ejKAFLleLh1rGUKk-l4EeD1K4k7I_0NzJpRVzXIFcRCTuOhVjAGpqhMMzfLpjdYEYfD9ec1OHSmJsArenQZ_LQirqYaVOwIA&amp;amp;lib=M-zdWbhavtdZ1B_W2dnFDM0qoVt4lWzJ-"&gt;here&lt;/A&gt;.
&lt;/BODY&gt;
&lt;/HTML&gt;
</t>
  </si>
  <si>
    <t>1ejLsrBVTwWW09UkfVpG7g</t>
  </si>
  <si>
    <t>17761</t>
  </si>
  <si>
    <t>FT60B35W</t>
  </si>
  <si>
    <t>FITLOG TRANSPORTES E LOGISTICA LTDA / (048) 996277956Informação Adicional: EXPRESSO SANTA LUZIA LTDA
&lt;br&gt;</t>
  </si>
  <si>
    <t xml:space="preserve">&lt;HTML&gt;
&lt;HEAD&gt;
&lt;TITLE&gt;Moved Temporarily&lt;/TITLE&gt;
&lt;/HEAD&gt;
&lt;BODY BGCOLOR="#FFFFFF" TEXT="#000000"&gt;
&lt;!-- GSE Default Error --&gt;
&lt;H1&gt;Moved Temporarily&lt;/H1&gt;
The document has moved &lt;A HREF="https://script.googleusercontent.com/macros/echo?user_content_key=AehSKLhxOwFJYEw1Nvo_-mYOReOulZpzfdKx4pgMkqehx5HVuFlBJLimwFZKHAhZfuEjcSL2yxB-Z38m9GxCHOoSdvtUcjhCQoq9sSFlfe2lefkaRTaIGU_I8_14srpgOvxTx987tg1mV-GfkXuYotYF8j0yQQ3MVrWk7Ttz-3XY0caWINFRR8KKGC-SaxMUzS4IZN7VDDmeI3pD5_cMBL-F6QNfrmrxTVIu9GIpAgZHjTQYWDdhVpsBH_Lifdkzs2B9LYYm584qD4CusdFz8oqc7rg9OBsjP3317pIwiPG3xNhIKTDcfuJwSul20BPNKw&amp;amp;lib=M-zdWbhavtdZ1B_W2dnFDM0qoVt4lWzJ-"&gt;here&lt;/A&gt;.
&lt;/BODY&gt;
&lt;/HTML&gt;
</t>
  </si>
  <si>
    <t>jrU1Seg4Q.S0RV1biUN1Xg</t>
  </si>
  <si>
    <t>17763-A</t>
  </si>
  <si>
    <t xml:space="preserve">MONTALCINO - EMPREENDIMENTOS E PARTICIPACOES LTDA
</t>
  </si>
  <si>
    <t>EXPRESSO SAO MIGUEL S/A / (051) 3586-2013Informação Adicional: FRETE CIF POR CONTA DA FROMTHERM- Exceção a regra neste pedido .
Emitir NF Venda Entrega Futura e Boleto 21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</si>
  <si>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CR3f7Vm15MQZRbP_4ItdF5Wy_cChrt2CEybmCQbzsYxqbaCvQ1_DwhuPXTXLyjuOXqPjOv1XrZhObR3-RS6ZKE037Eed5gH3y-sYzZrfnssUVBRhoKOE3gVYFaX9-bSBQzTb1R-f0ULAcM4RReH68L18TXMLiPXVdl5GUN54q_At7thpM_Di4cvVILIvTJ6yvTS-387e5uBI3ypGdJ4DJobL17S3lJDK9lb5fKf_QFqvTJe_5gnccZ0OYSINdNgj_L4o-n03qLoNS31EbJxWls7mnhZmwqFXTdaJQjnVAoVJqBhFVyhKX2F3Wpw&amp;amp;lib=M-zdWbhavtdZ1B_W2dnFDM0qoVt4lWzJ-"&gt;here&lt;/A&gt;.
&lt;/BODY&gt;
&lt;/HTML&gt;
</t>
  </si>
  <si>
    <t>eE6l6AEqTASMvMo7QUsVVQ</t>
  </si>
  <si>
    <t>17763-B</t>
  </si>
  <si>
    <t xml:space="preserve">&lt;HTML&gt;
&lt;HEAD&gt;
&lt;TITLE&gt;Moved Temporarily&lt;/TITLE&gt;
&lt;/HEAD&gt;
&lt;BODY BGCOLOR="#FFFFFF" TEXT="#000000"&gt;
&lt;!-- GSE Default Error --&gt;
&lt;H1&gt;Moved Temporarily&lt;/H1&gt;
The document has moved &lt;A HREF="https://script.googleusercontent.com/macros/echo?user_content_key=AehSKLjjJYWKPAxWzDy5ndG_FfR2BCRszlSKKXFNaoHs5omJZRksTnLcPUMoW3Az4zKEIlKbW1P5-ZLQ0RAzLOcVjNpYzQ0St9ESUWMd65IpyhnjacFvTlj2V9XyAHd2emMuJUVCQYu24gxBwHXNXwCWqZeCCT6rMB8qf1uuQWE35u98uGxnesbb7QoVayiG4Mh3f2EX5qvVriDKOXlSo3ZSekpXBN23hvgVY_EbrXwHyZngQLpbmq6KQIFhXp4QCaeNTy8ElFjdCSr07TP9IYBsb2reSdgnvhuqgNhiUsqAvaZWNeFC87AqiobDFWw6ew&amp;amp;lib=M-zdWbhavtdZ1B_W2dnFDM0qoVt4lWzJ-"&gt;here&lt;/A&gt;.
&lt;/BODY&gt;
&lt;/HTML&gt;
</t>
  </si>
  <si>
    <t>EMC60H1CAN1GCc2EYLwd</t>
  </si>
  <si>
    <t>17764</t>
  </si>
  <si>
    <t>MONTALCINO - EMPREENDIMENTOS E PARTICIPACOES LTDA</t>
  </si>
  <si>
    <t>EXPRESSO SAO MIGUEL S/A / (051) 3586-2013Informação Adicional: FRETE CIF POR CONTA DA FROMTHERM - Exceção a regra nesse pedido .</t>
  </si>
  <si>
    <t xml:space="preserve">&lt;HTML&gt;
&lt;HEAD&gt;
&lt;TITLE&gt;Moved Temporarily&lt;/TITLE&gt;
&lt;/HEAD&gt;
&lt;BODY BGCOLOR="#FFFFFF" TEXT="#000000"&gt;
&lt;!-- GSE Default Error --&gt;
&lt;H1&gt;Moved Temporarily&lt;/H1&gt;
The document has moved &lt;A HREF="https://script.googleusercontent.com/macros/echo?user_content_key=AehSKLgKhyQbIQdbok-NkYh7uZalXqEFtn1YVc3iT8GcgJoU40CTd14Gu3huiPG2p9oVAvNzHCOD1mhRZ6GVBv2f431SM7lfwTtjqLgI1HZGx9e1YEkriUqFpV_QdegGNuqz4hkA1l5ZV6LmNjbDRgpPDTREejLsuBn_zmnQ2SkCZe9qsyI9nmydunuRSMWkAn9r1IQocifV1i3VQjFGAx0vsG8er8djst6XMMXPN4sOmjWMdJ99LDWpIa8eaR3xL2kXTG8LpebU-431_7zaF15M_oFck-8KxJWThpJOJ9W-SENRITIoJYJF8poN35XFSQ&amp;amp;lib=M-zdWbhavtdZ1B_W2dnFDM0qoVt4lWzJ-"&gt;here&lt;/A&gt;.
&lt;/BODY&gt;
&lt;/HTML&gt;
</t>
  </si>
  <si>
    <t>NXwj-IqbQaabY2UYi6CGwA</t>
  </si>
  <si>
    <t>17765</t>
  </si>
  <si>
    <t>FITLOG TRANSPORTES E LOGISTICA LTDA / (048) 996277956Informação Adicional: FRETE FOB COM REDESPACHO PELA TRANSWELL - SÃO PAULO
CNPJ 60.157.377/0001-80 RUA ELI, 13 - VILA MARIA - SÃO PAULO - SP CEP 02.114-010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</si>
  <si>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ZivPt3AoNNnXo76zleQYHr9d93eh2u16mfAdmP3EIyvEhd5aCk-eiSkgIIQr3IhnBPNyVHAvIoCskXdQgHO_KR5XT8LwNN5-u2K-3NCbO0Hj7iqSUj2G265txNaeVs3ku55umE18reKXLks2uPHsmwYyflNTVVBCJoe6eI35SihNAQZ1Pa7DSz83NnVwLw0ohpxyqOWfq7C_YO2h8u7GkVFuXCsvnh-DW9S3l8JI8hJbpRToRmck9kPZxN4HH62xOgHH5pLF2M3n-TLjEul9F2qQizUHKLtOTrtGahjyzkmdbV1ay2WHhjfZdug&amp;amp;lib=M-zdWbhavtdZ1B_W2dnFDM0qoVt4lWzJ-"&gt;here&lt;/A&gt;.
&lt;/BODY&gt;
&lt;/HTML&gt;
</t>
  </si>
  <si>
    <t>WtBHJb9ESLe2leyPIwf1Fg</t>
  </si>
  <si>
    <t>17766</t>
  </si>
  <si>
    <t>8F00250104150018</t>
  </si>
  <si>
    <t>EXPRESSO SAO MIGUEL S/A / (051) 3586-2013Informação Adicional: prazo de 30/60/90/120/150 dias / Obs.Interna: Será usado na Academia que incendiou , por isso o prazo estendido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</si>
  <si>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1tk_mY7tveYNJG7vPIEwtCL46t0YXWIBxMuWNVyxaLMI-kUxw2DVmG-rbLZ0LISgAROB_qnlnDgehYcgAIvBwMHoWeSQCEZ-0zLIs32PR7ARQfKJAfeAXe7CExunXTKA-OZpEqec6u-Aw0oZhnS9GbsMOvTz5oQOIGhhyT-KvZO8gRMe5aPIKPpLWxw4DangOeOjZJwML1hLb0w6qelOzmAmc5zPRlKErDu-bQkHOwT8rxuMms0cxiOPhrIydYcBYgOqtdz0B_CXYHtDXYmmlfQc03Wvep6Xf0j3EQnN2CKARBWqFGaNfSOUZOg&amp;amp;lib=M-zdWbhavtdZ1B_W2dnFDM0qoVt4lWzJ-"&gt;here&lt;/A&gt;.
&lt;/BODY&gt;
&lt;/HTML&gt;
</t>
  </si>
  <si>
    <t>CyhEuwo4SSWLnn.R1zTb4A</t>
  </si>
  <si>
    <t>17768</t>
  </si>
  <si>
    <t>Wedson Torres de Almeida Filho</t>
  </si>
  <si>
    <t>8F00250104150026</t>
  </si>
  <si>
    <t>EXPRESSO SAO MIGUEL S/A / (051) 3586-2013Informação Adicional: VALOR DO PRODUTO R$25.045,04 / DIFAL 11% R$2.754,95 / Obs.Interna: VENDA INDICADA POR AGUAS E VAPORES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</si>
  <si>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L88QkPW32etPY_wK0LmQ0uA2Ft4_Thp-b6SLg80M51T2ELu_6UdY9O0OwBRR0MGDWElkZtqtfcNwZP2h1soFBi7oeZQQua-Uf9ZjhMHvg27Xmy6NfPJYt8_X7z-rD5Sf6wmYgjHfuRIi0JIrWrIbc3WkrU-caLbJfeY8aUatIe37UevcpQOnRtgrftOkPtaeWrNDXBGWyPu20XXm8Fe0Y4g_FHaQxa6Z-AsRMAP9T1zP8TodBGn9I8eY0pMztm2_JpDgYFqJHOGk73uzhBCwCea3kwcniB1dcif944AHDnZuZCi1dDGWGljZduQ&amp;amp;lib=M-zdWbhavtdZ1B_W2dnFDM0qoVt4lWzJ-"&gt;here&lt;/A&gt;.
&lt;/BODY&gt;
&lt;/HTML&gt;
</t>
  </si>
  <si>
    <t>TJt4Ckx1R-uMNyTCSm.gzA</t>
  </si>
  <si>
    <t>17770</t>
  </si>
  <si>
    <t>8F00250104100027</t>
  </si>
  <si>
    <t xml:space="preserve">&lt;HTML&gt;
&lt;HEAD&gt;
&lt;TITLE&gt;Moved Temporarily&lt;/TITLE&gt;
&lt;/HEAD&gt;
&lt;BODY BGCOLOR="#FFFFFF" TEXT="#000000"&gt;
&lt;!-- GSE Default Error --&gt;
&lt;H1&gt;Moved Temporarily&lt;/H1&gt;
The document has moved &lt;A HREF="https://script.googleusercontent.com/macros/echo?user_content_key=AehSKLiMedW_FOZviwLkzzgqfXlouqe8p6QgVCqA11c7LckKV2npur5U_TPNtMN-bNMQpCebmRWrrFRfaHKnYsihU7TkzImy4qybZX4fB6IbcuHaUQone-7imGxb7beC89cjNvpfU6nmnHcM5c1D5D5QGEowMzHB702LZT1LZgkLSmunTVTHtf4wkGXLm-5v49meAjntWJ1A6giV_HuJ9hzOnhoMKMQr89lG_Bb4dfz04CHfAJxtcs6FGpoKnOS8PifH_P_OYoOsgLgrX9ZfVKaU2utkRglDt28Eag7zjM5aOCwAbxDEMwpsSHIckhKcEg&amp;amp;lib=M-zdWbhavtdZ1B_W2dnFDM0qoVt4lWzJ-"&gt;here&lt;/A&gt;.
&lt;/BODY&gt;
&lt;/HTML&gt;
</t>
  </si>
  <si>
    <t>pbRJg9LNQaiDuG0ziBKsVg</t>
  </si>
  <si>
    <t>17771</t>
  </si>
  <si>
    <t>8F00250104100030</t>
  </si>
  <si>
    <t>FITLOG TRANSPORTES E LOGISTICA LTDA / (048) 996277956Informação Adicional: Frete FOB com redespacho pela Expresso Pitangui - SP CNPJ 01.953.950/0001-01 - Av. Patos, 1015 - Cidade Industrial Satélite de São Paulo - Guarulhos - CEP : 07.222-010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</si>
  <si>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5FpR-J482EEHp8WgkZoUMThDjT5hxQOKA0xP7w770wiUXJKLzT0Hl6e3JeogjpCeHo-Xp_TbV40GOtUxJWPjwShl1JNw-jq_hnImxNQ3TFrUvs4GmfMdlYe3xTxbkStU0zGEVCbRT-dY2-dcZYKFjfilLcv1kSHIgB5NvozDmWV8TbiDtq7RPwK996qWBsRdFgzNk45EBKsN8sxmP0fH2_U9uHot1BdFDzM-8Mqu40grrOU_yrL-jr0b6pPI1PEUXu8aGVsMyx5ZxeFE8PfRuzhlU1E7bkzSOK1VLuVaa68YPDutZq7bhQOLGow&amp;amp;lib=M-zdWbhavtdZ1B_W2dnFDM0qoVt4lWzJ-"&gt;here&lt;/A&gt;.
&lt;/BODY&gt;
&lt;/HTML&gt;
</t>
  </si>
  <si>
    <t>oWFagmcVT7aR8DNpXHaAZg</t>
  </si>
  <si>
    <t>17772-A</t>
  </si>
  <si>
    <t>8F00250110310017</t>
  </si>
  <si>
    <t>EXPRESSO SAO MIGUEL S/A / (049) 3361-6627Informação Adicional: PGTO R$35.763,00 DE ENTRADA E O RESTANTE 3X NO BOLETO / Obs.Interna: TABELA COMBO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</si>
  <si>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5Co-5puBVwoOl-mxl8PljYOozsI7FNSHljwQyJhuHqTAaVvjszm5jQYpuM70uFTM3xJcQ4NPxBtAgYQAHxiG2PDmY_U_kfcDQPcisKOnOqFc2gW_LTY-sBQJ5Jz5kZWBpKDDfedAYi9J72F0zOAtzCzIXmqnQor4hSvpH_YpL6XWhxfWxian-QVjFi7ZJyCMoFc0NG3oKmU_mu388n_ZafpRCwJhnCAcdxbq8jjFKMbrUxDFTe8R-lkCBWnu2gJpmf-3L-9lRCW8bWhFMR7SaETVnFTfADgMsSfCoznuF8hO84t5i1-ojfTiPCQ&amp;amp;lib=M-zdWbhavtdZ1B_W2dnFDM0qoVt4lWzJ-"&gt;here&lt;/A&gt;.
&lt;/BODY&gt;
&lt;/HTML&gt;
</t>
  </si>
  <si>
    <t>5aprs5xLRyeHzA0AYB67ew</t>
  </si>
  <si>
    <t>17772-B</t>
  </si>
  <si>
    <t>8F00250102140028</t>
  </si>
  <si>
    <t xml:space="preserve">&lt;HTML&gt;
&lt;HEAD&gt;
&lt;TITLE&gt;Moved Temporarily&lt;/TITLE&gt;
&lt;/HEAD&gt;
&lt;BODY BGCOLOR="#FFFFFF" TEXT="#000000"&gt;
&lt;!-- GSE Default Error --&gt;
&lt;H1&gt;Moved Temporarily&lt;/H1&gt;
The document has moved &lt;A HREF="https://script.googleusercontent.com/macros/echo?user_content_key=AehSKLgOv6ItU3x77bTljqzZPNl09FWM1BbJZepwJhUfuvgI_EQ5n7fRFxY7K1uhcItc7UfGBEGgLSDFzHACNy8VRqSXcVmdi7VOk8ER83HoGMqLn1v8xbtq9dmD8Uuy9dHRiMtTvd7B1B50Yd9WnKgbNT3ilq5XpBswHg04-HPbN-tUbeTfTNV0O6FJLxBO8lXyoOiyTfBTNt_Vemgj2X2-qJQm5Uidz9MnvJRHK_QMCwUC9jR2CboW32Xgo7_ZilqyOk99NooIga5ErJQPhHZ_adW_ec868qw-z6SoCyw-IOe9RMJftqrhBP9x4zJpAw&amp;amp;lib=M-zdWbhavtdZ1B_W2dnFDM0qoVt4lWzJ-"&gt;here&lt;/A&gt;.
&lt;/BODY&gt;
&lt;/HTML&gt;
</t>
  </si>
  <si>
    <t>F9XmxPH0w0DoOPk5z2RU</t>
  </si>
  <si>
    <t>17772-C</t>
  </si>
  <si>
    <t>8F00250102140027</t>
  </si>
  <si>
    <t xml:space="preserve">&lt;HTML&gt;
&lt;HEAD&gt;
&lt;TITLE&gt;Moved Temporarily&lt;/TITLE&gt;
&lt;/HEAD&gt;
&lt;BODY BGCOLOR="#FFFFFF" TEXT="#000000"&gt;
&lt;!-- GSE Default Error --&gt;
&lt;H1&gt;Moved Temporarily&lt;/H1&gt;
The document has moved &lt;A HREF="https://script.googleusercontent.com/macros/echo?user_content_key=AehSKLg3oMPHTK2ealghkG9wZg5tPLKzZCFAfotPGxbeblJaLick-4kybwmGizvTZNUtgWr9NL3OmDh14fZp9jhfcHbQN0ys3LI_A1DIJ_wKKsKiuy-lU6gh_7Or0SzvuCjpBzipPnxRfrLBBN-gGRV2lpG5hvd8K_gHBUYe7OrJxzhBmu2vWhREHEZ_CrpqcRSCndcbfyvXU-1aQrRlDyroJ7C7_vXm_3mwx5UI2_7yxMzasnWoml5F0-jparCRzr-L562n8yTNs1pbfUJn4DCmUWiEIaJODYguRUuVXV2FhTXKohV6JLR3j_Ws4u7YQg&amp;amp;lib=M-zdWbhavtdZ1B_W2dnFDM0qoVt4lWzJ-"&gt;here&lt;/A&gt;.
&lt;/BODY&gt;
&lt;/HTML&gt;
</t>
  </si>
  <si>
    <t>M4J5ENgaKaA4Vl1TnxeA</t>
  </si>
  <si>
    <t>17772-D</t>
  </si>
  <si>
    <t>8F00250110310018</t>
  </si>
  <si>
    <t xml:space="preserve">&lt;HTML&gt;
&lt;HEAD&gt;
&lt;TITLE&gt;Moved Temporarily&lt;/TITLE&gt;
&lt;/HEAD&gt;
&lt;BODY BGCOLOR="#FFFFFF" TEXT="#000000"&gt;
&lt;!-- GSE Default Error --&gt;
&lt;H1&gt;Moved Temporarily&lt;/H1&gt;
The document has moved &lt;A HREF="https://script.googleusercontent.com/macros/echo?user_content_key=AehSKLjeAoR-bUu2tmOHtvODQeIKiCDfv6O5IHOL9LLb8tO2BrVMcAa5dqeUoO-yCgWMgXXHxJ4ELM5w0Iur_nVmIGMYIofvfH5KtzHeR4JXClon85bje0Bn8t-TAKEP8M_1n7uGwlKpKvPti8R55DU8SHhG7aedEqcrKv8j5i5dWTCbWkf4JI6rsjEMwvj4tsz-Zo-yZNnIoUFCpDld7A6DJ30BqIt7okwrdseJhk1hpJi8t2qb0sv--K5SW68g6rDix9GWI2yGZZrpPh1X_FWEoOsUu61I0tMTz-hYF9PX8DTHgbapJDi-YU0C9-MncQ&amp;amp;lib=M-zdWbhavtdZ1B_W2dnFDM0qoVt4lWzJ-"&gt;here&lt;/A&gt;.
&lt;/BODY&gt;
&lt;/HTML&gt;
</t>
  </si>
  <si>
    <t>pfPGIejbjPVtmHCiiIcX</t>
  </si>
  <si>
    <t>17772-E</t>
  </si>
  <si>
    <t>8E00250110260002</t>
  </si>
  <si>
    <t xml:space="preserve">&lt;HTML&gt;
&lt;HEAD&gt;
&lt;TITLE&gt;Moved Temporarily&lt;/TITLE&gt;
&lt;/HEAD&gt;
&lt;BODY BGCOLOR="#FFFFFF" TEXT="#000000"&gt;
&lt;!-- GSE Default Error --&gt;
&lt;H1&gt;Moved Temporarily&lt;/H1&gt;
The document has moved &lt;A HREF="https://script.googleusercontent.com/macros/echo?user_content_key=AehSKLj7XSzyZocbM6nNicJvU5XSGi5XnceUjPXuhBThEI1cp_K8__exxvbMACNU4VinYuCIbcNvD-wefpTW99M1BRN_I2qgvP5Vfbq5hzJy3Ko35DMRD7OusCl6JKt6SHqKj1Ca0OrPoiHfFyDsaqafJGnFAOQuPc3rg-yRWHR2n1zkTFatgOfBOeiytjGognxX_UiTz1Vlp-WK5VgQJ2GG-9V4Vh-fXWHq9ewZT_oG13q_g7WGQEH8rVtQYlgfJ010Yr0FQ11fUAIS4fCiLronamI91qC4W3cWuNx55I4Wb4pG8Gqy7EYrfuvrI1gZKQ&amp;amp;lib=M-zdWbhavtdZ1B_W2dnFDM0qoVt4lWzJ-"&gt;here&lt;/A&gt;.
&lt;/BODY&gt;
&lt;/HTML&gt;
</t>
  </si>
  <si>
    <t>EtBDZygKMJDXQqCLkhhA</t>
  </si>
  <si>
    <t>17773</t>
  </si>
  <si>
    <t>Marcos Santos Trancoso</t>
  </si>
  <si>
    <t>8F00250110270015</t>
  </si>
  <si>
    <t>EXPRESSO SAO MIGUEL S/A / (051) 3586-2013Informação Adicional: VALOR DO PRODUTO - R$12.333,33 / DIFAL - R$1.356,67 / Obs.Interna: VENDA INDICADA POR AGUAS E VAPORES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</si>
  <si>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QZJWc3bdfCs9S1ssX7-UUK8-CHbYPkKLPHcQZI2L4ISTXLa4jfYmnPRjXwRPL0ie29C4qZm9Vxi5VXAsijfoxz0GHlqkHdP6wRjyq9rmxhSoK5FwnRD1zMxYjC_efj52FlSkKuvLwlfBZa5FADAgnXHwQWZ-Le8mUpiW-NrI8Mm3g8b_19TAE10k1NYzPhMp-YrICESC4_U_giG_SXgopQem_RPleqWJf-estCEU3uGdntYH5WubDLRtLu-2uZIEMud-_PgRTQ1PuFhN9Eq0MErhcjwre0dhM9lFbFM9npoPS4pfe13kNvIleQ&amp;amp;lib=M-zdWbhavtdZ1B_W2dnFDM0qoVt4lWzJ-"&gt;here&lt;/A&gt;.
&lt;/BODY&gt;
&lt;/HTML&gt;
</t>
  </si>
  <si>
    <t>Rc9PRrmOSeqqHsUragBbnw</t>
  </si>
  <si>
    <t>17776-A</t>
  </si>
  <si>
    <t>8F00250102050002</t>
  </si>
  <si>
    <t>FITLOG TRANSPORTES E LOGISTICA LTDA / (048) 996277956Informação Adicional: SAIDA PELO CD KEEPERS  / E-mail para nota fiscal: , E-mail de cobrança: , Telefone para contato</t>
  </si>
  <si>
    <t>Z39AUNruRaS5lrF7CRj31A</t>
  </si>
  <si>
    <t>17776-B</t>
  </si>
  <si>
    <t>8F00250110270055</t>
  </si>
  <si>
    <t>4RfmDmZjb6edKnzfsDen</t>
  </si>
  <si>
    <t>17778</t>
  </si>
  <si>
    <t>EMPREITEIRA AMORIM</t>
  </si>
  <si>
    <t>8F00250104100029</t>
  </si>
  <si>
    <t xml:space="preserve">&lt;HTML&gt;
&lt;HEAD&gt;
&lt;TITLE&gt;Moved Temporarily&lt;/TITLE&gt;
&lt;/HEAD&gt;
&lt;BODY BGCOLOR="#FFFFFF" TEXT="#000000"&gt;
&lt;!-- GSE Default Error --&gt;
&lt;H1&gt;Moved Temporarily&lt;/H1&gt;
The document has moved &lt;A HREF="https://script.googleusercontent.com/macros/echo?user_content_key=AehSKLi_mkp0F0ks6Y2kuF6W-5CMILCCn33JzyegXp0UqWrlKAIoETwYRPYDvUjsY0XZcbu8gBrniLzZTlTOLxmIO9EhKB14OQhr5kQhnFh7pxpk6bbSKZZGlijV2qd0ylP7tJGaj0NOC6BLvEfW22ehP6g3t3zr2pALsHi6MlD5CkJzbxrgQpTGIsPE5z91hHlkcv-ZBJSAqNiCw1cKdVZScxDqb1Rueal3-3fVVM-Z1sL5h2YNwKT6rl08vGllH0Hg7Dq_WSg1fXPlfJC43wgZ2yN-we0sI4fMbKSZ89f2LgVeipgDFH76GrgRH2ga7w&amp;amp;lib=M-zdWbhavtdZ1B_W2dnFDM0qoVt4lWzJ-"&gt;here&lt;/A&gt;.
&lt;/BODY&gt;
&lt;/HTML&gt;
</t>
  </si>
  <si>
    <t>a-0rcHtBNR52DKvpBwuVz.w</t>
  </si>
  <si>
    <t>17779</t>
  </si>
  <si>
    <t>8E00241118030025</t>
  </si>
  <si>
    <t>FITLOG TRANSPORTES E LOGISTICA LTDA / (048) 996277956Informação Adicional: Frete FOB com redespacho pela GRIFE - CNPJ: 25.406.384/0005-00 - GUARULHOS - R. IRAQUARA 24 - JARDIM IV CENTENARIO, GUARULHOS - SP - CEP 07161-550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</si>
  <si>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U_3XpQv_WS8Z9Hf0gDTR7ZMJXTWRGW-vjEEZqfhfWiri7obhuMzT67FmfKSBsecAghS1WKHYWXtBiKLPj8aeIOu46TnLZathmelh65O6xAlqL1sucJYlNwN8IDYfuJ8vPJI9ok9kbaAemR_88hzJyD3tN3tMQyOv8ZzPvyid4ACNpHt0-kZz3IEYfP7bJML1HF_ytzCLNf3Nn-1nuxr8YDL5Rv55i0Cy-vKxPcy3yAyyw-xdktjXZsXFx9UD3BIM7I_9t5HBSmqkNd5Oo2rqME8SPN3lIC6fqjTA97VyYl5SymtSwx1QB5MVRhw&amp;amp;lib=M-zdWbhavtdZ1B_W2dnFDM0qoVt4lWzJ-"&gt;here&lt;/A&gt;.
&lt;/BODY&gt;
&lt;/HTML&gt;
</t>
  </si>
  <si>
    <t>8GE5MCiZTXmfwZxUlXuieg</t>
  </si>
  <si>
    <t>17780</t>
  </si>
  <si>
    <t>LUXKOM SOLAR, BANHO E PISCINA</t>
  </si>
  <si>
    <t>8E00241118030008</t>
  </si>
  <si>
    <t>EXPRESSO SAO MIGUEL S/A / (051) 3586-2013Obs.Interna: SAIDA KEEPERS  / E-mail para nota fiscal: , E-mail de cobrança: , Telefone para contato</t>
  </si>
  <si>
    <t>5ocCeDQNRZy.g0Lw18uKmg</t>
  </si>
  <si>
    <t>17781</t>
  </si>
  <si>
    <t>FITLOG TRANSPORTES E LOGISTICA LTDA / (048) 996277956Informação Adicional: OC 3626 CLIENTE PIERRE RODRIGUEZ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</si>
  <si>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Qlg-enkGChkMK1zMROWIRPEhSHBpmBGzf4j5btYCOStxu66zNIosp6CTqMMtIyfVPq_GE1TWqIByIDGLauwNZMEeVzTBDzir-tslocheuDZGs6aSZz614kzhRNYo-k70US4V_JnLO211qerufwELFs3CLG5EOh3nQk8rCR4AC9b557Rwd4qjOJiOpQOui0Bpc3KfY34t6ZIgUEQsHIYkQNilhXaZwNAS_ZUNp57X5ck87rBvo2jixGt25fEYQ4gilzszNpJyNHSAxYJwThI-UB7ejyzdJ7zAAxbpTk4Jo0fhb9AhLQs5CU89Cnw&amp;amp;lib=M-zdWbhavtdZ1B_W2dnFDM0qoVt4lWzJ-"&gt;here&lt;/A&gt;.
&lt;/BODY&gt;
&lt;/HTML&gt;
</t>
  </si>
  <si>
    <t>uMha-SQaRH25t5DQWtDfKg</t>
  </si>
  <si>
    <t>17784</t>
  </si>
  <si>
    <t>Pedro Rodrigues Caldas Neto</t>
  </si>
  <si>
    <t>8F00250110270031</t>
  </si>
  <si>
    <t>FITLOG TRANSPORTES E LOGISTICA LTDA / (048) 996277956Informação Adicional: REDESPACHO EM SÃO PAULO PELA 3A TRANSPORTES / BOM JESUS / Obs.Interna: VENDA INDICADA PELA AGUAS E VAPORES - R$12.333,33 + DIFAL11% R$1.356,67 - TOTAL R$13.690,00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</si>
  <si>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pbRmnNvGKn4tEZP4vg_GlYMKNePFx_-lOV5i108g2TIX4iGWm74cERcd0BWn1MQdJzNzWonnaWrsXcjsRZuIcZ_lVGA5oBfFG0507PhC1DyNJcNFMRZ8HDsh_j3xw_6dgE-ybbR7N7fKup_UexNqbyPr0Rkthb5qCYBpp2PDNqdFJPlUPf0OqeicaHr7xEQTN4o1anqTtZRN2-OBGvASegIE2J4IozssoXHyhfk6nF3v2VPOoJha0_uVSsD5Wm1t4yRi7GV8Il1f1hNmgG71xMd3gZFmVfNaG0VrSj7uTiXNurqPWt9uED3061Q&amp;amp;lib=M-zdWbhavtdZ1B_W2dnFDM0qoVt4lWzJ-"&gt;here&lt;/A&gt;.
&lt;/BODY&gt;
&lt;/HTML&gt;
</t>
  </si>
  <si>
    <t>Qh6P5t0eSuKvcsnQSaR83Q</t>
  </si>
  <si>
    <t>17785</t>
  </si>
  <si>
    <t>S&amp;F PISCINAS LTDA</t>
  </si>
  <si>
    <t>8E00241118030024</t>
  </si>
  <si>
    <t>EXPRESSO SAO MIGUEL S/A / (051) 3586-2013Informação Adicional: Cartão de Crédito 3x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</si>
  <si>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J1XhFH8gHZiFbm2csiQXg5bLK9eMAmq8SiTJ8i4L_h7rTVXWsAc3CcF-GcjPPAnDcO-j0eUGzZS_waqoouBZusQ66opaSXV51qobLH5V9M6LPJAsQR_s4BUi8T3okeBtKvjWmaZ9-rvPEk1Ls4WfwnGhxHrwpz9CFAfAgD98rFHZzqTiofscoHhXSySteetvYfhF2pbmFXTM-mng-LFvLcc__chEYPK0zZrS7c3ul2L12pMzJnPrAYymlk8KMJAZ-6IRHAKL72lXsrQoPH7d3saNxN34nfaJiGXFTHFix0JPWDrv324Iv-Hce5w&amp;amp;lib=M-zdWbhavtdZ1B_W2dnFDM0qoVt4lWzJ-"&gt;here&lt;/A&gt;.
&lt;/BODY&gt;
&lt;/HTML&gt;
</t>
  </si>
  <si>
    <t>9FKGAcJDTnOh5reLboV.9w</t>
  </si>
  <si>
    <t>17786-A</t>
  </si>
  <si>
    <t>S.O.S PISCINAS E EQUIPAMENTOS LTDA</t>
  </si>
  <si>
    <t>FITLOG TRANSPORTES E LOGISTICA LTDA / (048) 996277956Informação Adicional: MAQUINAS CONDOMINIO VILA VELHA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</si>
  <si>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RP6FT4-WO8RNPUSLozbGgWzQDmC1qF2R358Wo2C14GSYz8JEtGvK62LkWOYNM-K7SE3lVYBPvBruA-9oWhDNv-W7ub5teUyUzqDIHvwiX2Cc9x-QoOmmK0bZELNkBBBrRj7m_wdXibTGWKFegRbG9MPosyq6RMV2gsx-dS_id4bhdHdz7mLZfieWUUzc-h116vT4rY8-VYZLnkmHFCEeGfGKCtt59bjwMnSd-V8KulqtW0Xd7CLrK1J3Uhubv2ymcLf6Wc3Bp1Y7d6poptLyD19AWzxORBoHr_I3cjXYZf5OqEQ_HItfgyZ-hw&amp;amp;lib=M-zdWbhavtdZ1B_W2dnFDM0qoVt4lWzJ-"&gt;here&lt;/A&gt;.
&lt;/BODY&gt;
&lt;/HTML&gt;
</t>
  </si>
  <si>
    <t>aY3NyxeFgVxGlUHQxYr1</t>
  </si>
  <si>
    <t>17786-B</t>
  </si>
  <si>
    <t xml:space="preserve">&lt;HTML&gt;
&lt;HEAD&gt;
&lt;TITLE&gt;Moved Temporarily&lt;/TITLE&gt;
&lt;/HEAD&gt;
&lt;BODY BGCOLOR="#FFFFFF" TEXT="#000000"&gt;
&lt;!-- GSE Default Error --&gt;
&lt;H1&gt;Moved Temporarily&lt;/H1&gt;
The document has moved &lt;A HREF="https://script.googleusercontent.com/macros/echo?user_content_key=AehSKLge6O2MNeZYiKyrgEoqTL-zF0_rxXRQ8T2IaOP7IMXxAMPaU3UeBO5vUtmnAmHUOTyd5zOP-G7gex12SVKAkYa-WDWH8f3lLNz_gv762_6PuNqn8f-OxbMF2neMD8yVvjNj6F7lz-BAkjTVfcpC5zagPz7Lh_FEdIoY9q1hrChsJH4R3P0SnBtlXhJErQXedLF5NjUCmhVddvpqEw5achNpS8D0YDRU1jqTk9tRyMutcH_f9Q6cnxkRtoIyQAWKC6i8oYmxDwceSUohX5PcSo0qMcB_7bBwBxsTYd1ux8d8pI9WzfO3xHJN2E--aA&amp;amp;lib=M-zdWbhavtdZ1B_W2dnFDM0qoVt4lWzJ-"&gt;here&lt;/A&gt;.
&lt;/BODY&gt;
&lt;/HTML&gt;
</t>
  </si>
  <si>
    <t>usa3fM9cT4e9p9kI9NzxHg</t>
  </si>
  <si>
    <t>17786-C</t>
  </si>
  <si>
    <t>20034</t>
  </si>
  <si>
    <t xml:space="preserve">&lt;HTML&gt;
&lt;HEAD&gt;
&lt;TITLE&gt;Moved Temporarily&lt;/TITLE&gt;
&lt;/HEAD&gt;
&lt;BODY BGCOLOR="#FFFFFF" TEXT="#000000"&gt;
&lt;!-- GSE Default Error --&gt;
&lt;H1&gt;Moved Temporarily&lt;/H1&gt;
The document has moved &lt;A HREF="https://script.googleusercontent.com/macros/echo?user_content_key=AehSKLjRL_BKBSEJcJml-rGpSVCpApvDSi7SCzcJgPeT15tzuMklEjiecx1bw7TJHX02ha9OU6xJgTROgRWcyU2sGRZjlc_gYInyBvJRSNfEhGvUGGqTUx3YbITnwGzzGLEraklyIcqqDDrRlG9tGHBsilea4LL_Z9wZgW5YNZOk-bViKs40Vq9zymVuP6sl9hfE01CBpN3x0s34Kh-tUckrjtCpcHVckZQsDzbzrv-u4scasrRG-HtFFdt4OHxcDud1ApCNeMC3Peq2mN67_ran3vOsKmzTVVHsIOLP2zeQCiT-6eI-d3ffA2LfJ1bJWg&amp;amp;lib=M-zdWbhavtdZ1B_W2dnFDM0qoVt4lWzJ-"&gt;here&lt;/A&gt;.
&lt;/BODY&gt;
&lt;/HTML&gt;
</t>
  </si>
  <si>
    <t>gA2aOqwRtuY9lyOxz2eg</t>
  </si>
  <si>
    <t>17787</t>
  </si>
  <si>
    <t>8F00250329060001</t>
  </si>
  <si>
    <t xml:space="preserve">&lt;HTML&gt;
&lt;HEAD&gt;
&lt;TITLE&gt;Moved Temporarily&lt;/TITLE&gt;
&lt;/HEAD&gt;
&lt;BODY BGCOLOR="#FFFFFF" TEXT="#000000"&gt;
&lt;!-- GSE Default Error --&gt;
&lt;H1&gt;Moved Temporarily&lt;/H1&gt;
The document has moved &lt;A HREF="https://script.googleusercontent.com/macros/echo?user_content_key=AehSKLg87EBpitXgbyaABN09ToFgCevBbMOv24O-X5ngT0mjnNJfWXuSI1PxUvT5YMYKjHMypZH3rBHq4Le7TfAPYq_rXkHCzlroNpLXfxVxWLker0frERi8J2OqxW6EdSBij2PJX3Bg8hqePyBoLQEmoFgSp9kZ9pGGziRlF9LIemduxqQdOEcaJXxlgtr4jm1GTrWFS41l90xUUxzLb_R36KzSVB58VtzcAygPLJ12GmNVEKgB-fpVgpX76Lpuivx3fNqUVVbPC76L9gVLKFeIvsGNZP5m1WcUuAEE4bBR6T2GvHg_VUY-OFVr5MC1cA&amp;amp;lib=M-zdWbhavtdZ1B_W2dnFDM0qoVt4lWzJ-"&gt;here&lt;/A&gt;.
&lt;/BODY&gt;
&lt;/HTML&gt;
</t>
  </si>
  <si>
    <t>cl..NluUSjSyZ4Y1LavJzg</t>
  </si>
  <si>
    <t>17788-A</t>
  </si>
  <si>
    <t>20092</t>
  </si>
  <si>
    <t>FITLOG TRANSPORTES E LOGISTICA LTDA / (048) 996277956Informação Adicional: OC 3631 CHRISTIAN LORENTZEN . ENTREGA RUA DR AGOSTINHO GOULAO 22 CORREAS, PETROPOLIS CEP 25730050 / Obs.Interna: pgto 30 60 90 120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</si>
  <si>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z96h7ukxYmI7JiRxarfEDqGWKpNEAi-R1K-a9DQ9V1mpsaip3c8e3mbwIwGvPtn6gpGCBAX2RBTEHMiaUOdMssuqcrESjSYaUTMW2yaFXAV0zCvOizAkdYMLRfa9dvJuDG-5_A4300spP1r3v2efinh2aKO1t8c1cLZ2GL81E1kTSFZSMQBY8McPEAOBf49ayEXkzCkfrlNJqEZdFo2Ig7TP4qp7cAK-OkqsvtWeds3VzzP0lXCCxmClUqp9dWk01BFvp9Fqmry718rpWWbvMG-hDuH26CoMupNxB5kmoMYyVlFA-9upVa4LYVQ&amp;amp;lib=M-zdWbhavtdZ1B_W2dnFDM0qoVt4lWzJ-"&gt;here&lt;/A&gt;.
&lt;/BODY&gt;
&lt;/HTML&gt;
</t>
  </si>
  <si>
    <t>3XI1FcHxQDWMWyJzY-SEbQ</t>
  </si>
  <si>
    <t>17788-B</t>
  </si>
  <si>
    <t>20093</t>
  </si>
  <si>
    <t xml:space="preserve">&lt;HTML&gt;
&lt;HEAD&gt;
&lt;TITLE&gt;Moved Temporarily&lt;/TITLE&gt;
&lt;/HEAD&gt;
&lt;BODY BGCOLOR="#FFFFFF" TEXT="#000000"&gt;
&lt;!-- GSE Default Error --&gt;
&lt;H1&gt;Moved Temporarily&lt;/H1&gt;
The document has moved &lt;A HREF="https://script.googleusercontent.com/macros/echo?user_content_key=AehSKLiWnEG93y4XO8XVdBRCTDZD7KjQg27R-D_lEdL6V1BNWj0YIWrVVAgQWQEdJsjRHloYoNm7XNw-P_-AYOnHX61w5J80ngc24aJgnZDD7bfX-s9Q7CHT_ELuh7yyHu5kUmZU127cF6a725SCHL32wTCW9245S2fFekMnVK3G7Z4Bbqh0DJDqytDdIUYP2LEhGJWtvqjJhJr4Q_8bm1dBnXENVxEtkvuZB5xS7yzIo-Aj1unub-mvVkULInUXmjZgjiauSaQnBzi7Xi6sobp3I0yAKuA10KfzZw8DTe0WaG8Yj5qsgSvOF2j8KS4wkA&amp;amp;lib=M-zdWbhavtdZ1B_W2dnFDM0qoVt4lWzJ-"&gt;here&lt;/A&gt;.
&lt;/BODY&gt;
&lt;/HTML&gt;
</t>
  </si>
  <si>
    <t>3RK21v7kChNbRf5aeX2z</t>
  </si>
  <si>
    <t>17789</t>
  </si>
  <si>
    <t>8F00250329060006</t>
  </si>
  <si>
    <t>FITLOG TRANSPORTES E LOGISTICA LTDA / (048) 996277956Informação Adicional: Cliente Balneário da Lagoa Empreendimentos Imobiliários LTDA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</si>
  <si>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5q45R6sOxXN9DFkcukYQCAoistyVvHDMKDEkZCLw7ui4Ua9fdABiqDR3OqO_EkIXSyRPVyIQPi-3WhnbGv__PiBNwHsp3LURf4LCjFf0Hz3YPrgiiOwRB8iVhVJY54LSpJyl8NbTGTM5sYljngMUzZoCDuSTWRw-GgOvrRVzKr6lLlTvuo_CaABvQhbB3YAfAZhhFpy-QBej4WTgqLi6Nz0pwHgqrDuWsX9FfEK7L20CiHDgh2xOfsnpC5hYoxF9tVnqheBTELvA3A4hBbddEKcOfgDIiynSdPYhEIEIUjRP0AA0Mkb9TSIYb6g&amp;amp;lib=M-zdWbhavtdZ1B_W2dnFDM0qoVt4lWzJ-"&gt;here&lt;/A&gt;.
&lt;/BODY&gt;
&lt;/HTML&gt;
</t>
  </si>
  <si>
    <t>HIRvrPIKSRC.iMHkLov2eQ</t>
  </si>
  <si>
    <t>17790</t>
  </si>
  <si>
    <t>8E00241118030048</t>
  </si>
  <si>
    <t>FITLOG TRANSPORTES E LOGISTICA LTDA / (048) 996277956Informação Adicional: Cliente: Milton Ienco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</si>
  <si>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2Xd10_0QoOUQkQVEfvSCzdYiryglfToBQvqDc_KP01-3q0xjo3xM2E_jE-rst1ZRSVLN-6m0PKAzos652M4xMZFfRAJXOhlXnX222Tg7kvyfhRKxd_4a7fcl8n2wWkG-S2Z4FlVRLcJ6j6F7NB-rKsNS_wCFw85BzBXz5DWKb89hbq13uY5y-Vycz86g1Q4pcw1hnN3KHEFKkQITBPMBtkgBp5xunCJR1p2quCCieHrnjYntCLB0HG7n1v6IC-65fvGiWZQc5uc_edM4rJAw4rWuN8EyivG4k6k0c4AspQ4xK9wi8EuIeqOSeLA&amp;amp;lib=M-zdWbhavtdZ1B_W2dnFDM0qoVt4lWzJ-"&gt;here&lt;/A&gt;.
&lt;/BODY&gt;
&lt;/HTML&gt;
</t>
  </si>
  <si>
    <t>ecST5-hNT-exKln6mtXOfA</t>
  </si>
  <si>
    <t>17791</t>
  </si>
  <si>
    <t>8F00241118040040</t>
  </si>
  <si>
    <t>FITLOG TRANSPORTES E LOGISTICA LTDA / (048) 996277956Informação Adicional: Cliente: Ilumina Lux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</si>
  <si>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kS77PiPug0c_4bh9Gi6GMH_BM1oba4w9YS6bMjetRNpHILG3BpQW4iJZJoZDPBDbhegPulhud2igqfwXnXJGtX_Qj6POfN7h3yRMTn_T-Rs8t2jdAaMZp-NSj_Y8NhwpNpgKiIQiQ9kt-KodmqtiBJGwmftdwCKxSqVpCac7OI_fkkwQE19nt4aAFb3T5ktSLLt6sm2Odu3gbuTmVqhQePjcdC1xwjwjAE1mQYSOzNomFz9fr4uqn6WnbESK5V0THi4C-fcUl09BIA1YTUE_r8WVLQbPNa7iidw9GhgotuQxEqSkIowQ3u1wkdA&amp;amp;lib=M-zdWbhavtdZ1B_W2dnFDM0qoVt4lWzJ-"&gt;here&lt;/A&gt;.
&lt;/BODY&gt;
&lt;/HTML&gt;
</t>
  </si>
  <si>
    <t>kkJVsDfJToGWJGgPQIIBJg</t>
  </si>
  <si>
    <t>17793</t>
  </si>
  <si>
    <t>8F00250110270018</t>
  </si>
  <si>
    <t xml:space="preserve">&lt;HTML&gt;
&lt;HEAD&gt;
&lt;TITLE&gt;Moved Temporarily&lt;/TITLE&gt;
&lt;/HEAD&gt;
&lt;BODY BGCOLOR="#FFFFFF" TEXT="#000000"&gt;
&lt;!-- GSE Default Error --&gt;
&lt;H1&gt;Moved Temporarily&lt;/H1&gt;
The document has moved &lt;A HREF="https://script.googleusercontent.com/macros/echo?user_content_key=AehSKLj6DjgHPrVdVrmO8zfx-V03pCt2Mv_5QOw2afYGKKDnFPtY6wfRoPwiE5vGHUqBv9XBd0IOM91I-0nFYOYTfwJ80h5ukrn-iglZ4K9IcDXKXCXJhWMxEytT9cvCi0KNbSEf65yHmXIjRVcsSJuaY621eq8uIZEWrEvgPHLazC9US9RHNC58qmzT6-X1boALJfOdDMDlmw2-dtWtMaCn7hbYEv1qXFP7uIRR90bwDJF-1U2BzEgDSvXcDhor162B9SuaVc7yolExmC9CZ1SWy45VMuC9v226Evtsz3mukLVgdrw0HhCuIopkT1UBmw&amp;amp;lib=M-zdWbhavtdZ1B_W2dnFDM0qoVt4lWzJ-"&gt;here&lt;/A&gt;.
&lt;/BODY&gt;
&lt;/HTML&gt;
</t>
  </si>
  <si>
    <t>QLDGREc.QuO4B-3.CBYeNA</t>
  </si>
  <si>
    <t>17795-A</t>
  </si>
  <si>
    <t>8E00241118030052</t>
  </si>
  <si>
    <t>EXPRESSO SAO MIGUEL S/A / (049) 3361-6627Informação Adicional: ALTERAR O PRAZO DE PAGAMENTO PARA 30/60/90/120 DIAS
ALTERAÇÃO DE PRAZO AUTORIZADO POR MÁRIO / Obs.Interna: ALTERAR O PRAZO DE PAGAMENTO PARA 30/60/90/120 DIAS
ALTERAÇÃO DE PRAZO AUTORIZADA POR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</si>
  <si>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QOi8abFUIucTl6sO7RWTcuy3a1sN5EcDwldzFeOj4rf85HXk7MfDB8uPPDlz5rJ4Qdv-mUW8wiomTjCv7YnkQn8VgKWv7AVSmt-E0oTw4OzuoON7Lqa_m3iO4VnjKsBjWJ6NhBmrWYVp7SvHEeUpzULZETCuoKR1ai84bFI8pGmbyy1_lwmVmfC0aEX6sdb15F4S68okl8HWghY5zhhJvi_jNMXgDbuJ8iDYdNzt__yZylnrk8BFv1LbpDLEKOCaQnBI8nhkkm58j-DADmAvqtCPORnJRBu1D7D7KuiZ6t8xAoWZohxtgSooIBw&amp;amp;lib=M-zdWbhavtdZ1B_W2dnFDM0qoVt4lWzJ-"&gt;here&lt;/A&gt;.
&lt;/BODY&gt;
&lt;/HTML&gt;
</t>
  </si>
  <si>
    <t>oPijTe8DQKaNsXqmO-CC7g</t>
  </si>
  <si>
    <t>17795-B</t>
  </si>
  <si>
    <t>8F00250110270019</t>
  </si>
  <si>
    <t xml:space="preserve">&lt;HTML&gt;
&lt;HEAD&gt;
&lt;TITLE&gt;Moved Temporarily&lt;/TITLE&gt;
&lt;/HEAD&gt;
&lt;BODY BGCOLOR="#FFFFFF" TEXT="#000000"&gt;
&lt;!-- GSE Default Error --&gt;
&lt;H1&gt;Moved Temporarily&lt;/H1&gt;
The document has moved &lt;A HREF="https://script.googleusercontent.com/macros/echo?user_content_key=AehSKLg3I5MAoCzld66Qhmw0Jt9Zm-JM3bbhvt8_2vVeI_bAURlq4HRmyJTZT9aS7N7ZB-krVy2YUyIdJBbgBFBEwszWfZkPl07z41FBSjCfKbzW-IEiRWO3pKDEEiEXZcHPG62jT9RpTf0Lddcl8W4bsCpdFdiD2jRF7BfB-7uRQBt9VcuchvnVe40ZWAUJeTwHEo3TcawIcWpRCOVdtLWoB-qEMGWA8XaisFIzFzWCO7CieOTvMrHrZWttQdPe3hf_mNABK-CpNumI0eIDcPzO5urthUH_YzsUmJCokkkWGtkxkH6thZH48ZRhEyQ3Tg&amp;amp;lib=M-zdWbhavtdZ1B_W2dnFDM0qoVt4lWzJ-"&gt;here&lt;/A&gt;.
&lt;/BODY&gt;
&lt;/HTML&gt;
</t>
  </si>
  <si>
    <t>VJ1kkwbca9Nr36B8qcC1</t>
  </si>
  <si>
    <t>17795-C</t>
  </si>
  <si>
    <t>8F00241118040036</t>
  </si>
  <si>
    <t xml:space="preserve">&lt;HTML&gt;
&lt;HEAD&gt;
&lt;TITLE&gt;Moved Temporarily&lt;/TITLE&gt;
&lt;/HEAD&gt;
&lt;BODY BGCOLOR="#FFFFFF" TEXT="#000000"&gt;
&lt;!-- GSE Default Error --&gt;
&lt;H1&gt;Moved Temporarily&lt;/H1&gt;
The document has moved &lt;A HREF="https://script.googleusercontent.com/macros/echo?user_content_key=AehSKLiy3nBQO36SR3ITEUgLaH9Xd4IjHijx-j5mBHcrHq_QrdGc8bXzKnZizW4lWA1DwzVZ3XrwIRut4GHcU3_dmbxC7N-QX7GGsx4VhFVqCWvYX7CZCx7FlP6XcjrfpnVdskqdhPIx1Po-SApaxId603BIEN_QqNKRAFXB_YYPYCI7Q-8gWgCCvL81JDHWLzZ-v4A3y8i1T_dKYAa4Y7cEk2qATVwrHrb57JhOX8_qGYzviX1VRDBo4TMyRoMs9OJCnFXY_1qIQqZL97PG_XnDDo4lCv9120fZMB5mWec_bsqnWVRYy-eyl2aGZSzDiw&amp;amp;lib=M-zdWbhavtdZ1B_W2dnFDM0qoVt4lWzJ-"&gt;here&lt;/A&gt;.
&lt;/BODY&gt;
&lt;/HTML&gt;
</t>
  </si>
  <si>
    <t>zLwAhimYWeGhsTeCFfT3</t>
  </si>
  <si>
    <t>17796-A</t>
  </si>
  <si>
    <t>CAXANGA BOMBAS E PISCINAS LTDA</t>
  </si>
  <si>
    <t>8F00250208120010</t>
  </si>
  <si>
    <t xml:space="preserve">RF-BRA TRANSPORTES </t>
  </si>
  <si>
    <t>FITLOG TRANSPORTES E LOGISTICA LTDA / (048) 996277956Informação Adicional: DESCONTO: 40/10/10 - R$1.000,00 DESCONTO EM CADA FTI45. / Obs.Interna: REDESPACHO RF BRA TRANSPORTES - CNPJ: 49.515.412/0001-53 - CONCEDER DESCONTO DE R$2.000,00 REFERENTE A 2 FTI45 COMBO AUTORIZADO MARIO DICK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</si>
  <si>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poS58ouzEjZAuqsd7YIjLfmD6BN_IKkvTVKZ1QvgRd3rEUmjyg2Y3kdmoKzjb9RF9t8nsPeRgRw_r2pf7bcOI6yFkkPs2i1b-gNNXS66a00YKPav3NVcqBud24Vyv7RekVpDNQK8c_R2S7fbevhTvAHPqYNO98ywjPce2Bijqvx7ptIAyHM27h7RtwvNevlETYE69OWrUbnmLnGBRbRZk0FKqaP6IIOPulBUBShNqJoOXCh639OZMiAZFkWRJj8-EHDNLesQHye2Rd9Or1ydtj2c268ZjUj4CMOE5bwrnslNwwdTDqSZ2VfzEhA&amp;amp;lib=M-zdWbhavtdZ1B_W2dnFDM0qoVt4lWzJ-"&gt;here&lt;/A&gt;.
&lt;/BODY&gt;
&lt;/HTML&gt;
</t>
  </si>
  <si>
    <t>Ti9xw7NMKwqQvdRzVt0w</t>
  </si>
  <si>
    <t>17796-B</t>
  </si>
  <si>
    <t>8F00250208120011</t>
  </si>
  <si>
    <t xml:space="preserve">&lt;HTML&gt;
&lt;HEAD&gt;
&lt;TITLE&gt;Moved Temporarily&lt;/TITLE&gt;
&lt;/HEAD&gt;
&lt;BODY BGCOLOR="#FFFFFF" TEXT="#000000"&gt;
&lt;!-- GSE Default Error --&gt;
&lt;H1&gt;Moved Temporarily&lt;/H1&gt;
The document has moved &lt;A HREF="https://script.googleusercontent.com/macros/echo?user_content_key=AehSKLjSLRnIsJwj96uU8yigLkZRf_MwEMSLETv4bl1vdVC8zAim5MNkMzo3rYNNPdHqLpvSNh9tpM3t7CjOOP81M_7QpghS5v_GlsFqEMpS7550p3iDTr-uiftz347J9LJjcXH_nZHfMrKplSjSlLPyPv-9wTCj4y1kF-LEIRF3y7eNcgcTfHzJkS3BgxBZ0vrW6TRIDjINwIyWFJn23a_kizbyngpDSXKF0ys8ay_D3Z8XOFiRY62CgIK-8JR21Oj3RaRFzczRaof0LHmtCp6_89ORjw4lU3NHkjs5nzxxYP0__9sxhSOIaJ9eRGsoCQ&amp;amp;lib=M-zdWbhavtdZ1B_W2dnFDM0qoVt4lWzJ-"&gt;here&lt;/A&gt;.
&lt;/BODY&gt;
&lt;/HTML&gt;
</t>
  </si>
  <si>
    <t>qU0707lUysiuFWj0MeIm</t>
  </si>
  <si>
    <t>17796-C</t>
  </si>
  <si>
    <t>8F00250110270027</t>
  </si>
  <si>
    <t xml:space="preserve">&lt;HTML&gt;
&lt;HEAD&gt;
&lt;TITLE&gt;Moved Temporarily&lt;/TITLE&gt;
&lt;/HEAD&gt;
&lt;BODY BGCOLOR="#FFFFFF" TEXT="#000000"&gt;
&lt;!-- GSE Default Error --&gt;
&lt;H1&gt;Moved Temporarily&lt;/H1&gt;
The document has moved &lt;A HREF="https://script.googleusercontent.com/macros/echo?user_content_key=AehSKLgYZmpoipPSkyWn5OqXnq7CQBXqeC7BJDylAFU-4TFe82XzlCkTsItsyTf0N2Vg6ctHa826k4aplKF_1sZpJJjv0KYt-yuRHkEeIXCDkp6izNbfLTF0lV94GT8ZHKTXfbPP3U2_w_SljugZSZzOGJ5vjxyrmA46xCt5_OlTMjBPbNWIRwb_MCMy_wHquEj96ZG7SrurewlwMCSdpxNk4oSdKBJ4j6CoOm4XXzq9OBiwMzZxGa-zlYcIOqGkcWv8P9SbsVvzTDlW6Gkf9vjiKb9b8ut484DtlKyofrtCPCVm73dMPg6jfQtX3B2VXQ&amp;amp;lib=M-zdWbhavtdZ1B_W2dnFDM0qoVt4lWzJ-"&gt;here&lt;/A&gt;.
&lt;/BODY&gt;
&lt;/HTML&gt;
</t>
  </si>
  <si>
    <t>xd9pJdjMlggdELKGNNCO</t>
  </si>
  <si>
    <t>17796-D</t>
  </si>
  <si>
    <t>8F00250110270026</t>
  </si>
  <si>
    <t xml:space="preserve">&lt;HTML&gt;
&lt;HEAD&gt;
&lt;TITLE&gt;Moved Temporarily&lt;/TITLE&gt;
&lt;/HEAD&gt;
&lt;BODY BGCOLOR="#FFFFFF" TEXT="#000000"&gt;
&lt;!-- GSE Default Error --&gt;
&lt;H1&gt;Moved Temporarily&lt;/H1&gt;
The document has moved &lt;A HREF="https://script.googleusercontent.com/macros/echo?user_content_key=AehSKLi_Y7fk5BpzVDqZok7t31oYj8P4vfOVkHiPFhijJ55QpQpc7Eu4Oh0U9OXeh-FcjcumXE86jgFSsnLdTaeALvMBk3P-J_3X-fxmzbsnmbQgyZI5_ZB1oR2t6gDgR66n5aUZTIVW7CtqMCj9nBf_QDsTvrK1A96F6xSrWsEDl79IqM7DKA0uMGSz0xZLXBUAfMYxj6cl9mY3AbpPU3vN0VlmCYAThB7U0iiMkhlPEhp6iKZfkkm36xw1NmZwUBgJnp4JQ4zdsLGhxbEkmlpDhN0x49ldlQfCVCa4CbSEyCEAZKvTPiLc6XWuqEII6w&amp;amp;lib=M-zdWbhavtdZ1B_W2dnFDM0qoVt4lWzJ-"&gt;here&lt;/A&gt;.
&lt;/BODY&gt;
&lt;/HTML&gt;
</t>
  </si>
  <si>
    <t>YjvmBLFIbfbbkdgY9N0H</t>
  </si>
  <si>
    <t>17797</t>
  </si>
  <si>
    <t>8F00250104100022</t>
  </si>
  <si>
    <t>RG OSASCO TRANSPORTES RODOVIARIOS LTDA</t>
  </si>
  <si>
    <t>FITLOG TRANSPORTES E LOGISTICA LTDA / (048) 996277956Informação Adicional: REDESPACHO FOB CNPJ 02.592.421/0001-84 - RG OSASCO TRANSPORTES RODOVIARIOS LTDA - Avenida Leonil Cre Bortolosso, 945, Galpão 14, Quitauna, Osasco SP, CEP: 06186-260 - I.E. 492.350.967.113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</si>
  <si>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ZE_APHYOZQdFtRrP_fXqRuTUhUlvzBdLdmIlOPfbMHrfmyrJDi6mIoAGX6ymkKEkkZ1q_jbPvLYa82bzHgrlC6hdU2N2lmgSVenMPGAbZSj0HBSwdsGbnMc53IRRebmQICB6JeaFG-3MM7P8nF7AcC_kZMf8vD-iFBwR_EXmpK3gd0VDPtkRr_wmyKH80oYil6vVUP32i0JJ415krY0TEKBeUTbPcZludKJqzbbULG4RW_cNdB4ADK7pDlUl07k4ZnQjb2lzf_Lt1fl8vulU3NB0aMF9Tjnv337xoh0IiWNe33nkY9FK9qy4NWA&amp;amp;lib=M-zdWbhavtdZ1B_W2dnFDM0qoVt4lWzJ-"&gt;here&lt;/A&gt;.
&lt;/BODY&gt;
&lt;/HTML&gt;
</t>
  </si>
  <si>
    <t>UWRMRlSIRJq-PbetMKv2ow</t>
  </si>
  <si>
    <t>17798</t>
  </si>
  <si>
    <t>8F00250104100031</t>
  </si>
  <si>
    <t>JNR Logística</t>
  </si>
  <si>
    <t>FITLOG TRANSPORTES E LOGISTICA LTDA / (048) 996277956Informação Adicional: Transportadora JNR Logística
Travessa Manoel Preto, 92 - Vila Guilherme - São Paulo - SP - (11) 29052500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</si>
  <si>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iL_9evvbPG1BbTfF7aDoT8FrM5i8q2fas_N0xDdq2-rBFWCFqSAGxJCiMifgnc22pAV4GwuuBp15ascvrUJHzFU_2TtKCWLTlouDA-kJ6NlhzwWj2n4v3001264YAe3R1r5SJNGsMdGstCEAXdm_Ww1Z6VD77htVYxhECkWwnjRuoOIhY3m1NxouMHFfgUgCXRANTQHJW9dcbTCzRZIaVRVbLRQyjVU319hyxm2ejxyzbxtLh72QE64o5TxyQ-cUtpr_PHvz2LSi8AiqqFfL2R-Aoa8mRh25958hm85V_dWXBz9OptTM29D2LyOQ&amp;amp;lib=M-zdWbhavtdZ1B_W2dnFDM0qoVt4lWzJ-"&gt;here&lt;/A&gt;.
&lt;/BODY&gt;
&lt;/HTML&gt;
</t>
  </si>
  <si>
    <t>l5EZzJNtTv-KJ5xk0l1Oew</t>
  </si>
  <si>
    <t>17799</t>
  </si>
  <si>
    <t>8F00250110310004</t>
  </si>
  <si>
    <t xml:space="preserve">RADLOG </t>
  </si>
  <si>
    <t>FITLOG TRANSPORTES E LOGISTICA LTDA / (048) 996277956Informação Adicional: REDESPACHO FOB  CNPJ 24.882.886/0002-93 - RADLOG TRANSPORTES LTDA Rua UMBUZEIRO, 123 - Cep 07.224-010 - BAIRRO CIDADE INDUSTRIAL SATELITE DE SAO PAULO - GUARULHOS - SP I.E. 796.514.930.111 / Obs.Interna: Saída  do CD em Santana do Parnaíba - SP- KEEPERS  / E-mail para nota fiscal: , E-mail de cobrança: , Telefone para contato
&lt;br&gt;</t>
  </si>
  <si>
    <t>JP2zaPv9TcqhtBZzRMj5lg</t>
  </si>
  <si>
    <t>17800-A</t>
  </si>
  <si>
    <t>EXPRESSO SAO MIGUEL S/A / (051) 3586-2013Informação Adicional: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</si>
  <si>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zTsyksNBdU5mONOwEtlPB8oyOCMJko5T7cYVwxdJUfVEvGi5bei4PpjhCNxoQUVOcV7-yQg7MU0Bl7vQAHqdXTNWVvdVT1SLJXsrp9dp2xa5N9mvpSB0TDt3tyBmOTimSXuTspbOnZ1VbiRl13DGOM-R6UYnz0IhIxrAu66jfeF1IS4ueQHI8lStE8CJsjpeljJWW2Hl6FPmTdOAn_WKA0Eg3CT59MJmQtdj9ZZt5zhxUAra7xJS45q6TVF0yHrgZYpXZwY66lJRI00DlVCR20Zy2OzwD566Tw-V4QmYht1lJJ2L7zidfHmEZ_Q&amp;amp;lib=M-zdWbhavtdZ1B_W2dnFDM0qoVt4lWzJ-"&gt;here&lt;/A&gt;.
&lt;/BODY&gt;
&lt;/HTML&gt;
</t>
  </si>
  <si>
    <t>1sqjsQfNTIKDNLze72q8SA</t>
  </si>
  <si>
    <t>17800-B</t>
  </si>
  <si>
    <t xml:space="preserve">&lt;HTML&gt;
&lt;HEAD&gt;
&lt;TITLE&gt;Moved Temporarily&lt;/TITLE&gt;
&lt;/HEAD&gt;
&lt;BODY BGCOLOR="#FFFFFF" TEXT="#000000"&gt;
&lt;!-- GSE Default Error --&gt;
&lt;H1&gt;Moved Temporarily&lt;/H1&gt;
The document has moved &lt;A HREF="https://script.googleusercontent.com/macros/echo?user_content_key=AehSKLgTOlccZS_LNjKRir6lRM3Q4OzkxPPIIPxfp9ZauKoGcNucMxEVFSbr5_6YWOIYRkTQRIydsAMhemfiJFUInEWtWkbEXZxRscA5G1K8soeS1IzOm7ojjjJGXdTPk9nfHtBxhgrUSuoTRYqfY5xBtyqfz4OnRDSOgzLA46m429OZGkcD-I25AW9WIrLiSkubDO5was8CvewN7xpaoCwGYGZfUuwZ8VPSBKoV8F0buKFOu0TRPveXSWelB2rZExTkxYHmG9gM9nAS9cukTUfSxF81aP7GVmhelm4g0-dg_0aUkPTJK0RIUFEkrYFwGw&amp;amp;lib=M-zdWbhavtdZ1B_W2dnFDM0qoVt4lWzJ-"&gt;here&lt;/A&gt;.
&lt;/BODY&gt;
&lt;/HTML&gt;
</t>
  </si>
  <si>
    <t>7k4XVIdPOEzLog1kMAK4</t>
  </si>
  <si>
    <t>17800-C</t>
  </si>
  <si>
    <t xml:space="preserve">&lt;HTML&gt;
&lt;HEAD&gt;
&lt;TITLE&gt;Moved Temporarily&lt;/TITLE&gt;
&lt;/HEAD&gt;
&lt;BODY BGCOLOR="#FFFFFF" TEXT="#000000"&gt;
&lt;!-- GSE Default Error --&gt;
&lt;H1&gt;Moved Temporarily&lt;/H1&gt;
The document has moved &lt;A HREF="https://script.googleusercontent.com/macros/echo?user_content_key=AehSKLgYm6pwKOwehDLOKgX1X4MMnDU3CqUOZG9wrieDmpdgCwtdMkBE07KMX-KS6ZloFCf7hYDbNXWHP4QVyUIx4RYlZwFZw6iHbtfm2P4hER04k6PrS15_9C7GkJnkNB6NgPAJbeVrs4Y7kxKuoDv6Z3jQCu2AAwIMZkW_X245rSmFnkoPUB311q4C1PjDzsANJPpmoznj0Yzz00Q9XXX2dUaoNNlBdoOre9blwlIadnIi5mIXccbQnM3JYJco3uYG1_TMjmBsw63BHJDq8GswsJPNIIrcDVFU0L8L9duV9Eo3F-x3owgB3SL3QnAN3w&amp;amp;lib=M-zdWbhavtdZ1B_W2dnFDM0qoVt4lWzJ-"&gt;here&lt;/A&gt;.
&lt;/BODY&gt;
&lt;/HTML&gt;
</t>
  </si>
  <si>
    <t>boiIxjdObfRCRWGUUGQ5</t>
  </si>
  <si>
    <t>17800-D</t>
  </si>
  <si>
    <t xml:space="preserve">&lt;HTML&gt;
&lt;HEAD&gt;
&lt;TITLE&gt;Moved Temporarily&lt;/TITLE&gt;
&lt;/HEAD&gt;
&lt;BODY BGCOLOR="#FFFFFF" TEXT="#000000"&gt;
&lt;!-- GSE Default Error --&gt;
&lt;H1&gt;Moved Temporarily&lt;/H1&gt;
The document has moved &lt;A HREF="https://script.googleusercontent.com/macros/echo?user_content_key=AehSKLhOsOlsLosVGaSJMk0MWSh0lFQnc8mIOWVTNcHKRGGjuqBgQMthcp3fVJHzuDG5QC4z40Qq4Mcp_vSfKs748y6IVRBtBcXA-Ga2K4Gp4BKPj_SdPZSJigDNIHII7Z7_3LCWJSxaYKm1m8EUAAcqjJgqWjQOnd8Cp8Sys59nBVu7Gs3xiU70NhaFL8GN8Tosyl0GT_SyBdCi6_We70J5LRhz0OikA6hx0-qa65Ime7Nio7Lk5qJStJNS7_EaI3pJW_GDqgA9RZ8SqypKT_Ya-Y7vimSFII2wGStU9xLBBraxP0moYCPnus80MdqHmQ&amp;amp;lib=M-zdWbhavtdZ1B_W2dnFDM0qoVt4lWzJ-"&gt;here&lt;/A&gt;.
&lt;/BODY&gt;
&lt;/HTML&gt;
</t>
  </si>
  <si>
    <t>63T0i4Y2Z39ex7amx6rL</t>
  </si>
  <si>
    <t>17801</t>
  </si>
  <si>
    <t>8F00250329060003</t>
  </si>
  <si>
    <t>EXPRESSO SAO MIGUEL S/A / (049) 3361-6627Informação Adicional: + 10% de desconto, valor final de R$14400,00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</si>
  <si>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B7bNj5yISHvMrVWnyB9xc1x7yfUuA-nqpeCmBNFNkh5qGlXqXm7m9ui0LRM5im3wJmryaP38ElxiaS6JwTI-aNX0c8ZgpbqIZSdyT3Lpnzz7FmxfheX15xhMY4LDx_4SvX86DmASjE_LKXuTtG3DJFnZi5HGIN4ojoSwEkwAb7qOoA2EAeVZcDw6t9e_K9MuxJEiVnQstrz6TNbfDX31_Il4RQFf7WqAMWWJtvRMy2HrVGUfg-LxvdW_WpDIecINLAJ4qspWDpYMTVZUIg4k0MIykOu3PdrTQ-mT8ScJmvdlaM8q8W2lCzOZkyg&amp;amp;lib=M-zdWbhavtdZ1B_W2dnFDM0qoVt4lWzJ-"&gt;here&lt;/A&gt;.
&lt;/BODY&gt;
&lt;/HTML&gt;
</t>
  </si>
  <si>
    <t>WAPLR9kjS9uE0KYXjER0Bw</t>
  </si>
  <si>
    <t>17802-A</t>
  </si>
  <si>
    <t>8F00241225080012</t>
  </si>
  <si>
    <t>RODONAVES TRANSPORTES E ENCOMENDAS LTDA / (016) 3965-3955Informação Adicional: +3%de desconto / venda triangular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</si>
  <si>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b6B9coROZV_SnSM6CkrjaPaS3RnlFfyGAjtpjrCnQZnHOqK1Yk-uwArLoLKNhmbav7-0_Z1EgJ4DCxuI27Bar6ieaTa9zjiwRK7dV8lP1Hk5hLSvn0QG1wnQlsJIP-iwgLXdovQgG3UlIMozA3J0wPVYuvI15UdhMHfwIkrRQc5msrW-Ojx90hjOY9ZddzoYcMeihoquvRGbVI76hdSSmLvxDBYsrOByTUunRBol9k6on7DRSqL05yfy_bCfKeaUdTK704ReXgrUPazxkcN5e013C1IfWigzHMVTn7yE0H-VI7RNZ-euWLAwnAQ&amp;amp;lib=M-zdWbhavtdZ1B_W2dnFDM0qoVt4lWzJ-"&gt;here&lt;/A&gt;.
&lt;/BODY&gt;
&lt;/HTML&gt;
</t>
  </si>
  <si>
    <t>U9QEE5j5SHCYDNh-lqvUNQ</t>
  </si>
  <si>
    <t>17802-B</t>
  </si>
  <si>
    <t>8F00241225080018</t>
  </si>
  <si>
    <t xml:space="preserve">&lt;HTML&gt;
&lt;HEAD&gt;
&lt;TITLE&gt;Moved Temporarily&lt;/TITLE&gt;
&lt;/HEAD&gt;
&lt;BODY BGCOLOR="#FFFFFF" TEXT="#000000"&gt;
&lt;!-- GSE Default Error --&gt;
&lt;H1&gt;Moved Temporarily&lt;/H1&gt;
The document has moved &lt;A HREF="https://script.googleusercontent.com/macros/echo?user_content_key=AehSKLh7PxLbrOMAl0oeot5mpGZhBxzHJ3HdzNdrFa5ehAHlvBd4jF7WmMf7BDIWCA0JaU3lNwk8AnJG-mj8cGGyWJqPHh3j8jsE_hJhk0NtNH5gK7d31uuIEsm_pqkaiY3t2UGJwEw5Ouucp21nU3ud23TD5d98zSg3_NWYu7r4CT0quEchAdrnqPQbo3PQ-VlfYR8oX88VfN0uEwYLs7QVvgysno7k_DjHN3WY-01Q0Y2zm-mwtFQO8i5J2C7G8XayvcIAAFor09sQKJqjWh1x3BduFK-oiS2HH5DnFr1Y5MzBZcwK-0csSpKN4rscaw&amp;amp;lib=M-zdWbhavtdZ1B_W2dnFDM0qoVt4lWzJ-"&gt;here&lt;/A&gt;.
&lt;/BODY&gt;
&lt;/HTML&gt;
</t>
  </si>
  <si>
    <t>asm6EAVYQvgrFhnDTyw5</t>
  </si>
  <si>
    <t>17803</t>
  </si>
  <si>
    <t>8F00250329060010</t>
  </si>
  <si>
    <t>FITLOG TRANSPORTES E LOGISTICA LTDA / (048) 996277956Informação Adicional: dar + 3% de desconto -valor final R$15520,00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</si>
  <si>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b-slCtgXAlb7mpCNeCcH7Gul2ToILVvw75GB6DNNv5OE9gTaLwDFBsGHTyE357hLOmbGEv2bnxZhwI3d_9Zi3c0Z7qJhQTxqdDWPdlPC5Z6LMOM3vl2xF3DTtCFPDlNsTdpaV5f-YQX0E_jLxnbDfwUN_Ac3SK6QGMgzOyK4Dqjq33Bqv9iXv2mmR7e98J5DZzepVo89EE0nLK5SnvOe782chEkiJxAQxamBWqzxhAWiiuLyXlEkz4IGHyqJ6grO86W4bodF3ahSlB6yeVGhPjcamgV1C9T1HmjjGaE4CeEDDG9NsbmjSnXyiMg&amp;amp;lib=M-zdWbhavtdZ1B_W2dnFDM0qoVt4lWzJ-"&gt;here&lt;/A&gt;.
&lt;/BODY&gt;
&lt;/HTML&gt;
</t>
  </si>
  <si>
    <t>e5nFQTZNRrupLC7Y1gKdLg</t>
  </si>
  <si>
    <t>17805</t>
  </si>
  <si>
    <t>8E00241118030037</t>
  </si>
  <si>
    <t xml:space="preserve">&lt;HTML&gt;
&lt;HEAD&gt;
&lt;TITLE&gt;Moved Temporarily&lt;/TITLE&gt;
&lt;/HEAD&gt;
&lt;BODY BGCOLOR="#FFFFFF" TEXT="#000000"&gt;
&lt;!-- GSE Default Error --&gt;
&lt;H1&gt;Moved Temporarily&lt;/H1&gt;
The document has moved &lt;A HREF="https://script.googleusercontent.com/macros/echo?user_content_key=AehSKLjjBvddHECRU0cvN38pWeBRgV23Fa5qXDxbo9mVKGtZCVEHCnLTccEG4wmFN0Zu-AYjw5l1xuwTOLhdcwm0wxO4R4slU5Eog6ZgAXUmrE5Og_3vvWMaSsVZnC3vg5odnU8uyLw6rav5lgTVopx_qHZ4CdoNtaUNfp7217ZUHmagA0Z05xSEbgRD77FME1luwoVmwfN9Cr0ueBr6y3RfHJ-TalB07s1ShvPGl09nrva-krUigOH7hZglsgRBSjTtT_Oz0yEtG4IRnjI91W2kCgphO22_9DDKFtQFr6uxGA3lunq04YRuCYlOLZDepg&amp;amp;lib=M-zdWbhavtdZ1B_W2dnFDM0qoVt4lWzJ-"&gt;here&lt;/A&gt;.
&lt;/BODY&gt;
&lt;/HTML&gt;
</t>
  </si>
  <si>
    <t>yG8EDrFlQ6ipTeks7Zujiw</t>
  </si>
  <si>
    <t>17806</t>
  </si>
  <si>
    <t>8E00250110260010</t>
  </si>
  <si>
    <t xml:space="preserve">&lt;HTML&gt;
&lt;HEAD&gt;
&lt;TITLE&gt;Moved Temporarily&lt;/TITLE&gt;
&lt;/HEAD&gt;
&lt;BODY BGCOLOR="#FFFFFF" TEXT="#000000"&gt;
&lt;!-- GSE Default Error --&gt;
&lt;H1&gt;Moved Temporarily&lt;/H1&gt;
The document has moved &lt;A HREF="https://script.googleusercontent.com/macros/echo?user_content_key=AehSKLgN6eizuvsDlU-gjV2_TlOcxRTN6SB-hzNea79SFTa3356pgm_pU4lNV_ybvJ-0vdy3IksAYqJ-f53OO6s6qZnJvTrS_5A4wNThryxbp_xCJ5_q5nxc0rxUFp9W5iI9XqRIft7ejt2SF82BZpo-_0gvrhk7uKTyl1oQ6knkQAV_5mPkHSkz5TxsEJBHWQI8CIehY73w8PbDEiMeYXDt6v7mGFpN9FaJ48dnlOB4HncR7fBfC-LJZbxaSwU5fMkeirroCR4qh6lB5GpmG3M_Sbk491pADxxs2lBCJ5Z1i5IxQ7lc4m4Mg5VDpNTjqw&amp;amp;lib=M-zdWbhavtdZ1B_W2dnFDM0qoVt4lWzJ-"&gt;here&lt;/A&gt;.
&lt;/BODY&gt;
&lt;/HTML&gt;
</t>
  </si>
  <si>
    <t>I.-XgZHgSnqSvxlv8XuQfw</t>
  </si>
  <si>
    <t>17807-B</t>
  </si>
  <si>
    <t>BLUE PISCINAS JAU</t>
  </si>
  <si>
    <t>8F00241118040011</t>
  </si>
  <si>
    <t>EXPRESSO SAO MIGUEL S/A / (051) 3586-2013Obs.Interna: CONSIDERAR PREÇO A VISTA / TABELA CAMPANHA PROMOCIONAL ABRIL 2025 / E-mail para nota fiscal: , E-mail de cobrança: , Telefone para contato</t>
  </si>
  <si>
    <t>TbxvR1Z5ovfSG4hTITDh</t>
  </si>
  <si>
    <t>17808</t>
  </si>
  <si>
    <t>8E00250110260006</t>
  </si>
  <si>
    <t>FITLOG TRANSPORTES E LOGISTICA LTDA / (048) 996277956Informação Adicional: Frete com redespacho pela transportadora Expresso Raquel, CNPJ SP : 03.823.190/0002-16. - ENDEREÇO SÃO PAULO : RUA SOLDADO AMERICO RODRIGUES 131, GALPÃO MODULO A - PQ NOVO MUNDO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</si>
  <si>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Nied5u0-zqQNTQM1duJUakBPFjsNCvDwnODnfurAhWvu5RUQJs56in_80bxi4aPwNKGUFfsDP5smz_wtgEIx49oEAf6KdqtGibYPbURlBQ101WQmlYBFhUU-Aj-LbftfkTXglkp4fkyWk8vmYcRE9X3bUC3FufWpcTQsV3kGsSTrLNHdtfqw6do23taSapmWYxsbN5Zc3PDotrbozWEaAr-wZVcMoQTFB7k38IKf7Oe4oTUI5xV5sqLRln3bWtxEsMhE6okdBXLjTyHnHnWrrm5MR1E5KzVe_mp_xCtv-oxGj0NsWTvFRsXCteg&amp;amp;lib=M-zdWbhavtdZ1B_W2dnFDM0qoVt4lWzJ-"&gt;here&lt;/A&gt;.
&lt;/BODY&gt;
&lt;/HTML&gt;
</t>
  </si>
  <si>
    <t>smLy05AdR8-e2eFYPCXQBg</t>
  </si>
  <si>
    <t>17809-A</t>
  </si>
  <si>
    <t>8E00250110260004</t>
  </si>
  <si>
    <t>FITLOG TRANSPORTES E LOGISTICA LTDA / (048) 996277956Informação Adicional: DESCONTO COMBO (10% + 3%) + R$1.000 FTi35 + FTi105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</si>
  <si>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Bw2MinqgOFTE-vi1bpUTu2OuLgWsipqvjV-8SRnHbys6ZK9bld5IBu79jT4T--mFpAOF2qf_wZfAWZNV96AZN22aorkdj_lPPiU_ppDVwYrytc13xNnOCzkaxqbbQWgAzEzPkijALULlmp6hcT1yvyr8WAeWSTFyKylbISp-rwfX4CRIlgdX2qbDEomzqNDy_gArHtKTtn9OF36oc9etgvNeTemXUTERF0q0Ehzz3wBiPKafDMOblDoJKw83x1wm7sts7fTEz31XhcrXX_KUlvrCIX8JHAOwmEL5NAp199PUuLOPXeWOzn9_SuQ&amp;amp;lib=M-zdWbhavtdZ1B_W2dnFDM0qoVt4lWzJ-"&gt;here&lt;/A&gt;.
&lt;/BODY&gt;
&lt;/HTML&gt;
</t>
  </si>
  <si>
    <t>dzQ-ZSghQfK..g8CsEMjZw</t>
  </si>
  <si>
    <t>17809-B</t>
  </si>
  <si>
    <t>8F00250102140024</t>
  </si>
  <si>
    <t xml:space="preserve">&lt;HTML&gt;
&lt;HEAD&gt;
&lt;TITLE&gt;Moved Temporarily&lt;/TITLE&gt;
&lt;/HEAD&gt;
&lt;BODY BGCOLOR="#FFFFFF" TEXT="#000000"&gt;
&lt;!-- GSE Default Error --&gt;
&lt;H1&gt;Moved Temporarily&lt;/H1&gt;
The document has moved &lt;A HREF="https://script.googleusercontent.com/macros/echo?user_content_key=AehSKLj3ubGdRnHGlF2aftgPpsxx7SJAHY9na2wkMroNsp4Ye0OtDMdX6NP2esNuZGJzHzv_rM8uSTc0D7ZblH5JegNT8ObMlbXoKisRCsapkhMphg4D-cQ-4oFpdlxQ0sZ44uCJwY9q7oh_4t_eqXnYDOm9n7i7TVA_iS91Ev_1Zy6mUgG8dj8PJxlNLIB2UJfnnt2Qfqv_xxogzR8zgli-8iCqrl7fl29lH7XEm6nWOOPRXFzsFaqsSFtYaXJhMv2K4FhaeoYN_i0VdybNpglhkWNgmMPxSFUznInsf8n88Cf4KQS84JUYTfa2ZYSp9A&amp;amp;lib=M-zdWbhavtdZ1B_W2dnFDM0qoVt4lWzJ-"&gt;here&lt;/A&gt;.
&lt;/BODY&gt;
&lt;/HTML&gt;
</t>
  </si>
  <si>
    <t>pty3ANva6EQ4E94BJhEG</t>
  </si>
  <si>
    <t>17813</t>
  </si>
  <si>
    <t>RONCAGLIO AGROCOMECIAL EIRELI - MATRZ</t>
  </si>
  <si>
    <t>8F00241225070015</t>
  </si>
  <si>
    <t>RETIRADA NA FABRICA / (0) Informação Adicional: VENDA REALIZADA PELA HIDROESTE PISCINAS  / Obs.Interna: VENDA REALIZADA PELA HIDROESTE PISCINAS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</si>
  <si>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jpmw978fPgFsBWK3QBSZ0Nv5GIohIazCzzXWsr3bumlSuGndlE2ld22PypVoxXfD72eRlX9u0DQ30xsaqLGUDOVfkIjYzaMu6HNT9NNW1yBcDmm96JR1HSyWteaUXLByAVZ4Zykll0tQlczRS6jJKPbWNHnwOOmQ3M-jjBWJkVUeqWIgZudezMhLexq1cbM1WDOeHwDBBZlPZuVyqyZD0_8wP2BYytXUg5qmCbJGbDPQlJGqKLj8g32Ya8STwmaOJlpO2sl9S3ZwKUjHqixDHTUITdPFqz8HqvcjD8fBJsLWoTTNR4wwTh8gvNA&amp;amp;lib=M-zdWbhavtdZ1B_W2dnFDM0qoVt4lWzJ-"&gt;here&lt;/A&gt;.
&lt;/BODY&gt;
&lt;/HTML&gt;
</t>
  </si>
  <si>
    <t>e7MHxbQ3Q4iplTtvPR1ZnA</t>
  </si>
  <si>
    <t>17814-A</t>
  </si>
  <si>
    <t>8F00250329060013</t>
  </si>
  <si>
    <t>FITLOG TRANSPORTES E LOGISTICA LTDA / (048) 996277956Informação Adicional: valor total do pedido : R$ 28.800,00 promoção de abril 10% + 10% para pagamento antecipado.
&lt;br&gt;</t>
  </si>
  <si>
    <t xml:space="preserve">&lt;HTML&gt;
&lt;HEAD&gt;
&lt;TITLE&gt;Moved Temporarily&lt;/TITLE&gt;
&lt;/HEAD&gt;
&lt;BODY BGCOLOR="#FFFFFF" TEXT="#000000"&gt;
&lt;!-- GSE Default Error --&gt;
&lt;H1&gt;Moved Temporarily&lt;/H1&gt;
The document has moved &lt;A HREF="https://script.googleusercontent.com/macros/echo?user_content_key=AehSKLh9L_GcPeKUwfRjG6Ct5SZcL5-pxNVUg_hXLOC-eEag6YhUkM6CYh9Vd-vkTnXUretghuP3nTMkSl3hiwsYUregbby5uTANMj3WgIcOcTR7FdiGzTpUvX5f1ijkCp7U5xbkjXTfEkJldgCrQYN9XomJ-hNc1OITWH4ymBdY3Lxhok5Xt8lLcj3Owv__gTwCG4FIH6LbPGKg4E07ODpxn9TEUZthyjPEmg9YKapKaTN0cPNC8dkdS11LV-QRsKVt011vgAFxz4jeZLfB8bE18pxWEYGQfMvNjFyDYi33np6AQOLyYUyKO43XFZX08g&amp;amp;lib=M-zdWbhavtdZ1B_W2dnFDM0qoVt4lWzJ-"&gt;here&lt;/A&gt;.
&lt;/BODY&gt;
&lt;/HTML&gt;
</t>
  </si>
  <si>
    <t>b9G.GHLSRROaMifToXczWQ</t>
  </si>
  <si>
    <t>17814-B</t>
  </si>
  <si>
    <t>8F00250329060011</t>
  </si>
  <si>
    <t xml:space="preserve">&lt;HTML&gt;
&lt;HEAD&gt;
&lt;TITLE&gt;Moved Temporarily&lt;/TITLE&gt;
&lt;/HEAD&gt;
&lt;BODY BGCOLOR="#FFFFFF" TEXT="#000000"&gt;
&lt;!-- GSE Default Error --&gt;
&lt;H1&gt;Moved Temporarily&lt;/H1&gt;
The document has moved &lt;A HREF="https://script.googleusercontent.com/macros/echo?user_content_key=AehSKLiI4iC2_zOEzm_KVt080qEVpYzWZ1mHijqwv3KPKaofoPYhUV1a6_Fo8OCqiGbAUuAs-DC1jJ6sHhhXRVbe4Nzl9GPEgM0gMcaL1ow31I3QDPmAzxxkUgVTflMxsnFrzXWhCr7yCaE12vAzOw4JcQvJsn9VM4cGauxePm5yeR0JXz9352mXOHnrvqTGS4SbMFD3I4mNfJi00ZtIqsKmBkWQg6yPVk2uAEGfB5i5mr3Vhu5UQU4gnrtmzoATmzp4uckBZlji2xOn0d-RZ5ZLAjaKu4WrQXjEGKGQbmFt2qUUC80uOYkBjwDIAZV5Xw&amp;amp;lib=M-zdWbhavtdZ1B_W2dnFDM0qoVt4lWzJ-"&gt;here&lt;/A&gt;.
&lt;/BODY&gt;
&lt;/HTML&gt;
</t>
  </si>
  <si>
    <t>ITilc53eCrMsAezgCSuc</t>
  </si>
  <si>
    <t>17815-A</t>
  </si>
  <si>
    <t>FH80D60T</t>
  </si>
  <si>
    <t>EXPRESSO SAO MIGUEL S/A / (049) 3361-6627Obs.Interna: ALTERAR PAGAMENTO PARA 30/60/90/120/150 CONFORME AUTORIZADO POR MARIO VIA WATSAPP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</si>
  <si>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jLtWParccWjIPNzxw_cTtQPqWv2EwCwqtuYu6Q_n832FJPeGCS0doM6dccBtpow1QQRGvFq54e67fo-CoyHoRLo42HRxqUCyEGVj6adCRS6CPMAgc9bgO5GgpnZd3lhDAYDM52enHSt9C-SpKMOPsb8LymcTyceyVf05k7K8iyf6dgPflX8k3IXgZ_zdilBYHNuw4bDjfxPz53I0FPr7FfANy3__H0LfLsn5Ie9udsI0MkIKNOxWuGWU2-pRRidwVW5PFgrcVfcOXZ4bS9i7QAw17NPgKgjubdiN7hc5rKoiE_-zb7qEREMW9_A&amp;amp;lib=M-zdWbhavtdZ1B_W2dnFDM0qoVt4lWzJ-"&gt;here&lt;/A&gt;.
&lt;/BODY&gt;
&lt;/HTML&gt;
</t>
  </si>
  <si>
    <t>0flfC8VtROmhDm5-Zp8Qag</t>
  </si>
  <si>
    <t>17815-B</t>
  </si>
  <si>
    <t xml:space="preserve">&lt;HTML&gt;
&lt;HEAD&gt;
&lt;TITLE&gt;Moved Temporarily&lt;/TITLE&gt;
&lt;/HEAD&gt;
&lt;BODY BGCOLOR="#FFFFFF" TEXT="#000000"&gt;
&lt;!-- GSE Default Error --&gt;
&lt;H1&gt;Moved Temporarily&lt;/H1&gt;
The document has moved &lt;A HREF="https://script.googleusercontent.com/macros/echo?user_content_key=AehSKLgURsYxTo-1t5QEuVNP5rQuDpxjKoBwtlTG17EP8p7601DIdzUTy-CrvWbchuXLN5qoI-HvijGnvSwVVf47kVfwUABeBtw17mRG1hSlFLXcJtVJ0Bgp9vN9QuR6f_qdoxwzy5nvyMUDkNpQNuL2DezetdeOwVypq2daSet0c8zxRhw-pmyo_O8wl9xWvTDK14k1UMhwUfoVUxARm8jkmZmefEoJCSjYmLtK2Z2oyNIRMKMHLw_rzR9II1GKJL3O5hV_joZiuW4-O6jUER3IAHMps8JOmMVLoELNADQi0ycgUeIgZh5BHy_rGEdETg&amp;amp;lib=M-zdWbhavtdZ1B_W2dnFDM0qoVt4lWzJ-"&gt;here&lt;/A&gt;.
&lt;/BODY&gt;
&lt;/HTML&gt;
</t>
  </si>
  <si>
    <t>eWmLyo3HWLNwr1OV39bE</t>
  </si>
  <si>
    <t>17816</t>
  </si>
  <si>
    <t>8F00250104100018</t>
  </si>
  <si>
    <t>FITLOG TRANSPORTES E LOGISTICA LTDA / (048) 996277956Informação Adicional: REDESPACHO FOB CNPJ 24.882.886/0002-93 - RADLOG TRANSPORTES LTDA Rua UMBUZEIRO, 123 - Cep 07.224-010 - BAIRRO CIDADE
INDUSTRIAL SATELITE DE SAO PAULO - GUARULHOS - SP I.E. 796.514.930.111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</si>
  <si>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4ZfgK1pw2AhHPBtCkf7pZy13K0MvPELHw0Q2-3oPf-JcZAXUTFDcXYpt-chR-sKWapfNqBtSLos8JcLMujzEBXV17kFLxVSJYLEPj1FtFAxl04RJi6VcU8ItntU-h9YtYcNRa3dz0bpFH-lTnNflbvPLWax3CiFoV9MihWYyMDPy0jm1fiwnHfX_dmkpHc9RhwRQGWIAWfeowdjqkR_9toPvEoDTK-hdTpbaI1AYxJlGQY0s8noVUpvfNyANAMbENAdh2Bj5niBnCNVKrMlwu7SDSJHm36rXExiC9VLmUqVZ7OjDzBbujrJzXtw&amp;amp;lib=M-zdWbhavtdZ1B_W2dnFDM0qoVt4lWzJ-"&gt;here&lt;/A&gt;.
&lt;/BODY&gt;
&lt;/HTML&gt;
</t>
  </si>
  <si>
    <t>j8bebwqWTzyZuqVhBmgQHg</t>
  </si>
  <si>
    <t>17817-A</t>
  </si>
  <si>
    <t>8F00250102140023</t>
  </si>
  <si>
    <t>RODONAVES TRANSPORTES E ENCOMENDAS LTDA / (016) 3965-3955Informação Adicional: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</si>
  <si>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gVCKmdTkv7DgQ-OVhjq2XO-n4arHSKangc05hpFhuKRTMlPQES2BhSXzt-SEXGCZanimWfdZ_DoFfaptjLh3Ufw0CU_iFRrXtkWhPadCxE6r8KEyzoHA9mH51ApTxmE7ikn8QXygBmq82HkqfptD7XI7AVpMoAtGgNX-tlU_dWiV7p6IyN6ZBjzYq9_G35TghEMV10xdh0HBndXLyzHjoTom1ur9lOjqrMBlpyiGmJtWYGbeHt7w3M3vKK4c5pMXRarr6sOiZqECbRfMBpNyiUe7AWe6l-o_J99ONgMgv10EoiCY1YwMTPUQptQ&amp;amp;lib=M-zdWbhavtdZ1B_W2dnFDM0qoVt4lWzJ-"&gt;here&lt;/A&gt;.
&lt;/BODY&gt;
&lt;/HTML&gt;
</t>
  </si>
  <si>
    <t>4RnAVNPwLoviJkf4rwE0</t>
  </si>
  <si>
    <t>17817-B</t>
  </si>
  <si>
    <t>8F00241118040037</t>
  </si>
  <si>
    <t xml:space="preserve">&lt;HTML&gt;
&lt;HEAD&gt;
&lt;TITLE&gt;Moved Temporarily&lt;/TITLE&gt;
&lt;/HEAD&gt;
&lt;BODY BGCOLOR="#FFFFFF" TEXT="#000000"&gt;
&lt;!-- GSE Default Error --&gt;
&lt;H1&gt;Moved Temporarily&lt;/H1&gt;
The document has moved &lt;A HREF="https://script.googleusercontent.com/macros/echo?user_content_key=AehSKLgntIL--90s_bIZw7xUycHHSHJScCDrzCAJ-pviQgLUnCxjDgqFzoqlIxVa0VwaDEgcMmIufVKXV4VSTYA_4NfJ6F9eeOlUh-xqZAkPWsk3KF0w-cI_zxhX5lQLQmf4pcvSyTN_O4Q0hQLENVqTBNx1IYmaHZHFnPm6XBIjCY6rYkCd3iq7DojYps_vsIo_U24aeNxEsTAdZtHj4UuDAm9hHCdzRgWxssmWXuE_ZUOqObBkstmmKzEpxi9SA7WZCsKsrWiW12cYYF9MpS-_SYRV61vBxB48y0QYc9IH_jNNBDkP6MkC6wKS9wFE9w&amp;amp;lib=M-zdWbhavtdZ1B_W2dnFDM0qoVt4lWzJ-"&gt;here&lt;/A&gt;.
&lt;/BODY&gt;
&lt;/HTML&gt;
</t>
  </si>
  <si>
    <t>jnqDd6ESSfSplxGsYI3VBw</t>
  </si>
  <si>
    <t>17818-A</t>
  </si>
  <si>
    <t>8F00250208120005</t>
  </si>
  <si>
    <t>RODONAVES TRANSPORTES E ENCOMENDAS LTDA / (016) 3965-3955Informação Adicional: +3% de desconto e + R$1000,00 / Obs.Interna: TABELA COMBO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</si>
  <si>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XA-1yGdZSV-CjQ_9k6aHDwekBAl2kEICUzfsNqALhVMVi8Ge6SmOa7q3bIcLA9mnhARWBZDjFOUFPUjm3WkSsRzH5K02--PrIsHfsxE7fRWEou1HeAxKI8RltCI4KpCTSmQ2b-ix9Uf52_WguPdO2XnsBAEYHzstgLF1Ld2uXqIRO1CeNrmqwgs3VMBi74L1IihC9-DR7Ly3ZtPD494MYzH48HwcVOTSlQvhHhBEx0WI1vDxW6WNpDWoY0a0mx31vn7VJ3csBgb2CHlSkyDdW0Ke3q-Kncg6pHOC1dDjaDbYJpMeloHps9n0ZA&amp;amp;lib=M-zdWbhavtdZ1B_W2dnFDM0qoVt4lWzJ-"&gt;here&lt;/A&gt;.
&lt;/BODY&gt;
&lt;/HTML&gt;
</t>
  </si>
  <si>
    <t>0oIpagRBQFCRPwvEwKf0Zw</t>
  </si>
  <si>
    <t>17818-B</t>
  </si>
  <si>
    <t>8E00250110260015</t>
  </si>
  <si>
    <t xml:space="preserve">&lt;HTML&gt;
&lt;HEAD&gt;
&lt;TITLE&gt;Moved Temporarily&lt;/TITLE&gt;
&lt;/HEAD&gt;
&lt;BODY BGCOLOR="#FFFFFF" TEXT="#000000"&gt;
&lt;!-- GSE Default Error --&gt;
&lt;H1&gt;Moved Temporarily&lt;/H1&gt;
The document has moved &lt;A HREF="https://script.googleusercontent.com/macros/echo?user_content_key=AehSKLgkgmZMx88j0Mgi3RqlAnPKHkociqs9YadSuP_vyOzwsSrXjLM8hfRLVP1Q5mzMtUFnlcMQBp7nzlCloHfFhKskisQmi25l45nTvMHYjCQmeZLLE-5DfFb8uh2xp_GFP8qJCY3bcCtYE6EFw6praYjK7PJ4ApMtpL54O359BIDR3XgESXdIW6FqAnF-y6DeHh5aStXPeKZlAgQRhblum-Hg_NFIbw58uxBDPLcfE8IJr_B_WDR9v7vhT38U1aL6oq6nYsx_WoS_wdhhzIrs9Rvu6s7tIbO4XZBSHxoe21DcWe9VYbAkW0FLLlkQow&amp;amp;lib=M-zdWbhavtdZ1B_W2dnFDM0qoVt4lWzJ-"&gt;here&lt;/A&gt;.
&lt;/BODY&gt;
&lt;/HTML&gt;
</t>
  </si>
  <si>
    <t>B2lu5kQ4pJagtg8nzoQ8</t>
  </si>
  <si>
    <t>17820</t>
  </si>
  <si>
    <t>8E00241118030051</t>
  </si>
  <si>
    <t>FITLOG TRANSPORTES E LOGISTICA LTDA / (048) 996277956Informação Adicional: PAGTO COM CARTÃO DE CREDITO DE 1X
frete FOB com redespacho pela LASTRO TRANSP. - CNPJ : 00.525.563/0001-01 - AV. CONDEAL , 175 - PQ. SÃO LUIZ - CUMBICA CEP 07170-550 - GUARULHOS - SP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</si>
  <si>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k3u0J626AS7yQ45SbSEFzmpVe-mYg_Bzux4oZx_VW6VjpqGthqFMKX5z7uow2MO1EVrPGgTjcCtlqe0OZ5393637fzh77zI3yd0p2bqXWHfNVeWz4yHJPMC3G8vlbZk3bPgp_EEE1V74yKyq_hXFaBrIZIbS1Dmy5jbXII1T3XVXIks7oFCcyMYRZE0gOdh9lrIQeMjXsnrpLPUnd0T4-VaLNLvjFEQDZ-B-BQ0kd1wEg6ufswZ_SxSym7SFrhZ2oWzWJt_i3rlIRQnTjiDg3gBPu0c7nuXgKrN9j06NATDHVh4ABw9unF8Ex2w&amp;amp;lib=M-zdWbhavtdZ1B_W2dnFDM0qoVt4lWzJ-"&gt;here&lt;/A&gt;.
&lt;/BODY&gt;
&lt;/HTML&gt;
</t>
  </si>
  <si>
    <t>60.TsVS9SO2YUKbBqj.AmQ</t>
  </si>
  <si>
    <t>17821</t>
  </si>
  <si>
    <t>VALINHOS PISCINAS &amp; SAUNAS</t>
  </si>
  <si>
    <t>8F00250104150014</t>
  </si>
  <si>
    <t>K1 TRANSPORTES LTDA / (011) 41519079E-mail para nota fiscal: , E-mail de cobrança: , Telefone para contato</t>
  </si>
  <si>
    <t>6EDRYIwLStaNwCx9E1DpYg</t>
  </si>
  <si>
    <t>17822</t>
  </si>
  <si>
    <t>8F00250110270021</t>
  </si>
  <si>
    <t xml:space="preserve">&lt;HTML&gt;
&lt;HEAD&gt;
&lt;TITLE&gt;Moved Temporarily&lt;/TITLE&gt;
&lt;/HEAD&gt;
&lt;BODY BGCOLOR="#FFFFFF" TEXT="#000000"&gt;
&lt;!-- GSE Default Error --&gt;
&lt;H1&gt;Moved Temporarily&lt;/H1&gt;
The document has moved &lt;A HREF="https://script.googleusercontent.com/macros/echo?user_content_key=AehSKLgl9H9AMgas67EomdhXCa6OY_YxLQ9yDnMx_L6u11h0OTl3Pn7GoJ43uAxydEjEfLfxB_0NL3w8piRCVZ7R1XCWMVleFVhjmqvRJ2G8RltljzzWOvxctXgXpxq9DzB4qsYH9o37e4MUpnbEZNCf1DEpeHN-uRU-GMhOpYJD3KXIBbMfr8YGnrBbRKoF4H2JQ1a_ld8syV5Oc0FFSqhTWjhMg9AS_fvAzvA5MxoORbaPk05eVaG77_Q94nWMWV_LhSVWAn3XQobdmwZzC1Btp_Cki1zqh0RRyCMhKHggh9QyhU_ECJ0CNvxUxf24PQ&amp;amp;lib=M-zdWbhavtdZ1B_W2dnFDM0qoVt4lWzJ-"&gt;here&lt;/A&gt;.
&lt;/BODY&gt;
&lt;/HTML&gt;
</t>
  </si>
  <si>
    <t>ornAYYM9TIWLe055S.wlwg</t>
  </si>
  <si>
    <t>17823-A</t>
  </si>
  <si>
    <t>8F00250104100034</t>
  </si>
  <si>
    <t xml:space="preserve">&lt;HTML&gt;
&lt;HEAD&gt;
&lt;TITLE&gt;Moved Temporarily&lt;/TITLE&gt;
&lt;/HEAD&gt;
&lt;BODY BGCOLOR="#FFFFFF" TEXT="#000000"&gt;
&lt;!-- GSE Default Error --&gt;
&lt;H1&gt;Moved Temporarily&lt;/H1&gt;
The document has moved &lt;A HREF="https://script.googleusercontent.com/macros/echo?user_content_key=AehSKLiTOlC46KrnR3eLLoVB4mfJIAEMeVyPXNSf9a-vRDr58kEHsB9HOxWlkkrq_5bQUvxdhsrSagrDdsNqBhMNaqfR8t3V0BBiM7YiW_bJKb-2f3VHoyoMoA_LM-1aqvlhq6ud-hwYw4cTe-2pNDDsxEAReotk0E7N4fPC-eetTm_aLEF5jUU2tpfoG8326db0KD-hNYba-cl8hBzvlzkaZVwbRbio0pWjRMrwtQGk-otHc0h8ec6P9SptCFqYfYrFf4kQZtbNaU9ES1NY1X7WUxknSXuMgGxALC2KAdRO8nnGGdHWSQQCMgQ_uEda4A&amp;amp;lib=M-zdWbhavtdZ1B_W2dnFDM0qoVt4lWzJ-"&gt;here&lt;/A&gt;.
&lt;/BODY&gt;
&lt;/HTML&gt;
</t>
  </si>
  <si>
    <t>2UL8yP0ySC2rVDaeV-3uKw</t>
  </si>
  <si>
    <t>17823-B</t>
  </si>
  <si>
    <t>8F00250104100035</t>
  </si>
  <si>
    <t xml:space="preserve">&lt;HTML&gt;
&lt;HEAD&gt;
&lt;TITLE&gt;Moved Temporarily&lt;/TITLE&gt;
&lt;/HEAD&gt;
&lt;BODY BGCOLOR="#FFFFFF" TEXT="#000000"&gt;
&lt;!-- GSE Default Error --&gt;
&lt;H1&gt;Moved Temporarily&lt;/H1&gt;
The document has moved &lt;A HREF="https://script.googleusercontent.com/macros/echo?user_content_key=AehSKLhLlFEBJcBe652an_VlGyRyf_R4fNH--rfMPi-xkKYFu99YUNo6DJe3XPkHPD0ItRphwWuj3-iPglR4tnzpJanuc2FwzTnvqonynwsfiBGOErobB5cz5HKbwyBES8D9O7PL2en_bqRE4539S7RcExLZfChKygNPWfk2eF_A8CcdKQJ9a8__bR-O0s-rPFUehYRIi3HLb9-_EgExk2kXXsIt-YOqnT8lXTebXExzMtd5Na_yjEbocoJhNWFr5j6jlzbISJrBWRAXhgYz8iimr-7G-SPtdKaTOVQYACM9dlparJv7Ho74bGyfgyMSqA&amp;amp;lib=M-zdWbhavtdZ1B_W2dnFDM0qoVt4lWzJ-"&gt;here&lt;/A&gt;.
&lt;/BODY&gt;
&lt;/HTML&gt;
</t>
  </si>
  <si>
    <t>JGqGNn8sRiCqmZOFGwjo</t>
  </si>
  <si>
    <t>17823-C</t>
  </si>
  <si>
    <t>8F00250104100036</t>
  </si>
  <si>
    <t xml:space="preserve">&lt;HTML&gt;
&lt;HEAD&gt;
&lt;TITLE&gt;Moved Temporarily&lt;/TITLE&gt;
&lt;/HEAD&gt;
&lt;BODY BGCOLOR="#FFFFFF" TEXT="#000000"&gt;
&lt;!-- GSE Default Error --&gt;
&lt;H1&gt;Moved Temporarily&lt;/H1&gt;
The document has moved &lt;A HREF="https://script.googleusercontent.com/macros/echo?user_content_key=AehSKLjdmiAombLTGYtoU3dREriE3v4e1Do1uWep5eF0D7u70a2KrxMGAm59KQvCC07-msLMYffAziwm8thbGP4YSiZFaVovzf8mf34Gzx7oNmfS4FJmkrw3EcvfP6CiIHZAqLnsYlVP0iCHHfE_sxOdBC7BbYVE1mRrIXpxs1k0g3Mqb6wT3F00smcoKN7Tn7Tgk93MVmKROP0g25dmRBrD-a_OKww0sifcRmgbnk_Ao7MAw3iTztWmNJDEOuFHy3abSf_6MVQw9R65T6pvFM5Rbej74kfEC5QTQDgVsQn0TT6SOHQpb5cXvBTPuDlk-Q&amp;amp;lib=M-zdWbhavtdZ1B_W2dnFDM0qoVt4lWzJ-"&gt;here&lt;/A&gt;.
&lt;/BODY&gt;
&lt;/HTML&gt;
</t>
  </si>
  <si>
    <t>PbZ4EVH4xf226fVHWLkS</t>
  </si>
  <si>
    <t>17824</t>
  </si>
  <si>
    <t>20121</t>
  </si>
  <si>
    <t>FT180F35W</t>
  </si>
  <si>
    <t>MGH1012 - FITLOG - RANDY VICIEDO LEON - 11439255210 - VW / DELIVERY / BRANCA / 2015</t>
  </si>
  <si>
    <t>FITLOG TRANSPORTES E LOGISTICA LTDA / (048) 996277956Obs.Interna: Conforme autorização do gerente Carlos Kubitza, o quadro deve sair com Wifi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</si>
  <si>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bLUaMHeBFUGRlP6CZhNLLrUTiFr9VVNMHjwzGcs6ufcLKHLvqr8RvScu2hdB0KLB0We-9mZygykBq8tfqsgAwar6njKI4UbrZ-GCz_0Ucwd4PVkoQsemXTcJmEKaaNLc7GZToORbfXjAFbhIxJSeKe0qk4deewGcHoLU4AVBN9hnljbyklww00-1zvKLr8qxAe4yVVoLaWc1i7vBimedCC_Qq3VTuDYpvkpaQCS9YSo0haoZVnISqIqvVy_Hzu_GnXKUIuRmqZnfy_CWIyMr8_ZdC4JfU3U_PEjru8tCl_e1_YNKReVVlwojkbg&amp;amp;lib=M-zdWbhavtdZ1B_W2dnFDM0qoVt4lWzJ-"&gt;here&lt;/A&gt;.
&lt;/BODY&gt;
&lt;/HTML&gt;
</t>
  </si>
  <si>
    <t>yKTPcGC3SjqIVU7X0cbRhg</t>
  </si>
  <si>
    <t>17825</t>
  </si>
  <si>
    <t>AQUAZUL PISCINAS</t>
  </si>
  <si>
    <t>8F00250329060007</t>
  </si>
  <si>
    <t>FITLOG TRANSPORTES E LOGISTICA LTDA / (048) 996277956Informação Adicional: Aplicar desconto de 3% promocional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</si>
  <si>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IEbEMc-4YfU446-kmSnkoe99I-FBrXzq_2E7QBMfBylh5pAAqJhfo055ShAzPoD4ohbLlTjvnL3TPv7Q4u_IMNz-PS5yea78sPo9maAeZvyV1zLLxow5ve2v7__U_IRhIuIgnOTungpaRFMZ4GMvgTrKBx8XA6IEb-5s3KiGgIWymdre7fIDF-L4QjFB1BLeHgxp3RI-bcwjqRTnDUHsrHPr5N_kG2CBuUnxEaCKP0BZ0hxVyY4LXfxE0Z6X1JrZ-q3nUAbLvGT0iLjQz3AEeyLPvhQXniHJfpTnO6E3-6fRWIQk-urHlfId-A&amp;amp;lib=M-zdWbhavtdZ1B_W2dnFDM0qoVt4lWzJ-"&gt;here&lt;/A&gt;.
&lt;/BODY&gt;
&lt;/HTML&gt;
</t>
  </si>
  <si>
    <t>XYkligcAQs-5I3CN3cHJJQ</t>
  </si>
  <si>
    <t>17826-A</t>
  </si>
  <si>
    <t>8F00241118040031</t>
  </si>
  <si>
    <t>DESTAK / (048) 2102-5242Informação Adicional: preços negociados:  FTI55 r$ 8.573,00  e FTI75 R$ 8.916,00  PRAZO ESPECIAL AUTORIZADO PELO MARIO BOLETO 7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</si>
  <si>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RGnb0t1p9OM2tZJ3ttnoxOMpicvtknKGUuep3hyi8IVodDysivBXe9G4l2FYImFIoQpRXpUdbn-QZeFLmDC1ds7LERAgRolInX-h5f2ve709qmSvpJawPb78B2bixXi_TsGv_-BOIj0sQZs4LQc6EDl_LsWeDT-3frw87KClx4UHY_jZDRt5Pbrk76qLs9ixpSU2aEnXjTBmyRm1dw4uH8q-l6LVt7su6XW7j7N46gPLC0Lk8lr6GdDWRRCsHtFgRK06hKWXnKc0TH9OWy80bUHTNcadWcZaKxYFQaLMMpSjha3AbL_sIm6xVCQ&amp;amp;lib=M-zdWbhavtdZ1B_W2dnFDM0qoVt4lWzJ-"&gt;here&lt;/A&gt;.
&lt;/BODY&gt;
&lt;/HTML&gt;
</t>
  </si>
  <si>
    <t>6SduCidMQFK3S1zjde8bKQ</t>
  </si>
  <si>
    <t>17826-B</t>
  </si>
  <si>
    <t>8F00250104100013</t>
  </si>
  <si>
    <t xml:space="preserve">&lt;HTML&gt;
&lt;HEAD&gt;
&lt;TITLE&gt;Moved Temporarily&lt;/TITLE&gt;
&lt;/HEAD&gt;
&lt;BODY BGCOLOR="#FFFFFF" TEXT="#000000"&gt;
&lt;!-- GSE Default Error --&gt;
&lt;H1&gt;Moved Temporarily&lt;/H1&gt;
The document has moved &lt;A HREF="https://script.googleusercontent.com/macros/echo?user_content_key=AehSKLjuhQglhcthayvJtjchtFBFIQt8XuptTe1QFYuDFwGwJKl5k--q1N5dEHBXjw_A5SB6xAD4ZlKXfgGQEUgu-fFBWj07lCGhtSMIy9OoBiwFtgKFz3JzVtWJngc4rdiY19OQZLHKRdQK6jcO6uQEvuQkSIOgXu9CvDY5997pDR4KXgL4ltuM8xrVJlYLucdUu5qTEpbH_Qhyb_N8xViZENycs2BVIH6x4qsNcpbg9ZeSY7PU2WUfX0hmmevHKjoYimmG6ghxkjdp9GsgLAw_NrhDgGy_fJfqPkhJ1fFNe-6P1YvWv9xjqF9-_tzGLw&amp;amp;lib=M-zdWbhavtdZ1B_W2dnFDM0qoVt4lWzJ-"&gt;here&lt;/A&gt;.
&lt;/BODY&gt;
&lt;/HTML&gt;
</t>
  </si>
  <si>
    <t>KZGf5fhDq3FbIiMEFBzf</t>
  </si>
  <si>
    <t>17827-A</t>
  </si>
  <si>
    <t>RETIRADA NA FABRICA / (0) Informação Adicional: PREÇO NEGOCIADO R$ 6.297,50  -- PEDIDO 27342 - NEO  / Obs.Interna: CONDIÇÃO ESPECIAL DA STILLO D AGUA DE +8% CONFORME COMBINADO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</si>
  <si>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HGtekcwuDtQB8Xexzf-gLMtiaVyvyXR-rgmFgX7nfWLu5K3ksI0YUdZyaJNMI4Jv9JG2qDh-l-cZXktOhi_-kbeM-F6UMJYlEuofSE9YzQE-3YbB89rCYzQF5dMVT824i3mutveZijkOpXKeKL0NnmFfM7juAcztNqPQoALJ9-QSxezGCjz_PHqFTEfKTjwStvYomD8HVlhlEM5MSgpF892juE9fm32QKS3Txf-fODq9tIEg11GI84kS035vIhzUsmiBcvS_Mkxf9ig1wYDkyNokLOyqP4BAI8VSkhZtcHLPtBcFn35zRywzNEA&amp;amp;lib=M-zdWbhavtdZ1B_W2dnFDM0qoVt4lWzJ-"&gt;here&lt;/A&gt;.
&lt;/BODY&gt;
&lt;/HTML&gt;
</t>
  </si>
  <si>
    <t>NI616LRxQtWUKWVF-T0naw</t>
  </si>
  <si>
    <t>17827-B</t>
  </si>
  <si>
    <t xml:space="preserve">&lt;HTML&gt;
&lt;HEAD&gt;
&lt;TITLE&gt;Moved Temporarily&lt;/TITLE&gt;
&lt;/HEAD&gt;
&lt;BODY BGCOLOR="#FFFFFF" TEXT="#000000"&gt;
&lt;!-- GSE Default Error --&gt;
&lt;H1&gt;Moved Temporarily&lt;/H1&gt;
The document has moved &lt;A HREF="https://script.googleusercontent.com/macros/echo?user_content_key=AehSKLglwGvSR_Ixl5MPnqA60MnD_kgB-LsIJ9KsxS9pBY549TT1X2KMGxRpF-IOjxDFc123neg9lKkzq29wQi-VbUkhsLjtJTog7u3JL36pWEMjl9x09YpejpIYOJZaCOPPoMmpIIqkkjdGtAFpqqWXenO6QB7SbBMICbyD_CuGp-fNjh7IS1Ra2lcLLe8VT8EclWgICA_vb00za0Z8ucuWkZHwwRiQKkPniNdRbr12nBucDHqEEsp7H7b4GzqHrmRaME9h1zfbCd_p5Vc2zKJR2UIRakGuOO-s8EjZDUFjJi1ZkOP7cMMNOTwuU7vBRA&amp;amp;lib=M-zdWbhavtdZ1B_W2dnFDM0qoVt4lWzJ-"&gt;here&lt;/A&gt;.
&lt;/BODY&gt;
&lt;/HTML&gt;
</t>
  </si>
  <si>
    <t>eWuI5Yt5YcYIZeGGM5LP</t>
  </si>
  <si>
    <t>17828</t>
  </si>
  <si>
    <t>8F00250104100016</t>
  </si>
  <si>
    <t>RETIRADA NA FABRICA / (0) Informação Adicional: PRAZO DE PAGAMENTO  BOLETO 15 DIAS PREÇO NEGOCIADO R$ 8.916,00
CLIENTE: RUDI FONTANA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</si>
  <si>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tul-69lovAPr_4wDHaR3eDQ4uIBFei_cGEXga3HqC1aX9a_Yc8E1IUY_BkUTFhwZiz_X2JkJMqzh3-94_T3uzGZbbHsJmU_2UmeG-V4TvCK9SGHO6ZIcellJhZJS3dr_-70cwKpPcAkaNvJhcyftVBZuJ_xUTazw_8G6Qou2xeyhpbzZk5GJq1nVksT1iyX99HjbTLQQmvn7pxI8yvw1YXczXvPIzDlnajT-4WqbwEgZyt-UoHwEXjZPmMbCeEmdk6npxhJZLj0x_EmhZiDjA0zPZICbk1Y1oEfE_yaABXX_N2Ht0vTJyPc0OoQ&amp;amp;lib=M-zdWbhavtdZ1B_W2dnFDM0qoVt4lWzJ-"&gt;here&lt;/A&gt;.
&lt;/BODY&gt;
&lt;/HTML&gt;
</t>
  </si>
  <si>
    <t>l6dK08YiSuyIarYNTOTOGw</t>
  </si>
  <si>
    <t>17829</t>
  </si>
  <si>
    <t>Carlos Blumenberg (Compras)</t>
  </si>
  <si>
    <t>RETIRADA NA FABRICA / (0) Informação Adicional: CLIENTE RUDI FONTANA - DESCONTO DE A VISTA (3%) PARA CONDIÇÃO A PRAZO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</si>
  <si>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B_zlw4GoJPuLNzLyzOMx5iSRU6RgTyM2L5YyOzYW-1U-07D7zb4bHEbG2psCm1k_wyK_E5ZnJtxjBSARPXmHxaw-wVy1vCNFjGEWxb2tIVXsEajAUFCfCq5l-5ILMdh6dFvbg5d0jMqSoGqWhGffpX_tPJN8qAJn29fVf-CceT5R1K1mnkk75uipYKNBLzwsT9EWMjKQnVp7N0tZoHKMZtCA_Ve91E8HrVhBaGiSq50H4yo4FYmnyVgRoFs-ufpZj3MZv_oM7tmxCy4Xt7ADx0xp_HYYRmIFsUbEAi0xX0phsxULx_6-R-oGPlg&amp;amp;lib=M-zdWbhavtdZ1B_W2dnFDM0qoVt4lWzJ-"&gt;here&lt;/A&gt;.
&lt;/BODY&gt;
&lt;/HTML&gt;
</t>
  </si>
  <si>
    <t>yC6KIIIFQW6reGHt93MwTg</t>
  </si>
  <si>
    <t>17832</t>
  </si>
  <si>
    <t>FITLOG TRANSPORTES E LOGISTICA LTDA / (048) 996277956Informação Adicional: OC 861 CARLSO HENRIQUE SCHRODER entregar Rua Adolfo Lutz 112 GAVEA RJ CEP 22451 120 ligar para o Jorge antes de entregar 21 9 95124022 / Obs.Interna: pgto 30 60 90 120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</si>
  <si>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eg76JoNWchFQ1ziLVS2tdDQ16CQL2GwOFBg-8gA8iYo9LWChW_H3Mdrj_rf4gXhIeDoMRNgvYG8xzepNFRDxOjeKzK_FcELF3L4ompAN6NYz2c3DRvQnOttdl-3ZvT2_KVFzaCsmMykcazzQ6uTfpFWJaSrHnfsrhGBtmM24pEbk7OB_aVS4Djgl66u0jgpcOTvE9hv0ibSZhDrSU-cZOs4FnrOfZ5ULt9f6CFe7eN3ggm7M5shzKhtkjVHvjaj42YLIb3Mw-jPzjLD7Fk-pr3ZWaCE8Cbzid1n-ngaicVDSpCkyincWYU-PsQQ&amp;amp;lib=M-zdWbhavtdZ1B_W2dnFDM0qoVt4lWzJ-"&gt;here&lt;/A&gt;.
&lt;/BODY&gt;
&lt;/HTML&gt;
</t>
  </si>
  <si>
    <t>m9-UVOeQQbWU8Eza1SOQqw</t>
  </si>
  <si>
    <t>17833</t>
  </si>
  <si>
    <t>FT50D35W</t>
  </si>
  <si>
    <t>FITLOG TRANSPORTES E LOGISTICA LTDA / (048) 996277956Informação Adicional: OC 862 Alvaro Lessa entregar : Rua Bernardo Coutinho 10351 lote 30 Araras Petropolis RJ cep 25725 155 ligar antes de entregar para o Jorge 21 9 9512 4022  / Obs.Interna: pgto 30 60 90 120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</si>
  <si>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8IduObcuaKTeZnJ1qmhf1Zp2di_wLe2VyePWsMsE0nTBPGTynFv5RUJcKyeeMuegzIrjGUUZ2daFnLNJ57zpUChrDA6hsqXhNIGxVOn3vCvD-2s4UcoyXZwAJhi7oP2p8bnJoGLBWr2K4GOjudGWa8UMNxvHOCGiFBrauL2kdS3YL64Fdx_Fw1VWyLOtBx9ohneRNXVq2uK3-sXECCoURtdIeEluT4yxTdUqCA75wbDZ_GpKSPKf2EHd45lR3uV-nNMBLd3wK1r5Qy59f9poU_kApTfgNb7fEIG7gE3yuD3KwRIwKypruNqxuhg&amp;amp;lib=M-zdWbhavtdZ1B_W2dnFDM0qoVt4lWzJ-"&gt;here&lt;/A&gt;.
&lt;/BODY&gt;
&lt;/HTML&gt;
</t>
  </si>
  <si>
    <t>jls4ObaJTmifkXFxRO71eA</t>
  </si>
  <si>
    <t>17834</t>
  </si>
  <si>
    <t>20112</t>
  </si>
  <si>
    <t>FITLOG TRANSPORTES E LOGISTICA LTDA / (048) 996277956Informação Adicional: OC 863 Entregar : Rua Itiquira 239 Leblon Rj cep 22450 110 ligar para o Jorge  antes de entregar 21 9 9512 4022  / Obs.Interna: pgto 30 60 90 120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</si>
  <si>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1JmCIZUHxNXj9IOjUyEBI-mrD0pZGinob6-_2i_e04Suhg5EsH0a76PpFEhjJotjpp3NheYmlbTwLZOKPGepQAQrkbmgLp2KxF2OwmGyHNBZ1ekM0Gd-gGlRp4UTmQ9fVKWXfVCpkg4p_5d__6eGshIerxqiWV4AFtllPhMtLvDczIxR8Oay4vQEmAr5t28skZMfKJcl7N8WKeLVz7xmwI1ehE4ga4dhaukWZl3USAwlG7XiSlfPwi4F0VP7SknFeeg2LtO4xNBmoBTOq7swl2kJNmhnHa6xatQN2kaUN6XBPGmo3r-m1X5iXSA&amp;amp;lib=M-zdWbhavtdZ1B_W2dnFDM0qoVt4lWzJ-"&gt;here&lt;/A&gt;.
&lt;/BODY&gt;
&lt;/HTML&gt;
</t>
  </si>
  <si>
    <t>4wuTYMe.Rm2JEnn6maZEog</t>
  </si>
  <si>
    <t>17836</t>
  </si>
  <si>
    <t>8F00250104100032</t>
  </si>
  <si>
    <t>FITLOG TRANSPORTES E LOGISTICA LTDA / (048) 996277956Informação Adicional: REDESPACHO FOB  CNPJ 24.882.886/0002-93 - RADLOG TRANSPORTES LTDA Rua UMBUZEIRO, 123 - Cep 07.224-010 - BAIRRO CIDADE INDUSTRIAL SATELITE DE SAO PAULO - GUARULHOS - SP I.E. 796.514.930.111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</si>
  <si>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jqYyDXlXy_7a9TkMAA5ARRbhm-NWe_7ifkWi7rz_oruqRCKzX-oY6ruLBPapYNXUfWPSNKohB5fZtibWiUrbTrOeS0yphfCHpQGbvfmOBGpxi1zLLdY9wSVV7zRVBjM6Ik9ffEZDKeCaFpWOJI87SKX5sNmPgnKQusT7Ei3_aa6XFIDNKUW_Y3GMyJ47xaILEyvKfk9IjcoKlCd-ISHuhc1MS48hZMLMu23LgKQCqf63CH-eCkcytDglzrpIKDzYV7l0-bjSIMcXgh4CYh320yMnXjbfQI4ljPRA8UKq50WQdHucgpM56ZO0suw&amp;amp;lib=M-zdWbhavtdZ1B_W2dnFDM0qoVt4lWzJ-"&gt;here&lt;/A&gt;.
&lt;/BODY&gt;
&lt;/HTML&gt;
</t>
  </si>
  <si>
    <t>T-4pb5aaTTC0OdMF3-wKKQ</t>
  </si>
  <si>
    <t>17839</t>
  </si>
  <si>
    <t>8F00250104100017</t>
  </si>
  <si>
    <t xml:space="preserve">&lt;HTML&gt;
&lt;HEAD&gt;
&lt;TITLE&gt;Moved Temporarily&lt;/TITLE&gt;
&lt;/HEAD&gt;
&lt;BODY BGCOLOR="#FFFFFF" TEXT="#000000"&gt;
&lt;!-- GSE Default Error --&gt;
&lt;H1&gt;Moved Temporarily&lt;/H1&gt;
The document has moved &lt;A HREF="https://script.googleusercontent.com/macros/echo?user_content_key=AehSKLiLO7OmshFxNb_xInn3HJguQdMvEiOytDc1-7dWVl5hYQCYE3Ww8mQJ9uV5VkIT4sbNSoHKwitsvk8oA9bHHtr_Ew9VA2_pKs7K9kKGxSm6USrdM3l-SFryTl73EDbLf2P6XZaye9jFedoy0Tx6D5GxhqN0bebXApV5FQgbKcmFcsAzyuD81lx7-a_hQgChuIYynWv3Pv8bzvrlVG0CsTWrr-p-Ybu49MXed7a8jba-NAxnmpU55lStZH5ZLDK9fBQb3q30jdjJ1N16YqgR3mWL70Ed_oRJW5zmrLN1gF2Vyk5w4iOiBwj4AfAf5A&amp;amp;lib=M-zdWbhavtdZ1B_W2dnFDM0qoVt4lWzJ-"&gt;here&lt;/A&gt;.
&lt;/BODY&gt;
&lt;/HTML&gt;
</t>
  </si>
  <si>
    <t>YQIE0kNwQ--6dZmEaaH1Nw</t>
  </si>
  <si>
    <t>17840</t>
  </si>
  <si>
    <t>8F00250208120007</t>
  </si>
  <si>
    <t>RODOVIARIO WILSON</t>
  </si>
  <si>
    <t>FITLOG TRANSPORTES E LOGISTICA LTDA / (048) 996277956Informação Adicional: frete FOBcomredespachopela RODOVIARIO WILSON- CNPJ SÃOPAULO- 050112170001-10 - TRANSPORTADORA AREIAS BRANCAS, Rua Sargento Manuel Chagas, 70 - Parque NovoMundo, SãoPaulo- SP
Considerar entrada feita no pedido 17810. / Obs.Interna: Valor da Entrada: R$ 4.363,44.
Crédito já na Formtherm devido entrada no pedido que foi cancelado: 17810 no valor de R$ 3.203,21.
Dessa forma falta uma entrada de: R$ 1.160,23.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</si>
  <si>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2K24kzlI6pTuRYuX6B1KzHD7PzgUvZH8WSPVdCGcZ6g7qdwcE3ljR3tykvL5z145cr_FObGZqsETKEWooCyVsxte179mMtkMzTqtiSlfd6v2L0L4Gtj6o_Z-V2itjiZ7uqVUa_1ois7HekyfFBwVLyGXVA-doMbN2Q_kQau2rIzAhC__XEK_ylpMLF9Aaa6FSFrtDRt-C4GRg_nA8mDb0gRkJaKPgsKxTFaoR_Q5_3xIHBp5shom_nTZvCpDLbFi8AMP9oILXcFqEKoZ1pulnTXrEbHr_5l8D-gThSZN72vXHC8PbYpXOl1Ik5g&amp;amp;lib=M-zdWbhavtdZ1B_W2dnFDM0qoVt4lWzJ-"&gt;here&lt;/A&gt;.
&lt;/BODY&gt;
&lt;/HTML&gt;
</t>
  </si>
  <si>
    <t>6SaWEkSKRnyhgkF7ElrO9A</t>
  </si>
  <si>
    <t>17841</t>
  </si>
  <si>
    <t>RUDINEI STAATS</t>
  </si>
  <si>
    <t>8F00250110270008</t>
  </si>
  <si>
    <t xml:space="preserve">&lt;HTML&gt;
&lt;HEAD&gt;
&lt;TITLE&gt;Moved Temporarily&lt;/TITLE&gt;
&lt;/HEAD&gt;
&lt;BODY BGCOLOR="#FFFFFF" TEXT="#000000"&gt;
&lt;!-- GSE Default Error --&gt;
&lt;H1&gt;Moved Temporarily&lt;/H1&gt;
The document has moved &lt;A HREF="https://script.googleusercontent.com/macros/echo?user_content_key=AehSKLjg4Fy-Tqtlh_CxK6L3ZWjQ_A3Jbf9Zp0RapLX9ZSyV64K4_DlprOcsLJDXEFVU8qzTrG_imiCrmlZn1acpYeoVCE3_9XgNQ-hN3qtV6mO6nT-x1tWKxNwzksYMARDsFgqXJ8Nq_0XT93rSGDeutvZuPwgQVBTKaqJZLHiFDROskXwwwyTh0j1tQ-CPItWSz1C7N0f5yxAku9ZDD2uuDChZ1a64SNpmp5buq7-Meryqecj0KjHlNRJOsdQEkJ3VnArIjkCg0MIKQ0Uhr4UD_DPX1FCIbVUNEREa35Z6pvS_8cPjN_ZR1vB61oNhdQ&amp;amp;lib=M-zdWbhavtdZ1B_W2dnFDM0qoVt4lWzJ-"&gt;here&lt;/A&gt;.
&lt;/BODY&gt;
&lt;/HTML&gt;
</t>
  </si>
  <si>
    <t>pyYQH91nQfqNQhzp5XEMEA</t>
  </si>
  <si>
    <t>17842</t>
  </si>
  <si>
    <t>8E00250110260011</t>
  </si>
  <si>
    <t>FITLOG TRANSPORTES E LOGISTICA LTDA / (048) 996277956Informação Adicional: oc 872 entregar Rua Sambaiba 483/202 Leblon RJ cep 22450 110 ligar antes de entregar tel 21 9 9512 4022 / Obs.Interna: cliente tem extrema urgencia , precisa receber para instalar na sexta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</si>
  <si>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YSpcBY7K_z4NmytdEPISRdj7muZ68hFdLo-bqwIV7Lic3CSNKhLUnrkReVKOg5Nsvp6Gp_eSfYiQT115z_rSVwKjvlNtlyPmBYX5vzcf4v3829_GBymt8HKhDEIYYhrMInYHdP_Z3JHaAAvxWpxe6A5MTYND5coCGA87YZ1qH3H2i9ymDxDD7R8eIrwINH2rNxhkVx30c1HxoNe4m7fP6juUTssRI6vEJYEkSsIJAdTXsvM4QiV9qrVp3RQZx5LAcZbpbFtWQZzMc9WhcSRSmUExCwuly1yI61Mc-DcwjlchrjhYAQEwKMKT9g&amp;amp;lib=M-zdWbhavtdZ1B_W2dnFDM0qoVt4lWzJ-"&gt;here&lt;/A&gt;.
&lt;/BODY&gt;
&lt;/HTML&gt;
</t>
  </si>
  <si>
    <t>gJ6CCrQhQJy9-Oqch1lH4A</t>
  </si>
  <si>
    <t>17843-A</t>
  </si>
  <si>
    <t>PLUG SOLAR RENOVAVEIS LTDA</t>
  </si>
  <si>
    <t>20128 Pedido saiu errado</t>
  </si>
  <si>
    <t xml:space="preserve">&lt;HTML&gt;
&lt;HEAD&gt;
&lt;TITLE&gt;Moved Temporarily&lt;/TITLE&gt;
&lt;/HEAD&gt;
&lt;BODY BGCOLOR="#FFFFFF" TEXT="#000000"&gt;
&lt;!-- GSE Default Error --&gt;
&lt;H1&gt;Moved Temporarily&lt;/H1&gt;
The document has moved &lt;A HREF="https://script.googleusercontent.com/macros/echo?user_content_key=AehSKLhf1ZOFPotXm2zkZGghDHTIF4qgUnl9rPIs6Yt4kcvmb2VNiPa_0650ZzHDxEcERB6x8QezCuBAXuiykclrtW3mbYCCWsjcE9BZMmhGL4jqIyRcpbkXpG6Nt1tN2xUJtC1XyKBgu06CDghExexIBJOyR6WH-gmntzMW_meWh2npUo9EJOmTp6XtM7ILGVYcztSf2HmjDY6Xc-iOn9TVBasB5W7n5WYAVq0mFwRwO1ag_zNzCaAp1cLOtvGczWFiZMu8o5kQFfFvLEmGuvkGqL_QCQSLVoERdxMOvE87btIc-K5V7zYf7xtXxBnRZg&amp;amp;lib=M-zdWbhavtdZ1B_W2dnFDM0qoVt4lWzJ-"&gt;here&lt;/A&gt;.
&lt;/BODY&gt;
&lt;/HTML&gt;
</t>
  </si>
  <si>
    <t>KEOtQvcxQseuXUxiw0tu.A</t>
  </si>
  <si>
    <t>17843-B</t>
  </si>
  <si>
    <t>20129 Pedido saiu errado</t>
  </si>
  <si>
    <t xml:space="preserve">&lt;HTML&gt;
&lt;HEAD&gt;
&lt;TITLE&gt;Moved Temporarily&lt;/TITLE&gt;
&lt;/HEAD&gt;
&lt;BODY BGCOLOR="#FFFFFF" TEXT="#000000"&gt;
&lt;!-- GSE Default Error --&gt;
&lt;H1&gt;Moved Temporarily&lt;/H1&gt;
The document has moved &lt;A HREF="https://script.googleusercontent.com/macros/echo?user_content_key=AehSKLinDyACZcxeZhcwb4fHI1Oue-jyvddDDfTY2FzZyiugro-ifzeXoU4HHDwHOqoe6Rbz12zFV3ooif7G43A6dW3YK-2ViDI6m1IN5jQFEdOQ1GX4sl9IsyGGAw4ujbP48-XvHi0MbZiI4UYaS3-eWfnKDUK1aZ5IiNnd8dlkrUdKurVXFdngoin63JEQhujc8iAFe1oE4wHh4R4prbA9Rmc7hZJGQMSGVeVxJgaAJwrOskUp68xhcEpUg3pcM4tIktwLXIXmMDiJl43iZHr-08NijhP2KQNcLKh0pC0G0ZMGy4qkdWR-vsCpf_GQ3Q&amp;amp;lib=M-zdWbhavtdZ1B_W2dnFDM0qoVt4lWzJ-"&gt;here&lt;/A&gt;.
&lt;/BODY&gt;
&lt;/HTML&gt;
</t>
  </si>
  <si>
    <t>3iaVL2PE86aq5WUNEhF6</t>
  </si>
  <si>
    <t>17843-C</t>
  </si>
  <si>
    <t>20130 Pedido saiu errado</t>
  </si>
  <si>
    <t xml:space="preserve">&lt;HTML&gt;
&lt;HEAD&gt;
&lt;TITLE&gt;Moved Temporarily&lt;/TITLE&gt;
&lt;/HEAD&gt;
&lt;BODY BGCOLOR="#FFFFFF" TEXT="#000000"&gt;
&lt;!-- GSE Default Error --&gt;
&lt;H1&gt;Moved Temporarily&lt;/H1&gt;
The document has moved &lt;A HREF="https://script.googleusercontent.com/macros/echo?user_content_key=AehSKLiaTEglPM8FrwCrx5zhC2n-x3tw2HZp4TumZYkMXLj3-VFpd8mXxUKLKW_U_iDEfFy-PJvx6CUSjho79kUKdq7eFPwBJlUw2_BTSVqyLWtzxrGOTenfwD_17e4cf2MrnUK_SVkmfrFFhZEKDXxna26PjjWLbsk8sl7stUWa8tIHqxmU2P-g-jat6gSPg0Rvb9hIASqBx2I1XHrcQlyB5Pmi0EvAWgzDumzDY7tkCA2_uvc22M9z2QkW614Vs1QutrIy-rdIDqPcbXeqoJPXjOPRkMK-vY8VM_Cp9vMBVgFQgSGwHdJ943VaIwXT6Q&amp;amp;lib=M-zdWbhavtdZ1B_W2dnFDM0qoVt4lWzJ-"&gt;here&lt;/A&gt;.
&lt;/BODY&gt;
&lt;/HTML&gt;
</t>
  </si>
  <si>
    <t>mSKy9Hg9sZog5nACb6Ok</t>
  </si>
  <si>
    <t>17844</t>
  </si>
  <si>
    <t>SCURRA TECNOLOGIA</t>
  </si>
  <si>
    <t>8F00241118040026</t>
  </si>
  <si>
    <t xml:space="preserve">&lt;HTML&gt;
&lt;HEAD&gt;
&lt;TITLE&gt;Moved Temporarily&lt;/TITLE&gt;
&lt;/HEAD&gt;
&lt;BODY BGCOLOR="#FFFFFF" TEXT="#000000"&gt;
&lt;!-- GSE Default Error --&gt;
&lt;H1&gt;Moved Temporarily&lt;/H1&gt;
The document has moved &lt;A HREF="https://script.googleusercontent.com/macros/echo?user_content_key=AehSKLgmofQEaUf32OH4w62koOx3eaecdTSxJ6cUkA8UWMZ1LdGuxISpisGbSy5x1mJkWfNSJJNy3fJ8P0V5oKA5rYcPQ0sFl-KWGtCMOqTHO0TayiSVX4Z52-imcm0DPaxx2WcI4wpLHSAjrTRzsSNfPx6m-SAbIuDbH1IpZPNAm0SZwEtX7ApbhYgTL3jX3WIfTmYcNGECjBQhxo7yPvLdjLqwVsQQDNxTcvV9dTE-keZ3rWFP1kilkwfLMm24S4o_RK-zVuL3d25wGW7jmMd4t92ofvAz6WG4krGD14gCYoan73jp-dm8ViS6MpwhIQ&amp;amp;lib=M-zdWbhavtdZ1B_W2dnFDM0qoVt4lWzJ-"&gt;here&lt;/A&gt;.
&lt;/BODY&gt;
&lt;/HTML&gt;
</t>
  </si>
  <si>
    <t>cSnkcxk6Rdu6KC4My3foOQ</t>
  </si>
  <si>
    <t>17845</t>
  </si>
  <si>
    <t>8F00250110270007</t>
  </si>
  <si>
    <t xml:space="preserve">&lt;HTML&gt;
&lt;HEAD&gt;
&lt;TITLE&gt;Moved Temporarily&lt;/TITLE&gt;
&lt;/HEAD&gt;
&lt;BODY BGCOLOR="#FFFFFF" TEXT="#000000"&gt;
&lt;!-- GSE Default Error --&gt;
&lt;H1&gt;Moved Temporarily&lt;/H1&gt;
The document has moved &lt;A HREF="https://script.googleusercontent.com/macros/echo?user_content_key=AehSKLjY0I4OUalt0oqUiSJ5lzQepLbpO4uhZ6d11HxSvCm1O2jqtj04dzPwkh5tpTBCOYlQUjWFq6PY035baH5zMrvBVBdQiSTfH1QYMlY_FXCg7iQyB5dtTU5UcpcGekRm-JRT9Mu9yyT-0LjlBUUhxgJUTM4DcrInRAedQQ4u9Tg9GFwdrFGUFtwKGF2Ii1K_UKQZdTN6P9jnvev-S2guSx1Du7dtZ6kWXFzflOmowmqvgxldkF9IeZF1efRX07fP-ahX2nx_ksGEKsM_SvlIR2A6FOxv7o-2Bv91GA3thvyz9JVPM9LByBFrb03fIw&amp;amp;lib=M-zdWbhavtdZ1B_W2dnFDM0qoVt4lWzJ-"&gt;here&lt;/A&gt;.
&lt;/BODY&gt;
&lt;/HTML&gt;
</t>
  </si>
  <si>
    <t>AB3aajh4SFK5mnHzK6zJ3Q</t>
  </si>
  <si>
    <t>17846</t>
  </si>
  <si>
    <t>8F00241118040030</t>
  </si>
  <si>
    <t>FITLOG TRANSPORTES E LOGISTICA LTDA / (048) 996277956Informação Adicional: REDESPACHO FOB:
TAS LOGISTICA E TRANSPORTE LTDA, CNPJ: 40.835.229/0001-60 - RUA
FRANCISCO DIOGO DE ASSIS VASCONCELOS Nº: 173 CEP: 06.230-010 Bairro:
PIRATININGA, OSASCO - SP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</si>
  <si>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zL58rFUdpbGaEhB_YW3koP-iyXQPFfbBdQLY8E90ch1-VLVeD4Kzc4PaCvUHLLF1Rta0N4OGh-k04OQWDJSPlE9DruqmzLmpoNY1qCtffXX8FFA0L3Os7eYZWWBhJQja3sKUPUdIQZ5mkB_j8fZOZcjmUdGvDs1WfsLcodRT0reKCfPY3RXRMyo4FeeSvz4FO0_X0gRb8ha2k-MiuXDmbstXFHYO98MjW_LyFvNSouvc0fDnoNCDZ-HqApIo8AvZN5KbGYVZINLioEh2cd5Cq0xIRzgHMYOHe4KiPBSgVGCPZP3dmshE5fEPyTw&amp;amp;lib=M-zdWbhavtdZ1B_W2dnFDM0qoVt4lWzJ-"&gt;here&lt;/A&gt;.
&lt;/BODY&gt;
&lt;/HTML&gt;
</t>
  </si>
  <si>
    <t>MJGZ12Y-SGeX-Dt-PgJfcg</t>
  </si>
  <si>
    <t>17847</t>
  </si>
  <si>
    <t>8E00241118030050</t>
  </si>
  <si>
    <t xml:space="preserve">&lt;HTML&gt;
&lt;HEAD&gt;
&lt;TITLE&gt;Moved Temporarily&lt;/TITLE&gt;
&lt;/HEAD&gt;
&lt;BODY BGCOLOR="#FFFFFF" TEXT="#000000"&gt;
&lt;!-- GSE Default Error --&gt;
&lt;H1&gt;Moved Temporarily&lt;/H1&gt;
The document has moved &lt;A HREF="https://script.googleusercontent.com/macros/echo?user_content_key=AehSKLi08ALDNN186T02MSfUhUlu4zVitIVKfZ1YB6hsZN3RIQbAh9HJz8PfqOsKibMml5x8UllE29FCJCv5GrF8s4qiJGRTj-qXr7I7hCnq6fO562XD4iLG3EBirmdtj0__obUTCWqMZigCnVyGQSD5P7-usaaebyEeT70og8Lmg9BkZ3OoWbFjfCqhI7xLNH1Ku82yksG-LNb3AcOt0kqZez5QZqAZDQV9l_rLQ7p9yVeA7FIK3bmAxPU5MvICHYyTOScj2Fr7XXv-DiVJZ9HtB_GfNwb2HWCO2YTOX4wqnyVhndVG4m7B_P6kGbvN7w&amp;amp;lib=M-zdWbhavtdZ1B_W2dnFDM0qoVt4lWzJ-"&gt;here&lt;/A&gt;.
&lt;/BODY&gt;
&lt;/HTML&gt;
</t>
  </si>
  <si>
    <t>1lJ3g-WfT1eawwr6lJGcrQ</t>
  </si>
  <si>
    <t>17848</t>
  </si>
  <si>
    <t>FAIBERPLAS IND E COM DE FIBRA DE VIDRO LTDA</t>
  </si>
  <si>
    <t>8F00250208120008</t>
  </si>
  <si>
    <t xml:space="preserve">&lt;HTML&gt;
&lt;HEAD&gt;
&lt;TITLE&gt;Moved Temporarily&lt;/TITLE&gt;
&lt;/HEAD&gt;
&lt;BODY BGCOLOR="#FFFFFF" TEXT="#000000"&gt;
&lt;!-- GSE Default Error --&gt;
&lt;H1&gt;Moved Temporarily&lt;/H1&gt;
The document has moved &lt;A HREF="https://script.googleusercontent.com/macros/echo?user_content_key=AehSKLhBmVqRUzTFvxp7ZGX6_OoRcGI7u6-WzVKl4oUgbHXLtzfIAz-nFLsmWp0xdDBTTedN8GUc6wZq56zOIm8RB2tX1JWKYTk5C5D20Sf_Mk4PrntISJmUBoyokrjPVRkbVs2XNwl4n0AVRbwJPfwndG4-RYmOj_5H82RICkqMR9gzj7IzXBiuGA1sdtzuzWQnFqJhq3uH1bZvewv7g4VEddHb98UrOQJXjJtHdrNA9bSAgR-mpVXYWn4X4SDlKp3k__b1JPaoHR75fAiU71toJ8JX2MrIK4lj4uIeztgH4OvC4aHAujMNfYR_UR1slQ&amp;amp;lib=M-zdWbhavtdZ1B_W2dnFDM0qoVt4lWzJ-"&gt;here&lt;/A&gt;.
&lt;/BODY&gt;
&lt;/HTML&gt;
</t>
  </si>
  <si>
    <t>RX5alVDkSIS3POdreTXYMQ</t>
  </si>
  <si>
    <t>17850</t>
  </si>
  <si>
    <t>CONDOMINIO ALTO DE BUZIOS</t>
  </si>
  <si>
    <t>8F00250110270035</t>
  </si>
  <si>
    <t>FITLOG TRANSPORTES E LOGISTICA LTDA / (048) 996277956Informação Adicional: VENDA INDICADA PELA AGUAS E VAPORES - REDESPACHO PELA 3A TRANSPORTES / BOM JESUS TRANSPORTES / Obs.Interna: VENDA INDICADA PELA AGUAS E VAPORES - REDESPACHO PELA 3A TRANSPORTES / BOM JESUS TRANSPORTES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</si>
  <si>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giYSz8dtdzESikrhS1cfGCa2HEn3fo5wthHXKpei52Wo8pu-qAVvJoVu8bDuVSoSFoTfnbuy02X3TkMQX7SgX3GQV-l72ocRBZSApyTjN-xeCp5hn4KH7mC8dgd0QDy4DFoyQ4gb7lukKNo-X6pOHixkDQn8b0CVO6Ryp3TWNqxtNrB9xclGXF1EZxHzQe7do6Sr0Bxt2REmk8hRVXL3zkYe5fuVp4I38C-eAS-4RFNqvhh0aE5DJXsuNX438N82V4vGyfmEE5AttPpXrcSb-rdQNhoGf1DQ_oybipBrdox4l6EM5l86amZ0Y1Q&amp;amp;lib=M-zdWbhavtdZ1B_W2dnFDM0qoVt4lWzJ-"&gt;here&lt;/A&gt;.
&lt;/BODY&gt;
&lt;/HTML&gt;
</t>
  </si>
  <si>
    <t>HKXaazdMQcaRYe2Tzqupmg</t>
  </si>
  <si>
    <t>17851</t>
  </si>
  <si>
    <t>8F00250329060012</t>
  </si>
  <si>
    <t xml:space="preserve">&lt;HTML&gt;
&lt;HEAD&gt;
&lt;TITLE&gt;Moved Temporarily&lt;/TITLE&gt;
&lt;/HEAD&gt;
&lt;BODY BGCOLOR="#FFFFFF" TEXT="#000000"&gt;
&lt;!-- GSE Default Error --&gt;
&lt;H1&gt;Moved Temporarily&lt;/H1&gt;
The document has moved &lt;A HREF="https://script.googleusercontent.com/macros/echo?user_content_key=AehSKLjW3J2szgNTe3LBA8cIWiFbzdZ22EjWypfvNvcH7Nzk-AO2V0M_ZTzzHDf97mm96x4eV5OCOhi6qO83GKrrqD_YQONXW0LlOvCL56vlqnwLaVGiGGFeZ4gMikstlr49wSLgE6W9nEh1hnSSEWOz8nLNFMz3PnnFEsC3wtnQDnzSMLL1E-KYKS6eWa55gfn3J4hpzlAayl7cnyvMaxMbGjDyU2L2k_dlktu0ZuwATGoQO2UhY7GxzCzh-KS0htyFFuWjLkr07JldFaGOZV1I5p_kVim6RGpDyaxAXXbWp6hKcSWEAb6oHvfpAlgxtA&amp;amp;lib=M-zdWbhavtdZ1B_W2dnFDM0qoVt4lWzJ-"&gt;here&lt;/A&gt;.
&lt;/BODY&gt;
&lt;/HTML&gt;
</t>
  </si>
  <si>
    <t>jfqRj.3-R9qYvnSWG7ne2w</t>
  </si>
  <si>
    <t>17852-A</t>
  </si>
  <si>
    <t>8F00240812220304</t>
  </si>
  <si>
    <t>RETIRADA NA FABRICA / (0) Informação Adicional: valores negociados: FTI105 380TRIF. 14.175,00 e FTI25 R$ 6.334,00
&lt;br&gt;</t>
  </si>
  <si>
    <t xml:space="preserve">&lt;HTML&gt;
&lt;HEAD&gt;
&lt;TITLE&gt;Moved Temporarily&lt;/TITLE&gt;
&lt;/HEAD&gt;
&lt;BODY BGCOLOR="#FFFFFF" TEXT="#000000"&gt;
&lt;!-- GSE Default Error --&gt;
&lt;H1&gt;Moved Temporarily&lt;/H1&gt;
The document has moved &lt;A HREF="https://script.googleusercontent.com/macros/echo?user_content_key=AehSKLjPD-pN9gqRD7tCwgoHRD-Z44mquC-yrMbPZTa-ItsLUorYnvIIyiq_fr4f7MnDhl941SndgaT5VS1ptsdUabqVCYZKWJCnId034xm0_jrZ1c5bretm21Prl3EfT5RmzO565DBmVhPoQFWM0CxB6FscodK6K-ctEA02G59dkYxXF5B0W_BCk_fLNKemgv08Je2vqZ_ywt-pF2JJC98c7hpLcj7S_7bR7sLIpgqlkel-oRENTh35Loi1zXFf2TO6yE-580JKVj-cBZSbwL_ARYrdERO5kp5rpqxgzq8E__0MIb3DDwGduCg2q8MZgg&amp;amp;lib=M-zdWbhavtdZ1B_W2dnFDM0qoVt4lWzJ-"&gt;here&lt;/A&gt;.
&lt;/BODY&gt;
&lt;/HTML&gt;
</t>
  </si>
  <si>
    <t>YvCCIJe0SEuVl85AQUsC1A</t>
  </si>
  <si>
    <t>17852-B</t>
  </si>
  <si>
    <t>8F00240812220305</t>
  </si>
  <si>
    <t xml:space="preserve">&lt;HTML&gt;
&lt;HEAD&gt;
&lt;TITLE&gt;Moved Temporarily&lt;/TITLE&gt;
&lt;/HEAD&gt;
&lt;BODY BGCOLOR="#FFFFFF" TEXT="#000000"&gt;
&lt;!-- GSE Default Error --&gt;
&lt;H1&gt;Moved Temporarily&lt;/H1&gt;
The document has moved &lt;A HREF="https://script.googleusercontent.com/macros/echo?user_content_key=AehSKLg12EC_xn45x-SIxTlM0d_BLEwDJ-e3LgOM8DotONdqrIriATs2-fkBohmj0oHp7sXDojHbqbelrQHH0rxpiUS4RDDKpHuplJmMvqEjSImbGaKqH291slCOw5PBLy8UdE8ZTNDhWh3mG4QR-0d54VIJ9Kvi0U1I_mmAE8kW5qqdYIXNoOT3n67v6k5V6zkLZcO7AQkpazEO7qJsAKd2LjKissAWr19P2ebFm9l5ftPSMCHQggJxfQ_P3AF-wX1WuQKKTtgydoM0qZe-Q4ZOz-_Z_SJQpjME9iQhK_kPJZkPSPtSDwfVuepRYN-kig&amp;amp;lib=M-zdWbhavtdZ1B_W2dnFDM0qoVt4lWzJ-"&gt;here&lt;/A&gt;.
&lt;/BODY&gt;
&lt;/HTML&gt;
</t>
  </si>
  <si>
    <t>3MBeCdXFrE2FDssHVToi</t>
  </si>
  <si>
    <t>17852-C</t>
  </si>
  <si>
    <t>8F00240812220303</t>
  </si>
  <si>
    <t xml:space="preserve">&lt;HTML&gt;
&lt;HEAD&gt;
&lt;TITLE&gt;Moved Temporarily&lt;/TITLE&gt;
&lt;/HEAD&gt;
&lt;BODY BGCOLOR="#FFFFFF" TEXT="#000000"&gt;
&lt;!-- GSE Default Error --&gt;
&lt;H1&gt;Moved Temporarily&lt;/H1&gt;
The document has moved &lt;A HREF="https://script.googleusercontent.com/macros/echo?user_content_key=AehSKLi3Q0h6QsJQXIgaedhWjHfE7cGJaij-Ul8u6yl0g1VDp24baIFeTNP1DXdJ8muONNVwEiCc4IxvVgEE3LpQmlXAvi1yXdSuBSTLt5uI0Nw18UgEYgRK7pyywgkJ6tTWJqtw8qeeJYeUqjxWNL2AJ--6EjkyUnjfjqC6Uc0o0CQXGBXLbzpNe_NpoEc-cnqbXDU_YvcFKRZq3C-S2L2CslJqLTe-onAxXWhnuDdR-X6JkAni6ipDbl1k3WA3ZVuB8WUEd61HTmW1qnmBbEB_L7RvV33g2bNUPsxHIrm9Xz8i1HQ3SjrtBf3JZIvdxA&amp;amp;lib=M-zdWbhavtdZ1B_W2dnFDM0qoVt4lWzJ-"&gt;here&lt;/A&gt;.
&lt;/BODY&gt;
&lt;/HTML&gt;
</t>
  </si>
  <si>
    <t>PZm4Ysshnd1g3aDvY1JI</t>
  </si>
  <si>
    <t>17852-D</t>
  </si>
  <si>
    <t>8F00240812220302</t>
  </si>
  <si>
    <t xml:space="preserve">&lt;HTML&gt;
&lt;HEAD&gt;
&lt;TITLE&gt;Moved Temporarily&lt;/TITLE&gt;
&lt;/HEAD&gt;
&lt;BODY BGCOLOR="#FFFFFF" TEXT="#000000"&gt;
&lt;!-- GSE Default Error --&gt;
&lt;H1&gt;Moved Temporarily&lt;/H1&gt;
The document has moved &lt;A HREF="https://script.googleusercontent.com/macros/echo?user_content_key=AehSKLgb4DOxzrLvJDsNpLFPvCpANJoaYbkBEU8aRHBJ4wwaWcczZIBKa_d479E81arBtOoqoZQbXtPJMvp0TwbMVmVrjE2qYt9WTXYjVcZ6LYgA6CzlSEpeuldiJNCNlObTnLghv3AZEZTfAxzJabC1x-fqF9Fzp0l8pQChPDPi5PRV8OS4BtyKnJuXiwPdtXB6jcDqedE3W53rEmeHAgNy6KLML3HvkjoN7u9y_esiMUoMipHJmU4Gr7TGZdK8GLMu2PZEIuEy0I741rtxa2_vOqrQiadMc50u85WxHrKyWXUOp5ADRJab7cAgNUpLqg&amp;amp;lib=M-zdWbhavtdZ1B_W2dnFDM0qoVt4lWzJ-"&gt;here&lt;/A&gt;.
&lt;/BODY&gt;
&lt;/HTML&gt;
</t>
  </si>
  <si>
    <t>wuwfjIvDEWrUriPui3Ge</t>
  </si>
  <si>
    <t>17852-E</t>
  </si>
  <si>
    <t>8E00250104020012</t>
  </si>
  <si>
    <t xml:space="preserve">&lt;HTML&gt;
&lt;HEAD&gt;
&lt;TITLE&gt;Moved Temporarily&lt;/TITLE&gt;
&lt;/HEAD&gt;
&lt;BODY BGCOLOR="#FFFFFF" TEXT="#000000"&gt;
&lt;!-- GSE Default Error --&gt;
&lt;H1&gt;Moved Temporarily&lt;/H1&gt;
The document has moved &lt;A HREF="https://script.googleusercontent.com/macros/echo?user_content_key=AehSKLj1JcAJJ3Sh0dC8FWYDX5ZZ8ygsDZNPA2QBb-MNGlNxRauxss89J5N-7-JGCo_DCK9NfdgcG_Z4AxiR5gjsrZAIveTYc9EbVcGtBcbuWR1_P3PtyZw5ASF26i2VF8gEHdtTNRInFOfO0C-vYllP3ZtkSdfz3a9U6ThtEyPg-YkB-NbnxmSAJiETlbSSX1eS_IxLEg5l-y5i6itUaGJrVar1Q1rBx8WINTVfS06FjHEF30tC9QpG_bZAwVOldndn8s0RM5ybxx_FnhWQPY0dXx9Izpr271_pTPWtKFDr9B3UNWvGDWn9SdrXawxf0A&amp;amp;lib=M-zdWbhavtdZ1B_W2dnFDM0qoVt4lWzJ-"&gt;here&lt;/A&gt;.
&lt;/BODY&gt;
&lt;/HTML&gt;
</t>
  </si>
  <si>
    <t>YGulX8KM3W3rzPdogW9r</t>
  </si>
  <si>
    <t>17853-A</t>
  </si>
  <si>
    <t>FITLOG TRANSPORTES E LOGISTICA LTDA / (048) 996277956Informação Adicional: Forma de pagamento 30/60/90/120. Frete CIF. Controlador Wifi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</si>
  <si>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4WJ6_6vEc-P8zBtdRYMjHZKUDgAKuMyTNqlyRQTWMnH0Zn911ao7WctwYJNtAfZBsQAJmTdOYTL82IWP6k6MXIjacGQj8PycAHMtO1TRNJSPBofVh2UTre0h_XBSEI1roDycHCu1HC-Wn3TXc4t_wdy-QiIHUnamuaK5jxSIAgWBq6DcABarWuowlrWmeBt87Vr5KqETHGoRUJ4BNSNxomEfSURr-Eqm-qR-6YwhnBZjkTR0W0s_M7UECHxxjBMMghwNU3Zw75piXpC7wPYy1jG8Ns8ETrpbZQQApoeJmsmYbMaqDHCq3DZdD6w&amp;amp;lib=M-zdWbhavtdZ1B_W2dnFDM0qoVt4lWzJ-"&gt;here&lt;/A&gt;.
&lt;/BODY&gt;
&lt;/HTML&gt;
</t>
  </si>
  <si>
    <t>tCkSkFEp3LM5NqVKyE0D</t>
  </si>
  <si>
    <t>17853-B</t>
  </si>
  <si>
    <t xml:space="preserve">&lt;HTML&gt;
&lt;HEAD&gt;
&lt;TITLE&gt;Moved Temporarily&lt;/TITLE&gt;
&lt;/HEAD&gt;
&lt;BODY BGCOLOR="#FFFFFF" TEXT="#000000"&gt;
&lt;!-- GSE Default Error --&gt;
&lt;H1&gt;Moved Temporarily&lt;/H1&gt;
The document has moved &lt;A HREF="https://script.googleusercontent.com/macros/echo?user_content_key=AehSKLhKtSciUCx8e1KwWFJbfssEgzatB6HG_axQFX92di2qc8Sq0NZ8hoolu9-xN_a4hItbLAI46HduCtNLX5oJIxan5bZFjd9mlTOBL9-ajbWHi8HWbb2rkPQFFqdbO3ygdAobnvAU_ez1h8aC8mZTybVBa3tviegOThOycpUpYH-5uOA6yF_ZHYNh12Pqeq62DBHehy4FjiKaAQl4tpk5OVmcF4bOciQmNL1I5gMLYXZMs_RE36OIlopONWU3yX4bB-vNifZcRdd4rwTc_tWJKh7wY_EBqDJSnHUFJ9kdQ6d8Rwz00imn7nCzHsCjIA&amp;amp;lib=M-zdWbhavtdZ1B_W2dnFDM0qoVt4lWzJ-"&gt;here&lt;/A&gt;.
&lt;/BODY&gt;
&lt;/HTML&gt;
</t>
  </si>
  <si>
    <t>6DofNpp-T6ewbYG9ND2v9g</t>
  </si>
  <si>
    <t>17853-C</t>
  </si>
  <si>
    <t xml:space="preserve">&lt;HTML&gt;
&lt;HEAD&gt;
&lt;TITLE&gt;Moved Temporarily&lt;/TITLE&gt;
&lt;/HEAD&gt;
&lt;BODY BGCOLOR="#FFFFFF" TEXT="#000000"&gt;
&lt;!-- GSE Default Error --&gt;
&lt;H1&gt;Moved Temporarily&lt;/H1&gt;
The document has moved &lt;A HREF="https://script.googleusercontent.com/macros/echo?user_content_key=AehSKLhXQEWnwMJ9_c1Lfb5pd9Sk6IpSOQ4I-wfrpXHGIzGWthFnfGtGeDFDoeCkJ0QCrnveAcxMrkNd09FuJit_tEp5tKQfOm81WomaF1bRRjM5QZUUuxUBeaN6oiT8UYa43Nkp_PiO0vZnTt7DGgCBNv6ES9V731fS6b8ucmvKorbpUED6uhnvwJ4sJw3OqUz0V6pLC5A3dwCt5Y45UxGGCp8DSo6GFeCeKPuA7v33Vu4EbuemGsdewtrKZoAsO0lX5fFaaOJO9cqatpa1IgcXVWZN9HNzp8QRt5A70WMUrFFfbpX16a6tofr1FLY7IA&amp;amp;lib=M-zdWbhavtdZ1B_W2dnFDM0qoVt4lWzJ-"&gt;here&lt;/A&gt;.
&lt;/BODY&gt;
&lt;/HTML&gt;
</t>
  </si>
  <si>
    <t>RNUSblCHYReiQXtymgWb</t>
  </si>
  <si>
    <t>17853-D</t>
  </si>
  <si>
    <t>8F00250329070008</t>
  </si>
  <si>
    <t xml:space="preserve">&lt;HTML&gt;
&lt;HEAD&gt;
&lt;TITLE&gt;Moved Temporarily&lt;/TITLE&gt;
&lt;/HEAD&gt;
&lt;BODY BGCOLOR="#FFFFFF" TEXT="#000000"&gt;
&lt;!-- GSE Default Error --&gt;
&lt;H1&gt;Moved Temporarily&lt;/H1&gt;
The document has moved &lt;A HREF="https://script.googleusercontent.com/macros/echo?user_content_key=AehSKLigWvIAc1oHVaxroEy3lLBZXh77KmcLIl8nM7Am6NrkvIMq_xlhNR4FzgGR1kBpGVik_8shOxmTovyETLfmOJ0SwekLINchEAwEeOBQ1umVYDNl2G2E0mmhg-KQMXER-_pZpPCokFb75v6sg4IwlQ0tM9hMpZkYglaaQPZMWLAbJTNCZcCvINEPtok3Z5EfrIZsZvJIcr49wsMY6m8LFbgJ7py0mv94-bjJhVGf8g3SlBURV-IWs1LlwHbnk9C2gpFNBHg-iJc0zXA1J9PRkRIK6f9xvqAZaXAUUqll-4JNdEaLEqsQUsJe31QoMQ&amp;amp;lib=M-zdWbhavtdZ1B_W2dnFDM0qoVt4lWzJ-"&gt;here&lt;/A&gt;.
&lt;/BODY&gt;
&lt;/HTML&gt;
</t>
  </si>
  <si>
    <t>wpNBBgwNK7brAw9kYsCY</t>
  </si>
  <si>
    <t>17853-E</t>
  </si>
  <si>
    <t>8E00250110260023</t>
  </si>
  <si>
    <t xml:space="preserve">&lt;HTML&gt;
&lt;HEAD&gt;
&lt;TITLE&gt;Moved Temporarily&lt;/TITLE&gt;
&lt;/HEAD&gt;
&lt;BODY BGCOLOR="#FFFFFF" TEXT="#000000"&gt;
&lt;!-- GSE Default Error --&gt;
&lt;H1&gt;Moved Temporarily&lt;/H1&gt;
The document has moved &lt;A HREF="https://script.googleusercontent.com/macros/echo?user_content_key=AehSKLgKhBm3wA_beOdwwAQ2TJBm9RxAgZ-TpHRM2iwyJi4-Jdp60z2il4eCM9Oxf1q7VUjjrmeq6-bc-IqkWoSiKRSdMlqCPx7E0Qo7bxV3b7WDmT8o4cVZFzfkNF2xj1VtEgwsSYkWVHjEyQOMu2Cy-Xt9OpwsN9Cw2hHacgxPyVlgnk3uUNkxF1d7eSLu_c8kk55ZxBo4ER_tLxGD6W5pIMAcAbH81A2yErlsdyF3F65Sg21_oOik_Z58JPgNt8lrEP_Pa9PO6o7RqQwiwaDYJgbgmhsnYhfd0hF4KDAem3f1IYaDwegr_B6TyeRJ0A&amp;amp;lib=M-zdWbhavtdZ1B_W2dnFDM0qoVt4lWzJ-"&gt;here&lt;/A&gt;.
&lt;/BODY&gt;
&lt;/HTML&gt;
</t>
  </si>
  <si>
    <t>kCIVW26EqdlWA5HNInls</t>
  </si>
  <si>
    <t>17853-F</t>
  </si>
  <si>
    <t xml:space="preserve">&lt;HTML&gt;
&lt;HEAD&gt;
&lt;TITLE&gt;Moved Temporarily&lt;/TITLE&gt;
&lt;/HEAD&gt;
&lt;BODY BGCOLOR="#FFFFFF" TEXT="#000000"&gt;
&lt;!-- GSE Default Error --&gt;
&lt;H1&gt;Moved Temporarily&lt;/H1&gt;
The document has moved &lt;A HREF="https://script.googleusercontent.com/macros/echo?user_content_key=AehSKLi65sIhSO3MzYF9XhMduWX-jZY8SqmldZuS1q5AQM2RdwgbpmiQxsdFIevrIqEUxDYGmpqrzJ06zGketeJ3sIkZH-KiGo0DTbMnwlO1fVL5KLIpyx3LNevTsjD9he2E3BdNoWskboU3GmD5tuQSPR_pqdw2OquQ-AQ0qsvIGviq98FiiZjcIHeX-tdsglrfFNkEFW5q2oKSp7zU1CO-wCISqJMctPv9bb5rD8O1ELzmY7ql6QUfKRoi8K_JTFcS_H6X-4aDQq08288rpCRLCNKotnAWplYsn-wV2cnFiF8O7PUsGQjO_7DgoVqXww&amp;amp;lib=M-zdWbhavtdZ1B_W2dnFDM0qoVt4lWzJ-"&gt;here&lt;/A&gt;.
&lt;/BODY&gt;
&lt;/HTML&gt;
</t>
  </si>
  <si>
    <t>x5E6scNCik1IO1mDqPUT</t>
  </si>
  <si>
    <t>17853-G</t>
  </si>
  <si>
    <t xml:space="preserve">&lt;HTML&gt;
&lt;HEAD&gt;
&lt;TITLE&gt;Moved Temporarily&lt;/TITLE&gt;
&lt;/HEAD&gt;
&lt;BODY BGCOLOR="#FFFFFF" TEXT="#000000"&gt;
&lt;!-- GSE Default Error --&gt;
&lt;H1&gt;Moved Temporarily&lt;/H1&gt;
The document has moved &lt;A HREF="https://script.googleusercontent.com/macros/echo?user_content_key=AehSKLgHbuqLo1kp7iE3HbUmNVL8tFcRCvQeZqUoLN1ASHDSxzIVJTiGjD_GgSbVCzqLnS7ySgnShjSo3NbThJw5a72YFxMo_fWXHSePpTsaiRU9MC0ySW3KSMr6uGrIxRUeubiHPxcunAPo4VAQiQGMfEt77VrtIROkBFDFAwTDK9jG3vg3DyIYitmmVNmkPk-nxOuOaQ90D6hacuO5l1qEz4qQMGSu8o_SUTj5jVCBtStx4SqhR5PJj2sY9P5a_bYeA7HcHpXhGaobvSC2AsBtzIOpXoy1Ev0c8qciPFwP2lFLqQF8d4TfG1WL-Bmj5A&amp;amp;lib=M-zdWbhavtdZ1B_W2dnFDM0qoVt4lWzJ-"&gt;here&lt;/A&gt;.
&lt;/BODY&gt;
&lt;/HTML&gt;
</t>
  </si>
  <si>
    <t>gV5whsI7Hm0Ug08ElV87</t>
  </si>
  <si>
    <t>17854</t>
  </si>
  <si>
    <t>8F00250110270023</t>
  </si>
  <si>
    <t>RETIRADA NA FABRICA / (0) Obs.Interna: essa maquina vai ser entregue no mercado livre, tem que colar a etiqueta que o cliente enviou no whats nessa maquina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</si>
  <si>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VqJrMAdJ_arY5u07GY5pxd3MOea44JrNQJpybLFFQCbeFuH68ZmseYRO0MJ23Y_4nMEuomriYEMiKIXhjVfdrcglVuYLiUd8q5u5sfZb7oi5nuENeLqRnBv3kwuyQIAR3b_XfKDU-T1V_MpyayTQJQPwvOV375tKA0dm0o2wJq6Al9XTcnrhsU6DDcQg6zx5MQMCZSNpeoh9uLNn4q_qMPMNhXwR6uMkavJPhWl0vQPNEVwOrncwWH5jXknjALBV2yt8OZB0KzTwoQ_WV9g9hM7AeQkfeIFnx9Z_UFUHzfENi2sFaBu3KKaIggA&amp;amp;lib=M-zdWbhavtdZ1B_W2dnFDM0qoVt4lWzJ-"&gt;here&lt;/A&gt;.
&lt;/BODY&gt;
&lt;/HTML&gt;
</t>
  </si>
  <si>
    <t>vOCblhuEQR-0EjrRlCNGjg</t>
  </si>
  <si>
    <t>17855</t>
  </si>
  <si>
    <t>8E00250110260042</t>
  </si>
  <si>
    <t xml:space="preserve">&lt;HTML&gt;
&lt;HEAD&gt;
&lt;TITLE&gt;Moved Temporarily&lt;/TITLE&gt;
&lt;/HEAD&gt;
&lt;BODY BGCOLOR="#FFFFFF" TEXT="#000000"&gt;
&lt;!-- GSE Default Error --&gt;
&lt;H1&gt;Moved Temporarily&lt;/H1&gt;
The document has moved &lt;A HREF="https://script.googleusercontent.com/macros/echo?user_content_key=AehSKLhCzGF5Iv7Q1MFW14qeEGjDTsAa2ih6eakwzCIEMi9mIBFztkI90i0C8xu6zlskNO9dbxIKccUwn-Oy4YcFpFrvS_Djylj7MJOAg4JjlsivBVGib6n3JyDti5qXUVNahGgOvIJ_cBfx8e8ZwMrg30GI1QOH2psjTEpeNpNk12hSxYxYv0nTwH2LMngTFiyNfjYl0A_mHPbN3ZkQML2bTay-aSUMO6AuV1p0H9ppXYW9g-39uyTEEx-lbKrWbJRl9grzq7rWGIvEMnAR7MJZEVkIrezm8xpAph6-lURmFkqZnNMcnz_BvcpbMhh95A&amp;amp;lib=M-zdWbhavtdZ1B_W2dnFDM0qoVt4lWzJ-"&gt;here&lt;/A&gt;.
&lt;/BODY&gt;
&lt;/HTML&gt;
</t>
  </si>
  <si>
    <t>pN8xO3CAS02ytCMbAwFiyg</t>
  </si>
  <si>
    <t>17856</t>
  </si>
  <si>
    <t>8E00250110260032</t>
  </si>
  <si>
    <t xml:space="preserve">&lt;HTML&gt;
&lt;HEAD&gt;
&lt;TITLE&gt;Moved Temporarily&lt;/TITLE&gt;
&lt;/HEAD&gt;
&lt;BODY BGCOLOR="#FFFFFF" TEXT="#000000"&gt;
&lt;!-- GSE Default Error --&gt;
&lt;H1&gt;Moved Temporarily&lt;/H1&gt;
The document has moved &lt;A HREF="https://script.googleusercontent.com/macros/echo?user_content_key=AehSKLhjL4kPdAS0-huXe10HjOqP8yG9GIVIvBXedxm6YvO36Qw0h-w8PDZ38AaLsKo5veKkladJmMcHJnbFs-TdvVMYTNePlkWz2nLCrR_NEDT9BbpWnpFDEPFJqHxI8rUyEbVLg3KuGAZj_oB8L98I-lsuSsKIhqJuA3jkugMWAfIboo3YIWy2hFEyGQZTKV8NZUtWcKAZKgMvHermRkj-N0ngDm7NMTmPZE88RSXYk2H8RtkOdIOMgAys2YtGu9qNQemQMBzILHoi5PXZUOtwOQgZAiBysfdr0W0MBujtOo1KFwj98skOR4ZmhSWiSg&amp;amp;lib=M-zdWbhavtdZ1B_W2dnFDM0qoVt4lWzJ-"&gt;here&lt;/A&gt;.
&lt;/BODY&gt;
&lt;/HTML&gt;
</t>
  </si>
  <si>
    <t>t4Z4GTe8TnGd3BE1VuQL.g</t>
  </si>
  <si>
    <t>17858</t>
  </si>
  <si>
    <t>8F00250104100033</t>
  </si>
  <si>
    <t>FITLOG TRANSPORTES E LOGISTICA LTDA / (048) 996277956Informação Adicional: CLIENTE MARCOS BIANCHINI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</si>
  <si>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y0QbMlxFL57LkaNAWdPg3z02w92pGwB__s7RgluMwCm8OTHpHExF9I33R_3CHRfPFceBJ8x9Y2O-pYfZj9LbwJsGVklx3gTwmiyvYiUjDq4ZzedvlasUzJZz6tob4xSQP2hP9DJc_fbti3QhXPsipG7hVCDSUZXUZ-eUTmkE-x9BNdY5cJl8kTrDIGNy6t889p8KZmzbOmHOSG-tup7-fnk1X4elplcV6c4RyXEILqSaklQwHmLPRRDYSQc8aST9IBsgJaqWhSh_yf_gjT0BXGvx2p42GsHlrBvpeDeUiwlKUxayhIEde367p9w&amp;amp;lib=M-zdWbhavtdZ1B_W2dnFDM0qoVt4lWzJ-"&gt;here&lt;/A&gt;.
&lt;/BODY&gt;
&lt;/HTML&gt;
</t>
  </si>
  <si>
    <t>uJwj.oVIR1evkdnz8Of7aQ</t>
  </si>
  <si>
    <t>17859</t>
  </si>
  <si>
    <t>8E00250110260013</t>
  </si>
  <si>
    <t>FITLOG TRANSPORTES E LOGISTICA LTDA / (048) 996277956Informação Adicional: CLIENTE EDSON DOS SANTOS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</si>
  <si>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GTq0yCTyiCXNwcccBRwJYBbUrGvpGCMyQt9dZlNx8RFhVyjXBvLPxbgOV5thoS-C05FXJza0bUzOOd4ZBLWykdLGHrIAZMu-Ms3BxWgqwwmWPaBX9FtRFyg1osvnTeuEfhjb9iM1zTgzVfbor2AdmckeyLbiNUUyi0m7lugfjjVaAhyZz26Xi9VxohWKWPvfyVoQusdlCPS1cH4MSwB9_J6Vu2CkhNkrHxYt1ZRlCcylcpPjKJUvmY3a6V7NPz7LkMQs0YI5ywLZM1ZSBRJLZgAPxR9Ra8wSRLAA_2-8Z0cuYaYWWXF7WbgS01Q&amp;amp;lib=M-zdWbhavtdZ1B_W2dnFDM0qoVt4lWzJ-"&gt;here&lt;/A&gt;.
&lt;/BODY&gt;
&lt;/HTML&gt;
</t>
  </si>
  <si>
    <t>ivwRct7GTYCti4Ffg94YqA</t>
  </si>
  <si>
    <t>17860</t>
  </si>
  <si>
    <t>8F00250208110003</t>
  </si>
  <si>
    <t>FITLOG TRANSPORTES E LOGISTICA LTDA / (048) 996277956Informação Adicional: CLIENTE RETIRA NA FIT LOG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</si>
  <si>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AUwyVsTxLJdJTOEezrVd_OhVAfo0YhYPqoINJFfk5XgzeO1Vc2uKuoga20tbwKzTA-Iw4D1_O6TqWgGb5xGSaXJ1Bf8CwFrE6oPB0RW3gZacagj2fa75XMXeH1IfjOzZ46tRfjkGMhUtc_A7J4g5UD-VZCXH05OFpwxtbnecGIoJrnPiP2bI89GCkGTbSZUa0LEbXx8U3L7BcN_REHx7MXEpbI46kquNmYSbw4ZTuC6PmBBZBsxVBiAvtNHH32Pb6OuDZJiqBPlHKLDHYjlwmg6VQavnLzeWpBFQvyV4LI0oM4l6_QzqJitdn0Q&amp;amp;lib=M-zdWbhavtdZ1B_W2dnFDM0qoVt4lWzJ-"&gt;here&lt;/A&gt;.
&lt;/BODY&gt;
&lt;/HTML&gt;
</t>
  </si>
  <si>
    <t>P4krh7EeR6e9pgh.fNYR2w</t>
  </si>
  <si>
    <t>17861</t>
  </si>
  <si>
    <t>8F00250110270029</t>
  </si>
  <si>
    <t>FITLOG TRANSPORTES E LOGISTICA LTDA / (048) 996277956Informação Adicional: +3% , maquina para exposição de feira no dia 09/07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</si>
  <si>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54U2kLb1pSgwl0M-iZmVxbkimhKuL-MKo1pfVSjPdbuBI5JEFz2wb2ykFphocViuUr2GsZ6X3YFCh9cjwSno5FGTTmnVdweMuDDy2rcu1AS6-7ypOcp8mzs_qM_tbCaah1_KioEzyFVJGwmB3Bqv0TNUKvtnkgA6tNJ33Q-UvcbXdr36LJMfrWBztyBzXc29RyLWaseKPtOzMnWNceqJ1BWOWwrm1ULAvQniRZ1yfFk_sbwMyWcX7KcETHevMrzjVyxO33-HysHekYoWM2qeRzwjAOuAk00cvF69oxyq5T2qhrw07IC93gVSow&amp;amp;lib=M-zdWbhavtdZ1B_W2dnFDM0qoVt4lWzJ-"&gt;here&lt;/A&gt;.
&lt;/BODY&gt;
&lt;/HTML&gt;
</t>
  </si>
  <si>
    <t>84lJWaYiRS6xfe12w31.6A</t>
  </si>
  <si>
    <t>17862</t>
  </si>
  <si>
    <t>8F00250329060015</t>
  </si>
  <si>
    <t>FITLOG TRANSPORTES E LOGISTICA LTDA / (048) 996277956Informação Adicional: mais 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</si>
  <si>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Tr6LS5Xdz_eBCs24XBKb22pDg6XdLvNjoPwfKbr82_QSI9VGW-fDOwjozfUn34cWroeaUeVGRGo1YdArlgBUzEG9cUIFuJti2aO_JJQ43gscdm9YjHkv6Ynqi5Ki7ooF0l4jH60bsyCakSdJnozp-2m-dTdEDqzm1LzbiaqEemVIyr3KBur-_sxoubL7d3pFqlUlaIc1syrVc1oOsJw8lmDbIo1akDGvpjckGS2NCq7fhAz1IbsyNL1Lh0cvn9cBNPYt2EAlsbO9nnET9IZ2NJIyVaQVPBHHHunpcyzchoP_19MAM6QBSdAj3Ig&amp;amp;lib=M-zdWbhavtdZ1B_W2dnFDM0qoVt4lWzJ-"&gt;here&lt;/A&gt;.
&lt;/BODY&gt;
&lt;/HTML&gt;
</t>
  </si>
  <si>
    <t>AcEmSCzISrCAJucCjQtCFA</t>
  </si>
  <si>
    <t>17864</t>
  </si>
  <si>
    <t>8E00250104020001</t>
  </si>
  <si>
    <t>FITLOG TRANSPORTES E LOGISTICA LTDA / (048) 996277956Informação Adicional: REDESPACHO FOB CNPJ 24.882.886/0002-93 - RADLOG TRANSPORTES LTDA Rua UMBUZEIRO, 123 - Cep</t>
  </si>
  <si>
    <t xml:space="preserve">&lt;HTML&gt;
&lt;HEAD&gt;
&lt;TITLE&gt;Moved Temporarily&lt;/TITLE&gt;
&lt;/HEAD&gt;
&lt;BODY BGCOLOR="#FFFFFF" TEXT="#000000"&gt;
&lt;!-- GSE Default Error --&gt;
&lt;H1&gt;Moved Temporarily&lt;/H1&gt;
The document has moved &lt;A HREF="https://script.googleusercontent.com/macros/echo?user_content_key=AehSKLiSrEI6M79NcqRSyOgp5EgAynbDgzn9_cYfT0bBmbmczPSgB0CwD7-xG3FOPBy_TtUhVy3nEZwbGcoQKZTn5Qnvb2P2E0LKEsLvG4K9gNg5eRMvTdrX7iDX59ZLBoq4wLt7G5g0HfZd5TJwFT7mwqGd3xGhRn-lM-7TfIfmvid5m1Yc78w-ejef0cj3ODTXwmaL8cu-6wFLFkOpazUA-xYT4NsX5y9vLruYd9MNq6L7Ta4DcAVB2nsLqAqS7IYY7H3V2u-dSuhQv5x27gHs58d_jciGBYd3oHcA0turoOI8cQ3TRR78Mxg46qmhSQ&amp;amp;lib=M-zdWbhavtdZ1B_W2dnFDM0qoVt4lWzJ-"&gt;here&lt;/A&gt;.
&lt;/BODY&gt;
&lt;/HTML&gt;
</t>
  </si>
  <si>
    <t>CD0Az3sCRnquLffxuKSncg</t>
  </si>
  <si>
    <t>17865</t>
  </si>
  <si>
    <t>SOLAR AQUECEDORES E PISCINAS</t>
  </si>
  <si>
    <t>8F00250110270028</t>
  </si>
  <si>
    <t>FITLOG TRANSPORTES E LOGISTICA LTDA / (048) 996277956Informação Adicional: Frete FOB com redespacho pela transportadora CNPJ 050112170001-10 - TRANSPORTADORA AREIAS BRANCAS Rua Sargento Manuel Chagas, 70 - Parque Novo Mundo, São Paulo - SP, 02179-040.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</si>
  <si>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xMyQ4ZNOYI2KtALaJEM5DejTYvpXAxiAyO1vj37zyACiG0Vb_zRm6H3Ru7AjpHhRZG92v-LX8p6GXTd45YJStT8nA5sCN6b5VZGmZLP9VoyPztYxuGCuIG3FDs-Nm0Bu_7kRH62YeSEB4lhvcVrWeKDi4qhRSwIdUFjgHSc7l5xQqq4svRJr-M6ZgIQDJoSq99-Nb08hFxuniZVRpLgOGyDm4UsD5iR1rYmC3xZiVlmyR_895UIdk6bGg85egvB9cVvxAazZnR9IDcYaHFpYLr_YE4-jP53RVxLlzyZmbpnwcLQzbCcNM4Mmug&amp;amp;lib=M-zdWbhavtdZ1B_W2dnFDM0qoVt4lWzJ-"&gt;here&lt;/A&gt;.
&lt;/BODY&gt;
&lt;/HTML&gt;
</t>
  </si>
  <si>
    <t>JuQVdjDaSWW5hr8PuvJ-1Q</t>
  </si>
  <si>
    <t>17866</t>
  </si>
  <si>
    <t>8F00250110300002</t>
  </si>
  <si>
    <t>FITLOG TRANSPORTES E LOGISTICA LTDA / (048) 996277956Informação Adicional: Pagamento antecipado com boleto para 7 dias.
Frete Fob com redespacho pela Expresso Raquel - CNPJ SP : 03.823.190/0002-16. - ENDEREÇO SÃO PAULO : RUA SOLDADO AMERICO RODRIGUES 131, GALPÃO MODULO A - PQ NOVO MUNDO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</si>
  <si>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M6kh1KBEfYa14SOpWl6Bx4ZYWWCbe8wMjgDMx9c4SI3HmP3drdmQCSNgJXVjoA8mDUc-j21FQ69kQeky4wTSJr-4gyeE1mI40gGQ-Uuaj9q-5YMWeWslIliyDA62L94qfJAsbb7Opd2btfiUAGIfTP1dwK0czGrCb7oGJ26mNsdNP2IzA7_-2AbdnVNj4Z-CQLcDcMHfQymYE7LWkEzvyH_FTO89zA8WEPujdr2iLeF27xFBJFTa2aFlm1z22xce94ttbpVBWIqDhou2l-ZQmWu4F_0K702eqpaun98z-wxuYt8G-53au7TNZdw&amp;amp;lib=M-zdWbhavtdZ1B_W2dnFDM0qoVt4lWzJ-"&gt;here&lt;/A&gt;.
&lt;/BODY&gt;
&lt;/HTML&gt;
</t>
  </si>
  <si>
    <t>VY5oBImBReGcMGyUs98t4Q</t>
  </si>
  <si>
    <t>17868</t>
  </si>
  <si>
    <t>8E00250110260014</t>
  </si>
  <si>
    <t>FITLOG TRANSPORTES E LOGISTICA LTDA / (048) 996277956Informação Adicional: CLIENTE ANDRÉ LUIZ NETTO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</si>
  <si>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JsYp5g7tcu_mSPdyXdQ1uvXIy3a9f_lF7GMsNKBQ92w1pkl5oAXzfuZNrzxPrdGjFf-ARPNiVGbVDPs5degB2AW_hfv_lGcZ8JRQxCl1rl_HeJzsJbHVNnX8Cq_HLu9Hf8xA3Czrt4_nrvD3yxDA58soRUK-O4-sOGAS9jBmGMD403gRAr09CMGfwA2aT4T7PpW-LhqtK46g48f6hFDQ6duCR9E1PxZu0mwL8pqK5n6YpgqQ2_0I51fN_d4k4Mh47Xc06P2q8hCgQ59-iGd0Y8vit_iWINO76iYT9u0HO--RGWTlSI6JYARbT9g&amp;amp;lib=M-zdWbhavtdZ1B_W2dnFDM0qoVt4lWzJ-"&gt;here&lt;/A&gt;.
&lt;/BODY&gt;
&lt;/HTML&gt;
</t>
  </si>
  <si>
    <t>LI3fJ.hHRXaxBLPF7ocPhA</t>
  </si>
  <si>
    <t>17869</t>
  </si>
  <si>
    <t>8E00241118030017</t>
  </si>
  <si>
    <t>7WxvLIUsTmS9cIh9qSvTqQ</t>
  </si>
  <si>
    <t>17870</t>
  </si>
  <si>
    <t>EM APROVAÇÃO</t>
  </si>
  <si>
    <t>RETIRADA NA FABRICA / (0) Informação Adicional: prazo de pagamento: entrada/15/30/45/60 dias  / E-mail para nota fiscal: , E-mail de cobrança: , Telefone para contato</t>
  </si>
  <si>
    <t>0nYCU752Q1emYszcVRBLbg</t>
  </si>
  <si>
    <t>17871</t>
  </si>
  <si>
    <t>8E00250110260012</t>
  </si>
  <si>
    <t>FITLOG TRANSPORTES E LOGISTICA LTDA / (048) 996277956Informação Adicional: Cliente Maicon Fernando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</si>
  <si>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p3zHJj0Au_4NY97O423p8YvAXhwIs3nQ5Qu9k4QcvhNLmANOgH7cM97xS5YNQY0sU8PNFVSGCIlYcC_rwy02uvN2xoaJdS3QYvuFWQD4tnT-ZbDFzT2PhehOyndehwv19dT8ZuJn0bvKewHGJef5jxuYhaEvLnDSHvedd01DQAvRlb5GEqqKb53g_W6uvneMahrcIEV0rHGL15ZcLKavu913aVoS-ykClpLAwVhSGHvz6z2prPJwL272f18pBXWmizrDHCqg3qmEhnkeF_n_MYlsVq5G1eiOTfs-6I8yWooNp1cugsKUsoeXUg&amp;amp;lib=M-zdWbhavtdZ1B_W2dnFDM0qoVt4lWzJ-"&gt;here&lt;/A&gt;.
&lt;/BODY&gt;
&lt;/HTML&gt;
</t>
  </si>
  <si>
    <t>ikY9ccexQIS3dCXyiszEpw</t>
  </si>
  <si>
    <t>17872</t>
  </si>
  <si>
    <t>8F00250208110002</t>
  </si>
  <si>
    <t>FITLOG TRANSPORTES E LOGISTICA LTDA / (048) 996277956Informação Adicional: Cliente Senigallia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</si>
  <si>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yHlzeWIqvwXmORI9Ip8kwsqBiT3bcb6VVE477GEF-GG7me1mPWM5bXQNyooDT1uIDIVmOxJZZLqP95SKJb1j3dGzpp5ejf3xqXriqfN_NC44PVv5PofPhpvVHbalMwY1xOg77pjylZYNS4NL0NZaII8spzH4B2hQLOaOOD7GGRDRwxdsX4NJnPmJZ0gauKIffb9II1_oOv3eFzOZrv2C2M7kbM5Zjw8Wap4yRLWnHspK4m3UG4L-kkUlEEv24XiTvTF0DG_wGqVpd_8hYQ6PK6DxtpQ4498THjgoD8w9q-vfizWpQcI6OoxM_dw&amp;amp;lib=M-zdWbhavtdZ1B_W2dnFDM0qoVt4lWzJ-"&gt;here&lt;/A&gt;.
&lt;/BODY&gt;
&lt;/HTML&gt;
</t>
  </si>
  <si>
    <t>ElvRCx2.RBCLhyvhYDKY8A</t>
  </si>
  <si>
    <t>17873</t>
  </si>
  <si>
    <t>8F00250208110001</t>
  </si>
  <si>
    <t>FITLOG TRANSPORTES E LOGISTICA LTDA / (048) 996277956Informação Adicional: Cliente Rafael Martins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</si>
  <si>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_7q4WpNX_A23ZMA4f_VYgvuDcXiqK6SMDc7Y3PelKmpmGXfO2Lg9lsutKUAzTcEpujMBTG3vHml7C9M18CbZqso5M3qNr1U22bw0_L9TCLMOuGpmAK73nj2jZx_-LMh57abD71SSBU1A4sZu8mZq9O-WJT3_2YRxigf079-yTBgaJQXrLl4Pg8FcvGG226kjuzGCXOlE1KjWHS9meeJsTs8bSZ9k0mu5_gCC8GgbSGzbusIF5Xnek2CoQIEOigi9iTGh3CBxpu-MkCxImyk12XJv2nkL5k8trqY3eilDd6p47eRU-x2NCUETzVg&amp;amp;lib=M-zdWbhavtdZ1B_W2dnFDM0qoVt4lWzJ-"&gt;here&lt;/A&gt;.
&lt;/BODY&gt;
&lt;/HTML&gt;
</t>
  </si>
  <si>
    <t>ygUNRpbbR6Kp7A6YlUJ4OA</t>
  </si>
  <si>
    <t>17874-A</t>
  </si>
  <si>
    <t>8F00250208120012</t>
  </si>
  <si>
    <t>FITLOG TRANSPORTES E LOGISTICA LTDA / (048) 996277956Informação Adicional: Condição de pagamento: Boletos 28 / 56 / 84 / 112 dias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</si>
  <si>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45TjIWR_KC1LvAlQXJWyO8GfZ8a-wa2F5c7PHP7soAXm_WpcAkZ04iVs_SHGZQxYDpNd2va-FW1gIZcohn5LlaEt-fQbdqHzwKEzJgk_YAbCpaTjJhV03xdkWIGilxE1G1aNBztzrIlAuC3RkFuUeWpSBrOzQB1-RR6ucmuKZAx9wgi2cN0GGWAM1fuR1eKzDCH1WJi8rjhN7lIFv2QPhWyvpBY1bVkLC5bRGyRvroqPWaP-Fh4baoOvs-uVJ-M7KKHOKIDUo0ZgDH4R3xDAtXez9L6c5dX746Km6Jioy4bcyuq5d42-0NZmPMA&amp;amp;lib=M-zdWbhavtdZ1B_W2dnFDM0qoVt4lWzJ-"&gt;here&lt;/A&gt;.
&lt;/BODY&gt;
&lt;/HTML&gt;
</t>
  </si>
  <si>
    <t>IQL108iOSAaY7VnfsXQRtQ</t>
  </si>
  <si>
    <t>17874-B</t>
  </si>
  <si>
    <t>8F00250208120013</t>
  </si>
  <si>
    <t xml:space="preserve">&lt;HTML&gt;
&lt;HEAD&gt;
&lt;TITLE&gt;Moved Temporarily&lt;/TITLE&gt;
&lt;/HEAD&gt;
&lt;BODY BGCOLOR="#FFFFFF" TEXT="#000000"&gt;
&lt;!-- GSE Default Error --&gt;
&lt;H1&gt;Moved Temporarily&lt;/H1&gt;
The document has moved &lt;A HREF="https://script.googleusercontent.com/macros/echo?user_content_key=AehSKLgQZzkFBhAf0SZBN3CzzCdxsug6oVFyQkaapKSxWWu09Si3Y8eoKPlcfVZVslMq1BQxhnC-ivC3Qoze1uBXRTDvsZxQfM7_KFlJwvfTQZdShYofM1XVntRiVqyEns1e9gKJhw0OSlrh7kQOMg6jZ_KZTjkYFvo--QDgL5N4nwc9E8Jjce8OXF6WIs6sfhTdFrV4mvwtALp5NPOBMKakT2PROVCy9bo0NVZFFQa1ZF7uBGIFT0aA6kXC5o8mLUIxaf29RZE4OTdwusAw9DqSCpddhgbzx02RVnRhA0v0s8vd_b1j78dT78NJWsWm7g&amp;amp;lib=M-zdWbhavtdZ1B_W2dnFDM0qoVt4lWzJ-"&gt;here&lt;/A&gt;.
&lt;/BODY&gt;
&lt;/HTML&gt;
</t>
  </si>
  <si>
    <t>3bcnSFohAodjCgUUNXb8</t>
  </si>
  <si>
    <t>17875</t>
  </si>
  <si>
    <t>PJ COMERCIO DE REFRIGERACAO E ASSISTENCIA TECNICA LTDA</t>
  </si>
  <si>
    <t>20070</t>
  </si>
  <si>
    <t>RETIRADA NA FABRICA / (0) Informação Adicional: PEDIDO PJ
PJ COM CRÉDITO NA FROMTHERM, ABATER O VALOR DESTE PEDIDO DO CRÉDITO / Obs.Interna: PEDIDO PJ
PJ COM CRÉDITO NA FROMTHERM, ABATER O VALOR DESTE PEDIDO DO CRÉDITO.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</si>
  <si>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5sPdRFD_WjqrSgk8oUrdPPYTLsJU4sCqkVjNc43wiOTSAloInivIz4efPSX4LickvceFvJpqXzV_x6d2XSoNdJGbs8GABF6zAsaUFP6eYYJU5kDJMj6JUmwcxIe7P1PkvT0Vvl3jrt22IdvGah-B1d_bg3nx9EYAizu5deiqnARQYi_pmk4BFQeERRZa9v-zPQ1v8LXG-uZb2scci46HN1XAT2MyNnLZvx_V4zN4ph1kiBzgmNyTlOPJxtPlK803ECVNXdjHiyHIAZkhgUFRDQ1n_sDicfqcdndY5G4VoKRjWut-w9zkme4Wk7w&amp;amp;lib=M-zdWbhavtdZ1B_W2dnFDM0qoVt4lWzJ-"&gt;here&lt;/A&gt;.
&lt;/BODY&gt;
&lt;/HTML&gt;
</t>
  </si>
  <si>
    <t>EkhAxyG4kIp575kj7LF6</t>
  </si>
  <si>
    <t>17876</t>
  </si>
  <si>
    <t>8F00250110300006</t>
  </si>
  <si>
    <t xml:space="preserve">&lt;HTML&gt;
&lt;HEAD&gt;
&lt;TITLE&gt;Moved Temporarily&lt;/TITLE&gt;
&lt;/HEAD&gt;
&lt;BODY BGCOLOR="#FFFFFF" TEXT="#000000"&gt;
&lt;!-- GSE Default Error --&gt;
&lt;H1&gt;Moved Temporarily&lt;/H1&gt;
The document has moved &lt;A HREF="https://script.googleusercontent.com/macros/echo?user_content_key=AehSKLik6LH-HJmfRpN_GBYejBpHvJ80iVAISEI-7IEggbrFXOFho673oOVDqp-wqyKbixOObQtcV5cYBrPAqkGqDYYDCzWt7DXc28sjP9HcYcsPVFQzz9PMXMaXD4ENNqCLDoUZeaVEg0Q6GgkRlxvtIIf_ixj3DizNz1gYnP17hdY-j1r2ej0IdIERhu_n8hYlbaDfqMg9YZtLeVjxtW8_6CteprUtj8BM6eE09wF7sr06eEObnEkJ72eZbhwvl7EmyOxUJllEkPu1_soPjBnD4tKdJuJziHjCm2j5HXuvW4863GEpmi4uyWYCDdhQUQ&amp;amp;lib=M-zdWbhavtdZ1B_W2dnFDM0qoVt4lWzJ-"&gt;here&lt;/A&gt;.
&lt;/BODY&gt;
&lt;/HTML&gt;
</t>
  </si>
  <si>
    <t>is0bkvVNTz-c5OjyYCILfw</t>
  </si>
  <si>
    <t>17877-A</t>
  </si>
  <si>
    <t>8F00250208120017</t>
  </si>
  <si>
    <t xml:space="preserve">&lt;HTML&gt;
&lt;HEAD&gt;
&lt;TITLE&gt;Moved Temporarily&lt;/TITLE&gt;
&lt;/HEAD&gt;
&lt;BODY BGCOLOR="#FFFFFF" TEXT="#000000"&gt;
&lt;!-- GSE Default Error --&gt;
&lt;H1&gt;Moved Temporarily&lt;/H1&gt;
The document has moved &lt;A HREF="https://script.googleusercontent.com/macros/echo?user_content_key=AehSKLjP1jQbH8nST-Ziymt8gkRUntLc1sH3oU1067VmRQBANps9-_fGTlub0e8t40ewWNem08-k6Dq9xyj8xFo2F-ffK6rhMAZm8LqOQnclDF-ZLjblp538vDoaUOTuhZnn5sGpnT5RIyNkunqLFvFYlUrkUDT5mtMY9VH5SCAsNzxtXnWzJ-ofV22D15ibXZJKOoel1fdipx4lplrODImDrQ9qiJyplaor4NtLayH3gAa_qr72FppJ49uL5dgEaatCJAYB6Q8kY7aXDyzCVhn6KEnWWM1uyZV6wqax7rguwrEVLztz1mWZVw5ccmN70g&amp;amp;lib=M-zdWbhavtdZ1B_W2dnFDM0qoVt4lWzJ-"&gt;here&lt;/A&gt;.
&lt;/BODY&gt;
&lt;/HTML&gt;
</t>
  </si>
  <si>
    <t>a-pkGWpUBQ.-qVjHI8LlHZg</t>
  </si>
  <si>
    <t>17877-B</t>
  </si>
  <si>
    <t>8F00250208120018</t>
  </si>
  <si>
    <t xml:space="preserve">&lt;HTML&gt;
&lt;HEAD&gt;
&lt;TITLE&gt;Moved Temporarily&lt;/TITLE&gt;
&lt;/HEAD&gt;
&lt;BODY BGCOLOR="#FFFFFF" TEXT="#000000"&gt;
&lt;!-- GSE Default Error --&gt;
&lt;H1&gt;Moved Temporarily&lt;/H1&gt;
The document has moved &lt;A HREF="https://script.googleusercontent.com/macros/echo?user_content_key=AehSKLjkr4RdvDc_754RpgTDXulTtgnuSAxKPziEB60vyJf6V0wdhZYdpxmKuhLtx1suvuh1uwYXHFBMeK_olfgJtxlIVaI1mBEq6_Pw_lZZ8BkQO1TCEIgYFgZ4NrAu2VrGE2_imobqje5kv626-sm-Dfrxc7F3oSAx3ZNfw1VOdhkdQVHkCazVp3-hjRuhlFOyCOTMhOlX3bpvSOARD006q4qkq-t_WBfVjrDCjYV0zByos6Xhis2n8_7kMbo4ok-wKMlcKvUmDA6vhz8TOI7eFLuhP6JXKUUwqSlmSBGGwjxoQqWGJShCGW1IzUkY_Q&amp;amp;lib=M-zdWbhavtdZ1B_W2dnFDM0qoVt4lWzJ-"&gt;here&lt;/A&gt;.
&lt;/BODY&gt;
&lt;/HTML&gt;
</t>
  </si>
  <si>
    <t>FQrSDWN9gKyiUxZDv5UJ</t>
  </si>
  <si>
    <t>17877-C</t>
  </si>
  <si>
    <t>8F00241118040043</t>
  </si>
  <si>
    <t xml:space="preserve">&lt;HTML&gt;
&lt;HEAD&gt;
&lt;TITLE&gt;Moved Temporarily&lt;/TITLE&gt;
&lt;/HEAD&gt;
&lt;BODY BGCOLOR="#FFFFFF" TEXT="#000000"&gt;
&lt;!-- GSE Default Error --&gt;
&lt;H1&gt;Moved Temporarily&lt;/H1&gt;
The document has moved &lt;A HREF="https://script.googleusercontent.com/macros/echo?user_content_key=AehSKLjeCQaOEJ342krKpeK5Ft3aBZRbJEodol-SzUhIQ_xF29kiEWJomtBIDV4UaEbbHcSqmhiLVn8AhpQLuYbjYO7hldkhjmGTxsanJun3YaL0qoRCLXr6Zet6KfFOZir0C8fcoAH22Qlg57uv6EW-HzH5Q0zfdNFOg9ZkezlJk2YYUv-gWvQmFgpd7gV0ZpsKrAzIYZMh_SmH9arFhpG-2TLmz00yWQO_Wy01r3QGggQkRLgV_7NH74sLKMjxVMuSDi8WoYtQZAKxPJwWq9Zx0pvPYeAZM-WoLtCDkbKyx8hwIPrYT2t8CRtjFQwnHw&amp;amp;lib=M-zdWbhavtdZ1B_W2dnFDM0qoVt4lWzJ-"&gt;here&lt;/A&gt;.
&lt;/BODY&gt;
&lt;/HTML&gt;
</t>
  </si>
  <si>
    <t>h5UrF9oW9JoVAvc4zG2n</t>
  </si>
  <si>
    <t>17878</t>
  </si>
  <si>
    <t>LEDIR MASSIGNANI</t>
  </si>
  <si>
    <t>8E00250110260027</t>
  </si>
  <si>
    <t xml:space="preserve">&lt;HTML&gt;
&lt;HEAD&gt;
&lt;TITLE&gt;Moved Temporarily&lt;/TITLE&gt;
&lt;/HEAD&gt;
&lt;BODY BGCOLOR="#FFFFFF" TEXT="#000000"&gt;
&lt;!-- GSE Default Error --&gt;
&lt;H1&gt;Moved Temporarily&lt;/H1&gt;
The document has moved &lt;A HREF="https://script.googleusercontent.com/macros/echo?user_content_key=AehSKLivf4aP8VheOHjk3S-l67T4mQvO9aRT-6XeVL9SQ9j4dAurYMQOptpeTGHil2NeBPtqiUtPQydvfLImeTqRz41-BQhfUosYzE46yc6tut2rKia5mU56O53BHFMEeabfxcgt2fp_onYACAK51j78kq5TzyTFqXstP5t1AGAqiFrXAfNuHsvTwUsMmcMMHqHngc6r-tvCJUggAjlUS2jJPd0KtInh3y6UueBDVZTmRIrnll-KGn1zkWHSyYP0Sw7_efVjd3FajsYrTXBHTbYTkkKYX2MjuMwGmMzjDx9z7Vsoup-GplwLcWoDyZyP9Q&amp;amp;lib=M-zdWbhavtdZ1B_W2dnFDM0qoVt4lWzJ-"&gt;here&lt;/A&gt;.
&lt;/BODY&gt;
&lt;/HTML&gt;
</t>
  </si>
  <si>
    <t>fGEEYArUTlmZWheO2s7pkw</t>
  </si>
  <si>
    <t>17880</t>
  </si>
  <si>
    <t>8F00250110300001</t>
  </si>
  <si>
    <t>RETIRADA NA FABRICA / (0) Informação Adicional: RETIRA NA FÁBRICA NA TERÇA-FEIRA 08/07 E PAGA NA RETIRADA / Obs.Interna: RETIRA NA FÁBRICA NA TERÇA-FEIRA 08/07 E PAGA NA RETIRADA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</si>
  <si>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fgmeW1O0CLhlWr4-ecob9DjUP0mcmKs1vSuFwvbRoNxpC_MN0MWvYXTfrsmM6UJ0_cxV7BAWuXZ7_wCarjf6MxUnLJ6jecvx8nquhuqACs_El9xxAaWZXpDlubBWGxwjjjh4BWUCHs-cgpA8GZiwnqXHnasJlceZ7s031GmEG0TwruLKDO5_4GM933r-4G00T_9-G4WA4NP8f1Xmg0OQZFcd2GD_JuRJPUNu6DOUWR_LKTD3YOw5wb1tcoEOeG7y4ni1KMSL9uEcn5yENzGH9DxzEhurWRYf-ewrgs4u3zddpkBfJ4hbI8NQMhQ&amp;amp;lib=M-zdWbhavtdZ1B_W2dnFDM0qoVt4lWzJ-"&gt;here&lt;/A&gt;.
&lt;/BODY&gt;
&lt;/HTML&gt;
</t>
  </si>
  <si>
    <t>w3Y51k6.R464OqG.eqdNdg</t>
  </si>
  <si>
    <t>17881</t>
  </si>
  <si>
    <t>RM2 ENGENHARIA LTDA</t>
  </si>
  <si>
    <t>8F00250110270025</t>
  </si>
  <si>
    <t>RETIRADA NA FABRICA / (0) Informação Adicional: VENDA DO CLIENTE NEO ENERGY BRASIL / Obs.Interna: VENDA DO CLIENTE NEO ENERGY BRASIL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</si>
  <si>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NTYVJIL_KUAfX-DOYcdggZT1p7UK9NL11z8GBW7ZE0n18Fsm7Th7rpEa5SWcfZpVJdUDNFNuojx7ArApMCGIQe3vxmXRe46bEVp5m_AwZfRYBzE4EQASAy_c5-KSpG87r2nW07lrTCxpwxUw3AX6hNwkUqcJYJ0jlYjyC-LhJXJP51M2l_x_PN8hA6akw8ih-BC0kjcch-NjVcJ7uN6CxAyOpEc1INrkMnll4veM7Wf_gyDFd9v9S1zl0mjqgwUHnO-PULoSCYZ_v2WgEohyAtwpShgkF3ofKqtdS-kB3rj84ubcyyGP2ckxEIw&amp;amp;lib=M-zdWbhavtdZ1B_W2dnFDM0qoVt4lWzJ-"&gt;here&lt;/A&gt;.
&lt;/BODY&gt;
&lt;/HTML&gt;
</t>
  </si>
  <si>
    <t>hem9-ojRTMekyK3nnq.OWQ</t>
  </si>
  <si>
    <t>17882</t>
  </si>
  <si>
    <t>8E00250104020002</t>
  </si>
  <si>
    <t>FITLOG TRANSPORTES E LOGISTICA LTDA / (048) 996277956Informação Adicional: FRETE CIF. Pagamento antecipado R$ 4.845,42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</si>
  <si>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6DVa2l-YzQ-HO7T3KsW6TBlzy7pvYMGHxunnVY5I1tUHyM4G8ngilEqc6QFZHhu-CvfxF5uywZMmhV_BL49_Elj_u9n5RUELEIYFjYCf4iPZmavHoBYMMPU53zMJWrLqiJDfbK-4jgcDcERUl5BuPa7T1eFYA8tkSB33RfSM3ezBP8_5Px2zjJE3FS1tmtesT14_wQV6dgjOHSN6pRcqbxif-GsediCSmQVt0FT2vYfwLHxa6pKYLD7HH5M-9vZseuX6Y6Yg3e4M4RTYt4LFiyRnfGDH_9HCQUMRcixj4rvn1XDfsfi0EWMkDow&amp;amp;lib=M-zdWbhavtdZ1B_W2dnFDM0qoVt4lWzJ-"&gt;here&lt;/A&gt;.
&lt;/BODY&gt;
&lt;/HTML&gt;
</t>
  </si>
  <si>
    <t>Rpmc5nIpSX-YCTt66dQMGQ</t>
  </si>
  <si>
    <t>17883</t>
  </si>
  <si>
    <t>Bruno Resende e Silva</t>
  </si>
  <si>
    <t>8F00250110300005</t>
  </si>
  <si>
    <t>EXPRESSO RAQUEL LTDA / (0) -Informação Adicional: pagamento no cartão de 3x
Frete FOB com redespacho pela Expresso Raquel  -</t>
  </si>
  <si>
    <t xml:space="preserve">&lt;HTML&gt;
&lt;HEAD&gt;
&lt;TITLE&gt;Moved Temporarily&lt;/TITLE&gt;
&lt;/HEAD&gt;
&lt;BODY BGCOLOR="#FFFFFF" TEXT="#000000"&gt;
&lt;!-- GSE Default Error --&gt;
&lt;H1&gt;Moved Temporarily&lt;/H1&gt;
The document has moved &lt;A HREF="https://script.googleusercontent.com/macros/echo?user_content_key=AehSKLjV5hLc7o_8MpvZ1ZfRHMsOCgOu5AWi0cJPMZjKUdHLKoX8ZbdjlghCCFmR9nP1IrRMsju5dqCbdoIdfGT-1MmUwR76QyILY5obpYGiczBsA3sXUR8hThu-0Je34sMLTaC5FlKbODMB_I8WJUw9g5DOJf4Fh-_QpBsMvKVRZjS9iJXy_Pu74WgTHpcV4fkZ0wS2clqJcaqQ2V2vIY8_-8mH2Zb0-FRp-bW0kV5yhqRXBmojGY4snQ_F5hwNl-8eYZn6nV71sc2khy2y0kD1UxWbuPSYwK5zLeGpfQ2PqJHlf_WwE5WzpoQnzG5KCQ&amp;amp;lib=M-zdWbhavtdZ1B_W2dnFDM0qoVt4lWzJ-"&gt;here&lt;/A&gt;.
&lt;/BODY&gt;
&lt;/HTML&gt;
</t>
  </si>
  <si>
    <t>3ym7ANokScqZNvV3JcC1Ew</t>
  </si>
  <si>
    <t>17884</t>
  </si>
  <si>
    <t>8E00250110260017</t>
  </si>
  <si>
    <t xml:space="preserve">&lt;HTML&gt;
&lt;HEAD&gt;
&lt;TITLE&gt;Moved Temporarily&lt;/TITLE&gt;
&lt;/HEAD&gt;
&lt;BODY BGCOLOR="#FFFFFF" TEXT="#000000"&gt;
&lt;!-- GSE Default Error --&gt;
&lt;H1&gt;Moved Temporarily&lt;/H1&gt;
The document has moved &lt;A HREF="https://script.googleusercontent.com/macros/echo?user_content_key=AehSKLgtMj0MNpr9OnRiIBanbWNCPInJVVslemLkWj0T-8WwlVlRRX5r4-DBMDdAcOylAdhJGZlud3H_BevWPOLJQwHV9hxf1VNSUseNg6pbPd3z3eqZJ7oMxJOEpfznPOGOmnF-bUkFuYlYYzPWMn6d3wT0Et1wjQb-_OllTgzB221TRaN2V02PMMC9vKdGSj1fi1gn-HhvRHEUOb_UMNV6RrxRwWi03Le_NXnpEAcbfRvx-zykBppLrwY-kimYVTLsHodTnK-UNthoj0WIlo5CwM8wgPjwFgilLRBiCrWaCdBtkJiRJc7OMbOBjYfixA&amp;amp;lib=M-zdWbhavtdZ1B_W2dnFDM0qoVt4lWzJ-"&gt;here&lt;/A&gt;.
&lt;/BODY&gt;
&lt;/HTML&gt;
</t>
  </si>
  <si>
    <t>g52-TQVqQaa8ZBSGWd8piA</t>
  </si>
  <si>
    <t>17885-A</t>
  </si>
  <si>
    <t>MTHSC PARTICIPACOES LTDA</t>
  </si>
  <si>
    <t>8F00250329070010</t>
  </si>
  <si>
    <t>EXPRESSO SAO MIGUEL S/A / (051) 3586-2013Informação Adicional: VENDA INDICADA CAXANGÁ PISCINAS - SEM COMISSÃO REDESPACHO PELA RR BRA TRANSPORTES, CNPJ: 49.515.412/0001-53 / Obs.Interna: VENDA INDICADA CAXANGÁ PISCINAS - SEM COMISSÃO REDESPACHO PELA RR BRA TRANSPORTES, CNPJ: 49.515.412/0001-53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</si>
  <si>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AY6VG11mQwp6SByJ3tK4vyp8wDktP15-FbShDEJayQAanHVyMmlIEsJQSB7E2BlzVe4vEEd3v80wQm6aOL8rDgbNrsp9I-Us3pIq_DfJx6PtEGFolSbR7N2UgnIPQXEisO4adnVxBA5AXvb0gPhAxn_OdAq8p6rDFA0IeHD-S4_Cb1LdWH9U-g_hS3NP-elG7hpTi4yRXyVjm3nrLyi18TMAxakPom-9bGLF7zmfW5CiS7BQJgcUVSXirhzCXm6r_kNmLpVKfsTdmj8Sp9fFnaNhnMVg09xp3itwjOnyvmIpIDsHinhBvGXTPRw&amp;amp;lib=M-zdWbhavtdZ1B_W2dnFDM0qoVt4lWzJ-"&gt;here&lt;/A&gt;.
&lt;/BODY&gt;
&lt;/HTML&gt;
</t>
  </si>
  <si>
    <t>241DhODxRA-QT.s23QfiuA</t>
  </si>
  <si>
    <t>17885-B</t>
  </si>
  <si>
    <t>8F00250329070009</t>
  </si>
  <si>
    <t xml:space="preserve">&lt;HTML&gt;
&lt;HEAD&gt;
&lt;TITLE&gt;Moved Temporarily&lt;/TITLE&gt;
&lt;/HEAD&gt;
&lt;BODY BGCOLOR="#FFFFFF" TEXT="#000000"&gt;
&lt;!-- GSE Default Error --&gt;
&lt;H1&gt;Moved Temporarily&lt;/H1&gt;
The document has moved &lt;A HREF="https://script.googleusercontent.com/macros/echo?user_content_key=AehSKLgM64wkTZYvaEWj2R6Co6AgZf3UWlIszGqzTeluCVvkIRHvJfLvGfXB3pe5ajs1TD7PoOlGR-JdPje1UtaVu-FVxd-KaZOTrAqjHpsUIkVX86MIiDzqnDxZ-XX8Qb9x5lhTxHLU5L5zR68lnFKrZ5qXlVRUVMVC2cEcdLRb-n1-g1AZ22duxnHHPrwb-qA_c54vV2hj2eA3x0W_D4GDk9VZe7sSMrI4cFYrVxZGiA23tkLW_ptuMlPAY-2Muv4lpdy_QC_rm5FZcNxN4_In6HER_oJB1kRg3if9uydbBCE28KfEGhPAE-JRJT1Opw&amp;amp;lib=M-zdWbhavtdZ1B_W2dnFDM0qoVt4lWzJ-"&gt;here&lt;/A&gt;.
&lt;/BODY&gt;
&lt;/HTML&gt;
</t>
  </si>
  <si>
    <t>0Q2DXczoUhyf2k1EiO1x</t>
  </si>
  <si>
    <t>17886</t>
  </si>
  <si>
    <t>8E00250104020005</t>
  </si>
  <si>
    <t xml:space="preserve">&lt;HTML&gt;
&lt;HEAD&gt;
&lt;TITLE&gt;Moved Temporarily&lt;/TITLE&gt;
&lt;/HEAD&gt;
&lt;BODY BGCOLOR="#FFFFFF" TEXT="#000000"&gt;
&lt;!-- GSE Default Error --&gt;
&lt;H1&gt;Moved Temporarily&lt;/H1&gt;
The document has moved &lt;A HREF="https://script.googleusercontent.com/macros/echo?user_content_key=AehSKLjyUydWKzMKRbU3DkuLCifbfv8_Bx64TrEAJfq8id8VTWqybu8MPreAqLuOpm9sezOyoF35KEOGhlyglX76A3IY4W15wyFSgRmHDwgCpNi2PAWuIKwLKZ4b27klS1sC46wGe5LWWeVjTJcGbXkZLjpfjSzaeDDGGJXYgouKJ7Il3l8oDyqk80WXZlM79EKksfuvkT9YHaiwUqw3Nqjnk7a0sFb5TiXgOZHAAgM8_uNhfiXhVkEM6c7ppWd2rYfRe0-bKpMWP5DBTMNrUDPVrK1UKrQ621ppCymtMxgNW8Ncyv_RG751Xnue0qF67A&amp;amp;lib=M-zdWbhavtdZ1B_W2dnFDM0qoVt4lWzJ-"&gt;here&lt;/A&gt;.
&lt;/BODY&gt;
&lt;/HTML&gt;
</t>
  </si>
  <si>
    <t>INA5LaSKQ5iU36zSlt3hHA</t>
  </si>
  <si>
    <t>17887</t>
  </si>
  <si>
    <t>8F00250110270024</t>
  </si>
  <si>
    <t xml:space="preserve">&lt;HTML&gt;
&lt;HEAD&gt;
&lt;TITLE&gt;Moved Temporarily&lt;/TITLE&gt;
&lt;/HEAD&gt;
&lt;BODY BGCOLOR="#FFFFFF" TEXT="#000000"&gt;
&lt;!-- GSE Default Error --&gt;
&lt;H1&gt;Moved Temporarily&lt;/H1&gt;
The document has moved &lt;A HREF="https://script.googleusercontent.com/macros/echo?user_content_key=AehSKLgxUabr1W0woUI5U60IEQlp1ra74jt1WMK0iTDLnf02aU1vZ0wWxZS_UavLa9gd6yYLW1hj6lO-mfReZzYcZ4yVkfP_WSofm1lZ-oc_T-tt1_rY34oF0AcHZt0lR6wM7CUI--JBPZAvGFlmvmEzgfF9UIfQCsqwtV96mRD6dq5SdXODcGv50VcqDtRtsof7IbApc-C8xAOccuE8tZ20RuWDs0b_BAKPSc_l3B1Cl-wtFh-SKaOxot340krpgeqd797ob-GKvKv1wcBFg40dXQL_Xiwq4zV6rm7o_wi4YrdnBdwSB2Vbx7qIFKalbA&amp;amp;lib=M-zdWbhavtdZ1B_W2dnFDM0qoVt4lWzJ-"&gt;here&lt;/A&gt;.
&lt;/BODY&gt;
&lt;/HTML&gt;
</t>
  </si>
  <si>
    <t>OcYiJwgjQEemzJvp5RdS-w</t>
  </si>
  <si>
    <t>17888</t>
  </si>
  <si>
    <t xml:space="preserve">&lt;HTML&gt;
&lt;HEAD&gt;
&lt;TITLE&gt;Moved Temporarily&lt;/TITLE&gt;
&lt;/HEAD&gt;
&lt;BODY BGCOLOR="#FFFFFF" TEXT="#000000"&gt;
&lt;!-- GSE Default Error --&gt;
&lt;H1&gt;Moved Temporarily&lt;/H1&gt;
The document has moved &lt;A HREF="https://script.googleusercontent.com/macros/echo?user_content_key=AehSKLhudEJIuTp2ULJvdgHdhPuXp7ZQGQagHDZsYN93youQcwHbjFZdwnw3eiX9_jni7esfMHSgvjEyx2UIz0xzTQDW-sz83NFe9SuqVcpka7Lr00JCjlBKYLpPv9AkP6yezhEWhxKZt4bU4uLz-ilYThzsrN1LXB2vW2Ctwtonq5OgDBPJTXAVANmSf4AAsFaw5cvkJ2ZdQ4njJoRTFY_EYM1B8AInY06L1ip30CD5srH9HH0oEKU0TzRwNdNxAfyoq4LwncOUE8ubUPAyaXoYtYCJ_BJkR-MZ_tBEKcjAHROMHvBtX2P6_dj5RzGhHQ&amp;amp;lib=M-zdWbhavtdZ1B_W2dnFDM0qoVt4lWzJ-"&gt;here&lt;/A&gt;.
&lt;/BODY&gt;
&lt;/HTML&gt;
</t>
  </si>
  <si>
    <t>6KvzTTzWQeKI-KO5rKv-NQ</t>
  </si>
  <si>
    <t>17889-A</t>
  </si>
  <si>
    <t>8F00250110270038</t>
  </si>
  <si>
    <t xml:space="preserve">&lt;HTML&gt;
&lt;HEAD&gt;
&lt;TITLE&gt;Moved Temporarily&lt;/TITLE&gt;
&lt;/HEAD&gt;
&lt;BODY BGCOLOR="#FFFFFF" TEXT="#000000"&gt;
&lt;!-- GSE Default Error --&gt;
&lt;H1&gt;Moved Temporarily&lt;/H1&gt;
The document has moved &lt;A HREF="https://script.googleusercontent.com/macros/echo?user_content_key=AehSKLhm6xDSjwEjtSmCPt0eVQCcVXizKm5G6B4grpmqt7il5WYEfNBdGJbPK0ATKK7v3NCs01rOMoPRJPQZcu79SGX_awTxhA5KrLHg-FpatFspk8XtQ0VPCMbXnsDw5-sFV3DhIXbHkrdwqXoO8ooTx3orqe0l6M0fazXRpF8Mn8yr_kBDW08Q7HtRmoPODhS3WqxyaGssjaw-h1uAUvhycUG9waCRjKYs_UF171ItsVojteB_8QK8pGbmA0obUsvxemaNl_RPFsh_akBw8qlH3uMNE0L-24PqgwemF3OqzB7AK2gBsS8PD4zfHNsc5g&amp;amp;lib=M-zdWbhavtdZ1B_W2dnFDM0qoVt4lWzJ-"&gt;here&lt;/A&gt;.
&lt;/BODY&gt;
&lt;/HTML&gt;
</t>
  </si>
  <si>
    <t>7A2P3rBRTz-So5OnQ7RV2g</t>
  </si>
  <si>
    <t>17889-B</t>
  </si>
  <si>
    <t>8E00250110260028</t>
  </si>
  <si>
    <t xml:space="preserve">&lt;HTML&gt;
&lt;HEAD&gt;
&lt;TITLE&gt;Moved Temporarily&lt;/TITLE&gt;
&lt;/HEAD&gt;
&lt;BODY BGCOLOR="#FFFFFF" TEXT="#000000"&gt;
&lt;!-- GSE Default Error --&gt;
&lt;H1&gt;Moved Temporarily&lt;/H1&gt;
The document has moved &lt;A HREF="https://script.googleusercontent.com/macros/echo?user_content_key=AehSKLgyFamzVSkqlQXHnUP28ISAKbV3hfr9WLeV8HocAdARMRVeNeHu3ed8rS6KWfj_vauL4cofOsB14FMLjlu9gYAoGz-cdS8_lj8Uw30nCCZxBXBSYEUgdcN61QdysqM-VGp163yuRg6T7olzpsXf-0wPxS2Fbgclcfq036FcNenmeehgLo3qi74n6PPYAbpOOS_vHTpsCDokbsTImqn316gtLwN1bFOuX8JUQNI_fcPp_QmmFxasOm_CeFkBQpAcox2Narwu6D3YeAqkBGS_0xp1FTv_hgwq9cb0LKYtGUyONCXa5qSYrsH1ZZuL4g&amp;amp;lib=M-zdWbhavtdZ1B_W2dnFDM0qoVt4lWzJ-"&gt;here&lt;/A&gt;.
&lt;/BODY&gt;
&lt;/HTML&gt;
</t>
  </si>
  <si>
    <t>4yKExCXuOJNlmze8uCD1</t>
  </si>
  <si>
    <t>17890</t>
  </si>
  <si>
    <t>8F00250110270056</t>
  </si>
  <si>
    <t>RISSO ENCOMENDAS CENTRO OESTE LTDA / (014) 3604-3000Obs.Interna: Total: R$7.486,99 Conforme tabela promoção  julho 2025 / E-mail para nota fiscal: , E-mail de cobrança: , Telefone para contato</t>
  </si>
  <si>
    <t>HTaGoOwsRfOQW.AYuCC0nA</t>
  </si>
  <si>
    <t>17891-A</t>
  </si>
  <si>
    <t>8E00241118030034</t>
  </si>
  <si>
    <t>EXPRESSO SAO MIGUEL S/A / (051) 3586-2013Informação Adicional: mais 10% / Obs.Interna: MANDAR MATERIAL DE DIVULGAÇÃO PARA 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</si>
  <si>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TBiMU8_VCAN-KpInq76arL7zXZKArDusc0ZrMn2J2AL3FG8J-nuyGEzZxPXX4Zrk9XBx6CyYeN6tKJajUqP03vejB1K9Ofp_01JqJRqS142EVYUWdOOh-VKi3LIGu8qXhsZ6XvCJvn9J19FmChnMahsSzXOAzeWo_AgbRGvW-1vNIofazBEMORl93gEkLYoGNxs196Gx1T8NTP4war6WTglRMVaT5NoCfakW7fGCwLpnnjNDGG5ipQPk1ebBSKx_UE_yKTG1N-b-u1NT_N9Ekn7Rf0Whrdeqt-37iXVZUgu4x-uFIaH3kvoF0yw&amp;amp;lib=M-zdWbhavtdZ1B_W2dnFDM0qoVt4lWzJ-"&gt;here&lt;/A&gt;.
&lt;/BODY&gt;
&lt;/HTML&gt;
</t>
  </si>
  <si>
    <t>XRoyzVdpTdePMJ2ss0ahUg</t>
  </si>
  <si>
    <t>17891-B</t>
  </si>
  <si>
    <t>8E00241118030049</t>
  </si>
  <si>
    <t xml:space="preserve">&lt;HTML&gt;
&lt;HEAD&gt;
&lt;TITLE&gt;Moved Temporarily&lt;/TITLE&gt;
&lt;/HEAD&gt;
&lt;BODY BGCOLOR="#FFFFFF" TEXT="#000000"&gt;
&lt;!-- GSE Default Error --&gt;
&lt;H1&gt;Moved Temporarily&lt;/H1&gt;
The document has moved &lt;A HREF="https://script.googleusercontent.com/macros/echo?user_content_key=AehSKLiqSFPI0KjHehWSwxLrOGVy48iqwAQ7UNtU0OjQW1m-ONT-mcu0Mm1GcoYCJBRRPJzwyEPSWgYn9WLboCU9US6wOUQeuEF9BVy8VBhky_jnjYhFXBSGnXSQpOl3Zoh7KZPZ01kX_V_j2tOiHDoRbmaE49Pn6N9G863s488SUfWutA_f-NmqzVdcDsn10lLn7I5u505iYjrJAlwggrBLV1C5DY-4HXTCHdB4HFIHuX_cVxV7eD4GgtLjTNmik1GfKaMiRO5e8qnm-XUffloLCUqcwYsE4xnVSkBpO-o2EdQYcqhdWOi1I1vEjrg8gQ&amp;amp;lib=M-zdWbhavtdZ1B_W2dnFDM0qoVt4lWzJ-"&gt;here&lt;/A&gt;.
&lt;/BODY&gt;
&lt;/HTML&gt;
</t>
  </si>
  <si>
    <t>chZ7kKzkYhZirOCdnAxe</t>
  </si>
  <si>
    <t>17894-A</t>
  </si>
  <si>
    <t>8F00250104100037</t>
  </si>
  <si>
    <t>FITLOG TRANSPORTES E LOGISTICA LTDA / (048) 996277956Informação Adicional: PRAZO 30/60/90/120
O.C 5308  / Obs.Interna: PRAZO ESTENDIDO PARA NÃO PERDER PARA FLUIDRA A NEGOCIAÇÃO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</si>
  <si>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hW6t1T5BV8LcXWldL-yhuKq0tcJ-jtpW2eyGVH3FB1e-IdrfLnjWcbqwRlRShzFNSPcyXdQFI-QjIKufxA6wlQJZ36IVM3qJIVR1sjlziXBoh64YIP9Lg_o4mgxv_Cdb1_0odU-uHbRy5CFuKTkfWt7Lw8bPYiI_-ydIGdLhT4RQHthDF6igcEybnV275XjQvUETDAkbXJrxEu6Ppn2NcU9NR-EqKKMNZgXghOULal2ykZrce5rzrgI50ZHrx4W_pwdflf9Aw40Kh_3Y3_Ow51sIkPA7kq3GpYvS-pPMubVgBlrAukePkfXW0qA&amp;amp;lib=M-zdWbhavtdZ1B_W2dnFDM0qoVt4lWzJ-"&gt;here&lt;/A&gt;.
&lt;/BODY&gt;
&lt;/HTML&gt;
</t>
  </si>
  <si>
    <t>fC37M.L9RjChC.Q1LCUBwA</t>
  </si>
  <si>
    <t>17894-B</t>
  </si>
  <si>
    <t>8F00250104100040</t>
  </si>
  <si>
    <t xml:space="preserve">&lt;HTML&gt;
&lt;HEAD&gt;
&lt;TITLE&gt;Moved Temporarily&lt;/TITLE&gt;
&lt;/HEAD&gt;
&lt;BODY BGCOLOR="#FFFFFF" TEXT="#000000"&gt;
&lt;!-- GSE Default Error --&gt;
&lt;H1&gt;Moved Temporarily&lt;/H1&gt;
The document has moved &lt;A HREF="https://script.googleusercontent.com/macros/echo?user_content_key=AehSKLh6NUCBiZphrVg-b474ZYxs_6g78iiH6qcc7IJmdDwriCDMDJIj5ObfdzMcfiYuEpWJMsylZU6pLfmvTYKe2QCvM1qsWtq6L1CW1-8AMGwpPGPoG7roExmf1LdxCplNOE0v8MhyljdZknVZPaDR-JOyJZMFlpX3nV4B3du-0Wk-hmQsjo3qwmRkqwLdeceJBPkwbkFXggIq1fa3VQiCOAs3UHSmD8_OmiLZcO7bISG8NIGjjlL7mpc7ThD7j6bU1nAeE4KN5kuXhyn5il2KahoRHXVyh1DHPoWgwIQoaFcYR_A7gSAUDOJvwWB4qg&amp;amp;lib=M-zdWbhavtdZ1B_W2dnFDM0qoVt4lWzJ-"&gt;here&lt;/A&gt;.
&lt;/BODY&gt;
&lt;/HTML&gt;
</t>
  </si>
  <si>
    <t>30gQSXj6vD1cyCcUMCKi</t>
  </si>
  <si>
    <t>17894-C</t>
  </si>
  <si>
    <t>8F00250104100038</t>
  </si>
  <si>
    <t xml:space="preserve">&lt;HTML&gt;
&lt;HEAD&gt;
&lt;TITLE&gt;Moved Temporarily&lt;/TITLE&gt;
&lt;/HEAD&gt;
&lt;BODY BGCOLOR="#FFFFFF" TEXT="#000000"&gt;
&lt;!-- GSE Default Error --&gt;
&lt;H1&gt;Moved Temporarily&lt;/H1&gt;
The document has moved &lt;A HREF="https://script.googleusercontent.com/macros/echo?user_content_key=AehSKLjMFn7FAFrYApLMJrRqPrYubbENWrrwWOZDBxwAcvDahp9_8SchqILu9mRVTTOb-5IMJHylxBTUcYIip6Fo2rGDRyxpuOltPFVugsStX69FAGhIKJJrqNYXsGdmFZ5bnVOwW7hoNsccNE9U11l5CITMO1mPJOyPdxtuAopoQG1EgZzhJw-kQScqlfkE-BOfyoMOifo_bSKG3vDxNGWEwXHmy_Vq1rjFryi_nPQBIAAP0YtjbkJ6UqVaLSqQRv8uTrKc2I_-rpNXKQtS0ap5PFBT0pL6cBsHmuPddlbsT3T_CIzBHpjGQNOpOC4CMA&amp;amp;lib=M-zdWbhavtdZ1B_W2dnFDM0qoVt4lWzJ-"&gt;here&lt;/A&gt;.
&lt;/BODY&gt;
&lt;/HTML&gt;
</t>
  </si>
  <si>
    <t>SC6pVKsbcgYXYfdm8t0w</t>
  </si>
  <si>
    <t>17894-D</t>
  </si>
  <si>
    <t>8F00250104100039</t>
  </si>
  <si>
    <t xml:space="preserve">&lt;HTML&gt;
&lt;HEAD&gt;
&lt;TITLE&gt;Moved Temporarily&lt;/TITLE&gt;
&lt;/HEAD&gt;
&lt;BODY BGCOLOR="#FFFFFF" TEXT="#000000"&gt;
&lt;!-- GSE Default Error --&gt;
&lt;H1&gt;Moved Temporarily&lt;/H1&gt;
The document has moved &lt;A HREF="https://script.googleusercontent.com/macros/echo?user_content_key=AehSKLgrVq-c3TJdxjGP-B-hVLpg_MDJafxHaWcORkybZNDIo3e9FAHc3ech9QnWqzTFiPN6mQkRbyYRHro8kldN1dLk2SscGkj1VlS8Mi5BzEdYZEYjmt36NT2PHxGpls8LX53jsefPo30-9nkTg6LD2mbvP0USi6eS0o41mlTIlziOzkZ4QO_E5mF7LOZaTZLAWD1M2qVg2ZoHXZ9gIH190poT6lFutNygFHFI8wKaBkD5hYRQD0L3K1GOo5_bVVB5it1hMJ6DSdvvDuXYPE2RyvktcMGpV4hlQgwcKDpOTCv4Zv2FBJenRCJXzi0NLg&amp;amp;lib=M-zdWbhavtdZ1B_W2dnFDM0qoVt4lWzJ-"&gt;here&lt;/A&gt;.
&lt;/BODY&gt;
&lt;/HTML&gt;
</t>
  </si>
  <si>
    <t>YGMD74f9xbtuOFnlc3Z7</t>
  </si>
  <si>
    <t>17894-E</t>
  </si>
  <si>
    <t>8F00250329060014</t>
  </si>
  <si>
    <t xml:space="preserve">&lt;HTML&gt;
&lt;HEAD&gt;
&lt;TITLE&gt;Moved Temporarily&lt;/TITLE&gt;
&lt;/HEAD&gt;
&lt;BODY BGCOLOR="#FFFFFF" TEXT="#000000"&gt;
&lt;!-- GSE Default Error --&gt;
&lt;H1&gt;Moved Temporarily&lt;/H1&gt;
The document has moved &lt;A HREF="https://script.googleusercontent.com/macros/echo?user_content_key=AehSKLimi6ihEUxRsx4bjT07UwgeGLN2aiEovrvi5Nov-bYmtjysnniViZ80HxXie5PiMTSk2VcKskUyUxh6cdPK9HPcHEV1UPWMlvCz5lycBYF3WObwy4yd3FKKANELABQNiefSKDaPN-fEC2Hg_jTxu0SjJnaeXPsCKaq4NEemnXf8DjL_1CmUfO0iNnETwYupyArBB8ZflotTtBOqKIC6kHeI3kRPnesMPu8H8FdmZNH9Rgo8pRMBB1-gCuMBCTR83MmuQmGhh_4agtWTplOqg2T27MrsMsouyHqOaRG3V04-1j3R1-eAnqIJ2XrKdA&amp;amp;lib=M-zdWbhavtdZ1B_W2dnFDM0qoVt4lWzJ-"&gt;here&lt;/A&gt;.
&lt;/BODY&gt;
&lt;/HTML&gt;
</t>
  </si>
  <si>
    <t>ShT3hOQF2V4ESMEnVL5u</t>
  </si>
  <si>
    <t>17894-F</t>
  </si>
  <si>
    <t>8F00250110270020</t>
  </si>
  <si>
    <t xml:space="preserve">&lt;HTML&gt;
&lt;HEAD&gt;
&lt;TITLE&gt;Moved Temporarily&lt;/TITLE&gt;
&lt;/HEAD&gt;
&lt;BODY BGCOLOR="#FFFFFF" TEXT="#000000"&gt;
&lt;!-- GSE Default Error --&gt;
&lt;H1&gt;Moved Temporarily&lt;/H1&gt;
The document has moved &lt;A HREF="https://script.googleusercontent.com/macros/echo?user_content_key=AehSKLhmcJO6S_ct_9gXcWJt4oeYYH7CZNfR6cB4roV0O5HQBJUE0C5C8GD-eh_Ws0dL5FwyNJtVYI6kMVwDFabfruX2z9J38B8k96UQcp8NFmwGJGYHCHrtxFK08qZevv9GGHULiFRttROxt9bSsozf3-BiSAGrtUozfIF9zMn-BGQBJ6MxecaVdSf4UlkX0JZNoDNJ46BFmbFV6_GNPnkvLA3xARll5knnfr0BwVdazlW6b6IAcaV1vKR98NfszxCV6L9M4s_JG1FKI_y88aFlRAEuI3ODXfAYVijWqNPzHbk7Xnnz-p1r6iPp1OQ5OA&amp;amp;lib=M-zdWbhavtdZ1B_W2dnFDM0qoVt4lWzJ-"&gt;here&lt;/A&gt;.
&lt;/BODY&gt;
&lt;/HTML&gt;
</t>
  </si>
  <si>
    <t>mXCOSMZRaKgV3lvsIIDE</t>
  </si>
  <si>
    <t>17894-G</t>
  </si>
  <si>
    <t>8F00250110270022</t>
  </si>
  <si>
    <t xml:space="preserve">&lt;HTML&gt;
&lt;HEAD&gt;
&lt;TITLE&gt;Moved Temporarily&lt;/TITLE&gt;
&lt;/HEAD&gt;
&lt;BODY BGCOLOR="#FFFFFF" TEXT="#000000"&gt;
&lt;!-- GSE Default Error --&gt;
&lt;H1&gt;Moved Temporarily&lt;/H1&gt;
The document has moved &lt;A HREF="https://script.googleusercontent.com/macros/echo?user_content_key=AehSKLja4eJmQTD56Phcw8M-LrCwiNQI_UfJTvQeaS5LKJ9TUN06zyfFbaH7iP3AK9OOVRvFfAijSFHxeyD0Z0YtTz4ZgnLEVfhXFgDnEa2_Tw-7sEgeYv_1Sk7hPWlkdzuaZ8sumz5rQ4-TsnbdE1FG7GnTSSf1JKwU7rPsAynQH_Go7n5KlNix_wekKT84gbtb3czF2F4KzOwrZjSMhRvis0WfuSgzumk-s6KEl4bUlzbTK4piwfd5YgnSiJvYI31uNP0fabVaLddYxmg2A4Yez16VO1VPCD8TzrE1wQpGaEfDOe92AK8hjbyZaFXsrg&amp;amp;lib=M-zdWbhavtdZ1B_W2dnFDM0qoVt4lWzJ-"&gt;here&lt;/A&gt;.
&lt;/BODY&gt;
&lt;/HTML&gt;
</t>
  </si>
  <si>
    <t>iJIa9zIlONR9Ajzef0Ek</t>
  </si>
  <si>
    <t>17894-H</t>
  </si>
  <si>
    <t>8F00250208120006</t>
  </si>
  <si>
    <t xml:space="preserve">&lt;HTML&gt;
&lt;HEAD&gt;
&lt;TITLE&gt;Moved Temporarily&lt;/TITLE&gt;
&lt;/HEAD&gt;
&lt;BODY BGCOLOR="#FFFFFF" TEXT="#000000"&gt;
&lt;!-- GSE Default Error --&gt;
&lt;H1&gt;Moved Temporarily&lt;/H1&gt;
The document has moved &lt;A HREF="https://script.googleusercontent.com/macros/echo?user_content_key=AehSKLgiwUURK7Bucp6fQpgeyzi-omGAecgWUJR3tWz83rVJodksjPT_9sF5PlA1Y39_1r7ag74mC8TDUtmcBbsFipGNYjgupKBnLII4oGeAO39bKYt1Qb39cbQwAc6t_cRcjVn_gszzMnR3ObGRIv_WI-KDPfy5tXR3_Ni-ANRMpl-oPkF2gZ9eeO-OFciMzDA3nzfpR4ChrLw77GkQYSj9PKyXGSOKYuUEjLrKxzAW2teDFxtI0KMQ5Td_Pv-VzpCUpYT___jLdIc6aBt5cecMqcbnrxxtLO1ziySkMjoA4Ss_IaF4ekyr6LTCaKQ9zQ&amp;amp;lib=M-zdWbhavtdZ1B_W2dnFDM0qoVt4lWzJ-"&gt;here&lt;/A&gt;.
&lt;/BODY&gt;
&lt;/HTML&gt;
</t>
  </si>
  <si>
    <t>mem1fKdQT93tRMyW1weo</t>
  </si>
  <si>
    <t>17894-I</t>
  </si>
  <si>
    <t>8E00250110260005</t>
  </si>
  <si>
    <t xml:space="preserve">&lt;HTML&gt;
&lt;HEAD&gt;
&lt;TITLE&gt;Moved Temporarily&lt;/TITLE&gt;
&lt;/HEAD&gt;
&lt;BODY BGCOLOR="#FFFFFF" TEXT="#000000"&gt;
&lt;!-- GSE Default Error --&gt;
&lt;H1&gt;Moved Temporarily&lt;/H1&gt;
The document has moved &lt;A HREF="https://script.googleusercontent.com/macros/echo?user_content_key=AehSKLioivJjuO8I07GgwfxPPKtWMbZ6FqvbAjFkaf6rKT0ypFY1--AJ6y3jCtFcO7KQzsveGBn5uCQxhsvCKQu_MxCyRBY3xdxFZ9vVowNFf48XOdYVnuJreUL1czWi9PDh2G2Mim0hDXJDsZx3N8UabfCGzupQ-wgZtdBmZqxAPY2RnUsf-QPveIAWk-TUZBwT0TO_UBSZ_viotKimVDubqRV-Oxk6OLqn5v8g6S8QSan_QrwPMmnQVKymbRgxSOgZTMpEqLuun73GE2ZwTNSDaqP4jzo5gByQsUfhq7dpa_-P_mmYaQJoiqdOANhcog&amp;amp;lib=M-zdWbhavtdZ1B_W2dnFDM0qoVt4lWzJ-"&gt;here&lt;/A&gt;.
&lt;/BODY&gt;
&lt;/HTML&gt;
</t>
  </si>
  <si>
    <t>DjrD4PldgUlv2dce0w84</t>
  </si>
  <si>
    <t>17894-J</t>
  </si>
  <si>
    <t>8E00250110260003</t>
  </si>
  <si>
    <t xml:space="preserve">&lt;HTML&gt;
&lt;HEAD&gt;
&lt;TITLE&gt;Moved Temporarily&lt;/TITLE&gt;
&lt;/HEAD&gt;
&lt;BODY BGCOLOR="#FFFFFF" TEXT="#000000"&gt;
&lt;!-- GSE Default Error --&gt;
&lt;H1&gt;Moved Temporarily&lt;/H1&gt;
The document has moved &lt;A HREF="https://script.googleusercontent.com/macros/echo?user_content_key=AehSKLgaP0do_OJ5n0LA3Npfjq6vshnzDslb9OiUixT8Ce1r7A20pzFlUz693Lp_n72FeWdG9fwmPhphAZdsPSA4pIdQYZgLsjBDS04hxJBRLWqWVZwobIRPmbRHMFJhCW0Cy6t2GfkbMHj6txIcrPvHKa6sWIRM0aSOKaMXZ8fWzEG_ZABc8JZoiHp5N9gDGulP3rLD4GC-rp7S8Lrjpzn1RmAp-5PnsJZfFqVazCdIURgAiytTjjrMW3CFeMHPcThCEYfnP0C0D08ayvTlojJyFROpLsNwZ4aklMGtR---10v46JW9BVf9wjonLDm9FA&amp;amp;lib=M-zdWbhavtdZ1B_W2dnFDM0qoVt4lWzJ-"&gt;here&lt;/A&gt;.
&lt;/BODY&gt;
&lt;/HTML&gt;
</t>
  </si>
  <si>
    <t>lWHiOxkjLCEIPItwKCz7</t>
  </si>
  <si>
    <t>17895</t>
  </si>
  <si>
    <t>8F00241118040042</t>
  </si>
  <si>
    <t>FITLOG TRANSPORTES E LOGISTICA LTDA / (048) 996277956Informação Adicional: Cliente Irineu Borges da Silva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</si>
  <si>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7oZ2JbVF32rkkddPGj6mJ9HdPDy088k_OkXffJgpGp3q4bh-sglH0JGvUy4gfXMcHd26gpgUwYG4t_axP0HFLhdOpmqbnnMRxTbOFvAU6Neyn3BoI2g4AXL3qe7PsWKDUzKzqulRC_9qzqrd_nRkTlHj3gbHXpWBne3BHDVpV0srKPIbSDlZ0ayw4NE81WFC6AElEc6HsdQuKpJmBlEff1eZea8fizknE4Ejbf8RkRQTPjFOBOPH3Gq7p-YM9S8h_uD5x29PuF-JKI2TO_qBRqZJik-ZMcYoVO7QMi0ZjRbLMVF0M8PUS-3sQGQ&amp;amp;lib=M-zdWbhavtdZ1B_W2dnFDM0qoVt4lWzJ-"&gt;here&lt;/A&gt;.
&lt;/BODY&gt;
&lt;/HTML&gt;
</t>
  </si>
  <si>
    <t>XU2VAchGRli3pwZ1peIyjQ</t>
  </si>
  <si>
    <t>17896</t>
  </si>
  <si>
    <t>8F00250329060019</t>
  </si>
  <si>
    <t>FITLOG TRANSPORTES E LOGISTICA LTDA / (048) 996277956Informação Adicional: Cliente Balneário da Lagoa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</si>
  <si>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AV3DKkWh_obenIUPXSC3IQeyA0LAc_f_SKxDV5tKRGgzw2siSy3zY2VZY4DCObq8vMclGqvCm9AxEpnn86E3GD2uisySgpCZCZXUstclgeWvc3sZTH84CbPcXFZtecWFGuJfiSxf4K1uDIlTke73CoKWjMzHoz1Jj8PlvGJEXvK1SG_Tjz7Lr2vYoH1MYfiig46roULGSzrzg2MuVlL3W7LfD4uvrbcOEqO6quhgShoqT48wHNdYUJnk3H5yoqY7Va1n1uCH8kzzM0F89Vdcd8R5WkIBU7emL5ueUQMWqEaF6dEegS5OIbAVqww&amp;amp;lib=M-zdWbhavtdZ1B_W2dnFDM0qoVt4lWzJ-"&gt;here&lt;/A&gt;.
&lt;/BODY&gt;
&lt;/HTML&gt;
</t>
  </si>
  <si>
    <t>zQGGOl9LTe2ShUXpVj1eaw</t>
  </si>
  <si>
    <t>17897</t>
  </si>
  <si>
    <t>8F00250208120016</t>
  </si>
  <si>
    <t>FITLOG TRANSPORTES E LOGISTICA LTDA / (048) 996277956Informação Adicional: Valor do pedido : R$ 12.145,67 - desconto 40% + 10% + 10%
Frete FOB com redespacho pela Sete Lagos</t>
  </si>
  <si>
    <t xml:space="preserve">&lt;HTML&gt;
&lt;HEAD&gt;
&lt;TITLE&gt;Moved Temporarily&lt;/TITLE&gt;
&lt;/HEAD&gt;
&lt;BODY BGCOLOR="#FFFFFF" TEXT="#000000"&gt;
&lt;!-- GSE Default Error --&gt;
&lt;H1&gt;Moved Temporarily&lt;/H1&gt;
The document has moved &lt;A HREF="https://script.googleusercontent.com/macros/echo?user_content_key=AehSKLj1FLrFgLB6QeAJ-hyCWnGsjLYlaDjP_nyQRNkNqK035m4tYAP8TvL7XR9jeGHVSqFgpO1DRN_G99dMyMiRJd3rlgjdJVyyuVLsm5Sxkbmuk6iMy7TC0BeKKdsIvkyBxWN4hi1UC10S1UJWKHQtXGK--M3d0KTtCOaSBHW8ID3hKqDAZA-DWpvLsiZuhtXODCnPwjZM7dkX66AhT-lqUzZIVxGrS-IuTfI9372qZUbZbpeMfNM2VBlkeNXMCdbVLZhOQ2lOsxvF2EKFsaXw6Fz_6Te6gfwFh9o35YnUdsAR-jTAbgKVKrt8WJ92aw&amp;amp;lib=M-zdWbhavtdZ1B_W2dnFDM0qoVt4lWzJ-"&gt;here&lt;/A&gt;.
&lt;/BODY&gt;
&lt;/HTML&gt;
</t>
  </si>
  <si>
    <t>uQ.GjlAqQmi3Jg-9XWoWXg</t>
  </si>
  <si>
    <t>17898</t>
  </si>
  <si>
    <t>8E00250110260022</t>
  </si>
  <si>
    <t xml:space="preserve">&lt;HTML&gt;
&lt;HEAD&gt;
&lt;TITLE&gt;Moved Temporarily&lt;/TITLE&gt;
&lt;/HEAD&gt;
&lt;BODY BGCOLOR="#FFFFFF" TEXT="#000000"&gt;
&lt;!-- GSE Default Error --&gt;
&lt;H1&gt;Moved Temporarily&lt;/H1&gt;
The document has moved &lt;A HREF="https://script.googleusercontent.com/macros/echo?user_content_key=AehSKLhTj8mIqevuVPbmcwMAJqmRTSgi6iqcLYKMEyHPRCEBg96zn-fpSMXQxhigwL51pcIkHWB7l2thBrknMo3-VxkY146EdhF7rz_u8lBNJS9WqVfNchciLhs8ueuJoYLDYP5SM0ZgYlHK7bAjHZ97pOpVnWdishg8cYizQGGCORyS5tthhi9MPcGfsojgkyDwtECs9qmsfVHChDkrynaPQFAw0cUKiMjMt74XbZRkOSIrV_0m_ynznurLXfv9Si1GJfl-FOWhzsAzyzeV8CmMGZ_bqGNvt-YzSQl9-zS7eDlq5yyBTdR7wwm-Oze0FQ&amp;amp;lib=M-zdWbhavtdZ1B_W2dnFDM0qoVt4lWzJ-"&gt;here&lt;/A&gt;.
&lt;/BODY&gt;
&lt;/HTML&gt;
</t>
  </si>
  <si>
    <t>j1JOCp7zR4q7aWFFi6fVEw</t>
  </si>
  <si>
    <t>17899</t>
  </si>
  <si>
    <t>8F00250110270036</t>
  </si>
  <si>
    <t>FITLOG TRANSPORTES E LOGISTICA LTDA / (048) 996277956Obs.Interna: SAIDA POR SÃO JOSÉ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</si>
  <si>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nPrSrx1FHAlzTTYFpSxm4dubsiQSZCvpw48X-AUjWhUW6LBkwcY7o9VrKzFSR_F9Gr6yVkFPjU_XnO7K-tWCR-4Wzcj_0SsNnMYONtolGjeE-1qkwFF19kYZER3mrLc_Nwkc4k8Bn77iod-OTVka7vQB4qZTCG4lpPVSI0h1Sw46feAWXcWhnusBu2UcSAwCCL-V0ofFMfs_IzmM1gJrgmNR7X3O2ftY7X9K2B1FXXYpB5_IISVgkvmFdVuxK-Q8zSF1pqPN7QQ278C5BMmI25-CSsJQoVsHNosatcBnUONsvIim92s-DTcIYww&amp;amp;lib=M-zdWbhavtdZ1B_W2dnFDM0qoVt4lWzJ-"&gt;here&lt;/A&gt;.
&lt;/BODY&gt;
&lt;/HTML&gt;
</t>
  </si>
  <si>
    <t>3ie2ROaKQLOn.hrQHAkGZA</t>
  </si>
  <si>
    <t>17900-A</t>
  </si>
  <si>
    <t>WSM PECAS LTDA</t>
  </si>
  <si>
    <t>8E00250104020003</t>
  </si>
  <si>
    <t>EXPRESSO SAO MIGUEL S/A / (051) 3586-2013Informação Adicional: + 10%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</si>
  <si>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EvioQ8eogmBJek0AdIEe27qvp3TwREQeN9r0E617rugtoNlea4TrGMPXXtfWpA1T31F5RdeYoctSpFpDy4VEw2B0hYEWvkJ6K4V3bRUL2i9hCPoTC7z4uLrcXlfehhIQod4ytI0SuxpL5wES7FVkoppAJDkvVUbX2Y4ujHlb6zPNFvzOJBq3Zkks4FF-oHC6eAVpAZqLza2jnD_ERp7oIcL8PbSbMtbAyahOEf_2jkHayJ2rXsm-Qg-wiVNdTjtKHkfpav_iak2rbb2Ag3XQi_sGWDg-s8LPL5sE96OS0ppJi-jdOIG-UAa69HA&amp;amp;lib=M-zdWbhavtdZ1B_W2dnFDM0qoVt4lWzJ-"&gt;here&lt;/A&gt;.
&lt;/BODY&gt;
&lt;/HTML&gt;
</t>
  </si>
  <si>
    <t>bdxQLY0OTvSdaMLb9.Iklg</t>
  </si>
  <si>
    <t>17900-B</t>
  </si>
  <si>
    <t>8F00250329060020</t>
  </si>
  <si>
    <t xml:space="preserve">&lt;HTML&gt;
&lt;HEAD&gt;
&lt;TITLE&gt;Moved Temporarily&lt;/TITLE&gt;
&lt;/HEAD&gt;
&lt;BODY BGCOLOR="#FFFFFF" TEXT="#000000"&gt;
&lt;!-- GSE Default Error --&gt;
&lt;H1&gt;Moved Temporarily&lt;/H1&gt;
The document has moved &lt;A HREF="https://script.googleusercontent.com/macros/echo?user_content_key=AehSKLghItRGxceDV0kzLMi5P6UMF-IzEhEg-9umKtcWtg6Q-sgEdignWJP4lpwa7CfZGsEovhuwXesmD9fTJ5GAwBUaKKwx1AmeGsl_4CJjjH9U_SPV3xx-HIXUTSUhXi0b7w6PsOy-naLwajl6KixCZHym_Cqq8N26FSS7vS_h3bBFHs2XpS_8vqcREQFNDz2LLMybaMUsjFAnbWa18WWc4zs52kv9KJZE8812e6xfabuHxhgaXjtcHmBg4-eobz2PxrPdFeL6Mu-GQ6AK-bUhJwyAZ1yAuPlYJJQJz9wSPdYnClexB4uJt2eVpXRm6w&amp;amp;lib=M-zdWbhavtdZ1B_W2dnFDM0qoVt4lWzJ-"&gt;here&lt;/A&gt;.
&lt;/BODY&gt;
&lt;/HTML&gt;
</t>
  </si>
  <si>
    <t>NGGpOp9vP1KCAMAyKdb1</t>
  </si>
  <si>
    <t>17902-A</t>
  </si>
  <si>
    <t>8E00250104020006</t>
  </si>
  <si>
    <t>EXPRESSO SAO MIGUEL S/A / (051) 3586-2013Obs.Interna: enviar mostruario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</si>
  <si>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cOd0yHT5LsedSETMqc6QlH0IGzztAw-7H30UcqR0xIzHEw2cLPNmPBI9HzsvH9MnWvc030Wqh0uDdRcJY7QPHMF4S592AtEGxh4Tioq2WazppupuoA-olkkfTXTyNeTghknLILySRZkFwVMxBNnrEH1g_aimE7UEM6LhKjI5b5pu0wyax1TIpNW2s7Eyiq4TjGTZdGNKjMZop7geI2QbEPrSs7mgY5iVZBKPlSyMp1uqSiNYSAvSx1UFgiaiXYi-4KMXvDL00g1CzhNmpTqKvVve5R_94xk-Wox54HVrjOHwvWSkD-Q5SWPOPmA&amp;amp;lib=M-zdWbhavtdZ1B_W2dnFDM0qoVt4lWzJ-"&gt;here&lt;/A&gt;.
&lt;/BODY&gt;
&lt;/HTML&gt;
</t>
  </si>
  <si>
    <t>VGHx2H1-RZaW0tAcTK-2nw</t>
  </si>
  <si>
    <t>17902-B</t>
  </si>
  <si>
    <t>8E00250110260021</t>
  </si>
  <si>
    <t xml:space="preserve">&lt;HTML&gt;
&lt;HEAD&gt;
&lt;TITLE&gt;Moved Temporarily&lt;/TITLE&gt;
&lt;/HEAD&gt;
&lt;BODY BGCOLOR="#FFFFFF" TEXT="#000000"&gt;
&lt;!-- GSE Default Error --&gt;
&lt;H1&gt;Moved Temporarily&lt;/H1&gt;
The document has moved &lt;A HREF="https://script.googleusercontent.com/macros/echo?user_content_key=AehSKLijow7No3BDXpAQYrlq10ggpgHLERr6zSItSZI_q38zPNCPNAvNOrR5KG6mrmhUD6lNko89lQ0kvfnx6JwD7VkCTYB9CH5CPhQS7R0rtWnQdY5BqgciOYOZAc_xmdPQefCBFK-gY8IAMZSh9kCRAK0p0eBnsVjAl07G7hbyXdSxcv0mpUCwq6lGG4924b5h2HtnCtfg5Wf7wqbMh0NhQyT_TYq-qc6AsCw9RyvYo30RcKMIjQ0pzF_IcaboHuTrhjDTj3bCZzxZVibV6Eqs9UC6LuK0s6Ka_M1VsZxHltgeDjYK6tKcoo0kuZhBFQ&amp;amp;lib=M-zdWbhavtdZ1B_W2dnFDM0qoVt4lWzJ-"&gt;here&lt;/A&gt;.
&lt;/BODY&gt;
&lt;/HTML&gt;
</t>
  </si>
  <si>
    <t>x14HBMmqnRKPcposdVXK</t>
  </si>
  <si>
    <t>17904</t>
  </si>
  <si>
    <t>ILHA BELA PISCINAS</t>
  </si>
  <si>
    <t>8E00250110260016</t>
  </si>
  <si>
    <t>CLIENTE RETIRA / (0)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</si>
  <si>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oouYZjyWHnVw6lt7Rsp5flhGE4Q-M5k8sL9M7Y8PzJK9VBN1mT6TjrLzSDn0Wn85N7kkHyePCw9-acV1Aa2glFAil0xoedKjHwam8sxWy-iEOGq0Fupf3OjqqFBG84p9Yu2Z4dNFs02kp97HWbEY72GVop_gnOK9QU1GIXADdZOUChd9SGGD1EqjQmWI1yk_WzUdjbO2cmXrM2I0jlXqQf-t6yf1fAMTK4h1NL22NXKaEkqFe5S8H-d4sMBsRv2jKAkWW3QLjjNPXlInFpPS0s7WTHS7xzhhCLZeG_MXtFpZHy2BIgSLH9qpLdA&amp;amp;lib=M-zdWbhavtdZ1B_W2dnFDM0qoVt4lWzJ-"&gt;here&lt;/A&gt;.
&lt;/BODY&gt;
&lt;/HTML&gt;
</t>
  </si>
  <si>
    <t>qO8.3UkdTiOIqy12LZpmQQ</t>
  </si>
  <si>
    <t>17905-A</t>
  </si>
  <si>
    <t>8F00250110270051</t>
  </si>
  <si>
    <t xml:space="preserve">&lt;HTML&gt;
&lt;HEAD&gt;
&lt;TITLE&gt;Moved Temporarily&lt;/TITLE&gt;
&lt;/HEAD&gt;
&lt;BODY BGCOLOR="#FFFFFF" TEXT="#000000"&gt;
&lt;!-- GSE Default Error --&gt;
&lt;H1&gt;Moved Temporarily&lt;/H1&gt;
The document has moved &lt;A HREF="https://script.googleusercontent.com/macros/echo?user_content_key=AehSKLhBMTEbN5Sa6P067FzWgjE52vbZUKzvBDRKnfoSZpRXZ35oWps6pzTd2ySukNICNNZnUkHry2ERkoObwSw37ae3M03ElP_tRh3koNLVzY6vCNqYx-1hC87knnDlp2pDuMtS44zmCzqtqlivz51DUwgoMpexvjFcP-db3f0EtNDtYlmws85s9n0yBzaW0tJy5XXlqFRruMkk8qKj_0Jd0sx4BmClzgNGAfIMxm86CucbVN_t8JTSogIV4YPckedWMSQ5vvpCC5cWTwiO1dHOjMqczpKltSniI6MsqCLTCHT6dVs4X_zf5ScEPdBH2w&amp;amp;lib=M-zdWbhavtdZ1B_W2dnFDM0qoVt4lWzJ-"&gt;here&lt;/A&gt;.
&lt;/BODY&gt;
&lt;/HTML&gt;
</t>
  </si>
  <si>
    <t>CBQVHwi.SH-uhjICbizJWg</t>
  </si>
  <si>
    <t>17905-B</t>
  </si>
  <si>
    <t>8F00250110270052</t>
  </si>
  <si>
    <t xml:space="preserve">&lt;HTML&gt;
&lt;HEAD&gt;
&lt;TITLE&gt;Moved Temporarily&lt;/TITLE&gt;
&lt;/HEAD&gt;
&lt;BODY BGCOLOR="#FFFFFF" TEXT="#000000"&gt;
&lt;!-- GSE Default Error --&gt;
&lt;H1&gt;Moved Temporarily&lt;/H1&gt;
The document has moved &lt;A HREF="https://script.googleusercontent.com/macros/echo?user_content_key=AehSKLiC4YcUoPOqUJgv_kpDbctug5wyMFjbx0C9g3_Rn_CSJ8JIXf-cn8mw1_5LHfHNy6SQFP87bZ6rDXSNx76qPoshcxoq2s00WW3rjNl1w_ruMNtFEcbxtadifVWPhkf32zonJHKTwnUYQ7wMDR25uc9GXuO10XNY5XsVhfEshqmeI9PNsHpCyyvJ8_M7E9Iduh39sqyr9Nw3G1KdvXHWumiz4VveipAT-p8NfGVgAK8wiswNh4yGP7xHE6x5YZafStb_0LdCSMXQRgrxGhgza4rzF5s__L3Vr1MXZaXfL0KnTHKPDhEADPl68wnyQg&amp;amp;lib=M-zdWbhavtdZ1B_W2dnFDM0qoVt4lWzJ-"&gt;here&lt;/A&gt;.
&lt;/BODY&gt;
&lt;/HTML&gt;
</t>
  </si>
  <si>
    <t>BNHwGyZ6ofI39yO5fZlS</t>
  </si>
  <si>
    <t>17905-C</t>
  </si>
  <si>
    <t>8F00241225070006</t>
  </si>
  <si>
    <t xml:space="preserve">&lt;HTML&gt;
&lt;HEAD&gt;
&lt;TITLE&gt;Moved Temporarily&lt;/TITLE&gt;
&lt;/HEAD&gt;
&lt;BODY BGCOLOR="#FFFFFF" TEXT="#000000"&gt;
&lt;!-- GSE Default Error --&gt;
&lt;H1&gt;Moved Temporarily&lt;/H1&gt;
The document has moved &lt;A HREF="https://script.googleusercontent.com/macros/echo?user_content_key=AehSKLgtjZivfVyzpJ2fGLxSDDcgs1SJA6NrtNK_b-qisyqgw-4DePGONoDSizBE5MA-BnNlZDgg0epBZxSSQd6XhXqm0ZXyPdIfM-UkYJYZ-J9-Ev9YePRln9pe5DvLVmT6CpkwuwL3j4DzR7NdbX4ZEXj4i1eo4ezt-PLHm70lRw6Vl3qbxxMIaGyqFW5hg667UgL8igo6lEWiT6xJ9OiCIlWofGS6wXTBL6Y6j8kiNL_y62eod-hFxcynMLjr8QubGakXPbJBd5jaL5dLUWqUuLQ7dBfBzqG9DfB6R93cmihf0fQ0yM6yJNPxqirhsA&amp;amp;lib=M-zdWbhavtdZ1B_W2dnFDM0qoVt4lWzJ-"&gt;here&lt;/A&gt;.
&lt;/BODY&gt;
&lt;/HTML&gt;
</t>
  </si>
  <si>
    <t>aaivjVAmSJjTg4UiCJQg</t>
  </si>
  <si>
    <t>17907</t>
  </si>
  <si>
    <t>PISCINAS BELUGA</t>
  </si>
  <si>
    <t>8E00250104020004</t>
  </si>
  <si>
    <t xml:space="preserve">&lt;HTML&gt;
&lt;HEAD&gt;
&lt;TITLE&gt;Moved Temporarily&lt;/TITLE&gt;
&lt;/HEAD&gt;
&lt;BODY BGCOLOR="#FFFFFF" TEXT="#000000"&gt;
&lt;!-- GSE Default Error --&gt;
&lt;H1&gt;Moved Temporarily&lt;/H1&gt;
The document has moved &lt;A HREF="https://script.googleusercontent.com/macros/echo?user_content_key=AehSKLgkvsVJ6T5SPIacxnYjft_FS4pDu7t3abG5WPO_zICEtWo3HnhdRkYamDz4QiUirNm-Hh16TUGZb__15CyLMUUKGt-6AweHhXsUuf2RwXgaBrr-IC4iy0Y3rK-vvd4_-bEAc-dgxwMa4LlCvJ5zRqwHob-Q6OyiyZAMazM7y9eCcofqXIP6-_QCJ0bzoZElNBKIG5VCGC5caaxbe9HoxFQLuYJ8pXjpmUrk1Wdj6bc04rlfZRarSCD5ARk_hW64fw8Dc3lFNTiTAsj1U8F53d552HlLNqwKNxUV3XiIjMrOdm5hi4muGbzE6ByZ9A&amp;amp;lib=M-zdWbhavtdZ1B_W2dnFDM0qoVt4lWzJ-"&gt;here&lt;/A&gt;.
&lt;/BODY&gt;
&lt;/HTML&gt;
</t>
  </si>
  <si>
    <t>uI-EaM44QnqxrypcJUc6Hw</t>
  </si>
  <si>
    <t>17908-A</t>
  </si>
  <si>
    <t>Felipe Guarnieri</t>
  </si>
  <si>
    <t>8F00241118040006</t>
  </si>
  <si>
    <t>EXPRESSO SAO MIGUEL S/A / (049) 3361-6627Obs.Interna: PEDIDO CLIENTE LOJISTA CSG - GARIBALDI
AJUSTAR VALOR DO PEDIDO  R$ 19.003,57
VALOR DA MAQUINA R$ 18.098,64 - DIFAL R$ 904,93
FRETE POR CONTA DE TERCEIROS -
Pagador do frete CNPJ 39.773.339/0001-66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</si>
  <si>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gVa1L-tw0DyhXUCwymlaWgRl1oQFX8wioNhu_mPrCc7GCpdswoTALNjbrvN41bKcZXT0adx4-j5TBa3Wg2pDqZOqp-q6VfufHHveRz66UsrQ7W6PrJZKCuQSUQjl-uthqLeH4c7A7illXMGu96EJjDMsvwpLMFMughkLR2txcyWLgVcUfYtJTnBFeazmzv6XgbQNBJ6Z9O9hm4fALsmaRjXyGfiQtQhsytc_VCULV--0vbEVyI2T9toP_nU9Ugp3b6fzUOS3_lUnWSB-P0t0nXMyzgtWkL-9L-MzI7iw45KRCrCJI22xaNDC0aA&amp;amp;lib=M-zdWbhavtdZ1B_W2dnFDM0qoVt4lWzJ-"&gt;here&lt;/A&gt;.
&lt;/BODY&gt;
&lt;/HTML&gt;
</t>
  </si>
  <si>
    <t>lEXQbuhtSKmYE2yq44XciA</t>
  </si>
  <si>
    <t>17908-B</t>
  </si>
  <si>
    <t>8F00241118040005</t>
  </si>
  <si>
    <t xml:space="preserve">&lt;HTML&gt;
&lt;HEAD&gt;
&lt;TITLE&gt;Moved Temporarily&lt;/TITLE&gt;
&lt;/HEAD&gt;
&lt;BODY BGCOLOR="#FFFFFF" TEXT="#000000"&gt;
&lt;!-- GSE Default Error --&gt;
&lt;H1&gt;Moved Temporarily&lt;/H1&gt;
The document has moved &lt;A HREF="https://script.googleusercontent.com/macros/echo?user_content_key=AehSKLitA_aa3ZS_Bz_0aQYs70pHO25kfboHBMuHoWSa_9C8itP4UgK-ezY3pn1C_yqFjUy_h2VjsOBJhmIpe_dMmX7-XDAadMGMrDX_UOagGwG4fG7E_TVn1XqCXiz4M2QSpbbzfT6fW0D-pSn_dlp64qkQtSG5DQ2bXh_p_j-T2CeGqEQYsHdDgFZcp1FmaTlI0fQr2i6P5ST8gXC-oj1JWyCOyaQirl9yVvsf-cv9wdPRqugxbOWP7hrPjCOKI5D0ZM-6FcOPP9uYLSCGULSlncNFXFMAEVJWVAINiJ1mCNfsMUbDtzPiB3R1xuQ2bA&amp;amp;lib=M-zdWbhavtdZ1B_W2dnFDM0qoVt4lWzJ-"&gt;here&lt;/A&gt;.
&lt;/BODY&gt;
&lt;/HTML&gt;
</t>
  </si>
  <si>
    <t>ZdhCPNfsg64ygsjVrcKH</t>
  </si>
  <si>
    <t>17909</t>
  </si>
  <si>
    <t>VANIO LUIZ GUARNIERI</t>
  </si>
  <si>
    <t>8E00250110260024</t>
  </si>
  <si>
    <t>EXPRESSO SAO MIGUEL S/A / (049) 3361-6627Obs.Interna: CLIENTE LOJA CSG - GARIBALDI
VALOR DA MAQUINA R$ 6.407,37 - DIFAL R$ 320,37
FRETE POR CONTA DE TERCEIROS -  Pagador do frete CNPJ 39.773.339/0001-66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</si>
  <si>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O_GG0tU9QYZfXIh7JSI3ts9Yx6G_o1ob-bQZboHVbZ-vkkjc582viSFkE1abCJe68i6kz1_7JabahZkVBVDC1w5HZjpWw7nWvuwzP8IYiwfmXbTe9obyEc0NdK4LD_gwkfE-eVyDXexXJqnx19eu91i8S1MtudAkgfZcHqYc4q8HNxbN9q7VDatzlntzjPmam48eLqFebGhJd--Gm7xxnvWoIShLBjhF1XPBMgpEYoH43GNdsx1xUY8uy81nG2XKoz7ShYi_PUfMUFaTOQPyIZsG-FvRHGvMt3y5pdgq_hcHKVvUZ3PwVA2l30g&amp;amp;lib=M-zdWbhavtdZ1B_W2dnFDM0qoVt4lWzJ-"&gt;here&lt;/A&gt;.
&lt;/BODY&gt;
&lt;/HTML&gt;
</t>
  </si>
  <si>
    <t>U5OS17whTRqQB-kN5M6Kfg</t>
  </si>
  <si>
    <t>17910</t>
  </si>
  <si>
    <t>Roberto Antônio Renner</t>
  </si>
  <si>
    <t>8E00250104020007</t>
  </si>
  <si>
    <t>EXPRESSO SAO MIGUEL S/A / (049) 3361-6627Obs.Interna: CLIENTE LOJA CSG - GARIBALDI   
VALOR DA MAQUINA R$ 5.114,61 - DIFAL R$ 255,73
FRETE POR CONTA DE TERCEIROS - Pagador do frete CNPJ 39.773.339/0001-66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</si>
  <si>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sSwSwyuiqtZ1POGZSxozG5CKYT-RDPVz7Ik2nom5lPS30ihcwYS-HS-mdB4Za93MAoVTxoE0VsEyAEXbDXvn1SQILOoaTom5hH7BCGGXJiJiT7CldANNFPRT2WTxIv7desZv__YvkUhW7aGfub7emfPGpYCn2hHQuoTHeBiPZuLzWelahg5x39NpyGSIVEAV9yEqxv-GxdJyq-PzVGnRdbHrIobqkrK33BBbzfJVQcO5glC83XcQP062wuQOJlHR-iWLyBMz6eU-yXokO09jzjO5g_2FZPh97zIhyRzny_UFNdJev2gVS6aK7cA&amp;amp;lib=M-zdWbhavtdZ1B_W2dnFDM0qoVt4lWzJ-"&gt;here&lt;/A&gt;.
&lt;/BODY&gt;
&lt;/HTML&gt;
</t>
  </si>
  <si>
    <t>QVFU.7SyTpyx1ZnK-OKcMQ</t>
  </si>
  <si>
    <t>17911-A</t>
  </si>
  <si>
    <t>8E00250110260018</t>
  </si>
  <si>
    <t xml:space="preserve">&lt;HTML&gt;
&lt;HEAD&gt;
&lt;TITLE&gt;Moved Temporarily&lt;/TITLE&gt;
&lt;/HEAD&gt;
&lt;BODY BGCOLOR="#FFFFFF" TEXT="#000000"&gt;
&lt;!-- GSE Default Error --&gt;
&lt;H1&gt;Moved Temporarily&lt;/H1&gt;
The document has moved &lt;A HREF="https://script.googleusercontent.com/macros/echo?user_content_key=AehSKLgZhyVNYqp8b8YFf6OdTNKg1xi2JITLE9lr3G50GKvKH4jCCTAvKhg0ifYcA8ElAOea1jAwP5YM8NZHpOvqXRDAbFvJSXm9EWEReDH9fqbwGhszUllFsqWh7I3548nK_-xAcPbEshC1lNPxe_QFGqbAlyu9L4kMtrVK6sF0kYHC8kSG9DGf6F_MA6HXLBGSj-sMrz_GoUI52mPTocGiVG_dZ3Q5CAacaTJYKIB0k7rRpzgQIay6cw5u4hC-ceQPscERX_4yLLmd1bgaapTo4-pkg4keBoI0tgcdhsx4-X0T_cGqDR69CxjV0mk5VA&amp;amp;lib=M-zdWbhavtdZ1B_W2dnFDM0qoVt4lWzJ-"&gt;here&lt;/A&gt;.
&lt;/BODY&gt;
&lt;/HTML&gt;
</t>
  </si>
  <si>
    <t>2UFJ-ErrQwyviV-sdBxhZA</t>
  </si>
  <si>
    <t>17911-B</t>
  </si>
  <si>
    <t>8E00250110260020</t>
  </si>
  <si>
    <t xml:space="preserve">&lt;HTML&gt;
&lt;HEAD&gt;
&lt;TITLE&gt;Moved Temporarily&lt;/TITLE&gt;
&lt;/HEAD&gt;
&lt;BODY BGCOLOR="#FFFFFF" TEXT="#000000"&gt;
&lt;!-- GSE Default Error --&gt;
&lt;H1&gt;Moved Temporarily&lt;/H1&gt;
The document has moved &lt;A HREF="https://script.googleusercontent.com/macros/echo?user_content_key=AehSKLibgf3U99HVplHNgYOy0slGb7x98yUuO4RoOY55QLj7Yf2F1Hpqv1bQTjQhd2I3YYqfrZQyMD9vWDZ8nSQzzbPAJ4rLa9BQukZfsShMcRu8aAAWeVg5oEEaRNjsZvUb7dYMvnYgOC7_4ASt59uyGbTu-zf89YcMQT_V3LrwGL1vZOceovdef8wj0w-eZKlTeIgD3dZIXWAf0cD0gsQBVti6IjqCGEiDSYlMD6aI9Lw0_X4T5nQmMpSmWfx6vwFfX_UxqDYa3TfaBAmf52jtM3dh0kuTYZbx3IQsfqbSzuJxZC9Gozc2zcqjOHReiw&amp;amp;lib=M-zdWbhavtdZ1B_W2dnFDM0qoVt4lWzJ-"&gt;here&lt;/A&gt;.
&lt;/BODY&gt;
&lt;/HTML&gt;
</t>
  </si>
  <si>
    <t>KHfOCxFloA09NYHhbICm</t>
  </si>
  <si>
    <t>17913-A</t>
  </si>
  <si>
    <t>ACEVILLE TRANSPORTES LTDA / (0) Informação Adicional: PRAZO DE PAGAMENTO 4 X NOS DIAS 18/08 - 18/09 - 18/10 E 18/11
NOTA FISCAL COM ENTREGA FUTURA PARA INÍCIO DE OUTUBRO  / Obs.Interna: 48/60/90/120. / E-mail para nota fiscal: , E-mail de cobrança: , Telefone para contato</t>
  </si>
  <si>
    <t>zxUkjXUmSqel4taIgJumVg</t>
  </si>
  <si>
    <t>17913-B</t>
  </si>
  <si>
    <t>xZfAcqdgx0z8ijRrmNxS</t>
  </si>
  <si>
    <t>17913-C</t>
  </si>
  <si>
    <t>hwO3mZCvu5KyS1SoVR9s</t>
  </si>
  <si>
    <t>17914</t>
  </si>
  <si>
    <t>RETIRADA NA FABRICA / (0) Informação Adicional: cliente ESTIMOARTE
DEVE RETIRAR DIA 18 DE JULHO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</si>
  <si>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IP6NI70Gpb2jVp6hgDAmj-x7m-2Kfclgy9T92Hxhslfn-JMZAH6yR1NFuvLTy0WxPm34YCAAaf7gmJ63hG-rwhGEd2Z9mIDNch8weLcWpePv82XMktlGmKc0HxCJExrnTQu6OtjeOrZVq2f_BQDClthPX8QaoiBh6SX7rFvWh5HZSfjI6qbnrGstUkT_vXV1uaQUAhOYfoQqqNThWGz-p2CEX3MEO3v2mixyAQ-CaPob75sBw5yU1hyYebnsk6JfqmJKTg9MTQsIjarfaQ3ovFeUhWdlIBv3VgBXa4_VRRjteaIQHjMimqjNABg&amp;amp;lib=M-zdWbhavtdZ1B_W2dnFDM0qoVt4lWzJ-"&gt;here&lt;/A&gt;.
&lt;/BODY&gt;
&lt;/HTML&gt;
</t>
  </si>
  <si>
    <t>3ymmNToWQbqUlBy215pLNw</t>
  </si>
  <si>
    <t>17915</t>
  </si>
  <si>
    <t>8F00250102050003</t>
  </si>
  <si>
    <t>K1 TRANSPORTES LTDA / (011) 41519079Informação Adicional: Valor Promocional Julho R$8.915,67 para pagamento á vista / E-mail para nota fiscal: , E-mail de cobrança: , Telefone para contato</t>
  </si>
  <si>
    <t>WOQLjRODSxivWBxvHUN6Sw</t>
  </si>
  <si>
    <t>17916</t>
  </si>
  <si>
    <t>RETIRADA NA FABRICA / (0) Informação Adicional: PEDIDO 19511 (TONY COSTA (COSTA PACIFICO)
VALOR TABELA ESPECIAL FT R$ 6.297,50  / Obs.Interna: Autorizado pela Priscilla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</si>
  <si>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hDpoLkiFw8cBhZBziTszokMQ5qkVVtgI-twQtjUPNPjIf4DVAce5vvQl4sU86MQ6xG9R6ohUZSG8XHAuCefo7eUODTo7qE0rMLIFTGciveLCZVSK89sGgKnNY8LRZFOQS6TJfO9cjgpdjaHjuyej02X-IGSuWfpfOOSoefxg62M8ludRO7VCziFwEX1eAW-E8pA5dFo18a7XjZzQkEi1aDFQONUlVwaZ5TTglqxs6Dm7HzCCy-aStuIN4kyUNNAdyMBHlURdaFzTMQlbGDB3l1QFqz8SU6UJlGGC78bgnc4RFZxFvs9LJm3PkPg&amp;amp;lib=M-zdWbhavtdZ1B_W2dnFDM0qoVt4lWzJ-"&gt;here&lt;/A&gt;.
&lt;/BODY&gt;
&lt;/HTML&gt;
</t>
  </si>
  <si>
    <t>07Bd-UkVSFu2I7IYS-e.PQ</t>
  </si>
  <si>
    <t>17917</t>
  </si>
  <si>
    <t>8F00250110300009</t>
  </si>
  <si>
    <t>RETIRADA NA FABRICA / (0) Informação Adicional: PEDIDO 21286 - UP STREET
VALOR NEGOCIADO R$ 8.915,67 - AUTORIZADO PRISCILLA / Obs.Interna: autorizado pela PRISCILLA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</si>
  <si>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F3EHEtOuAQMeTqgyuXRDpjUd53eRVYYyWh-xyr6odox_vXW2O_hdmv6fwQpv4D72ZmFeYA_8moBlcrm5gMx_rWGyLT4ld2ewB44zSRpYzE_Q4Ul3iAMukIE6HcwS5GPPC6ygp7M8kFdeny2ekxqSNedXtD-IWrZwzCB_av2E8hI6T1mFgL6dUVvzftD0DJ3B50qDNqNjAkR0XGZi4SpX_GSh41Jaz8w_il20p4NcOssrgamj6KQI8eaSFKITYQe5M6HOjNaKX_zllMu3NFZZqUs3Ys2Qrj3GjUYuRSvMi_IVoZ-gp1pjc_3b0cQ&amp;amp;lib=M-zdWbhavtdZ1B_W2dnFDM0qoVt4lWzJ-"&gt;here&lt;/A&gt;.
&lt;/BODY&gt;
&lt;/HTML&gt;
</t>
  </si>
  <si>
    <t>aXhvJ8swS0-SgPxvQm0DwA</t>
  </si>
  <si>
    <t>17918</t>
  </si>
  <si>
    <t>8F00250110300008</t>
  </si>
  <si>
    <t>RETIRADA NA FABRICA / (0) Informação Adicional: PEDIDO 20005 - SOHO
PREÇO NEGOCIADO R$ 8.915,67 - AUTORIZADO PRISCILLA  / Obs.Interna: Autorizado pela PRISCILLA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</si>
  <si>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OX91-OvV2P65H0IOuv5UWimJ3porS24kIAZc8Q0vg9mixuAzsnvfaPjEk7GDjGhzFdC6obmPiw8oxla64CqKqkgJQEHlyfcRuiSrqW5oFXxqyBJUT6SE64qoguf1SWZjaaXh6CfWX2iY3KYfK0wHPoIz9HVPnsQiQj4fO1lpRa3ILs0B_uMOFMm5DnhM7ZkAVn9KUHCWE14KVNV6iT3XhueUddCEc0CytXwX8UBzCuxdmP3I-upGgaKc6q6Sk-D5N5W75eJSLkRiozq5wkDKdNzFQ6GR-XB4YGqKBLvFQi07VStzXiJAtY_PQ7w&amp;amp;lib=M-zdWbhavtdZ1B_W2dnFDM0qoVt4lWzJ-"&gt;here&lt;/A&gt;.
&lt;/BODY&gt;
&lt;/HTML&gt;
</t>
  </si>
  <si>
    <t>6dK3NZJjRbOELYxThkt15w</t>
  </si>
  <si>
    <t>17919-A</t>
  </si>
  <si>
    <t>8F00250110270039</t>
  </si>
  <si>
    <t>RETIRADA NA FABRICA / (0) Informação Adicional: PEDIDO 20109 ARS (HORIZON)
VALOR NEGOCIADO R$ 7.486,99  - AUTORIZADO PRISCILA  / Obs.Interna: Autorizado pela PRISCILLA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</si>
  <si>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A_bdVhMhWfKx_RRjwHwDXW2X_B_GW-pbvlldAsfd4DGlLt1IgcaAqNbcmkTK8_qWwHsWkepyna64_YvGAdY6Mtid3N9OxdpE0w5bA8v0PwMQZbmCJkZbVHrE447YgQPnU4AzleLuteaD7x7_IkI9adZ-fsLNwmDh0X1WuFTDKywosAPj1r43sYMQHC0e43mx9k-xP_7tXTmnBv-FfyBKXuJrNg2yxq81GzAvU10nEfD4ZOsKOlCleSart5DaJiWG1Zd_QUQaQJaS0S5H3sHDjTd-xJa_La_smplL_9TVmhtH9TDRXYQy7vWFhEw&amp;amp;lib=M-zdWbhavtdZ1B_W2dnFDM0qoVt4lWzJ-"&gt;here&lt;/A&gt;.
&lt;/BODY&gt;
&lt;/HTML&gt;
</t>
  </si>
  <si>
    <t>xoPvL2mNQTCRdeEkZZpkVg</t>
  </si>
  <si>
    <t>17919-B</t>
  </si>
  <si>
    <t>8F00250110270040</t>
  </si>
  <si>
    <t xml:space="preserve">&lt;HTML&gt;
&lt;HEAD&gt;
&lt;TITLE&gt;Moved Temporarily&lt;/TITLE&gt;
&lt;/HEAD&gt;
&lt;BODY BGCOLOR="#FFFFFF" TEXT="#000000"&gt;
&lt;!-- GSE Default Error --&gt;
&lt;H1&gt;Moved Temporarily&lt;/H1&gt;
The document has moved &lt;A HREF="https://script.googleusercontent.com/macros/echo?user_content_key=AehSKLhvWD-gnu2as6N3X4sE1FD8Pf3TruLsz2oOiLsHnfYvQh9gHCp4_7LtQ4jrEeIXzYfxYjZHb2ryksY27UPhzF9Ml6TDmi9Cps8YAhWFVGvyJUPnwezVDM1_QdFXwLU9wQOabPPdPfmAdxk5DvmCcIQwAwK0qiAQlBGJQ8g6Hqb6ByjygsNpfKd-wY4qBXJ-cbbX4sQwTRpkwjiieYRduRb3DQ_CTQFVCvAjMVNUoVDKh3O4LafML4NS9n5lWZ2baEgFfly58cz8jruQ0B2abc7BAl_jOYkRqUHUgAVnflLj0zy3Bv5_5ZwLuE2tDQ&amp;amp;lib=M-zdWbhavtdZ1B_W2dnFDM0qoVt4lWzJ-"&gt;here&lt;/A&gt;.
&lt;/BODY&gt;
&lt;/HTML&gt;
</t>
  </si>
  <si>
    <t>pNUbRSP8DgG1TTKRNc75</t>
  </si>
  <si>
    <t>17920</t>
  </si>
  <si>
    <t>8E00250110260030</t>
  </si>
  <si>
    <t xml:space="preserve">&lt;HTML&gt;
&lt;HEAD&gt;
&lt;TITLE&gt;Moved Temporarily&lt;/TITLE&gt;
&lt;/HEAD&gt;
&lt;BODY BGCOLOR="#FFFFFF" TEXT="#000000"&gt;
&lt;!-- GSE Default Error --&gt;
&lt;H1&gt;Moved Temporarily&lt;/H1&gt;
The document has moved &lt;A HREF="https://script.googleusercontent.com/macros/echo?user_content_key=AehSKLhU0O-BtB55gMj7QgZZVQaUHAnadS14qrG1lOZuXdpcUNC2U7YbZwUVsUyciMLoVeLJV0sSlB8K6eRe8nchU4LcbDLdONsW5xHBQgHCKgf_Xjux8Wn89iw_l6LISJUNXfj8Li3fEkoDHFIWgqPaQqvuWeR-je2zptL_xCrrgcsfPeGepFGCvtuJIOaOZyxSxLAa5frDFOUAaIl6rYWea5SH2_9fGAvI7fQEZnutOxplI-bTL8JVAjH8LEFz19T4J13sv5CHNXLyDCHD0936EDDy4KBnZdYjOxPv6Vlt9Te-C99ThHoOdUn4xkki7Q&amp;amp;lib=M-zdWbhavtdZ1B_W2dnFDM0qoVt4lWzJ-"&gt;here&lt;/A&gt;.
&lt;/BODY&gt;
&lt;/HTML&gt;
</t>
  </si>
  <si>
    <t>lNtvFg1qSXWvB4ilxPTN-g</t>
  </si>
  <si>
    <t>17921</t>
  </si>
  <si>
    <t>8F00241118040058</t>
  </si>
  <si>
    <t>EXPRESSO SAO MIGUEL S/A / (049) 3361-6627Obs.Interna: pedido sem cobrança e sem comissão . devolução devido a maquina ter chegado faltando peças no cliente. OS aberta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</si>
  <si>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eI4rnv-prSUeEDMvkXRwZOujiDDC0zAGoc3uVmbLbfMQ3SaC8l59mfXgKkZa8jT1TsrTLAtNrV2BNsEh41ACatbStkC0rHvOL0zKBP1htER5NUap30M5Oaa84kkGAGBI_paBPjvujFQuAHqL7JYEB0uFcJglKW6c5oxnjjS0XLEOFz28N9s75is0HQISgAZtKIuV84zN-2BIAPbBDxxafTPk9vPHJHEFdw-__U4VvfKcszKQ2dtcTpPAGYHJTu7lHvlJweg4tBWQcQLB61tTkM6Qjsahlxh1ItI69mY8mgykaTvKVW93AWFz_3w&amp;amp;lib=M-zdWbhavtdZ1B_W2dnFDM0qoVt4lWzJ-"&gt;here&lt;/A&gt;.
&lt;/BODY&gt;
&lt;/HTML&gt;
</t>
  </si>
  <si>
    <t>60tdIZf5RqOa2KSkioSuLg</t>
  </si>
  <si>
    <t>17922-A</t>
  </si>
  <si>
    <t>8E00250110260025</t>
  </si>
  <si>
    <t>FITLOG TRANSPORTES E LOGISTICA LTDA / (048) 996277956Informação Adicional: Frete FOB - redespacho Sete Lagos
CNPJ SP -  03.098.929/0005-17 - End. SP: RUA PEDRO DE TOLEDO, 407 - JARDIM SANTA LIDIA - GUARULHOS - SP - CEP 07140-000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</si>
  <si>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MXoKtS_TDtsn4sA_sFdMw56ZZn0a22nilQyKjB6155hpYq6OejV5JahRmYdfj01ZbBjkQ55BNIFgPsTwd-VDsYjeKC-02r7__aMlBy8wbjaFhovgi3QInSm2nDC1N71FFH14w6vr7AaHeHIXf8v_xwtS9ZAQpd4XViFMaPknoWcI7HV_G_3iXwh2-HvNLST-PK-9dPBdaPU4Yh2f5G67t1zeOlsQhBelS7UFBidUmlJDKxSQFKaxOpTfJtRHuC5i9d1PImNPhWwyPplkO5o8OfuGNWac9q4jDINO64C-VHMSmJNsF-0IfYoiznw&amp;amp;lib=M-zdWbhavtdZ1B_W2dnFDM0qoVt4lWzJ-"&gt;here&lt;/A&gt;.
&lt;/BODY&gt;
&lt;/HTML&gt;
</t>
  </si>
  <si>
    <t>bCA-yo5OQMe04dgZrP7uXw</t>
  </si>
  <si>
    <t>17922-B</t>
  </si>
  <si>
    <t>8E00250110260026</t>
  </si>
  <si>
    <t xml:space="preserve">&lt;HTML&gt;
&lt;HEAD&gt;
&lt;TITLE&gt;Moved Temporarily&lt;/TITLE&gt;
&lt;/HEAD&gt;
&lt;BODY BGCOLOR="#FFFFFF" TEXT="#000000"&gt;
&lt;!-- GSE Default Error --&gt;
&lt;H1&gt;Moved Temporarily&lt;/H1&gt;
The document has moved &lt;A HREF="https://script.googleusercontent.com/macros/echo?user_content_key=AehSKLgcJx5oN-NlWoclFLb_wGULZDk1NXgGq-_qHCPrZixNprEp1ToR0-HCXqkyA8AjpOhlhs5yKd8V3mSa84l7zkf-PLDbvvu8KIBCZ1fdWejm49zTsplcL1zrk295CH0eJ7NdiyJ8GpH02-xCSezDJvf28g7M_HziPQlN0eidfzzWGnX3FyCRUx-j0L08EgkyrxQJLH-tU6ut3shpf-S027aJJwmLUVd6oMFDRk0oPbVL3HUfxjwQG6YPUlZodU-sATwJL_DZeSl6xI7xW8H5P3ANHOU1pehw4UPsMwRw6iL9Fzrcku89fjklQ4BntA&amp;amp;lib=M-zdWbhavtdZ1B_W2dnFDM0qoVt4lWzJ-"&gt;here&lt;/A&gt;.
&lt;/BODY&gt;
&lt;/HTML&gt;
</t>
  </si>
  <si>
    <t>sUf8d66K8tCUkwBJcFVr</t>
  </si>
  <si>
    <t>17923</t>
  </si>
  <si>
    <t>8F00250110300007</t>
  </si>
  <si>
    <t xml:space="preserve">&lt;HTML&gt;
&lt;HEAD&gt;
&lt;TITLE&gt;Moved Temporarily&lt;/TITLE&gt;
&lt;/HEAD&gt;
&lt;BODY BGCOLOR="#FFFFFF" TEXT="#000000"&gt;
&lt;!-- GSE Default Error --&gt;
&lt;H1&gt;Moved Temporarily&lt;/H1&gt;
The document has moved &lt;A HREF="https://script.googleusercontent.com/macros/echo?user_content_key=AehSKLiv8xCdPCVAGzbPMxylAX2HIpR4f7yRE9UYNojjnVLs6QenOrwf4gTr3UvcMLHspGOvChPR1ER49Hp0cdpqb0JfS-_ToZZvltGXJNbY66e4WseLd1PZ_ZyQ3zlPWtxYIEXAnI80HdOXvmRwmNWQt4zl1qT7ADmr5DNBHQjuff4J4uHoGfljT2CgoAroI5qBbNDti5720TgOlueqnXjVddPPcReQT88-nSzFtTXc6klOGd-8FYkni2UCNdVJHLHnvltmbQOA-8rm9PEqQzIAe30APWXLnGqLsFoI5CxqntTadwu7aGB9gDcY4yBQ9w&amp;amp;lib=M-zdWbhavtdZ1B_W2dnFDM0qoVt4lWzJ-"&gt;here&lt;/A&gt;.
&lt;/BODY&gt;
&lt;/HTML&gt;
</t>
  </si>
  <si>
    <t>31ZG2D3lScWzPWNAMWTW9g</t>
  </si>
  <si>
    <t>17925</t>
  </si>
  <si>
    <t>8F00250104100026</t>
  </si>
  <si>
    <t>FITLOG TRANSPORTES E LOGISTICA LTDA / (048) 996277956Informação Adicional: RETIRA NA FABRICA HOJE (14/07/2025)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</si>
  <si>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lalF_aKQooYyz6kUFdZuBFlhfzO5cfWnApttnQxhTerlRsdyuF3dsz58IN-f1Z0RBHqXiXlkbV35Jp4pUWhPrXGauJ34nJidKtnVU0cng7g2krEy_TmWo9ayZ1n3zk15Yg6oThT_Y6f1pyhAs5rhmqgLzbNKStRgjY-WWA1rlgkniFprZodOWpB3AO4drR3KSSUrcfMvpyXpqRq_-_dB-hw7SNe77ps6M4FRYbHJbvukr0R2OkEWgnVDZ5DkUU_r4co_JkbKM49i8O4hTIlgyfGGc2ekrQnElDjEoEJZUymXE8N_Baioikc4wQ&amp;amp;lib=M-zdWbhavtdZ1B_W2dnFDM0qoVt4lWzJ-"&gt;here&lt;/A&gt;.
&lt;/BODY&gt;
&lt;/HTML&gt;
</t>
  </si>
  <si>
    <t>2sSZO62uRpOSaX6IQPp.tQ</t>
  </si>
  <si>
    <t>17926-A</t>
  </si>
  <si>
    <t>8E00250110260019</t>
  </si>
  <si>
    <t>FITLOG TRANSPORTES E LOGISTICA LTDA / (048) 996277956Informação Adicional: FRETE FOB COM REDESPACHO PELA EXPRESSO RAQUEL 03.823.190/0002-16. - ENDEREÇO:RUA SOLDADO AMERICO RODRIGUES, 131, GALPÃO MODULO A - PARQUE NOVO MUNDO
&lt;br&gt;</t>
  </si>
  <si>
    <t xml:space="preserve">&lt;HTML&gt;
&lt;HEAD&gt;
&lt;TITLE&gt;Moved Temporarily&lt;/TITLE&gt;
&lt;/HEAD&gt;
&lt;BODY BGCOLOR="#FFFFFF" TEXT="#000000"&gt;
&lt;!-- GSE Default Error --&gt;
&lt;H1&gt;Moved Temporarily&lt;/H1&gt;
The document has moved &lt;A HREF="https://script.googleusercontent.com/macros/echo?user_content_key=AehSKLjfFMuyBPa1EWAUXWXkv1rZ6sdY6i8Tjy3GVr3QDnu6J8Oqanj99w4FRm8hgpCqXYaX596be1uxzwu8m0riWbxB37zFlEk9JW7Jk1nNjSj-2VerquU7RPOQRzUKDDJyjVTciYYIHa1Jw0OOIVJh518J9gocSRo21tCyopmflovuCgz1Aqd3Tej-QxIOt-ekGSHcd_K7054YBcthneNNeRrYnX-Bo2kbp3TJUbLRJpaWR-JVlSUznryQG2qH1Gu5iBpHfA7DrIURSxxh1qro9lvNXPR2I5gk2Ebai1cLPdXFa6xFTAMVZ9ydG7NZ4w&amp;amp;lib=M-zdWbhavtdZ1B_W2dnFDM0qoVt4lWzJ-"&gt;here&lt;/A&gt;.
&lt;/BODY&gt;
&lt;/HTML&gt;
</t>
  </si>
  <si>
    <t>EoYbtohWQY6xOvK-dAHcWA</t>
  </si>
  <si>
    <t>17926-B</t>
  </si>
  <si>
    <t>8F00250110270049</t>
  </si>
  <si>
    <t xml:space="preserve">&lt;HTML&gt;
&lt;HEAD&gt;
&lt;TITLE&gt;Moved Temporarily&lt;/TITLE&gt;
&lt;/HEAD&gt;
&lt;BODY BGCOLOR="#FFFFFF" TEXT="#000000"&gt;
&lt;!-- GSE Default Error --&gt;
&lt;H1&gt;Moved Temporarily&lt;/H1&gt;
The document has moved &lt;A HREF="https://script.googleusercontent.com/macros/echo?user_content_key=AehSKLg6Epn1R5d7kyhdoL2TBqOtFf58lrTlxNRSh434Hdw3Aixs8U1bTYjrCoBiwUBR_jUBncZdB0U9Fp2zOkADHW9hTqR9Wv87fnqD-KiPO8WalToEWYrqUxny8QRbbsIcKsNgpSHwvpdM6FNc_eOWzj_lz-qdado4VbVEBiJ7sBtebKqMUT7zB-lB_1KT_DjdzWu9-9t25x3pALkNd-RHZVkXYWPbIADCz3peXFZ2rTOON2RscompNam_bnAzf0kl_zVpDBCUvHWcoFvcDdcLaVEPBvOoQgjhzw-ANp-3rK9F1MQoMMPJy8Ct0ub5ag&amp;amp;lib=M-zdWbhavtdZ1B_W2dnFDM0qoVt4lWzJ-"&gt;here&lt;/A&gt;.
&lt;/BODY&gt;
&lt;/HTML&gt;
</t>
  </si>
  <si>
    <t>b50sHqsc0jllZPFfVeWz</t>
  </si>
  <si>
    <t>17927</t>
  </si>
  <si>
    <t>RETIRADA NA FABRICA / (0) Informação Adicional: Equipamento em estoque- falar com Leandro substituir o quadro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</si>
  <si>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8ruQnxYmh2tH2gW2qYhrfeqcXGg6SIkvjmsdy7ZvI-dpzsSINOOCBWTaA-h83y8DTdlgVNJXFgzk9FZo4ofYnr_lYg855Zu8zCbfjHpx5neNNMwRajOjHl5WzgKs0G_EPUfAdtY213PF3I-LgjLpz82CLKgjqb0Zbk4kyrULSyjxcOKMfbZDFdalUb-KWRIvL-NHYlbG9R7c8pG1kI3x_W-BxZSyJPyUDmDMk5VDxt9Ov9iY1Mprt_Vm7PThadfSsIlsm8HFpkfh1WHwGPhBxu5hiqg9KlL8rHgjFWANzk-RfXaLSkAdmILcCVQ&amp;amp;lib=M-zdWbhavtdZ1B_W2dnFDM0qoVt4lWzJ-"&gt;here&lt;/A&gt;.
&lt;/BODY&gt;
&lt;/HTML&gt;
</t>
  </si>
  <si>
    <t>H7v-P4FOTRajdtBC74cXyA</t>
  </si>
  <si>
    <t>17928</t>
  </si>
  <si>
    <t>8F00250208120021</t>
  </si>
  <si>
    <t>RETIRADA NA FABRICA / (0) Informação Adicional: DEPOSITO DE 50% DO PEDIDO FEITO NO DIA 11/07/25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</si>
  <si>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fr_5nplBjGpnElJnE8TzGg_mL9JCTfjAAP2RCOZFAk_ZjozR1VYy8RvpYXl_z-wT2En3_mH04TyxZFP_v918jR0DeRNZgbUodTr7hClg8bAiGYVJDmShV2Stbv0BK4tQ8ujMBafMNCfc_OjsuVyghcqbXcMRnSAFcniKyP6BCjHwqgaDXbeW1r76e79R3GC7hbGDje-L1i7aKOK2PXC0Z_NYxLgAkDdPXnNfLYoUa2oljh3Ijz4Xpy4j52YmmqAie7euFx3V5YvELin49gyx4UXujqnq-qu0o-c_-ISdebUHNXB4WSsHTDvlvMA&amp;amp;lib=M-zdWbhavtdZ1B_W2dnFDM0qoVt4lWzJ-"&gt;here&lt;/A&gt;.
&lt;/BODY&gt;
&lt;/HTML&gt;
</t>
  </si>
  <si>
    <t>LVpRY-h-Rj2hAZJacQw36A</t>
  </si>
  <si>
    <t>17929</t>
  </si>
  <si>
    <t>8F00250110270042</t>
  </si>
  <si>
    <t>RETIRADA NA FABRICA / (0) Informação Adicional: PREÇO NEGOCIADO R$ 7.490,00
PEDIDO 18595 - Z &amp; Z / Obs.Interna: Autorizado pela Priscilla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</si>
  <si>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YcvWcJTcj8kgcignJEqsZjDdR3_6iTdAd-ckZd2PB1qu6DvR8hBoE68GwGQjatfg9iR5EHktDeO2agTnhERcp-bGT2mKsf9fizl5J-VxOP-lZzAX5mrXoC6nX5yrca5U9vhCETI62wrfpWi3sAYS-6VfCYJV1c0j8ugciT7iOgLaaqNKnwtkKfZZn6Ut7TxT4XYxWtfI_22u8w5xc2XRaplIpe98prgIf0VEXHiYRNTfco3-M9pIO78mx4sFho-OFyH38UR5OF0b9gXEl6tGMpGLIyuGNZaUOe_yFrmTDY6eAFMj9Np_4aMiGqQ&amp;amp;lib=M-zdWbhavtdZ1B_W2dnFDM0qoVt4lWzJ-"&gt;here&lt;/A&gt;.
&lt;/BODY&gt;
&lt;/HTML&gt;
</t>
  </si>
  <si>
    <t>yFV.sMfKRbuSOQfeAOOIVA</t>
  </si>
  <si>
    <t>17931</t>
  </si>
  <si>
    <t>ABC DAS PISCINAS</t>
  </si>
  <si>
    <t>8F00250110300003</t>
  </si>
  <si>
    <t xml:space="preserve">&lt;HTML&gt;
&lt;HEAD&gt;
&lt;TITLE&gt;Moved Temporarily&lt;/TITLE&gt;
&lt;/HEAD&gt;
&lt;BODY BGCOLOR="#FFFFFF" TEXT="#000000"&gt;
&lt;!-- GSE Default Error --&gt;
&lt;H1&gt;Moved Temporarily&lt;/H1&gt;
The document has moved &lt;A HREF="https://script.googleusercontent.com/macros/echo?user_content_key=AehSKLj_tCu6lYYw2r_J-C_-fwOIINyfVLfioX9gF3ixU59R0_R0McIdOSusfX6Evuq-G9iTBAEUD5wFLF6_X6z_LuZLb38rC3mFk8LRCkLJcbuMBhKnFjd-kMwPoYoXXVpC0-UZKRY5bJiEqcthkwbiaAJSRIpNjiLtgVC2MTdGcSqa411rkvT9xxlzB7M-OL_y1jSse77VrOr5MAFX3nGYPp0TQFkhcsP-jBzBZeAWj7WGr1c6NSoxUtfBjfhVQ-1FBHluk5Fx3Jf9SWKytHYVjLFZL3bzEHVEEsyjzFHNAGNb3-xDgvwO0ljq2xUUoQ&amp;amp;lib=M-zdWbhavtdZ1B_W2dnFDM0qoVt4lWzJ-"&gt;here&lt;/A&gt;.
&lt;/BODY&gt;
&lt;/HTML&gt;
</t>
  </si>
  <si>
    <t>JwGqGlf6QWmdm49S6E93jg</t>
  </si>
  <si>
    <t>17932-A</t>
  </si>
  <si>
    <t>8F00250208120022</t>
  </si>
  <si>
    <t>EXPRESSO SAO MIGUEL S/A / (049) 3361-6627Informação Adicional: 1 FTI 105= 13.090,29
1FTI 25 = 5.222,29
FORMA DE PAGAMENTO 30/60/90/120 / Obs.Interna: USAR CREDITO DE R$5.548,20 AVISAR A BRUNA . SALDO EM 30/60/090DS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</si>
  <si>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P5Vpdfvr15u2t_J5MuzqpeDQTFBdfzHcQlr5AAgu1XS6E5WLY8ta4AFnQgysEoCOdnee0W0wid-UscM0iNvWtqZBA1qSwhqpT6Vlc-2lFAtm9rzL6qi6V_Q4o5Og1w_VmG101wUpqvy-F6MNIqN7aecfQxJaz9Wu1cA2UFVUIxTaNWaHfdGiOX2DzTjXe2IntxTluSe0HvFuuS5fSx45hGyqOlkVEoLFzeT-8sZNEsfUw5rSbFG5t4MzkfTIyi7Sdrcva8IQiWic1DOARKGXEGfM4XHLelU2VFwWcSqmEsaqY2oUiV9FnaqiF3w&amp;amp;lib=M-zdWbhavtdZ1B_W2dnFDM0qoVt4lWzJ-"&gt;here&lt;/A&gt;.
&lt;/BODY&gt;
&lt;/HTML&gt;
</t>
  </si>
  <si>
    <t>Hy0GFPxvTuiWZN9mROg-dw</t>
  </si>
  <si>
    <t>17932-B</t>
  </si>
  <si>
    <t>8E00250104020010</t>
  </si>
  <si>
    <t xml:space="preserve">&lt;HTML&gt;
&lt;HEAD&gt;
&lt;TITLE&gt;Moved Temporarily&lt;/TITLE&gt;
&lt;/HEAD&gt;
&lt;BODY BGCOLOR="#FFFFFF" TEXT="#000000"&gt;
&lt;!-- GSE Default Error --&gt;
&lt;H1&gt;Moved Temporarily&lt;/H1&gt;
The document has moved &lt;A HREF="https://script.googleusercontent.com/macros/echo?user_content_key=AehSKLjWZUbnI_Iw0PtxFxzVJlNjjJ8-ZB_bGYjn72rN3DMEkzH267vMR9k4HE_x3jJ9BvZDkwUoSivG7Yvl8TOI2Fx3061o64Hb5v4P0yiU8hOHTXYvfwMQgJzVBOUT5UbL2Aq8l8RcaZCDeAC-Ns14rGRmDOxJr5yfZyLqARpzSqIFX8V0Cp_pHjrR2ribJXEbFRje0y1dTpEIM2ln5a3DFu30qCZardR9PVQEomp-zzks0ekYG5bFmpOVoDapIDIyhpwnE8gN2hPojlH1HxwPhWd7UewEvDg_UlvEFXZ26oQ0KKRBv52P_jpZJR6-Xg&amp;amp;lib=M-zdWbhavtdZ1B_W2dnFDM0qoVt4lWzJ-"&gt;here&lt;/A&gt;.
&lt;/BODY&gt;
&lt;/HTML&gt;
</t>
  </si>
  <si>
    <t>u7tGMvpZE0wGAR3NIZNR</t>
  </si>
  <si>
    <t>17933</t>
  </si>
  <si>
    <t>DOUGLAS PELLIZZARO</t>
  </si>
  <si>
    <t>8F00250110300011</t>
  </si>
  <si>
    <t xml:space="preserve">&lt;HTML&gt;
&lt;HEAD&gt;
&lt;TITLE&gt;Moved Temporarily&lt;/TITLE&gt;
&lt;/HEAD&gt;
&lt;BODY BGCOLOR="#FFFFFF" TEXT="#000000"&gt;
&lt;!-- GSE Default Error --&gt;
&lt;H1&gt;Moved Temporarily&lt;/H1&gt;
The document has moved &lt;A HREF="https://script.googleusercontent.com/macros/echo?user_content_key=AehSKLifhXn_gLw5srVBUcOu5vVuwG0NMZCwNUsbdoeHfjme3xZF5aRQyfSy9WRFJO3g30FGrtr_Lc_Bu6CWH6HF2PwbLPq7-3CVkWb0iGWknfNML4_sqSS_IuYVZrL5nx_v2lTjwTii4RrwshxPbjwD36vEsiF6rVL4fmgpnKgxsQb-DhHdjNcqJOlxtEAMi3uVjJqC9WxytjDKlM9tOGiBUXUMEY9S1zQpcYgBjvNfpsO7wfhM7myqhX4_wPDI8TXxiMUKdUR2npWKTJ_mv0C6maHGqAbBLuQa69uALzr0DAYwEJ5ezM6quYCZ2lZv7g&amp;amp;lib=M-zdWbhavtdZ1B_W2dnFDM0qoVt4lWzJ-"&gt;here&lt;/A&gt;.
&lt;/BODY&gt;
&lt;/HTML&gt;
</t>
  </si>
  <si>
    <t>a-QOa-zLPQe-ZsnAZflPrpA</t>
  </si>
  <si>
    <t>17934-A</t>
  </si>
  <si>
    <t xml:space="preserve">&lt;HTML&gt;
&lt;HEAD&gt;
&lt;TITLE&gt;Moved Temporarily&lt;/TITLE&gt;
&lt;/HEAD&gt;
&lt;BODY BGCOLOR="#FFFFFF" TEXT="#000000"&gt;
&lt;!-- GSE Default Error --&gt;
&lt;H1&gt;Moved Temporarily&lt;/H1&gt;
The document has moved &lt;A HREF="https://script.googleusercontent.com/macros/echo?user_content_key=AehSKLjIjaK-teDPmUNCPwcPg31H_FGD9GSIUJL2PhZcKTBUfICwpEvudMk5mE0mbBlKotsDa3nvt-9L2cPMxPkpv6uR7ptlrA7GsDIjFfSJt-zywBvX3OnX0EpYmlhcnX7vZf77KwhJN7StsDwwJzYyOwTOMlhOy39KDvLdUMNhJ-Tmh65gOR9TjOv-D0fdLnR3K4MoK1hDvcyQev7WHIcjHEtbFTodTy50mGlMf6EEVLi4PzYjtYILuhO8nhG5-KnrwkDYonRXbkRAqh8DQdeIzlixjiAqRzW06C_pRCzFHgP7U75uQrcICZYBSaUEfg&amp;amp;lib=M-zdWbhavtdZ1B_W2dnFDM0qoVt4lWzJ-"&gt;here&lt;/A&gt;.
&lt;/BODY&gt;
&lt;/HTML&gt;
</t>
  </si>
  <si>
    <t>0pFx9G6YQPuo3elOqUOXbA</t>
  </si>
  <si>
    <t>17934-B</t>
  </si>
  <si>
    <t xml:space="preserve">&lt;HTML&gt;
&lt;HEAD&gt;
&lt;TITLE&gt;Moved Temporarily&lt;/TITLE&gt;
&lt;/HEAD&gt;
&lt;BODY BGCOLOR="#FFFFFF" TEXT="#000000"&gt;
&lt;!-- GSE Default Error --&gt;
&lt;H1&gt;Moved Temporarily&lt;/H1&gt;
The document has moved &lt;A HREF="https://script.googleusercontent.com/macros/echo?user_content_key=AehSKLhJrIeQg5oGHnYgujutex2UQoRhUkCIqqwDo42nEDSNuOgMTzw50DuOGd6utbuc9y06gXT_C7hiV9p1xNgRFLG_xk1m6W8OK6-Rh1wPmfgfD6hqeJ3LRdPBcXvygSb5Qk8SKmOaNw0DdfudS7rJ52rvywYaeMZIHZShZfATFh71GeoDwjL0gKvWKF4VYK3weGTlFD7GAKlEBXB-sTX1p0-b3HrSfvuXfJu5WIMuxqMvPXu_JOd8gEbZUzADSNL0JHnj68zlKwyoTi13fUwiDVSdbFVFotHI9-SReOHYxipj8uEt68liGBmu8FwfbQ&amp;amp;lib=M-zdWbhavtdZ1B_W2dnFDM0qoVt4lWzJ-"&gt;here&lt;/A&gt;.
&lt;/BODY&gt;
&lt;/HTML&gt;
</t>
  </si>
  <si>
    <t>cze8LPMOCw9kt20Ye1RA</t>
  </si>
  <si>
    <t>17935</t>
  </si>
  <si>
    <t>WATER LIVE PISCINAS</t>
  </si>
  <si>
    <t>8E00250110260029</t>
  </si>
  <si>
    <t>EXPRESSO SAO MIGUEL S/A / (051) 3586-2013Informação Adicional: MAIS 10%
/ Obs.Interna: Rua Harry Feeken N°580 Rua Harry Feeken São José dos Pinhais-PR 83040-000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</si>
  <si>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pmRXZyiJiz9ncXIEEiAOzzID7gtAb3vnoHRjMP77Q5Z1TcPKU9CmyxYt5mr1ptBDm95nb9f-aQY63kK_29HglP2-vr7GBWt61kJ1aVuhke9nKJZNCy6gI-Ow13VhNlcW2rBCzLqHE-3SfYQheHKO29qV9Efsb9ETgOM5KMNKPXCa1duwnXWkThLHUlZBP_Ka52KjPuDPsYo53USfCREfAzr5NjjdlQGZ0SDYGfFY8h13CpmE5H8ORxcjbC_0UmxiiAJgi4eTlBK_-v4whrk93PDWJytSsrqFNqDC21C7xUalRKkGoI3i-YQSkoA&amp;amp;lib=M-zdWbhavtdZ1B_W2dnFDM0qoVt4lWzJ-"&gt;here&lt;/A&gt;.
&lt;/BODY&gt;
&lt;/HTML&gt;
</t>
  </si>
  <si>
    <t>e2uv3GKeRKOuju2vZvIdUg</t>
  </si>
  <si>
    <t>17938-A</t>
  </si>
  <si>
    <t>8E00250104020011</t>
  </si>
  <si>
    <t>FITLOG TRANSPORTES E LOGISTICA LTDA / (048) 996277956Informação Adicional: FRETE FOB COM REDESPACHO PELA TRANSPORTADORA AREIAS BRANCAS,  CNPJ 050112170001-10, Rua Sargento Manuel Chagas, 70 - Parque Novo Mundo, São Paulo - SP, 02179-040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</si>
  <si>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yysvaJGlfxar7_kWvsdIFbo7TMd3_hUZuJfJa2p7Uj6DoeiZK3kUYgzHWtu-FjZPuy_Z6T_I3UTv4e9uAlrGK1kY_qj7TzomEZLXgwuTm--6I83Hm8JHwVBnxIirDbJbgvK_OGWgF9uGAuPfsgtAPYtneUif2hAls9BNOi8Y3cCqvo_j_8iPgq7rKaG-PMgW5sW5EO_0OY27vKgykV0y5jJBFsJ-KLAwLM5dx8J8EvWpUciXCCU88_rwUGto1L-RPQrkzQ4e5r48PrcuNaOhkGHWrKwKYQAirFwE4qLWIoQTVG1DX6oiD6gR52g&amp;amp;lib=M-zdWbhavtdZ1B_W2dnFDM0qoVt4lWzJ-"&gt;here&lt;/A&gt;.
&lt;/BODY&gt;
&lt;/HTML&gt;
</t>
  </si>
  <si>
    <t>0E5p8CrbQs2jtLLwdexztA</t>
  </si>
  <si>
    <t>17938-B</t>
  </si>
  <si>
    <t>8F00250208120014</t>
  </si>
  <si>
    <t xml:space="preserve">&lt;HTML&gt;
&lt;HEAD&gt;
&lt;TITLE&gt;Moved Temporarily&lt;/TITLE&gt;
&lt;/HEAD&gt;
&lt;BODY BGCOLOR="#FFFFFF" TEXT="#000000"&gt;
&lt;!-- GSE Default Error --&gt;
&lt;H1&gt;Moved Temporarily&lt;/H1&gt;
The document has moved &lt;A HREF="https://script.googleusercontent.com/macros/echo?user_content_key=AehSKLh3MsJ3SRf5pvwkTUOg9PqQ1dPQ14cZzgr-FltwaP9rNeCfFjpbCoQqoSvNGgKHKENSRIZvoSAcUg7dJfb7tN8A-kjusHkJ7V1lWNj6Dmv24ZiVEQ4duv3EgCOgaT4oEl_WY3J01jNQ15GiEpjygWnX71WjTyBjckkQGDFZnHS5TnaT6IaEOzxylx5diIkRyC2rW0CdHNqS49_tPYMX6kw74TN65da26logzaGEp3UFiWq5WutgEq2VgzKERC0W888SFIFr5fe7ofdbzs3z3pI3BGZ9QwKbxt5nanKDjkPr_vS778B2s_FUVjNfLQ&amp;amp;lib=M-zdWbhavtdZ1B_W2dnFDM0qoVt4lWzJ-"&gt;here&lt;/A&gt;.
&lt;/BODY&gt;
&lt;/HTML&gt;
</t>
  </si>
  <si>
    <t>9ExmSAxduZaZLCtHGbpo</t>
  </si>
  <si>
    <t>17939</t>
  </si>
  <si>
    <t>8F00250102050004</t>
  </si>
  <si>
    <t>rbGWU.82RzCGOKwkedS7pw</t>
  </si>
  <si>
    <t>17941</t>
  </si>
  <si>
    <t>CRD PATRIMONIAL</t>
  </si>
  <si>
    <t>8F00250329060017</t>
  </si>
  <si>
    <t xml:space="preserve"> (051) 3586-2013Informação Adicional: preço da maquina  - R$ 15.264,19 (desconto promocional 10% + 10% (antecipado) + 6% (DIFAL)
Frete FOB sem redespacho direto com a RODONAVES -
CNPJ - SC : 44.914.992/0036-68 - IE. 260.650.455 - CONTATO (48) 32027150 ENDEREÇO : ROD BR 101 , 7725 - SÃO VICENTE - ITAJAI - SC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</si>
  <si>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7RMrUGJJLMiQmPqavX-OAdSiE3u2A6rySDz1NmXlu9O_iDXcHsUm9c_cexD9ll5R4tID8x3VV5ZN8Y22-yjaOJ3Gl0YIz0bhbiOtUS-aZVnItahGpfch3EEKm49xc6myTohlRrhKyaEuw54A3h7cAzFTnrLzMoAsXAeNeq3NrKUzAIE7PeO6RRpaRFoyYxOqsNwAet4oimDH0PbcJAv_1srJQ6kwQSwPVUWspRoBJUPYSLh1lOmD2Jsvymzs8gQ4QtNS5sXadBbqALoXEIsIP1tugpZ_4-UGpoKff3dv6MnodBmxbNGH5nVxnw&amp;amp;lib=M-zdWbhavtdZ1B_W2dnFDM0qoVt4lWzJ-"&gt;here&lt;/A&gt;.
&lt;/BODY&gt;
&lt;/HTML&gt;
</t>
  </si>
  <si>
    <t>fRVqsXlQSY6ADRqpaL.jmg</t>
  </si>
  <si>
    <t>17942</t>
  </si>
  <si>
    <t>FITLOG TRANSPORTES E LOGISTICA LTDA / (048) 996277956Obs.Interna: OC 757 . Entregar: rua das Aroeiras s/n lote C18 F 14. Bracui /  Cunhambebe  Angra dos Reis. Cep 23943 007. Ligar antes de entregar. Valor da maquina R$ 16.321,50. Pgto 30 60 90 120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</si>
  <si>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y2oa5_H9v76pjDqxrlKmBDYGQSWJ7X5ir0huO7eCHUesDAu1o7FBQhlp1byA0902RrYsBhvqnAkSBkKfO9RtmXdWBJ302CA8GPQD8GZpAuPLhamH7yGHzM8aF2cBlRuJSXb_DZsKzpFuuIpUTZunM60yGD8N6tGvC0ocxpYXiJjVUxZXwvqaAGQst0kBYGAxxi8XEl_tM7wdP7zus4ntUQsbq77GbUEZXEVJdHMg2RXQbSr87XwS2xtQeMFkrpeKMgpwo2YMWRmNIqxayfB4npWFxPBggfMWCILDF1mnzWjWOyJvBcxuFFu1xYw&amp;amp;lib=M-zdWbhavtdZ1B_W2dnFDM0qoVt4lWzJ-"&gt;here&lt;/A&gt;.
&lt;/BODY&gt;
&lt;/HTML&gt;
</t>
  </si>
  <si>
    <t>XKIGT5zGQHeNj.mQQEftig</t>
  </si>
  <si>
    <t>17943</t>
  </si>
  <si>
    <t>8F00250208120020</t>
  </si>
  <si>
    <t>FITLOG TRANSPORTES E LOGISTICA LTDA / (048) 996277956Obs.Interna: OC 900 entregar na Aqualar urgente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</si>
  <si>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A6p9C8AYUnO69qjJaLd7xZBw3BglgCMe70Xmn1kwFYoHnenB3UFO6DBPtZsqgYiu5JZQu1JRZl4hKHKw_Rt5l_oIVtcv_tPBCTcfvwD6x2G88uKKQdbTCMLfCjdrSgWG5naBwv2za6V82y4bfKDWCfPbMLlmETXGsR21yud6Q45ylWGXo6FrIyW6HfdGcfRRLeMTyob769HtUHhWhiezEweYXJKlfGrBVRpmgBb7itnQ88StzryVcca0KlFGcnAHpYM43OKI1CGdpQGyHQeebDjvHYheKqAVH21y-f-MRpkt05DkEjqgo66RcYQ&amp;amp;lib=M-zdWbhavtdZ1B_W2dnFDM0qoVt4lWzJ-"&gt;here&lt;/A&gt;.
&lt;/BODY&gt;
&lt;/HTML&gt;
</t>
  </si>
  <si>
    <t>T8ijtcoDSJOFxCN0kieufg</t>
  </si>
  <si>
    <t>17944</t>
  </si>
  <si>
    <t>8F00250110270057</t>
  </si>
  <si>
    <t>SAÍDA PELO ARMAZÉM DE SP - KEEPERS
K1 TRANSPORTES LTDA / (011) 41519079E-mail para nota fiscal: , E-mail de cobrança: , Telefone para contato</t>
  </si>
  <si>
    <t>00epxvBpTm6xGP0.UP-HIQ</t>
  </si>
  <si>
    <t>17945</t>
  </si>
  <si>
    <t>8F00250110300004</t>
  </si>
  <si>
    <t>FITLOG TRANSPORTES E LOGISTICA LTDA / (048) 996277956Informação Adicional: Endereço de entrega:
RUA ARACY NUNES CONSOLI, 60 - CEP 37551362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</si>
  <si>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TB9fTHMUZyAFSaVx4VFgWXmmF_v6N_ZYhWPAQ4UiGQKJ2wXePiBpESl7zm6Q9w4m_Smvl8ysPdl158c71rl5IC_DNJNWQL73u4CZBawaOI8cc4oqCc4ZG-kDZVGXrJKt1ChgcoftItC0xPQjT_8VDQmzOQ-i1scB3sRixoW7O16UeJL4c8U11cpnp_rmArpw6nhK20zC_LxbDRC_BJ9LHLg9tg_IzH7H3AAA423-iSXK7z6TJZe5M8uZdFG1PnrO_HBFWkN0LELNP7KKhxY7JQMya8whpxRSF4eQK4kdqteAswIIM0BHWQo5-zw&amp;amp;lib=M-zdWbhavtdZ1B_W2dnFDM0qoVt4lWzJ-"&gt;here&lt;/A&gt;.
&lt;/BODY&gt;
&lt;/HTML&gt;
</t>
  </si>
  <si>
    <t>tXDXUlhjRdeh-yxOz1s6pg</t>
  </si>
  <si>
    <t>17946</t>
  </si>
  <si>
    <t>8F00250110300014</t>
  </si>
  <si>
    <t>EXPRESSO SAO MIGUEL S/A / (049) 3361-6627Informação Adicional: + 10%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</si>
  <si>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k9oYc4T7Ba6vJPcrjnfhHG9RXsKS2N0UvXekeWb3Q6Wtxx3vox1zZx5TFm8lGHqoboVcbDP2i_j-UIJkEu2cqstxgyBVyngghHWSbv9i5LXbhh058MT619A64U0ZUy-EdzL9f089sW8Fz8HRKDr4Csml4VO74-SLAMoe7skpE0QY8BoRdlqt0lXC7tMwTP2_Gxl26fPfUmByrrub35UlJeWrtejUlHdSwlBqpRJgLk8N3AXf-SJaSFra4n4Q0-qwav32TTNoHyblamxZwPwAF6Uywm4CpR8mLJrY1QoG1UVl2-Gyx4RKVPfNtkQ&amp;amp;lib=M-zdWbhavtdZ1B_W2dnFDM0qoVt4lWzJ-"&gt;here&lt;/A&gt;.
&lt;/BODY&gt;
&lt;/HTML&gt;
</t>
  </si>
  <si>
    <t>a.SgB57soSBKoXsuV4CMYEw</t>
  </si>
  <si>
    <t>17947</t>
  </si>
  <si>
    <t>ADW BOMBAS HIDRAULICAS</t>
  </si>
  <si>
    <t>8F00250110270041</t>
  </si>
  <si>
    <t xml:space="preserve">&lt;HTML&gt;
&lt;HEAD&gt;
&lt;TITLE&gt;Moved Temporarily&lt;/TITLE&gt;
&lt;/HEAD&gt;
&lt;BODY BGCOLOR="#FFFFFF" TEXT="#000000"&gt;
&lt;!-- GSE Default Error --&gt;
&lt;H1&gt;Moved Temporarily&lt;/H1&gt;
The document has moved &lt;A HREF="https://script.googleusercontent.com/macros/echo?user_content_key=AehSKLg-7n92lHfhAAekpuqAv3x_J9wjhrIHmGioTcWQAhhVEWppbAk31EE99TUbpeuslbtUBDxE8rasygUh4WXKP73sXFnRQLeWfxBme80iwEdGmsp9a7Yr11hqAYa2LczBfTl8LHWUuJRaqrOMjqHNnqcOOz4_xV90lJ-1cCs_3KxkkGzEPJrSvNzoAk3xH2WHQfaDKZR6HYqrfUAiHdtBdLltGZKfMj4d6-F7YSU3aN52Rw7IIZtotf1ScfDifDT8BCDrwatlw1ITr1Yr7Dami8WebfxE1UURC2QdkFytxnUxmLlivx5SB2DFMDNnCg&amp;amp;lib=M-zdWbhavtdZ1B_W2dnFDM0qoVt4lWzJ-"&gt;here&lt;/A&gt;.
&lt;/BODY&gt;
&lt;/HTML&gt;
</t>
  </si>
  <si>
    <t>A9TlknrrQnKT2B60T9.KLw</t>
  </si>
  <si>
    <t>17948</t>
  </si>
  <si>
    <t>ALBERTO MARTINS COSTA PINTO</t>
  </si>
  <si>
    <t>8F00250110270033</t>
  </si>
  <si>
    <t>EXPRESSO SAO MIGUEL S/A / (051) 3586-2013Obs.Interna: VALOR DO PRODUTO R$ 14.313,65 - DIFAL R$ 753,35
TOTAL DA NF R$ 15.067,00
PEDIDO HIDROTEC</t>
  </si>
  <si>
    <t xml:space="preserve">&lt;HTML&gt;
&lt;HEAD&gt;
&lt;TITLE&gt;Moved Temporarily&lt;/TITLE&gt;
&lt;/HEAD&gt;
&lt;BODY BGCOLOR="#FFFFFF" TEXT="#000000"&gt;
&lt;!-- GSE Default Error --&gt;
&lt;H1&gt;Moved Temporarily&lt;/H1&gt;
The document has moved &lt;A HREF="https://script.googleusercontent.com/macros/echo?user_content_key=AehSKLiSjMonia5750TFB3EAwn0mkp2bZVQYes74iqN-3Jp5JmAu54cr2eAtb80XZa9Mp5jc7vy17kDNvbczwQHoFVLOJvOGArmam_JXGgR0hTCW6Viqxq8qecUFomb1zT7DSHP1PT7xZp6CCz3sjFotiD-1LsOtP6FXA-nv43eL4QpOfu62qSADEEfmZmcyqzGo7Hn_5xcOl2YKaX5ndxUkHQXtinTOhvGXqK5zEjht5PBTbPGO8VYmdF18fUvtRQ0FUlwf9BA9B8T6anEqUfwSrrA7RFUP9c6k6ROAFb5ArV19CO5Zu3CX2K22Nm2ykA&amp;amp;lib=M-zdWbhavtdZ1B_W2dnFDM0qoVt4lWzJ-"&gt;here&lt;/A&gt;.
&lt;/BODY&gt;
&lt;/HTML&gt;
</t>
  </si>
  <si>
    <t>r02MIXY8QDSJDCNWA6ZVnw</t>
  </si>
  <si>
    <t>17949</t>
  </si>
  <si>
    <t>RETIRADA NA FABRICA / (0) Informação Adicional: PEDIDO 16595 - DUMOOND
PREÇO DO CLIENTE:  R$ 19.294,61 / Obs.Interna: cliente possui tabela de mais 4% na linha FT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</si>
  <si>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39PMQe9Tf8Q39cWHIkaGf6hHEUqtcMCiT-1IZIuIXwNfGB2bEgOEeaiwsaUfzcrKlozaAIImVc-pD1BtvnZr7BeljI42hkBm6ekkd0MN1ueOX02FT-HcwuZ8EuRE1ddwiBWL7mnU6TmEFL5qcLqTvkLF54ik05uopP7F0LaNiWuiJ-bOFTrjM6Gf3gXDOU1C0yK6akVyiMguReXtaNAdtUF8xRUNZQ1HiEeMeGu3zST5vRNk5yNP20zO2tzdcMxFmu80VtxMkv4XiEtzAJNp-FvQbEZm-a1_C0e9uM8PC-gIekjl78QLTHhb-Ig&amp;amp;lib=M-zdWbhavtdZ1B_W2dnFDM0qoVt4lWzJ-"&gt;here&lt;/A&gt;.
&lt;/BODY&gt;
&lt;/HTML&gt;
</t>
  </si>
  <si>
    <t>zEemaE2US7eyxUkwLgAl-g</t>
  </si>
  <si>
    <t>17950</t>
  </si>
  <si>
    <t>8F00250329060018</t>
  </si>
  <si>
    <t xml:space="preserve">&lt;HTML&gt;
&lt;HEAD&gt;
&lt;TITLE&gt;Moved Temporarily&lt;/TITLE&gt;
&lt;/HEAD&gt;
&lt;BODY BGCOLOR="#FFFFFF" TEXT="#000000"&gt;
&lt;!-- GSE Default Error --&gt;
&lt;H1&gt;Moved Temporarily&lt;/H1&gt;
The document has moved &lt;A HREF="https://script.googleusercontent.com/macros/echo?user_content_key=AehSKLhOFWV6tjgKlrxfpG3itDY9ya0VIWKw7YD-KNM5g_Sr1sHNa-dSXYX17sIKoPDeLE7ItwOGkEh-GnLhk6oeFuvqogVVzJm1iUGNmbAaN2WanNHPIUI_ox-ANGSHpiMvJ7MAJto0NMU3zd84ryYGnG0nUaRL8BAk4poCjcW75muRURJUv0YXJAhtV7pn0ZnKpRjbU4VyxOMhA0A8iaSW_JUUeh9HoFte_x5qhRYStKtF2qzvzKLtYKDfaYO6WL2U_MhAE2IYSL3aICMxkXvcRRuCpkMu0xxIf6l5Y8yJGuRhreGFTcWwaXZgtQEkSg&amp;amp;lib=M-zdWbhavtdZ1B_W2dnFDM0qoVt4lWzJ-"&gt;here&lt;/A&gt;.
&lt;/BODY&gt;
&lt;/HTML&gt;
</t>
  </si>
  <si>
    <t>JhkELKOFQNeYEeKuaj801Q</t>
  </si>
  <si>
    <t>17952</t>
  </si>
  <si>
    <t>8F00241118040038</t>
  </si>
  <si>
    <t>FITLOG TRANSPORTES E LOGISTICA LTDA / (048) 996277956Informação Adicional: MAIS 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</si>
  <si>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MDBhx-rRnar0Lgj_qDOUGVPIjCFjvpcJ1XFtVgAkr6hAcZtW6kcy5EJV8kIinxnj9DclF8-Z62cKW0Y9d8oR7wLNh5orAZZgBy7cGJyQGl124K34OWi-yZvy-SHMDzNe4Bx4IIau44JgmvwHrp5-Hd8ajTFBdcTQI8bQltvaxxwcPZPWW7l4RtMmcpSmQJpRDryFuW1oPLbUg0DQffDd8w7dgshf8Mu-_NifnJSPg553vOUKAhoUpenffvwqdKnQQ_CN7MX_UzzgLhx64eN3bf_vAuu-biQrPpfgi4fwFjQPIDFea09JnLfRBwA&amp;amp;lib=M-zdWbhavtdZ1B_W2dnFDM0qoVt4lWzJ-"&gt;here&lt;/A&gt;.
&lt;/BODY&gt;
&lt;/HTML&gt;
</t>
  </si>
  <si>
    <t>1AU7yGlmT3m0pcM9GW0j1g</t>
  </si>
  <si>
    <t>17953</t>
  </si>
  <si>
    <t>8F00250110300013</t>
  </si>
  <si>
    <t>EXPRESSO SAO MIGUEL S/A / (049) 3361-6627Informação Adicional: PRAZO DE PAGAMENTO  30/60/90/DIAS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</si>
  <si>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2FgD_WqZLH6dY4owsKvf7lx5URjBRIKifOrPl7aq_j3Q0Jb24Olc6MiN11-nlSJPu0G8StpMVPtbiFod83Pmv4ongpxQq0clq-FzL5BkDHiFUmvwRcsF6TfMFalYmTthsP-t16jcaNerJqfwZaowJN7A6Dsn3mYS6o4FehBnVP19d4phoyt8AimE7NUSIUtANo9za8fxdCX6zIU6-ijERL3jlHfBCc6euqq1IsQi9kgPqufvT2s7JPLs7poKoStrWlvt0Ey3N1cH4g1v_vtNGk8q_0sqO8q8iZnMUbvNTZStJrbhrc811vAxPAQ&amp;amp;lib=M-zdWbhavtdZ1B_W2dnFDM0qoVt4lWzJ-"&gt;here&lt;/A&gt;.
&lt;/BODY&gt;
&lt;/HTML&gt;
</t>
  </si>
  <si>
    <t>KMUKCI9JQYqjVqQU.9eklw</t>
  </si>
  <si>
    <t>17954</t>
  </si>
  <si>
    <t>8F00240812220301</t>
  </si>
  <si>
    <t>RODONAVES TRANSPORTES E ENCOMENDAS LTDA / (016) 3965-3955E-mail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</si>
  <si>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iTC7o8S4vmrEkPreOBgxNrYH0kDfpSgUiF4ayK7_sshtBNcOLXwGlRyGbZ1HJKbJnlsnTFXWW45rgGjdkJEtjumT-GkJQZNQJyJRDrtBJk7-RbgJ-zwmRwLj62W3eeoOQKqnt_YQQ59un1YBn0FOSJmhmnL-gnIcQ0g4AQ10R8P_heKrJg7Yc7AYYWZLbyavUrP4ojo5VDm10APi_z-OqDbXetVFhXTYbMrFmwG8-yLXsSWY_JCMmQuYY0lbvKduxPSOa3k9o75oq6zi0jzoAuaJf3dd25nJ7uX5Qz3IQcSnu4foUNAjT2RaCbQ&amp;amp;lib=M-zdWbhavtdZ1B_W2dnFDM0qoVt4lWzJ-"&gt;here&lt;/A&gt;.
&lt;/BODY&gt;
&lt;/HTML&gt;
</t>
  </si>
  <si>
    <t>a3BbdMeyQo6mjwl.zDcYLQ</t>
  </si>
  <si>
    <t>17955</t>
  </si>
  <si>
    <t>8F00250110270030</t>
  </si>
  <si>
    <t>FITLOG TRANSPORTES E LOGISTICA LTDA / (048) 996277956Informação Adicional: DESCONTO JULHO 10% +3%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</si>
  <si>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PFIpC9fbfVEJPS1EtUxVpcnkwXNWtooecJoNNOVoT91ha_hiRc38_CWuUjNVRhRUYx7a8_aq_4q0lV1LtvS8v7t2HOkz7Qjs-0evlRs4F5VCUK8VTNcdRO56rgXwJJ16tbwYQq61RQBnqvLgjTzsRinTtHF2MK7fwnbEjCjZsxSfkI70FFkwG5kwBo27FCq-zD3BbBKAe9FrJb3N539it2B5o4eBR-cjPhlLFOGfuB6QxbAvCYcbH7DFMTMGoOu5ogTZ1r04bVfbqEmASnKgOplcNk5b-LYRacECGROn6ZIQ4JAaNw08VGQqotA&amp;amp;lib=M-zdWbhavtdZ1B_W2dnFDM0qoVt4lWzJ-"&gt;here&lt;/A&gt;.
&lt;/BODY&gt;
&lt;/HTML&gt;
</t>
  </si>
  <si>
    <t>oHkfIw1tT22v2l5s9g1iiw</t>
  </si>
  <si>
    <t>17956</t>
  </si>
  <si>
    <t>8F00241118040057</t>
  </si>
  <si>
    <t xml:space="preserve">&lt;HTML&gt;
&lt;HEAD&gt;
&lt;TITLE&gt;Moved Temporarily&lt;/TITLE&gt;
&lt;/HEAD&gt;
&lt;BODY BGCOLOR="#FFFFFF" TEXT="#000000"&gt;
&lt;!-- GSE Default Error --&gt;
&lt;H1&gt;Moved Temporarily&lt;/H1&gt;
The document has moved &lt;A HREF="https://script.googleusercontent.com/macros/echo?user_content_key=AehSKLgpBpxm-mBx9DICuACo8YNCFrDEookCtT5IaNkjLerDTcZ0uMudg1gcyhSOjPmYImhUKjeoaJg47z-czOfVUiMfS1sgUrJK6yULOw3G14Qk3oz7Mt7yoza13XAYhjTftT4Gm4XKTk_37kwPftNPAy_MdwLU04PsbovEslurDEQwvMPcQqeGnFRrrxRYTAPN01Q3B4n0PlxWc-ZFUS_z4s-4pjHd9Mzk7-uWGoqKHoDA-EnT1VatlP0xTacBI9zlndsvhGpb1ladgUwwgFyn6aDrZQeN2ZYxa243gDVx4V2EiAw7Qk1uKHxLigq5Ng&amp;amp;lib=M-zdWbhavtdZ1B_W2dnFDM0qoVt4lWzJ-"&gt;here&lt;/A&gt;.
&lt;/BODY&gt;
&lt;/HTML&gt;
</t>
  </si>
  <si>
    <t>nAYO4NFuSw-EEQ0zdGvYNg</t>
  </si>
  <si>
    <t>17957</t>
  </si>
  <si>
    <t>GRAVATAL TERMAS HOTEL</t>
  </si>
  <si>
    <t>RAB6426 - RETIRA - WELLINGTON MARANGONI FERREIRA  - 11008575917 - VW  / NOVA SAVEIRO / BRNACA  / 2020</t>
  </si>
  <si>
    <t>CLIENTE RETIRA / (0) Informação Adicional: EMPRESA DO GRUPO HOTEL THERMAS GRAVATAL
URGENTE FATURAR EM NO MÁXIMO 5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</si>
  <si>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xXpZPx-HsUTBDSALO-Sevo3GV8vMuSFEMpHlYhimjdZLDwS__yHaLHNyEPutq8MP3b__uuqC2GOy2KQEUM5m9G_PDLe1wogEC9vNMa-QNetB3KRvomepIuaExlgTW59LW4L5hGd3rgPd7kmT8Vp-zOmF4GveI48fh3urcheBhOg0X6Qrwd3DK9Pl2q_P6eIOlZdCqT2hXEhS5ySio6vVLvrB1BhLreKCuWK3tj8jSyo6RxSkXtvuOp0nRoZzB5auXHhy2q1BBw76MRNpb_91H22dBD1FdFIiIrJcB9oKOBiaXP3bbkGGtLYXLnw&amp;amp;lib=M-zdWbhavtdZ1B_W2dnFDM0qoVt4lWzJ-"&gt;here&lt;/A&gt;.
&lt;/BODY&gt;
&lt;/HTML&gt;
</t>
  </si>
  <si>
    <t>cagEF4hDQuOmk9MTiybKjw</t>
  </si>
  <si>
    <t>17958</t>
  </si>
  <si>
    <t>8E00250104020009</t>
  </si>
  <si>
    <t>BRASPRESS</t>
  </si>
  <si>
    <t xml:space="preserve">&lt;HTML&gt;
&lt;HEAD&gt;
&lt;TITLE&gt;Moved Temporarily&lt;/TITLE&gt;
&lt;/HEAD&gt;
&lt;BODY BGCOLOR="#FFFFFF" TEXT="#000000"&gt;
&lt;!-- GSE Default Error --&gt;
&lt;H1&gt;Moved Temporarily&lt;/H1&gt;
The document has moved &lt;A HREF="https://script.googleusercontent.com/macros/echo?user_content_key=AehSKLi-ndEfrcjeIXoSoeecSi6ruCJoXl-7CJRc9t_lHfNv37G9Lg-MgojUJn_VzH_4kAwPM1NpFXhJtLoyCV-hEAFTKWGm1KMF9L5iU282kBJKj49VShr0JCYeRuH8jevYyH5BoV9_1v_5HBh7mezPUb8t8oilb7Q4pWwwma_BKMErxMwn4hLZ9gQVN63Ts8rxCnuV7LS5V6MAcBOqdZHDoPvPqrVMt4V6GAqkdQKxvaxkJapuIRZePCTheY2bYlmfxwHGpAs5xJDn-443_ALicWgF6zCnYglEV4hPRbCfwLIHUtdAjliiZzomGMZUgQ&amp;amp;lib=M-zdWbhavtdZ1B_W2dnFDM0qoVt4lWzJ-"&gt;here&lt;/A&gt;.
&lt;/BODY&gt;
&lt;/HTML&gt;
</t>
  </si>
  <si>
    <t>sQCmP8IuT1ecLFaIH2fTAw</t>
  </si>
  <si>
    <t>17959</t>
  </si>
  <si>
    <t>8F00250329060009</t>
  </si>
  <si>
    <t>FITLOG TRANSPORTES E LOGISTICA LTDA / (048) 996277956Obs.Interna: NAO ENVIAR EMAIL DE CONFIRMACAO PARA A REVENDA,. PGTO 30 60 90 120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</si>
  <si>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PpBDWMhT4fRmnpYByl8qR9KK1ogdZmilFORYH8Vb5D2_iBvfPYtm_Uae4cMbe1-hdYHaoBEQMq1VxDJw-xJT8TQKWbf1XKamAo3d-FiWXsyNSPL7Pl-PJW2NvAlR6o9IkFZtErsokOOdmCWl6O0hzNVY4BaQZkTc4SusePf5xipEkG-L07t-Z6pnPMSPJ6sPRwC_hpwgE4PkfMD4GIPUNvr8bcqPk2rJRLZd8EclNItl3Xf1KqLHvTBzdnhPrsrBcExQsNhCEAK20rpzHNz3k0SYVeSo8zZeCZvraUygQQmxEJMa4kzuaMxsYdw&amp;amp;lib=M-zdWbhavtdZ1B_W2dnFDM0qoVt4lWzJ-"&gt;here&lt;/A&gt;.
&lt;/BODY&gt;
&lt;/HTML&gt;
</t>
  </si>
  <si>
    <t>2Km.uTx2SL-P6Or7hCqPXw</t>
  </si>
  <si>
    <t>17960</t>
  </si>
  <si>
    <t>8E00250104020014</t>
  </si>
  <si>
    <t>FITLOG TRANSPORTES E LOGISTICA LTDA / (048) 996277956Informação Adicional: REDESPACHO FOB
TRANP. RIO VERMELHO - RUA NESTOR DE HOLANDA 136 - JD. ANDARAI - SÃO PAIULO -SP CEP. 02166-060 - CNPJ : 07.655.407-0002-87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</si>
  <si>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GIcTYHf-rYhTvAFLEkUteL5Bsxe59_LC6KIPP9npiqrTUsGdkAtizAc-fz_yO7iUPzSRkedmAceWKyfLUDHMqX_jIvXVozxF5bjz8unlNZPnB5gTjwylWOZxiWcLEWsMV896iw81awovxV6_bwre4QnnFxTwq898xedcIL0yt_YtBa6VdFSMPOYuAPFdIgtaUajWl3yqx-ZvvSdxrkSj5AaCiv5pJxO3YLFR8elWlePWkeMZKdN6jdX-n8GhVvQo7_bfuIA23zYyXuUYHl90U2tZjNrsT_I0vRVAjMsuOSCRptHOvXmpX7NkjQ&amp;amp;lib=M-zdWbhavtdZ1B_W2dnFDM0qoVt4lWzJ-"&gt;here&lt;/A&gt;.
&lt;/BODY&gt;
&lt;/HTML&gt;
</t>
  </si>
  <si>
    <t>IzYOuye3RsKPb0bAFIBX5w</t>
  </si>
  <si>
    <t>17961</t>
  </si>
  <si>
    <t>8F00250208120027</t>
  </si>
  <si>
    <t>FITLOG TRANSPORTES E LOGISTICA LTDA / (048) 996277956Obs.Interna: Rua jornalista Aristides de Melo n 139 casa 2
Cep: 24330030
Niterói - Rj</t>
  </si>
  <si>
    <t xml:space="preserve">&lt;HTML&gt;
&lt;HEAD&gt;
&lt;TITLE&gt;Moved Temporarily&lt;/TITLE&gt;
&lt;/HEAD&gt;
&lt;BODY BGCOLOR="#FFFFFF" TEXT="#000000"&gt;
&lt;!-- GSE Default Error --&gt;
&lt;H1&gt;Moved Temporarily&lt;/H1&gt;
The document has moved &lt;A HREF="https://script.googleusercontent.com/macros/echo?user_content_key=AehSKLhCwJuzKGwaBuhw67mg7_7jxDD2np3xfZiq15s2nXJMEL4e_1X6NKKKzEO_KDHJk0xuomaWruuuJfcv7zNYLE40X_Z7BxcQG1gcdF_E7R_gmC7Ui0TczREd3yDmQtPTDWrBEWSW7vXUXyDl4LvHnrzwZkaNe4bPZH0qU297sBJA7jj7tMCcktTRGrmU-Agp2t0rWt-oQQHJcWNhmRs39Pv6HbOYIrBZgoNmxi8TRUCE6R-C9wpvWXi0XSF72duw_7poIrJRZLjDWoQiYMOMdViNV_A8bv2sJLH4BjtayCtmhHLNpezuwr8Dkk6g0Q&amp;amp;lib=M-zdWbhavtdZ1B_W2dnFDM0qoVt4lWzJ-"&gt;here&lt;/A&gt;.
&lt;/BODY&gt;
&lt;/HTML&gt;
</t>
  </si>
  <si>
    <t>LwEIxc-ySYyngvfA3fgD7A</t>
  </si>
  <si>
    <t>17962</t>
  </si>
  <si>
    <t>FITLOG TRANSPORTES E LOGISTICA LTDA / (048) 996277956Informação Adicional: OC 756 Entrega : Av Vieira Souto 712 Cobertura Ipanema RJ cep 22420 012 .ligar antes de entregar 21 9 9512 4022 JORGE  / Obs.Interna: OC 756 Entrega : Av Vieira Souto 712 Cobertura Ipanema RJ cep 22420 012 . Pagamento: 30 60 90 120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</si>
  <si>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lgLHGPsf5uUwFCBcAG_Z5ezFoNlrUw0YEIjMbk_StSUkrbn2xNsUPw1Oa3qKiMsogiKoPCCKCaRgTZwWD3j0s8A5L5MCtEj2AdpiuoQy46kjap0AWEe8iyRwY3rGc0vCYJGGNO_ODobZ7M_HbMpKvO3-WMeZbc-Jv3piJTbsnxVriT5mkWZRqGtdmXL08y2JleFwGu629z7tT5TlRvYJKD9yOiO9JZChMZV7liTvvLvr4K0vGee5iBw2iT5ei548GrnPPEvQZpNzxEw8yawPuT0qxXos1Fp9grICuxBePIvAe9eGrMOePu7WmHQ&amp;amp;lib=M-zdWbhavtdZ1B_W2dnFDM0qoVt4lWzJ-"&gt;here&lt;/A&gt;.
&lt;/BODY&gt;
&lt;/HTML&gt;
</t>
  </si>
  <si>
    <t>2hgPt0WrS1-p5A5EefEPsQ</t>
  </si>
  <si>
    <t>17963</t>
  </si>
  <si>
    <t>FITLOG TRANSPORTES E LOGISTICA LTDA / (048) 996277956Obs.Interna: OC 758 Entregar : Rua Marcelo Roberto 238 lote 2 ( condominio Jardim Marapendi ) Barra da Tijuca RJ cep 22630 190 . Pagamento: 30 60 90 120 .Ligar antes de entregar para Jorge 21 9 9512 4022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</si>
  <si>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hSttTxI_r5qkGh0NUDy-fJ_NI7FDn1TgXcWKC1ymIjCd4j38EgqitHAmQIwC1G_BQuuZXiCmAh1IS-AZqA3mXFpcaq0UMLKDleK6u2KU2Pj7OnInMQiA56WEJo8sqqpCl2XfHX7cenSm7hubprEX6OVI8StI3UERiKZestA8w5Zw5Sq7eT8NNijRCeSnxuamjDK4cFKJvLHzDKKu2_uv9ijhY6KsWVdU4qN4scWk-_y1t99fgz-zqlafmD1mB_NDticWbdcKcYbYUzSseMCY6xwZhXkT7SvToqna48TmxJx5QZR_wW2515OP9eQ&amp;amp;lib=M-zdWbhavtdZ1B_W2dnFDM0qoVt4lWzJ-"&gt;here&lt;/A&gt;.
&lt;/BODY&gt;
&lt;/HTML&gt;
</t>
  </si>
  <si>
    <t>51SKw5GZTn2kT6doCRTIQw</t>
  </si>
  <si>
    <t>17964-A</t>
  </si>
  <si>
    <t>PEDIDO QUE SUBSTITUI AS 45 BR QUE FORAM ERRADAS PARA O CLIENTE. SEM COBRANÇA, ELE ESTA DEVOLVENDO AS QUE FORAM PRA LÁ.
FITLOG TRANSPORTES E LOGISTICA LTDA / (048) 996277956Informação Adicional: Forma de Pagamento: Boletos 30/60/90/120 dias
Frete CIF
Autorizado pelo Mario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</si>
  <si>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1hY1YLkitbJ3erzEbPIwqR2uzZUwmo5UcaGG-kRRSyXdrILxiBGVttcIsz3Ux_V03p4Vqpb3gOfDjU5WLtRZrdUnU8LLLLjEjmq2CTNMXRTnICrNSn24P2FrKKR9yVvt2jm-q2Qd0zzEZG5dV64vMVVOlTHciAnaX0v0a853Xm089EFouspC2SCnxRQ4jSKSjj9vl-UmlaVStySz7IV2Sr2l8vqnHrcXVKqOoDRLY0mU28iBvaGEUFbSOFeBm5JF_tI0jejkbt0rtzMWXAISips77iKFBhaAtCA2KauVX81j4J-btbAclASKJbQ&amp;amp;lib=M-zdWbhavtdZ1B_W2dnFDM0qoVt4lWzJ-"&gt;here&lt;/A&gt;.
&lt;/BODY&gt;
&lt;/HTML&gt;
</t>
  </si>
  <si>
    <t>TZPuqwKOT76KCS8MYL3kjA</t>
  </si>
  <si>
    <t>17964-B</t>
  </si>
  <si>
    <t xml:space="preserve">&lt;HTML&gt;
&lt;HEAD&gt;
&lt;TITLE&gt;Moved Temporarily&lt;/TITLE&gt;
&lt;/HEAD&gt;
&lt;BODY BGCOLOR="#FFFFFF" TEXT="#000000"&gt;
&lt;!-- GSE Default Error --&gt;
&lt;H1&gt;Moved Temporarily&lt;/H1&gt;
The document has moved &lt;A HREF="https://script.googleusercontent.com/macros/echo?user_content_key=AehSKLhuvgTmQ6EsGygm3zBc5vR0sEsYK3HrNO-n5_lsmsuyyS5_Lbxxc4RzUg304TjBMUs9cZ5579QO1zso8cU_8VLRSqO29yCZkZN0M16T1HLOHXbzha6_xwEqJYIOXSPGBrq8cGnnaB-XARcgTh6nqD2mtycneMHuXlXZDahtDeO-YGG7dzA7ghve2Mn2k5VrrUIZIQHl6et1UjOMyBcBwIz6LG_fdUnWq-7S9kkeRu4nrVUR4a_NIztmIXvTGtQlB6FxAXhSdmYaPucScOkbrbTg4oBgSHokXgQLhTeTD652h0CStSyXaEnEnuwiLQ&amp;amp;lib=M-zdWbhavtdZ1B_W2dnFDM0qoVt4lWzJ-"&gt;here&lt;/A&gt;.
&lt;/BODY&gt;
&lt;/HTML&gt;
</t>
  </si>
  <si>
    <t>KHO68FDYW9o6GOHqjNQk</t>
  </si>
  <si>
    <t>17964-C</t>
  </si>
  <si>
    <t xml:space="preserve">&lt;HTML&gt;
&lt;HEAD&gt;
&lt;TITLE&gt;Moved Temporarily&lt;/TITLE&gt;
&lt;/HEAD&gt;
&lt;BODY BGCOLOR="#FFFFFF" TEXT="#000000"&gt;
&lt;!-- GSE Default Error --&gt;
&lt;H1&gt;Moved Temporarily&lt;/H1&gt;
The document has moved &lt;A HREF="https://script.googleusercontent.com/macros/echo?user_content_key=AehSKLjqutGss4PpTwDDmPBAKxulJJtrhVLcsOele4S185R1AFe_c0tT97LpU6Ffh4NY77zIlt65EYkaSxdncfNxQWxXBHIv2qFrOO5CVyL1uY5RoKviz-_ouoLUDjcg9iLUb64emmud_p4uLbB0OwRvxrstmeZMqmP1i4zcJ6vhMeXdocqLhSZuwuIdaDFyPSR8fNioqhT1qGTo8h-eGgj3q7u4sjHUrAV-3oHJ8VpC4sACBAqL0K2EwPGZ_5u7hkZSEdzUfqVXMJcNNd8JBaK42g2tqYLDMumf6WIXT6S_iFsL7eKWUGkeuE-FI3vEZA&amp;amp;lib=M-zdWbhavtdZ1B_W2dnFDM0qoVt4lWzJ-"&gt;here&lt;/A&gt;.
&lt;/BODY&gt;
&lt;/HTML&gt;
</t>
  </si>
  <si>
    <t>paQtPmGiQp8zu6Ik0zbv</t>
  </si>
  <si>
    <t>17965</t>
  </si>
  <si>
    <t>8F00250110270034</t>
  </si>
  <si>
    <t>TRANSP. NIT LAGOS</t>
  </si>
  <si>
    <t xml:space="preserve">&lt;HTML&gt;
&lt;HEAD&gt;
&lt;TITLE&gt;Moved Temporarily&lt;/TITLE&gt;
&lt;/HEAD&gt;
&lt;BODY BGCOLOR="#FFFFFF" TEXT="#000000"&gt;
&lt;!-- GSE Default Error --&gt;
&lt;H1&gt;Moved Temporarily&lt;/H1&gt;
The document has moved &lt;A HREF="https://script.googleusercontent.com/macros/echo?user_content_key=AehSKLi0mXaIhti35t4Eqox7kcvZIvz5rWDy_Mgb8Echh2AuRfYJ5_KoBBTVsHRBDd-MfKHXfRfBrx6wYt1caixnUnQCJoiyGAjvYKiQbrTzIF8Tvk48_Aj1uwxpI2EW9w-vMXr5z2LzQwMMOE9M663Cx_wwDxsOze2fXnCpUbBb4tHXCtUzsLV8AVV9VMHoOxk0JMOilOmvvpqgxaag4iuE6Qb7o9DJjNBqxW05EKpElO8IsG9hZ0dO9HTUDMdmOirJI_Hzt7xybLJE5gDRG2kHUQFChHA6Iv3VuRiEb8JsY3MuIetRW_RH-MH8lUYqng&amp;amp;lib=M-zdWbhavtdZ1B_W2dnFDM0qoVt4lWzJ-"&gt;here&lt;/A&gt;.
&lt;/BODY&gt;
&lt;/HTML&gt;
</t>
  </si>
  <si>
    <t>oHI7fCMYTMK4mAY7QeE6rQ</t>
  </si>
  <si>
    <t>17966</t>
  </si>
  <si>
    <t>8E00250104020013</t>
  </si>
  <si>
    <t xml:space="preserve">&lt;HTML&gt;
&lt;HEAD&gt;
&lt;TITLE&gt;Moved Temporarily&lt;/TITLE&gt;
&lt;/HEAD&gt;
&lt;BODY BGCOLOR="#FFFFFF" TEXT="#000000"&gt;
&lt;!-- GSE Default Error --&gt;
&lt;H1&gt;Moved Temporarily&lt;/H1&gt;
The document has moved &lt;A HREF="https://script.googleusercontent.com/macros/echo?user_content_key=AehSKLh5qa4pm2uDrgjUIwYcLcDG6J7NNjxL_6uOqgvMvi3YVDKs7YmDEyd9nzIu7n4McEShILTatVFDxObUP8zqy_0iK4h7FOHy8nuHcATyXotsHxH_cbSFBFZGy9G_GzL4LOgiY0jDGgg_p3U77jmIiPyQjHF0Ymb3m-l9fyyNOOJfHDJ1ipK9-TRXJO_cQfYfoBeIm3TvQgn08xK2PFlK3QyOElK1qZ0yKBDnX7LuFXHoqW9QcEMBrzmCc_Pz5Ga754F0ZddvEvCi7Ht_Jt9nlVLHYrF4edzlB_ZbaDng9RMDqneJoYQ6w8Fa5mThuQ&amp;amp;lib=M-zdWbhavtdZ1B_W2dnFDM0qoVt4lWzJ-"&gt;here&lt;/A&gt;.
&lt;/BODY&gt;
&lt;/HTML&gt;
</t>
  </si>
  <si>
    <t>bNbU9Hp9QCuoHNAv0Bf2AQ</t>
  </si>
  <si>
    <t>17968</t>
  </si>
  <si>
    <t>8F00250208120025</t>
  </si>
  <si>
    <t>FITLOG TRANSPORTES E LOGISTICA LTDA / (048) 996277956Informação Adicional: REDESPACHO FOB  CNPJ 24.882.886/0002-93 - RADLOG TRANSPORTES LTDA Rua UMBUZEIRO, 123 - Cep 07.224-010 - BAIRRO CIDADE INDUSTRIAL SATELITE DE SAO PAULO - GUARULHOS - SP I.E. 796.514.930.111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</si>
  <si>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g8ArcHYTMKqTOjkfaycwfJ17zZIZY05C-NkLq7xAkAUeP8sSc6CH0JFjD9CKSkssBvJUpeyKKDl0i7pPXksW-ptZAlKsFSk99pAxu82sT83Gw-C9sVNhRYzMeI-7QgQUmII26A_NhphssAbvVus4scUsVyBo9yKHTScj-Bk8cyuHeBKIagOWKSpNmpvrX5JX-FJGO6oUPFpCSUn_oNr5jad04QaJcPBb2K49xb6NBOdEob92KOFJnGZb5ZULg2IUW8kQ33FwExmngsFz-7ejhXzMcVs2PQJ-HgosR3wpo5-5oi0PYHf9LL1JxthA&amp;amp;lib=M-zdWbhavtdZ1B_W2dnFDM0qoVt4lWzJ-"&gt;here&lt;/A&gt;.
&lt;/BODY&gt;
&lt;/HTML&gt;
</t>
  </si>
  <si>
    <t>a.U12K64XSaOQuplrZEx49g</t>
  </si>
  <si>
    <t>17969</t>
  </si>
  <si>
    <t>8F00250208120023</t>
  </si>
  <si>
    <t xml:space="preserve">&lt;HTML&gt;
&lt;HEAD&gt;
&lt;TITLE&gt;Moved Temporarily&lt;/TITLE&gt;
&lt;/HEAD&gt;
&lt;BODY BGCOLOR="#FFFFFF" TEXT="#000000"&gt;
&lt;!-- GSE Default Error --&gt;
&lt;H1&gt;Moved Temporarily&lt;/H1&gt;
The document has moved &lt;A HREF="https://script.googleusercontent.com/macros/echo?user_content_key=AehSKLhQKjMMIxgQBFJ65ENOyE7yCSqBfJGPkKouivaFUPminVqfiMU0_xdk3t1uYQsbLotD3-KX0yMp-lDocBhkv4BYr_TznclB3cI9kA3UByFifbmA_7Mz8MRZ8Qz5T7_SZ6KtZchJRZR6eZJjoHhG-CPJYHliH65Fr9i3qMBhfh4n_A_17RfqFi8fVv1UmFEQmQN1IudQhT8zf2WSXZm3fRb8Oi68fUhzGIY8vQuZ1lr1CRLS7GldR7m7mtxMcxvnKnJ1NKZp26tANiXD6pC61Yt2E02AFLei-dxy1yshGbNXwBu1ivuP6S8tIcgLZw&amp;amp;lib=M-zdWbhavtdZ1B_W2dnFDM0qoVt4lWzJ-"&gt;here&lt;/A&gt;.
&lt;/BODY&gt;
&lt;/HTML&gt;
</t>
  </si>
  <si>
    <t>aEm7YqwORjiPsx4d1loQrg</t>
  </si>
  <si>
    <t>17971-A</t>
  </si>
  <si>
    <t>8E00250110260041</t>
  </si>
  <si>
    <t>está com títulos em aberto
ACEVILLE TRANSPORTES LTDA / (048) 99823-5770E-mail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</si>
  <si>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7Q8_ebkTo6qywO52kN8RxuPds5JPaKjJRpZS9GaW92cR7z6jxX4pC83iw1cERyokmVjxBEPVF5Nn6VcqeWvMrRF30N9jVrkqMwcGkAFCRP-TJTw2HIbjI47ln_NdCsxhfJaQqmRLpfueoGBmCrJd2jIXqMbhNRSvoY2VIW7l-6-KsWLnfQfMjdVJ6UIdlR1qooHAJ5EH9EwHVy0y9USRdy90_-pTCEQ2AZiF4lukkHJUHXKlvs4hVsXk7-5abOFVGdr-CUBdAh3YuBeVl21q6c43qCZrprQosdlPQ3HOUdMTwD2kJQTYZWw57HA&amp;amp;lib=M-zdWbhavtdZ1B_W2dnFDM0qoVt4lWzJ-"&gt;here&lt;/A&gt;.
&lt;/BODY&gt;
&lt;/HTML&gt;
</t>
  </si>
  <si>
    <t>W89pCSIjSdyydPpDPGbGQQ</t>
  </si>
  <si>
    <t>17971-B</t>
  </si>
  <si>
    <t>8E00250110260035</t>
  </si>
  <si>
    <t xml:space="preserve">&lt;HTML&gt;
&lt;HEAD&gt;
&lt;TITLE&gt;Moved Temporarily&lt;/TITLE&gt;
&lt;/HEAD&gt;
&lt;BODY BGCOLOR="#FFFFFF" TEXT="#000000"&gt;
&lt;!-- GSE Default Error --&gt;
&lt;H1&gt;Moved Temporarily&lt;/H1&gt;
The document has moved &lt;A HREF="https://script.googleusercontent.com/macros/echo?user_content_key=AehSKLhkFgfLn9_Sog4PcE1aqWCPCEiQXG-yAGlSir6_1gePfwcQ4Z6z3PfFlHPN0jOWkr3yqxLwXm7Xc-ZUsnBmekpwP5dCab-gkS2OmrvpM34HYhDufXR5r_VQnVczEA6jFbwQFWU58_2a713kjaolBc6wyiKyRAdvnDUs4vEKI9jsc3HbCXT0jQXWzutkQRF7y-a4C91K-rg3noCGtqUz5j71vBti1HVMecKlPnIvo7eJxr4qjGUnbfHdhLBOdW_bnwmBc4xNM_b86i7EN3BTZ6EJHJHe_evmRRUVrkNi3vczcoUxSY5GQPqhLR_4yw&amp;amp;lib=M-zdWbhavtdZ1B_W2dnFDM0qoVt4lWzJ-"&gt;here&lt;/A&gt;.
&lt;/BODY&gt;
&lt;/HTML&gt;
</t>
  </si>
  <si>
    <t>XRqPCy1AzbqqBw4fxnCk</t>
  </si>
  <si>
    <t>17971-C</t>
  </si>
  <si>
    <t>8E00250110260040</t>
  </si>
  <si>
    <t xml:space="preserve">&lt;HTML&gt;
&lt;HEAD&gt;
&lt;TITLE&gt;Moved Temporarily&lt;/TITLE&gt;
&lt;/HEAD&gt;
&lt;BODY BGCOLOR="#FFFFFF" TEXT="#000000"&gt;
&lt;!-- GSE Default Error --&gt;
&lt;H1&gt;Moved Temporarily&lt;/H1&gt;
The document has moved &lt;A HREF="https://script.googleusercontent.com/macros/echo?user_content_key=AehSKLipfG4ZPs4svHlQUw5UbgRThdmYIG2JB8dgTuSZQFwCBNbo8YsmbV9FI-u-_Jfr1hXCv7o5q2ZA1Wc41QFpFCFx4aPYexSfJO2G4xsVyCE2m9TiuKf5mpKA3_w82VsXo3jplqo_AxkewwB4deM_wQM4wvuzRAn-ndjKVVarKulQJtM2l_p0EWo3W1yiuvEzpCdWfbz_EI5VvrZ-xMHMk2dIbw2NrvjfZYpQ54xIuARNOBi9cxH0X7hO-22MnVycM4H4zqSKVSqdNTKj7-lqQ2_8-BzggElYRfnDv9hNdlxi4QX6qA90WkfICPh7tg&amp;amp;lib=M-zdWbhavtdZ1B_W2dnFDM0qoVt4lWzJ-"&gt;here&lt;/A&gt;.
&lt;/BODY&gt;
&lt;/HTML&gt;
</t>
  </si>
  <si>
    <t>5tNQvKZIljiU0dv7bbwh</t>
  </si>
  <si>
    <t>17971-D</t>
  </si>
  <si>
    <t>8F00250329020002</t>
  </si>
  <si>
    <t xml:space="preserve">&lt;HTML&gt;
&lt;HEAD&gt;
&lt;TITLE&gt;Moved Temporarily&lt;/TITLE&gt;
&lt;/HEAD&gt;
&lt;BODY BGCOLOR="#FFFFFF" TEXT="#000000"&gt;
&lt;!-- GSE Default Error --&gt;
&lt;H1&gt;Moved Temporarily&lt;/H1&gt;
The document has moved &lt;A HREF="https://script.googleusercontent.com/macros/echo?user_content_key=AehSKLhhdE_QjJlnRKV05JsJ5jrrU2nwd12x-7LU3DBgSUwSzvaO8gyxj_ioQzgQ_psNm_VEwd0apTx9b6wTAYQ0-zZXvBbcvGVTR47kv30GVpfGZHsv_1djxABlF0MNN0i8rrii7-uozs7nz5pfU6eahacyC6k-xB9s-EZmuH3aYhrRYT6hi6kim50vYObTHhNPt_hJL7rxfkYxpcuPz2KuizjFLp4qD52i9TRtsxKHSywiB4Qbokh9ePlFHC_Mvq9X4mNLZ120lvQObzFWn8zE6OPvpsoPt09jU2QroASkpNDzVStDG05QTcdylCqh5A&amp;amp;lib=M-zdWbhavtdZ1B_W2dnFDM0qoVt4lWzJ-"&gt;here&lt;/A&gt;.
&lt;/BODY&gt;
&lt;/HTML&gt;
</t>
  </si>
  <si>
    <t>i5Dl2taWTV1YgnJY0Kzn</t>
  </si>
  <si>
    <t>17972</t>
  </si>
  <si>
    <t>37.329.541 CARLOS HENRIQUE BLUMENBERG</t>
  </si>
  <si>
    <t>8F00250110270043</t>
  </si>
  <si>
    <t>0000000 - RETIRA - CARLOS BLUMENBERG - 00000000000 - VOLKSWAGEN / TCROSS / BORDO / 2020</t>
  </si>
  <si>
    <t>CARLOS HENRIQUE BLUMENBERG</t>
  </si>
  <si>
    <t xml:space="preserve">&lt;HTML&gt;
&lt;HEAD&gt;
&lt;TITLE&gt;Moved Temporarily&lt;/TITLE&gt;
&lt;/HEAD&gt;
&lt;BODY BGCOLOR="#FFFFFF" TEXT="#000000"&gt;
&lt;!-- GSE Default Error --&gt;
&lt;H1&gt;Moved Temporarily&lt;/H1&gt;
The document has moved &lt;A HREF="https://script.googleusercontent.com/macros/echo?user_content_key=AehSKLiz7x2fICLYnQxKraxpMYk9d8WEOPkFy8EmzqL78PVC6aAd-IDdLKGfoXM_Md2_O5_JZiSFG6_rJ1UHpk1WhdL4XxKK8ZoNBbzW6ZZr88sJiGGzX_I_NBOg3D6kq7VD3_T7l6drUXmu_8ILghAuYdrv9YxCH-5HUv-juCSBVp3nWSL_SvGlIKhFWqlnj4-cLm_cKz1a3n3PjuWaFXPLrF6Q60jCMA_TgxnZ9oFlfhqdCZEr8rjcH7B6RsB5wvZwrX3bLqaWC7Pdz8razLmYwGiGcEIdPi6zGHLn45ngg9bqCWxI-pT8FqJoe-FSkw&amp;amp;lib=M-zdWbhavtdZ1B_W2dnFDM0qoVt4lWzJ-"&gt;here&lt;/A&gt;.
&lt;/BODY&gt;
&lt;/HTML&gt;
</t>
  </si>
  <si>
    <t>GopyKm2OQquJ5-CIcwBS3Q</t>
  </si>
  <si>
    <t>17973-A</t>
  </si>
  <si>
    <t>20096</t>
  </si>
  <si>
    <t>ENGRAXAR O MOTOR VENTILADOR E COMPRESSOR COM GRAXA AZUL NAUTICA . (PEDIDO DO ABEL) PARTE DO PAGAMENTO EM PERMUTA PARA PREMIAÇAO DE VENDAS EM 2024 . CONFORME PROPOSTA IMPRESSA - PINTAR NA COR  ULTRA VERDE COD TINTA 3607 -  ENTREGAR NO RESORT COSTAOA DO SANTINHO . PRAZO 30/60/90/120/150 DS</t>
  </si>
  <si>
    <t xml:space="preserve">&lt;HTML&gt;
&lt;HEAD&gt;
&lt;TITLE&gt;Moved Temporarily&lt;/TITLE&gt;
&lt;/HEAD&gt;
&lt;BODY BGCOLOR="#FFFFFF" TEXT="#000000"&gt;
&lt;!-- GSE Default Error --&gt;
&lt;H1&gt;Moved Temporarily&lt;/H1&gt;
The document has moved &lt;A HREF="https://script.googleusercontent.com/macros/echo?user_content_key=AehSKLj3DpPBF0frhhh-1sRlTBiiR9hE49tXCAaqqTZA2PIycA6pwHmqroy3_RygXR-3bGtC61IuYfTw1t8vZkGLDiDaElAvonSUq4i2_l_x2UQFCcHMs3jab06TgVO9nQQwT6wQpnaB08Ub1eZ5iiJS-zGEhFJpseYFKstT--QU3vRvUc1yzepUwd5gKSv_h0kVCkiUBqo3f-RUAOuD312bhKTeX2gSPPfYPZ6KNsmqyjqcbGxgbRUoDHOFnaz23alT0_4WiwVj8fVNVzt0o7oNvo6wVqLdZS5pQfr-Nz7-eWXw7BmK0Lqg3XxxZovK-A&amp;amp;lib=M-zdWbhavtdZ1B_W2dnFDM0qoVt4lWzJ-"&gt;here&lt;/A&gt;.
&lt;/BODY&gt;
&lt;/HTML&gt;
</t>
  </si>
  <si>
    <t>SHabe.qLS.GbBzQefWgoVw</t>
  </si>
  <si>
    <t>17973-B</t>
  </si>
  <si>
    <t>20097</t>
  </si>
  <si>
    <t xml:space="preserve">&lt;HTML&gt;
&lt;HEAD&gt;
&lt;TITLE&gt;Moved Temporarily&lt;/TITLE&gt;
&lt;/HEAD&gt;
&lt;BODY BGCOLOR="#FFFFFF" TEXT="#000000"&gt;
&lt;!-- GSE Default Error --&gt;
&lt;H1&gt;Moved Temporarily&lt;/H1&gt;
The document has moved &lt;A HREF="https://script.googleusercontent.com/macros/echo?user_content_key=AehSKLj0k0mTQ5mOw_cBuhfUyl5Wi6c52z1WpdwDzilxB3rVuvZ4dyYmSLqa983EkdJi5Awx-mE15M9LYxeuA2EhW4ACwQ3JggstjRWfy_kdjY1doWtUJcBGTunttV1bA3XL24Nk33JR3Hmz5eio-zldazewtDVDeVfkkf2kzDQxTPnMhGRaoKHTT8mUWQnbChk8_YTg7T6baeVtJWdEPFRak_by_T4ybEqOIDKmIZZPdAtrgWW7lOsO8CIJDwkidtJuht3XBGfjnJEKDK2IzhdAH6A2S3yMwZT7XoGTM0mYngswVl1NGF6Gs0reolQyIQ&amp;amp;lib=M-zdWbhavtdZ1B_W2dnFDM0qoVt4lWzJ-"&gt;here&lt;/A&gt;.
&lt;/BODY&gt;
&lt;/HTML&gt;
</t>
  </si>
  <si>
    <t>xpx9TZGofv7uXxYMNcqN</t>
  </si>
  <si>
    <t>17973-C</t>
  </si>
  <si>
    <t>20101</t>
  </si>
  <si>
    <t xml:space="preserve">&lt;HTML&gt;
&lt;HEAD&gt;
&lt;TITLE&gt;Moved Temporarily&lt;/TITLE&gt;
&lt;/HEAD&gt;
&lt;BODY BGCOLOR="#FFFFFF" TEXT="#000000"&gt;
&lt;!-- GSE Default Error --&gt;
&lt;H1&gt;Moved Temporarily&lt;/H1&gt;
The document has moved &lt;A HREF="https://script.googleusercontent.com/macros/echo?user_content_key=AehSKLhJyeVmz0neNJZOLtMhUioAlGCkxvZ7y9QylzuL092zVzdMtRQYaVyc0N2dF_-DhUlvDd-BZWHxa39ffoma2ZrHP8H7S36q9Ejmg2oxnk32zvPUOVfix91YGA0y83zSTkVXYiSsEoHJGuOJAz9z8yDMsN3v9nk4K6MZJRP-i2lRN82g9LftltO0DRYZmHBmCEBiK_9gYjrmMhwRST042aVinJ9wf_pkoVhM1H1MQhKoZxqKEVzvuUOtwRk6396DhgjBALOuVeprACDLkhwDJvuCiHJMxksb7Cu2fsmP7o8E49j6rzy6pf9UjnOotg&amp;amp;lib=M-zdWbhavtdZ1B_W2dnFDM0qoVt4lWzJ-"&gt;here&lt;/A&gt;.
&lt;/BODY&gt;
&lt;/HTML&gt;
</t>
  </si>
  <si>
    <t>M5iX4zMCgxLj25cA4A0P</t>
  </si>
  <si>
    <t>17973-D</t>
  </si>
  <si>
    <t>20098</t>
  </si>
  <si>
    <t xml:space="preserve">&lt;HTML&gt;
&lt;HEAD&gt;
&lt;TITLE&gt;Moved Temporarily&lt;/TITLE&gt;
&lt;/HEAD&gt;
&lt;BODY BGCOLOR="#FFFFFF" TEXT="#000000"&gt;
&lt;!-- GSE Default Error --&gt;
&lt;H1&gt;Moved Temporarily&lt;/H1&gt;
The document has moved &lt;A HREF="https://script.googleusercontent.com/macros/echo?user_content_key=AehSKLjrxKhYqiFa_BWAZv06sUKYUVH0MCtlfljI9OKLgE1p25N-S9uVZFncuTaZg97vkzjmcKooSxiLvBdRhwUL0NaMESvucgcc60hV7tCdtfFpOLMUM3-w2WwUXm3x_Jo3w0e30CWT6et_u5RxsN8VtKqrQNERHqIb7a2nclJxwhg6-Bay79Qgz6mH9P2mSKCp_InGhclCy53FqNFVitreXjK-EXQiYiQLbrth4zpvnXBptMls8PKvoyb2TzSycnrrmlC6l250usTF86kblCUmXZzv_lFjYcpX5uAT9vfEWFxvfg-QkY4SDHD-hGFsDg&amp;amp;lib=M-zdWbhavtdZ1B_W2dnFDM0qoVt4lWzJ-"&gt;here&lt;/A&gt;.
&lt;/BODY&gt;
&lt;/HTML&gt;
</t>
  </si>
  <si>
    <t>WTDHGRk9lzhkKP85xmCb</t>
  </si>
  <si>
    <t>17973-E</t>
  </si>
  <si>
    <t>20099</t>
  </si>
  <si>
    <t xml:space="preserve">&lt;HTML&gt;
&lt;HEAD&gt;
&lt;TITLE&gt;Moved Temporarily&lt;/TITLE&gt;
&lt;/HEAD&gt;
&lt;BODY BGCOLOR="#FFFFFF" TEXT="#000000"&gt;
&lt;!-- GSE Default Error --&gt;
&lt;H1&gt;Moved Temporarily&lt;/H1&gt;
The document has moved &lt;A HREF="https://script.googleusercontent.com/macros/echo?user_content_key=AehSKLiDSr5emGi3x_mfwpKZfwIpobsys-8LTD7DnRgQoB6rS8Ooxp-7_hRIPaRozZEeF28bRyzZqcFpMu7EkpqLlmfIP4JpW98mll2SO7mJ0N_U0-X6ONn3pzjLUOyBSGfP259qxps0VGR7AZnAeT_eNnRDrS_AP-Nx6Vne_W9t8lAsqrQxG1g4HqeI5rUEigf-iPnIBe3v_lHURfTwk3O3DOIqNDYTmnehMY_G99MfFlRHgBKm7hThqpNFSCOV4MLFxXpuo7-6f4koABWZVkwIaIDYO51hb9NE8Jkc4A9Paa_oPdqRIXLMHGBYWcfgWQ&amp;amp;lib=M-zdWbhavtdZ1B_W2dnFDM0qoVt4lWzJ-"&gt;here&lt;/A&gt;.
&lt;/BODY&gt;
&lt;/HTML&gt;
</t>
  </si>
  <si>
    <t>R2zFrfCHAcjH0BOizYnA</t>
  </si>
  <si>
    <t>17973-F</t>
  </si>
  <si>
    <t>20100</t>
  </si>
  <si>
    <t xml:space="preserve">&lt;HTML&gt;
&lt;HEAD&gt;
&lt;TITLE&gt;Moved Temporarily&lt;/TITLE&gt;
&lt;/HEAD&gt;
&lt;BODY BGCOLOR="#FFFFFF" TEXT="#000000"&gt;
&lt;!-- GSE Default Error --&gt;
&lt;H1&gt;Moved Temporarily&lt;/H1&gt;
The document has moved &lt;A HREF="https://script.googleusercontent.com/macros/echo?user_content_key=AehSKLj_RwykIniMU1LFDjXLq8foZwDsLKZrYTN2WfMP3pXeqqpCpfFIgVVkb3myt7vyVaFbD_gb7CPHgtXzAtufBlmG2Loa5rzr1xUBLFgJgHsE5i8cUa-WcYZWfaFoOIBxxEleRdEQiLdtcXkOK6P8Y_W_VNCa33Koro1SRe_l7To5jXR1rcfhKJaiaBzgBaKau_795TFXdMOePYWMX21cX4zRfLhXyKdyr-Z_j3bRdBYuvOPadB4H2kUZxkx8wiMJ0l0_UrX9yA1WIoOQx8qrJnzDdIua8WR83DSsCTEcA5iwsUreEl6WEGcEjf2ZvQ&amp;amp;lib=M-zdWbhavtdZ1B_W2dnFDM0qoVt4lWzJ-"&gt;here&lt;/A&gt;.
&lt;/BODY&gt;
&lt;/HTML&gt;
</t>
  </si>
  <si>
    <t>1hDffI2NLSi8fvxjWNHt</t>
  </si>
  <si>
    <t>17974</t>
  </si>
  <si>
    <t>8F00250102050006</t>
  </si>
  <si>
    <t>CLIENTE RETIRA / (0) Informação Adicional: DESCONTO 10% + 10% JULHO
CLIENTE RETIRA NA TRANSPORTADORA KEEPERS</t>
  </si>
  <si>
    <t>EE6K8mBOR6O01mXd98fOyg</t>
  </si>
  <si>
    <t>17975</t>
  </si>
  <si>
    <t>8E00250110260037</t>
  </si>
  <si>
    <t xml:space="preserve">&lt;HTML&gt;
&lt;HEAD&gt;
&lt;TITLE&gt;Moved Temporarily&lt;/TITLE&gt;
&lt;/HEAD&gt;
&lt;BODY BGCOLOR="#FFFFFF" TEXT="#000000"&gt;
&lt;!-- GSE Default Error --&gt;
&lt;H1&gt;Moved Temporarily&lt;/H1&gt;
The document has moved &lt;A HREF="https://script.googleusercontent.com/macros/echo?user_content_key=AehSKLir3aRatyHrfvS31JwcUwnnJ8hlFE0lbCqwP5Cm8OqI3ftyb0sCbvfh3u_1uxoFQmsWJRgL-RQc_gqhdGgMEbBYrWWqyPEO6-1lgpLp0KE9kPXBZOgnM-JfxUc8XMzcsqeC1UxP6kAdMGq3zUpGRRE-r0dJPqkczqhfcCWFFGo6et4fBfdwNnewKxMazZIhRNQRamEQQIXk1Kfxl9Tiwn-yyenafGFUaZ6-xyuJeNG2hVuNdsxS-XW6px91if2oJcmtcNZ6LKFy6DBDnve19McMfFCzKDXZ4kuHn3GWC3VdMIdZOg97DruZSe8v9Q&amp;amp;lib=M-zdWbhavtdZ1B_W2dnFDM0qoVt4lWzJ-"&gt;here&lt;/A&gt;.
&lt;/BODY&gt;
&lt;/HTML&gt;
</t>
  </si>
  <si>
    <t>CXJayO-nQQC6Q9Qo5WEK-w</t>
  </si>
  <si>
    <t>17976</t>
  </si>
  <si>
    <t>FITLOG TRANSPORTES E LOGISTICA LTDA / (048) 996277956Informação Adicional: PAINEL DE SOBREPOR
FRETE FOB com redespacho pela Grife Transportes
CNPJ: 25.406.384/0005-00 - GUARULHOS - R. IRAQUARA 24 - JARDIM IV CENTENARIO, GUARULHOS - SP, 07161-550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</si>
  <si>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v2x25QhcK_wQaRF5w2rtDuB5gTD5cZWE5MZNB81-sx53qE_6_-WkuX4x1-_CfJbgOmXRiLHmy9s9dr8GhpbOD1_QZa1Hn_HmeBkBDr7D3aopmd6l7oJXXnSjlFK9I67QqM-c6kxrqMK9L6HJ5cKkpvAZiJKSv3Ko1xX6iXs1XeQUIlub51Te5NfaAEQuEfFg9msK2hHp0VafFCa9cTaNJHLEj484idjK1L3PHNCmAOOv0Qt77FYygOKVa_T0uG0u9WREUAv5WuDnTEKU7oEFWXACaYjurq_BwFlbld0EHDykWpJbHTT3_Tn7KQ&amp;amp;lib=M-zdWbhavtdZ1B_W2dnFDM0qoVt4lWzJ-"&gt;here&lt;/A&gt;.
&lt;/BODY&gt;
&lt;/HTML&gt;
</t>
  </si>
  <si>
    <t>ues9zyJ7R9G4F5slJh070A</t>
  </si>
  <si>
    <t>17977</t>
  </si>
  <si>
    <t xml:space="preserve">&lt;HTML&gt;
&lt;HEAD&gt;
&lt;TITLE&gt;Moved Temporarily&lt;/TITLE&gt;
&lt;/HEAD&gt;
&lt;BODY BGCOLOR="#FFFFFF" TEXT="#000000"&gt;
&lt;!-- GSE Default Error --&gt;
&lt;H1&gt;Moved Temporarily&lt;/H1&gt;
The document has moved &lt;A HREF="https://script.googleusercontent.com/macros/echo?user_content_key=AehSKLgx68dng4OZ2FHn4Evh2SjBtZnyqGwTH7u9wjdGvdO4SrGcb14Xov6olc-bOVRDhGP7OnuYLRVCoRfDQayqY4zj8VbIB8hkkgL-4feOtCX5YXezSVa9DMkLgJL4jxF5aHqSO8mEFooilebHvs1KIbgjd4durHODb7inPoaYDAThtTzjqOmF-0sX_yfCqVAFj7mWhuapwGzjL6iewJ8TxmfI__fxwNi9rQXKNX9Vuvtj1ezqQ4b5Liajm6Tjx2nSTFXF8LqFrNnDl_bYCqQ7gvdcSpKDYkbQ08cKLT1dZWVBhRLDXRmdz5kLJD-Tpw&amp;amp;lib=M-zdWbhavtdZ1B_W2dnFDM0qoVt4lWzJ-"&gt;here&lt;/A&gt;.
&lt;/BODY&gt;
&lt;/HTML&gt;
</t>
  </si>
  <si>
    <t>o0l3t0UBTDi.5URlwcumsg</t>
  </si>
  <si>
    <t>17978-A</t>
  </si>
  <si>
    <t>HIDROCOM</t>
  </si>
  <si>
    <t>8F00250329050006</t>
  </si>
  <si>
    <t>FITLOG TRANSPORTES E LOGISTICA LTDA / (048) 996277956Informação Adicional: DESCONTO APLICADO  40%/5%/10% - REDESPACHO LOG7 TRANSPORTES E LOGISTICA LTDA - CNPJ 33.156.044/0001-64 - 11 2488 6700 / 11 2412 3078 / Obs.Interna: DESCONTO APLICADO  40%/5%/10% - REDESPACHO LOG7 TRANSPORTES E LOGISTICA LTDA - CNPJ 33.156.044/0001-64 - 11 2488 6700 / 11 2412 3078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</si>
  <si>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gXF5GYefYQv5dnbSt4Yi7nRrNbkr7-ZEh4dwg3PDJt61iMRvLse2U8aGvCfUF4WvNhIePN2abps15T60CvPBl51acTaM08STlovp51-wntshnEt0Pv9AhDfEyywb2f6OpRR9bns8VffCgejKG3G2gNekjmfAFL06FJ_EBB1Qc9HyLqXaPgVzdx2rSeHK9_8Q1z___lU7jGSj5iGKhphkOabwf93S3oKFeCGRbhZ90FbOy0IGa_HNzYk1W1QDBilZETkS-_ImD1Y6giS5RqVXbCAzdbQOvrU8lHWltWw4Dc27vSdplaVznYCvOtA&amp;amp;lib=M-zdWbhavtdZ1B_W2dnFDM0qoVt4lWzJ-"&gt;here&lt;/A&gt;.
&lt;/BODY&gt;
&lt;/HTML&gt;
</t>
  </si>
  <si>
    <t>qJZb0DbET.yoPMMU-syZvg</t>
  </si>
  <si>
    <t>17978-B</t>
  </si>
  <si>
    <t>8F00250329050004</t>
  </si>
  <si>
    <t xml:space="preserve">&lt;HTML&gt;
&lt;HEAD&gt;
&lt;TITLE&gt;Moved Temporarily&lt;/TITLE&gt;
&lt;/HEAD&gt;
&lt;BODY BGCOLOR="#FFFFFF" TEXT="#000000"&gt;
&lt;!-- GSE Default Error --&gt;
&lt;H1&gt;Moved Temporarily&lt;/H1&gt;
The document has moved &lt;A HREF="https://script.googleusercontent.com/macros/echo?user_content_key=AehSKLjdsJadDVhfnj5MQzbjnnukeYKpe3fizfNjvf62KU8ndbGkRKYXmOP0gOXI3Xx3zDUZQCU9WCQS8HNQ0iGWeZbrwy3ty6n5XX56djYtbiBNMcVLuyJ3iMOJE3ZT-LoaSVa0MOGU7n0PTgab6pPtDrtrHmGj3ykuMywYzc9b_PGIqKnUmJ9rZEp9qQ-TRiqJzjNR7GWOTVK6TjhVTgtV6DEF4ei0LBs4tWA2_TCSgGiPIVfbe_SCVzvTASvf99_IiGFouwNEZ3TfJuOHFdgqgXEg_PjktlZkC9YbzoavAGF-Hsnw4uTIS5aGa8n8ZQ&amp;amp;lib=M-zdWbhavtdZ1B_W2dnFDM0qoVt4lWzJ-"&gt;here&lt;/A&gt;.
&lt;/BODY&gt;
&lt;/HTML&gt;
</t>
  </si>
  <si>
    <t>ffdL5wl8GDoJt9Pow64j</t>
  </si>
  <si>
    <t>17978-C</t>
  </si>
  <si>
    <t>8F00250329050001</t>
  </si>
  <si>
    <t xml:space="preserve">&lt;HTML&gt;
&lt;HEAD&gt;
&lt;TITLE&gt;Moved Temporarily&lt;/TITLE&gt;
&lt;/HEAD&gt;
&lt;BODY BGCOLOR="#FFFFFF" TEXT="#000000"&gt;
&lt;!-- GSE Default Error --&gt;
&lt;H1&gt;Moved Temporarily&lt;/H1&gt;
The document has moved &lt;A HREF="https://script.googleusercontent.com/macros/echo?user_content_key=AehSKLiI5L1KCJgy1MVIhc2BjySYKTODXygWYOYIiIwT2GCT60o5RPBmCWguiHcs1tYTFaTSNvv3snPIyNFPcVUWmM53hP2e9OIQKbWuiY75dGdLV2eI9kQA7-DtyEJFq7ozzSvPJc1YFb1ABDUmMTO72jP1zT4RLKkc9ctaIPIY49LIdBo6z21-x5NZJ0wT7W32FLEBBLbHJP5BfP7OpKRGZa-DztZer5f35gGK2GJp-FxC_6efMK3gthLeO2MJWcudSoFgckPyM-vSGJRUVxEoas-6oQE4qqvTFe8y4g7yICX882_M9_s9o-gHV5ZpmA&amp;amp;lib=M-zdWbhavtdZ1B_W2dnFDM0qoVt4lWzJ-"&gt;here&lt;/A&gt;.
&lt;/BODY&gt;
&lt;/HTML&gt;
</t>
  </si>
  <si>
    <t>o5dLnLzCWeu85iw4O0BE</t>
  </si>
  <si>
    <t>17978-D</t>
  </si>
  <si>
    <t>8F00250329050002</t>
  </si>
  <si>
    <t xml:space="preserve">&lt;HTML&gt;
&lt;HEAD&gt;
&lt;TITLE&gt;Moved Temporarily&lt;/TITLE&gt;
&lt;/HEAD&gt;
&lt;BODY BGCOLOR="#FFFFFF" TEXT="#000000"&gt;
&lt;!-- GSE Default Error --&gt;
&lt;H1&gt;Moved Temporarily&lt;/H1&gt;
The document has moved &lt;A HREF="https://script.googleusercontent.com/macros/echo?user_content_key=AehSKLjDYAgHE0EwPT4kC8eIjSjVhe55dHlTVJBhOIXbH_mE1qZb736VJ6MSLOa5I4NoBgdC1b45YyDTGfaLFOZp0Y9ifQUtjQqWXfEoqMWQVkwQgW5zJge2YrgfdAUZ77FD52kkzfMyihQauqkPybDSdaF06IGdiJMjTALccxQM1g2lnA3PbguYMFRo84aEtNzzXHfKdzL9kdJS_i5BQNRLGHHN61sp2TVYWuE566TL7cNkVwC0mxLReuk0N0gvRn_QIdBFYbrrLWUbjhdyp_A2WsI_5uTZbo28Aa0226CxJhJ_P0Z6zDA56h5TtJ2VuQ&amp;amp;lib=M-zdWbhavtdZ1B_W2dnFDM0qoVt4lWzJ-"&gt;here&lt;/A&gt;.
&lt;/BODY&gt;
&lt;/HTML&gt;
</t>
  </si>
  <si>
    <t>8y7PrGvxOKRhr2IMxl2K</t>
  </si>
  <si>
    <t>17978-E</t>
  </si>
  <si>
    <t>8F00250329050005</t>
  </si>
  <si>
    <t xml:space="preserve">&lt;HTML&gt;
&lt;HEAD&gt;
&lt;TITLE&gt;Moved Temporarily&lt;/TITLE&gt;
&lt;/HEAD&gt;
&lt;BODY BGCOLOR="#FFFFFF" TEXT="#000000"&gt;
&lt;!-- GSE Default Error --&gt;
&lt;H1&gt;Moved Temporarily&lt;/H1&gt;
The document has moved &lt;A HREF="https://script.googleusercontent.com/macros/echo?user_content_key=AehSKLgbS6TvI-Lzf-JUCSvRn861GhW8280qzTeBMg6qq_vaci3gPvXCPupcW2cXes-3ZgTdPpMbcp0f36G3Xe6L09mvP5_Xu5ZVWJxyZFu0QY6-Pj2cJ6nxAJbcl5I5b3qWQpExMf24kDVC1WyJKesII-zV1ENm7_JQfBnYUzxvx0EVFKYt0evs9tNBdchm7KnZhof8_3R0eMlU1cm3KViBmUodNahnPMV9W0OJwcG4NKnZACg1umzIABjH8e5psGtef1p0HxpMl3msT-YFSlKv4hzvTVZtjSEBoX3N4AZY2EpICY0LJgNAKW4WdSUhnQ&amp;amp;lib=M-zdWbhavtdZ1B_W2dnFDM0qoVt4lWzJ-"&gt;here&lt;/A&gt;.
&lt;/BODY&gt;
&lt;/HTML&gt;
</t>
  </si>
  <si>
    <t>q4mi8QbljNw9UWBnjake</t>
  </si>
  <si>
    <t>17979</t>
  </si>
  <si>
    <t>8F00241118040044</t>
  </si>
  <si>
    <t xml:space="preserve">&lt;HTML&gt;
&lt;HEAD&gt;
&lt;TITLE&gt;Moved Temporarily&lt;/TITLE&gt;
&lt;/HEAD&gt;
&lt;BODY BGCOLOR="#FFFFFF" TEXT="#000000"&gt;
&lt;!-- GSE Default Error --&gt;
&lt;H1&gt;Moved Temporarily&lt;/H1&gt;
The document has moved &lt;A HREF="https://script.googleusercontent.com/macros/echo?user_content_key=AehSKLgonY-S50uF7I1huDqp6hXcI7PAASg_KCU3DKyG2qc9QVrl4HnnaYn5FSJbCfgJpoglVsQWHA6kxz9BjPk7HssB6SSk2n9XwDpyhzBoznrFINER6QqnESuAx6Xmx0pQKBpr-OUj2Xewldbv5H63WmqZK0iMRJaONMhWLrX9NfHXxo0cfLqXpgMbpz7RvNb_xcqwKQnSlW11B9psOTK_96uug20NogLKvD8iknB5X3h4qJ9gaHMhZYTReWxX_TjLtbt0B9fP-iCvaWZ4joJnh4BHqSFFmRa6vHdCqXjYvIPGm7QjCXworeSKNtub7g&amp;amp;lib=M-zdWbhavtdZ1B_W2dnFDM0qoVt4lWzJ-"&gt;here&lt;/A&gt;.
&lt;/BODY&gt;
&lt;/HTML&gt;
</t>
  </si>
  <si>
    <t>7wVxY.KaRF-hkHkehsY7lg</t>
  </si>
  <si>
    <t>17980</t>
  </si>
  <si>
    <t>FT40D35W</t>
  </si>
  <si>
    <t xml:space="preserve">&lt;HTML&gt;
&lt;HEAD&gt;
&lt;TITLE&gt;Moved Temporarily&lt;/TITLE&gt;
&lt;/HEAD&gt;
&lt;BODY BGCOLOR="#FFFFFF" TEXT="#000000"&gt;
&lt;!-- GSE Default Error --&gt;
&lt;H1&gt;Moved Temporarily&lt;/H1&gt;
The document has moved &lt;A HREF="https://script.googleusercontent.com/macros/echo?user_content_key=AehSKLiLYJZewpojw8iL2-luvexPCuXnJ1vXii0MGPSUahqHNg0Cl30eQMggVDTKlsml9kjLIPYB1wd3AR7r83A0EgRdFcq9zlNGRqp9zg96uSC03_8hbarwtpJ3K1egKAxbdhkHwT25vE46niNCuc4JycAVBw1juuvQke30n4Lha4-lPjuJratx144sg7g1ThZ9diyFZda5sCrVzuhAxobcqPsLSdFo7RUWOikenkw9VA5KmsuT72s9Kdvo2VAVzABM42WWDUk0Xvbell31SVUgZmrPa0FZQuBCIhb4QAQEJgw5db9jHK9rawx8hqLJAg&amp;amp;lib=M-zdWbhavtdZ1B_W2dnFDM0qoVt4lWzJ-"&gt;here&lt;/A&gt;.
&lt;/BODY&gt;
&lt;/HTML&gt;
</t>
  </si>
  <si>
    <t>moXYKnxqSte10YkIC9FNow</t>
  </si>
  <si>
    <t>17984</t>
  </si>
  <si>
    <t>BASKOSKI ENERGIA SOLAR</t>
  </si>
  <si>
    <t>8F00250208120024</t>
  </si>
  <si>
    <t xml:space="preserve">&lt;HTML&gt;
&lt;HEAD&gt;
&lt;TITLE&gt;Moved Temporarily&lt;/TITLE&gt;
&lt;/HEAD&gt;
&lt;BODY BGCOLOR="#FFFFFF" TEXT="#000000"&gt;
&lt;!-- GSE Default Error --&gt;
&lt;H1&gt;Moved Temporarily&lt;/H1&gt;
The document has moved &lt;A HREF="https://script.googleusercontent.com/macros/echo?user_content_key=AehSKLgDkPVI6tPmf4Y6ujAK6KrXhwtXo3kKX-03W-d3HRbSh4s7olJR-IarC-cJZFBUUXm6votbMmHS0hu0P677Zt5FKCOsLQ7ktJBXLhQRsPTscaCcQAi_5cVzqqhVosPNlcielPHsCHko5Vb6SqOgZbn6PKXbeNIPkOrJSoBPY3Tspdi1LiWk4GXAI9ECdLYuFp2LwplumVcP6bIgZSqNv-kV75d-CTVOBPjZ563MAeetGE5NF1m53225eck3pWHrYq9DcHEm1HhHKChHCpMz4x8Q5Lr3_COpxRCNanAtN3xW6C1vc_rhZsDPExcY9w&amp;amp;lib=M-zdWbhavtdZ1B_W2dnFDM0qoVt4lWzJ-"&gt;here&lt;/A&gt;.
&lt;/BODY&gt;
&lt;/HTML&gt;
</t>
  </si>
  <si>
    <t>3GB3Zjo5TvqCyWSlU827JA</t>
  </si>
  <si>
    <t>17985</t>
  </si>
  <si>
    <t>DM2 PARTICIPACOES S.A.</t>
  </si>
  <si>
    <t>8F00250329070007</t>
  </si>
  <si>
    <t>FITLOG TRANSPORTES E LOGISTICA LTDA / (048) 996277956Informação Adicional: VENDA INDICADA AGUAS E VAPORES SEM COMISSÃO - REDESPACHO PELA RF BRA TRANSPORTES LTDA - CNPJ: 49.515.412/0001-53  / Obs.Interna: VENDA INDICADA AGUAS E VAPORES SEM COMISSÃO - REDESPACHO PELA RF BRA TRANSPORTES LTDA - CNPJ: 49.515.412/0001-53 - ENDEREÇO DE ENTREGA: AV CAXANGÁ 1562 (CAXANGÁ PISCINAS) - DESCONTO 40/10/10 + DIFAL 13,5% R$2.206,47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</si>
  <si>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uSdW2AIURTKtNh9FFBZdKyU8JIXLpVbZ12RUe4Z6tWReugOHQ8j8Ck5H_vOT9fkFufCXqX2qM6K_9GDqSwMkD1SuVoeH82q3YjYfKkNmtQdPd8JV-I2Koj4tE5_evfvWELe2VOPH3XuErxRfIfRmMfwD0l2Urnjurzzp0H_ErYa4xh6TM9xtx60XH70nWsii_c0oxJWar4zw6d3OOuoo54FB2KLbwkqPEzQQ3GxFmAEwkpIMLGG8sXHdEZuJrXsDw5wMaUbrgY8vEr6IGEd3SCT8cOHRhyHGyBB1WLdRp2ZJ8GpAyHBhxBJAUUQ&amp;amp;lib=M-zdWbhavtdZ1B_W2dnFDM0qoVt4lWzJ-"&gt;here&lt;/A&gt;.
&lt;/BODY&gt;
&lt;/HTML&gt;
</t>
  </si>
  <si>
    <t>ZA.RgvWTQe6p-nzdEmvecQ</t>
  </si>
  <si>
    <t>17986</t>
  </si>
  <si>
    <t>FITLOG TRANSPORTES E LOGISTICA LTDA / (048) 996277956Obs.Interna: Quadro deslocado sobrepor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</si>
  <si>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-14PEJ9h7Dou_NfniCgPHSXFo8KM_bUCY7R5upWJiGTKIMXQj3a1SzePtIF_ONMABwi9WRCCd6TEx0RRcsR2f1GMkWWp-PVtRvWhlJxueIEF6mFiQ-dq-YO93_IIlP7RblDocE0fObqA5--01GyZC1ZKTR80rGe07nNOJg2d4Av7oVucibVXptXXZtBuSJnX2A-EueqH_aHE6k8G7WqqLw9sapZA5_4VZJ0TjLcfnWsMgALs0SqQNwmSXWfrgqyd6DsZ4zNHQWbHOh2_O_aIfHUeysmZX_NkoEOqqI6hOzOjkxWHYLZ8LCGNOyg&amp;amp;lib=M-zdWbhavtdZ1B_W2dnFDM0qoVt4lWzJ-"&gt;here&lt;/A&gt;.
&lt;/BODY&gt;
&lt;/HTML&gt;
</t>
  </si>
  <si>
    <t>SNKsA8knRpqCm8Clnqi0RA</t>
  </si>
  <si>
    <t>17988</t>
  </si>
  <si>
    <t>8F00250110300012</t>
  </si>
  <si>
    <t>CLIENTE RETIRA / (0) Informação Adicional: DEPÓSITO FEITO DIA 23/07 / Obs.Interna: DEPÓSITO FEITO DIA 23/07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</si>
  <si>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bx29WpUa6hhQDZFcjqEcNx10Y5SCiWnKn5P54SVuM7HecYk_OjxVeaDwAG2koo3gr4Ow1rLHt1GfQRSc4aO9rDqDjiyG8CpFDNadd_D0OIwyk9MV2r7-0qnZLhzW5l6aM7XkgLkhTocxbZSUHagU4QuI3QvQXiauFGA34KnhaXeyY-P7A3CS7UCKFRj495O3kVu4ZsVYvXVgFizA46EamxIgaRcQyH-GNRPx-bB37EwCRU2OBWJBzopxVvqdUYkKFeKV1mEgb9DlFyOdhqccvsuGjroZxtW8sKsg6r3tGzj9_A3d4_p8pp_aw&amp;amp;lib=M-zdWbhavtdZ1B_W2dnFDM0qoVt4lWzJ-"&gt;here&lt;/A&gt;.
&lt;/BODY&gt;
&lt;/HTML&gt;
</t>
  </si>
  <si>
    <t>q7FCUyWYRlSEhu4w1s0Bnw</t>
  </si>
  <si>
    <t>17991</t>
  </si>
  <si>
    <t>MARCAL PISCINAS</t>
  </si>
  <si>
    <t>8E00250110260034</t>
  </si>
  <si>
    <t xml:space="preserve">&lt;HTML&gt;
&lt;HEAD&gt;
&lt;TITLE&gt;Moved Temporarily&lt;/TITLE&gt;
&lt;/HEAD&gt;
&lt;BODY BGCOLOR="#FFFFFF" TEXT="#000000"&gt;
&lt;!-- GSE Default Error --&gt;
&lt;H1&gt;Moved Temporarily&lt;/H1&gt;
The document has moved &lt;A HREF="https://script.googleusercontent.com/macros/echo?user_content_key=AehSKLg4IyB1n_xuIv3rE2_I3TVO0D1G9ZOrTWHahf3SwHPf7agOIn1v2N3du5rCIWHtng2ovWI4aWgJkE5tJfH2lmT7FWTyPQfzD1zVkhaVKqnOllbvCFRL3pQ3LOOrRs93c7g7TWyA2pUy3IsqKAYf_SIoJ9Uf1GIF1P8oY_fe9mVBgSCECPBuPZrW4qR1GxjTyHaVF1qpAdZ-9TDjOGf3hOuWa9V3Y94EEh4VyWLPE_rcsH9KGGEVPxwwg1d2Ntk5iqJGehou7FVpPn7zv31_iJrX-qUGgWulIPolin_oKKZIBfDCwdw3o7J7TP_2qA&amp;amp;lib=M-zdWbhavtdZ1B_W2dnFDM0qoVt4lWzJ-"&gt;here&lt;/A&gt;.
&lt;/BODY&gt;
&lt;/HTML&gt;
</t>
  </si>
  <si>
    <t>90nS6Hm5ScirApiqg0.v-A</t>
  </si>
  <si>
    <t>17995</t>
  </si>
  <si>
    <t>ESTE PEDIDO VAI  CONSIDERAR O PAGAMENTO DE UMA FT160F35T DO PEDIDO 17097 - NF 12665 QUE JÁ FOI PAGO, NESTE SERÁ COBRADA APENAS A DIFERENÇA (R$1.379,28) FITLOG TRANSPORTES E LOGISTICA LTDA / (048) 996277956Obs.Interna: Favor considerar valor do item como R$ 18.619,20 -</t>
  </si>
  <si>
    <t xml:space="preserve">&lt;HTML&gt;
&lt;HEAD&gt;
&lt;TITLE&gt;Moved Temporarily&lt;/TITLE&gt;
&lt;/HEAD&gt;
&lt;BODY BGCOLOR="#FFFFFF" TEXT="#000000"&gt;
&lt;!-- GSE Default Error --&gt;
&lt;H1&gt;Moved Temporarily&lt;/H1&gt;
The document has moved &lt;A HREF="https://script.googleusercontent.com/macros/echo?user_content_key=AehSKLhT8yOA0gW8SUBhXa6dGWkR9KMV1q8ihf3NGHZ3T4_Wr8jj8aM4tQGT7Hxog5e7dmUB9Js4JlZblEcLPfNIc6xTcKLC58H5YQDob6U808BuwGKCEJYFvEn5e-x6wIUTf2zhBu0vPW8ziM7w3kko2h4kP2K8snp0tbiRMJusNP3AFoBQgk5EQjI85K1ponv4kKvSdLoJgg4FpuM2VJDR84LpWQS3QzKkx4qV99yYmWp8yEA79dKP_TqiiZqNWyza3gTHgFgWojITP0Y5biyB0_924AjtzZ8gy1_OId9b4oGhkNh32pRQwAAUlw0YiQ&amp;amp;lib=M-zdWbhavtdZ1B_W2dnFDM0qoVt4lWzJ-"&gt;here&lt;/A&gt;.
&lt;/BODY&gt;
&lt;/HTML&gt;
</t>
  </si>
  <si>
    <t>OahIhjuETiSbVU6J-7qK4w</t>
  </si>
  <si>
    <t>17996</t>
  </si>
  <si>
    <t>VENTURI PISCINAS - A LOJA DO PROFISSIONAL</t>
  </si>
  <si>
    <t>8F00250110300038</t>
  </si>
  <si>
    <t>RTT0A84 - RETIRA - SERGIO LUIZ DALLABONA - 57174237991 - PEUGEOT / EXPERT CARGO / BRANCO / 2022</t>
  </si>
  <si>
    <t>CLIENTE RETIRA / (0) Informação Adicional: DEPÓSITO SERÁ REALIZADO NO DIA 28/07 / Obs.Interna: DEPÓSITO SERÁ REALIZADO NO DIA 28/07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</si>
  <si>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xmOG6U8Ma0Xy20ivzj61cAx6meZeru4e5NFW_LjEtFh_HOHH2-L0N221xySEbGS53_0yFRXI4jtUf4EbMN4QkmMLhgE8SaWtzrEKzL2iuyInz18CNP04ELopj-wv_mM23_Xkx1UUboNDzq2YdAfq7KsYTAPynIjklMYJbPZHEn6pllhsFpbkQCV8HB3a2pJVqRWhvQxRqhMxeSlAbRAKxnj65bIkp6786VOH2BICUn3950p9nVFoU9kzJftaiVNmwq3mcMqFFWS8jbEvh0f_3OQji9zn05qSwSkcLgJ0QcMuGfNnGFJEBhDeTfA&amp;amp;lib=M-zdWbhavtdZ1B_W2dnFDM0qoVt4lWzJ-"&gt;here&lt;/A&gt;.
&lt;/BODY&gt;
&lt;/HTML&gt;
</t>
  </si>
  <si>
    <t>pxhfOsHBQm-akTEuVElZoQ</t>
  </si>
  <si>
    <t>17997</t>
  </si>
  <si>
    <t>8F00250329060008</t>
  </si>
  <si>
    <t xml:space="preserve">&lt;HTML&gt;
&lt;HEAD&gt;
&lt;TITLE&gt;Moved Temporarily&lt;/TITLE&gt;
&lt;/HEAD&gt;
&lt;BODY BGCOLOR="#FFFFFF" TEXT="#000000"&gt;
&lt;!-- GSE Default Error --&gt;
&lt;H1&gt;Moved Temporarily&lt;/H1&gt;
The document has moved &lt;A HREF="https://script.googleusercontent.com/macros/echo?user_content_key=AehSKLixrGCMPnz7NIilEaywA3SVUPKh_Ta6F1Dh-J-qETaAPJXE6cczUH9AGbk5TjwfWZ6ZditTgbe_EFYRis6iwmGYGzgFJK02XxsbTVXAHFCWspY8zVuJnxAg6_usn8Xd13rWiw6oBotBcQQqlqpqUxbVZ65b9BUsKNIVxaUtJukLeG7qbKu7KoN8goxg7YaQjVSIhURYYeIAynW2pHmwK02IVDXHqyk1ID-xhrqoM97MmjPF23WxQCX-umPmClV7T9ty0CKVFvBBAmxITI7wB670t8C363yOJ_u4CzAthc6QHun5e9so5Li88s7rRw&amp;amp;lib=M-zdWbhavtdZ1B_W2dnFDM0qoVt4lWzJ-"&gt;here&lt;/A&gt;.
&lt;/BODY&gt;
&lt;/HTML&gt;
</t>
  </si>
  <si>
    <t>LonAKzT-Qh24vqYfZk6-mQ</t>
  </si>
  <si>
    <t>17998-A</t>
  </si>
  <si>
    <t>8E00241224040005</t>
  </si>
  <si>
    <t>EXPRESSO SAO MIGUEL S/A / (049) 3361-6627Informação Adicional: VALOR FTI 25 = R$5.222,00 CADA
PRAZO DE PAGAMENTO = 30/60/90/120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</si>
  <si>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qDjgOkswyNDrwL161RWh1rge_Kn3g-jt1H30_bfA7pb-kA3l4XHkoMorWhXRqfIc4mec3ujGkRrKfPtSFTvGXSn3zCwLVtpa1HjVQ9VyFfc_DTmfBDKW5KKG6cL9hzKPm35ffYGHN-DVxXn4Ia-mIdIbMerxTHZYyQxAerW5pEhPEUdP4RIjlzNGM0lOrlUHMjng_zRsqqsAroj3dakmeQtaGucqEG3ayRgyaoxQS79OEwjWIfhcVexSWvGZVwpPkof4A-ngYozy1tyyoBBiT6WMBVSFnQiv53U3p9Ve3C5Er1pOH8_bmigubOg&amp;amp;lib=M-zdWbhavtdZ1B_W2dnFDM0qoVt4lWzJ-"&gt;here&lt;/A&gt;.
&lt;/BODY&gt;
&lt;/HTML&gt;
</t>
  </si>
  <si>
    <t>tuTnGDQRQJaLoeoocSV7pQ</t>
  </si>
  <si>
    <t>17998-B</t>
  </si>
  <si>
    <t>8E00241224040006</t>
  </si>
  <si>
    <t xml:space="preserve">&lt;HTML&gt;
&lt;HEAD&gt;
&lt;TITLE&gt;Moved Temporarily&lt;/TITLE&gt;
&lt;/HEAD&gt;
&lt;BODY BGCOLOR="#FFFFFF" TEXT="#000000"&gt;
&lt;!-- GSE Default Error --&gt;
&lt;H1&gt;Moved Temporarily&lt;/H1&gt;
The document has moved &lt;A HREF="https://script.googleusercontent.com/macros/echo?user_content_key=AehSKLgccdbM9fLYd_xw8IbPX6AlItMmsH5zSNSCXOXyYwQ5ETF2Eb2PaAk-Nw_By3-zWVKwraWVn7Yfh50GN5-xsJyvnhGYEPNGgDuXOcDE6qxkRjg8ESt_AZa1flIFb6noTnnRbj5BpRiWVAMQViYuo4g0gfG3Tm9JaC1YVhpgmsPQtQ4KcxuKTDC6XnLV1v1jakttrv3KqVF4gz4dDbuMv6sjtEvzJ0_u_q4Z9kL2ICRCdZQZYRlZcDLWwn7Iu1nB4r5Z5eE3QppackBQatJrMsx3lqKf7CsTgQzp_KJzf7chLmJmYkZ_niorcm1-aA&amp;amp;lib=M-zdWbhavtdZ1B_W2dnFDM0qoVt4lWzJ-"&gt;here&lt;/A&gt;.
&lt;/BODY&gt;
&lt;/HTML&gt;
</t>
  </si>
  <si>
    <t>Vjd5araEdHvQJvVhzrqO</t>
  </si>
  <si>
    <t>17999</t>
  </si>
  <si>
    <t>8F00250329050003</t>
  </si>
  <si>
    <t>RETIRADA NA FABRICA / (0) Informação Adicional: VALOR DEPOSITADO NO DIA 23/07 R$ 12.145,63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</si>
  <si>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t0NWNihcjobNHNdNUqNNlZm_zr523LIuLeAM8CnAqB8MpD4q_wLiiCu5f5QS2cgqMs8BSdF9STuOYxvFFS0bGvoM4YDkVMEpJbnKRYbtrDlLNsakRyTPB5vRTFj9TDcLPlStkda6fPtauFBxUWkCe8PlkQ9YaT7AR9D3hPB4Gn07mQAwvkoXt3lv6RxnTyW3SRc8ztgVvZ6sAceuGtz7FQpkjbCqHt8TctG98-rktW9_oYiyX-101JBEJS9z2xZJEbpw2oc5qE_1Vb4uoOaF6Un36MhU-JG4RNpNBRyxPg0oCfQ1rdUUvpLI1g&amp;amp;lib=M-zdWbhavtdZ1B_W2dnFDM0qoVt4lWzJ-"&gt;here&lt;/A&gt;.
&lt;/BODY&gt;
&lt;/HTML&gt;
</t>
  </si>
  <si>
    <t>Yv3Fl5M-QHyffmGH7P9Xdw</t>
  </si>
  <si>
    <t>18000</t>
  </si>
  <si>
    <t>8F00250110300025</t>
  </si>
  <si>
    <t>CLIENTE DEVERIA TER RECEBIDO UMA FTI105 E RECEBEU UMA FTI75, ESTE EQUIPAMENTO SERÁ DEVOLVIDO E OUTRO FOI ENVIADO NO LUGAR, ELE IRA USAR A MESMA CAIXA PARA DEVOLVER</t>
  </si>
  <si>
    <t xml:space="preserve">&lt;HTML&gt;
&lt;HEAD&gt;
&lt;TITLE&gt;Moved Temporarily&lt;/TITLE&gt;
&lt;/HEAD&gt;
&lt;BODY BGCOLOR="#FFFFFF" TEXT="#000000"&gt;
&lt;!-- GSE Default Error --&gt;
&lt;H1&gt;Moved Temporarily&lt;/H1&gt;
The document has moved &lt;A HREF="https://script.googleusercontent.com/macros/echo?user_content_key=AehSKLj93gZ0lLe9FGTzKXvCXsKBmgTIJhq64zMv4O9Td5ehHjXf2fvTWLxAGuhHKnatKD8PBFQMi707ep6r3WRHpBjpOtlYAveF6skp2nStLFZZ-5tjsIeRoTKkY-pM3eSXYb3NEUWmSAjx6V5Uy-Rs7SWm5D6xQ2YGDPOJBMqyTCisEcUPQvRAoLZYBsfqCZrq4tLDD1O5AXBufpiVJCgvnzkWJj0TMdGnGT3uR9QcK7YL_VhEXG8L7BUCkLxrrl-WYxoRbnW0moLgFVc_qmLIV2MP4ADUSwBXniys2MHGVebKBwnYqh2WejJugbKEBw&amp;amp;lib=M-zdWbhavtdZ1B_W2dnFDM0qoVt4lWzJ-"&gt;here&lt;/A&gt;.
&lt;/BODY&gt;
&lt;/HTML&gt;
</t>
  </si>
  <si>
    <t>qhPin1LiQV2ne2BcsaMOJw</t>
  </si>
  <si>
    <t>18001</t>
  </si>
  <si>
    <t>HYDROLAR CASA E LAZER</t>
  </si>
  <si>
    <t>8E00250104020008</t>
  </si>
  <si>
    <t>FITLOG TRANSPORTES E LOGISTICA LTDA / (048) 996277956Obs.Interna: Máquina autorizada para exposição na Feira Construir , em Rio das Ostras/RJ (dias 7, 8 e 9 de agosto) autorizada pelo Carlos.
Finalizando a feira, retorno da máquina em até 10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</si>
  <si>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BeutdXbrrd5osOfvJi1KHYt97oL-zTtOS0oXFDgfgOKn-BUdXy-hrOuqD7__rHWlPaKxZRKydZFtLuH-C4tn18rL0T0FqxbT3yaXx_kmiWChU11OV9rNTNptNwZkY6zTWehut9_Dmg-3Tb2sMbZA4Y4BiMZkXfhXEmNGPP_zB75eX1nLdz2YezaVYfdNW1sGcPv2Q2k2GOYR5mSNPEfYlVdTKL8f0YXKq2b2EZ3rTSQlBzXOW-eEJWVtX7gwHYza3BDLeufQBSHcnr3pxpdhXoBx78b2TkpZBlWDMsUUoTSzgAhejxBzo_rKTyg&amp;amp;lib=M-zdWbhavtdZ1B_W2dnFDM0qoVt4lWzJ-"&gt;here&lt;/A&gt;.
&lt;/BODY&gt;
&lt;/HTML&gt;
</t>
  </si>
  <si>
    <t>9dOSUToiSLSs2lzK0G.d3A</t>
  </si>
  <si>
    <t>18002</t>
  </si>
  <si>
    <t>EXPRESSO SAO MIGUEL S/A / (049) 3361-6627Informação Adicional: Cliente comprou outra FTi55BR, mandar com frete gratis para o cliente, autorizado pelo Mario Dick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</si>
  <si>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aS9b2eWJyPjQbpPwZZE484ZmiFScAfVmlAl9BTPM4dGSjl1JoJbgm69pb_CJtJVGuTsIZEfeBCcAiI15ed0QHoRn2z15Uqrg6zaM_5NFVvbGXPzrRlis6Z6fG9pHUtKHxnoGOWX9MWq_dRDppNlmFXFiCQ79bK0EwaZ1n3VrB0OuZ2tqOpBzALoheQa3V6bartuu2zQ8sxutJrEBBKuGVbEI-eLTJklxhnFpFG_daT571EMroFIqVbj8AsbZxXFwWVHv9SZxDlcl6bJq17em26Zrm8z5a5x3YQw4tAZXR5MFiq1QHffetqoeGw&amp;amp;lib=M-zdWbhavtdZ1B_W2dnFDM0qoVt4lWzJ-"&gt;here&lt;/A&gt;.
&lt;/BODY&gt;
&lt;/HTML&gt;
</t>
  </si>
  <si>
    <t>TMotSBGvQT2e4rBt6OaZ6g</t>
  </si>
  <si>
    <t>18003</t>
  </si>
  <si>
    <t>8F00250329020004</t>
  </si>
  <si>
    <t>EXPRESSO SAO MIGUEL S/A / (049) 3361-6627Informação Adicional: + desconto pagamento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</si>
  <si>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2UppevSBDHa-1GEad2TtC6CvaqEbEbUBMYbvy-KVx7BGXs5VCuS47539tavC9ws9eFYI_YeJbnFCJS_jf-5BBU6ieUaGNY9pn32drBctdtJlQew9fMm5yB1yCblQGsv0ca4FVjh64HR0BZDvFVsUZAQUxnNsnfYMCvspkRwBIbOxlGKrHqiogAtFypwxduGMhzjJ3Wk5bZQYfcxowDIgCQOo-RiSrZTqtBKPE8IxXeuyLvNVf8fzE5S_GtWKg10mIHT1yg5pPtBHsjeCwgdW-aXtmQH4IVJHASfCaCtzhYrCmU3mEFdkNOynOg&amp;amp;lib=M-zdWbhavtdZ1B_W2dnFDM0qoVt4lWzJ-"&gt;here&lt;/A&gt;.
&lt;/BODY&gt;
&lt;/HTML&gt;
</t>
  </si>
  <si>
    <t>AHH2LCCXQIOaSQ.L5vwhew</t>
  </si>
  <si>
    <t>18004-A</t>
  </si>
  <si>
    <t>8F00250329050011</t>
  </si>
  <si>
    <t>EXPRESSO SAO MIGUEL S/A / (049) 3361-6627Informação Adicional: PREÇO DO AVISTA EM ENTRADA + 30/45 DS .
M- Autorizado pela Priscilla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</si>
  <si>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wqWmrHmXrwG6Bf1CUV2ty-uCCzh-D7RKdNsprYcnnE4j7WeNF0mU00oH7ohACyhkFokUzic0yo1MTZtsG0Z374LZ4cjU2S3IBWnRVqZWNVe-ePepki0uOzCj14xgWDq8s_GYdD9DZe1FnA-QZGXIgNxDFWmPF_NYWy8IpvLhHAIx3LZyzDq1BMFFQ8IA8dNoy4OJsVDfSQXBYshy5yX2emHv4y_ztcGhFVL4zyAZJlLH9sJPX2DnuZGLi-BiOPut2EVyWme3cBkGINifb71aq2xjVtcxgeDETq9J1v1znEIGE5JeQmsPa6LAlyQ&amp;amp;lib=M-zdWbhavtdZ1B_W2dnFDM0qoVt4lWzJ-"&gt;here&lt;/A&gt;.
&lt;/BODY&gt;
&lt;/HTML&gt;
</t>
  </si>
  <si>
    <t>UDjRW2OlRCCJSWjlca9.mA</t>
  </si>
  <si>
    <t>18004-B</t>
  </si>
  <si>
    <t>8F00250110300022</t>
  </si>
  <si>
    <t xml:space="preserve">&lt;HTML&gt;
&lt;HEAD&gt;
&lt;TITLE&gt;Moved Temporarily&lt;/TITLE&gt;
&lt;/HEAD&gt;
&lt;BODY BGCOLOR="#FFFFFF" TEXT="#000000"&gt;
&lt;!-- GSE Default Error --&gt;
&lt;H1&gt;Moved Temporarily&lt;/H1&gt;
The document has moved &lt;A HREF="https://script.googleusercontent.com/macros/echo?user_content_key=AehSKLhk7b1C-Lyk_WCLeijIpmewFZBYJ9PFlhMaVFThb1bzQhvPo6e8G4rHmTCCPOcvaq9x1F814XlribeABsjcRtWBk_iQvCFzBY5ltiQ9ES0mu9XhATjkV9qvBp6NdgoTxA3dzHyrHvsZtjsE4y5iEaiebG-QvNZiNo5iio16y25lgZiLsfP8TfxSCWpdTVytKfA8uAiOsL-UlfpJutTIzpLwOkTcfirBUcj5j39AqHODxalDPxpq-ytg4fFcZ9UFjKDu_uhsdcr7fw108g929xFPaPSUIunKDx-4XHOgLL3XmdQjG2rVx9gcDwnsGA&amp;amp;lib=M-zdWbhavtdZ1B_W2dnFDM0qoVt4lWzJ-"&gt;here&lt;/A&gt;.
&lt;/BODY&gt;
&lt;/HTML&gt;
</t>
  </si>
  <si>
    <t>y2StsfXCV9Hhrpfe9eTT</t>
  </si>
  <si>
    <t>18004-C</t>
  </si>
  <si>
    <t>8F00250110300021</t>
  </si>
  <si>
    <t xml:space="preserve">&lt;HTML&gt;
&lt;HEAD&gt;
&lt;TITLE&gt;Moved Temporarily&lt;/TITLE&gt;
&lt;/HEAD&gt;
&lt;BODY BGCOLOR="#FFFFFF" TEXT="#000000"&gt;
&lt;!-- GSE Default Error --&gt;
&lt;H1&gt;Moved Temporarily&lt;/H1&gt;
The document has moved &lt;A HREF="https://script.googleusercontent.com/macros/echo?user_content_key=AehSKLizYkE3yyuF6ZbjNaubM5Z6ICMAAFs3p1YRW6AngtC61R5fSwTh-mcFCbCRSmQWEkHVmgYoI3zOzFShMIKzJ7QteI1rO6CeTwyzap52XW8G3CvV5ML8DVvWt3yJcVcPGFcXRya3RzhqGUXWaNRX0F-7TsqlQWk65p-3uViVUt7ecCq0r5Y-UUJUFgleipBPMDw6yDL5Zp8iJ_zJUdZ-zkYsYyfxVAhTD7VfWrr6V342SA4618gnQY2_kWOnELxgaXNP9EFt_mjioIW7z06S2Y_K94r3M6r-LZlynFx63ZNjYv6evjQq2OdpRmyQwg&amp;amp;lib=M-zdWbhavtdZ1B_W2dnFDM0qoVt4lWzJ-"&gt;here&lt;/A&gt;.
&lt;/BODY&gt;
&lt;/HTML&gt;
</t>
  </si>
  <si>
    <t>Hfgk4N961nv1SGBm9dXz</t>
  </si>
  <si>
    <t>18004-D</t>
  </si>
  <si>
    <t>8F00250110300023</t>
  </si>
  <si>
    <t xml:space="preserve">&lt;HTML&gt;
&lt;HEAD&gt;
&lt;TITLE&gt;Moved Temporarily&lt;/TITLE&gt;
&lt;/HEAD&gt;
&lt;BODY BGCOLOR="#FFFFFF" TEXT="#000000"&gt;
&lt;!-- GSE Default Error --&gt;
&lt;H1&gt;Moved Temporarily&lt;/H1&gt;
The document has moved &lt;A HREF="https://script.googleusercontent.com/macros/echo?user_content_key=AehSKLiCN1V-kw2dMD-TjHEEyJPctZQi9qCXG7b39lhSYJcB_1jE6oOyis9-uxKSL5zrJzz9q-1Mwz7w27sgjIn2enuO6iV0OA9GhOaEENi7IIVVOD3ziOEuxn188FIC6Fh2QxtCAW2iWYjACZxpxhSmdZMbdo-ecDC_hj38YDdol3wtZ38_rv2xk_jPdcbtOb_qSQgCF5uphV_6lvYsUl8cbfSfjWZo54bda0UTtQW7BTQwIqs3NtGOHQO7SzthkAxtinCnm35I15CpEIFpzGeg3KF0BH-8uaTaKkC849Lbkd4hnRTkhPIVEtHXTTZ5nw&amp;amp;lib=M-zdWbhavtdZ1B_W2dnFDM0qoVt4lWzJ-"&gt;here&lt;/A&gt;.
&lt;/BODY&gt;
&lt;/HTML&gt;
</t>
  </si>
  <si>
    <t>aW9W5x5D9ofxs3UPrqAi</t>
  </si>
  <si>
    <t>18004-E</t>
  </si>
  <si>
    <t>8F00250110300024</t>
  </si>
  <si>
    <t xml:space="preserve">&lt;HTML&gt;
&lt;HEAD&gt;
&lt;TITLE&gt;Moved Temporarily&lt;/TITLE&gt;
&lt;/HEAD&gt;
&lt;BODY BGCOLOR="#FFFFFF" TEXT="#000000"&gt;
&lt;!-- GSE Default Error --&gt;
&lt;H1&gt;Moved Temporarily&lt;/H1&gt;
The document has moved &lt;A HREF="https://script.googleusercontent.com/macros/echo?user_content_key=AehSKLi5BPs-dWGrxBP3J6y7olrmBy9yiBw-U0m9jYW1Uhvvg2py9XlAmcl9uIYPSdYZc_vxK7GI4P4Hfp9qL7hoz8PQqbW3hanwucCyqsUO5lJhBh6Ad3mv_QvBxbQ4vTKOyrl2uT_4b6FBh1YsCeTvuMllbmcDeL1ucvKGVVfFAvwPIGgaOlznGTh1LUacuqWVk7dBLPor5CKmxaIOq8-z_cvo11gLDSxwouUZELUxenG0Qe_PqDLaD3FJfaAQKJe3P5YQ01fKia0pbOwyw0lKvS0AnNzPq-pbhB8IIea3PEPscZ_UkLp0kniBR2BRnA&amp;amp;lib=M-zdWbhavtdZ1B_W2dnFDM0qoVt4lWzJ-"&gt;here&lt;/A&gt;.
&lt;/BODY&gt;
&lt;/HTML&gt;
</t>
  </si>
  <si>
    <t>yirRR8egnDdkQkMNPhaH</t>
  </si>
  <si>
    <t>18004-F</t>
  </si>
  <si>
    <t>8F00250329060025</t>
  </si>
  <si>
    <t xml:space="preserve">&lt;HTML&gt;
&lt;HEAD&gt;
&lt;TITLE&gt;Moved Temporarily&lt;/TITLE&gt;
&lt;/HEAD&gt;
&lt;BODY BGCOLOR="#FFFFFF" TEXT="#000000"&gt;
&lt;!-- GSE Default Error --&gt;
&lt;H1&gt;Moved Temporarily&lt;/H1&gt;
The document has moved &lt;A HREF="https://script.googleusercontent.com/macros/echo?user_content_key=AehSKLjkyv99ax4enL0d-JZDq2ObJTI2JSxxPsN3jNU28VLDluDIxTV7mgIztsFxihMdMXIcvAoQhZ8MLZtrEBpZ_Zq6yAiKRxZIjXkCPQzKlWQZRDtITXj7scTLyo7ORmv4gFZyIG59oQ-U7ZmYW7q25xv7G48-8RbJi3r9YwotThpJnJK85Zn6QmK9P2dXYh_CRYAPwSGjoqCSgsNSgL1XbyhdYFLKsd27TFYcmDBEa0Oe9Nik0lSizRBSd8o3kU21HFyQbDlBvy6UGNl1Ec60lW4p-tgc2uDnwcBElvHSPxao9yIwOLu2S9XZ5Chssg&amp;amp;lib=M-zdWbhavtdZ1B_W2dnFDM0qoVt4lWzJ-"&gt;here&lt;/A&gt;.
&lt;/BODY&gt;
&lt;/HTML&gt;
</t>
  </si>
  <si>
    <t>ihWFUxyDkJLDyEF2AZVI</t>
  </si>
  <si>
    <t>18006</t>
  </si>
  <si>
    <t>FITLOG TRANSPORTES E LOGISTICA LTDA / (048) 996277956Informação Adicional: APLICAR 3% DE DESCONTO À VISTA, ALÉM DOS 10% QUE JÁ APLIQUEI NO SISTEMA.
DESPACHAR URGENTE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</si>
  <si>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PU4MGxjw7CPukedfhXxLR4ghfVu6wxQaMXGMGklFe-UwUPiPgWIqu9o7duo-93LDyzD_OgvCShUDZ5uG4odvnn4v0eceJriZqiXbaWIedPKh_W83D33VvBzDKh2UGeURetPyef4V8WDiiG6sOSVr3k8gQLRoUj93qUIuQ8fGJUl1oFam0yCwLFrkUV4lZAhNF6X6itaqpTSHJY7nba8-C4o6HBRV_lzbMQM1X4_PUiAH3fP0wNVjHdTnkBYWYE-xf81_vNsVOWiLFqOGqwIbIBmYoJd2WEczsKO3dxlTybMxff7Sth0rX9GerAA&amp;amp;lib=M-zdWbhavtdZ1B_W2dnFDM0qoVt4lWzJ-"&gt;here&lt;/A&gt;.
&lt;/BODY&gt;
&lt;/HTML&gt;
</t>
  </si>
  <si>
    <t>w4N5X4UVR1Ca641tkekkYQ</t>
  </si>
  <si>
    <t>18008-A</t>
  </si>
  <si>
    <t>8F00250329020001</t>
  </si>
  <si>
    <t>FITLOG TRANSPORTES E LOGISTICA LTDA / (048) 996277956Informação Adicional: REDESPACHO FOB CNPJ 24.882.886/0002-93 - RADLOG TRANSPORTES LTDA Rua UMBUZEIRO, 123 - Cep
07.224-010 - BAIRRO CIDADE INDUSTRIAL SATELITE DE SAO PAULO - GUARULHOS - SP I.E. 796.514.930.111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</si>
  <si>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iPUYjv4Zq7AIJZxh8b8QGaxm2HjC9hR8mEMNzEMJhJq5vgBezkqJ-e8-1l76dkaQljRSA9qual7XDKrkxYRMRuevZkg_ANrSgSmGsbhUlzyodLRuQi9bXDM7A-QjgUYyY7VPeo8wnbPrNCFp0f46fdEzFJ80GNFTU8CgN2IpsBLUBjT8q_buM1WB2o4ZWslIzQ-ErHwb36iNtP1JSS_lnC2EzgQsu4RcdkCoVaCptVwcGy6R6vtC_yR6Jfj10at9lykRWB8nx3i-UIKWmK6xwNagxtUICdFUJ8DIWff5IfooQQ1ttDImvb5pLBfg&amp;amp;lib=M-zdWbhavtdZ1B_W2dnFDM0qoVt4lWzJ-"&gt;here&lt;/A&gt;.
&lt;/BODY&gt;
&lt;/HTML&gt;
</t>
  </si>
  <si>
    <t>ZvEYBq5NQfysPWXqOepkHg</t>
  </si>
  <si>
    <t>18008-B</t>
  </si>
  <si>
    <t>8F00241118040051</t>
  </si>
  <si>
    <t xml:space="preserve">&lt;HTML&gt;
&lt;HEAD&gt;
&lt;TITLE&gt;Moved Temporarily&lt;/TITLE&gt;
&lt;/HEAD&gt;
&lt;BODY BGCOLOR="#FFFFFF" TEXT="#000000"&gt;
&lt;!-- GSE Default Error --&gt;
&lt;H1&gt;Moved Temporarily&lt;/H1&gt;
The document has moved &lt;A HREF="https://script.googleusercontent.com/macros/echo?user_content_key=AehSKLi7-vuGQrp2qMQpJqd2eyOV2icsmwzcEOJvw6RaoaCwy81-nU5IEBvjgvOeWh62hlEuHB0OHqCWNILptfFIu4fW3vq5d48LBQZm9XTPO9C5jrcZRNPFdGMy5aDp9AvMw5D46wj59e-K7akEEKaT-DNt5x2DDrvRktnnd7TkW7MPCJTCUcdE9k-6DCJ1pWJe3-6aQC-sKI_yJBteewPk2Lqkx17wl5QHxb0kx2mHrPAcd-11Q7eQwuRLVvVjboJtiTYTZkKkvZu-6QPKo-cE3hgDOHNkBSf9lHiIPFDQKQyg9kGg9g-o6kGWB5TdDg&amp;amp;lib=M-zdWbhavtdZ1B_W2dnFDM0qoVt4lWzJ-"&gt;here&lt;/A&gt;.
&lt;/BODY&gt;
&lt;/HTML&gt;
</t>
  </si>
  <si>
    <t>UJYtJae7JwR5aRSw3AHU</t>
  </si>
  <si>
    <t>18009-A</t>
  </si>
  <si>
    <t>20191</t>
  </si>
  <si>
    <t>FT160F35W</t>
  </si>
  <si>
    <t>EXPRESSO SAO MIGUEL S/A / (049) 3361-6627Informação Adicional: pedido licitação Escola Naval RJ . ENTRADA+30/60 DS BOLETO BANCARIO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</si>
  <si>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57eLlqbejVwMd182BGHCve6_kK4I9GvlQC9FogdAwqkbi4jcfLSmml0MLRtNXEdNDb5_LDNfDfaUfBGcvb5jAxOOL7ZQOCOSSG5-nORlI72ToRKGg23btH3DLMdAXHWjfHpBlZPnxP3JuNa_JbCjzSMoo5QsOwi34pe10LM_qA5NKCpZ9MxMg6PLF2xg416KjhjLL8JRMlb1nCiphA9825uBBwYpoAeNBThgO9-RvMYWAvAIdQUWLgrcxdDDWg1GhjpI4u3TCTg4ahkuGO_MuMrUFeDgtrX5X91a-68VdTqhshusoGjmS9VJApw&amp;amp;lib=M-zdWbhavtdZ1B_W2dnFDM0qoVt4lWzJ-"&gt;here&lt;/A&gt;.
&lt;/BODY&gt;
&lt;/HTML&gt;
</t>
  </si>
  <si>
    <t>K5OTz42kgb56rKtqRwPF</t>
  </si>
  <si>
    <t>18009-B</t>
  </si>
  <si>
    <t>20213</t>
  </si>
  <si>
    <t xml:space="preserve">&lt;HTML&gt;
&lt;HEAD&gt;
&lt;TITLE&gt;Moved Temporarily&lt;/TITLE&gt;
&lt;/HEAD&gt;
&lt;BODY BGCOLOR="#FFFFFF" TEXT="#000000"&gt;
&lt;!-- GSE Default Error --&gt;
&lt;H1&gt;Moved Temporarily&lt;/H1&gt;
The document has moved &lt;A HREF="https://script.googleusercontent.com/macros/echo?user_content_key=AehSKLjeJCwb1MZXTHNtNA2Wrnz9-6LpSb5GC60ZIxlfuyGVRwe_Yt1Gzxi7yH4un9A50XuVBuSM5HH7TRbfNUxHzpy7yr0_DeYkWm3fRhn1nmA60dEFrVqh-6F8B9IVZZFO7wnjYX7sudXLf337gki8gd5b5kIzVJbfXvDDoFYIRWE0u6MAkqijzsPUkqtCIGnXx67usQv9aj1r6EiE4yMIYTElPIySTQ3sgr9QcYEDghWUEazZ67eoQPEgbcZyuHH0VpLUyWaZUnHGMx58J2hbnVqkyYQzdh4nw9hPZoYauiNKzpneFljCSo1V6TvsRA&amp;amp;lib=M-zdWbhavtdZ1B_W2dnFDM0qoVt4lWzJ-"&gt;here&lt;/A&gt;.
&lt;/BODY&gt;
&lt;/HTML&gt;
</t>
  </si>
  <si>
    <t>vZ48AcF8QSNl0MpCT1id</t>
  </si>
  <si>
    <t>18009-C</t>
  </si>
  <si>
    <t>20211</t>
  </si>
  <si>
    <t xml:space="preserve">&lt;HTML&gt;
&lt;HEAD&gt;
&lt;TITLE&gt;Moved Temporarily&lt;/TITLE&gt;
&lt;/HEAD&gt;
&lt;BODY BGCOLOR="#FFFFFF" TEXT="#000000"&gt;
&lt;!-- GSE Default Error --&gt;
&lt;H1&gt;Moved Temporarily&lt;/H1&gt;
The document has moved &lt;A HREF="https://script.googleusercontent.com/macros/echo?user_content_key=AehSKLjZ0ogzCLt351DTsp9ieSroaR5NMN_OgD0g3vHIcRHSOvNP_yIKbE5XWaRUa-IF9erWYB6kxddkrH4b51o8IZTlQyy28Vh8TCOUg7-cbF-hsAAqOwqFFBMRosV4PmkLGMMvcTpgatVdoq2hqK8H87XpGYgL-rgzmwQFUUIRGtXEe0gLQd6s_nJyVsg3WqqRwGUapcghYR2kSTuGbpOJlMKVpORrRm9asteeCpSFtAnoQuDxLJr7_bhUOGke1vW3ERLlzXlgZsXWKDTWY7_n4jnzKuKHRXQlJo7aggqSZRcxRzJVRfCrjdQo_g80Dg&amp;amp;lib=M-zdWbhavtdZ1B_W2dnFDM0qoVt4lWzJ-"&gt;here&lt;/A&gt;.
&lt;/BODY&gt;
&lt;/HTML&gt;
</t>
  </si>
  <si>
    <t>KY3VWLxhe0JnDcwDoFn8</t>
  </si>
  <si>
    <t>18009-D</t>
  </si>
  <si>
    <t>20209</t>
  </si>
  <si>
    <t xml:space="preserve">&lt;HTML&gt;
&lt;HEAD&gt;
&lt;TITLE&gt;Moved Temporarily&lt;/TITLE&gt;
&lt;/HEAD&gt;
&lt;BODY BGCOLOR="#FFFFFF" TEXT="#000000"&gt;
&lt;!-- GSE Default Error --&gt;
&lt;H1&gt;Moved Temporarily&lt;/H1&gt;
The document has moved &lt;A HREF="https://script.googleusercontent.com/macros/echo?user_content_key=AehSKLgsqxKHOkszEC7l6TNHhw4wLATheswoyYlr8Paru-99b4jh-g3EweQtAyk4W90QFpThAL6Kr_k_ykkMwX02dRhY-6Om-ClTHHDc47rY6xq58JzLp8rx8i8F_mbgTfE5toCFNvMkElNXpeOkakKismAraeJysAAFAkpRI3xXktQ7p8C31Bbhz1ybzmfra5KXlKqBEygSjOuse7M0ElsZpW06ti6M44GqfrHit5z0dOesg4v4W5Vgo4l5uvECrPGLQdimdwC_pFDlYX8ZKHR2FLPpfnvVDEbiqfq5n6JUQ5tai82Bkh5l_3I3tkThvw&amp;amp;lib=M-zdWbhavtdZ1B_W2dnFDM0qoVt4lWzJ-"&gt;here&lt;/A&gt;.
&lt;/BODY&gt;
&lt;/HTML&gt;
</t>
  </si>
  <si>
    <t>nmNu2thXVnFsHbf6F8cZ</t>
  </si>
  <si>
    <t>18009-E</t>
  </si>
  <si>
    <t>20207</t>
  </si>
  <si>
    <t xml:space="preserve">&lt;HTML&gt;
&lt;HEAD&gt;
&lt;TITLE&gt;Moved Temporarily&lt;/TITLE&gt;
&lt;/HEAD&gt;
&lt;BODY BGCOLOR="#FFFFFF" TEXT="#000000"&gt;
&lt;!-- GSE Default Error --&gt;
&lt;H1&gt;Moved Temporarily&lt;/H1&gt;
The document has moved &lt;A HREF="https://script.googleusercontent.com/macros/echo?user_content_key=AehSKLhECOL5oRa5vH-O0oOCdJrHRHQMRjI4rgrisA2r5h3jmsln2Cfqfxv-ZE7pt29d33-8zr-C0ViOISwinUjGcTMyENvhZKgaef6cRfywRnO_oH0hdth8gvr-YwstWlmiALa8rNFDkt10QNWSPnYkMY20MOE6RAK_W-r-NIFlWUNqKVBkiEBDUZNcWtl3kfw_zpRHWjuq3lDI9wdeOHdrtmNsOooNhabEApt3k6MHZbuytJlOzPd-3-UljzxH41bFStCaIqltnniytbg2vPY7HHxMwzPo60bntj-2wZwaVBZ6xUcDSQANqB437bu-xw&amp;amp;lib=M-zdWbhavtdZ1B_W2dnFDM0qoVt4lWzJ-"&gt;here&lt;/A&gt;.
&lt;/BODY&gt;
&lt;/HTML&gt;
</t>
  </si>
  <si>
    <t>RXZ7S9TZZQlB5kO9g0GI</t>
  </si>
  <si>
    <t>18009-F</t>
  </si>
  <si>
    <t>20205</t>
  </si>
  <si>
    <t xml:space="preserve">&lt;HTML&gt;
&lt;HEAD&gt;
&lt;TITLE&gt;Moved Temporarily&lt;/TITLE&gt;
&lt;/HEAD&gt;
&lt;BODY BGCOLOR="#FFFFFF" TEXT="#000000"&gt;
&lt;!-- GSE Default Error --&gt;
&lt;H1&gt;Moved Temporarily&lt;/H1&gt;
The document has moved &lt;A HREF="https://script.googleusercontent.com/macros/echo?user_content_key=AehSKLh7X1Ta9yNNQZYuoGR6QRnIgvu3j6YE3BEcdxWSbd66qzNNzcOyU_ygWfw1dYfKo9tnieuVWVYeovJLESmtEmrVjFWaN-dgJVSqTrOQ0_vFpZvXWArS877Z_RA3RZ0ZAI4LInjXVY-iGpNh7boZ9DO-hZX1zkGi79yqgVRfubOedGkoqkIfsoZSEkHt1LyINz9SuO5ZOjYjgtO57bjcmokHVzIsS_Rf_Gp-lYksAtySYvMl3XhmL2zHQkM3Xc8IaTubtHzzU4umZ_pugPqxj9jBJluu1kRkPXrCAoCb4cm3sgZpnNncQSp6p4f-kg&amp;amp;lib=M-zdWbhavtdZ1B_W2dnFDM0qoVt4lWzJ-"&gt;here&lt;/A&gt;.
&lt;/BODY&gt;
&lt;/HTML&gt;
</t>
  </si>
  <si>
    <t>X7oV7nA4kbnirEtTc9jc</t>
  </si>
  <si>
    <t>18009-G</t>
  </si>
  <si>
    <t>20203</t>
  </si>
  <si>
    <t xml:space="preserve">&lt;HTML&gt;
&lt;HEAD&gt;
&lt;TITLE&gt;Moved Temporarily&lt;/TITLE&gt;
&lt;/HEAD&gt;
&lt;BODY BGCOLOR="#FFFFFF" TEXT="#000000"&gt;
&lt;!-- GSE Default Error --&gt;
&lt;H1&gt;Moved Temporarily&lt;/H1&gt;
The document has moved &lt;A HREF="https://script.googleusercontent.com/macros/echo?user_content_key=AehSKLhBmg2Q4qyu_vCzzcmXG8VwgCf-YWlx0Xe2hKZku0ZAszBzsBdz7yxsE4pVbC8pfgIIq3SXap7WLckUF2cUJRuOsLMm3DxdVngeAhVVXc2-r4Xssj1vwpoSmCNv0GgY1KAGI7br-khB8LmgOnpRQM9zVFL-xOa8yGcqrMdiyY7xepATCPqymL2KfHf3xX2R9o-RREFf0bX0hD4XBwYtWDTmxJ4WMSgSiAgwTPwuk_8VthWqEzdcsZRyKy8WKPbn7kiuKp0pCZspp7ncarkuRoYr5JwpZgfsHwz5ZnG69SH8J35BPeQukiQWWU-TtQ&amp;amp;lib=M-zdWbhavtdZ1B_W2dnFDM0qoVt4lWzJ-"&gt;here&lt;/A&gt;.
&lt;/BODY&gt;
&lt;/HTML&gt;
</t>
  </si>
  <si>
    <t>zZbawUWlaO4bGqIIsxOc</t>
  </si>
  <si>
    <t>18009-H</t>
  </si>
  <si>
    <t>20201</t>
  </si>
  <si>
    <t xml:space="preserve">&lt;HTML&gt;
&lt;HEAD&gt;
&lt;TITLE&gt;Moved Temporarily&lt;/TITLE&gt;
&lt;/HEAD&gt;
&lt;BODY BGCOLOR="#FFFFFF" TEXT="#000000"&gt;
&lt;!-- GSE Default Error --&gt;
&lt;H1&gt;Moved Temporarily&lt;/H1&gt;
The document has moved &lt;A HREF="https://script.googleusercontent.com/macros/echo?user_content_key=AehSKLhR9wHgwpR1HmMhjAJs8lODXm6M_9xhLJixlbfqbVt-80dbgIV2gGMz9iMklQd5GO_VdWqOd4hfw81uVAZG6iBH1Lt1rCaS7GWAeFVlVxmmiZL06MFSj96xxlxYmguByRojKBwye60jT3Xp7ta1oKF77jTCTyORRIl16p8-GNLwor0jd_E1-7Cg2v4YOjO87s3VrLGGW3nOZdaYO5bn5-EanrXcCw3XC_G_gCh_1dV6IpAAU9MARK13NAKG5ii1UYL2p9rOSqU5EzcFgzJX9Oy3csYdO1s2MSvcTNzc725EJavM7YJUTolmLh6yJw&amp;amp;lib=M-zdWbhavtdZ1B_W2dnFDM0qoVt4lWzJ-"&gt;here&lt;/A&gt;.
&lt;/BODY&gt;
&lt;/HTML&gt;
</t>
  </si>
  <si>
    <t>WYAvArsO7B1QB3P6GLrg</t>
  </si>
  <si>
    <t>18009-I</t>
  </si>
  <si>
    <t>20199</t>
  </si>
  <si>
    <t xml:space="preserve">&lt;HTML&gt;
&lt;HEAD&gt;
&lt;TITLE&gt;Moved Temporarily&lt;/TITLE&gt;
&lt;/HEAD&gt;
&lt;BODY BGCOLOR="#FFFFFF" TEXT="#000000"&gt;
&lt;!-- GSE Default Error --&gt;
&lt;H1&gt;Moved Temporarily&lt;/H1&gt;
The document has moved &lt;A HREF="https://script.googleusercontent.com/macros/echo?user_content_key=AehSKLjiMsfzSSxEmdkyNmzS-6RzGbKTbFWEoFu1rpXXnKsv7lD3e5PbEk0LGsao7hz7nhoZke5I_aknUlDV_GMJSvOB0JWZUVzJZdh1exneyTMWAkLC5Bx4WAa5iCDHpjl4eyfa63oIEPLZvyPQCqTZmyqDRtLtXfDDOZh9zjfVjFyJxum4kHoUkN92OoqQEYRsNPswn3FQu-UMONsBJBk2aYOG_vzm-F2AqVsAVuYsnePY1jXyrFZaK1VXnB0RbWbMrx-5-2qzmZ55RgzCNwGvo8IYKaGK2JsvMjj15Dc1hEnllmxTVriBrOFLBYSfEg&amp;amp;lib=M-zdWbhavtdZ1B_W2dnFDM0qoVt4lWzJ-"&gt;here&lt;/A&gt;.
&lt;/BODY&gt;
&lt;/HTML&gt;
</t>
  </si>
  <si>
    <t>ITdOqztwoJK5jUHdf4ID</t>
  </si>
  <si>
    <t>18009-J</t>
  </si>
  <si>
    <t>20197</t>
  </si>
  <si>
    <t xml:space="preserve">&lt;HTML&gt;
&lt;HEAD&gt;
&lt;TITLE&gt;Moved Temporarily&lt;/TITLE&gt;
&lt;/HEAD&gt;
&lt;BODY BGCOLOR="#FFFFFF" TEXT="#000000"&gt;
&lt;!-- GSE Default Error --&gt;
&lt;H1&gt;Moved Temporarily&lt;/H1&gt;
The document has moved &lt;A HREF="https://script.googleusercontent.com/macros/echo?user_content_key=AehSKLjmCbkotwbWP0MO3Y5LSHZmttGjjvdsub-T_EYE15K1wnR28oUxCI3eqhWrTwKaLV9izu7ggh2x4dMBJ3QKN4jTdf9nUfeKXEzy2PgL50ORCq5XHSxLAL63pO17AR180H2QTAD-m7JfVLOExLl2ot99Ej8gSc5xmsFx93JSYVZFBeBfduOA-RHLvt8rc27bs_58v9Eh4o3b01VAXtipyyAdnJDlE-PSc4ibZUE25PxR9Dh8QKxxe3ljrdT3ag3ay73aktCpkqF-GsS1bjsJci3E-Zlc-7Y6dyrDX2eguHuDKgSF_IHQFVz0RnGKMw&amp;amp;lib=M-zdWbhavtdZ1B_W2dnFDM0qoVt4lWzJ-"&gt;here&lt;/A&gt;.
&lt;/BODY&gt;
&lt;/HTML&gt;
</t>
  </si>
  <si>
    <t>Z0NZZeTpz5DFl7dhlthy</t>
  </si>
  <si>
    <t>18009-K</t>
  </si>
  <si>
    <t>20195</t>
  </si>
  <si>
    <t xml:space="preserve">&lt;HTML&gt;
&lt;HEAD&gt;
&lt;TITLE&gt;Moved Temporarily&lt;/TITLE&gt;
&lt;/HEAD&gt;
&lt;BODY BGCOLOR="#FFFFFF" TEXT="#000000"&gt;
&lt;!-- GSE Default Error --&gt;
&lt;H1&gt;Moved Temporarily&lt;/H1&gt;
The document has moved &lt;A HREF="https://script.googleusercontent.com/macros/echo?user_content_key=AehSKLhUjcoJ-9C81c87WH2D2gkm1GXICs8-2p4dlmzJObVQdz9z54uaOWwt6RkXjMGm7UfX7-QtAEhlocKMtbr7NgfaEwls0FRkMLvX7DTVURURuGP4bLdUKYXDf8R5nrIJxCYscA-Orp14DHFRD3u2FsgI0NWZHssVE2ub_ygvHnSuifpQLqN5ZpafnUM-E6KgltWH489qWLZytcJbJaPvTrvssJO5QpjuNwl2Qp8N1OxTZzrEtgL7tUN9qVaVfnghsRUSzML_0wFFVNQ8GY3d79CqH_pwGGb2-_bOn19ThnFJBMEIxYQ8zttfxoHXJg&amp;amp;lib=M-zdWbhavtdZ1B_W2dnFDM0qoVt4lWzJ-"&gt;here&lt;/A&gt;.
&lt;/BODY&gt;
&lt;/HTML&gt;
</t>
  </si>
  <si>
    <t>mukK46lstz1nfS8iuMN1</t>
  </si>
  <si>
    <t>18009-L</t>
  </si>
  <si>
    <t>20193</t>
  </si>
  <si>
    <t xml:space="preserve">&lt;HTML&gt;
&lt;HEAD&gt;
&lt;TITLE&gt;Moved Temporarily&lt;/TITLE&gt;
&lt;/HEAD&gt;
&lt;BODY BGCOLOR="#FFFFFF" TEXT="#000000"&gt;
&lt;!-- GSE Default Error --&gt;
&lt;H1&gt;Moved Temporarily&lt;/H1&gt;
The document has moved &lt;A HREF="https://script.googleusercontent.com/macros/echo?user_content_key=AehSKLhPqS9khdbmeuzkkwo8LReV2ZJyFmOAemB4I-QTBu3etbkeGH4S4hoFvSI_9yIMdSeYfY-xO2hfvNGNEuCt_H8_7em4v60MlRfsckBDsUA6ZEleDqb5-cl8MKvbc7nJsGaM3UdlEwHvfQ8JyFdS8pN7KFhhgr0wzRlCB5ZecCG_IjwG9dXYejBaKwqPmtrj0R2z7kPBOoNhmb9Hay6zveMCVLaUWJwJWCaQqgSI6zY6w84tw-dFpktkP9q9UsKD-hXVn_E3lIO8PSKxA1kfjoAN1tUGXL5QbcRUmNphHRMjV1_z4Evm36TtloZrpg&amp;amp;lib=M-zdWbhavtdZ1B_W2dnFDM0qoVt4lWzJ-"&gt;here&lt;/A&gt;.
&lt;/BODY&gt;
&lt;/HTML&gt;
</t>
  </si>
  <si>
    <t>fOw0fF4jQRNAl6E9JAbI</t>
  </si>
  <si>
    <t>18010-A</t>
  </si>
  <si>
    <t>8E00250110260038</t>
  </si>
  <si>
    <t>FITLOG TRANSPORTES E LOGISTICA LTDA / (048) 996277956Informação Adicional: valor total do pedido R$ 19.448,60 - tabela promocional julho 2025 (40% + 10% + 10%)
Frete FOB com REDESPACHO pela Sete Lagos
CNPJ : 03.098.929/0005-17 - End. SP: RUA PEDRO DE TOLEDO, 407 - JARDIM SANTA LIDIA - GUARULHOS - SP - CEP 07140-000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</si>
  <si>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pqx7-L4S8UUlLpnMCmxmCqWNw6fCLKv9vviaTE3jumvp4LYayBXutyr-hDaMqYKlEcL4ei12PCtD44zfZjiKYFwRe0vwnsNtRIip4ZbJV6G9V6cK6sVHqjgUdPQNkNjxWMkM_a27T4Yo84EdyPlAphksueUugvTli3EXvuPO_wJcsB149fYc8FYHs3aYCTVWhhiLRQB-juW6b_xPAjiaLcJRFraxdBDNBFbsKgK06L3GSfbRzhn3v95OUE3ml-CbnyC1Hvg-xCA0ftiZjrqaqwaY80IdSCsarb3wkkGwll8vKDJpum8Y-OtJmNQ&amp;amp;lib=M-zdWbhavtdZ1B_W2dnFDM0qoVt4lWzJ-"&gt;here&lt;/A&gt;.
&lt;/BODY&gt;
&lt;/HTML&gt;
</t>
  </si>
  <si>
    <t>aUq8ur8MVNzKsoWhCQjO</t>
  </si>
  <si>
    <t>18010-B</t>
  </si>
  <si>
    <t>8E00241224040003</t>
  </si>
  <si>
    <t xml:space="preserve">&lt;HTML&gt;
&lt;HEAD&gt;
&lt;TITLE&gt;Moved Temporarily&lt;/TITLE&gt;
&lt;/HEAD&gt;
&lt;BODY BGCOLOR="#FFFFFF" TEXT="#000000"&gt;
&lt;!-- GSE Default Error --&gt;
&lt;H1&gt;Moved Temporarily&lt;/H1&gt;
The document has moved &lt;A HREF="https://script.googleusercontent.com/macros/echo?user_content_key=AehSKLgTNNHhGp5Ca2MmlQcdlpMyZWr00ZzAxVemus2BdknPTqOU8vJTbGUBu8SaVpgJ9fZEJ7trHpPQ6TUx-zs6sThtISCpeV3k_6lcGQZm-STSMF4Cl7f9tlJ2oLTf3l-bBayJfMNYbTCMIbHumbRAGTsRq0sYkWOB4B6OE9YKNpGDdlT8KG75x4RPG_11AY2doIIUGkTBKpz7d45Ubi3P9PLTbWo6FVLQimEs0DxXnAl1YSmxcFPz9EDUK6dt46Nw582i3j8b7_4RsQoK8vRTPGuZI8nThtBJOxZLuTbwjTIPdU3IHVFByNnyxDfVhg&amp;amp;lib=M-zdWbhavtdZ1B_W2dnFDM0qoVt4lWzJ-"&gt;here&lt;/A&gt;.
&lt;/BODY&gt;
&lt;/HTML&gt;
</t>
  </si>
  <si>
    <t>KJ.LwizXRfOR1ErpNN50CA</t>
  </si>
  <si>
    <t>18010-C</t>
  </si>
  <si>
    <t>8F00241118040041</t>
  </si>
  <si>
    <t xml:space="preserve">&lt;HTML&gt;
&lt;HEAD&gt;
&lt;TITLE&gt;Moved Temporarily&lt;/TITLE&gt;
&lt;/HEAD&gt;
&lt;BODY BGCOLOR="#FFFFFF" TEXT="#000000"&gt;
&lt;!-- GSE Default Error --&gt;
&lt;H1&gt;Moved Temporarily&lt;/H1&gt;
The document has moved &lt;A HREF="https://script.googleusercontent.com/macros/echo?user_content_key=AehSKLgA5Kst9KcZrTT2_XnaedrA_P2RFz2bf66ree-pLseZMup0j73d36y2Hdl3_c1N5DMw-MTyTmO7inDRRADwJKVCZKaEs7PX5BwZNW0TBI-WfHuaivdsIiqfXCk75Rk-vhH3ectpOXuUzsC9WlT8K7u2BYpxZG3ackHWTay-XHcdxjJ4VeS_bDksLnv1JZ7WOfxagKGqPPZ596QA3gZQ2TuIHYsxBw5hNbqXPkKfVBEkgyjtoR0EVsro39Mq_BdJ58_VaYVd0RhNU1xO1dTYkjYZ7liV45NH4H1TN9eDaLRkATr9mspRiW8OhZrDdQ&amp;amp;lib=M-zdWbhavtdZ1B_W2dnFDM0qoVt4lWzJ-"&gt;here&lt;/A&gt;.
&lt;/BODY&gt;
&lt;/HTML&gt;
</t>
  </si>
  <si>
    <t>CI6Q96xXLAw7AWb4ZaV1</t>
  </si>
  <si>
    <t>18010-D</t>
  </si>
  <si>
    <t>8E00250214240024</t>
  </si>
  <si>
    <t>MOCKUP-FTi25</t>
  </si>
  <si>
    <t xml:space="preserve">&lt;HTML&gt;
&lt;HEAD&gt;
&lt;TITLE&gt;Moved Temporarily&lt;/TITLE&gt;
&lt;/HEAD&gt;
&lt;BODY BGCOLOR="#FFFFFF" TEXT="#000000"&gt;
&lt;!-- GSE Default Error --&gt;
&lt;H1&gt;Moved Temporarily&lt;/H1&gt;
The document has moved &lt;A HREF="https://script.googleusercontent.com/macros/echo?user_content_key=AehSKLiklgfzx0V1cHam17oeUiJRbqO8syNt8mL4rXEOwgu4vrmQgmg7A0rMhkcKa5hpKAviDll6-ogTZfRtI6K-XJPF6eFiy902ujtFTsmVjNTF8vT-V2HON-aHMW9labDvP2zR40UHJU4SFwclJYJTWkOYAPe7oo4GV3gb-98IA3vgK7PnHygauiYIdac7Mdz6vV9YxNiwenShvTk46BLyJ_iZVGq2vGZV7wD_6YxmixJ_wP17K5w0UqFHCwFEDCL9BBweGTOlZB9mVsAnnyncRQGzFFGUkm7BkAV3kciQTWt99JoR6AoQUVE3mGm3cA&amp;amp;lib=M-zdWbhavtdZ1B_W2dnFDM0qoVt4lWzJ-"&gt;here&lt;/A&gt;.
&lt;/BODY&gt;
&lt;/HTML&gt;
</t>
  </si>
  <si>
    <t>FVS8dwtVQ7tzchQDKkbN</t>
  </si>
  <si>
    <t>18012</t>
  </si>
  <si>
    <t>POOL EQUIPAMENTOS DE LAZER LTDA</t>
  </si>
  <si>
    <t>8E00250208070004</t>
  </si>
  <si>
    <t>TRANSP BAUER EXPRESS</t>
  </si>
  <si>
    <t>AVE9532 - BAUER EXPRESS - PAULO CLAUDIOMIRO SCOPEL AZEREDO - 00568482000 - FIAT / FIORINO / BRANCA / 2014</t>
  </si>
  <si>
    <t>EXPRESSO SAO MIGUEL S/A / (049) 3361-6627Informação Adicional: + DESC. DO PAGAMENTO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</si>
  <si>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VrkmXRcmRj62_nrvS94MeOhgt6lVNtcz9_IIDK1Dkp40DeQLNpJhSHS-J_9l7sbyclYp4rnYz_aztpE1to82FYbePGuLkF8nL37VLf0Bf7GBBJRe6Xz_vjAdWBEGj3gBmcP4QOhFb6bLDJO42xauo3YNmyt-0Npen7keNOl06jRO1bMzHnPdDoaSG0IP77zv1yz1S1NAltncHX5NdZFXVNC7TmjH31hF6C9Azy0zH5gHchkpAFTDy-lD3LQAEdIpru-HDpNaXRsp4w1wAtUwF6RxYpga8O_vO4nVZdMrdgnD7PAi0PTi1L_Q9TA&amp;amp;lib=M-zdWbhavtdZ1B_W2dnFDM0qoVt4lWzJ-"&gt;here&lt;/A&gt;.
&lt;/BODY&gt;
&lt;/HTML&gt;
</t>
  </si>
  <si>
    <t>ODcebKlcQq-X-RKMe1sPHg</t>
  </si>
  <si>
    <t>18013</t>
  </si>
  <si>
    <t>ESTAÇÃO CAFÉ LANCHONETE EIRELI</t>
  </si>
  <si>
    <t>8E00250208070043</t>
  </si>
  <si>
    <t>CLIENTE RETIRA / (0) Informação Adicional: VENDA REALIZADA PELA HIDROESTE PISCINAS / Obs.Interna: VENDA REALIZADA PELA HIDROESTE PISCINAS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</si>
  <si>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X4jrb4tS1ecYXm72kz_HUmxJpITq5RkB7ViryLatC-V6_tWheP2JLAKwJ6JjPoyVMjyip2QMdHctPfNh-Zrj2HWZIvMz6xDV8ep2cLN0MiP1eqpBdoPQbIO9802NFzzHEIYbSHNOj5yBR6ZjikRhbsbGimZsxjyszwQbGVqYyNtLst_ywYLD9YFYyBLJpspeGjRcBYa1WvJ05uMjCAKjruYmxp_nFyYJT37ChnhfTipzlOO7aa6D75x9SlOCPUneQQi33ntxeeZ9avxMsdNdZO_8I95NvtWTab7erX9oRzWdlW0lsojuJni9mw&amp;amp;lib=M-zdWbhavtdZ1B_W2dnFDM0qoVt4lWzJ-"&gt;here&lt;/A&gt;.
&lt;/BODY&gt;
&lt;/HTML&gt;
</t>
  </si>
  <si>
    <t>4iBzCTjiR4Oy0txqU2eKqQ</t>
  </si>
  <si>
    <t>18014</t>
  </si>
  <si>
    <t>FRANCA PISCINAS</t>
  </si>
  <si>
    <t>8F00250329050009</t>
  </si>
  <si>
    <t>CSK6664 - RODONAVES - RAFAEL DANIEL DOS SANTOS - 06781127977 - VOLKSWAGEN / 15180 / AZUL / 2010</t>
  </si>
  <si>
    <t>CLIENTE DEVERIA TER RECEBIDO UMA FTI75 E RECEBEU UMA FTI105, APROVADO PELA PRISCILLA O CLIENTE NÃO PAGARÁ A DIFERENÇA, E FOI SOLICITADO AJUSTE MANUAL NO SISTEMA.</t>
  </si>
  <si>
    <t xml:space="preserve">&lt;HTML&gt;
&lt;HEAD&gt;
&lt;TITLE&gt;Moved Temporarily&lt;/TITLE&gt;
&lt;/HEAD&gt;
&lt;BODY BGCOLOR="#FFFFFF" TEXT="#000000"&gt;
&lt;!-- GSE Default Error --&gt;
&lt;H1&gt;Moved Temporarily&lt;/H1&gt;
The document has moved &lt;A HREF="https://script.googleusercontent.com/macros/echo?user_content_key=AehSKLi4ovSVZGnF6VY3OCzW-00uKLPfajtupurPCE3h3PZOI6H-GLeDz0uriLWcGEMAURfg_xZ--SKgAJ6SFaDfTE2e86LnNTQIa2KxlduHfmAWqP06D_oh4lF0WYMPkMTUY7gfoDabR-LdpnC43LKzD1eXfhgog4JMNud8X6xF0yy0V5i5e2344hIYNtV6aJ022Zp_-AHsLdf_LRFJ2MWWIJODjbc_pniB5hIjkYbhhmJj6wkI45nz2flZYQHmqFuqWFUwB3-kTP_uXMMlv7c9UZwk-x7CHtDISJEcxphONBglObZe9SwlXgglc-LSXg&amp;amp;lib=M-zdWbhavtdZ1B_W2dnFDM0qoVt4lWzJ-"&gt;here&lt;/A&gt;.
&lt;/BODY&gt;
&lt;/HTML&gt;
</t>
  </si>
  <si>
    <t>a.QSPdaNwTAaZnZlEVdG6eQ</t>
  </si>
  <si>
    <t>18015</t>
  </si>
  <si>
    <t>8F00241225080014</t>
  </si>
  <si>
    <t xml:space="preserve">&lt;HTML&gt;
&lt;HEAD&gt;
&lt;TITLE&gt;Moved Temporarily&lt;/TITLE&gt;
&lt;/HEAD&gt;
&lt;BODY BGCOLOR="#FFFFFF" TEXT="#000000"&gt;
&lt;!-- GSE Default Error --&gt;
&lt;H1&gt;Moved Temporarily&lt;/H1&gt;
The document has moved &lt;A HREF="https://script.googleusercontent.com/macros/echo?user_content_key=AehSKLjpUCjN3Mt0feLhv5sgWOwph5XbtlqmSrGuKkjFTn0Qt-FI_Bbur7T3Acf8oAi5_aMxIGlC07Ae7TSzMEJ3_7dzvVtbq8vDBYswxZq8Fq1XufJVM2J5oDeswT133dmqzoBYXeZwujxM6JFaGoyM7Q4zPtXEHXdbm6ZlmI8zNTUCtOQChpLocaLVbc1VPXy3kyc7M3h5W13JRyYGcX3KvEDl0WlpfOoYAENuq3BTyninSsoNyUIk4wxRAHlvjg2eEw9YkATvF8az-1A4IiQiy3t40SlDnBtOqsJQHHK_l3UiJWgQVdSJFdSYd_gtMw&amp;amp;lib=M-zdWbhavtdZ1B_W2dnFDM0qoVt4lWzJ-"&gt;here&lt;/A&gt;.
&lt;/BODY&gt;
&lt;/HTML&gt;
</t>
  </si>
  <si>
    <t>Na9GNBf3QHqu5SXGQSq4xw</t>
  </si>
  <si>
    <t>18017</t>
  </si>
  <si>
    <t>FITLOG TRANSPORTES E LOGISTICA LTDA / (048) 996277956Informação Adicional: ALTERAR CONDIÇÃO DE PAGAMENTO PARA 30/60/90/120 DD (autorizado pelo GV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</si>
  <si>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jq4i_iEipob_DJKgH9Rj3QCyiWIxxZkGaZCFxJkmMvdfLOrSCKYjUhfRiV93WdegRNX0MCOlP-ZiA93cX8YeKwatUwVOI20lP0NKQlZeO5qQjaWM27V1doGiORzl-y80BQUL452kfhWRRj7mx4Qe5Ntr82gSltrQ2D-Xc5RBHY7cvEvy0C_KC8OQW5tRvqI_fAOVyaiSedzSJH1vjmu0r-Mrk6_v35i2KWykdefrM_Gx-cdrKEq1AE9U1stzJGBixVsdNMCO274KWn7F6hP_1q06CFrfRpQ2-c6xbFuPSSJGM5A8sBqsBNykLAQ&amp;amp;lib=M-zdWbhavtdZ1B_W2dnFDM0qoVt4lWzJ-"&gt;here&lt;/A&gt;.
&lt;/BODY&gt;
&lt;/HTML&gt;
</t>
  </si>
  <si>
    <t>dnREoUCZT26y2L2hgJGHKw</t>
  </si>
  <si>
    <t>18018-A</t>
  </si>
  <si>
    <t>BOA VISTA EMPREENDIMENTOS</t>
  </si>
  <si>
    <t>8E00250208070002</t>
  </si>
  <si>
    <t>CLIENTE RETIRA / (0) Informação Adicional: VENDA DO CLIENTE SOLTEC COMERCIO DE PISCINAS DE BRUSQUE / Obs.Interna: VENDA DO CLIENTE SOLTEC COMERCIO DE PISCINAS DE BRUSQUE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</si>
  <si>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82NznaAfcrpxI8o8McfsMEwR5BBBsOqLB-DSY1V3uP0l0Htfyl3Cn1UKR12L3HmdRwu56qKDPZenmBmbZqe0QF3GDUg7MwdgVXBDS8pk3lEALZxK4l1O3HmyL6WMxA85_C9Z97oGXyUmCer3VvrXTqrW58sUJMpo6rGKI7YE5VmQOfu7DYIhOd7Tvim188oAy7azzJGnMQ6Ea5ztXiLSN9Eod9djAC0AArG9SewWjlX-dhsg35AJR-M7os17RbGXKkhu2_q6QJ5ndxkT3mPr7jvLb_UK6iI3dE9RGQTSoMEmL3JfoV-QYCylVXg&amp;amp;lib=M-zdWbhavtdZ1B_W2dnFDM0qoVt4lWzJ-"&gt;here&lt;/A&gt;.
&lt;/BODY&gt;
&lt;/HTML&gt;
</t>
  </si>
  <si>
    <t>4126spobQfy-56.kaoMLAA</t>
  </si>
  <si>
    <t>18018-B</t>
  </si>
  <si>
    <t>8F00250329020008</t>
  </si>
  <si>
    <t xml:space="preserve">&lt;HTML&gt;
&lt;HEAD&gt;
&lt;TITLE&gt;Moved Temporarily&lt;/TITLE&gt;
&lt;/HEAD&gt;
&lt;BODY BGCOLOR="#FFFFFF" TEXT="#000000"&gt;
&lt;!-- GSE Default Error --&gt;
&lt;H1&gt;Moved Temporarily&lt;/H1&gt;
The document has moved &lt;A HREF="https://script.googleusercontent.com/macros/echo?user_content_key=AehSKLiFDyQpZbdvZ34S3PRLx9r8lP7WqKldf_fuiU1Mjm3ciFvrNqTJyJJ3X2NvdnyXWcT2onWwf6uul9qgxzuvdTrViCJSvx2wXubEV3XeTOlbBglPn4LvTvqAanYIUOs4qxcYVw5ZoX4plE6XJ6Z-yHtjBDEFqsRB040b6QPGwzR3osTNxVHPcrM8GSsm_CGM_kVqhZphMugV5tfqOXM3i8-Tr8p45FxMB3u-rsRpfrDQu-CrZDoi1bZcWm9T01gw-BWpgHu82aSe1ClVg90ITmpfM9N1X3Wg7nRGkbp7TwcV01pgLuVRtk9fJrmohw&amp;amp;lib=M-zdWbhavtdZ1B_W2dnFDM0qoVt4lWzJ-"&gt;here&lt;/A&gt;.
&lt;/BODY&gt;
&lt;/HTML&gt;
</t>
  </si>
  <si>
    <t>sOF99AiTgYXLQwCs0Omq</t>
  </si>
  <si>
    <t>18019</t>
  </si>
  <si>
    <t>8F00241118040035</t>
  </si>
  <si>
    <t>FITLOG TRANSPORTES E LOGISTICA LTDA / (048) 996277956Obs.Interna: Foi concedido desconto adicional de R$ 352,60, devido ao frete FOB enviado no pedido anterior N° 17965.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</si>
  <si>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0N-TfErSl4o4SjluSgj8yoMsEG4rFvNEdZlT2Yen9xCa2TAT7XvIKK8m5FuP2PEz5jNG14g-rRFgfTrgmOYhMt56OKzhxytRxTam3y__DKvZ9TPJF1Zl5PF7hYI_bBM9A-HV58X8mWEHEy-AjS1TA9wsJKAHMqitMavJgW_KFrxz-W5WrBocaWeW775cRSNs7tuaFWxc84YZ_0SDcA-5ifBlmcggVy07A_xs-YbUH6IQ87pTu6OP4XgFOyWM0cU-Y-x5lAv7hHrWAQBk2X-lL0xS1AAKVCy7930YUpohTV2zvuRkR2-1W7ju2KA&amp;amp;lib=M-zdWbhavtdZ1B_W2dnFDM0qoVt4lWzJ-"&gt;here&lt;/A&gt;.
&lt;/BODY&gt;
&lt;/HTML&gt;
</t>
  </si>
  <si>
    <t>qIELDef6SYaJKn.qEscRsA</t>
  </si>
  <si>
    <t>18020-A</t>
  </si>
  <si>
    <t>8F00250110300017</t>
  </si>
  <si>
    <t>FITLOG TRANSPORTES E LOGISTICA LTDA / (048) 996277956Obs.Interna: Cliente tem extrema urgencia na maquina FTi 125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</si>
  <si>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MW90aiujiloWvnts6eDndYWma3PDTxXiImx3I6f9u87xjJ1IAUSUycPb8RuUR1j9rhNFKXypQyV8M4YM317to7gtxo_6mkyVw6oELplRqCAO0PZeQZba1T1Ki4-VKo_bm6zIJfjsxSIxaVvmOOV31rEauBts8ZesnP2Y6yRXk08_qzPDhk5ATIINT3wIvJNK5q8wxlxugEjGQ0UlByxoHBu5ZtX1BEc8XKLWtCgqEq3uQxyeL4Jx1Xrhl7MtRjWpNzusibYkZda7cex_4hDozEhVbaRplFd_kyxpFFRXZmrEVLJ7rUKuR9NLoKg&amp;amp;lib=M-zdWbhavtdZ1B_W2dnFDM0qoVt4lWzJ-"&gt;here&lt;/A&gt;.
&lt;/BODY&gt;
&lt;/HTML&gt;
</t>
  </si>
  <si>
    <t>mhdOlxS8TjWr7Qm8lhkkqw</t>
  </si>
  <si>
    <t>18020-B</t>
  </si>
  <si>
    <t>8E00250110260033</t>
  </si>
  <si>
    <t xml:space="preserve">&lt;HTML&gt;
&lt;HEAD&gt;
&lt;TITLE&gt;Moved Temporarily&lt;/TITLE&gt;
&lt;/HEAD&gt;
&lt;BODY BGCOLOR="#FFFFFF" TEXT="#000000"&gt;
&lt;!-- GSE Default Error --&gt;
&lt;H1&gt;Moved Temporarily&lt;/H1&gt;
The document has moved &lt;A HREF="https://script.googleusercontent.com/macros/echo?user_content_key=AehSKLhdxztrQs-WU1Sf0aMcUnC-hZbjEj0L6PhHaf9Z9NkWhnr9A3A1skoO1_-WJpW2AkK-dksS5DqYUk9fF-g80s86LT4ONsUin90U4NjX7T1VI3n8Fw0Cl_yqNSAWsGY96p2M_EXKLbql0gpVU8cgkU22chAMD_hAF5gqPaCtyYj6VTz9KUzg4v7ztWCdm6YdRkAhMSw8xK4SFFn0Lc9Qe3dfbMwW8V-Q9sJrRaEhKrITXyUZmWrZz_JluUU4VBx40QWhK8INxx_Niic2ZviPTyRoWKcDotWeJX3F64esRvt_RwwPya7ZIpflmKH33A&amp;amp;lib=M-zdWbhavtdZ1B_W2dnFDM0qoVt4lWzJ-"&gt;here&lt;/A&gt;.
&lt;/BODY&gt;
&lt;/HTML&gt;
</t>
  </si>
  <si>
    <t>89s0JEIJn9Q4OvuwNDAa</t>
  </si>
  <si>
    <t>18020-C</t>
  </si>
  <si>
    <t>8E00250110260031</t>
  </si>
  <si>
    <t xml:space="preserve">&lt;HTML&gt;
&lt;HEAD&gt;
&lt;TITLE&gt;Moved Temporarily&lt;/TITLE&gt;
&lt;/HEAD&gt;
&lt;BODY BGCOLOR="#FFFFFF" TEXT="#000000"&gt;
&lt;!-- GSE Default Error --&gt;
&lt;H1&gt;Moved Temporarily&lt;/H1&gt;
The document has moved &lt;A HREF="https://script.googleusercontent.com/macros/echo?user_content_key=AehSKLgcPqFFXw8-WaknsKSHZXdP-1uh84Nkj3Zx3CLHJKqr3ApLiwP-F_20nM15JjFW7NBfeDOQWX4lGVakAR80Nv5PPOn6SWLGsmi8eCYN3Wu5f4lNn1fHkQ5SXGrGQuWAo-OnWyrpGBL34YjY4cAY0Ik9RgrsmMaHNAMT5Sh_yuohFvTcl_eAPNxiX-jBM0Ta8WaVcJE-dGwXt61JNPKqiFm7R9QAU-zDM5s3WWOMXpBrIqZ2VBnytwlXeAT-AIWALbzmKe7FjWoEegNAR5B3jbc-seRIJgntTk9fc3bmbmUaDFnkTITKFhrZbtupCA&amp;amp;lib=M-zdWbhavtdZ1B_W2dnFDM0qoVt4lWzJ-"&gt;here&lt;/A&gt;.
&lt;/BODY&gt;
&lt;/HTML&gt;
</t>
  </si>
  <si>
    <t>LvBPKRMOcN6dhWeftd8d</t>
  </si>
  <si>
    <t>18020-D</t>
  </si>
  <si>
    <t>8F00250329060016</t>
  </si>
  <si>
    <t xml:space="preserve">&lt;HTML&gt;
&lt;HEAD&gt;
&lt;TITLE&gt;Moved Temporarily&lt;/TITLE&gt;
&lt;/HEAD&gt;
&lt;BODY BGCOLOR="#FFFFFF" TEXT="#000000"&gt;
&lt;!-- GSE Default Error --&gt;
&lt;H1&gt;Moved Temporarily&lt;/H1&gt;
The document has moved &lt;A HREF="https://script.googleusercontent.com/macros/echo?user_content_key=AehSKLhm4HiASgHfe_irQQn5M149qgTR7SBkjJQw6Ju-6NQbcXgYoyGHjFapVdmw5BlZKc4NRifgI5Tl4n0gBzZKkM0COZniCf55OKTEPrvFlmEhMCQCEhqNjKUqkunXRruDtkFfbV1O4A2YFqrew_bOHIjJoxEChuVpEHrDcoGCuuEqU3giSvAGNHGPBj1h2hNLz12AFvutw2J0p5ZC5eUM-dWJVY4_4AAJnsdCxCA-6qe8DbpPxe39XLlLajEPvJlCUfz-_2ZUCSLBTXPCdN9WTG-GVtXlQhEdAfJb6cIe_37pAxi2_Ar-tMzGXOxAaw&amp;amp;lib=M-zdWbhavtdZ1B_W2dnFDM0qoVt4lWzJ-"&gt;here&lt;/A&gt;.
&lt;/BODY&gt;
&lt;/HTML&gt;
</t>
  </si>
  <si>
    <t>eLtkYFKdjLGvf4VY6fts</t>
  </si>
  <si>
    <t>18022</t>
  </si>
  <si>
    <t>8F00250110300016</t>
  </si>
  <si>
    <t>FITLOG TRANSPORTES E LOGISTICA LTDA / (048) 996277956Informação Adicional: DESCONTO JULHO 10% + 3% PREÇO FINAL R$9.609,11 / Obs.Interna: saida urgente  hj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</si>
  <si>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zVN4ENHF5ikV_IcRNnpzdGkLkCz3rIsMz9EY9vcDorLlGnvisHzZjLzZgbkvPicaBE1Rv3LoBMu4G8gtXOtb3dmtumDNOXpY24ylVvvP5qHH-lCmYK6NyZJHYCRLTt46bhTocwDF0y2a0n224F_yhBBjJoySO-Izf0esO9QgZpuzysfuMd3Tjr5n95n1J-tkq5DFdzqziRxtpVDvlpg_imPUDWbGNOVcJ1fWb2tES-YS_imC_XAw-1DljafKqZDl_yLa0lKvJCIXxaW5MlqylcrCbVHhZUIXXpFOWGHpzsIt3bltemiC1FrlKDw&amp;amp;lib=M-zdWbhavtdZ1B_W2dnFDM0qoVt4lWzJ-"&gt;here&lt;/A&gt;.
&lt;/BODY&gt;
&lt;/HTML&gt;
</t>
  </si>
  <si>
    <t>Q7vajVYyQ3WjCqQdEB.FTA</t>
  </si>
  <si>
    <t>18023</t>
  </si>
  <si>
    <t>8F00250329050010</t>
  </si>
  <si>
    <t>EXPRESSO SAO MIGUEL S/A / (049) 3361-6627Informação Adicional: VENDA TRIANGULAR / Obs.Interna: VENDA TRIANGULAR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</si>
  <si>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pzs0DIQMtAU-oqNpgzOTBpiZA3iLeXnVQ3IzLwvuw0PcHUSuDkztP5PUWV3u1ut70YKeVY-_tnSnx3JNmr6Mlkmfb0cCgwp1oCMdK3va3Dz-pH1T4ymZWMcuA7avIQwzVmrm_M2sTZnOEMGaRoHzZ3be9QfmGOxe0NLL9Bjj-f7zm9u_G06BmNrVEnK9lDl02XZhWIJT9mq05OJxvFJ57y7lKKNJ3pSqv_2zNizhjYzrYEdfq_6qIFlanhv8Zo1soVrCKt2YqfxvE4zlKkA81FNdP1Yvyqw3kyXQzrYpq-ns97xBXnnM-3ULXQ&amp;amp;lib=M-zdWbhavtdZ1B_W2dnFDM0qoVt4lWzJ-"&gt;here&lt;/A&gt;.
&lt;/BODY&gt;
&lt;/HTML&gt;
</t>
  </si>
  <si>
    <t>8pTpp3qOS2mfodknpd-.oA</t>
  </si>
  <si>
    <t>18024</t>
  </si>
  <si>
    <t>8E00250208070001</t>
  </si>
  <si>
    <t>FINALIZADO</t>
  </si>
  <si>
    <t xml:space="preserve">&lt;HTML&gt;
&lt;HEAD&gt;
&lt;TITLE&gt;Moved Temporarily&lt;/TITLE&gt;
&lt;/HEAD&gt;
&lt;BODY BGCOLOR="#FFFFFF" TEXT="#000000"&gt;
&lt;!-- GSE Default Error --&gt;
&lt;H1&gt;Moved Temporarily&lt;/H1&gt;
The document has moved &lt;A HREF="https://script.googleusercontent.com/macros/echo?user_content_key=AehSKLiNJzYpBdPQw2aKHVz-eQqiX82dJa2zlU-LHnpyqvxeF5D3utDqEbPZRXSIzF9mbQC1kyI8tbECz9j1qpPdN_pIKb4Fd08kN-LJK5THjBVCbZ7uXLGtQLV0mJYonXV6e_x3DFYgXVqfmBZscIMmgjxwu3yjlrFXX6Gd4zaKiu68yLWvM5-1oIaBBupg3DWrMe_l3bH3ln4NYLFN5OGdD37SCf_osjhW2_aqcDBkZdQDBc_ZLOOyJXgfo5XRNXKcPQmOuV_zxcRdIJAcVbJDQn0XvPimuZVq7yczKA9mdEwy5uzKlFiW4AO2rkggFw&amp;amp;lib=M-zdWbhavtdZ1B_W2dnFDM0qoVt4lWzJ-"&gt;here&lt;/A&gt;.
&lt;/BODY&gt;
&lt;/HTML&gt;
</t>
  </si>
  <si>
    <t>7x2xuDHlSyOhvQ4xuQo8dw</t>
  </si>
  <si>
    <t>18025</t>
  </si>
  <si>
    <t>8F00241225070001</t>
  </si>
  <si>
    <t>MIN4C14 - RETIRA - MARCIO BEDNAREK - 99241560053 - I/JAC / PASSAGEIRO AUTOMAVEL  / PRETA  / 2212</t>
  </si>
  <si>
    <t>CLIENTE RETIRA / (0) Informação Adicional: PAGAMENTO COM BOLETO PARA O DIA 15/08/2025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</si>
  <si>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QA7yOczx31NZ1vz9kEkPhYwg48EewQs9JklJTOBgDmgO-dlJKa8WG2iMW3RG_ar_GP0vRwRgymrQ2Emuk6ePXg3yfIoMG85ZMjc4dHWyzrFJQNn1TO2HKK5rx2Ksup_F4pSWiWo1Mu5nILz_j_Tw7UI7sLGFlJ-XA64Ko9nBc8x3XmYINmXSVJVo2MQ6f_DRvPJC5u5jvoFdFSymbJML5d9RbCGVb8-iK2pDUidokP9mGCgB7YNmvjjDLSUDXxp16-gXDSjj5xzc9PL9dKPCg6mKW8OQhbQHcSPZethLwNHokOd8EP66UZ8fClA&amp;amp;lib=M-zdWbhavtdZ1B_W2dnFDM0qoVt4lWzJ-"&gt;here&lt;/A&gt;.
&lt;/BODY&gt;
&lt;/HTML&gt;
</t>
  </si>
  <si>
    <t>cI-mhCyZSYS1XAuXzkve4A</t>
  </si>
  <si>
    <t>18027</t>
  </si>
  <si>
    <t>8E00250110260039</t>
  </si>
  <si>
    <t>FITLOG TRANSPORTES E LOGISTICA LTDA / (048) 996277956Informação Adicional: EQUIPAMENTO EM SUBSTITUIÇAO- OS 250165 - UMA VEZ QUE A MAQUINA  APRESENTAVA PROBLEMAS E ESTAVA COM O GABINETE AVARIADO . CLIENTE FINAL USOU O RECLAME AQUI- PARA RECLAMAR - SUBSTITUIÇAO COMERCIAL .  / Obs.Interna: sem cobrança e sem comissão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</si>
  <si>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EM93OrQJ813U8RfwJG9MjhCLcNXVnaUSwTKm4A7DJOLS3y7LaIbZEkRHz3wzFzl6rfQOgwP7-0EahGv_2HLyWYb_d1YMBrSq337mP0o7SpI3kw7eg-i_nkfZXKPquLCwCGEudReyJk28LcOzUlXkQ__iIr136pwadqF8XYgOzCtmtOeXG2brIiJm1OvTjvLunMQenjoQb5QCGKexkYv3_WMiUE4SGeV3HegCK9gbgcB4goJTsxCc9XV-Zc1Hb8nFkeRp6sNFH8S1TYHE1VxgVGWWaCWu1oq1nIcqLwLz8m_nAxKG7uSYcp8bfoA&amp;amp;lib=M-zdWbhavtdZ1B_W2dnFDM0qoVt4lWzJ-"&gt;here&lt;/A&gt;.
&lt;/BODY&gt;
&lt;/HTML&gt;
</t>
  </si>
  <si>
    <t>wNKtcUlaQEellYkidc0bYA</t>
  </si>
  <si>
    <t>18029-A</t>
  </si>
  <si>
    <t>FT120B35</t>
  </si>
  <si>
    <t>FITLOG TRANSPORTES E LOGISTICA LTDA / (048) 996277956Informação Adicional: Item mono, valor errado no sistema valor tabela R$19.521,00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</si>
  <si>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aAWa4lakpsbpZyDJyamr8gRSgogQtXYFKwmOL6Wx5_nrwc66b5dDnG_oktmpLxdSbxzPFOKxCCXp4Qz7BrD41PdMSpHhWpLlL2lisvQD2AZAiXQFWMYmbqaS9izgvGExdFE7HshLBR0PgAjMw2SQBgzKg5qjIouFISn37n3OnzZAhWK3qQpn53a-7b3_lefkmawck-79LYg6p5CBAisGjdNxbnDII8a3GSUOvtHObvQm-5ykbK7Zar5AVMlQShGAReCTbaYhgCT8i3aNl4Xt_S4Vzl05GxUoaaSL4XKk0JAccGTNIjv5lhlN8VA&amp;amp;lib=M-zdWbhavtdZ1B_W2dnFDM0qoVt4lWzJ-"&gt;here&lt;/A&gt;.
&lt;/BODY&gt;
&lt;/HTML&gt;
</t>
  </si>
  <si>
    <t>K68Hq1t0T36Oc2KohHetFA</t>
  </si>
  <si>
    <t>18029-B</t>
  </si>
  <si>
    <t xml:space="preserve">&lt;HTML&gt;
&lt;HEAD&gt;
&lt;TITLE&gt;Moved Temporarily&lt;/TITLE&gt;
&lt;/HEAD&gt;
&lt;BODY BGCOLOR="#FFFFFF" TEXT="#000000"&gt;
&lt;!-- GSE Default Error --&gt;
&lt;H1&gt;Moved Temporarily&lt;/H1&gt;
The document has moved &lt;A HREF="https://script.googleusercontent.com/macros/echo?user_content_key=AehSKLh2zr6Qa7LXoxzFfCZpYCJzHlHCgFW-_sh0OW_I4H7Jf5aWsbxBfvj27j0_2pO-6ZHQtpfbJbzlHu7B7jMP1LH5iHDYWVfIXMvh149PWDrFFxPqrvafARvG6JuQFfTe0WIOtbo4o6jHqsW37hARO1XXIPrmCEkwS76mJpkBUuUY_HV6BNdpYK-MoE03MeYrbxV-pGBFKtnUx-5vcnvhvUxOCRjcKr79QdDnBNM1Rwf9UngVwZEL0BVd44LIr09SeVwRO193omPuMmTULZ7v1dUP7H0EUL4-92jBUQ6SNRGRulM5ZOmIgtO5Alj8Lg&amp;amp;lib=M-zdWbhavtdZ1B_W2dnFDM0qoVt4lWzJ-"&gt;here&lt;/A&gt;.
&lt;/BODY&gt;
&lt;/HTML&gt;
</t>
  </si>
  <si>
    <t>sGFDP6fSn5cHNhTxAKyS</t>
  </si>
  <si>
    <t>18029-C</t>
  </si>
  <si>
    <t xml:space="preserve">&lt;HTML&gt;
&lt;HEAD&gt;
&lt;TITLE&gt;Moved Temporarily&lt;/TITLE&gt;
&lt;/HEAD&gt;
&lt;BODY BGCOLOR="#FFFFFF" TEXT="#000000"&gt;
&lt;!-- GSE Default Error --&gt;
&lt;H1&gt;Moved Temporarily&lt;/H1&gt;
The document has moved &lt;A HREF="https://script.googleusercontent.com/macros/echo?user_content_key=AehSKLi1YS_w6uTd8r1w7w90QU0uzDbDfrod5Cg2b8R494JotwRb9mNpqiCm8cksXVmaQpUtKuoVV9Lw3Wi-DXOmF4XtsjozMXLlTFjHtMQt89NOcNdypyHzXh6n8W6aYdIiabNX-mbvpoycQNdoxT5ODkq_lOY5h8SdnHy1A46Krqldakugt7_xfhc0_A6lh-GbEjpzD6T9IoMDY_I0psusC1Chh9ar53D0s872OOzi-M1OD2nvAtxGARPdiuTJ_QYkDWjY6JYFHCAleVh8HGXZuUDqpw9NiN1eLMKnkObbI2F1gjMhUHhcc6P1szw15w&amp;amp;lib=M-zdWbhavtdZ1B_W2dnFDM0qoVt4lWzJ-"&gt;here&lt;/A&gt;.
&lt;/BODY&gt;
&lt;/HTML&gt;
</t>
  </si>
  <si>
    <t>LanKojDIZJlBhMkBwY6Z</t>
  </si>
  <si>
    <t>18030-A</t>
  </si>
  <si>
    <t>8E00250110260036</t>
  </si>
  <si>
    <t>BDI3A97 - RETIRA - DINO DE BONA  - 83865136915 - CHEVROLET / MONTANA / BRANCA / 2020</t>
  </si>
  <si>
    <t>EXPRESSO SAO MIGUEL S/A / (049) 3361-6627Obs.Interna: PAGAMENTO DIA 01/08/2025
DINO RETIRA NA FABRICA 29/08/2025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</si>
  <si>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kE6Anus32GY_5Doj3LyjXkC0A9G4FaPOaPt4FjAKwh1nSPK3Fh7PgWWEnXAs55_mA8gSymwGHLQTjU2fFEIvyxcPV-oHWU2XU7z7_leJOFJt1IvY46bunahD6XChoDL9egitxyYJsChWbmQDlE6X88zKDdkkgda3qlW9RsKX-vQL2mZHLmRmsTMht5FT5lsWT4EYdNUwepKPb4CvDR9N-zJgA1-2TrF4Sbc0OfXxyZ3Ka0wZZmMSEHFMR4vuJxHA_JzyT4uytHO0woW1mOOxtpVke4TFjM1CgpE_jI_2j3ET-ggCiNRErEmP7Fw&amp;amp;lib=M-zdWbhavtdZ1B_W2dnFDM0qoVt4lWzJ-"&gt;here&lt;/A&gt;.
&lt;/BODY&gt;
&lt;/HTML&gt;
</t>
  </si>
  <si>
    <t>SVIJpt.uQBCjIIgBEKj3Bg</t>
  </si>
  <si>
    <t>18030-B</t>
  </si>
  <si>
    <t>8F00250110300019</t>
  </si>
  <si>
    <t xml:space="preserve">&lt;HTML&gt;
&lt;HEAD&gt;
&lt;TITLE&gt;Moved Temporarily&lt;/TITLE&gt;
&lt;/HEAD&gt;
&lt;BODY BGCOLOR="#FFFFFF" TEXT="#000000"&gt;
&lt;!-- GSE Default Error --&gt;
&lt;H1&gt;Moved Temporarily&lt;/H1&gt;
The document has moved &lt;A HREF="https://script.googleusercontent.com/macros/echo?user_content_key=AehSKLjSk_rfXe-qeNkpxtgVK_JJsFRRS9R7oPXzF4TeE55eE7UeqeyrDaipMGt47eCHnOLO20rXz69KgnqYaJodBH0dCV0Lvk7GggL0nR-0S7KlZqZ-bOQgz_0PUBfrOO39J2afESTC7_L4RMnQHwAmbRP7Wp4DGXiJUJor1CHb1HZIQGI-5EaW8m3yFqeogoNmMSDnWDVS6eScVA4W6ivTMh3Nv9P0vKxY9zK6jkFM6AU_we9ItBpFrLZJLqT2G2yz5obr1Bplmx5nx8qkFSkGjq6shTfUH2RS5Gv6xZ7Sww11FBW3OSfSy7j6jAlR2g&amp;amp;lib=M-zdWbhavtdZ1B_W2dnFDM0qoVt4lWzJ-"&gt;here&lt;/A&gt;.
&lt;/BODY&gt;
&lt;/HTML&gt;
</t>
  </si>
  <si>
    <t>O0lrdO0WXsLppmPN9I4z</t>
  </si>
  <si>
    <t>18031</t>
  </si>
  <si>
    <t>8F00250329060024</t>
  </si>
  <si>
    <t>EXPRESSO SAO MIGUEL S/A / (049) 3361-6627Obs.Interna: DINO VAI RETIRAR DIA 29/07 NA FABRICA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</si>
  <si>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JntRIxHb_4P5Qaj5WzMLZvqw6IMQgLUt-LEf5d3-ADX7axNoAmT1t1eYk2hE8ZLBhXVGa4cgFQ9skvpHLlSUhEH9FovhPUokMrE47UekyIHPcJYJmX93LWXJnBJ1h6MCp5-aPH3kG54jWRTgJuPYb2ZH9UdxZK-aC9RCRgNOs9wAr7Nu2jGIxZF1pYNoC7aE6UVk-U6fgMR0NktvqP8opCENu1nRIwLOtMw-lHdP1XmEP0BA1hNGEWu09weTu7ut7PQnGzLEFWTsHLBsXTYaMj9gQTldEcAw3LKCMSMlIZHNjtwOMvVsUUO6wFQ&amp;amp;lib=M-zdWbhavtdZ1B_W2dnFDM0qoVt4lWzJ-"&gt;here&lt;/A&gt;.
&lt;/BODY&gt;
&lt;/HTML&gt;
</t>
  </si>
  <si>
    <t>uhFzjGq2TJiYdw9A-XX2Bw</t>
  </si>
  <si>
    <t>18033</t>
  </si>
  <si>
    <t>8F00250110300020</t>
  </si>
  <si>
    <t>FITLOG TRANSPORTES E LOGISTICA LTDA / (048) 996277956Obs.Interna: FATURAR URGENTE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</si>
  <si>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XhM26VM2rhHPqQEmJQlOAl6_E9whNzSlLe_XMRSL4Z6xRySDc8EPNL-HexpiLH_bxcQXKfebPxca5eTCg9_dtxN2VGz4cjK71WfTZ0JhIm9kikx5WeC8zMUOtmAUg6PwhPjLTZsT_wy1VnuBurtepaYjBBwUWVpWOZF6974RYHukCynQxcP90SkKxG_2QqvBE5lnMieEIUoeR8nxobIYV68ki707NIutjISrBkfMxpZKNk5gC55teIgN8yaVqqHGSWWT1AMsCpr9fEU28RY9byBgzAnVKTpJd31iUdxBM4tHZDLC3P9s-oG_9pw&amp;amp;lib=M-zdWbhavtdZ1B_W2dnFDM0qoVt4lWzJ-"&gt;here&lt;/A&gt;.
&lt;/BODY&gt;
&lt;/HTML&gt;
</t>
  </si>
  <si>
    <t>3P-igSqRR962UP2grfvsJg</t>
  </si>
  <si>
    <t>18034</t>
  </si>
  <si>
    <t>8F00250329020003</t>
  </si>
  <si>
    <t>EXPRESSO SAO MIGUEL S/A / (049) 3361-6627Informação Adicional: '' CONDIÇÕES DE PAGAMENTO 15/30/45/60/75/90/105/120 '' / Obs.Interna: R$8.316,00 para cobrir as parcelas adicionais do prazo estendido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</si>
  <si>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qWmlyL3VIVTXFuz3Xn0BHp-WrJqB9JGNJnc24b1lD1pAAWE0S7VtHkDRsZsp25--kDuvWd7-7dEIRAQd73QHlI13kXQ_Im3ZrG8guNLEjH6SmEjTWnOfpDPAjX4vF3rxa7NDAGHzxrydTMxIISSTIRYFMLiS13d-7qGoamSwjGSWOXVfDcJR74nRC1jsqufCRSwaD6XXodNCiYhEKUnWPIu5LP7UKhGQWzq2T3ppEXN6uOUyxW3x6WzQthNrZTZXQNjToUw4L19aEwJrkPf9sGOljzxSa2a_QIgKFUWYUP-olqfFMhLadXSVHMw&amp;amp;lib=M-zdWbhavtdZ1B_W2dnFDM0qoVt4lWzJ-"&gt;here&lt;/A&gt;.
&lt;/BODY&gt;
&lt;/HTML&gt;
</t>
  </si>
  <si>
    <t>XIfHz8qXQ7iIrsgQ4k3pKw</t>
  </si>
  <si>
    <t>18035</t>
  </si>
  <si>
    <t>8F00241118040046</t>
  </si>
  <si>
    <t>FITLOG TRANSPORTES E LOGISTICA LTDA / (048) 996277956Informação Adicional: ATENÇÃO - ENVIAR EQUIPAMENTO PARA TROCA (autorizado pelo GV Mário) O.S 250241-DEVOLUÇÃO MAQUINA QUE ERA PARA TESTES/FEIRA  PRECISA RETORNAR PARA FABRICA .  / Obs.Interna: ORIENTAR CLIENTE DA NF DE DEVOLUÇÃO . SEM COBRANÇA E SEM COMISSÃO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</si>
  <si>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itgNMD4GppaCyjzUy0sxb4zjXb-lsWGPo1YxX-FqdikFH2xHCU_rYj3U30-UyGIXkOSkRovEveNmUpDGAQqprkdwvqUhycqJERtpk4HhCDKqjy-loGqvrYrN0b1DzODLedPquUZZTsVoobFxHdu9mWybbZ8LRXuZH-ujeSrT6d2ys0HphCVeCClVeV6ybh5QuuMRvHvthrwpnOU_jjYR7z2NZNBcUY6iFq_UlGNaW4NbOlrDas7XpVHf29iO_VAsgcnWWjN-IIUnDDySDynwH2CUNyWdVOuIwNvKXEA9wEbFm6QtsAlSfBmh9Wg&amp;amp;lib=M-zdWbhavtdZ1B_W2dnFDM0qoVt4lWzJ-"&gt;here&lt;/A&gt;.
&lt;/BODY&gt;
&lt;/HTML&gt;
</t>
  </si>
  <si>
    <t>dKrN9H7bSkeFmXeYnXyISA</t>
  </si>
  <si>
    <t>18036</t>
  </si>
  <si>
    <t>8F00250110300033</t>
  </si>
  <si>
    <t>FITLOG TRANSPORTES E LOGISTICA LTDA / (048) 996277956Informação Adicional: CLIENTE CAROLINE PASCOALLETI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</si>
  <si>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uawRf4ymrdUtLmAk95cNfZ8F9cjMzpvnIsSU1iBcGxQoakGUfAIgvmgddd4HxP1-Lei8yjjch4MI49TGMaZPZB33GsFW8ASLscVqxJL69nPGNtuFKtw8taUXAEtyybnvpU5YLbKhunJgdK1rop2Wl4X0CRzKNo5hse9z_vNYweiJjfeFhB9FQWr7FJwGQhqPcIYU2i1bEY5KsL2I3RvgtJB8sAOXjrssuXaZAN512SuCOl6BvefO-Ook9-2248Y3EBrZZQq94QAdn7Do7ZIaaSfVl5GNKv_6s72MTHujvtuyBSVYZjADT3cvRdg&amp;amp;lib=M-zdWbhavtdZ1B_W2dnFDM0qoVt4lWzJ-"&gt;here&lt;/A&gt;.
&lt;/BODY&gt;
&lt;/HTML&gt;
</t>
  </si>
  <si>
    <t>rK49vdwTQ064YWOI5jUIeg</t>
  </si>
  <si>
    <t>18037</t>
  </si>
  <si>
    <t>8F00250110300037</t>
  </si>
  <si>
    <t>EXPRESSO SAO MIGUEL S/A / (049) 3361-6627Informação Adicional: CLIENTE TEM FRETE CIF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</si>
  <si>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iI2Ppv7BhjG_3TKPZ0Bw3AQBXQIty6wKQvN_n-KcNGzewtOFiqbcQx6v3e3vR75KbMw8ts9lfNDq6ddxq7WgdGHcW1Xhb-0VbKhcT6C5Dt3FpgiOcbZ63VSim2DUxG3NUv45QpUkGz4Et0d9HgicIpGuff5hzrohjIrSezsNn11d-TzWWrI7OOyNS2TWucuONBCbfW9LnBB3IAILC0MChiLRH2B7ok9-ojK3p0dOhhG7E3Nd7CIY62sazgJDm4kGomzN-e3ZvRSPuw6NfhLtJLUCpUy7TE4E97HDEw_M1L8pZZydAsrcvaLmvuQ&amp;amp;lib=M-zdWbhavtdZ1B_W2dnFDM0qoVt4lWzJ-"&gt;here&lt;/A&gt;.
&lt;/BODY&gt;
&lt;/HTML&gt;
</t>
  </si>
  <si>
    <t>lZT60Vg-R9K36nVZklY-sw</t>
  </si>
  <si>
    <t>18038-1</t>
  </si>
  <si>
    <t>8E00241224040007</t>
  </si>
  <si>
    <t>FITLOG TRANSPORTES E LOGISTICA LTDA / (048) 996277956Informação Adicional: ENTRADA 30%+30/60/90/120 DS BOLETO .  / E-mail para nota fiscal: , E-mail de cobrança: , Telefone para contat</t>
  </si>
  <si>
    <t xml:space="preserve">&lt;HTML&gt;
&lt;HEAD&gt;
&lt;TITLE&gt;Moved Temporarily&lt;/TITLE&gt;
&lt;/HEAD&gt;
&lt;BODY BGCOLOR="#FFFFFF" TEXT="#000000"&gt;
&lt;!-- GSE Default Error --&gt;
&lt;H1&gt;Moved Temporarily&lt;/H1&gt;
The document has moved &lt;A HREF="https://script.googleusercontent.com/macros/echo?user_content_key=AehSKLjL-d2RLNH5O5MlxmzUy3oqflQadUf40CIE-FZGPPTNOhKjEDgzgI1Tws3pigMb_w2u3hbhcv0Eoqhwb6nJgL-wuBsVrDi25U33kQlQi_t2stOtpL1N5X3w6a7RF9cIr2RLluJiTBiQzgptbf8x4ltHXBSnLjfyeJNKZ0dhF2pu3g6wY5KBIUhzVhQSYcJMrDT1OtfLeWUtJMNUpJvuUnMxIeEbQCX8gKclHQNP5UPGvYR1dp8dSrCgmtafl9J62A7ItaP6rlfDbvLCaHceU241HsRyWD0bx_V_FxoyknwuQ35-fMxbzg4Gl3gArw&amp;amp;lib=M-zdWbhavtdZ1B_W2dnFDM0qoVt4lWzJ-"&gt;here&lt;/A&gt;.
&lt;/BODY&gt;
&lt;/HTML&gt;
</t>
  </si>
  <si>
    <t>a-Ai1Pc73SUmGm-pTMX3vMA</t>
  </si>
  <si>
    <t>18038-10</t>
  </si>
  <si>
    <t>8F00250329020005</t>
  </si>
  <si>
    <t xml:space="preserve">&lt;HTML&gt;
&lt;HEAD&gt;
&lt;TITLE&gt;Moved Temporarily&lt;/TITLE&gt;
&lt;/HEAD&gt;
&lt;BODY BGCOLOR="#FFFFFF" TEXT="#000000"&gt;
&lt;!-- GSE Default Error --&gt;
&lt;H1&gt;Moved Temporarily&lt;/H1&gt;
The document has moved &lt;A HREF="https://script.googleusercontent.com/macros/echo?user_content_key=AehSKLhp1-IncGPHaYHxZ8eUqP7skIEFJFbtiFKbxRcCI0zE5T539OfwOyy2zirdEHFutqrVovZRhkjADGv4IFoMaQTd90E8QoAQk3CVpICLZV4FiLSgTUBJNKmyVCGktdiEYdnYSP9FnhQI5HE6N4qLub8DpczDrD2IKKNnKXkvJBOUAUhEhFkVhJ9Z_8itQCsvMUp22kJ6fISWwssq7lpLfSk4zlkUCXOq79I6hfyql4xUXibBo14ByX580hOvfg-hXg5Q0lDJ4sv5aNxQMS-KiARUWCk3TNWliZ13NvJRdu4hAy-YKtZ7222CLzstng&amp;amp;lib=M-zdWbhavtdZ1B_W2dnFDM0qoVt4lWzJ-"&gt;here&lt;/A&gt;.
&lt;/BODY&gt;
&lt;/HTML&gt;
</t>
  </si>
  <si>
    <t>y1af52f9xcWYI7iqImwa</t>
  </si>
  <si>
    <t>18038-11</t>
  </si>
  <si>
    <t>8F00250329020006</t>
  </si>
  <si>
    <t xml:space="preserve">&lt;HTML&gt;
&lt;HEAD&gt;
&lt;TITLE&gt;Moved Temporarily&lt;/TITLE&gt;
&lt;/HEAD&gt;
&lt;BODY BGCOLOR="#FFFFFF" TEXT="#000000"&gt;
&lt;!-- GSE Default Error --&gt;
&lt;H1&gt;Moved Temporarily&lt;/H1&gt;
The document has moved &lt;A HREF="https://script.googleusercontent.com/macros/echo?user_content_key=AehSKLhnxIe7djHfxox1Tqt4GuXIddBC1RTU3ujv6vVGS7vpdHCt9R8w13cSfgVQ0kYPCbUYfwcZXVwWGykYQ54FOKLNsRyQUKiHPMd5KIOapTulmHcdz-dj8nJVZE4umZNJ231Cc4kU3837A7_kbxe6Di2EdGrBto1di7m7TXZsT1frQuc_B_vPEKa40Sd1mdxHaKRtQA-SWIbzTmzBG9cpzNxhnWb-ZLQxA55ZMuTATnGSZnsNV6oL2-Luo71hcHB2QEWn20Jw-U_1HPI4qGwyNCmkOavSDu-8U2qn69Te2fGWRRsKpAUpOKK6jkN65w&amp;amp;lib=M-zdWbhavtdZ1B_W2dnFDM0qoVt4lWzJ-"&gt;here&lt;/A&gt;.
&lt;/BODY&gt;
&lt;/HTML&gt;
</t>
  </si>
  <si>
    <t>nwBRDJKI7KfSzgIVdURH</t>
  </si>
  <si>
    <t>18038-12</t>
  </si>
  <si>
    <t>8F00250329020007</t>
  </si>
  <si>
    <t xml:space="preserve">&lt;HTML&gt;
&lt;HEAD&gt;
&lt;TITLE&gt;Moved Temporarily&lt;/TITLE&gt;
&lt;/HEAD&gt;
&lt;BODY BGCOLOR="#FFFFFF" TEXT="#000000"&gt;
&lt;!-- GSE Default Error --&gt;
&lt;H1&gt;Moved Temporarily&lt;/H1&gt;
The document has moved &lt;A HREF="https://script.googleusercontent.com/macros/echo?user_content_key=AehSKLg1MPP-7c7YsFxk_qm8gEpXLXiAD-GZfmw7kzOVSyzjQEWkzip4-nr41j9jEZ-xpPDOlFd1ctJQeZrD21SGsGIxYNKKIRZajUrCtQZpav4f6kbanmgcrsTkbkT52DfUV2Cocbw_8Cyc94_oCYC0fI9blikz7llAIo7Sv9sGRqXPpYD0HCKMAkvmT3V1O5_YNZ7fF077L1T4nW46br95da3xm1Rp-OqrntLU6RmF9tAH6-RxDxl0jl5GknDou1rmO0mR6mXHKzi41ECuCnBKiCEX-k7I-I2Qb7s1b4Uar_HgWsVYFR16p-916pZMaQ&amp;amp;lib=M-zdWbhavtdZ1B_W2dnFDM0qoVt4lWzJ-"&gt;here&lt;/A&gt;.
&lt;/BODY&gt;
&lt;/HTML&gt;
</t>
  </si>
  <si>
    <t>UNeCnJSOExzXBkuqv8RO</t>
  </si>
  <si>
    <t>18038-13</t>
  </si>
  <si>
    <t>8F00250208090034</t>
  </si>
  <si>
    <t xml:space="preserve">&lt;HTML&gt;
&lt;HEAD&gt;
&lt;TITLE&gt;Moved Temporarily&lt;/TITLE&gt;
&lt;/HEAD&gt;
&lt;BODY BGCOLOR="#FFFFFF" TEXT="#000000"&gt;
&lt;!-- GSE Default Error --&gt;
&lt;H1&gt;Moved Temporarily&lt;/H1&gt;
The document has moved &lt;A HREF="https://script.googleusercontent.com/macros/echo?user_content_key=AehSKLh91vxAS9Iwk7kptQR70Ggg29Nbfs1x4zrC0meb1yA7XXwXBwLJDu6tklrsW3FaiLz1SsFsPKOhllqnzRVDwxdpSWm72FysKfuoDmbHjiU_FUz-77YVv6pq8DPrlLGWlkv9B1FzhffRqjgeonGULUwc9LZo67P8gR7HEp1eV0ZdEnLKWsey0dcagubvugN1Bb8YR4cXVQ1FdHKXMYe0fnZP2Lq_ep1XqAsUyQLQ_Glj5bfZ0F2VLpZV1GBmUNqQZ7OXmD2JC69VFkpQrxJxXii956wOo4yZ8yentKQMRISXLJ1yB9oo7bRqrmWjYg&amp;amp;lib=M-zdWbhavtdZ1B_W2dnFDM0qoVt4lWzJ-"&gt;here&lt;/A&gt;.
&lt;/BODY&gt;
&lt;/HTML&gt;
</t>
  </si>
  <si>
    <t>zQiqG1gt41e2xzFHv2Ka</t>
  </si>
  <si>
    <t>18038-14</t>
  </si>
  <si>
    <t>8F00250208090035</t>
  </si>
  <si>
    <t xml:space="preserve">&lt;HTML&gt;
&lt;HEAD&gt;
&lt;TITLE&gt;Moved Temporarily&lt;/TITLE&gt;
&lt;/HEAD&gt;
&lt;BODY BGCOLOR="#FFFFFF" TEXT="#000000"&gt;
&lt;!-- GSE Default Error --&gt;
&lt;H1&gt;Moved Temporarily&lt;/H1&gt;
The document has moved &lt;A HREF="https://script.googleusercontent.com/macros/echo?user_content_key=AehSKLi1aONtwMYqDwLj3rm5hQ-fsvpfVd-_w-eTUhipa1Z-ERg2zAK4Ocfow77Rh9L3hGW9c69nBoC59XZ1lCPky4ldTb3UZWX8IG6Y8Vm8-nBbi1kjc4dX2vrko3gZsidXvTSl6CIeG2QiFmk8Umj4XCbaw2Gv8aZYkmuNtBTEFSju8QhF0cwty7a84v1KmnMgmDmBIs2EHUQDQBlKAn8s48Ag67h-u0GbBgYUtmx_O8XwHMOrBNfQiDYSoHlcdR0N3tK7p3pF7Pd4Saz_XNqn5aefX69c3gZo_OwRVR0aFuKJ2l_FTIecGOHcVx6tAQ&amp;amp;lib=M-zdWbhavtdZ1B_W2dnFDM0qoVt4lWzJ-"&gt;here&lt;/A&gt;.
&lt;/BODY&gt;
&lt;/HTML&gt;
</t>
  </si>
  <si>
    <t>adHFECrCZzU69pKtRLRa</t>
  </si>
  <si>
    <t>18038-15</t>
  </si>
  <si>
    <t>8F00250208090033</t>
  </si>
  <si>
    <t xml:space="preserve">&lt;HTML&gt;
&lt;HEAD&gt;
&lt;TITLE&gt;Moved Temporarily&lt;/TITLE&gt;
&lt;/HEAD&gt;
&lt;BODY BGCOLOR="#FFFFFF" TEXT="#000000"&gt;
&lt;!-- GSE Default Error --&gt;
&lt;H1&gt;Moved Temporarily&lt;/H1&gt;
The document has moved &lt;A HREF="https://script.googleusercontent.com/macros/echo?user_content_key=AehSKLj_79f9Fur4JMfiDdKPReyov8LbPyfBekj4GLvH2TKTvVJ1LMg42rmBYyUCl8-hyjk1GcxbQFGAfX3EMV78LnRqClCPoD76mKWJN3YC8MItsUTOJCif0XMeQJc_QgpqlfRMsa9YN6Y48suOtwNys0YfZC3VX7aBb3mA2gq855KKCv90vUZFGfZ_oWbfkci6oN9L39r9PM95Tr6P6-4lb9rPYMF86ZpMI90JQ91xV-4kR0oUUKZI3zBXfm56YvbysYP8IZuNJzop-ma5G0K_WorPTXqpeFJgOcjQJvvSRZWjsJh8dIkiP2-28jmnpA&amp;amp;lib=M-zdWbhavtdZ1B_W2dnFDM0qoVt4lWzJ-"&gt;here&lt;/A&gt;.
&lt;/BODY&gt;
&lt;/HTML&gt;
</t>
  </si>
  <si>
    <t>5dmlb2qUT0TjFPWvkNoG</t>
  </si>
  <si>
    <t>18038-16</t>
  </si>
  <si>
    <t>8F00241118040052</t>
  </si>
  <si>
    <t>jNofbOatII090VdCwv82</t>
  </si>
  <si>
    <t>18038-17</t>
  </si>
  <si>
    <t>8F00241118040053</t>
  </si>
  <si>
    <t xml:space="preserve">&lt;HTML&gt;
&lt;HEAD&gt;
&lt;TITLE&gt;Moved Temporarily&lt;/TITLE&gt;
&lt;/HEAD&gt;
&lt;BODY BGCOLOR="#FFFFFF" TEXT="#000000"&gt;
&lt;!-- GSE Default Error --&gt;
&lt;H1&gt;Moved Temporarily&lt;/H1&gt;
The document has moved &lt;A HREF="https://script.googleusercontent.com/macros/echo?user_content_key=AehSKLjwLwNyvLbnDXENwU9d9XJRFcE1yOo6UlYSzbZLpOMk3Zf8_AZwAKwn-FDdf6t4vCAdpJjIXrRcJl62CvVUqaG8ZHgF2ed3TJlopwjyNY_1-oz5LbVeX0deraY_9XJgUiVDXVW5n2oeDxokNd4LYZBQA18JRtn6huDvTvbwXiHexob5iim8CLcwBnEG2ZDp4B1izPIcq4P6n4CraSgu683nnNaMbia9aK0vfl0_xFGU3-K2uts__fI-YCbwgiq5NER7vwcZMBP7p-ADmbKLQcgvOjmFVLthJpEpZWgdsAIm6NudCdppHY6ezjFH3Q&amp;amp;lib=M-zdWbhavtdZ1B_W2dnFDM0qoVt4lWzJ-"&gt;here&lt;/A&gt;.
&lt;/BODY&gt;
&lt;/HTML&gt;
</t>
  </si>
  <si>
    <t>bYj3B3xAq7Tu7jJtI6Kd</t>
  </si>
  <si>
    <t>18038-18</t>
  </si>
  <si>
    <t>8F00241118040050</t>
  </si>
  <si>
    <t xml:space="preserve">&lt;HTML&gt;
&lt;HEAD&gt;
&lt;TITLE&gt;Moved Temporarily&lt;/TITLE&gt;
&lt;/HEAD&gt;
&lt;BODY BGCOLOR="#FFFFFF" TEXT="#000000"&gt;
&lt;!-- GSE Default Error --&gt;
&lt;H1&gt;Moved Temporarily&lt;/H1&gt;
The document has moved &lt;A HREF="https://script.googleusercontent.com/macros/echo?user_content_key=AehSKLh4sIWFOwOjKHyjViAAOgAmwG0Wma_w1iU8ATA-TeSO-bE7RNPIPjagn8exfOCFSVVvFcyZ8dIU85bl02Hi3eeT0b4rqfmev49zPBi2OKAq7KqRBWuAXwN1bXHCJMS37q53Cf7xe4r9DSYELH7aWxkkyt-tf279j4VhlIKPtsrnt82ms3knw4nqYh7FaeYo8J5mVH_eRYDudMbc1Q9CDeDwldIE_xw3xDDMMmqBzImJqGWwre24pUCDe1MyWRcrAKdSSq9dV8t24Dutk0NZf7383K-2tA4qTLk5aruRyHGwOOG39z-WiTU2a17AxQ&amp;amp;lib=M-zdWbhavtdZ1B_W2dnFDM0qoVt4lWzJ-"&gt;here&lt;/A&gt;.
&lt;/BODY&gt;
&lt;/HTML&gt;
</t>
  </si>
  <si>
    <t>t6UexZ0jDiqsSHQEq63v</t>
  </si>
  <si>
    <t>18038-19</t>
  </si>
  <si>
    <t>8F00250110300029</t>
  </si>
  <si>
    <t xml:space="preserve">&lt;HTML&gt;
&lt;HEAD&gt;
&lt;TITLE&gt;Moved Temporarily&lt;/TITLE&gt;
&lt;/HEAD&gt;
&lt;BODY BGCOLOR="#FFFFFF" TEXT="#000000"&gt;
&lt;!-- GSE Default Error --&gt;
&lt;H1&gt;Moved Temporarily&lt;/H1&gt;
The document has moved &lt;A HREF="https://script.googleusercontent.com/macros/echo?user_content_key=AehSKLhduOeKACymEllgTulX8WJtWCRVbWa-CxccGq1dQNlAXCnWxw0rxb0i-NM77vdIDwIEQoCigr6Pkw7MjVENHG0JvsPqWi6FJjIIV_b5Mk79oQiikUO4LVZua6ygHJK1DDpBBtHT36mcew8GGtO-SEijMfU6lLlx28UYVwmfYCvcVuUw8JHAiSNi0XpJzgOrIh79254prTNH7lW2vta7vbdcJ7LF0X9oFUuC1Pj12zwdaat6orqlqUUAemy_hhYw04m5hrrbAV0bdk_X3BIGUoTbP4Mf3NIn4SZCaex0JTXGPuFBmvSwklBfP-9a3g&amp;amp;lib=M-zdWbhavtdZ1B_W2dnFDM0qoVt4lWzJ-"&gt;here&lt;/A&gt;.
&lt;/BODY&gt;
&lt;/HTML&gt;
</t>
  </si>
  <si>
    <t>rFldZt5UtpEzyjnCnsza</t>
  </si>
  <si>
    <t>18038-2</t>
  </si>
  <si>
    <t>8E00241224040008</t>
  </si>
  <si>
    <t xml:space="preserve">&lt;HTML&gt;
&lt;HEAD&gt;
&lt;TITLE&gt;Moved Temporarily&lt;/TITLE&gt;
&lt;/HEAD&gt;
&lt;BODY BGCOLOR="#FFFFFF" TEXT="#000000"&gt;
&lt;!-- GSE Default Error --&gt;
&lt;H1&gt;Moved Temporarily&lt;/H1&gt;
The document has moved &lt;A HREF="https://script.googleusercontent.com/macros/echo?user_content_key=AehSKLjEeIFO-zdFb3mNn3ydp_riOv5XlVMPJpIfnbBZVdewFRB1L16kCC7GnfhbuP4KKhkVajc4YqPelO4IAfa46WCRdQZSKT30dyJg_9rRDoNf8Ea4IjUAuIrMeKN-zUKOmlPl0thwQINL2mnuODs4TB9trpnq-DHGcFoEuTC6mbT8rCMXANRA8YSr-7DI4e1EFWs273xMYyccP80PmsRwZjlr_Pbx4-grN3bjW7AFmPo3_6Y_Qyfq0YiKcJ02T1R_Mup5Xz5SroIjncfrZkOQpaH24eAh3fHD5gH9_a3tfkBGf0L-R4JGusnK0MIEWQ&amp;amp;lib=M-zdWbhavtdZ1B_W2dnFDM0qoVt4lWzJ-"&gt;here&lt;/A&gt;.
&lt;/BODY&gt;
&lt;/HTML&gt;
</t>
  </si>
  <si>
    <t>JP2Fiz9ruTA9BtQm7BXU</t>
  </si>
  <si>
    <t>18038-20</t>
  </si>
  <si>
    <t>8F00250110300030</t>
  </si>
  <si>
    <t xml:space="preserve">&lt;HTML&gt;
&lt;HEAD&gt;
&lt;TITLE&gt;Moved Temporarily&lt;/TITLE&gt;
&lt;/HEAD&gt;
&lt;BODY BGCOLOR="#FFFFFF" TEXT="#000000"&gt;
&lt;!-- GSE Default Error --&gt;
&lt;H1&gt;Moved Temporarily&lt;/H1&gt;
The document has moved &lt;A HREF="https://script.googleusercontent.com/macros/echo?user_content_key=AehSKLiHTzN_JjOhM_muHIJJpWNP14ldiXFyEDlN1L4njbzdOZ0bfj4VPMUmlw0h4PQLrl6O6BXPtMJaWcppus5yXpllzVXtBk0zExszHVUZ9A8v_-dPfgbyUsIgNBv-gddtIx5xpJnmTn6iIJ3su5zaFrMH_tSWlwCe7ozuQzI9ZhB_4NCuuqcSGYyAasqvNUP6EMAuNtTNPOrUzdil-ZatCta8gJ36CRt-BOm3N7UH5kVgnByxUAp_Qe3epThvdhR2HtgCkDQY-Vesb6a_SLI47eKOlxthxIX3YNFAxz7PnB2gvLBDsPjrRoeAvGGKPA&amp;amp;lib=M-zdWbhavtdZ1B_W2dnFDM0qoVt4lWzJ-"&gt;here&lt;/A&gt;.
&lt;/BODY&gt;
&lt;/HTML&gt;
</t>
  </si>
  <si>
    <t>FAG4BE56B23O8eBHZCct</t>
  </si>
  <si>
    <t>18038-21</t>
  </si>
  <si>
    <t>8F00250110300035</t>
  </si>
  <si>
    <t xml:space="preserve">&lt;HTML&gt;
&lt;HEAD&gt;
&lt;TITLE&gt;Moved Temporarily&lt;/TITLE&gt;
&lt;/HEAD&gt;
&lt;BODY BGCOLOR="#FFFFFF" TEXT="#000000"&gt;
&lt;!-- GSE Default Error --&gt;
&lt;H1&gt;Moved Temporarily&lt;/H1&gt;
The document has moved &lt;A HREF="https://script.googleusercontent.com/macros/echo?user_content_key=AehSKLgAIspq4aIM7IdaXb4IaSo-eZU3IgK6IPA2F__f5gA0zGwVePvJR_C29930tGOlO4wPJrXEI6H2bMS9wfcCMdj4On-FC-645Q7DP6vFGiUf-ehhfZPEHnxXXm38mYl8K5c7XPDZ005Skd-vQrxxuLZh_eH7WKJeS3DTMr039FI2ip74axCjJd76q0ONyxfEzNGQ-W3WvltYFy9dQ3AJpR8Q-UysuisnlxJcVcxHlkKYx6RGxZd5cVnDP7Lx1am1WEpHGpTug9qIawxMSMoxWE_h8BJcoyMSlyJx31LhAMx3J-y1ZMkJ7RtohCJOtQ&amp;amp;lib=M-zdWbhavtdZ1B_W2dnFDM0qoVt4lWzJ-"&gt;here&lt;/A&gt;.
&lt;/BODY&gt;
&lt;/HTML&gt;
</t>
  </si>
  <si>
    <t>MOTSIlszrVSjLhhfkfpj</t>
  </si>
  <si>
    <t>18038-22</t>
  </si>
  <si>
    <t>8F00250110300036</t>
  </si>
  <si>
    <t xml:space="preserve">&lt;HTML&gt;
&lt;HEAD&gt;
&lt;TITLE&gt;Moved Temporarily&lt;/TITLE&gt;
&lt;/HEAD&gt;
&lt;BODY BGCOLOR="#FFFFFF" TEXT="#000000"&gt;
&lt;!-- GSE Default Error --&gt;
&lt;H1&gt;Moved Temporarily&lt;/H1&gt;
The document has moved &lt;A HREF="https://script.googleusercontent.com/macros/echo?user_content_key=AehSKLgAF85UgwAdBIKBgyhdwgx8Ihg-hIhldiGeOevNIRFD7AXCZ4109YMRPJWSUin1t0DVj_oc1ksyr9sYNpXXjKm3NNncwkMa-ROogsjt15ykHiCROcaadNfcbblYxBgqa1enFOA9obNQ_qDQL9-AUNff9eSsf7X4XQ67o313vjw6qXOUTFQkXrv2wu0fPw3z4APqJkxzkznvFGwJf2Td2DVRqzcdqxVmwo51WJkuLgF3TlodWB3eLSA1ZuZNzaGmiGbRBN_Dxj6rDgWEMB29kWyJBxugUYzv-RQ39CDLl2y6Hyz7wxmvXM4st1s4JA&amp;amp;lib=M-zdWbhavtdZ1B_W2dnFDM0qoVt4lWzJ-"&gt;here&lt;/A&gt;.
&lt;/BODY&gt;
&lt;/HTML&gt;
</t>
  </si>
  <si>
    <t>jhGoqKvI5xq4YIayXsFw</t>
  </si>
  <si>
    <t>18038-23</t>
  </si>
  <si>
    <t>8F00250110300034</t>
  </si>
  <si>
    <t xml:space="preserve">&lt;HTML&gt;
&lt;HEAD&gt;
&lt;TITLE&gt;Moved Temporarily&lt;/TITLE&gt;
&lt;/HEAD&gt;
&lt;BODY BGCOLOR="#FFFFFF" TEXT="#000000"&gt;
&lt;!-- GSE Default Error --&gt;
&lt;H1&gt;Moved Temporarily&lt;/H1&gt;
The document has moved &lt;A HREF="https://script.googleusercontent.com/macros/echo?user_content_key=AehSKLi3z4XxL4E8x4OztbzQUK_jZFjby03s83g6e0z29B_Zr4QG9-KFRA5cqR0K4V0EZ6l19RZW7-I0caSV_vFxRmVl--lpPSr_li0cozLD1p_FzKiAve4TqxwWOTU-Aj4v6_-NU1VRHFcE761_JJSa5GZW3aRTU3SP16mwRkKe9l9jQUmjlaORsoMPFH7s7gVleJXmGTmZMNafjbEuZS9BwwEwUhmz1pjor1HHg1OJjakBVyicqSBqsybevcbpaq-I2DXgyvxgQbojaloZ5dc_kayLCt7AXw1XmfYkBfBDpKbalHRNVJJMj7gbDmiXPg&amp;amp;lib=M-zdWbhavtdZ1B_W2dnFDM0qoVt4lWzJ-"&gt;here&lt;/A&gt;.
&lt;/BODY&gt;
&lt;/HTML&gt;
</t>
  </si>
  <si>
    <t>JXNgm7ylyxl5LQvQQsNJ</t>
  </si>
  <si>
    <t>18038-24</t>
  </si>
  <si>
    <t>8F00250411520024</t>
  </si>
  <si>
    <t xml:space="preserve">&lt;HTML&gt;
&lt;HEAD&gt;
&lt;TITLE&gt;Moved Temporarily&lt;/TITLE&gt;
&lt;/HEAD&gt;
&lt;BODY BGCOLOR="#FFFFFF" TEXT="#000000"&gt;
&lt;!-- GSE Default Error --&gt;
&lt;H1&gt;Moved Temporarily&lt;/H1&gt;
The document has moved &lt;A HREF="https://script.googleusercontent.com/macros/echo?user_content_key=AehSKLjq1ukpgHwB76gW7taM8RXT9i032lYDtKLgsL1MsddTFWnA8HWtQRxTMw2CBzzm8Mf9vRYeEgi5EYB68L3zEgdUEALlUUxyDsvQgfYzoSMtK_EMLTbIicb6rDoc74XTI6KwgIUhrMjvPwcNKsN4PuzSFPCF706s0ZWWtnqhwSlskxCbdlWeIc9N0LZ7KrA4WvI7EhshE7TpaogHdduye4Hc0RBG_E_CB7nusdt4oYeVL6h6IN4mW06UQVRqy7ZkixBz6bvhFWa5Sx_XmjHQPOHgtXJZHWUs7nJ7GhFsNG9AAFsULEwOrFkDT1fuQQ&amp;amp;lib=M-zdWbhavtdZ1B_W2dnFDM0qoVt4lWzJ-"&gt;here&lt;/A&gt;.
&lt;/BODY&gt;
&lt;/HTML&gt;
</t>
  </si>
  <si>
    <t>ExVoz6yT3gy8RnwsuwGT</t>
  </si>
  <si>
    <t>18038-25</t>
  </si>
  <si>
    <t>8F00250411520026</t>
  </si>
  <si>
    <t xml:space="preserve">&lt;HTML&gt;
&lt;HEAD&gt;
&lt;TITLE&gt;Moved Temporarily&lt;/TITLE&gt;
&lt;/HEAD&gt;
&lt;BODY BGCOLOR="#FFFFFF" TEXT="#000000"&gt;
&lt;!-- GSE Default Error --&gt;
&lt;H1&gt;Moved Temporarily&lt;/H1&gt;
The document has moved &lt;A HREF="https://script.googleusercontent.com/macros/echo?user_content_key=AehSKLgZ-_h_b11i8uO5no1_Kx1C1HqATTrNyBNDmZa_qXhN-YpcYt34yfYeAmsT179TV0S_BCjV2k-rSzbd2o9yD0nshP9XKvf494abj9lT0eJfikHNuZvi4V8q5gbhDiLdhuNiDEoXTaMQ9-kHo9FP5yB56NlaU1zyKdK5eHadwmDESb1DurNrBYFA2kuWKVJUylv-4AXL3-LCCzZmPoPgQRVxzQUT3BOCIl5196ChSGHdTi_8aKpCrWQqwd3U0SJQMl-gxnm-CzXn0GxJTiRYQEves-PWdO0x5KxdOjNP3xXoWY2B2nqWkxFyjHzwrw&amp;amp;lib=M-zdWbhavtdZ1B_W2dnFDM0qoVt4lWzJ-"&gt;here&lt;/A&gt;.
&lt;/BODY&gt;
&lt;/HTML&gt;
</t>
  </si>
  <si>
    <t>1qp3XyADWU65C6v4RTxL</t>
  </si>
  <si>
    <t>18038-26</t>
  </si>
  <si>
    <t>8F00250411520027</t>
  </si>
  <si>
    <t xml:space="preserve">&lt;HTML&gt;
&lt;HEAD&gt;
&lt;TITLE&gt;Moved Temporarily&lt;/TITLE&gt;
&lt;/HEAD&gt;
&lt;BODY BGCOLOR="#FFFFFF" TEXT="#000000"&gt;
&lt;!-- GSE Default Error --&gt;
&lt;H1&gt;Moved Temporarily&lt;/H1&gt;
The document has moved &lt;A HREF="https://script.googleusercontent.com/macros/echo?user_content_key=AehSKLiVWU1fYwtcWeJMhMlTtkc-J7Lt6clAaIx-oguLpQ_LXNmPwDHed-3wpEqRpYocZ8U4QBgL2kP9EFG95sr4sqBuvSiguRRYicyiBLxiG6R_-nuG1c5qDEKkAmJzgDOYXujZ5SW4Dl-DgJ5t4HaX2Yjijw8AWDbp3HlRSNiDrHSgmANw3NenSTEc-_xE9m4lAG_KAxwlOPHDJhTtnYt5LNHgCIzv1J4CeqfJBF-jW_crnwfTTC53owi0ng2vb-E4z0v2qicqVYG8QQt5vtm-VcdLiehQmwUPC-I9_x1T1OfglG_c0ygms6s9qtOV3Q&amp;amp;lib=M-zdWbhavtdZ1B_W2dnFDM0qoVt4lWzJ-"&gt;here&lt;/A&gt;.
&lt;/BODY&gt;
&lt;/HTML&gt;
</t>
  </si>
  <si>
    <t>35nj5R4Qx0XcWrimodUi</t>
  </si>
  <si>
    <t>18038-27</t>
  </si>
  <si>
    <t>8F00250411520028</t>
  </si>
  <si>
    <t xml:space="preserve">&lt;HTML&gt;
&lt;HEAD&gt;
&lt;TITLE&gt;Moved Temporarily&lt;/TITLE&gt;
&lt;/HEAD&gt;
&lt;BODY BGCOLOR="#FFFFFF" TEXT="#000000"&gt;
&lt;!-- GSE Default Error --&gt;
&lt;H1&gt;Moved Temporarily&lt;/H1&gt;
The document has moved &lt;A HREF="https://script.googleusercontent.com/macros/echo?user_content_key=AehSKLjJ0qQUd583U0wqbIoQebWPBdo84yj_7HVSeE4eTdjzgTWXE2eFy4lTyUZBO-gfwEdXfxb6TQFm2R5r2szOjrgBMQg8aCeIjOObQiXlYd3sBIKlnmkKpafMlhIA_HEZv9WKyXFyrcuetoSR9C-BPr3UYN2AR_i8Or2Zg9Fh7f4ehi0us0kz7hPTZy-8ERl94RAL-EvY3xUAfx4_xRn_dKxkiNZRDjZgMOmft8AKl_jBFVS0-Dvg8_wORoiNfr_nL0dcxzQCEhq3kCexXpZVmv8fc2esbI--5qS2alvA2p1bKVeFvVWzcVaMnhPM4g&amp;amp;lib=M-zdWbhavtdZ1B_W2dnFDM0qoVt4lWzJ-"&gt;here&lt;/A&gt;.
&lt;/BODY&gt;
&lt;/HTML&gt;
</t>
  </si>
  <si>
    <t>Y4vg88l3oggMlY4BCRnP</t>
  </si>
  <si>
    <t>18038-28</t>
  </si>
  <si>
    <t>8F00250411520029</t>
  </si>
  <si>
    <t xml:space="preserve">&lt;HTML&gt;
&lt;HEAD&gt;
&lt;TITLE&gt;Moved Temporarily&lt;/TITLE&gt;
&lt;/HEAD&gt;
&lt;BODY BGCOLOR="#FFFFFF" TEXT="#000000"&gt;
&lt;!-- GSE Default Error --&gt;
&lt;H1&gt;Moved Temporarily&lt;/H1&gt;
The document has moved &lt;A HREF="https://script.googleusercontent.com/macros/echo?user_content_key=AehSKLjrc3uyU4T7sRre_IhKuKQjfZUNHLiRZQx2Un_Up3VhOz1YY3wmWlKkMQ2bLRD6asJPJhh9ONsHkKgI1mjKPxZc5GFIc9QVmpbZ1TyhUyid9OxlIP3kc7wh_72vF1-WSJjWR8tYP7W9iHnVTi9VOqN37eDHhDcqtZqHLJ09aQVaeaMX1jIpVZCDqGZYk5iagQ2eiuDmi1TxrsLv65mTtkpgIzaBCrpyhuvEbZ_yz3p5QXXShPkKdcI-71KN6gmhPvAd0vl_6sQvJ9wuOMkrY7edsztzwIxmrFeZZToVRoe_uubku0fyGUXPgz-50w&amp;amp;lib=M-zdWbhavtdZ1B_W2dnFDM0qoVt4lWzJ-"&gt;here&lt;/A&gt;.
&lt;/BODY&gt;
&lt;/HTML&gt;
</t>
  </si>
  <si>
    <t>XoZaqfzS9C2H8ZBix7fa</t>
  </si>
  <si>
    <t>18038-29</t>
  </si>
  <si>
    <t>8F00250329060023</t>
  </si>
  <si>
    <t xml:space="preserve">&lt;HTML&gt;
&lt;HEAD&gt;
&lt;TITLE&gt;Moved Temporarily&lt;/TITLE&gt;
&lt;/HEAD&gt;
&lt;BODY BGCOLOR="#FFFFFF" TEXT="#000000"&gt;
&lt;!-- GSE Default Error --&gt;
&lt;H1&gt;Moved Temporarily&lt;/H1&gt;
The document has moved &lt;A HREF="https://script.googleusercontent.com/macros/echo?user_content_key=AehSKLjeVnyIuP9Bb1OEnCoJFRR8PmkjxVR8USpy2tgeDvdn1VmY2P-UW2ZzMLzKv9FEcsw9mkAbZ161YSf3tQoK18nWiUvEst3LU-ONwizM1lt85Stwo1oCs7mo1_CBIHrwzHlKdv4vuaR8lyOWz1dmpJoDZQ6Qy8NPZdeMycdd8R0McksqNfZjx3MVE9Gyw3_ql1qPBlAT65dY6ast_3z1DZKRqhJPgfBpW2du3Tn0O-10_alj2InmBxuqq4yuemubmjfgJr01Ah92wJYvl7Z_IgEvttwu1H_lN6VZ_y3Dwo_7UYZEvxM59wAorDVYTw&amp;amp;lib=M-zdWbhavtdZ1B_W2dnFDM0qoVt4lWzJ-"&gt;here&lt;/A&gt;.
&lt;/BODY&gt;
&lt;/HTML&gt;
</t>
  </si>
  <si>
    <t>RsyGRnFB0Uik3zDfpfOr</t>
  </si>
  <si>
    <t>18038-3</t>
  </si>
  <si>
    <t>8E00241224040009</t>
  </si>
  <si>
    <t xml:space="preserve">&lt;HTML&gt;
&lt;HEAD&gt;
&lt;TITLE&gt;Moved Temporarily&lt;/TITLE&gt;
&lt;/HEAD&gt;
&lt;BODY BGCOLOR="#FFFFFF" TEXT="#000000"&gt;
&lt;!-- GSE Default Error --&gt;
&lt;H1&gt;Moved Temporarily&lt;/H1&gt;
The document has moved &lt;A HREF="https://script.googleusercontent.com/macros/echo?user_content_key=AehSKLiy22i4Ef51rdcccjRDZ0Qkd7UjxSur21iptAYrN9K04BNS5D5s68e-MVbCSe2noz6s17mPWQBqeQeJ9YuIpeq9_ap83a7P-dHPtyTaQyBgGBI0v9GhMHwG1eRWYPcsJ4dV_h1PRxRQW_uCHJgK1rkopFNRhwOinFKPk017Benkov3ZelEEHo0101kLeClnuaZ-Ke27UPyUDNnWSCAzwpIrj4t8lpfjWDaIYAsw-M2CmLc103xCzVlcGDNlSba3fiPgUiwdW2tC2_rDFvUmvvlabnuDn69YpgvClzLfui1cIPvlbcoNHBU5qWyONg&amp;amp;lib=M-zdWbhavtdZ1B_W2dnFDM0qoVt4lWzJ-"&gt;here&lt;/A&gt;.
&lt;/BODY&gt;
&lt;/HTML&gt;
</t>
  </si>
  <si>
    <t>zVPZI1fYQQvbiKkN5K0q</t>
  </si>
  <si>
    <t>18038-30</t>
  </si>
  <si>
    <t>8F00250329060026</t>
  </si>
  <si>
    <t xml:space="preserve">&lt;HTML&gt;
&lt;HEAD&gt;
&lt;TITLE&gt;Moved Temporarily&lt;/TITLE&gt;
&lt;/HEAD&gt;
&lt;BODY BGCOLOR="#FFFFFF" TEXT="#000000"&gt;
&lt;!-- GSE Default Error --&gt;
&lt;H1&gt;Moved Temporarily&lt;/H1&gt;
The document has moved &lt;A HREF="https://script.googleusercontent.com/macros/echo?user_content_key=AehSKLjZ9cHRe--z2OU7my7OFjwXkRYWgZRER65Et6AzP_K56qlVgmGGg41s7QOg0K0OunzOPazJoSbyBm9E5gFQ4fn-hsDS4iCLV5r7uAOe1eEbNKjFNE2EBtjHnbjHELZa99fpO6hTMlC-US6VTALeUFxVn5JHnsfOJ-yVEOaYIZw6WOukKMWUOsowDmGfDS6DdyLmDXjW8Y14i3vV5K45vWIqiLLNFuv3d17qfL0colHnrbFFAKHJ9MCH9w9RJAjpM9IANJOPOZxBqUNrI5WjcVYlkvVb5dFqE5FrdQcdItPspNyZO0sB9QsbSFoxKQ&amp;amp;lib=M-zdWbhavtdZ1B_W2dnFDM0qoVt4lWzJ-"&gt;here&lt;/A&gt;.
&lt;/BODY&gt;
&lt;/HTML&gt;
</t>
  </si>
  <si>
    <t>3pGVleygsoigxp5OF9m6</t>
  </si>
  <si>
    <t>18038-31</t>
  </si>
  <si>
    <t>8F00250411540003</t>
  </si>
  <si>
    <t xml:space="preserve">&lt;HTML&gt;
&lt;HEAD&gt;
&lt;TITLE&gt;Moved Temporarily&lt;/TITLE&gt;
&lt;/HEAD&gt;
&lt;BODY BGCOLOR="#FFFFFF" TEXT="#000000"&gt;
&lt;!-- GSE Default Error --&gt;
&lt;H1&gt;Moved Temporarily&lt;/H1&gt;
The document has moved &lt;A HREF="https://script.googleusercontent.com/macros/echo?user_content_key=AehSKLhaXfELbvzzVDVkL3QJ2bYB2H79omNlYL08H0Gf9MTKoU8ZYt7fNOwvJLlqlkg8qFLuZH-bgaCYLH-jk2rgvvw71umg_pVOcMdf4TJxhDG1fYsOZspiacBUfG_8MXLthxtUSHkMwuLE0XHdf2I9u5xQu95EEbp0EZx-YfYWF4frksy6uSA4TsFrOk5nXVxYg2bYRrTdFzP6DKJ8tqJB-kIzbJvPUOVuhv9pN80y3JwN01c8Iy5f4VrpvzDc89_HB8Y0Dgv3CBWlJjrbQodX5s8IjRgbTxbUTFJ0GJRX4-fngZ7nNZno-cWAfdbfEw&amp;amp;lib=M-zdWbhavtdZ1B_W2dnFDM0qoVt4lWzJ-"&gt;here&lt;/A&gt;.
&lt;/BODY&gt;
&lt;/HTML&gt;
</t>
  </si>
  <si>
    <t>Tt1j5kvmoLKA7DcjYoFT</t>
  </si>
  <si>
    <t>18038-4</t>
  </si>
  <si>
    <t>AGUARDAR CONTAINER</t>
  </si>
  <si>
    <t>IO8u6Y7NhDJJdgkbQGxN</t>
  </si>
  <si>
    <t>18038-5</t>
  </si>
  <si>
    <t>sYzZnYlhH7NCrcHMrLr3</t>
  </si>
  <si>
    <t>18038-6</t>
  </si>
  <si>
    <t>8E00250110260043</t>
  </si>
  <si>
    <t xml:space="preserve">&lt;HTML&gt;
&lt;HEAD&gt;
&lt;TITLE&gt;Moved Temporarily&lt;/TITLE&gt;
&lt;/HEAD&gt;
&lt;BODY BGCOLOR="#FFFFFF" TEXT="#000000"&gt;
&lt;!-- GSE Default Error --&gt;
&lt;H1&gt;Moved Temporarily&lt;/H1&gt;
The document has moved &lt;A HREF="https://script.googleusercontent.com/macros/echo?user_content_key=AehSKLgzS172nOfYan-up8tRKVDXM4rXC9AxQuRxBzmYeeb5fRgiW50uGuy8YpJK1f51e9dpUbsDr7ncmRTa1SRT1mmC_iCp8LN77FDPtJcEWtwltRgysH_ED3St3Y3a5Sivs39QtuPjsd3Uk7LnP3IbvmfUtoXx_XZHbIhbFmHEqaJ6uPe0kdwI1jEZLBJX2qeSAIN9Csz6FD_2_SqMqofrQ273Pd4_ss4b1HdM6L6OtnqUDpX4E0JXoh85wW2DMS52-pzM84MondKyp25LIg9Zj0jAIgfFHHGDBnBYLoZha5BsYJLNtZ40QbazJZmMqQ&amp;amp;lib=M-zdWbhavtdZ1B_W2dnFDM0qoVt4lWzJ-"&gt;here&lt;/A&gt;.
&lt;/BODY&gt;
&lt;/HTML&gt;
</t>
  </si>
  <si>
    <t>Zd4HK653jwRmF9o8GQ97</t>
  </si>
  <si>
    <t>18038-7</t>
  </si>
  <si>
    <t>8E00250110260048</t>
  </si>
  <si>
    <t xml:space="preserve">&lt;HTML&gt;
&lt;HEAD&gt;
&lt;TITLE&gt;Moved Temporarily&lt;/TITLE&gt;
&lt;/HEAD&gt;
&lt;BODY BGCOLOR="#FFFFFF" TEXT="#000000"&gt;
&lt;!-- GSE Default Error --&gt;
&lt;H1&gt;Moved Temporarily&lt;/H1&gt;
The document has moved &lt;A HREF="https://script.googleusercontent.com/macros/echo?user_content_key=AehSKLg0xuZI-8OYw1AHDEkJiPsDW2I_pLvkhLCHo6zs8PLt0DHtzhjip-9eVWAnicaAvw592bBgdQqJEpXBU65fMw4Arus0D_LP7Iu-uc0B7kgS0MxMMICqQMaSrU85wNhO1skNmc8rta9Nv6wemvFIXl4UGXNEG3vtxF4_eM3ayogp7JLm9Kr4Y5HuipalKMP_ADAO_rwXrQOgKoEAzEme-L55gNvFcmVNIwWwpBSBB7L8kUH1A-kSM8bZQ_YJQYmcqgPz2WaTRux-qs9PTPwgkEQxfNBXPvWJY7ZMJH7wrqfVVrTw-RUz785UoMEj5Q&amp;amp;lib=M-zdWbhavtdZ1B_W2dnFDM0qoVt4lWzJ-"&gt;here&lt;/A&gt;.
&lt;/BODY&gt;
&lt;/HTML&gt;
</t>
  </si>
  <si>
    <t>9CvdKTaN11T8cWjjeV8J</t>
  </si>
  <si>
    <t>18038-8</t>
  </si>
  <si>
    <t>8E00250208070018</t>
  </si>
  <si>
    <t xml:space="preserve">&lt;HTML&gt;
&lt;HEAD&gt;
&lt;TITLE&gt;Moved Temporarily&lt;/TITLE&gt;
&lt;/HEAD&gt;
&lt;BODY BGCOLOR="#FFFFFF" TEXT="#000000"&gt;
&lt;!-- GSE Default Error --&gt;
&lt;H1&gt;Moved Temporarily&lt;/H1&gt;
The document has moved &lt;A HREF="https://script.googleusercontent.com/macros/echo?user_content_key=AehSKLiATH5SkQe30BOYoGdLcvVbhHjwOOAWuKiQ87XfMn34pkGNspnd0WMTflR7IgzaU9JN_cpe3-29QLQBLUNImnDEvOSu6T9iKpoJrE9DJV-dB-gtTGb_9YpYgDt-Vb-vRiuyrPfKRtelagYYbUK_ObzxyzBmEoh5RwV8HS_2OHF6jXcJPv7b9oMi1SWps9Izc1nEyezyAZMSfdgszYNOwQFYjAIfKeMptSHj3lO2efzI4B-AJWJnXVwz8OuQDvEE2icDYWJnf0EHek4bbEzlEiEbW-SU3GLOOEeiHQrYfIV77xq7bESNUYZE4dD1qA&amp;amp;lib=M-zdWbhavtdZ1B_W2dnFDM0qoVt4lWzJ-"&gt;here&lt;/A&gt;.
&lt;/BODY&gt;
&lt;/HTML&gt;
</t>
  </si>
  <si>
    <t>u6JPIRvWBKdSuWjuApp8</t>
  </si>
  <si>
    <t>18038-9</t>
  </si>
  <si>
    <t>8E00250208070019</t>
  </si>
  <si>
    <t xml:space="preserve">&lt;HTML&gt;
&lt;HEAD&gt;
&lt;TITLE&gt;Moved Temporarily&lt;/TITLE&gt;
&lt;/HEAD&gt;
&lt;BODY BGCOLOR="#FFFFFF" TEXT="#000000"&gt;
&lt;!-- GSE Default Error --&gt;
&lt;H1&gt;Moved Temporarily&lt;/H1&gt;
The document has moved &lt;A HREF="https://script.googleusercontent.com/macros/echo?user_content_key=AehSKLjTGbX4zBLXmZy-Z_F4r65X_t30zPotog3u9QgsTHmdnTaNuwPX9log7WSOiYtFaMr4EN_5ak-5hkpQkUVsWpqU-C5BgwcYUnyAV92Tcd2LTSRKE0FHJh7UwZFptGwfQsQT7Aj90btaFE9Nt8AoVqID6MIBx5-Mwc5dsoUOQlgi3MslBxyjfFS0rkrHk9F9n1KJACo89jdo6wI7J4SRVtr0n6x4e4X_2zTCagAHcUtqeAuu2sBL5GoaeODxqOwDw0rSXJHFBvCc8MLiCS0KRqcB9Yzj-nNUlZlXl2AJi8MAOb2MjNV662ffBbHoiQ&amp;amp;lib=M-zdWbhavtdZ1B_W2dnFDM0qoVt4lWzJ-"&gt;here&lt;/A&gt;.
&lt;/BODY&gt;
&lt;/HTML&gt;
</t>
  </si>
  <si>
    <t>MCqpMU0DyL69NkLV9ezE</t>
  </si>
  <si>
    <t>18039-1</t>
  </si>
  <si>
    <t>8E00250110260045</t>
  </si>
  <si>
    <t>FITLOG TRANSPORTES E LOGISTICA LTDA / (048) 996277956Informação Adicional: ENTRADA 30% +30/60/90/120 DS BOLETO BANCARIO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</si>
  <si>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747lkU5EFDPxZ2RcT1nxTH9Aj_wgoTck71ZlQzOOJW6vk06ExSHaXmJXlYtRTLmQQ3vRASbZDcoPIYEBHOVXfSmFNETLbp17Cyfoim4F586TRFUfPSyaDzRMN0w3GQozKb6b0TASVL_Gj9hRnlLaJDcooRvhwHBwFRGW8XB7hV1LSs5TJhAOCIX0RvWBCxykEbB7E_2B3K7SCDwvqsjwmRQZ23wLuOWpfVza_9ralWoZT3VsULHmAZshrt6FbP9giyGqyOPmBRo996Ih-Ze5IX6_49ArPBUdTHN577qrc_44nfUIQs0o8PNpKJg&amp;amp;lib=M-zdWbhavtdZ1B_W2dnFDM0qoVt4lWzJ-"&gt;here&lt;/A&gt;.
&lt;/BODY&gt;
&lt;/HTML&gt;
</t>
  </si>
  <si>
    <t>qYJiDWhaS5mEhMSX29pHNQ</t>
  </si>
  <si>
    <t>18039-10</t>
  </si>
  <si>
    <t>8F00241118040055</t>
  </si>
  <si>
    <t xml:space="preserve">&lt;HTML&gt;
&lt;HEAD&gt;
&lt;TITLE&gt;Moved Temporarily&lt;/TITLE&gt;
&lt;/HEAD&gt;
&lt;BODY BGCOLOR="#FFFFFF" TEXT="#000000"&gt;
&lt;!-- GSE Default Error --&gt;
&lt;H1&gt;Moved Temporarily&lt;/H1&gt;
The document has moved &lt;A HREF="https://script.googleusercontent.com/macros/echo?user_content_key=AehSKLgO_UOc80nAjACZqTWLxxauvcaZNSM1uN5Q-UzmTSjjdmTflhwJxQ-qc1_eiv7WoOFUZ6k5b1wjOK8lXaXNZbTRDgLGI9fWsLuuqnhUEPiYA1DfDut6daWBP_J2Nv7f9lhsg3Ajn07DfsbFzE4kga72b-ZeCEmd_sb_40tRI4uVxbBv0mEFNMRRe4vPq5-Col7_k_vp4oDGawFZFrLpCH-gcsZo_-YptDPatGbeYs1wvSKjqu50zaQS66RapRdLPf3KoRmlYeQDXpzzTKB9aM55kE9pXSahkO-_GMQumHM-w8qIvL0YpTsii1u5ww&amp;amp;lib=M-zdWbhavtdZ1B_W2dnFDM0qoVt4lWzJ-"&gt;here&lt;/A&gt;.
&lt;/BODY&gt;
&lt;/HTML&gt;
</t>
  </si>
  <si>
    <t>FXtG2TKC4W7oiXJeoIMH</t>
  </si>
  <si>
    <t>18039-11</t>
  </si>
  <si>
    <t>8F00241118040059</t>
  </si>
  <si>
    <t xml:space="preserve">&lt;HTML&gt;
&lt;HEAD&gt;
&lt;TITLE&gt;Moved Temporarily&lt;/TITLE&gt;
&lt;/HEAD&gt;
&lt;BODY BGCOLOR="#FFFFFF" TEXT="#000000"&gt;
&lt;!-- GSE Default Error --&gt;
&lt;H1&gt;Moved Temporarily&lt;/H1&gt;
The document has moved &lt;A HREF="https://script.googleusercontent.com/macros/echo?user_content_key=AehSKLi-ldYJUasNqvCZHOFOxDh2ZlodMqRY2nBVl-JqxRxMZ5_m6_MwFSpNHFE-pH2xMV5mvZqH0ZnccV8C1kgZAizoZ9fVSIIPLWVHDwaEduo62iXFUam9imZEhaE2y4iwjpClrln5JSq83g1kH1Tx0YLQeqn7NkrdZRNKmA28qTJpmnO7t-7vyKZxwQnOz8YdVB4QMSFVtmqqin3nNewXguI19PSAZeo4b1okq0SC4qwuEQUyXR6vbgsYR6pCfUkxIiYS_MM2XXAOB2ys3tfkcpYG7kHnKX8utIf0tXJsDyRHs99_Ka_Vhfz6lI5slw&amp;amp;lib=M-zdWbhavtdZ1B_W2dnFDM0qoVt4lWzJ-"&gt;here&lt;/A&gt;.
&lt;/BODY&gt;
&lt;/HTML&gt;
</t>
  </si>
  <si>
    <t>Kmtp37bphrnHXP6VMlg7</t>
  </si>
  <si>
    <t>18039-12</t>
  </si>
  <si>
    <t>8F00241118040060</t>
  </si>
  <si>
    <t xml:space="preserve">&lt;HTML&gt;
&lt;HEAD&gt;
&lt;TITLE&gt;Moved Temporarily&lt;/TITLE&gt;
&lt;/HEAD&gt;
&lt;BODY BGCOLOR="#FFFFFF" TEXT="#000000"&gt;
&lt;!-- GSE Default Error --&gt;
&lt;H1&gt;Moved Temporarily&lt;/H1&gt;
The document has moved &lt;A HREF="https://script.googleusercontent.com/macros/echo?user_content_key=AehSKLjHW3JpyLMJLpeeP2OgO3PaGov5R-gZ0axVVvg5oRk2CrhHl46VdyUqBVPKu6GLe1BqavN57kIFl806iPU3CQNjjboSBv5zDybPgdWqYX9i79HB5O9pHVjHUDolmsOnwyNB8nUjS43Ya0098aXMxGAA2cbpjAFkpOYGJmHT7hJHta3jyauovOws3Ybpc_QjyRA0bZZDtMO50xqs9YwDPLSMszRMxvMdSkhlhgL8uwbUXKB4SevgSRuNgXrv5gyrmHqu7vhL_rJZoVJySM7iHwGPfP72Z0YwvwNsb0-DKu5pw_puw7RkNAiSJSCy9A&amp;amp;lib=M-zdWbhavtdZ1B_W2dnFDM0qoVt4lWzJ-"&gt;here&lt;/A&gt;.
&lt;/BODY&gt;
&lt;/HTML&gt;
</t>
  </si>
  <si>
    <t>YsgQCDtzDpEuNFYl9ry4</t>
  </si>
  <si>
    <t>18039-13</t>
  </si>
  <si>
    <t>8F00250104080006</t>
  </si>
  <si>
    <t xml:space="preserve">&lt;HTML&gt;
&lt;HEAD&gt;
&lt;TITLE&gt;Moved Temporarily&lt;/TITLE&gt;
&lt;/HEAD&gt;
&lt;BODY BGCOLOR="#FFFFFF" TEXT="#000000"&gt;
&lt;!-- GSE Default Error --&gt;
&lt;H1&gt;Moved Temporarily&lt;/H1&gt;
The document has moved &lt;A HREF="https://script.googleusercontent.com/macros/echo?user_content_key=AehSKLibvB3xeRd1CjMEz_7oaUL8nIQJj5jZnJ-JOWA3exGiDqKtA18hvcPPyanMH-FLVv0MgG5g3kLhhSn84GI8c39JT8c-nAsnzddVx3Ex4OeK8s1rReczGQtMRu7wjHURYpdDyHPpknNt8uwPypLr4fGR5mN8q0CF4ueiP8ZqQ5BFo0n8KKAimcH58k_GI1H41Ub2QZoh53OwSpGBF2-e3SBzyBvvg6psmJhmq7_bUO3XcGQLg7Pac7wiWo9Gl9m71wmFc-HURVsuJXeITxwCd2F4bcFlku-mnS4r5xl60LA0pI3XdIE_SMIOPJFc7Q&amp;amp;lib=M-zdWbhavtdZ1B_W2dnFDM0qoVt4lWzJ-"&gt;here&lt;/A&gt;.
&lt;/BODY&gt;
&lt;/HTML&gt;
</t>
  </si>
  <si>
    <t>grwTcW6k7cZJ1YPElSiF</t>
  </si>
  <si>
    <t>18039-14</t>
  </si>
  <si>
    <t>8F00241118040049</t>
  </si>
  <si>
    <t xml:space="preserve">&lt;HTML&gt;
&lt;HEAD&gt;
&lt;TITLE&gt;Moved Temporarily&lt;/TITLE&gt;
&lt;/HEAD&gt;
&lt;BODY BGCOLOR="#FFFFFF" TEXT="#000000"&gt;
&lt;!-- GSE Default Error --&gt;
&lt;H1&gt;Moved Temporarily&lt;/H1&gt;
The document has moved &lt;A HREF="https://script.googleusercontent.com/macros/echo?user_content_key=AehSKLh7Wo1OwbiuSLDVyOkXE22k-Lcx3QG08DntqTwINNBCFP3L0aiP_dTv_2_WVKM45FfGVP2rUz0q7mCYkeJEx-AIzpufNdsd4iMNLk9lOvcVmbJzynu78xWsnjvG0HBbQYu05mAawVqyZoZn_brpQsxHAi-3GInYW1X3l9vMkMRVmyRTfZApOuIWY2yZbMqdUAXUYfqbcvbWEMWR9VdWu1pILAsj1NrzXwlc2reDXO_AeDsKSIr0ORgdC_7mMXqLHuHzVqGZAvFv4AZndoV2-GqrA3fWpIr-NHoLLZPMsvEiCzOLD6J65soOrUySxA&amp;amp;lib=M-zdWbhavtdZ1B_W2dnFDM0qoVt4lWzJ-"&gt;here&lt;/A&gt;.
&lt;/BODY&gt;
&lt;/HTML&gt;
</t>
  </si>
  <si>
    <t>FxH9rVUaw4xdVINnxez2</t>
  </si>
  <si>
    <t>18039-15</t>
  </si>
  <si>
    <t>8F00241118040056</t>
  </si>
  <si>
    <t xml:space="preserve">&lt;HTML&gt;
&lt;HEAD&gt;
&lt;TITLE&gt;Moved Temporarily&lt;/TITLE&gt;
&lt;/HEAD&gt;
&lt;BODY BGCOLOR="#FFFFFF" TEXT="#000000"&gt;
&lt;!-- GSE Default Error --&gt;
&lt;H1&gt;Moved Temporarily&lt;/H1&gt;
The document has moved &lt;A HREF="https://script.googleusercontent.com/macros/echo?user_content_key=AehSKLho29tMN95JuzxMgJrSE43cKWvQuc90h_UEfGDqOSpIICdJxdradFXR_fREXv90nyV1OMwmA3S_Ab94vwBqlwJAQh-MuXYUyWpPtjo2txydcMU_NQ9VlDQpdNITipxURg6LM3CTHZC2ppAQ6wD3APMBozWQEtRWm6MHM3pMg5IrlWRc4RjPYKRxGfDzdVXRntmNel1E0anIOt92uzTLqPpw20xw7ewAkNKZql-I_MegjHyxquKDXgdhz9mqNUk6xu2s2fxOoarfVbElkw0b3bGCfMZE5SNLfCFbUIlg97aNyBBSTaDdSRQx_KKRHw&amp;amp;lib=M-zdWbhavtdZ1B_W2dnFDM0qoVt4lWzJ-"&gt;here&lt;/A&gt;.
&lt;/BODY&gt;
&lt;/HTML&gt;
</t>
  </si>
  <si>
    <t>JlNblN8ibnX5LNmjxpbz</t>
  </si>
  <si>
    <t>18039-16</t>
  </si>
  <si>
    <t>8F00250104080007</t>
  </si>
  <si>
    <t xml:space="preserve">&lt;HTML&gt;
&lt;HEAD&gt;
&lt;TITLE&gt;Moved Temporarily&lt;/TITLE&gt;
&lt;/HEAD&gt;
&lt;BODY BGCOLOR="#FFFFFF" TEXT="#000000"&gt;
&lt;!-- GSE Default Error --&gt;
&lt;H1&gt;Moved Temporarily&lt;/H1&gt;
The document has moved &lt;A HREF="https://script.googleusercontent.com/macros/echo?user_content_key=AehSKLjs86h6Ck3M_tdEwtqeY5DY2Tty1keQcAPDSLky2cdFICn_KVHuK45spu9sxl45HmUhYRGbo1NgAUg3TLKpMSaLhWpgp4dPthrgV1yvqmtZYb6aVQvNtCa2Gen-jh2dCcD1A46LbybOQqHoZVMPximo6y-h8aiE_dmgkSZjwR1QYQO8-a9ypG_LkakAQ-QYJUcX8ezPD7e0zF6ZkCnlgmtz1Xkoc0txoOurts7HJqXaGKLjGw0EOgX2Fjm31k6_eJksivsO9SSiQAIQDI8HIfQbvdStwzNpVMqTths6RAijaItNm5UpWDbIweWrvg&amp;amp;lib=M-zdWbhavtdZ1B_W2dnFDM0qoVt4lWzJ-"&gt;here&lt;/A&gt;.
&lt;/BODY&gt;
&lt;/HTML&gt;
</t>
  </si>
  <si>
    <t>P5LozhOSd9jXDZ1M1ZHt</t>
  </si>
  <si>
    <t>18039-17</t>
  </si>
  <si>
    <t>8F00250104080008</t>
  </si>
  <si>
    <t xml:space="preserve">&lt;HTML&gt;
&lt;HEAD&gt;
&lt;TITLE&gt;Moved Temporarily&lt;/TITLE&gt;
&lt;/HEAD&gt;
&lt;BODY BGCOLOR="#FFFFFF" TEXT="#000000"&gt;
&lt;!-- GSE Default Error --&gt;
&lt;H1&gt;Moved Temporarily&lt;/H1&gt;
The document has moved &lt;A HREF="https://script.googleusercontent.com/macros/echo?user_content_key=AehSKLg23F4LxcpDOY90R3s-xglF89acZmd4tvyT5Pp7E6Z6VdN7WlFnpSatJSNa3gm3Ril5qveF7k1F5Iu3hG1pIfSraICMW8nOk9mUyf8TT2uyKqm-e1iMJnnoAWNdkZ-hp-x2wJve5MRuwT-u_MJsH8XoiVNUY9x71UPrRrmQKPQSW5SCr2ORzt7LXS_A32M_4mMJRI-OgGL-Q0fCHWRn5xnU8eELCiNXcQRZWdKKoi5mjVDuuC1w1ZHEvYTtZbC6BgJVmDzwYxI2X6_SP5QBdOtepylRE2FCXcG3R4wR-5WZTlU2_3M0Jd4accCPfg&amp;amp;lib=M-zdWbhavtdZ1B_W2dnFDM0qoVt4lWzJ-"&gt;here&lt;/A&gt;.
&lt;/BODY&gt;
&lt;/HTML&gt;
</t>
  </si>
  <si>
    <t>flipEuOhiDQrjmgQXc7u</t>
  </si>
  <si>
    <t>18039-18</t>
  </si>
  <si>
    <t>8F00250104080009</t>
  </si>
  <si>
    <t xml:space="preserve">&lt;HTML&gt;
&lt;HEAD&gt;
&lt;TITLE&gt;Moved Temporarily&lt;/TITLE&gt;
&lt;/HEAD&gt;
&lt;BODY BGCOLOR="#FFFFFF" TEXT="#000000"&gt;
&lt;!-- GSE Default Error --&gt;
&lt;H1&gt;Moved Temporarily&lt;/H1&gt;
The document has moved &lt;A HREF="https://script.googleusercontent.com/macros/echo?user_content_key=AehSKLhLEXmu_x_eHRDmiN7RODm6D0CQDHFWElCu22zXtzczh7eliMIsBZ3KLZ1W7JsdeoUJ7GacbRasIgA-4hyOqV7X0PHrm8SObeymuXx0odigzGtVs06wV8TIq_oCATlS4gItGJ6lUrjYAr3fk0Fap2lkGtpQ1xnOQKuvkS8rrsbiQ6FNHMJxJ-s9YZIOBx6iBXq11PX2-WF9a5Sa_-tjrdB3X_6t-4fLBeNg3Zfza9ceAr2EakJk3Ym6R4XWd4fn2XHjl1URYGfLq15gv7HNVHL25odh40AYULmYbkd9aTHzRyDLSHYDypVc6njpJg&amp;amp;lib=M-zdWbhavtdZ1B_W2dnFDM0qoVt4lWzJ-"&gt;here&lt;/A&gt;.
&lt;/BODY&gt;
&lt;/HTML&gt;
</t>
  </si>
  <si>
    <t>TXtfVTsMO073n6gxIeSf</t>
  </si>
  <si>
    <t>18039-19</t>
  </si>
  <si>
    <t>8F00250110300026</t>
  </si>
  <si>
    <t xml:space="preserve">&lt;HTML&gt;
&lt;HEAD&gt;
&lt;TITLE&gt;Moved Temporarily&lt;/TITLE&gt;
&lt;/HEAD&gt;
&lt;BODY BGCOLOR="#FFFFFF" TEXT="#000000"&gt;
&lt;!-- GSE Default Error --&gt;
&lt;H1&gt;Moved Temporarily&lt;/H1&gt;
The document has moved &lt;A HREF="https://script.googleusercontent.com/macros/echo?user_content_key=AehSKLjBEpxHr2f7NT_tsUCFsHmCiHucIDqoTvbdQOlBPwd6gexgTpDMsQ2nVFuhyGRws8OFb7e_A_cjBRHKzGW2TREjo8IMz5qieLjf61flrIosvuk4_OmdqrYExUB5NqB50tluMPmFN5_hWL7C6Bi1Tvl_GDOx-TxYsI-i80gUeGEG7xpwj6rlAPTM0pF21B_mUJLCXSsHsI6esCoRgY866Zl0pyhQC6KAPVoWTJXNziVVU93hJtKaJPIUe7BCodW9x5ACE1xV4o0rDOdOXoIxHcpBd9sRo20CKyR10BeaPUCUpEmmrXDahcqUOvHOsQ&amp;amp;lib=M-zdWbhavtdZ1B_W2dnFDM0qoVt4lWzJ-"&gt;here&lt;/A&gt;.
&lt;/BODY&gt;
&lt;/HTML&gt;
</t>
  </si>
  <si>
    <t>rs6TD0OFoD1MDKIA0MyW</t>
  </si>
  <si>
    <t>18039-2</t>
  </si>
  <si>
    <t>8E00250110260046</t>
  </si>
  <si>
    <t xml:space="preserve">&lt;HTML&gt;
&lt;HEAD&gt;
&lt;TITLE&gt;Moved Temporarily&lt;/TITLE&gt;
&lt;/HEAD&gt;
&lt;BODY BGCOLOR="#FFFFFF" TEXT="#000000"&gt;
&lt;!-- GSE Default Error --&gt;
&lt;H1&gt;Moved Temporarily&lt;/H1&gt;
The document has moved &lt;A HREF="https://script.googleusercontent.com/macros/echo?user_content_key=AehSKLh5ejoRMI8LaGKWgiRS1Z2X5KjW7WXeK07a5-UlEWphV_oWPrQ0MEpiFajZqMCtaW5R8Vs2nozHZAddgOav4tAaUgpVwjff1mMoIJkEu0f-22fmCVzBC2tQxFBV9xdw0D1xLnIWTQ0jyVND3wDuCeoZRhNWksWZkCtLM7SuaJ3jOYBKkvpEchjYV9vVhjgjXpTzVv2KWv_DvxGDeZnypjHU2VU-AHLiG0BKkZ8xvCY5HgXRRpKevnxn53YRJTywdOOfNxzs8pTfZCfNu2fsiIWWRSyy-7ceOLmetpvQyOZfx2yQM9fAP-epoou7kQ&amp;amp;lib=M-zdWbhavtdZ1B_W2dnFDM0qoVt4lWzJ-"&gt;here&lt;/A&gt;.
&lt;/BODY&gt;
&lt;/HTML&gt;
</t>
  </si>
  <si>
    <t>VDg6CWo0nBJwYncTqRnX</t>
  </si>
  <si>
    <t>18039-20</t>
  </si>
  <si>
    <t>8F00250110300027</t>
  </si>
  <si>
    <t xml:space="preserve">&lt;HTML&gt;
&lt;HEAD&gt;
&lt;TITLE&gt;Moved Temporarily&lt;/TITLE&gt;
&lt;/HEAD&gt;
&lt;BODY BGCOLOR="#FFFFFF" TEXT="#000000"&gt;
&lt;!-- GSE Default Error --&gt;
&lt;H1&gt;Moved Temporarily&lt;/H1&gt;
The document has moved &lt;A HREF="https://script.googleusercontent.com/macros/echo?user_content_key=AehSKLjCeguaz-Yp87881DDWTrIBhOpxhxgoAoNUkF74aFb7ANyEPvo9ojEMq8MX4VXn8NWb_gd-S9m29D_K16SuLPTQCa4ad6cg9u6hiCfoxS6U-ExMz44WZyM8xiuIqMv06xQoAZpy66wzmai6Iua9-9swhpIEc_5h19A4TzzRiYtProuyX2fxQo27ncmH32wT6bF7veHuqpVgi-8xNKDNTEwHyXDNuGK1S-89p9Uw_0TtE6cmKLBWDeYoz6zncj67JagKNaCKblLx5d_3tZFOUFzjAeIg5CkLOFdYciZc_tyxlzWGZQcBu9P29V1auQ&amp;amp;lib=M-zdWbhavtdZ1B_W2dnFDM0qoVt4lWzJ-"&gt;here&lt;/A&gt;.
&lt;/BODY&gt;
&lt;/HTML&gt;
</t>
  </si>
  <si>
    <t>TsMEH3O11w0CplN7q2ad</t>
  </si>
  <si>
    <t>18039-21</t>
  </si>
  <si>
    <t>8F00250110300028</t>
  </si>
  <si>
    <t xml:space="preserve">&lt;HTML&gt;
&lt;HEAD&gt;
&lt;TITLE&gt;Moved Temporarily&lt;/TITLE&gt;
&lt;/HEAD&gt;
&lt;BODY BGCOLOR="#FFFFFF" TEXT="#000000"&gt;
&lt;!-- GSE Default Error --&gt;
&lt;H1&gt;Moved Temporarily&lt;/H1&gt;
The document has moved &lt;A HREF="https://script.googleusercontent.com/macros/echo?user_content_key=AehSKLi3SSWd2UvikGpU-b5Xw5KaHNrTsCErwodr05SEdYmZrx80mQJxYkBonexJpxM6yxoCuWsflYqJ23oMVMrKNyV_TFBbskL6y7StGe5KUdH-g1j92k6eVpVE4AfjL_aaYBOLNZadl9NRcJMytAgC4b0BA-fewXWy_H-AGJ4blOuZVo9Vfih9fgV2feoaNXb8uILRB4gcMvu_beCMCg8wSY-HJ8RGbN2X--98EPXDxnrlFZlWueCy-0mOTCEzaxkVet0BvyLvfHm8tvYxEwGtmeCB5YMqKAKM0FlriffQMX1gdpKe3hCRvElzSCxb1Q&amp;amp;lib=M-zdWbhavtdZ1B_W2dnFDM0qoVt4lWzJ-"&gt;here&lt;/A&gt;.
&lt;/BODY&gt;
&lt;/HTML&gt;
</t>
  </si>
  <si>
    <t>BN0HLBqQTeqM9ggdynfh</t>
  </si>
  <si>
    <t>18039-22</t>
  </si>
  <si>
    <t>8F00250110300031</t>
  </si>
  <si>
    <t xml:space="preserve">&lt;HTML&gt;
&lt;HEAD&gt;
&lt;TITLE&gt;Moved Temporarily&lt;/TITLE&gt;
&lt;/HEAD&gt;
&lt;BODY BGCOLOR="#FFFFFF" TEXT="#000000"&gt;
&lt;!-- GSE Default Error --&gt;
&lt;H1&gt;Moved Temporarily&lt;/H1&gt;
The document has moved &lt;A HREF="https://script.googleusercontent.com/macros/echo?user_content_key=AehSKLiL5UxG94KOpo9XEbAjEYwF_KsXKkAITF9uaI_bXuuOSlDT2onkPFyNBh2VEj26cRMaf6I2jMwSKVDycLQnh-alU58wMeL5gcsCixt1Im9NvQKZAyEDYXBmkQW5TaGalUMoSBe_PD66cgAMz0gePIylupsACRbf9NslQ7qEPjJ33xhosJ4vZnk3QdHNNxvQ3oULVAcOO0zZ2OPxcL7u4ClTpZc7GdZyarOc4s3CgoRUqEWfg3lq0HqI37DW39zdLXSjGAM1J4VWKXtcM9ZFLOoPBJEAJpG1j2HdyddPRGb-LiErLXRgXzOpLfm4Lw&amp;amp;lib=M-zdWbhavtdZ1B_W2dnFDM0qoVt4lWzJ-"&gt;here&lt;/A&gt;.
&lt;/BODY&gt;
&lt;/HTML&gt;
</t>
  </si>
  <si>
    <t>xGZXZhCCuuIJ7wadaNzF</t>
  </si>
  <si>
    <t>18039-23</t>
  </si>
  <si>
    <t>8F00250110300032</t>
  </si>
  <si>
    <t xml:space="preserve">&lt;HTML&gt;
&lt;HEAD&gt;
&lt;TITLE&gt;Moved Temporarily&lt;/TITLE&gt;
&lt;/HEAD&gt;
&lt;BODY BGCOLOR="#FFFFFF" TEXT="#000000"&gt;
&lt;!-- GSE Default Error --&gt;
&lt;H1&gt;Moved Temporarily&lt;/H1&gt;
The document has moved &lt;A HREF="https://script.googleusercontent.com/macros/echo?user_content_key=AehSKLh-hocD-ZunC8EPsG2UgWpDAAc5oAkWhUi9HjxJeOEv1-LaefLxfAdTGfJ3NjPY_OQpYafIf4JkKZvEwAraEFvT6ihOyY1MZ2uUhxyg4x3rkL-g1L7JK4wsP9uArEi9YmTUKh1tE0GzEl9Ld0cA028XnHcD8OAH9LI7b5mgCKB5TbAk1x2kWyO4WfgRVmthnbtBA20VYolqnTQhKHEMoSX8SkJTv6k5_YqcWdHb2a4SH7M6F5Gr1ua8l2j2u11EttZCiEwJNnAekN1RWGTusetowT8rONPJMJ09bn4ugTekerZrqW6y51-2WIOy0w&amp;amp;lib=M-zdWbhavtdZ1B_W2dnFDM0qoVt4lWzJ-"&gt;here&lt;/A&gt;.
&lt;/BODY&gt;
&lt;/HTML&gt;
</t>
  </si>
  <si>
    <t>IaxrwI2wbQnpdlyxeisE</t>
  </si>
  <si>
    <t>18039-24</t>
  </si>
  <si>
    <t>8F00250411520032</t>
  </si>
  <si>
    <t xml:space="preserve">&lt;HTML&gt;
&lt;HEAD&gt;
&lt;TITLE&gt;Moved Temporarily&lt;/TITLE&gt;
&lt;/HEAD&gt;
&lt;BODY BGCOLOR="#FFFFFF" TEXT="#000000"&gt;
&lt;!-- GSE Default Error --&gt;
&lt;H1&gt;Moved Temporarily&lt;/H1&gt;
The document has moved &lt;A HREF="https://script.googleusercontent.com/macros/echo?user_content_key=AehSKLih39CjUGOEyQC4jYM1WhA5EgkF1Y9WvEa0peMwtJ2sb94-gkFyYhCCCiENEzxSrCgU-iDJ-wX8tffTrxu85hF0sTP7ymsn-KvMDCUjP0CKGIUjrYWn53Ye0bZOd4t5gLvMbthCLZ_DXkd8B33hPL2hKxVeg89Bylpd4jIXUyYYV78-Il-eE4zsaN7lZGnPh0M8VVCJjByXHUwRKz_D53G2mbqvz9ENCVwA-ktkzAzqXgS05jE-kE0W5uzUUFwUUJzEmqwNyh4ae4oiXRZh-jTigXHdfiA-ayLzFTv2zTK9ZpJIlFpF3qaZe4yB7A&amp;amp;lib=M-zdWbhavtdZ1B_W2dnFDM0qoVt4lWzJ-"&gt;here&lt;/A&gt;.
&lt;/BODY&gt;
&lt;/HTML&gt;
</t>
  </si>
  <si>
    <t>WbLqCpEMw0ogHVZdDmrU</t>
  </si>
  <si>
    <t>18039-25</t>
  </si>
  <si>
    <t>8F00250411520033</t>
  </si>
  <si>
    <t xml:space="preserve">&lt;HTML&gt;
&lt;HEAD&gt;
&lt;TITLE&gt;Moved Temporarily&lt;/TITLE&gt;
&lt;/HEAD&gt;
&lt;BODY BGCOLOR="#FFFFFF" TEXT="#000000"&gt;
&lt;!-- GSE Default Error --&gt;
&lt;H1&gt;Moved Temporarily&lt;/H1&gt;
The document has moved &lt;A HREF="https://script.googleusercontent.com/macros/echo?user_content_key=AehSKLivQWrSNwMDzDzFQ3UkYIgq9Wx2XI95oMAHzKiVUOmca8AT2dEbc-rTstN0EAhjGq-YtmFKECvXFG_DW6CNVEDe9hjMs_twGM2pSz5Fi9LtHyWQ8CewyNssNO_eU4uLWgjnKXcIqpRVbF31bAFLxljWK7LPE6TE55cQPiYzp6F-2OYNerOB3ofGJRlwpbzv4YD2j_srPMrp-ROfOtxNydG0CqIEK0QoVQeFcsn2uZMwr0FAOJtuMMNsSqYBNQyasMFonoNn1nd0bBj1yGAPeJlTz9k2Fw84G4Dga6QaIS7d4G6pwUx24cSoZka8tg&amp;amp;lib=M-zdWbhavtdZ1B_W2dnFDM0qoVt4lWzJ-"&gt;here&lt;/A&gt;.
&lt;/BODY&gt;
&lt;/HTML&gt;
</t>
  </si>
  <si>
    <t>GEvPtMos5mRCIpvb4Lef</t>
  </si>
  <si>
    <t>18039-26</t>
  </si>
  <si>
    <t>8F00250411520031</t>
  </si>
  <si>
    <t xml:space="preserve">&lt;HTML&gt;
&lt;HEAD&gt;
&lt;TITLE&gt;Moved Temporarily&lt;/TITLE&gt;
&lt;/HEAD&gt;
&lt;BODY BGCOLOR="#FFFFFF" TEXT="#000000"&gt;
&lt;!-- GSE Default Error --&gt;
&lt;H1&gt;Moved Temporarily&lt;/H1&gt;
The document has moved &lt;A HREF="https://script.googleusercontent.com/macros/echo?user_content_key=AehSKLh8ovAEn-7YBAB05Zu_fwv2dxGm_ZQ4vnTH1FhlcT9H_1rGMTq8flioWvoVnBKlRvezv9k53TSAzW18zxrYmwMXrtOBGCmPe5vfLW_jBFPR104rgNGm_sOenB1521XX0uBJg_b64oD3MBJXD3Twvxf0_HI0yzc4t16gKfBftPZ-CQgB0SVPy8HNrJYLoLEXsGu2cIrhIgWSXUBZv2pqEkvm8K7X8cKg25l0lg6g2UDqS6S5hW5lq44Fwn8PwnHjbdIFWZQS_PQocW1676xGgBd6soD9-oLNxBeaRffmooLb-MWdhR1Xn1VkeGwZDg&amp;amp;lib=M-zdWbhavtdZ1B_W2dnFDM0qoVt4lWzJ-"&gt;here&lt;/A&gt;.
&lt;/BODY&gt;
&lt;/HTML&gt;
</t>
  </si>
  <si>
    <t>iU71dfyhJ0o0KVGhdpjd</t>
  </si>
  <si>
    <t>18039-27</t>
  </si>
  <si>
    <t>8F00250411520030</t>
  </si>
  <si>
    <t xml:space="preserve">&lt;HTML&gt;
&lt;HEAD&gt;
&lt;TITLE&gt;Moved Temporarily&lt;/TITLE&gt;
&lt;/HEAD&gt;
&lt;BODY BGCOLOR="#FFFFFF" TEXT="#000000"&gt;
&lt;!-- GSE Default Error --&gt;
&lt;H1&gt;Moved Temporarily&lt;/H1&gt;
The document has moved &lt;A HREF="https://script.googleusercontent.com/macros/echo?user_content_key=AehSKLgvU2D9Cl8VnwexL-XVyplOBhHIF2xlhWJwGvdDvJaWhuuIh0LTAbOTXrhaoYRUoqLg0fo9Qx3fxSPJbvX0cimokzQTZa1igvP9P3NNMIJGs62NgrtAZz5KCYyiSnfpTaXX4xTuymZxm0SsxaqGfUXmT297uMlEDH6WE0x9cMid-4HHrYBrYr5Copvd7IDkh4o741EB7k8wDZGuF01nVSd5hh8hxfPTdw4ILzZKmN22AeOq_lTcHIxAX3l9fc86-f-4v0Xdy3aKDTubzYEBwyXnbib7e8e7l1aYDYyrEPO-Z9Kw8MYAUGiMl-fT2w&amp;amp;lib=M-zdWbhavtdZ1B_W2dnFDM0qoVt4lWzJ-"&gt;here&lt;/A&gt;.
&lt;/BODY&gt;
&lt;/HTML&gt;
</t>
  </si>
  <si>
    <t>xokauAuAkIAgh9pw2rPS</t>
  </si>
  <si>
    <t>18039-3</t>
  </si>
  <si>
    <t>8E00250110260044</t>
  </si>
  <si>
    <t xml:space="preserve">&lt;HTML&gt;
&lt;HEAD&gt;
&lt;TITLE&gt;Moved Temporarily&lt;/TITLE&gt;
&lt;/HEAD&gt;
&lt;BODY BGCOLOR="#FFFFFF" TEXT="#000000"&gt;
&lt;!-- GSE Default Error --&gt;
&lt;H1&gt;Moved Temporarily&lt;/H1&gt;
The document has moved &lt;A HREF="https://script.googleusercontent.com/macros/echo?user_content_key=AehSKLheEJhVDQagoEVTy1zNNsnCH_3lSjfCP_erTb85g1pNiIpQoogA6-sPdOWSmlhT5qwQb737tDDuhBp097MeAywOx3VsHEEajKt-rUQesvp3vcz5BCiTszsq4FMYfKVapg0tlfKmydhoIepbWzVVjWEKhvOOWMk7WkPpqgI2fneNcNiRTVrA_DmPTCthF8366PDVWliuolj1UcK0fprAKSsCBLj21sMz_iYb07kDM4zOHVF2qj_Jo8HfEdQPejRJ1vGvAWwr6JlLJkwSmhfKFy4kK_Oy31JGxkc23PZ9yjR_CNYw-Y1MG7rXITl8tQ&amp;amp;lib=M-zdWbhavtdZ1B_W2dnFDM0qoVt4lWzJ-"&gt;here&lt;/A&gt;.
&lt;/BODY&gt;
&lt;/HTML&gt;
</t>
  </si>
  <si>
    <t>TiXWN8QHT0DoD7WjtcUe</t>
  </si>
  <si>
    <t>18039-4</t>
  </si>
  <si>
    <t>8E00250110260047</t>
  </si>
  <si>
    <t xml:space="preserve">&lt;HTML&gt;
&lt;HEAD&gt;
&lt;TITLE&gt;Moved Temporarily&lt;/TITLE&gt;
&lt;/HEAD&gt;
&lt;BODY BGCOLOR="#FFFFFF" TEXT="#000000"&gt;
&lt;!-- GSE Default Error --&gt;
&lt;H1&gt;Moved Temporarily&lt;/H1&gt;
The document has moved &lt;A HREF="https://script.googleusercontent.com/macros/echo?user_content_key=AehSKLiZZS3s_A3mOMBsO0r6ovlUP9YCSf5q554UoOMF4f59a5fc0m7xb6Me4-wDLOdAn_vDWAIBWSauuJJ8Q11uWeUWewrh6_Ko2fq4gK__nbtkxB2QA6wLlpeIcXTc7Ew_rO5EhIvmNzdKeyNo7_Q-yZsaQ3u_JrIjqB3s3rfOo1htLPNHJQHn_mbi34fsMywgaCV73B74kKDntUUtOr3QK0vfiFbfwYbEQxF1xWBSPeOUlJ2vrkiiNt1JtWGZ-ZM3qDSWN397pCIOvPJDEXHj6j9DelpXTclf7t16cuJdmSyVKog9B7Oqi2P7WbLETA&amp;amp;lib=M-zdWbhavtdZ1B_W2dnFDM0qoVt4lWzJ-"&gt;here&lt;/A&gt;.
&lt;/BODY&gt;
&lt;/HTML&gt;
</t>
  </si>
  <si>
    <t>tQ4Y2zNWeqRmVjJEPEVW</t>
  </si>
  <si>
    <t>18039-5</t>
  </si>
  <si>
    <t>8F00250411490001</t>
  </si>
  <si>
    <t xml:space="preserve">&lt;HTML&gt;
&lt;HEAD&gt;
&lt;TITLE&gt;Moved Temporarily&lt;/TITLE&gt;
&lt;/HEAD&gt;
&lt;BODY BGCOLOR="#FFFFFF" TEXT="#000000"&gt;
&lt;!-- GSE Default Error --&gt;
&lt;H1&gt;Moved Temporarily&lt;/H1&gt;
The document has moved &lt;A HREF="https://script.googleusercontent.com/macros/echo?user_content_key=AehSKLg4u9e6WB2jPO5btxOv_zqFWu4DQt-7QsQchbrba1u9YhYZKC0jEKZ99zgn3_uT7giwpoQVY86hRz01FbOlu8FOVwRJ0_HYDWLdz196FtIhL52LPQmAs_28G4IKhNr5dcO2RY5GMFQNMHAjJQ9BE-xxvPHnkBm1Iek-U4vhnYTrzujqf5Dv4O15-WV1Q2ehdEHbXy1KjLOSoUCCDtcndhV2pDWnLBhvQhUdMTjmNFgeyE3IUt4GZtNOQWhKAgLSZsyLx1-IYcqymJ9QccULiSfXmf713DJqHsjXwl4FmtEBJW54YtJH7vYyjvvl9A&amp;amp;lib=M-zdWbhavtdZ1B_W2dnFDM0qoVt4lWzJ-"&gt;here&lt;/A&gt;.
&lt;/BODY&gt;
&lt;/HTML&gt;
</t>
  </si>
  <si>
    <t>kCyJu3gvtoVvJ9KcjW92</t>
  </si>
  <si>
    <t>18039-6</t>
  </si>
  <si>
    <t>8F00250411490002</t>
  </si>
  <si>
    <t xml:space="preserve">&lt;HTML&gt;
&lt;HEAD&gt;
&lt;TITLE&gt;Moved Temporarily&lt;/TITLE&gt;
&lt;/HEAD&gt;
&lt;BODY BGCOLOR="#FFFFFF" TEXT="#000000"&gt;
&lt;!-- GSE Default Error --&gt;
&lt;H1&gt;Moved Temporarily&lt;/H1&gt;
The document has moved &lt;A HREF="https://script.googleusercontent.com/macros/echo?user_content_key=AehSKLgKxa7bikQh4gevsBrDmHWkrZIp6YqDmrN2QGZTLbNrMJQ63m4fvNmBpTe2v1D6i73ZfPBT6nNjT4V3C3sRojlw_LLMTQdYPw07qdN1kyPNwjRc8FFZ2S_o9wkJ5B6FxAKf8Eh6fjxDcLvN0W3atUkcn1I0Xt_Tfit3FM68dhRkDMbG2abUI2J889DfOBnmusA5KO3K67XT1Fg7TaZ_jbVpsa0HXUakAGSpPI4fkn_8U7_A93D1u1juSIkHvUfjGlLpCceRFj6NnN3QT5KREBwTKLVxiRblMspY5rLBaBfbPFse-SXq6kZg4-O_gQ&amp;amp;lib=M-zdWbhavtdZ1B_W2dnFDM0qoVt4lWzJ-"&gt;here&lt;/A&gt;.
&lt;/BODY&gt;
&lt;/HTML&gt;
</t>
  </si>
  <si>
    <t>xR94sGggofi6iaIGxDGT</t>
  </si>
  <si>
    <t>18039-7</t>
  </si>
  <si>
    <t>8E00250208070048</t>
  </si>
  <si>
    <t xml:space="preserve">&lt;HTML&gt;
&lt;HEAD&gt;
&lt;TITLE&gt;Moved Temporarily&lt;/TITLE&gt;
&lt;/HEAD&gt;
&lt;BODY BGCOLOR="#FFFFFF" TEXT="#000000"&gt;
&lt;!-- GSE Default Error --&gt;
&lt;H1&gt;Moved Temporarily&lt;/H1&gt;
The document has moved &lt;A HREF="https://script.googleusercontent.com/macros/echo?user_content_key=AehSKLjJTsvMtVkfSfrE28fPV3jlC3Cm2THssjRDWJQcL9CYgNeePjimvvVWpu_i-vdtftBIDDpPsdIR_HBhNBKz51VQmqRAXKkS_GPBOSFVqWqMP3LL_ukCAUZ0haTgrTua8TxXk86axbRixqYyyLtN-NigZNyMcXrv8YoIWBqbLmDs_RTS1oeDr2WWbBpXDitdLqy9MtESuqbgJPT7lE2vQ_NKFatwUQQI9xKpM5RxwoxxOz0QRZV9TQAZD5T_1x0vtROM5Mpucqm7s1gJ2hwVQEwoqoENi73iR7TlQaxP6fVn3O_CTeOQV-a32-yaHw&amp;amp;lib=M-zdWbhavtdZ1B_W2dnFDM0qoVt4lWzJ-"&gt;here&lt;/A&gt;.
&lt;/BODY&gt;
&lt;/HTML&gt;
</t>
  </si>
  <si>
    <t>AEG43lph5gu9W4exKgt0</t>
  </si>
  <si>
    <t>18039-8</t>
  </si>
  <si>
    <t>8F00250411490003</t>
  </si>
  <si>
    <t xml:space="preserve">&lt;HTML&gt;
&lt;HEAD&gt;
&lt;TITLE&gt;Moved Temporarily&lt;/TITLE&gt;
&lt;/HEAD&gt;
&lt;BODY BGCOLOR="#FFFFFF" TEXT="#000000"&gt;
&lt;!-- GSE Default Error --&gt;
&lt;H1&gt;Moved Temporarily&lt;/H1&gt;
The document has moved &lt;A HREF="https://script.googleusercontent.com/macros/echo?user_content_key=AehSKLhQnglKp-CqIAdG3ZBtDguCiEYsQIhLGKrxu6G5xsst7dKQ7ip5IIg_4xWuORGBgezG285_HCgTVVCnKzwdxgXVpddmuPGRQ7f01tPTmpDEv6VAXJTZvB-F_NzFqRjwIikPSrbOiqB882j7O7UcuKdZPqraTgnUVRdLup6TKI7rNn3ToQfKmOSDigu4Fwqrs2U7enZb8lND1kDrVt4PXNc8WagV45a1YpCqdngl8fHbEwqE0lPPytSdwkvAalzWoNtxQy22HcPP6Jq13dN_aCuzLXQEt5kcVYZECo6MAw5zdjQTON_ZbrFUkH9Nlg&amp;amp;lib=M-zdWbhavtdZ1B_W2dnFDM0qoVt4lWzJ-"&gt;here&lt;/A&gt;.
&lt;/BODY&gt;
&lt;/HTML&gt;
</t>
  </si>
  <si>
    <t>9GgoQLjgqbq9ogvvdtj1</t>
  </si>
  <si>
    <t>18039-9</t>
  </si>
  <si>
    <t>8F00241118040054</t>
  </si>
  <si>
    <t xml:space="preserve">&lt;HTML&gt;
&lt;HEAD&gt;
&lt;TITLE&gt;Moved Temporarily&lt;/TITLE&gt;
&lt;/HEAD&gt;
&lt;BODY BGCOLOR="#FFFFFF" TEXT="#000000"&gt;
&lt;!-- GSE Default Error --&gt;
&lt;H1&gt;Moved Temporarily&lt;/H1&gt;
The document has moved &lt;A HREF="https://script.googleusercontent.com/macros/echo?user_content_key=AehSKLiyJY6ekmaHfXA9YN5du3iGVgw78yVwiL4F2cEsarFIH1QcA_n0vztNlTJ530P8A-0cjrxXqy6mY0GSXozC3EAkpjnIshiwzM13LeigCN3XfvibkWj5-JI3xj-oY_SIi3J2bUNlfe-sU2tFguKuuv2YwZmXuW9kG-lFCT3Jn50DR_hII5W5nqCvDpB0UUX7ndIOonujs-zeR8zt1IMvD2JqBim0Pzq3JGscz87zKK2FINcw0fVf4ffMKokYFJw9BJoWClxh82zndINDcUC4oNMHmi-cb2xSGoyLKWczw-I3E1XxPUTQSLV5Ya6Vsg&amp;amp;lib=M-zdWbhavtdZ1B_W2dnFDM0qoVt4lWzJ-"&gt;here&lt;/A&gt;.
&lt;/BODY&gt;
&lt;/HTML&gt;
</t>
  </si>
  <si>
    <t>XbNc1oOPORoHOKz86Hxs</t>
  </si>
  <si>
    <t>18040</t>
  </si>
  <si>
    <t>PINEPIN</t>
  </si>
  <si>
    <t>MJI9J08 - RETIRA - JONAS CAETANO  - 04739596903 - CHEVROLET  / CARGA CAMIONETE  / PRATA / 2012</t>
  </si>
  <si>
    <t>RETIRADA NA FABRICA / (0) Obs.Interna: CONSUMIDOR FINAL, VENDA FEITA PELA EMPRESA ABNOM SOLAR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</si>
  <si>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378H2YC-l4GYZ9FfnHiFOzM7J7AzCZmo9NAd3RAGMSWS7Pxqy5NzCYgEG-VhlD-AIgnZzjdbT8SNT2owER4-vp6k5QsdWIQU4cQkc2Jmi4kbi8HOuzVaWyw17iTBNS2WFbQUmUHqZexmWqP3D8T5UGT_Tuxa6IhzaPdEh6oGXUx1h1FyGa1r4D7RsnIyGJjuRlM2sJGsC59Ly6AB4tI2PPyzvDEBbe-Hbau5c21TOSYsy_AUR-xf4LpFoHJS97bvZNeX7P91oDpunIEXM4eh-OvL2n4B5fRFKp8WGTz5KUC80H2bLFcNF4hkPjg&amp;amp;lib=M-zdWbhavtdZ1B_W2dnFDM0qoVt4lWzJ-"&gt;here&lt;/A&gt;.
&lt;/BODY&gt;
&lt;/HTML&gt;
</t>
  </si>
  <si>
    <t>a.sYX24gWRLm-QXiD1i5Qng</t>
  </si>
  <si>
    <t>18043-A</t>
  </si>
  <si>
    <t>H2o Piscinas</t>
  </si>
  <si>
    <t>8E00241224040014</t>
  </si>
  <si>
    <t>BYH1G04 - TW - REALDO STURMER - 35120720030 - MERCEDES / 1714 / BRANCO / 2012</t>
  </si>
  <si>
    <t>EXPRESSO SAO MIGUEL S/A / (051) 3586-2013Informação Adicional: VALOR DE CADA MAQUINA R$4845,00 / Obs.Interna: VALOR DE CADA MAQUINA r$4845,00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</si>
  <si>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OmAQmlP9sHNrB9kzIRZDHtrPctROEW-Du_eFZM8idqNqpcU3-pyuOxdH4Q1OaYGed-CnwR5uAUh7U81vkE0txHjFWvLyR762lfWvmUF7hv9TJG7KyLIonO35MbySquLdK6S_QcOoMceltcQzV3rbqPE2Wg5I61nm-clzJOHdfWpwBJN3LzsE4X5wYboXd2G9X-SIor_9P5f4B5TTg9MOxODYh7ggcKnNzBR5MNX2eTdbv4JAI1VsAOdNhQl8KdxGcsQu0tVGp-O68phXdfW9TNqjtcnlu9T1xU-ibswwQ6KnzSdmUrrBJ1UWmsQ&amp;amp;lib=M-zdWbhavtdZ1B_W2dnFDM0qoVt4lWzJ-"&gt;here&lt;/A&gt;.
&lt;/BODY&gt;
&lt;/HTML&gt;
</t>
  </si>
  <si>
    <t>vIfyHwrypl33745tPE0f</t>
  </si>
  <si>
    <t>18043-B</t>
  </si>
  <si>
    <t>8E00241224040013</t>
  </si>
  <si>
    <t xml:space="preserve">&lt;HTML&gt;
&lt;HEAD&gt;
&lt;TITLE&gt;Moved Temporarily&lt;/TITLE&gt;
&lt;/HEAD&gt;
&lt;BODY BGCOLOR="#FFFFFF" TEXT="#000000"&gt;
&lt;!-- GSE Default Error --&gt;
&lt;H1&gt;Moved Temporarily&lt;/H1&gt;
The document has moved &lt;A HREF="https://script.googleusercontent.com/macros/echo?user_content_key=AehSKLjTydOTMIzQx0fbUeXiuDcVvxOo26D1vmsS1q5uUOjoL96K-u4gnK7_W8WqHixTIAWWkQsQG57NG5u2Lsx5kLPIChTzuZL3cHXjHdRLwOnJr1sEyZwnQLwhBXWcXVQx_rN9T54NyXAKw6oPSg2gWkHbh6-g1SWGBqaGA88wdECo2IiGKpZU6OVOWHczYJ7Kdz3e7hbWZzUADRWML-zXy_KXWMF7rAgBYGN6HuZYKIGksWjUIfKoTHYXOn4RAUyyKHz2j2y9OfE5cA2vjKbTNzSAXrfJzQ7fw5VzBFjN82DtLpHn83RvEH2oWWOIVg&amp;amp;lib=M-zdWbhavtdZ1B_W2dnFDM0qoVt4lWzJ-"&gt;here&lt;/A&gt;.
&lt;/BODY&gt;
&lt;/HTML&gt;
</t>
  </si>
  <si>
    <t>ljEkpHrMWECrbULjfq53</t>
  </si>
  <si>
    <t>18045</t>
  </si>
  <si>
    <t>8E00250208070003</t>
  </si>
  <si>
    <t>EXPRESSO SAO MIGUEL S/A / (051) 3586-2013Informação Adicional: REDESPACHO FOB CNPJ 24.882.886/0002-93 - RADLOG TRANSPORTES LTDA Rua UMBUZEIRO, 123 - Cep</t>
  </si>
  <si>
    <t xml:space="preserve">&lt;HTML&gt;
&lt;HEAD&gt;
&lt;TITLE&gt;Moved Temporarily&lt;/TITLE&gt;
&lt;/HEAD&gt;
&lt;BODY BGCOLOR="#FFFFFF" TEXT="#000000"&gt;
&lt;!-- GSE Default Error --&gt;
&lt;H1&gt;Moved Temporarily&lt;/H1&gt;
The document has moved &lt;A HREF="https://script.googleusercontent.com/macros/echo?user_content_key=AehSKLjCBRwrX96pIueuS3HtsaN6aDtB-3dF6W_6VDSWlHQxeh2ZVkFTurU9HTpKPWo8VFoEBO25SLZfUtP3g8URL1pyBijhtLYp7dBmVfHfJ9qUDldq7VmsLf00JwCc-GWM1BouWdNhq7WdrGz75H3Xse2F7lRT2pD2AtPc5q26NKqLbqTrs78fO7HqUfXllh1FyK5WYhfbYJnSH6MhbDP5iyIMJP-A2sPi_X1nx5zzei1EZIruirN5bYSQeII8HeVKr3yXyMh9HukbQlEifbNcEvsQo6vBkwqhS8zzNX_R52KwwR7uIqB53hXFyaoSXw&amp;amp;lib=M-zdWbhavtdZ1B_W2dnFDM0qoVt4lWzJ-"&gt;here&lt;/A&gt;.
&lt;/BODY&gt;
&lt;/HTML&gt;
</t>
  </si>
  <si>
    <t>otUVHeJ3SqGQ1g3DVMKsFg</t>
  </si>
  <si>
    <t>18048</t>
  </si>
  <si>
    <t>Arthur Victor de Sá Rodrigues Morais</t>
  </si>
  <si>
    <t>8F00250110300039</t>
  </si>
  <si>
    <t>FITLOG TRANSPORTES E LOGISTICA LTDA / (048) 996277956Informação Adicional: VENDA INDICADA CAXANGÁ PISCINAS SEM COMISSÃO - REDESPACHO: RF BRATRANSPORTES LTDA - 49.515.412/0001-53 - ENTREGA NA AV CAXANGÁ, 1562 - CAXANGÁ PISCINAS - DESCONTO 40/10/10 + DIFAL 13,5% /</t>
  </si>
  <si>
    <t xml:space="preserve">&lt;HTML&gt;
&lt;HEAD&gt;
&lt;TITLE&gt;Moved Temporarily&lt;/TITLE&gt;
&lt;/HEAD&gt;
&lt;BODY BGCOLOR="#FFFFFF" TEXT="#000000"&gt;
&lt;!-- GSE Default Error --&gt;
&lt;H1&gt;Moved Temporarily&lt;/H1&gt;
The document has moved &lt;A HREF="https://script.googleusercontent.com/macros/echo?user_content_key=AehSKLilMhqM_kwmru9nI6-bIcP-JlY7DrzzLBmgubXuUCZmZhlqKKth-R2TMVZAy-mBk2FGJFcE-OTUlHL5Cg_AiuKQJnN1UTPcbP4kDkofbs1boDQnJ20ssg_fEXrmPMg68V3XXlqRo1KKO_VZJ6_ykzatJHpWqjGCRbVV4JWZlzCQ1ydlxhaULyR9xC86ogx61gZdm7Gcy9YV2KYtQMLiPzp6xu-C7M_X6q_FLs7pf0bM1qVbcqfmfKe8v1CnFgSFSshdvew15ycOsJEE9ya4m7Hp7yMNGn2cUTx5ogGi_t-IxNocgpCVSlHL-B-OFA&amp;amp;lib=M-zdWbhavtdZ1B_W2dnFDM0qoVt4lWzJ-"&gt;here&lt;/A&gt;.
&lt;/BODY&gt;
&lt;/HTML&gt;
</t>
  </si>
  <si>
    <t>Pqx1Eh3AQ.-bEeddshe-qg</t>
  </si>
  <si>
    <t>18050</t>
  </si>
  <si>
    <t>8F00241225070002</t>
  </si>
  <si>
    <t>EXPRESSO SAO MIGUEL S/A / (051) 3586-2013Informação Adicional: 30/60/90 VALOR   R$9.239,83 / Obs.Interna: 30/60/90 VALOR   R$9.239,83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</si>
  <si>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upR9Ln-1d3O1no8Jyu4rHF28nV8W-W9hSG0Wye7wqLxehkEElzsgcBKjGLgrdsm8D4e43gatVeQyPhLNB_a_ETWMHpGYI92dan8uOB9H6AhxU9QjVC3Xzq8zXmUW5JAC0a29byzT2EuJX3E1_pglOxd6QqehbkgOywSfZtBC9TbnRQk9NBMs8I0AwbxCK3zLe_aAoog2rcwX7HlU4oaJ_ixIUcnPP7HbdOuKBOtjzwMvZHDXqp3MQ4a5fg0y8cT-YNwjiF5SENBTBrgDilGEdrQmOUKsxi-idUpGezogU0sP2BG-vIf85ay4Qjg&amp;amp;lib=M-zdWbhavtdZ1B_W2dnFDM0qoVt4lWzJ-"&gt;here&lt;/A&gt;.
&lt;/BODY&gt;
&lt;/HTML&gt;
</t>
  </si>
  <si>
    <t>uhAguxkVSrWc2mZ7KIimEQ</t>
  </si>
  <si>
    <t>18051</t>
  </si>
  <si>
    <t>8F00250208110010</t>
  </si>
  <si>
    <t>CLIENTE RETIRA / (0) Informação Adicional: PEDIDO CLIENTE: 16596 - AGV/JD ITALIA</t>
  </si>
  <si>
    <t xml:space="preserve">&lt;HTML&gt;
&lt;HEAD&gt;
&lt;TITLE&gt;Moved Temporarily&lt;/TITLE&gt;
&lt;/HEAD&gt;
&lt;BODY BGCOLOR="#FFFFFF" TEXT="#000000"&gt;
&lt;!-- GSE Default Error --&gt;
&lt;H1&gt;Moved Temporarily&lt;/H1&gt;
The document has moved &lt;A HREF="https://script.googleusercontent.com/macros/echo?user_content_key=AehSKLid5uvtHSpXMJpJnUur-4QgJzS4n98cTfISrQn82jqfHOmuXDpo6wQMDxswlw5zWLHngcYAPcvHfr9cZ6gA4AC0XJQHAdHZvUL1W9AAO-JhDcss1pNivWrOTkJLsquWvyUa6Az0ZMx0y_tDDaXHwxjAG5mjzwXlozqaUwnS995E5m9ABRrlOr2VGGJpNGdxtaw7gUHUaZLG9NvwA_AADLsQALHOamit_ERphCpE51kirfnfVZm7W-4i3NCsnrw8vkr0zYhPh2S2zxvG5E7YITiqRF4MjbFgKx1sVjfE2gd3C3UDnIEcMsbcZOTgyQ&amp;amp;lib=M-zdWbhavtdZ1B_W2dnFDM0qoVt4lWzJ-"&gt;here&lt;/A&gt;.
&lt;/BODY&gt;
&lt;/HTML&gt;
</t>
  </si>
  <si>
    <t>qqB1SjGxT1GBazg-nvrpnQ</t>
  </si>
  <si>
    <t>18052</t>
  </si>
  <si>
    <t>Fabio Lites de Gusmão Costa</t>
  </si>
  <si>
    <t>8F00250329050019</t>
  </si>
  <si>
    <t>FITLOG TRANSPORTES E LOGISTICA LTDA / (048) 996277956Informação Adicional: VENDA INDICADA POR CAXANGÁ PISCINAS SEM COMISSÃO - REDESPACHO: RF BRA TRANSPORTES (49.515.412/0001-53) ENTREGA: AV CAXANGÁ 1562 - DESCONTO 40/10/10 + 13,5% / Obs.Interna: VENDA</t>
  </si>
  <si>
    <t xml:space="preserve">&lt;HTML&gt;
&lt;HEAD&gt;
&lt;TITLE&gt;Moved Temporarily&lt;/TITLE&gt;
&lt;/HEAD&gt;
&lt;BODY BGCOLOR="#FFFFFF" TEXT="#000000"&gt;
&lt;!-- GSE Default Error --&gt;
&lt;H1&gt;Moved Temporarily&lt;/H1&gt;
The document has moved &lt;A HREF="https://script.googleusercontent.com/macros/echo?user_content_key=AehSKLgbsh5PqH-xvv43CgvOoR_lThUp38RITvAOEbusaC-e2ercW5muYozfyioeSCbD5zpvbc2satNxQ-yvtAILVEYHxmf5F8RnucRwgU3Z15gPAe7oXZ14Wo4r1NYQLzyEPVfohjM6Lh9trHB2QPSIpv4WmhmgYI6mLkSfc9ggyzUd6nJAc1DwlgnmS3fBsKVOTerYL0alCqDfmdkPYLvpLAHro9jrcQfZ4ps3pdQCquqUwuiL5G4Qer1wZbxRJyG2wg9AaAM2W1WjyGmPBw8IoaILCpj1cfhCNkdmXqfuWdYyKoxUPAlm-VhcPWl05w&amp;amp;lib=M-zdWbhavtdZ1B_W2dnFDM0qoVt4lWzJ-"&gt;here&lt;/A&gt;.
&lt;/BODY&gt;
&lt;/HTML&gt;
</t>
  </si>
  <si>
    <t>4iYR0654QBaV7ia6vFBoKQ</t>
  </si>
  <si>
    <t>18053-A</t>
  </si>
  <si>
    <t>8F00250329050013</t>
  </si>
  <si>
    <t>EXPRESSO SAO MIGUEL S/A / (049) 3361-6627Informação Adicional: ENTRADA +30/60/90/120/150 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</si>
  <si>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AzJwk9khDahzkPjdXzrN3bP2rJ75qyF24102Elu4Psf0UDgwXfJojIdnkbIR6n3CGWpV880iRFrlabOo3c6rTdIUbftyvbDm1CMAn_GJ_dxHlE4yPCdbvP6EvgEbusTyA66ha6LW9YS2MNgWznqYxiZ4fa7AXTi_Iiy-bFdme9rh7-BtdforemZC4VOrhxbwjG7l_F6KhQUnglydNe4KkDlV7sqxlIfOh-cdRYFBl7fczx524yK9iDDmmyKr17lemwwxLW-Qx38IKEWKEykZko51cYUjcbdKGAPBTy-GwilhoRpaZ0-RazMHvQ&amp;amp;lib=M-zdWbhavtdZ1B_W2dnFDM0qoVt4lWzJ-"&gt;here&lt;/A&gt;.
&lt;/BODY&gt;
&lt;/HTML&gt;
</t>
  </si>
  <si>
    <t>MW9lFbG1QLmRDQ0-H49ITA</t>
  </si>
  <si>
    <t>18053-B</t>
  </si>
  <si>
    <t>8F00250329050012</t>
  </si>
  <si>
    <t xml:space="preserve">&lt;HTML&gt;
&lt;HEAD&gt;
&lt;TITLE&gt;Moved Temporarily&lt;/TITLE&gt;
&lt;/HEAD&gt;
&lt;BODY BGCOLOR="#FFFFFF" TEXT="#000000"&gt;
&lt;!-- GSE Default Error --&gt;
&lt;H1&gt;Moved Temporarily&lt;/H1&gt;
The document has moved &lt;A HREF="https://script.googleusercontent.com/macros/echo?user_content_key=AehSKLjlM4My9ANM205N8JtRafYTBLfXi3RlpBPcdcMZzjvSHRBtyL1gjN12Q61s9FndTi0ydsTWmVjZYLC5jSE98lKhMRLdJPR2OA6r4yFSGuGxfOX1kn36Iu-b6hf3bL26UzOSCZgLbMFU3VlRAfSMC8OMIih7PCW1GUJYBe6gHhQSfWCmv3sTnE0sciLaKpzqmxYMZR3rAtm_Me28F7dUP9fQ8QVAD_GkC6_gn_UEEwCbq6k0aqnc7MaDUersQ1bGRW0yVzGknk2dZOcen7xK8UHzRpfRgHn17dHblzQmalKFUNqVdHzYxUNoTuOjdA&amp;amp;lib=M-zdWbhavtdZ1B_W2dnFDM0qoVt4lWzJ-"&gt;here&lt;/A&gt;.
&lt;/BODY&gt;
&lt;/HTML&gt;
</t>
  </si>
  <si>
    <t>rwiU0CkQhrgxM4NYD6rd</t>
  </si>
  <si>
    <t>18053-C</t>
  </si>
  <si>
    <t>8F00250329060027</t>
  </si>
  <si>
    <t xml:space="preserve">&lt;HTML&gt;
&lt;HEAD&gt;
&lt;TITLE&gt;Moved Temporarily&lt;/TITLE&gt;
&lt;/HEAD&gt;
&lt;BODY BGCOLOR="#FFFFFF" TEXT="#000000"&gt;
&lt;!-- GSE Default Error --&gt;
&lt;H1&gt;Moved Temporarily&lt;/H1&gt;
The document has moved &lt;A HREF="https://script.googleusercontent.com/macros/echo?user_content_key=AehSKLhjNZqhuK_-KAc7Pd-rJY3o4ObqIIBMg0gjXeSPrmMdjO7tRXtDiMkLt5txdsc8DIyZmwKhhNeFWkYsrV3WBLAM010gzcciv2b0zMbDTzWRg8PJjOmkfi98elrPUve2XIib4_NVvaW-Oe_Z1u4XFJBnIhPrDYEesZgZAY-S1KFQ2-qjWJhlENb3GCp2eW2GZFGG2bkRKk-JsUYWQOIPEteDgi2LoEbM2nwUipVV9LiiFTiFiZQobEHmHOfeb4eeTwC43rqZ3R5DF67R-86UQ2TVBVnSdMQoimSG8hIPgODCTi2BPwpPaO2Lfhj0IQ&amp;amp;lib=M-zdWbhavtdZ1B_W2dnFDM0qoVt4lWzJ-"&gt;here&lt;/A&gt;.
&lt;/BODY&gt;
&lt;/HTML&gt;
</t>
  </si>
  <si>
    <t>pWbBivPjAorWGry3AWCw</t>
  </si>
  <si>
    <t>18053-D</t>
  </si>
  <si>
    <t>8E00250208070008</t>
  </si>
  <si>
    <t xml:space="preserve">&lt;HTML&gt;
&lt;HEAD&gt;
&lt;TITLE&gt;Moved Temporarily&lt;/TITLE&gt;
&lt;/HEAD&gt;
&lt;BODY BGCOLOR="#FFFFFF" TEXT="#000000"&gt;
&lt;!-- GSE Default Error --&gt;
&lt;H1&gt;Moved Temporarily&lt;/H1&gt;
The document has moved &lt;A HREF="https://script.googleusercontent.com/macros/echo?user_content_key=AehSKLicW814fpymVZUIr1lBzZGzmfqjkVqMQjkgePfBUKFql_D2pkAStgEzq-r30lAM-p01gvIQVwh_jZ2ml4NF5vSNU8GpaIvAAzdgMawuUZdUYw_k5TwCEtDbzFEzvu1JLI1jVsvhQbdE07O6IvGVCubLnnkqGzsXmJvOI14l50Q6Uap5noDXpCyjKj3kue9YXMqCST0K8J4pSQ9xP3Gv6UscyzrzgmwLBn-Iv7cp8KZF-Uw9b_pbkT0eJGben2L4X2ANXqte4nwYbQ07YRuF53nHxmi7m1gdineULHqrGYr82Xq4k6jsrcmtZxyHag&amp;amp;lib=M-zdWbhavtdZ1B_W2dnFDM0qoVt4lWzJ-"&gt;here&lt;/A&gt;.
&lt;/BODY&gt;
&lt;/HTML&gt;
</t>
  </si>
  <si>
    <t>pZG5UHFI4iwECdn4PMHn</t>
  </si>
  <si>
    <t>18053-E</t>
  </si>
  <si>
    <t>8F00241225070003</t>
  </si>
  <si>
    <t xml:space="preserve">&lt;HTML&gt;
&lt;HEAD&gt;
&lt;TITLE&gt;Moved Temporarily&lt;/TITLE&gt;
&lt;/HEAD&gt;
&lt;BODY BGCOLOR="#FFFFFF" TEXT="#000000"&gt;
&lt;!-- GSE Default Error --&gt;
&lt;H1&gt;Moved Temporarily&lt;/H1&gt;
The document has moved &lt;A HREF="https://script.googleusercontent.com/macros/echo?user_content_key=AehSKLj2iMKT26A2Xn_Ez1HLE2f-zJZKwq7TNaN4ijbm8aRY5vfez9tHAhis84eXGlenqTHTc5p64RKAoWN5_SsEJdiYqaQ48gTOVO6Tst_ZB1sUd4Ad8rlYfkvBpDZTqlhJoiRX1VM0swFWo_0qq97A00e3er1LWBNwBvu-0ZcQUI8bjb6--Ov-RlDrIH2iCvkvoTgmFkPKyIhOhZMY78HmEwSHzxxzAr1uoVm4ZLLUql940kghkCTyd3qjd6-c4KjU3BUNdcWuXNzyP5RkE-SrzDlpa4MXH3-JsBWQ_qBKcQk5R5XzUuHZ3fCgU_Eraw&amp;amp;lib=M-zdWbhavtdZ1B_W2dnFDM0qoVt4lWzJ-"&gt;here&lt;/A&gt;.
&lt;/BODY&gt;
&lt;/HTML&gt;
</t>
  </si>
  <si>
    <t>FC2iUgUuv7p8zuQ8AzUG</t>
  </si>
  <si>
    <t>18055</t>
  </si>
  <si>
    <t>CLIENTE RETIRA / (0) Informação Adicional: ALTERAR PARA:  FT240 380 TRIFASICA TOUCH - PREÇO CORRETO: R$ 29.018,10
PEDIDO CLIENTE : 16596 - AGV/JD ITALIA  / Obs.Interna: CLIENTE TEM 8% DE DESCONTO ADICIONAL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</si>
  <si>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WSTAhy3mUA-eCaaIyjQgNVtknkw-5Ad7WimryHCdHuqdGEEkngc9wKrlNjZxAfqiakA46xIUomcxThcHLLoKhy7x808SGWxGJigrMP87Dlx_EQ8auB-8qPkyDbrBS0rIC55HXk65jGcHdbB_QsSkQcwZEWv4hXe_VYdyJZ-XeDdUR9CEszP2TbiVEzGFKECvFR_oTRsQEfXW6eecE9SyzmOUBv1hxVi80QAQueySr-nsRl9Lun7eaI9lDF6zKt0Us_cqWWG1HnuPz2AUX-3x2buBrH39D-V60dUQtzdlUfdDTXzZc0f5w9-JuUQ&amp;amp;lib=M-zdWbhavtdZ1B_W2dnFDM0qoVt4lWzJ-"&gt;here&lt;/A&gt;.
&lt;/BODY&gt;
&lt;/HTML&gt;
</t>
  </si>
  <si>
    <t>jnai1hMDTeOtzYiO1Dm.WA</t>
  </si>
  <si>
    <t>18056</t>
  </si>
  <si>
    <t>TEC FIBRA</t>
  </si>
  <si>
    <t>8F00250110300040</t>
  </si>
  <si>
    <t>FITLOG TRANSPORTES E LOGISTICA LTDA / (048) 996277956Informação Adicional: Frete FOB com redespacho pela transportadora GRIFE TRANSPORTES, CNPJ: 25.406.384/0005-00 - GUARULHOS - R. IRAQUARA 24 - JARDIM IV CENTENARIO, GUARULHOS-SP,07161-550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</si>
  <si>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5dPFjcxOL2x6xfa7O68CmxvUsD3MQtqoYuAy4Z9_hjPb3x-d2bAFSjEAEoFIuASDh996cmELyJmqfYz0Uk4Fc_vzB4w7wr8eGyE9rW6hqXnoGaEOUndbSOwwDiKZsLgJApDrLCz19YGHC5XMQPUz0JXO0h5kxMuhR9JUJe2blraMPBUmboqOWJemDoHs9hcilZ0htq0vctEIVNyOFmQhnRJqdeQEanSEUCb_1c1Q4fT0-70EJcvjHyVP9lE9-IyvtnRmTqjJIl_ju0MnOLyS9ImOM2qrrybD1zkUuQSSyxtqQiK4TlmuHxGYEWQ&amp;amp;lib=M-zdWbhavtdZ1B_W2dnFDM0qoVt4lWzJ-"&gt;here&lt;/A&gt;.
&lt;/BODY&gt;
&lt;/HTML&gt;
</t>
  </si>
  <si>
    <t>f3a0Uzj8QlCGugxTDva8xw</t>
  </si>
  <si>
    <t>18057-A</t>
  </si>
  <si>
    <t>8F00250110270058</t>
  </si>
  <si>
    <t>CLIENTE RETIRA / (0) Informação Adicional: FTi35 R$6.542,26
FTi45 R$8.072,54</t>
  </si>
  <si>
    <t>0L6D8mVFSC2afD1nLnOz0Q</t>
  </si>
  <si>
    <t>18057-B</t>
  </si>
  <si>
    <t>8E00241225030001</t>
  </si>
  <si>
    <t>9w4KOBjnlQ7UfPUmLPeD</t>
  </si>
  <si>
    <t>18059-A</t>
  </si>
  <si>
    <t>8F00250208110004</t>
  </si>
  <si>
    <t>BRISTOT ROCHA TRANSPORTES EIRELI</t>
  </si>
  <si>
    <t>FITLOG TRANSPORTES E LOGISTICA LTDA / (048) 996277956Informação Adicional: 30/60/90/120 ds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</si>
  <si>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VhBkPR4Tx_SfeE7IhtSJ1QiMReLbRCeKz788wcUWvGMXP7u8yl1AZZAM6rUZdVPF9tNTRkMH8FPNlREE8AnPpX6y4dttsvDFVXv3dpGQzG0QndD2Hxl-Plw5i78gbzUfUjypWc3FxnqPr2W9bp7LQweGXaqj1Yxe_WYoHUHhYjmHmR3xyYkzofUT29rTedNGGgLzcU6IznU6mlz7TgIMmQTxW5gWNkGH4lNBqD-uPT_ymsqWKDe-nx9GN-4pUihQvg6pdoEnzLlDs7BIKtTHK4wqbiUUIL0yluqMqH_GCFD2uXBEJ3JZqoQNM3w&amp;amp;lib=M-zdWbhavtdZ1B_W2dnFDM0qoVt4lWzJ-"&gt;here&lt;/A&gt;.
&lt;/BODY&gt;
&lt;/HTML&gt;
</t>
  </si>
  <si>
    <t>OkgKqXLVRlyv4-mKuBli9A</t>
  </si>
  <si>
    <t>18059-B</t>
  </si>
  <si>
    <t>8F00250208110007</t>
  </si>
  <si>
    <t xml:space="preserve">&lt;HTML&gt;
&lt;HEAD&gt;
&lt;TITLE&gt;Moved Temporarily&lt;/TITLE&gt;
&lt;/HEAD&gt;
&lt;BODY BGCOLOR="#FFFFFF" TEXT="#000000"&gt;
&lt;!-- GSE Default Error --&gt;
&lt;H1&gt;Moved Temporarily&lt;/H1&gt;
The document has moved &lt;A HREF="https://script.googleusercontent.com/macros/echo?user_content_key=AehSKLhrfESWpYoOJL41z8aN6_bk28MnRafuhXm-XDoAw6GNlGjfT7P0r18uPwgDlCGMGKsjCXJajR8rzH_0csR3TAgzVoiHMNXxG5ocll_glNhJXihtacTqZOxsvP5VHLIpZriJUNQjC8r4ja0TgOsOprOifCyAZG7yo4hHLRYWUT-XsBxhaLYZQbyFls5sdWa-BOGokBgtDNyhD8eAHr_pjNRsrwdgrda2jxncWAkemodybys-8OGacBY_-W-yYU3KzoRXQ2wQY-E4iku-y_aMnftAqNIR5uRtDc-dN1hG4ntjvjJWuvR5ObyECfzstg&amp;amp;lib=M-zdWbhavtdZ1B_W2dnFDM0qoVt4lWzJ-"&gt;here&lt;/A&gt;.
&lt;/BODY&gt;
&lt;/HTML&gt;
</t>
  </si>
  <si>
    <t>YdxHHlIZdlUxSVXESl6n</t>
  </si>
  <si>
    <t>18059-C</t>
  </si>
  <si>
    <t>8F00250208110006</t>
  </si>
  <si>
    <t xml:space="preserve">&lt;HTML&gt;
&lt;HEAD&gt;
&lt;TITLE&gt;Moved Temporarily&lt;/TITLE&gt;
&lt;/HEAD&gt;
&lt;BODY BGCOLOR="#FFFFFF" TEXT="#000000"&gt;
&lt;!-- GSE Default Error --&gt;
&lt;H1&gt;Moved Temporarily&lt;/H1&gt;
The document has moved &lt;A HREF="https://script.googleusercontent.com/macros/echo?user_content_key=AehSKLhNZrBYYtHNr_p7V5rVJKVFeSfwvjybrLvzCXfEn32fYsjUH5QuqGWtc3nSTtAB7bLU9Khwb9XqeYc7HXy4TetrGw6LOAsZxnsZIVogwTVlzmQ3TjavifqEdoNrgijvQLF1236uzpJSbAARUWX8UXlsliXdVFsgfGm18kOAsygSXnQmpgl2KO-AWQ6CQN9rS38v7hTkK04vfjm-DpT6rVmru6zlE-UAdQvmqCJaYQMqDKIQw7tJRM6yhjJpoyG36eW1QvwfRzhOdhKtQyVX0MgRBY2NDJLD6-1-_sXQ_QtsCDJglyvWhY2udaquYQ&amp;amp;lib=M-zdWbhavtdZ1B_W2dnFDM0qoVt4lWzJ-"&gt;here&lt;/A&gt;.
&lt;/BODY&gt;
&lt;/HTML&gt;
</t>
  </si>
  <si>
    <t>nTZ8FbcHH2Uv8GxnqElB</t>
  </si>
  <si>
    <t>18059-D</t>
  </si>
  <si>
    <t>8F00250110270048</t>
  </si>
  <si>
    <t xml:space="preserve">&lt;HTML&gt;
&lt;HEAD&gt;
&lt;TITLE&gt;Moved Temporarily&lt;/TITLE&gt;
&lt;/HEAD&gt;
&lt;BODY BGCOLOR="#FFFFFF" TEXT="#000000"&gt;
&lt;!-- GSE Default Error --&gt;
&lt;H1&gt;Moved Temporarily&lt;/H1&gt;
The document has moved &lt;A HREF="https://script.googleusercontent.com/macros/echo?user_content_key=AehSKLg2ybS6FvCMMCRmiw1_5yS7vqe4cC9CKpOk1KscJIW0d4lQUmzi4SIHvGyou-g1iwtm5Is1Sd0hptLoZ2w-J0XFXgWTZYiRLFKRasXhf20OaHSHj83Xqq7otPww5zaG1Mn6Jjt6XUxSFn6RZzC8Un0XPN-yV_Uw039qo_5mr_5Fp39Tg3fovf7ycy-xlp26v7zs5caKmSqSoYLK9i8DSa528gfa_yqt1CsPWyZpi04qraKgDOGpr1LVlbDVoqiNnYVMxnC5bAxHlJEpkRC8LDfQccIEl0XOPobQyRFLLdH4-Kn1kGyuY0QdqXzlAw&amp;amp;lib=M-zdWbhavtdZ1B_W2dnFDM0qoVt4lWzJ-"&gt;here&lt;/A&gt;.
&lt;/BODY&gt;
&lt;/HTML&gt;
</t>
  </si>
  <si>
    <t>ZdO9vE7SBfmL2rs4Jrie</t>
  </si>
  <si>
    <t>18059-E</t>
  </si>
  <si>
    <t>8F00250110270050</t>
  </si>
  <si>
    <t xml:space="preserve">&lt;HTML&gt;
&lt;HEAD&gt;
&lt;TITLE&gt;Moved Temporarily&lt;/TITLE&gt;
&lt;/HEAD&gt;
&lt;BODY BGCOLOR="#FFFFFF" TEXT="#000000"&gt;
&lt;!-- GSE Default Error --&gt;
&lt;H1&gt;Moved Temporarily&lt;/H1&gt;
The document has moved &lt;A HREF="https://script.googleusercontent.com/macros/echo?user_content_key=AehSKLi2s5WrlCdRLUAHpRk9S5HwF5Mp5VBD8LK59okKY6tE0AGcxCn0FV0wflhsGLilMTaQLTDsjPSSGPT9UjaUo2KgYqsmdJBD7ljYf0bay8hHr5bXoaHwh4-9ffchzG8no4uRcgRVBH0XQ5K-VxFMbZv12MOVk6YSBxQf-iiLS2CeBShR54hi6ojrTh51GzCKGSVYzagwGHwsBH8H4_5rt3T_x68v3kIopQQKwbarc3ICF8l-Sunp-qJaTSWQtm-cj9TtBgGe_ApBefZ9Ja2s7BOiygQpu59qHrT4PZvWwrMKS4NBDSB-OGa2vpEysg&amp;amp;lib=M-zdWbhavtdZ1B_W2dnFDM0qoVt4lWzJ-"&gt;here&lt;/A&gt;.
&lt;/BODY&gt;
&lt;/HTML&gt;
</t>
  </si>
  <si>
    <t>7oEK5aMWvCr4LKsU6IKI</t>
  </si>
  <si>
    <t>18059-F</t>
  </si>
  <si>
    <t>8F00241225070004</t>
  </si>
  <si>
    <t xml:space="preserve">&lt;HTML&gt;
&lt;HEAD&gt;
&lt;TITLE&gt;Moved Temporarily&lt;/TITLE&gt;
&lt;/HEAD&gt;
&lt;BODY BGCOLOR="#FFFFFF" TEXT="#000000"&gt;
&lt;!-- GSE Default Error --&gt;
&lt;H1&gt;Moved Temporarily&lt;/H1&gt;
The document has moved &lt;A HREF="https://script.googleusercontent.com/macros/echo?user_content_key=AehSKLikD9ZtarLWhhgWNTpCkGbsSIxmgse7S25l_XhhNw_kbXF86WASqkSjjuNee5g5V9qmD0irsgdNSKGZTzdP7sDGIOEYM0l5VWnJ0HmOXoG5qj1NhRuj7tnuf16qfXAC33_0qSCPpeJ5bVFxYvB-Bqo91iFwBc8dVrXfOWcUwwSzJPUjUj4HWepvr0yLZqei6Kiwt7y3_auFjEe6cNiAz8Kqv6URxval7o9tJ6injWzBif0-sVazGigwOtS7uNeIJJa7SR804-hnIwToYCKd4oKcm8E36vAJ-uP5sRV8MSgDlXvmkFp1FPvWlUJh-Q&amp;amp;lib=M-zdWbhavtdZ1B_W2dnFDM0qoVt4lWzJ-"&gt;here&lt;/A&gt;.
&lt;/BODY&gt;
&lt;/HTML&gt;
</t>
  </si>
  <si>
    <t>jsYyBGapKypLjsTV6guB</t>
  </si>
  <si>
    <t>18059-G</t>
  </si>
  <si>
    <t>8F00241225070007</t>
  </si>
  <si>
    <t xml:space="preserve">&lt;HTML&gt;
&lt;HEAD&gt;
&lt;TITLE&gt;Moved Temporarily&lt;/TITLE&gt;
&lt;/HEAD&gt;
&lt;BODY BGCOLOR="#FFFFFF" TEXT="#000000"&gt;
&lt;!-- GSE Default Error --&gt;
&lt;H1&gt;Moved Temporarily&lt;/H1&gt;
The document has moved &lt;A HREF="https://script.googleusercontent.com/macros/echo?user_content_key=AehSKLivg9gsNFJblpTwn32nwJ3fnoFoVdPROXQ_JSxyJDRxQgeYH441oaiOY8AXw58jyquWqYQ3dAYF6yTvDaxRk0CB8U_0g0nfqMcW5dWJYLd1rnoEPkGVltW1kzQ7S9f7HpymeoD5EI-IGQn4KmkQHwgXErMp3woCd6uuGEpkGEJA3OqoMuonJq0oK0ed8-yyDg2K8Cq5C-zWsuquCH3envYF_AWNmgEatotPmxLFJZWKjB-G7Hkn6HtL-xlCij2zLD5FEYrb3bEsYZSUG9WOr2UZjNCLbBT3xZ_cId7aVftO8Tv8k_PiPS-Qdih7AA&amp;amp;lib=M-zdWbhavtdZ1B_W2dnFDM0qoVt4lWzJ-"&gt;here&lt;/A&gt;.
&lt;/BODY&gt;
&lt;/HTML&gt;
</t>
  </si>
  <si>
    <t>buyfTOrDIxjUB3FyDrMW</t>
  </si>
  <si>
    <t>18059-H</t>
  </si>
  <si>
    <t>8F00241225070008</t>
  </si>
  <si>
    <t xml:space="preserve">&lt;HTML&gt;
&lt;HEAD&gt;
&lt;TITLE&gt;Moved Temporarily&lt;/TITLE&gt;
&lt;/HEAD&gt;
&lt;BODY BGCOLOR="#FFFFFF" TEXT="#000000"&gt;
&lt;!-- GSE Default Error --&gt;
&lt;H1&gt;Moved Temporarily&lt;/H1&gt;
The document has moved &lt;A HREF="https://script.googleusercontent.com/macros/echo?user_content_key=AehSKLhxFBY2xdYsj10IEdt8lQ5Qco5mxV4dh4IJlsbBbiuHLfhI5NDBiIjS1E9rumPVN8K0aLjG4_FyKdCtDpXmQ13gQfmH9leGvg_vrOk_ncBRzayUkTY5PjJwFRWyCZl4ZyPIzi7i0odbQJYxPMt4rpq9KSHmKo3BggYQmbslGxRWVzJptSXDZfdemjoLPaZ032F5aX6C0mBDVtnco8fidSrlvCHTvKvo4Cu8vVIzPhqzca6JwQyvvHEVNyJuQQKUgq22ll_ZUUtVS9q89hnwvvxw7a0d4KJ8CDtbfEKRoajfM3zhj3aY2EGkfzl0fA&amp;amp;lib=M-zdWbhavtdZ1B_W2dnFDM0qoVt4lWzJ-"&gt;here&lt;/A&gt;.
&lt;/BODY&gt;
&lt;/HTML&gt;
</t>
  </si>
  <si>
    <t>2JGLR4IB7QvXjbcy6eUF</t>
  </si>
  <si>
    <t>18061</t>
  </si>
  <si>
    <t>8E00241224040010</t>
  </si>
  <si>
    <t>MCN5125 - FITLOG - ALAN PATRICK - 00910917990 - MERCEDES / 710 / VERMELHA / 2005</t>
  </si>
  <si>
    <t xml:space="preserve">&lt;HTML&gt;
&lt;HEAD&gt;
&lt;TITLE&gt;Moved Temporarily&lt;/TITLE&gt;
&lt;/HEAD&gt;
&lt;BODY BGCOLOR="#FFFFFF" TEXT="#000000"&gt;
&lt;!-- GSE Default Error --&gt;
&lt;H1&gt;Moved Temporarily&lt;/H1&gt;
The document has moved &lt;A HREF="https://script.googleusercontent.com/macros/echo?user_content_key=AehSKLikCaGsWsNtrs3Ifvk2cNbf_xxW3LI-UQPr_ptfsXH_7SrZgNXIGrmwhI0tHqWmmTKY2kfB6C7iBJYxkkPBAwYjxGKvOHJdK5QgbDUVJm4a9f0o0DRbGfdW0cxhX8KMHrOLgrJO_yarzUGqEH_tI9Llt38d55VMEYGPE_ajTZWtyE93bfQRU7qBRkeI7U6jTAez7pxj5N25bjnllNh6QbKz4kcmssa3sxoynq8vRmS0xhjuRIsUzfTxUSTwIobKZJSjg1_wIwlBWuGWxafLurOMqJ7QIxWhahVrvGt8d1nLaul8FvIIdjB7vGrCuA&amp;amp;lib=M-zdWbhavtdZ1B_W2dnFDM0qoVt4lWzJ-"&gt;here&lt;/A&gt;.
&lt;/BODY&gt;
&lt;/HTML&gt;
</t>
  </si>
  <si>
    <t>QQcde0EQSAOqHSrUCM.jWg</t>
  </si>
  <si>
    <t>18062-A</t>
  </si>
  <si>
    <t>8E00241224040011</t>
  </si>
  <si>
    <t>FITLOG TRANSPORTES E LOGISTICA LTDA / (048) 996277956Informação Adicional: O REDESP. SERA FOB - TRANSP. TRANSFORT - CNPJ:38.243.029/0002-58 - END: R SOLD CRISTOVAO MORAIS GARCIA, 375, CEP: 02.187-090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</si>
  <si>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0A9HFF0esjqVmycQR4VofVKa2TM53RZFs4sT1Qeao60xDCIPdWh5FPmOrdWcTqH4L1JnkMnVLkos70CK1eBjKQs6FZFTZPjTnDy4uEhKP5SAB7obvenAKj1ypi1wnqHTZTS1IcN51GJHVxGPH4ZNbwXxdWhcsWAtMsS8DAy6PcY4RtgoVhIo7_Ex62tOHFlYKfqaXntpHxszgg_GcDRej3abI0Mo6ajOCaV7tmGzmB4mh2j-GwonOBHwggWL3pckGojbIMjDRfh4yFyEnoi7ZMev-O7U-1LSBHKuXm5bfd9vVGN7_pW1aU1c-lg&amp;amp;lib=M-zdWbhavtdZ1B_W2dnFDM0qoVt4lWzJ-"&gt;here&lt;/A&gt;.
&lt;/BODY&gt;
&lt;/HTML&gt;
</t>
  </si>
  <si>
    <t>kBnENnyZSZOWlOjmIZbYnQ</t>
  </si>
  <si>
    <t>18062-B</t>
  </si>
  <si>
    <t>8F00241225070005</t>
  </si>
  <si>
    <t xml:space="preserve">&lt;HTML&gt;
&lt;HEAD&gt;
&lt;TITLE&gt;Moved Temporarily&lt;/TITLE&gt;
&lt;/HEAD&gt;
&lt;BODY BGCOLOR="#FFFFFF" TEXT="#000000"&gt;
&lt;!-- GSE Default Error --&gt;
&lt;H1&gt;Moved Temporarily&lt;/H1&gt;
The document has moved &lt;A HREF="https://script.googleusercontent.com/macros/echo?user_content_key=AehSKLiOZyoVGRshrJ2JHl90XsXSWUrhIOGoStdQwhCV3FVX0rDdFmIzNPO3F_RsDXyVdcSMd1S0PRi1RhQNKnDdTvge13k0jh4eUra7DnGHHmG0wZAwx1iEUgEB9zRvJLz_Wjuat7pTwD47xZ0ymn0sEdb7xfFHtLahIwHOO9u1FXcUC6iN6EDC_N9DhDJ3TlLm_5wSjtctNtytkehvCxw3BHjYDf2nETTXRBg7qRyO107bw5o53dCvXrZUUYG8kHDln0bnAnHcTDPIsNbLi0tbAASsUiZgNjEbhzNaYCf1Xs5ikaY8LbEn4SKr92gJrw&amp;amp;lib=M-zdWbhavtdZ1B_W2dnFDM0qoVt4lWzJ-"&gt;here&lt;/A&gt;.
&lt;/BODY&gt;
&lt;/HTML&gt;
</t>
  </si>
  <si>
    <t>ytg5ZiB49DgQkvlCdlaU</t>
  </si>
  <si>
    <t>18062-C</t>
  </si>
  <si>
    <t>8F00250208110005</t>
  </si>
  <si>
    <t xml:space="preserve">&lt;HTML&gt;
&lt;HEAD&gt;
&lt;TITLE&gt;Moved Temporarily&lt;/TITLE&gt;
&lt;/HEAD&gt;
&lt;BODY BGCOLOR="#FFFFFF" TEXT="#000000"&gt;
&lt;!-- GSE Default Error --&gt;
&lt;H1&gt;Moved Temporarily&lt;/H1&gt;
The document has moved &lt;A HREF="https://script.googleusercontent.com/macros/echo?user_content_key=AehSKLgRC8QYnNTDwhjNrTBoLzK_68xzXewwsUoEMk_VYtNN6KOPPX7TzCVwHHMcAGQkGZp7BCCN8nLsvMIgI81AyY_CHte9S6wOjXvaf1abFkJGzmlcEO5QfRokbxdkXyeNPWa42e_ZdljjDe1vhAmt7UPyo81o5FIjbiTvqPgUEGIynlYSJl8TN330LPG_6_nA_XCjESRmqDDYutFZssfdHuQ1HTjFptTDo4sFuncYFkAno35NlMGOHhFYQwukGGuzxufWo293RInS5jWtQ2K7sVtlgY9z4I738bGwEb5xeYOAbULQW8Tb3oZUyROUxA&amp;amp;lib=M-zdWbhavtdZ1B_W2dnFDM0qoVt4lWzJ-"&gt;here&lt;/A&gt;.
&lt;/BODY&gt;
&lt;/HTML&gt;
</t>
  </si>
  <si>
    <t>iChw60DhP2mEwDNowwcC</t>
  </si>
  <si>
    <t>18063</t>
  </si>
  <si>
    <t>8F00250329050008</t>
  </si>
  <si>
    <t>FITLOG TRANSPORTES E LOGISTICA LTDA / (048) 996277956Informação Adicional: REDESPACHO FOB CNPJ 18.992.731/0002-07 - WJT TRANSPORTES LTDA - AV JOSÉ RANGEL FILHO, 234 ¿¿¿ BAIRRO JARDIM PONTE ALTA I ¿¿¿ CEP 07.179-350 ¿¿¿ GUARULHOS ¿¿¿ SP ¿¿¿ I.E. 127.320.762.117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</si>
  <si>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lMJ6c8othYo5oINjxEjU4Dbrzn4Ynj2pWrWWn9ArTRE4EK2s4vCBXMwEMiRvll66YB_BnWCXU0fZJHaRbWQ1gwYL9u7LHAbdj5RFhgaCF0015KRcaWLHGiePk5H1PCFbWLKCKIMN5lSWw4iLRgzwGGEhWHXOEF3uEPzjLllD6YQE1nptgqMgfbC9D-ODuZyqaz3xjhDd8I6tfR7P0gJJOYDKzBzaIIQRKkh68dzhVpcuaf7iQ-tPzlDXxx4Y5jvudSM5GDWkcsR6UUExpPShST7zvlc_21v9sWcZl0bQYqNZkvd6R3Np1OLuCxA&amp;amp;lib=M-zdWbhavtdZ1B_W2dnFDM0qoVt4lWzJ-"&gt;here&lt;/A&gt;.
&lt;/BODY&gt;
&lt;/HTML&gt;
</t>
  </si>
  <si>
    <t>jMwTfyaoT3eMmsRDXcv6tg</t>
  </si>
  <si>
    <t>18064-A</t>
  </si>
  <si>
    <t>8F00250329020009 MERCADO LIVRE NAO ACEITOU FRETE FULL POR CONTA DO TAMANHO DO PRODUTO</t>
  </si>
  <si>
    <t xml:space="preserve">&lt;HTML&gt;
&lt;HEAD&gt;
&lt;TITLE&gt;Moved Temporarily&lt;/TITLE&gt;
&lt;/HEAD&gt;
&lt;BODY BGCOLOR="#FFFFFF" TEXT="#000000"&gt;
&lt;!-- GSE Default Error --&gt;
&lt;H1&gt;Moved Temporarily&lt;/H1&gt;
The document has moved &lt;A HREF="https://script.googleusercontent.com/macros/echo?user_content_key=AehSKLi0Yp7XYA7IROYdHbBJUYigDUMwIC1WqJ6JQQYdB-BvhJHOrmoPom6GXTKo8Cy8WKHY_EGQYmfsvuxD1Jj8km3GddisJx0vE7iwuf-i33yOMorBjJ41nkYAdbmvv6UmsLwbtP91CT6jZaVDrWbX3BiqxhA7W0jyyDK489Ffe-zE5gzgq3qU7azAcpiJRA21yVFIq64_0Pv5VKhniDDOr7tEdMQaFn4v9w-DXx7TjBSADKZ-3XhRquw4GRZkVQpbEWCRKgFfDK785uh6aY-IEzg28V6iktnFxk1qmEoZYA4gURKvX7EM5o38RXpixA&amp;amp;lib=M-zdWbhavtdZ1B_W2dnFDM0qoVt4lWzJ-"&gt;here&lt;/A&gt;.
&lt;/BODY&gt;
&lt;/HTML&gt;
</t>
  </si>
  <si>
    <t>q.vIaVRwQwSCcAGj4kePKQ</t>
  </si>
  <si>
    <t>18064-B</t>
  </si>
  <si>
    <t>8F00241225070009 MERCADO LIVRE NAO ACEITOU FRETE FULL POR CONTA DO TAMANHO DO PRODUTO</t>
  </si>
  <si>
    <t xml:space="preserve">&lt;HTML&gt;
&lt;HEAD&gt;
&lt;TITLE&gt;Moved Temporarily&lt;/TITLE&gt;
&lt;/HEAD&gt;
&lt;BODY BGCOLOR="#FFFFFF" TEXT="#000000"&gt;
&lt;!-- GSE Default Error --&gt;
&lt;H1&gt;Moved Temporarily&lt;/H1&gt;
The document has moved &lt;A HREF="https://script.googleusercontent.com/macros/echo?user_content_key=AehSKLgZnt5BG2MUJtIYD6CSjmzBHb23Jjvoa4wrnACa-oaiWvcnS6OgOIvk_rjliNOSqPVucQ7ITt5EDKedy8WcL6gOysWkuby94wFKXTD-RPBGQo4as87ZkaRJJu98wyWG5VRfHxrfIOeGeUeaWdiVeZ3wyIbjLUUsMZzcMjsO4Yi5Oybp07j4P-3dGyBBBk9hPE09qkd2mSsIFMM3qpswaSF3GOVWN9amXSWSXY4etG7Weo-s8APeM-ZDsL6a8cgxt87F2q0MOfmPHRi_RhvzLoHpgFqJOMnP5xP7E-HmZbqMOG4gCtuu5Lh8OPgcrQ&amp;amp;lib=M-zdWbhavtdZ1B_W2dnFDM0qoVt4lWzJ-"&gt;here&lt;/A&gt;.
&lt;/BODY&gt;
&lt;/HTML&gt;
</t>
  </si>
  <si>
    <t>9WuXfaG8HZy3aDbMW6Hd</t>
  </si>
  <si>
    <t>18065</t>
  </si>
  <si>
    <t>CASA DA HIDRAULICA</t>
  </si>
  <si>
    <t>8F00250208110008</t>
  </si>
  <si>
    <t xml:space="preserve">&lt;HTML&gt;
&lt;HEAD&gt;
&lt;TITLE&gt;Moved Temporarily&lt;/TITLE&gt;
&lt;/HEAD&gt;
&lt;BODY BGCOLOR="#FFFFFF" TEXT="#000000"&gt;
&lt;!-- GSE Default Error --&gt;
&lt;H1&gt;Moved Temporarily&lt;/H1&gt;
The document has moved &lt;A HREF="https://script.googleusercontent.com/macros/echo?user_content_key=AehSKLi1qEqvW1KEeXjZQdvgxZmvxIZKhRBlKuwJR0GwDk6rMCTzAOlrsRieJSGSB0Gel5p12lXIqj02eyOEMAnbaIok7vTGqeomRedCV3kejP_vUIIiQYhqv2eh_h2egx1fwE5s9B85x7loLJJECYkrd9_FcQ3FFPf5YRQ_7nme__ZwXqYhmJxUVO-L0CHQaof4haq5Yx9HieygO2MsW1EemJUG9tYXeTJWjJUmtmtal2xaR536ltu3IY4rtHB6Ssn4SOE_CVy7hiKHO9UVVax6mido7lT60PqA54P2-PRoFtvGPRgrwFVwfYYaR2JQAg&amp;amp;lib=M-zdWbhavtdZ1B_W2dnFDM0qoVt4lWzJ-"&gt;here&lt;/A&gt;.
&lt;/BODY&gt;
&lt;/HTML&gt;
</t>
  </si>
  <si>
    <t>a.LFefbvZS.W4jvebH9aiKg</t>
  </si>
  <si>
    <t>18066</t>
  </si>
  <si>
    <t>8F00250110300015</t>
  </si>
  <si>
    <t>EXPRESSO SAO MIGUEL S/A / (049) 3361-6627Informação Adicional: +3% de desconto / Obs.Interna: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</si>
  <si>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qR0IDZ8TNnD-4DIagQkQB2dcbWeFZTtlDq-OtPMss0uPcER8ZYToDNCSQ9OJ4MGbWtHPC92wWI_YFJH6zh6FFPB-OP-04fASDNOz0oZ7CMS1qFTr4wPWorIIhvzSRtg2QKOV57KvYiuxfWKzmE9NEag9qAMeiKuahZDYF04M-7AAvc8_6qKulei6TV3plNHqwd68uG5SFed6toLSbC4tqFK6Nt8tpXiqq5-fPrJYTcfhqSd5rgjFpTP1k3gvAMe5UAPHnK8SFlNWzpuNI4TV1v9bFdO4Tn5b9VEqzqFpjQ14zS9e2yw6Gvb0TWQ&amp;amp;lib=M-zdWbhavtdZ1B_W2dnFDM0qoVt4lWzJ-"&gt;here&lt;/A&gt;.
&lt;/BODY&gt;
&lt;/HTML&gt;
</t>
  </si>
  <si>
    <t>fTAUeVj.Rcm0PBpa3KPiwg</t>
  </si>
  <si>
    <t>18067</t>
  </si>
  <si>
    <t>8F00250329040008</t>
  </si>
  <si>
    <t xml:space="preserve">&lt;HTML&gt;
&lt;HEAD&gt;
&lt;TITLE&gt;Moved Temporarily&lt;/TITLE&gt;
&lt;/HEAD&gt;
&lt;BODY BGCOLOR="#FFFFFF" TEXT="#000000"&gt;
&lt;!-- GSE Default Error --&gt;
&lt;H1&gt;Moved Temporarily&lt;/H1&gt;
The document has moved &lt;A HREF="https://script.googleusercontent.com/macros/echo?user_content_key=AehSKLhaIi9EXnUszJQg3KFsbpH74TdODXW4bqgmCYqCYGiQsqk79zUUcUWugyk-pDkkN_OYgyYJMzWBOORDsKFeBRDvr1n_jAAZT1ooAv_mc8ivpYU45ngwtQLfcyRAjwAa-4GQm67sdviEV3DCR_tLu_uNuS7QslxvcK4ww7kNSfKe-njdXcENUOYA2sctsp-rN5PWBju6hPBgDakpB_NXclV8gg0RpDau57zwcbU5zgsKvPCLYM1d7K1vGQmMAnd2CfEN_67xBV4Qhq3OGPb262B2OPNnYSDkZGAZrZUOPbMS6Yh6Y5TzK7cJFy3i0g&amp;amp;lib=M-zdWbhavtdZ1B_W2dnFDM0qoVt4lWzJ-"&gt;here&lt;/A&gt;.
&lt;/BODY&gt;
&lt;/HTML&gt;
</t>
  </si>
  <si>
    <t>TdFrQFvLTg2zadc.VSrpgA</t>
  </si>
  <si>
    <t>18068</t>
  </si>
  <si>
    <t>8F00250329040009</t>
  </si>
  <si>
    <t>EXPRESSO SAO MIGUEL S/A / (049) 3361-6627Informação Adicional: +3% DE DESCONTO / Obs.Interna: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</si>
  <si>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VIHxngJ7VoHpO1ll1y9jr3ePwQG7Uq2sB_IaUr3mtVz4RvZxoGQ2E6Xd8eOP1o_eP5ew62XznptHCnrVg9s6tTgHTVSIlSbvAqeUnViFsTkh80Vxm2eUjSn82ve3EycoMVr2VzIdeDvqMdgbRuI517tYj3JAXYpqLufA6C06dYCWWU9px-0ytjAPxoLpfU7ly7U7yfyUCSsrrUEgyPCP79ucd6YoXXlvryxyKACcBs0B2X8HSbU3OL9a5g0_zDjZtCw_LKBSVNAubpecnCrsFLesQW0XUkh7ADigZUllsF-jkdxokIiFT2N8Hg&amp;amp;lib=M-zdWbhavtdZ1B_W2dnFDM0qoVt4lWzJ-"&gt;here&lt;/A&gt;.
&lt;/BODY&gt;
&lt;/HTML&gt;
</t>
  </si>
  <si>
    <t>mLGj36ynTD6anefh7D2gOg</t>
  </si>
  <si>
    <t>18069</t>
  </si>
  <si>
    <t>Valmir Paulo Prichoa</t>
  </si>
  <si>
    <t>8E00250208070009</t>
  </si>
  <si>
    <t>EXPRESSO SAO MIGUEL S/A / (049) 3361-6627Obs.Interna: PEDIDO REVENDA SPA - JEAN - PARA ACERTO DE DIVIDA
PAGAMENTO CARTÃO 3X
VALOR DA NF R$ 13.000,00 - DIFAL R$ 650,00
PEDIDO COM EMAIL INFORMATIVO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</si>
  <si>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7Ljqo4RNH7gFk5ANIv9MonbwXGUnVWveXvD5Z1hUOpILNcfdcwV9I8d3ESmbeqxzaRXYzCr8MnUB4Kn2ECNt1fSBT1B7qG9l-Y3cbMBWmLS9nfifFeqaYUlRFv2-q9I6QU_QTZEg1Aud2CTTmS_Yjkl7nsy-C00lY8bxMCaB3MdwoaIeCzhrSGsk7HZjqyVXGerbB7oU9703q2PspIAWO1DwHdv8T-MEO7-5k2uYuhHNo36V2ct9_jsZAGCcc1OKNQzIBgj_8kgmgzhZHZ_gR2jek0n2TPpK_oSH_AaQM8xnCGJ3ituPlwVqagQ&amp;amp;lib=M-zdWbhavtdZ1B_W2dnFDM0qoVt4lWzJ-"&gt;here&lt;/A&gt;.
&lt;/BODY&gt;
&lt;/HTML&gt;
</t>
  </si>
  <si>
    <t>OWJRVoBmSxiUaArpmV-cMw</t>
  </si>
  <si>
    <t>18070</t>
  </si>
  <si>
    <t>JULIANA TIEDE</t>
  </si>
  <si>
    <t>8F00250208110009</t>
  </si>
  <si>
    <t>EXPRESSO SAO MIGUEL S/A / (049) 3361-6627Obs.Interna: PEDIDO HIDROTEC</t>
  </si>
  <si>
    <t xml:space="preserve">&lt;HTML&gt;
&lt;HEAD&gt;
&lt;TITLE&gt;Moved Temporarily&lt;/TITLE&gt;
&lt;/HEAD&gt;
&lt;BODY BGCOLOR="#FFFFFF" TEXT="#000000"&gt;
&lt;!-- GSE Default Error --&gt;
&lt;H1&gt;Moved Temporarily&lt;/H1&gt;
The document has moved &lt;A HREF="https://script.googleusercontent.com/macros/echo?user_content_key=AehSKLjzhwo-b_MKC3Y23mEdYdz7PAEoITkF-5vdpnhA548mUV99tWX7frvFE6GqZvqWUulTkDM7wUA89NmaWNhNKsQw7cxArAVpVf81vUl8JHT02jBNhU0ReuQDcqq3ZH5elcoqgld82LganO8G-5vo1BGzkNl_HjkPz494Bmtfc1uh8zjnQxNUaVCXPxhnTaZ7nz1FWMcXb62BG3zpnsZ6UeLu2Nz-X3B8Aw8EQU1se44Mot2zQwRc_FVaeO8Hp6PC4hhuXpQHohZ2ZSS64MSqIRscY1bZj-j74CGM3cUhAtk7Jyxhy8nVS4BAr792wg&amp;amp;lib=M-zdWbhavtdZ1B_W2dnFDM0qoVt4lWzJ-"&gt;here&lt;/A&gt;.
&lt;/BODY&gt;
&lt;/HTML&gt;
</t>
  </si>
  <si>
    <t>UjgfOjGCRnW6YHhuWMMeCg</t>
  </si>
  <si>
    <t>18071</t>
  </si>
  <si>
    <t>8E00241224040002</t>
  </si>
  <si>
    <t xml:space="preserve">&lt;HTML&gt;
&lt;HEAD&gt;
&lt;TITLE&gt;Moved Temporarily&lt;/TITLE&gt;
&lt;/HEAD&gt;
&lt;BODY BGCOLOR="#FFFFFF" TEXT="#000000"&gt;
&lt;!-- GSE Default Error --&gt;
&lt;H1&gt;Moved Temporarily&lt;/H1&gt;
The document has moved &lt;A HREF="https://script.googleusercontent.com/macros/echo?user_content_key=AehSKLiCp1e8P7rBngGCKqRF-Gexfgqk9I9uemGlg7Wudvu0QlIm4TlURX94TtxkFhveyhFxIYYfZZ67-oCVFIZhjO4h_P29MNcmE-B3fN1hd4_Qij3xphyFseO36vBdo0UvdyZ5mq-AJNHLt2G8V945bAer3H2myIyBmoKjRozDcMX6peek5lvaV1CajwbsYVaTexvj8z8mXIFG9iOfNGwMQe1ovCMj-TFnl5ldQJv_cQTYnPyUirj_f8Pn4z5ZyD0mRwLlpwPhVeJi4cQDVyUyaq4ISa36sOs7tR5nLuQozrVwauLMTv42N4lH3uTt7Q&amp;amp;lib=M-zdWbhavtdZ1B_W2dnFDM0qoVt4lWzJ-"&gt;here&lt;/A&gt;.
&lt;/BODY&gt;
&lt;/HTML&gt;
</t>
  </si>
  <si>
    <t>0Ia94h8UQAeA6a-I0HrKgg</t>
  </si>
  <si>
    <t>18072</t>
  </si>
  <si>
    <t>8F00250329040006</t>
  </si>
  <si>
    <t>rhx8h60 - RETIRA - carlos alexandre de oliveira da silva  - 07823887959 - vw / carga caminhao  / branca  / 2022</t>
  </si>
  <si>
    <t>RETIRADA NA FABRICA / (0) Informação Adicional: Arrumar para pagamento até 120 dias! O cliente vai retirar essa maquina no estoque da fromtherm com caminhão próprio. Foi cedido o pagamento para 120 dias considerando que o cliente vai retirar a maquina no nosso estoque. / Obs.Interna: M- concedido 30/60/90/120 SEM FRETE-CLIENTE RETIRA NA FABRICA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</si>
  <si>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z8D1C18e6d3t-e45HC3pIJSKGEp1EhCmQ_DXiV_G7YOQhAwoYUzzu4ObmtgUPIXS3YPWQFyoQ6CLipDamj-9hjvTh6Glh3C0u71ED_VQXi0mVLE9sDqjrRoLSckXWveo9lxx9lt6m5qz8ZlTKws5598clfWhJTlDqpI-6Rv-CnDHJfeIiySixs0Qnd_Xuo3CN9J72XQ0L2dGtxrRxICHQxVbYYaCe9qLcznAHT7BwVOLfGwYGseTpICSocpQnzSsQg-kGysAfSFcv35JDDIHMEz6mvPMsjDVnzOR3xloL-AUseoU472UB2b4EXg&amp;amp;lib=M-zdWbhavtdZ1B_W2dnFDM0qoVt4lWzJ-"&gt;here&lt;/A&gt;.
&lt;/BODY&gt;
&lt;/HTML&gt;
</t>
  </si>
  <si>
    <t>pf8S1wx8T-qgs1I-tJswXw</t>
  </si>
  <si>
    <t>18074</t>
  </si>
  <si>
    <t>8E00250208070007</t>
  </si>
  <si>
    <t xml:space="preserve">&lt;HTML&gt;
&lt;HEAD&gt;
&lt;TITLE&gt;Moved Temporarily&lt;/TITLE&gt;
&lt;/HEAD&gt;
&lt;BODY BGCOLOR="#FFFFFF" TEXT="#000000"&gt;
&lt;!-- GSE Default Error --&gt;
&lt;H1&gt;Moved Temporarily&lt;/H1&gt;
The document has moved &lt;A HREF="https://script.googleusercontent.com/macros/echo?user_content_key=AehSKLgsawAaB4JrCMo0KspweQuIDjUi75iBrz1SlqVBsveFmDjibfeDBUa7042y50ixOMVfA-vYmkpHvDbVeNoU7TXxB6LCGeimbnlRAJSomWyzZ2Vj_lSa6lBQarkpZsjLY6qjnLju6mxXn3Pri351DJtav1qltlTF-yKeAj_ZPMJiuo1AP1s5BQfzrGbU7aNt526lPu3j5853T6NQjut8nZInkB-bDAIrlUD9cWXalPqG1EgFEmAA_VQtboLCw9lpRPhGX3_8x-8LE2PHUR-hZNXB0mOIwBsyyFoBT5g-kmK2tIgvMJelfgLvS1w56w&amp;amp;lib=M-zdWbhavtdZ1B_W2dnFDM0qoVt4lWzJ-"&gt;here&lt;/A&gt;.
&lt;/BODY&gt;
&lt;/HTML&gt;
</t>
  </si>
  <si>
    <t>5Oc-piafQK-rzwCA-aQJJw</t>
  </si>
  <si>
    <t>18077</t>
  </si>
  <si>
    <t>8E00250208070012</t>
  </si>
  <si>
    <t xml:space="preserve">&lt;HTML&gt;
&lt;HEAD&gt;
&lt;TITLE&gt;Moved Temporarily&lt;/TITLE&gt;
&lt;/HEAD&gt;
&lt;BODY BGCOLOR="#FFFFFF" TEXT="#000000"&gt;
&lt;!-- GSE Default Error --&gt;
&lt;H1&gt;Moved Temporarily&lt;/H1&gt;
The document has moved &lt;A HREF="https://script.googleusercontent.com/macros/echo?user_content_key=AehSKLiq26aCepiiPP_eWyOmNiDd5FqABb9cozpWh4seJeuMMhqHxiecRo8IHUYghoaXeGF1H-r0y0jX_8xk3BE2Xgyww_Vym8OQ1P-uuQf0xuYSKQ2f8nOG2ncnvI6HRBp3yQ8bJssf03D5-qKOQ0KJpqdPJwUa9oJti5qgNckHzS155tufgQCVTB-ZbfhllVuR7-XiJcVhzQotBlu7MXl8Qpvq0aSoxDNhT8ej-BTUQJhKq7XGCmpXyCh8pzJV6K3JxKesfDow1VYi4q0lTEteGz9WTipNx3CdtuhIabch8qBTk1LhTIPkWqiXpOQyWQ&amp;amp;lib=M-zdWbhavtdZ1B_W2dnFDM0qoVt4lWzJ-"&gt;here&lt;/A&gt;.
&lt;/BODY&gt;
&lt;/HTML&gt;
</t>
  </si>
  <si>
    <t>J7ZP.rXCRzWM.m0czH7ATg</t>
  </si>
  <si>
    <t>18078</t>
  </si>
  <si>
    <t xml:space="preserve">&lt;HTML&gt;
&lt;HEAD&gt;
&lt;TITLE&gt;Moved Temporarily&lt;/TITLE&gt;
&lt;/HEAD&gt;
&lt;BODY BGCOLOR="#FFFFFF" TEXT="#000000"&gt;
&lt;!-- GSE Default Error --&gt;
&lt;H1&gt;Moved Temporarily&lt;/H1&gt;
The document has moved &lt;A HREF="https://script.googleusercontent.com/macros/echo?user_content_key=AehSKLjjZ1KSSdQ0zNbYSV23Bk_YGp5NQN9BhQFZa2g2dhlADuiaLfTBWgT6yIIP5NIoCmp_M461MyLqPkf21TA45LbNYuYZ0F1OjAcBPOzyV5sV947RMizCfCfsQCLU0RfJJMNy9J9I12-_bRo_xkXYUKVRf8tlKSeRLe46fW728feOSCKQz0DOWewhsW1JkeeOJP6yer4CWsFagQgPhmVDVosHy_06mzNRz8FCAXx4lFZmeZrfYxGDbTU6Z97hQ6U8525VY8wIhybjW-skHpqIiHtWLGsdSvhSiGdxKjbg0p_5EcRBY458QANq3lIfiA&amp;amp;lib=M-zdWbhavtdZ1B_W2dnFDM0qoVt4lWzJ-"&gt;here&lt;/A&gt;.
&lt;/BODY&gt;
&lt;/HTML&gt;
</t>
  </si>
  <si>
    <t>xZn2R3fxRw2U3sItvebGVA</t>
  </si>
  <si>
    <t>18080-A</t>
  </si>
  <si>
    <t>MRE PISCINAS LTDA</t>
  </si>
  <si>
    <t>8F00250208090002</t>
  </si>
  <si>
    <t>AOD3F42 - EXPRESSO SÃO MIGUEL - MARCOS SOUZA - 07843252940 - FORD / 815 / BRANCO / 2006</t>
  </si>
  <si>
    <t>EXPRESSO SAO MIGUEL S/A / (051) 3586-2013Informação Adicional: emitir boleto para 1 dia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</si>
  <si>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VRmQdW5oIhDDnep6y-FENK_YrBNFTEGmkh9lNyhASlU1o2GfbXQKQkYB29EO4O589nxHAQnNG8pJUS_6tGcRnPPbRc2AMvFkZ7xJ1tC-h16HcCUh0UF8Mu0gVCXWkpzQ6GrAabOknafVCtWRIRJsq4JDzWTYxwYkPVhNuyMUQfz-CBkiDLbjk0rEnu50EgeZGzeHV4WHDjvAaujFxDwkAs3wfKdrOXnMWOMc-APUULOHlfZk5TlFjCb5JJerMPWjQq1womOB-1hNQFUu3VdTSThTpd-lULL__sjFbcirptXYOkZbzP1r0yPb46w&amp;amp;lib=M-zdWbhavtdZ1B_W2dnFDM0qoVt4lWzJ-"&gt;here&lt;/A&gt;.
&lt;/BODY&gt;
&lt;/HTML&gt;
</t>
  </si>
  <si>
    <t>RyLXslNORoaJ2cFZha53IA</t>
  </si>
  <si>
    <t>18080-B</t>
  </si>
  <si>
    <t>8E00250208070005</t>
  </si>
  <si>
    <t xml:space="preserve">&lt;HTML&gt;
&lt;HEAD&gt;
&lt;TITLE&gt;Moved Temporarily&lt;/TITLE&gt;
&lt;/HEAD&gt;
&lt;BODY BGCOLOR="#FFFFFF" TEXT="#000000"&gt;
&lt;!-- GSE Default Error --&gt;
&lt;H1&gt;Moved Temporarily&lt;/H1&gt;
The document has moved &lt;A HREF="https://script.googleusercontent.com/macros/echo?user_content_key=AehSKLiETwNjAS3NyyBi2tHDCSBGc8PzyPFSKw3HvwRXOVFmfprYYkccLPBx9u0-U8ElNOuYjMyN_7I58SPnucm-YdPyXeXWKRFTYwYTrTrUT6BDOBBq7V0cg-PFTbe54EawmdOjeKO1G6D5G8jREi0wx3oKjCCz3Gy47bGQaof-tXdXcI87z97B0Tar4nJFNZ59Yjctdlt4CaZD9Pcfyn2Lsor97X6MMSNkKYRRGA4DJv2V9WJFiNKcoy2V6DYtnvvbWfBYgB24UoEz_W_IrAn8nfBwy3V2LCrAksNTQSmnPEK6CFdm41jgsdXQuhQBFg&amp;amp;lib=M-zdWbhavtdZ1B_W2dnFDM0qoVt4lWzJ-"&gt;here&lt;/A&gt;.
&lt;/BODY&gt;
&lt;/HTML&gt;
</t>
  </si>
  <si>
    <t>Cn2DcX7OgGUmW0FzmTIt</t>
  </si>
  <si>
    <t>18083</t>
  </si>
  <si>
    <t>8E00250208060002</t>
  </si>
  <si>
    <t>EXPRESSO SAO MIGUEL S/A / (049) 3361-6627Informação Adicional: VALOR DA MAQUINA r$5222,29 / PRAZO DE 60/75/90 / Obs.Interna: VALOR DA MAQUINA r$5222,29 / PRAZO DE 60/75/90
M- Aprovado para venda sem devolução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</si>
  <si>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Qfy414vbuYKaMxEC3u53gVmgt5CjUub7sAburFEX8ol46tVnAa0pb6p9P0BTis23D-aA3rBaETYgcb_OxnMdShrKd9An5QGRfs44kRATz03kRNdrLAskib92-8ZaQH7EQoQunETa3MrDFZD5jIpaI03dmzdywY9-RqGL0IqCjvRAKZ3YtmTOA6g7Aep6CIlGuU-JmLyH7ZobEWmhSKfcAsTHnYjHQop44TrUaq_RaFW0Lm1lhhH_1psXjkd2aY_o2BZpX8HRrjnmZ62nRbC9nLkNyD5BVfPGJtW6bK2HoB-XL7_LxS_lEym-Bw&amp;amp;lib=M-zdWbhavtdZ1B_W2dnFDM0qoVt4lWzJ-"&gt;here&lt;/A&gt;.
&lt;/BODY&gt;
&lt;/HTML&gt;
</t>
  </si>
  <si>
    <t>DKRvAx93Rwmr3iHJK3VQUg</t>
  </si>
  <si>
    <t>18084</t>
  </si>
  <si>
    <t>8F00250329050007</t>
  </si>
  <si>
    <t>IUK7A67 - RETIRA - ULTRA SOL - 00000000000 - VOLSKWAGEN / KOMBI / BRANCA / 0000</t>
  </si>
  <si>
    <t>RETIRADA NA FABRICA / (0) Obs.Interna: PAGAMENTO ENTRADA R$ 4.000,00 SALDO EM BOLETO 30/60/90
CLIENTE RETIRA NA FABRICA 01/08/25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</si>
  <si>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HbpwUEkaru4kYxXY1S1xvUqXxWjNQyzUmvt20cK1-rtj5WXzpoj3KEB1slFqKHn-YMKGNZpyoDyeJ2Hj4iP5QOHl06KxwfoO4uckCWFDaJvRkgnpqNbNGd5zcbDTt4QUp14TWlHBMPqxuK5MuIIAf91cdAfu-ehvqb6LNWSBjU7XqEWkkNZF5PEP2whyRNo3kmoy1l2X2gKCY-pV7ztsFNVlHTGDQKWeK1wG_U_FAL2q_E4ocfBruw9B02N63G9FuWhlfA3djx1BLUuPy6fa1nUmlasg1ynE0gjO-YBapQR0qxWq0Nc0uTpWqtQ&amp;amp;lib=M-zdWbhavtdZ1B_W2dnFDM0qoVt4lWzJ-"&gt;here&lt;/A&gt;.
&lt;/BODY&gt;
&lt;/HTML&gt;
</t>
  </si>
  <si>
    <t>gavtA0jPR66p7ajGnpOM4A</t>
  </si>
  <si>
    <t>18088</t>
  </si>
  <si>
    <t>8F00250329050014</t>
  </si>
  <si>
    <t>FITLOG TRANSPORTES E LOGISTICA LTDA / (048) 996277956Informação Adicional: CLIENTE EDILSON DOS SANTOS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</si>
  <si>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DKD8Vc1L5dPVJVQo-pz-9OpbetNM05NTbWFvxrvJqyj7G_s30NvYhg5ZkWlgCiWCJhiuElvA1xIETgjHn-opzbyw-EMu_xOZrOYrx943m9TNjvrFH55hqgti_Jq2YzhHwW_y0qyhx04dxat8vHiX6499hMlUBFZuCMu0QSY3mclK4Z-AhzvYN86lO64dsGlX7es4c7PPke74tuRBhf9ESyLyiTMaB0bCTeaGPs9rcquNbevRJS1z4CLBXZLXkpzhquzH-qSM9zPbanBGbRgWLVhevGpG_Sc6IEftzSaFb-pNO2s2cQ1LoXs1BPw&amp;amp;lib=M-zdWbhavtdZ1B_W2dnFDM0qoVt4lWzJ-"&gt;here&lt;/A&gt;.
&lt;/BODY&gt;
&lt;/HTML&gt;
</t>
  </si>
  <si>
    <t>5ShbzkBJQUCmxc.9D-pG.Q</t>
  </si>
  <si>
    <t>18089</t>
  </si>
  <si>
    <t>MERITO COMERCIO DE EQUIPAMENTOS LIMITADA</t>
  </si>
  <si>
    <t>FITLOG TRANSPORTES E LOGISTICA LTDA / (048) 996277956Obs.Interna: Para entregas de Qualquer volume por favor agendar  através do telefone 3055-7600 ramal 282 recebimento@meritocomercial.com.br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</si>
  <si>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8WtipgoWk0gDDHkSJ2xsKUxS-U3vST1FEVb73Qq506DGOL1IUcp3VoV0zZ5q1TD9xCM0OTRvqCaH7xOrTQ0orjTdSTN8lrAcOY3RhZPUa8qeeeIH24hpdka8qo5G6vnsb6HrbgK45RjaFaWZbViXLkSOFnKbdUhnJASEuzXpbO5yAiV8m_HjDwd-HdHVrBKIcmnAeswpqlIPVX_IQOgLDB7HAD6PC8yIHnibL9pdBytdjv2r75JLurMYXQInjJdE0OOHSXMU9j1KofloxV8po0jqO28R9EDg-EA6FE24Hw76iAK7lRaejWT6kQQ&amp;amp;lib=M-zdWbhavtdZ1B_W2dnFDM0qoVt4lWzJ-"&gt;here&lt;/A&gt;.
&lt;/BODY&gt;
&lt;/HTML&gt;
</t>
  </si>
  <si>
    <t>z.VAGmqCQ5KVq0zvdKaIYQ</t>
  </si>
  <si>
    <t>18090</t>
  </si>
  <si>
    <t>8E00250208070017</t>
  </si>
  <si>
    <t xml:space="preserve">&lt;HTML&gt;
&lt;HEAD&gt;
&lt;TITLE&gt;Moved Temporarily&lt;/TITLE&gt;
&lt;/HEAD&gt;
&lt;BODY BGCOLOR="#FFFFFF" TEXT="#000000"&gt;
&lt;!-- GSE Default Error --&gt;
&lt;H1&gt;Moved Temporarily&lt;/H1&gt;
The document has moved &lt;A HREF="https://script.googleusercontent.com/macros/echo?user_content_key=AehSKLi-nqR05Ha2W7BVnNnUHmTnFhp5sxsRf0kgNPTWhrkRV71ofEUMZJx6RnCVal-Ux8pNErhOkJno2n2ldY8SMNu5FMoFEQLMe-oeWvJ2o21TnxTMoeVBDp54xJzkKJ1I63DFn4VeibkQEfwlyi9d0tFpoRcvMmBeCcuree1GKNn5towzpiVkHqjx0gEeCoUAepyO6XRKI9acq-xOaT-P0aDj3ajMpVipRcl0QIsjtyN-jBdKUPA_n9tMpCEspBESUbOktcpSWAW-I-1v8_E7iYTJilI3_0k1ywWR7dtlRuW__0559t18cmLUWZLyDw&amp;amp;lib=M-zdWbhavtdZ1B_W2dnFDM0qoVt4lWzJ-"&gt;here&lt;/A&gt;.
&lt;/BODY&gt;
&lt;/HTML&gt;
</t>
  </si>
  <si>
    <t>fdlYZy8XRMKqOKh5ThUb2w</t>
  </si>
  <si>
    <t>18092</t>
  </si>
  <si>
    <t>8F00250208110015</t>
  </si>
  <si>
    <t xml:space="preserve">&lt;HTML&gt;
&lt;HEAD&gt;
&lt;TITLE&gt;Moved Temporarily&lt;/TITLE&gt;
&lt;/HEAD&gt;
&lt;BODY BGCOLOR="#FFFFFF" TEXT="#000000"&gt;
&lt;!-- GSE Default Error --&gt;
&lt;H1&gt;Moved Temporarily&lt;/H1&gt;
The document has moved &lt;A HREF="https://script.googleusercontent.com/macros/echo?user_content_key=AehSKLh3cC98FZvTBgKcPKlym63RUt-OyKXtMgmZXPSLeNSlaDBS12PEM9Ifo8lgLejaRwd6DWLcMGZ7syJ8jV6_UB2x_g6JR0PPclmzPCiinMqyA_2RrlaZ-lj0JzE5c6GBOzAyXBEeliWI2JbRqBgAQ-Bk0VyDQbrO8EJNH1aAWmVanfmKqWJaTU2WOLC3D0Mju2ypUUpQojN0gpFdYiydDpApMhGrnKgeP9SwrlR8Sv5yN7OAGVej49f7A-nhXk4-aGa3Tfq9skB3rvqUJ4V7Ed0MiA4rpjFuX7xqf72he_aXtWblFwQF_CZnB1VD2g&amp;amp;lib=M-zdWbhavtdZ1B_W2dnFDM0qoVt4lWzJ-"&gt;here&lt;/A&gt;.
&lt;/BODY&gt;
&lt;/HTML&gt;
</t>
  </si>
  <si>
    <t>3In7rfnZRNuixODty.vXBQ</t>
  </si>
  <si>
    <t>18093</t>
  </si>
  <si>
    <t>8F00250329070005</t>
  </si>
  <si>
    <t xml:space="preserve">&lt;HTML&gt;
&lt;HEAD&gt;
&lt;TITLE&gt;Moved Temporarily&lt;/TITLE&gt;
&lt;/HEAD&gt;
&lt;BODY BGCOLOR="#FFFFFF" TEXT="#000000"&gt;
&lt;!-- GSE Default Error --&gt;
&lt;H1&gt;Moved Temporarily&lt;/H1&gt;
The document has moved &lt;A HREF="https://script.googleusercontent.com/macros/echo?user_content_key=AehSKLhsJCXgpH4v2HiBgnnZGO4mapOxQWLl_hasMsXEPVw5D072mUr2UQP0rCSYxAdGci-Pc2ohh1jeeIbbdAI_jQo-tC2pV8ko70l1QjO4vjYvS-pKzCqAc43aKRisTTyBWwqA7td1bjykb4p3ilH8vcI_wlUKv_DEHjY2O03KdPNPdYh5_8DOl31l7NK8zVZ52nUqOM75utTFd9ISpYfICENErRxGtZX03GJ4sH7Eht1S9I9sSlFk9CAGWOrpfezH9m6myLyWJaDccgnoomiBcUnvvbQVYNg--DRHN4w_opWp1_oY4QKZaCNVGcBpnA&amp;amp;lib=M-zdWbhavtdZ1B_W2dnFDM0qoVt4lWzJ-"&gt;here&lt;/A&gt;.
&lt;/BODY&gt;
&lt;/HTML&gt;
</t>
  </si>
  <si>
    <t>qYirVgO2TC6gkercYWPQ6A</t>
  </si>
  <si>
    <t>18094-A</t>
  </si>
  <si>
    <t>8F00250208090006</t>
  </si>
  <si>
    <t>RETIRADA NA FABRICA / (0) Informação Adicional: CLIENTE VAI RETIRAR NA FABRICA
ALTERAR PAGAMENTO PARA 4X 30/60/90/120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</si>
  <si>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BoHpld2ebaa7x7bjSQ4oW1YcxE_TIQkQ2WiOL7aRyStcW6iwJFcjU9jA6wFU5H7bLM7v1AlbufjJJOftYibwZHBUTNxc32LulALWfdKwN6_aCaLNULPeoEJnPsDDrbxzOaE71Icl4MIpkQ2yeAfjshSP284rZ_DQwaUnDLSF3boHLzL-3Vyet4mPw4810JVGVSZhdbeHXIk4tpfYlGylujrSomvUYTCoTcuPVA51UxsOzV3kdMffPcv4sju_mvtp3NdwQac0FB2PAp7TeOjtOmVbsxbTTGL_XPPcgSQUb-RDs4_M7qdbWzlHleA&amp;amp;lib=M-zdWbhavtdZ1B_W2dnFDM0qoVt4lWzJ-"&gt;here&lt;/A&gt;.
&lt;/BODY&gt;
&lt;/HTML&gt;
</t>
  </si>
  <si>
    <t>eWzGtLTwTkeX3ByOGEjZmw</t>
  </si>
  <si>
    <t>18094-B</t>
  </si>
  <si>
    <t>8F00250411530001</t>
  </si>
  <si>
    <t xml:space="preserve">&lt;HTML&gt;
&lt;HEAD&gt;
&lt;TITLE&gt;Moved Temporarily&lt;/TITLE&gt;
&lt;/HEAD&gt;
&lt;BODY BGCOLOR="#FFFFFF" TEXT="#000000"&gt;
&lt;!-- GSE Default Error --&gt;
&lt;H1&gt;Moved Temporarily&lt;/H1&gt;
The document has moved &lt;A HREF="https://script.googleusercontent.com/macros/echo?user_content_key=AehSKLjJUmpOyhKnWq1uXxYecw93Z7yyAGhUqEb3jLrVBdyFbDh2PdryVb7wDoj26yHU1ODEEv0DGYrv676teZaOqOG35A-EQEG_UiK_8uuP8MT-JE8RyBEDmL4epJ1L218b7WnfF75_y1aX4JBe_G_GajV8V7iv6QOZUKSflvtJpmyCfKJucbp6CJAoNGwZd35VMIs4UgrXoRfeYksPPDVIiaShEF5rIQcPQaQr2XuTi0V-Z12EPYFzg-qChugFNh4yvsG-srUEHXoHGk-zc-UdcdbnykHn8qgR1u_NzNF0a4B3df9TQS3B1NG5AAGCpw&amp;amp;lib=M-zdWbhavtdZ1B_W2dnFDM0qoVt4lWzJ-"&gt;here&lt;/A&gt;.
&lt;/BODY&gt;
&lt;/HTML&gt;
</t>
  </si>
  <si>
    <t>eGVVkysdQCHHpjag0lCU</t>
  </si>
  <si>
    <t>18095-A</t>
  </si>
  <si>
    <t>8F00250110270045</t>
  </si>
  <si>
    <t xml:space="preserve">&lt;HTML&gt;
&lt;HEAD&gt;
&lt;TITLE&gt;Moved Temporarily&lt;/TITLE&gt;
&lt;/HEAD&gt;
&lt;BODY BGCOLOR="#FFFFFF" TEXT="#000000"&gt;
&lt;!-- GSE Default Error --&gt;
&lt;H1&gt;Moved Temporarily&lt;/H1&gt;
The document has moved &lt;A HREF="https://script.googleusercontent.com/macros/echo?user_content_key=AehSKLh412_VL8ySowj_rtEOE3wfjnT9LI78VXVsgbh5DGfdHo1kC0fkZ15y3CrcW6yOpcVG2T1u7xwyntLuFKMtfXY3McTqzCKPZ4OaFHrFxIYk11k_R4453FRncJJ7y0Eq9SSDHg0DnZf3B-zI5eozJGnI1f8TfHxGYKegieLm3vMJsbSmxVCcmoypKDWCnIxVIhJYkSntSwgDrwZ_XpmlfqbqTfW594mpMz6KbL2Im9fuaDCQbMIr9p5fKrOiaLR4lFIv8N7rZyRB8DIlr810t7IHIbiotKvBo8YaX8kLUF9zWewzgJBZSYBzxUAwag&amp;amp;lib=M-zdWbhavtdZ1B_W2dnFDM0qoVt4lWzJ-"&gt;here&lt;/A&gt;.
&lt;/BODY&gt;
&lt;/HTML&gt;
</t>
  </si>
  <si>
    <t>2K70ryosRtSaZ9pXERSZjw</t>
  </si>
  <si>
    <t>18095-B</t>
  </si>
  <si>
    <t>8F00250110270044</t>
  </si>
  <si>
    <t xml:space="preserve">&lt;HTML&gt;
&lt;HEAD&gt;
&lt;TITLE&gt;Moved Temporarily&lt;/TITLE&gt;
&lt;/HEAD&gt;
&lt;BODY BGCOLOR="#FFFFFF" TEXT="#000000"&gt;
&lt;!-- GSE Default Error --&gt;
&lt;H1&gt;Moved Temporarily&lt;/H1&gt;
The document has moved &lt;A HREF="https://script.googleusercontent.com/macros/echo?user_content_key=AehSKLhicmW0Ze3aGJqVUnb-l7pmTHz_ts7crPXgPVHrVqZxFNpfnLPcO_htxQXf0YpOjhLMYA747TXuul6SmlLxanWTKzX9WqMwr86M2h7pbmwAGKwziFwoKH6Zr0UGlUwZHhjCIs0wxTGfOx-jzwnp3-oNlZfDNOQDBg1mTHP9wsDxn42Z-qCz-PosZ_Xb-tavEEaNkm9fDb5dfmRYzMVidCUdiZ22KGbVyijoMyd3o0ENQqCgDmtrBl3DpL8LNRv04UpiWvRSpxCTLzfgvgRIhpFUGLsGvNdU0VPibKb9iBHgnXbuMt0PQiR6qZ-2Ag&amp;amp;lib=M-zdWbhavtdZ1B_W2dnFDM0qoVt4lWzJ-"&gt;here&lt;/A&gt;.
&lt;/BODY&gt;
&lt;/HTML&gt;
</t>
  </si>
  <si>
    <t>mCFMdPpgX36nVPuZoE4U</t>
  </si>
  <si>
    <t>18096-A</t>
  </si>
  <si>
    <t>8F00250329070011</t>
  </si>
  <si>
    <t>AIV3388 - RETIRA - EDESIO FUGA - 00000000000 - TOYOTA / HILUX / CINZA / 2010</t>
  </si>
  <si>
    <t>CLIENTE RETIRA / (0) Obs.Interna: AJUSTAR VALOR COM DESCONTO 10+10 = R$ 23.315,85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</si>
  <si>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VJCKM78QI_4kfHtkged3BaaxVFGK0sMzxrCOFOaf3W0KgB0ES5vV2P_GrdBjoWUqTy6Rtz_VZSId7c2npYxgyRssdhROV8uHoslFkgsFMxG21SDgmvItBv1faAVUEyBCu6X7MqpeciXoLGGmRmJRqAbPzNaO5nsvVLbqKmmXrLfPKySt39X6U42rg1BiA4ib6I4aBYb3NzLeAULEqB4KYKpziWyAt_xF4NhhZNnUC42WtSbHhQEye4-r8O1onJKythUekHlfiZkMTVRoYGsc2y2Z1BAaHoXJ-fv9fnElJby8Uq7HY4aIiHMltrw&amp;amp;lib=M-zdWbhavtdZ1B_W2dnFDM0qoVt4lWzJ-"&gt;here&lt;/A&gt;.
&lt;/BODY&gt;
&lt;/HTML&gt;
</t>
  </si>
  <si>
    <t>up1J.36URhCajWLGv6taZQ</t>
  </si>
  <si>
    <t>18096-B</t>
  </si>
  <si>
    <t>8F00250208110011</t>
  </si>
  <si>
    <t xml:space="preserve">&lt;HTML&gt;
&lt;HEAD&gt;
&lt;TITLE&gt;Moved Temporarily&lt;/TITLE&gt;
&lt;/HEAD&gt;
&lt;BODY BGCOLOR="#FFFFFF" TEXT="#000000"&gt;
&lt;!-- GSE Default Error --&gt;
&lt;H1&gt;Moved Temporarily&lt;/H1&gt;
The document has moved &lt;A HREF="https://script.googleusercontent.com/macros/echo?user_content_key=AehSKLjrI2K7YsqbuecOUulwAFF5N03PIadO_VZyOzpCH9aK-bcnqd3Q6lKADdJ9S56S3azuMU5p9ShYxit_lvaopHKBMvV7TAwV7J3wJl7qaTKRa2H5tCOgbTVSoTY57Y1wl1LzzSlOg6_6TONW9yC6DRsjTEuxYmrfHGlPR7oWKfyaAtI6soYt_S9luSTTdkeRM0YvU1DW-pqm0Cgx8ncDZkxtnTOkoxF_HemLDXc4wI69bkXCY50LJPjQhBB0QtkHaoarA5bXnN2vuzsGmaDJR8-R1ne-ezB5wGPyEgV6DobHW2DP3boQu5QYBvhSpQ&amp;amp;lib=M-zdWbhavtdZ1B_W2dnFDM0qoVt4lWzJ-"&gt;here&lt;/A&gt;.
&lt;/BODY&gt;
&lt;/HTML&gt;
</t>
  </si>
  <si>
    <t>U7xl6NY4nAglgOrWHCYV</t>
  </si>
  <si>
    <t>18097</t>
  </si>
  <si>
    <t>8F00250208090010</t>
  </si>
  <si>
    <t>FITLOG TRANSPORTES E LOGISTICA LTDA / (048) 996277956Informação Adicional: Aplicar desconto promocional de + 10 pagamento à vista (boleto para 07 dias) conforme autorização do GV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</si>
  <si>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hBOi51_Flr822UU3NiiKLAt7NJeselpqa4ARtnq9lI6uoVwZbtlPTZ_yprSrz0bd_aDObUniwUdaEFsiRsqRdSt9ZigbjNkQaFIGxmYJInwBP2mNky3_A6Xdbl1J3rkUfZVO5AcM3iKB21NHrLGkmbPRrt5RnXRDzwYtXm1m4Wr538-OtCopp5-l7HIMSJZJxdoxloViaLj36nDUxtix5t_oOGgkgyY-sth-OYABeMspLqFTXhHlbN5qoFDAyJJbcTwG1qMBs1i1qdNnGapXQ0n5eaxjgv7mZNo-BbvGoYyPcof-EVzpMZw-Kgg&amp;amp;lib=M-zdWbhavtdZ1B_W2dnFDM0qoVt4lWzJ-"&gt;here&lt;/A&gt;.
&lt;/BODY&gt;
&lt;/HTML&gt;
</t>
  </si>
  <si>
    <t>lhbVHuINRZCwzCgczZSQUg</t>
  </si>
  <si>
    <t>18098</t>
  </si>
  <si>
    <t>8F00250110270047</t>
  </si>
  <si>
    <t xml:space="preserve">&lt;HTML&gt;
&lt;HEAD&gt;
&lt;TITLE&gt;Moved Temporarily&lt;/TITLE&gt;
&lt;/HEAD&gt;
&lt;BODY BGCOLOR="#FFFFFF" TEXT="#000000"&gt;
&lt;!-- GSE Default Error --&gt;
&lt;H1&gt;Moved Temporarily&lt;/H1&gt;
The document has moved &lt;A HREF="https://script.googleusercontent.com/macros/echo?user_content_key=AehSKLjuHwTlrJhwkD6jTn4cvOni9X5dSUobKiR6JmoNx3M_NEIsWmpgWDzw2b1RiY8c8xrla9sonLn_ZyP1sgAHFtmczayqfZfni5xt0Qlr7P76yCJKykJVn6HwVtEIrrOirT1DnVZdkW2mgESQuMv9xlT8CMSXzeW-E0E0Ookr79DdSQKiU4fwnGYuNJl-ECHhngykiyvnbnts91afn99l_iYS4BACHYiWwrK2TJaPALUB0TwJPFmiYlll7oW94vzldBW0LVeslPN9H9HyKUT6gqMj5_XM3gkP2Kn8U1aYa4IapXkfVGDcavkP9KEhFg&amp;amp;lib=M-zdWbhavtdZ1B_W2dnFDM0qoVt4lWzJ-"&gt;here&lt;/A&gt;.
&lt;/BODY&gt;
&lt;/HTML&gt;
</t>
  </si>
  <si>
    <t>i4LgvuTzTBSyDxnVnvI44g</t>
  </si>
  <si>
    <t>18099</t>
  </si>
  <si>
    <t>8F00250110270046</t>
  </si>
  <si>
    <t xml:space="preserve">&lt;HTML&gt;
&lt;HEAD&gt;
&lt;TITLE&gt;Moved Temporarily&lt;/TITLE&gt;
&lt;/HEAD&gt;
&lt;BODY BGCOLOR="#FFFFFF" TEXT="#000000"&gt;
&lt;!-- GSE Default Error --&gt;
&lt;H1&gt;Moved Temporarily&lt;/H1&gt;
The document has moved &lt;A HREF="https://script.googleusercontent.com/macros/echo?user_content_key=AehSKLgCInXqf6N4DoDixgkLHN6x_nOKmF1BdJiQUr7selXWVDWQA_wodWz7Yf6dJZWpjlthFxtHU5FiBToa2E0s0W3jGbi2CYM7Zdef4yzdds9cQbTA73eGbdy8vqLgx_wm1ToBHr990BlFBzNMzcJJRmiwS8q1MG6a4xqs9LFvfR3hbMIp1mPeRNupMj5hdDPnZ4XCszgmwvrurTV03FAWcx-nfoOUS5za9QDVjYbxbc9yYmFuQQTguK0byyM5o9-8jLxVbcWLNjbQwSHMw-a4vVd4FUOX6NPzDGkF5aQDaDMACTeWBDwIu_uOlBbU1w&amp;amp;lib=M-zdWbhavtdZ1B_W2dnFDM0qoVt4lWzJ-"&gt;here&lt;/A&gt;.
&lt;/BODY&gt;
&lt;/HTML&gt;
</t>
  </si>
  <si>
    <t>ykjHSXUEQuSpIBOZXSgmMg</t>
  </si>
  <si>
    <t>18101</t>
  </si>
  <si>
    <t>André Luís Castro Feliciano</t>
  </si>
  <si>
    <t>8F00250208110017</t>
  </si>
  <si>
    <t>SPMINAS TRANSPORTADORA</t>
  </si>
  <si>
    <t>FITLOG TRANSPORTES E LOGISTICA LTDA / (048) 996277956Informação Adicional: valor do pedido já com o acréscimo de 6% do DIFAL
FRETE FOB COM REDESPACHO pela SP MINAS</t>
  </si>
  <si>
    <t xml:space="preserve">&lt;HTML&gt;
&lt;HEAD&gt;
&lt;TITLE&gt;Moved Temporarily&lt;/TITLE&gt;
&lt;/HEAD&gt;
&lt;BODY BGCOLOR="#FFFFFF" TEXT="#000000"&gt;
&lt;!-- GSE Default Error --&gt;
&lt;H1&gt;Moved Temporarily&lt;/H1&gt;
The document has moved &lt;A HREF="https://script.googleusercontent.com/macros/echo?user_content_key=AehSKLjEJzySfJOQf5bLizG_hwXemX4aovIsaGLqoW8ilTs339dORQTWJTFFxucUPxemJl2mxa4eyuLePsDpvZZMwA1mnf1eUysrZjchKj0vmrQzHi82VvLTU8JFSSqtJvd7b7DV49Dqv_KeQG-yV7lKMKruBRpQ1LzSSBQO7HU10aNi4BORZih5T0d4zFYgzqCQ-2Idm24eWOJK2IcAiR2B9dDqi0xtvQAyXw6NG0wYq1vGazA3PxfeY0EsESNW46IXohEZ-WwYjTq2l9-_YnuQCMB-Jhfxle-j0N5oqRYHSTDDclD1R7_ygNM_EBLTCA&amp;amp;lib=M-zdWbhavtdZ1B_W2dnFDM0qoVt4lWzJ-"&gt;here&lt;/A&gt;.
&lt;/BODY&gt;
&lt;/HTML&gt;
</t>
  </si>
  <si>
    <t>Fqz2uaMfQyWMertKSanlNg</t>
  </si>
  <si>
    <t>18102</t>
  </si>
  <si>
    <t>8F00250208110014</t>
  </si>
  <si>
    <t>FITLOG TRANSPORTES E LOGISTICA LTDA / (048) 996277956Obs.Interna: Frete CIF. Condição antecipado pago via contrato.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</si>
  <si>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zEiGe8kXuMea1zuFPjulhBYuEItc9FMoN3iXUNjPx39LqlmWP8wrtaKaclpnXzM7TeeIFdomgRKVEffjvP2icsYdaeA1-rh_UFtyLyjobM7DkNe4FyKCqDm0zFKf5MnIMr4W3xtiAvnygQ-nWb-tuVBE-Dg-2Nn8Cq1TK6YFMNH-d1j-9Jhm5-kemJDcscQFWv-enyQa0Pn5LWH24zMQfr7WkEn4vkxLAuLP_blzVpRdzSWgspXxR6Im-0M9zmfGud9N2Dj4S11aAohcoxFOXsoot2Xj7HC5jP9HAMO77Npx8zdeXWXtvNVuQA&amp;amp;lib=M-zdWbhavtdZ1B_W2dnFDM0qoVt4lWzJ-"&gt;here&lt;/A&gt;.
&lt;/BODY&gt;
&lt;/HTML&gt;
</t>
  </si>
  <si>
    <t>cD1wT4CWSya7a8IyR2wMrA</t>
  </si>
  <si>
    <t>18104</t>
  </si>
  <si>
    <t>EDESIO FUGA</t>
  </si>
  <si>
    <t>8E00250208070006</t>
  </si>
  <si>
    <t>CLIENTE RETIRA / (0) Obs.Interna: PEDIDO DERCIO - MODULAGO - CLIENTE RETIRA
VALOR DA NF R$ 6.373,76 - DIFAL R$ 303,52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</si>
  <si>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h35U4bMRYiBatBvgXl0nfqlngNtelima-rA65Ss0aSWIyPPGMPNiJPCOK__EQS6oHgmikiKMtVEMPploQmUt2RAoEZaXZ46AMBG6VgiyBN67EdHKYsMmBs2LvaIckKcActEaHRiV2TJF-vyyryiOKD3AlsOmJ6SYGJ4XqqweFJ7LlvGGh2OryNJ_RznWZznhpZKq1bHkBBmFVSSPHS9OsGRy5_yydKcDix963AqsrrMds9XkKp3PI9Eu0wiQicZpUB-feBLTMfv3lDHZaFZUcAyFipZgv0dqR-Mg68ueofsz2VxEud2dypeKucA&amp;amp;lib=M-zdWbhavtdZ1B_W2dnFDM0qoVt4lWzJ-"&gt;here&lt;/A&gt;.
&lt;/BODY&gt;
&lt;/HTML&gt;
</t>
  </si>
  <si>
    <t>6qxY.249QFyTe7q5WYqUjw</t>
  </si>
  <si>
    <t>18107</t>
  </si>
  <si>
    <t>8E00250208060007</t>
  </si>
  <si>
    <t xml:space="preserve">&lt;HTML&gt;
&lt;HEAD&gt;
&lt;TITLE&gt;Moved Temporarily&lt;/TITLE&gt;
&lt;/HEAD&gt;
&lt;BODY BGCOLOR="#FFFFFF" TEXT="#000000"&gt;
&lt;!-- GSE Default Error --&gt;
&lt;H1&gt;Moved Temporarily&lt;/H1&gt;
The document has moved &lt;A HREF="https://script.googleusercontent.com/macros/echo?user_content_key=AehSKLgS6-7oLtVhcSqlnhZv7NmBTndan_SNz0X9lcYAd2TKdyuCFebUtHEsTaOLs5bM51FhA2LQwnj9A_sDUlcja1Hk02cvZyxHwQFFCBQkY8UpnmCpwMvH13oKZztCt2g_dD-DauLgxTwrce-imCF9PfMNgcwmHLdbuuoRQ2udWkdrR9PgQtFOkqSx9iqwFNWbAd67PiayaLVDgmHGURv52XOdxyyoSgLh-F49cTlAgqg5wFdzZGh1I7S4VW2g8noEA2gD6S7MQUy4HzbflTvysyIqxMDqXEN4AJ42CtrWqwArgFi1lbZk9UdT7c1VTQ&amp;amp;lib=M-zdWbhavtdZ1B_W2dnFDM0qoVt4lWzJ-"&gt;here&lt;/A&gt;.
&lt;/BODY&gt;
&lt;/HTML&gt;
</t>
  </si>
  <si>
    <t>ZcH1wScMTUyyFNltOdbIBA</t>
  </si>
  <si>
    <t>18108</t>
  </si>
  <si>
    <t>8F00250329050020</t>
  </si>
  <si>
    <t>EXPRESSO SAO MIGUEL S/A / (049) 3361-6627Informação Adicional:  A NOTA VAI SAIR EM TRIANGULAÇÃO, A CLIENTE VAI ENVIAR A NOTA DELA DIRETO PARA VOCÊS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</si>
  <si>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iUBYEC08qHyIeoS8PgdCUQJhzldgYRpxOdc2reIueBuHY5wxIEno5vid6s47UqAioS1bBzqbhEVrtfSlJyifCsxE2YjckG6MgZcid7kPA2OcD8zs2RAZ9gFN6S051Cf3ESLDqcS6-oEMxlnv9fUz-midhgA6mAIxIMLZl4r1val8mkJSb69T38e2wMsiwrI5ehWts4dVjrbMbb_JB6iK_lXShoJU2vujBmEAOOVY9TOWVQuz6qMvzwCBAWB1H5VJXxxRTZjUUXHAmOsU3MYWFofB70jxRxs_shfjMFYRVbE9oUKctHzR6ukBbnQ&amp;amp;lib=M-zdWbhavtdZ1B_W2dnFDM0qoVt4lWzJ-"&gt;here&lt;/A&gt;.
&lt;/BODY&gt;
&lt;/HTML&gt;
</t>
  </si>
  <si>
    <t>A9zoqk9RQFCGBskOd9st0Q</t>
  </si>
  <si>
    <t>18109-A</t>
  </si>
  <si>
    <t>8F00250329040007</t>
  </si>
  <si>
    <t>FITLOG TRANSPORTES E LOGISTICA LTDA / (048) 996277956Informação Adicional: CLIENTE IRÁ RETIRAR NA BASE DA FIT LOG EM GUARULHOS  / Obs.Interna: 30//60/90/120 DS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</si>
  <si>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scatm3vt9RtU5muGjfdij-9vzpMHl-zZVUM1RE3BTHXOiJGuGULbNwzNNUz94TGky1hsnxF-Y8DkiFEASj_yGmRjASNpNkc1KQA7GCP-b8aNXXqfa0ly9wtEMUSfO8JqDqiyLf_BFugiFsLg6OFTSNcm8CAplMz08FvQTautg-m1DGTCfQDqnbkdziINvosDCheqUX_RnrlHV0PnPDm3Lk0RVmfAQaez-B7GhtC2nAvbwjjgYaLZxS7SiXGopGsS83D9ecL5AmHkyQa835NjWjQKtTt7h-KLzsZPTZJHClrkeC99FdtJuYUL88g&amp;amp;lib=M-zdWbhavtdZ1B_W2dnFDM0qoVt4lWzJ-"&gt;here&lt;/A&gt;.
&lt;/BODY&gt;
&lt;/HTML&gt;
</t>
  </si>
  <si>
    <t>DjOwe7sJRmqzFllrq24YAQ</t>
  </si>
  <si>
    <t>18109-B</t>
  </si>
  <si>
    <t>8F00241225070014</t>
  </si>
  <si>
    <t xml:space="preserve">&lt;HTML&gt;
&lt;HEAD&gt;
&lt;TITLE&gt;Moved Temporarily&lt;/TITLE&gt;
&lt;/HEAD&gt;
&lt;BODY BGCOLOR="#FFFFFF" TEXT="#000000"&gt;
&lt;!-- GSE Default Error --&gt;
&lt;H1&gt;Moved Temporarily&lt;/H1&gt;
The document has moved &lt;A HREF="https://script.googleusercontent.com/macros/echo?user_content_key=AehSKLjHKzck3uT0Xu2nSjVZ699IEQuSfLAveuaPkIuv02Nwb7lZ80Xs5ts6idAkiW9-aDFRqpmnQA34Is8ldf1j55Wl9k-BCS32Cne5CfrCL1G3SKWfhpUQWhY5YHLAvQyH7toTejbmiQs8tlO2csntFBqg2XSA5a1bjnO64YiuQHa_qnOzeRDoENUwi_tFuRae28izsgYKVSaFckfs_ZNBHMuPZ_YIeX4mnmJ_OizqWcjjPjOIC-DJMW9ayD0oING9HKOYZNtuvKSJE10w25AETmfnC3ivUhZqUayYCbz0EUDWlX63P2SvYG6xmSapiw&amp;amp;lib=M-zdWbhavtdZ1B_W2dnFDM0qoVt4lWzJ-"&gt;here&lt;/A&gt;.
&lt;/BODY&gt;
&lt;/HTML&gt;
</t>
  </si>
  <si>
    <t>ia9a9TzShlhJScjKCrEe</t>
  </si>
  <si>
    <t>18110</t>
  </si>
  <si>
    <t>8F00250208110018</t>
  </si>
  <si>
    <t>FITLOG TRANSPORTES E LOGISTICA LTDA / (048) 996277956Informação Adicional: Redespacho: RODONAVES TRANSPORTES E ENCOMENDAS LTDA - CNPJ: 44.914.992/0013-71 - END: Avenida Alexandre Colares - CEP: 05106000</t>
  </si>
  <si>
    <t xml:space="preserve">&lt;HTML&gt;
&lt;HEAD&gt;
&lt;TITLE&gt;Moved Temporarily&lt;/TITLE&gt;
&lt;/HEAD&gt;
&lt;BODY BGCOLOR="#FFFFFF" TEXT="#000000"&gt;
&lt;!-- GSE Default Error --&gt;
&lt;H1&gt;Moved Temporarily&lt;/H1&gt;
The document has moved &lt;A HREF="https://script.googleusercontent.com/macros/echo?user_content_key=AehSKLiv8QyQFHLviqRzbaLnGt302HQgvxMFFZ-B9NSEAlPf90Idt6yuHFUI2cX1VDgHhg4O-mReOCCFXFal2ueoLZvhqKbRSuOjsckzsm3S-M3dBCc3H1NiCrI3e0Kz_PfCKDxFLDWzhswzLIQ_BmkeW4r00rzmolXnL5Ux65NaDijhYrPKgbKQMMbxL9GKO2VgpyXZQhSzgDXyDR7P40EVFgS2TVui1g6DIFKkv0JmGQCxG8Y6edpALer-wPk2beGFbGg2txjz1T-mpwHt0Tolc4ltr22JQLScMhStHad-7hBNwdMkFigwJrtgfEHPkw&amp;amp;lib=M-zdWbhavtdZ1B_W2dnFDM0qoVt4lWzJ-"&gt;here&lt;/A&gt;.
&lt;/BODY&gt;
&lt;/HTML&gt;
</t>
  </si>
  <si>
    <t>24qmvXRASZmoPhFkCddDqA</t>
  </si>
  <si>
    <t>18111</t>
  </si>
  <si>
    <t>8F00250329050017</t>
  </si>
  <si>
    <t>FITLOG TRANSPORTES E LOGISTICA LTDA / (048) 996277956Informação Adicional: Desconto de 10% à vista (boleto 7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</si>
  <si>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AqP1CHpfN5hoc4uqWIsM66c2cMEmqJUAv5LLt-fsszINSZpBusIh8wrX2_438fX2OE-uUUvuPenwp15Y-Z0a0HRs2GTDV5ZfkAoeixTBX887LDp8P3t6b3P3adQxvUVw4J-iYGpRXA6rwqlJEGdll47UrrFNakbM7r87AkMUVj5I445xTMnpxV8kQOMK3BZ5orF2u5oMYYIbCuw-J4AwjYLuqdWHmG2MHMWuaxrGOePEh83tktAFYKHqmvvRqixB5IaBLhwT8Tdx5uBYEN2tKo1XW77bxpXMfJ1_xXjFujF2t32ns1Wu8kuK3cQ&amp;amp;lib=M-zdWbhavtdZ1B_W2dnFDM0qoVt4lWzJ-"&gt;here&lt;/A&gt;.
&lt;/BODY&gt;
&lt;/HTML&gt;
</t>
  </si>
  <si>
    <t>Q7vKhkFpRYau5FQJiXt4wA</t>
  </si>
  <si>
    <t>18114</t>
  </si>
  <si>
    <t>8E00250208060008</t>
  </si>
  <si>
    <t>FITLOG TRANSPORTES E LOGISTICA LTDA / (048) 996277956Obs.Interna: Serão enviados dois pedidos deste cliente, que são complementos do pedido do mês passado.
Um deles será pagamento á vista. No outro, a máquina terá valor de condição à vista, porém faturado 30/60/90 (autorizado pelo Carlos).</t>
  </si>
  <si>
    <t xml:space="preserve">&lt;HTML&gt;
&lt;HEAD&gt;
&lt;TITLE&gt;Moved Temporarily&lt;/TITLE&gt;
&lt;/HEAD&gt;
&lt;BODY BGCOLOR="#FFFFFF" TEXT="#000000"&gt;
&lt;!-- GSE Default Error --&gt;
&lt;H1&gt;Moved Temporarily&lt;/H1&gt;
The document has moved &lt;A HREF="https://script.googleusercontent.com/macros/echo?user_content_key=AehSKLiwSJq7mBo0BolnA696SreEJ2Ekv-B-eLk4d05qRTyPev0NbajhvTjYcQnMZ2MriKoeRNmC2r8of1PoxkHxWNscTmJ5u40uIvhJ9dtjLzY7vtqIU24hFsQOZhNAQXePddvPRB6n-NiGcTrya2nmHFVSLTWXUX_aV7RpkVoyI3TafKkRWB31ncxg_uVpdIMU2Vak-KmHlche1Upr9i-MdsakByMsYUoH2sbftowB8QaXyqFiyxamBaZ3dHXb22ed8tkVyz7qp-IuSu0gBIQROE0HOs_iIvgR6pYm4cyhyatrULWh1u2Znq3oLe2gkA&amp;amp;lib=M-zdWbhavtdZ1B_W2dnFDM0qoVt4lWzJ-"&gt;here&lt;/A&gt;.
&lt;/BODY&gt;
&lt;/HTML&gt;
</t>
  </si>
  <si>
    <t>WrQWX4FtQD6xccRTstz1Pg</t>
  </si>
  <si>
    <t>18115-A</t>
  </si>
  <si>
    <t>PISCINAS MODERNAS BH</t>
  </si>
  <si>
    <t>8F00250208110020</t>
  </si>
  <si>
    <t>FITLOG TRANSPORTES E LOGISTICA LTDA / (048) 996277956Informação Adicional: Valor total do pedido R$ 25.321,33 - desconto concedido 40% + 10% +10%
frete FOB com redespacho pela Expresso Raquel</t>
  </si>
  <si>
    <t xml:space="preserve">&lt;HTML&gt;
&lt;HEAD&gt;
&lt;TITLE&gt;Moved Temporarily&lt;/TITLE&gt;
&lt;/HEAD&gt;
&lt;BODY BGCOLOR="#FFFFFF" TEXT="#000000"&gt;
&lt;!-- GSE Default Error --&gt;
&lt;H1&gt;Moved Temporarily&lt;/H1&gt;
The document has moved &lt;A HREF="https://script.googleusercontent.com/macros/echo?user_content_key=AehSKLgYcCkdjjAZe4V2KCcY2tVaa-BDv8FmnvxPPQBrPVbPtFeysRzpagruQfKC-nBSE3VF3Cgg_xl0LqSqDEW-xMp-RP-znvyFTVIO2nR77AvDP8_0scqDimwKoclwckIkPIwHB7A-IYmBpUNSAochPPkD9chEIAGOoIoyh80ddkI1AOJ-EQOSd1FM0AAV4qO8PJs58FaAdGQuIPxOW6DwRXa72SPW21sVrTjRIVFY04BE5zklgEOM9AkKSdkJoFjRt008821mGlxUpC-qrlaNM0qHCbPJZ9DqQxidHESFJksrK9wb6cioC-FJprVFwQ&amp;amp;lib=M-zdWbhavtdZ1B_W2dnFDM0qoVt4lWzJ-"&gt;here&lt;/A&gt;.
&lt;/BODY&gt;
&lt;/HTML&gt;
</t>
  </si>
  <si>
    <t>z-anLoxwTQWvR7ZEDRFwUQ</t>
  </si>
  <si>
    <t>18115-B</t>
  </si>
  <si>
    <t>8F00250208110019</t>
  </si>
  <si>
    <t xml:space="preserve">&lt;HTML&gt;
&lt;HEAD&gt;
&lt;TITLE&gt;Moved Temporarily&lt;/TITLE&gt;
&lt;/HEAD&gt;
&lt;BODY BGCOLOR="#FFFFFF" TEXT="#000000"&gt;
&lt;!-- GSE Default Error --&gt;
&lt;H1&gt;Moved Temporarily&lt;/H1&gt;
The document has moved &lt;A HREF="https://script.googleusercontent.com/macros/echo?user_content_key=AehSKLhTdSEohWEp0Qo_G-kwc_AWCvljiBYoWMszAQthziRgMp0FORIf6SJuhdt9Emoj2N2mduZR_cNmvjz6ceAhf14X8A1pqiixTlOFbPQrudiywPGWhsnuDwI0VOyQZJl6p4cY-pr2DWJIC7obLvsqqjmzFsYoJCNt0XxVqhjBGap4HIt9wM2iwN6nOzDDZpMf6k94px-lnBugMxupslwwcHi8pPc6j3jeQ6wC2-RtcpO9KkMwnvfQ1LzHw4ZncViMciLGplgy9ve-WX_x2ZTSHjLpF1N1W_KIMBxHxr7Ab_h3Y70LTQUDzCNdbz-IUA&amp;amp;lib=M-zdWbhavtdZ1B_W2dnFDM0qoVt4lWzJ-"&gt;here&lt;/A&gt;.
&lt;/BODY&gt;
&lt;/HTML&gt;
</t>
  </si>
  <si>
    <t>IrIx70UyRmxL2tWrlCon</t>
  </si>
  <si>
    <t>18115-C</t>
  </si>
  <si>
    <t>8F00250208090003</t>
  </si>
  <si>
    <t xml:space="preserve">&lt;HTML&gt;
&lt;HEAD&gt;
&lt;TITLE&gt;Moved Temporarily&lt;/TITLE&gt;
&lt;/HEAD&gt;
&lt;BODY BGCOLOR="#FFFFFF" TEXT="#000000"&gt;
&lt;!-- GSE Default Error --&gt;
&lt;H1&gt;Moved Temporarily&lt;/H1&gt;
The document has moved &lt;A HREF="https://script.googleusercontent.com/macros/echo?user_content_key=AehSKLi3zaYrx2waOvvb3h-Ffn30JHvTycVUanIo8jaRxZE2qvbUuTY93eNJ5LFITf-f5bwSZp4Sz0pvmaFwWQ0Evi01tHhl5Vho_4fWnXPYwMGj7hBLjA4nCaIVo1vvtIXnu6-JW41XBHT80b4uPSWEXz2PEltoIjvDge89l_QYXoLSscYANhtvjPMG-njvRkOPSujVtpfemd9290Dr7hjELXfMGnqspxW2TP0gsg3B5yssvdDJVaP09Lce3HWh_JVN9vnzkpxQTGauyZNVImPMf88jqhuAg8oy00M08q4EYqoxrQu2ZMSQpI1qh8yEWg&amp;amp;lib=M-zdWbhavtdZ1B_W2dnFDM0qoVt4lWzJ-"&gt;here&lt;/A&gt;.
&lt;/BODY&gt;
&lt;/HTML&gt;
</t>
  </si>
  <si>
    <t>NsrvsJFYtGkfiqgLYSCj</t>
  </si>
  <si>
    <t>18119-A</t>
  </si>
  <si>
    <t>LOJA DAS PISCINAS</t>
  </si>
  <si>
    <t>8E00250208060036</t>
  </si>
  <si>
    <t>TRANS APUCARANA</t>
  </si>
  <si>
    <t>JFQ5C48 - RETIRA - DAIANE DA SILVA  - 04875246604 - VW / CARGA CAMINHAO / BRANCA  / 2005</t>
  </si>
  <si>
    <t xml:space="preserve">&lt;HTML&gt;
&lt;HEAD&gt;
&lt;TITLE&gt;Moved Temporarily&lt;/TITLE&gt;
&lt;/HEAD&gt;
&lt;BODY BGCOLOR="#FFFFFF" TEXT="#000000"&gt;
&lt;!-- GSE Default Error --&gt;
&lt;H1&gt;Moved Temporarily&lt;/H1&gt;
The document has moved &lt;A HREF="https://script.googleusercontent.com/macros/echo?user_content_key=AehSKLif3QXs681HRqA3HMLSh83oWdaNVBk7wjY4OAzH--BzJTG7YmZsTfbgV1IJcdl9rv1s2UMdZ9v2Te8-dqx7ND6azE2CK-_Oh_0oyQL5jzSk1jS7Hwyh6C-sdxnIiPKcRPH_HrEsJBeNC63tNKBKtVZT2FJuKk17mHaIX5b0IeFvW6BJfAJ8mYCNKyIJOd0kNcVdA42siV1mzb0m0wC17QQMQ8PKkoN1hFipFjjNVfuRQYsrnrtMrRfs3nWtAcTbPYZ-svbfLPaud6aLPksLiS4Pf-CowEvtnud2h_AdsMdyTco_DrolRU3TCYrfCg&amp;amp;lib=M-zdWbhavtdZ1B_W2dnFDM0qoVt4lWzJ-"&gt;here&lt;/A&gt;.
&lt;/BODY&gt;
&lt;/HTML&gt;
</t>
  </si>
  <si>
    <t>WHBJsBCNTqeXTnStDyi6dg</t>
  </si>
  <si>
    <t>18119-B</t>
  </si>
  <si>
    <t>8E00250208060035</t>
  </si>
  <si>
    <t xml:space="preserve">&lt;HTML&gt;
&lt;HEAD&gt;
&lt;TITLE&gt;Moved Temporarily&lt;/TITLE&gt;
&lt;/HEAD&gt;
&lt;BODY BGCOLOR="#FFFFFF" TEXT="#000000"&gt;
&lt;!-- GSE Default Error --&gt;
&lt;H1&gt;Moved Temporarily&lt;/H1&gt;
The document has moved &lt;A HREF="https://script.googleusercontent.com/macros/echo?user_content_key=AehSKLjPSco7283OmnEtilVmdSQPs0hxB8wGYOVbu1QkvW6ap8qgGYlPE-RONCmAQgaQWigVrswsLZdq6jPzJBpEgsSKJec7gAPJx31icfxOd6OoDswu1cEwbZbGHHNr-iJk97Nwt19sjj0KVB7wgFtZryj8wROWu7vWUJetl_W10Yqxfng8ZCY9XqI_zeofi3_jaF_8-9qFOVX-vaKlDnXOnv5vRCCKins--C18T9OMdW0L3RJ9SrDa95-n40txjSLwEjdLK8BuyjxNboHCll8mSAyzq51ZDZzBGnq8YAf715-LgYZKR7UyhRkLWGlWxw&amp;amp;lib=M-zdWbhavtdZ1B_W2dnFDM0qoVt4lWzJ-"&gt;here&lt;/A&gt;.
&lt;/BODY&gt;
&lt;/HTML&gt;
</t>
  </si>
  <si>
    <t>h7zHTSaSEPcSSpnApsRa</t>
  </si>
  <si>
    <t>18119-C</t>
  </si>
  <si>
    <t>8E00250208060037</t>
  </si>
  <si>
    <t xml:space="preserve">&lt;HTML&gt;
&lt;HEAD&gt;
&lt;TITLE&gt;Moved Temporarily&lt;/TITLE&gt;
&lt;/HEAD&gt;
&lt;BODY BGCOLOR="#FFFFFF" TEXT="#000000"&gt;
&lt;!-- GSE Default Error --&gt;
&lt;H1&gt;Moved Temporarily&lt;/H1&gt;
The document has moved &lt;A HREF="https://script.googleusercontent.com/macros/echo?user_content_key=AehSKLif4W5X4XSDaGz8mpdNdgaAqIVUWYbmSmNORhHEkl-r_C6DZJDHSck3mGDX1goxAzZKygCtpKiuKCSUOA_GNHp4WrUFhOB0SpeJ1ppFjBy6LltR3-pKlB57Jpizs3jBwX6cXVTe_Zc8LCxGqJMlNAyVUIJkr5COek8iFX8LXi5pqVM9L-Zz0h-71Qri1jBB-5jXvWWOgsssChkKyAq9b6PWj83Ps7dtQL25zOgaQwOuiB6H6pc-cwFFkC_Fv95C7JtttNjbEMO-6jSWSOmAk3NthUW1Lpq67ZeV4O4QObQqnmVcabu7YoFXuKmrcA&amp;amp;lib=M-zdWbhavtdZ1B_W2dnFDM0qoVt4lWzJ-"&gt;here&lt;/A&gt;.
&lt;/BODY&gt;
&lt;/HTML&gt;
</t>
  </si>
  <si>
    <t>SJ7Efvc1ra4vug3zRfRG</t>
  </si>
  <si>
    <t>18119-D</t>
  </si>
  <si>
    <t>8E00250208060034</t>
  </si>
  <si>
    <t xml:space="preserve">&lt;HTML&gt;
&lt;HEAD&gt;
&lt;TITLE&gt;Moved Temporarily&lt;/TITLE&gt;
&lt;/HEAD&gt;
&lt;BODY BGCOLOR="#FFFFFF" TEXT="#000000"&gt;
&lt;!-- GSE Default Error --&gt;
&lt;H1&gt;Moved Temporarily&lt;/H1&gt;
The document has moved &lt;A HREF="https://script.googleusercontent.com/macros/echo?user_content_key=AehSKLg0e5945nKi-RgCpW6Umjy1XJ6lf1p6jTQ0mr5ecoAAajmNeYF6i5lzJe4auX7VWAJVadZOmQfnUH5A88Z5PIHsBukM5ULoSsCnoJuWcPpVqYf_OPqiR6Sv5k5-XlHm-WUyWZUO26v5Pbm5goohCq5NnmPLgdHKh6v588HuGhnZmNt1blzDZBm7fC1bfwylrsPWZOK_YS1i6EsB6_o_WJ4nAvJIyL1h3Mfv5G1Cfs63Qh90wOSUze1gPkZgBwOgQDXpSwVTCH2GLHDzQ_tsg-NroiAim-peCBfRoKWENUuuCeJsJtpOKObV0JG4NA&amp;amp;lib=M-zdWbhavtdZ1B_W2dnFDM0qoVt4lWzJ-"&gt;here&lt;/A&gt;.
&lt;/BODY&gt;
&lt;/HTML&gt;
</t>
  </si>
  <si>
    <t>darnQiRdjxnepotiMvaF</t>
  </si>
  <si>
    <t>18120</t>
  </si>
  <si>
    <t>8F00250110270060</t>
  </si>
  <si>
    <t>NETVJ5nHQ2eEJz05lMLEkw</t>
  </si>
  <si>
    <t>18121-A</t>
  </si>
  <si>
    <t>8F00250329040010</t>
  </si>
  <si>
    <t xml:space="preserve">&lt;HTML&gt;
&lt;HEAD&gt;
&lt;TITLE&gt;Moved Temporarily&lt;/TITLE&gt;
&lt;/HEAD&gt;
&lt;BODY BGCOLOR="#FFFFFF" TEXT="#000000"&gt;
&lt;!-- GSE Default Error --&gt;
&lt;H1&gt;Moved Temporarily&lt;/H1&gt;
The document has moved &lt;A HREF="https://script.googleusercontent.com/macros/echo?user_content_key=AehSKLhSmw2PNC1PfhyU8Ta_f_8kAtS_unHQgt2fVrDh6A_SSF34rKWZXShHZDLYU03N4kK09-eNjF-vPW6AB5rpMvs-wMYhcUYy6x9DJLxDrCFpLcJ8qRvuG7HwqZ4e_i94X8mkCsgcgQfRqgwV-CJgE2T_dxwm6feLS1Esfq6qeJrYOjIvi2_Sg_YYfmatbJ6XWIW-caZ69iFha18K6WSOLFEBPTev6FzcweGuWyolLRdPto0xibTtzE9k5Rb6SxBe0Ro1haGsk3TvHOQVthnzBMrw5-UoeuA0LgKChdFbNUn0ASU6JOWUZAVDRblYvg&amp;amp;lib=M-zdWbhavtdZ1B_W2dnFDM0qoVt4lWzJ-"&gt;here&lt;/A&gt;.
&lt;/BODY&gt;
&lt;/HTML&gt;
</t>
  </si>
  <si>
    <t>0qHxTv5HTZixUbe5-QgP7A</t>
  </si>
  <si>
    <t>18121-B</t>
  </si>
  <si>
    <t>8F00250329060028</t>
  </si>
  <si>
    <t xml:space="preserve">&lt;HTML&gt;
&lt;HEAD&gt;
&lt;TITLE&gt;Moved Temporarily&lt;/TITLE&gt;
&lt;/HEAD&gt;
&lt;BODY BGCOLOR="#FFFFFF" TEXT="#000000"&gt;
&lt;!-- GSE Default Error --&gt;
&lt;H1&gt;Moved Temporarily&lt;/H1&gt;
The document has moved &lt;A HREF="https://script.googleusercontent.com/macros/echo?user_content_key=AehSKLhTEI8nt-KMxysDFqYTBPGL1aaKIUjCHVEVZlQ2DLY7oTeepoRRy4iV-1UtVMI9tZEbN2U-yONCvxtF00cinQKSsCrEkOT3l9-hl3LjeSuHtwFroyv5i-K6GT95i8KhWfRl_wfCdIXJ1fjnfv3Z1XOqC7qyOh6R7HuU8xZHVQp-dwzorosxvaaJcj-r9p-Yu70ba6VGQI2gLKRAduXejCreqIFHXw9B_1Wj9JXZCEvu9eiCjic74-zXCtPBRNsScnc9t7YZxU15pa-zbv8nQMPnQ7LYDzik1AW1xmB5fNzs1giHSNXLHNdar4A-Xg&amp;amp;lib=M-zdWbhavtdZ1B_W2dnFDM0qoVt4lWzJ-"&gt;here&lt;/A&gt;.
&lt;/BODY&gt;
&lt;/HTML&gt;
</t>
  </si>
  <si>
    <t>ghtanXxhjlW00pEAtHPR</t>
  </si>
  <si>
    <t>18121-C</t>
  </si>
  <si>
    <t>8F00250329040011</t>
  </si>
  <si>
    <t xml:space="preserve">&lt;HTML&gt;
&lt;HEAD&gt;
&lt;TITLE&gt;Moved Temporarily&lt;/TITLE&gt;
&lt;/HEAD&gt;
&lt;BODY BGCOLOR="#FFFFFF" TEXT="#000000"&gt;
&lt;!-- GSE Default Error --&gt;
&lt;H1&gt;Moved Temporarily&lt;/H1&gt;
The document has moved &lt;A HREF="https://script.googleusercontent.com/macros/echo?user_content_key=AehSKLjv55Ln314CvdzMdqhSKstewdEtwruH2x5X2co45Nv5F90dM9ruXAZ9Vm-uz726TeYOwYA_7hmQmGiqOcr9_owvh_A7A6WRor77cKUYMQI4vzO4qPFcU0cu0Dqeg5fETDCuUwsbHs4Bs7akTl2boUEUpiBAFzMzJZsNyG0J8gojef-Hng3RGkDLq9aqzFeiKUPQpGxkdehoHiLD8JJzB5LTKKQZNNzp4VYS-SpyrU2ul-kyR4tpvFMsAJYuKAf2QVt-WlcC7eQf-ihfXcaUyEi1SDyniZtVDVaPUTwiENVJqITMmuCTGqTgkBL_gg&amp;amp;lib=M-zdWbhavtdZ1B_W2dnFDM0qoVt4lWzJ-"&gt;here&lt;/A&gt;.
&lt;/BODY&gt;
&lt;/HTML&gt;
</t>
  </si>
  <si>
    <t>KKRTwcJ1DGipUTJRIkUk</t>
  </si>
  <si>
    <t>18122</t>
  </si>
  <si>
    <t>EDER JOSE ZEMOLIN</t>
  </si>
  <si>
    <t>8F00250411530003</t>
  </si>
  <si>
    <t>EXPRESSO SAO MIGUEL S/A / (049) 3361-6627Obs.Interna: VENDA HIDROTEC
FRETE CIF - DESCONTAR DA COMISSAO
VALOR DA NF R$  24.000,00  ( DIFAL R$ 1.200,00)
VALOR TABELA R$  12.828,56
   -   DIF VAL TAB X NF R$  11.171,44
  -   DIF IMPOSTO 17% R$  1.899,14
IMPOSTO ESTADUAL R$  1.200,00
TOTAL A PAGAR R$ 15.927,70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</si>
  <si>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sx706bkoStlYMzVfCJhNWAGJz53jiIEg8ZeIbdgNZLBc7QLAF03ZRq6sJY9ND5Ya1GolCrJjs3nZxuh3NWpnqd0HevoyQnQStYzU49h9OrfIPWJw06Wxckv6BxkoBQUIHRgN2O5dO42kMi3vRE6-wHo7beCbB1Wv4X2Mk-NC8yQ-niMaVJqxFn7ni2L9_VB8yQ4_adgWVm047nhy8H-RWd2mxHEvACvQJgDc-FDEi1Td6W1dqUQVO4YfKiIa75fujiyxi8YyNZKHX1UyCL-CXCvrnM-Stvu1L4wk7qws1tVatrNfHgWHgHrbznw&amp;amp;lib=M-zdWbhavtdZ1B_W2dnFDM0qoVt4lWzJ-"&gt;here&lt;/A&gt;.
&lt;/BODY&gt;
&lt;/HTML&gt;
</t>
  </si>
  <si>
    <t>78F8hMdnRKu8enrnDEF1YQ</t>
  </si>
  <si>
    <t>18123</t>
  </si>
  <si>
    <t>8F00250411530002</t>
  </si>
  <si>
    <t xml:space="preserve">&lt;HTML&gt;
&lt;HEAD&gt;
&lt;TITLE&gt;Moved Temporarily&lt;/TITLE&gt;
&lt;/HEAD&gt;
&lt;BODY BGCOLOR="#FFFFFF" TEXT="#000000"&gt;
&lt;!-- GSE Default Error --&gt;
&lt;H1&gt;Moved Temporarily&lt;/H1&gt;
The document has moved &lt;A HREF="https://script.googleusercontent.com/macros/echo?user_content_key=AehSKLgse90RW3CnnvSuNIhKISlXDk0tFnGlzMVmS6AoHT3XxT5oK7IZ2zsaX5vCAxtJIh30ECA38I1NSJRnXu2ZYsp6gY3zDifTv73U6SQogg0vfzt7R_zsbjFTgGcFQ07NOnhvFn0R7bmQ43VI-4g0n0ksTbA8apMDlvzDTSD7zREriNPHpS3JAkvxTBhI3_yw6xGGboDuBTH9zwbw_1-I565zJUT1duqUfig9Z3c33QeHvYNVZb4FOKd5Dqy3dUGrMiL_NOhCpoeF1gV1lougG27M4UbVjS-vfmGwzMmyYJkeiWeC8mJJMns1RvM5uw&amp;amp;lib=M-zdWbhavtdZ1B_W2dnFDM0qoVt4lWzJ-"&gt;here&lt;/A&gt;.
&lt;/BODY&gt;
&lt;/HTML&gt;
</t>
  </si>
  <si>
    <t>3XpvMfS5TnGXG1k0j-7aaQ</t>
  </si>
  <si>
    <t>18124</t>
  </si>
  <si>
    <t>8F00250208090009</t>
  </si>
  <si>
    <t>FITLOG TRANSPORTES E LOGISTICA LTDA / (048) 996277956Informação Adicional: cliente CASSARINI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</si>
  <si>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zJLVoWshuJQ9NA1VVY1vsdA_GD30OENsYDnDCxO1CvKCmz_n7NEDlcEL47L83cf57veB1dIc0ZgYFEBxQdY3JyrHBq-R7e_Qs5DW085SY0J9VRaVJYouj_S4p_FyT0GCC5tsxJA99j4kXy9NUXbUrNUtz_XH5FgbKItVwLMurbeNV0HA8V2MplrnLVWuR2HrvwkoSYi8XMrSCNMNHjvOvu1Hd3Jawo1Kbq3Xe8Fd0ny-t7kTTyAYqTXv5AkDb6dLI8lUJz8lKZbvcbjfEEllVJfOChIXtGLh5Fh5BzDjKVPuRf4bOWE6_a87-sw&amp;amp;lib=M-zdWbhavtdZ1B_W2dnFDM0qoVt4lWzJ-"&gt;here&lt;/A&gt;.
&lt;/BODY&gt;
&lt;/HTML&gt;
</t>
  </si>
  <si>
    <t>YdBMWeGNTKClCmTQL-v2pA</t>
  </si>
  <si>
    <t>18125</t>
  </si>
  <si>
    <t>8E00250208060033</t>
  </si>
  <si>
    <t xml:space="preserve">&lt;HTML&gt;
&lt;HEAD&gt;
&lt;TITLE&gt;Moved Temporarily&lt;/TITLE&gt;
&lt;/HEAD&gt;
&lt;BODY BGCOLOR="#FFFFFF" TEXT="#000000"&gt;
&lt;!-- GSE Default Error --&gt;
&lt;H1&gt;Moved Temporarily&lt;/H1&gt;
The document has moved &lt;A HREF="https://script.googleusercontent.com/macros/echo?user_content_key=AehSKLht3Zz5P3vtpJZvZZ-h3rM6xndww96KklCg3hSPdjCkC7wfkbUmcc4v-3zW7c2puHASN_s51hS9mkzD6bxROdUEim8y4WGtGAkag8-hacnpg2S1biS9n7O4umaYdnoE9IMbpiYaGIVkxSSmfjOrofvfGra8qq4MPptNZyBIs8Zd5u_x0fh9DZODyLY9udjQtGDkLtdZ0uYYjU26mq8_L6H1xy7NvKox19w_Z91LyDU2fCKRe_EjVvB3nSWN3whOZg6n0Pzzj5YW7Cnk3akSrXuLpTOYtkK3GE0yJUKt7jZBbOBDxmGO0urYRbDrUw&amp;amp;lib=M-zdWbhavtdZ1B_W2dnFDM0qoVt4lWzJ-"&gt;here&lt;/A&gt;.
&lt;/BODY&gt;
&lt;/HTML&gt;
</t>
  </si>
  <si>
    <t>zwjEc.buTE-yPM8Vzfleww</t>
  </si>
  <si>
    <t>18126</t>
  </si>
  <si>
    <t>TALL PISCINAS</t>
  </si>
  <si>
    <t>8F00250110270059</t>
  </si>
  <si>
    <t>CLIENTE RETIRA / (0) Informação Adicional: DESCONTO AGOSTO - 10% +10%
PREÇO FINAL R$7.489,99</t>
  </si>
  <si>
    <t>RIyeLlaMSTmTO-USdLul1Q</t>
  </si>
  <si>
    <t>18127</t>
  </si>
  <si>
    <t>8F00250329060031</t>
  </si>
  <si>
    <t>FITLOG TRANSPORTES E LOGISTICA LTDA / (048) 996277956Obs.Interna: Considerar pagamento 30/60/90/120. Preço e condição autorizado pelo Carlos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</si>
  <si>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Oe-iX1yHQA856fDc8MVvesin-SmNB4VadO3Dn21KXAcOY09LeVvL1Hq73McBNjF5o2WWgP6_UbosaQxC6m4Xr8j650i1I3Y90CnAnVBGpSlZvckF3JjdTLa7itm9i2bX9yvQuHrh7rFALdC6cjmTzTCbGNXu2VWXcaja-bJMRdeWAViYwi-BlH6avL6IKNkaXHk1buOW9Faor0UhYewGxS9PY09cLFlxBvXJC42JfPxvRJQYfPeQs9gjRCqisvYchQGXP6BgzAUojaQBh9sPFdlZZreCxEg-Xn6vTwUIw99uXSBt7VFFvj-gZ-A&amp;amp;lib=M-zdWbhavtdZ1B_W2dnFDM0qoVt4lWzJ-"&gt;here&lt;/A&gt;.
&lt;/BODY&gt;
&lt;/HTML&gt;
</t>
  </si>
  <si>
    <t>UtOSjgdCTvy3caBe1avzTQ</t>
  </si>
  <si>
    <t>18128</t>
  </si>
  <si>
    <t>8F00250329060029</t>
  </si>
  <si>
    <t xml:space="preserve">&lt;HTML&gt;
&lt;HEAD&gt;
&lt;TITLE&gt;Moved Temporarily&lt;/TITLE&gt;
&lt;/HEAD&gt;
&lt;BODY BGCOLOR="#FFFFFF" TEXT="#000000"&gt;
&lt;!-- GSE Default Error --&gt;
&lt;H1&gt;Moved Temporarily&lt;/H1&gt;
The document has moved &lt;A HREF="https://script.googleusercontent.com/macros/echo?user_content_key=AehSKLgrh4LZq_wTKMUbrr9YmceFdttWKnKHRMf_8zqkR70_Gng635gaU-pA-7ftCCJueZCFFBrbLUqbATVBo33jj5Ur1fdUt7V_yg1_y2vdN82tKs2sBFRt4ch9LGJUq5E3fDWiw54FRbPmKL4i-a8sW7iu_VrQznhKNWBJ63DA9D9umAeS_pm6G2mD_u6bufKA8RVaTMxC8l_pyVcnFjDjOFDlmKYjLnRw4yqkVDH1lJ6vH5V5M2A_k26s5-iznbZUvveR-Ez70eNNxQif_v0vKx0qZftR3Ulbc0HzalhexkQ4nOInshqCaVeEkWwBtA&amp;amp;lib=M-zdWbhavtdZ1B_W2dnFDM0qoVt4lWzJ-"&gt;here&lt;/A&gt;.
&lt;/BODY&gt;
&lt;/HTML&gt;
</t>
  </si>
  <si>
    <t>3jYik8hCRrWKyV.EAodQ9A</t>
  </si>
  <si>
    <t>18129</t>
  </si>
  <si>
    <t>8E00250208070023</t>
  </si>
  <si>
    <t>FITLOG TRANSPORTES E LOGISTICA LTDA / (048) 996277956Informação Adicional: PROMOÇÃO AGOSTO 10%+10%
PREÇO FINAL R$6.070,14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</si>
  <si>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Mc51W2Pj_0Hlo-jSDiOfqYSRwkalXe5frRtDMNqDBaR0sXMV4YZc5m4kTgmYJ4w3aoE7Q94GmfQM7oa_VrSf1Z3XL8gw4M-YTTciYR4Ts3wy3oBCmFN6ugfwLVyC3qlcziH-EYMz1Rul6IB1a66mePobXApNyjhRWUAPYi5OMiZaqYBCX8ZAKruy-jnhjoZggclGnevFTGahVPzZ1OQWirpe_eiRtEb5BiWIM4VJNe9s8nT2z-3AZ9-nIdv1DS6jVX0QTvinsNdqU_jJJ4CWypmWjjIEDOZDPwKv1MICzyygrnF0Lft8zJO5Lew&amp;amp;lib=M-zdWbhavtdZ1B_W2dnFDM0qoVt4lWzJ-"&gt;here&lt;/A&gt;.
&lt;/BODY&gt;
&lt;/HTML&gt;
</t>
  </si>
  <si>
    <t>UFn3QdVET9-pP844BQxQpQ</t>
  </si>
  <si>
    <t>18130-A</t>
  </si>
  <si>
    <t>FITLOG TRANSPORTES E LOGISTICA LTDA / (048) 996277956Informação Adicional: Frete CIF. Condição antecipado, pagamento via crédito do contrato.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</si>
  <si>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i7h9tBwoszkYLrAakRUSWvRXS-8OMpwSWSx0cysPQn70_04VzVJyFnDIw11N-DnWlLuMmVMK5x2eSNy_uHr51nc9oeJBUI01UXw5XBOPd61bTMzAhXM_fZTUPto3wKbwultJQJbNFszA8Es7iyh_6W10Nl6JS3lt61BMd4h7wPuGiJvNjHudA0X0tFOIzts898mbNtqG2KpdiGFhJlvacLfWHe1PKrzlVx_vRLKyOp6q8cEwETk-ArVsrmnImEmeF9W2rdYst9CKYv6whlIOCTFllErOCVSTE6fX-TUb99U_dlGDlN_vCSH7rog&amp;amp;lib=M-zdWbhavtdZ1B_W2dnFDM0qoVt4lWzJ-"&gt;here&lt;/A&gt;.
&lt;/BODY&gt;
&lt;/HTML&gt;
</t>
  </si>
  <si>
    <t>l0k5Mf2KTDixEIkgjigFWA</t>
  </si>
  <si>
    <t>18130-B</t>
  </si>
  <si>
    <t>20240</t>
  </si>
  <si>
    <t xml:space="preserve">&lt;HTML&gt;
&lt;HEAD&gt;
&lt;TITLE&gt;Moved Temporarily&lt;/TITLE&gt;
&lt;/HEAD&gt;
&lt;BODY BGCOLOR="#FFFFFF" TEXT="#000000"&gt;
&lt;!-- GSE Default Error --&gt;
&lt;H1&gt;Moved Temporarily&lt;/H1&gt;
The document has moved &lt;A HREF="https://script.googleusercontent.com/macros/echo?user_content_key=AehSKLh3Rm72WbD2depV259vfJkcE9M84yaZvH7VgZDo1uOot48pDOBGjmpKI5LRIuiyTIOw-0i5MdPi4cuWCHUj602lOwrLqj-B5geWayQIrfc8VGX9NDuHYWdrH9V4k-Z6bZJfRChMJK-Amcy_PbDM95V8eoCO8PXJ8pOVqNS3EuDLKuScYJQd7Za8qfUJXIkrHWdqx7ZEB9R7W_AILf5uqyaKphngPhzeJmn0UEbiDf-YuKB-kRNeKrrSIUJMqMVrkP8YeHC5rVeKhdh-claaSaHwQkuouZjIeEyx2AC5XTUi07g6n5U-soGASZi9RQ&amp;amp;lib=M-zdWbhavtdZ1B_W2dnFDM0qoVt4lWzJ-"&gt;here&lt;/A&gt;.
&lt;/BODY&gt;
&lt;/HTML&gt;
</t>
  </si>
  <si>
    <t>lwJewu5KipUtnRFSRcaO</t>
  </si>
  <si>
    <t>18130-C</t>
  </si>
  <si>
    <t xml:space="preserve">&lt;HTML&gt;
&lt;HEAD&gt;
&lt;TITLE&gt;Moved Temporarily&lt;/TITLE&gt;
&lt;/HEAD&gt;
&lt;BODY BGCOLOR="#FFFFFF" TEXT="#000000"&gt;
&lt;!-- GSE Default Error --&gt;
&lt;H1&gt;Moved Temporarily&lt;/H1&gt;
The document has moved &lt;A HREF="https://script.googleusercontent.com/macros/echo?user_content_key=AehSKLjIo6aBY4kc6mkpro6uksMSIuRDaZ5XdQnFpqS5Cfpz68-J3GxY1YEQEnFRI-JB4zF3dcCYKWy2WeO88SERcz7vSJxsCNsCU0rQEaYiX9WyazA1ZXGnepbxkl2O4DB2ikFZgDDIi5tED3iVsBLkqVKPGWfSJfK9Em-sk_y9cVjPUB2tJjpMWko3wCBfA8i47VZumTRD1gA8a1M-hq4-pMAL_X1wiKqbejLZuf8CqnvjR2ByOxt-jmCrhOv086Eh5wrRKKsoIRV5nzkDoEaTOgKFVIVoabYMLPSK9sa93CiRaP4oLMicfpTVhBOLqA&amp;amp;lib=M-zdWbhavtdZ1B_W2dnFDM0qoVt4lWzJ-"&gt;here&lt;/A&gt;.
&lt;/BODY&gt;
&lt;/HTML&gt;
</t>
  </si>
  <si>
    <t>53EjkGkwMqq6NEXx32uX</t>
  </si>
  <si>
    <t>18130-D</t>
  </si>
  <si>
    <t xml:space="preserve">&lt;HTML&gt;
&lt;HEAD&gt;
&lt;TITLE&gt;Moved Temporarily&lt;/TITLE&gt;
&lt;/HEAD&gt;
&lt;BODY BGCOLOR="#FFFFFF" TEXT="#000000"&gt;
&lt;!-- GSE Default Error --&gt;
&lt;H1&gt;Moved Temporarily&lt;/H1&gt;
The document has moved &lt;A HREF="https://script.googleusercontent.com/macros/echo?user_content_key=AehSKLg708iFYRWjOogRaBLoVDKxykyBax6138dC4OK_i5ib-ev1qJ5nyoflqcGCDTIIq4LnVYpWNr8KBdCNEUI4II1uK7F2-mjDA8lb9O-63YHA3VgtpC1qeTY6fFODwntWc1Z9iSOi6lVcfyDO78rfIrSWCaoaRoO0ug6KwFi_SbypgMMs_OzoWAdWDNqSQKVsA1QFG3o0UWz864lmKnI0_JtL_WjURA8MW0ftW8l5LUKCUMLCrKnDzgN5UMEW1hKAaBsgplWoZ9MOpRA_RYyX0i-oNumAA12IfHbA7FtvVVjZLMIX6VXBRLNNnj5GmA&amp;amp;lib=M-zdWbhavtdZ1B_W2dnFDM0qoVt4lWzJ-"&gt;here&lt;/A&gt;.
&lt;/BODY&gt;
&lt;/HTML&gt;
</t>
  </si>
  <si>
    <t>PgviUWb9UNZDM5vxwDHp</t>
  </si>
  <si>
    <t>18130-E</t>
  </si>
  <si>
    <t xml:space="preserve">&lt;HTML&gt;
&lt;HEAD&gt;
&lt;TITLE&gt;Moved Temporarily&lt;/TITLE&gt;
&lt;/HEAD&gt;
&lt;BODY BGCOLOR="#FFFFFF" TEXT="#000000"&gt;
&lt;!-- GSE Default Error --&gt;
&lt;H1&gt;Moved Temporarily&lt;/H1&gt;
The document has moved &lt;A HREF="https://script.googleusercontent.com/macros/echo?user_content_key=AehSKLgSnshtkeFyPOaupcxJ4bdZf2M3on0UPPssckkYqk4bzEuXfawnNOiRL6IF2wWKZterX7mPzhcd9x98yyfVxP2_L4MPQA1S7yP2rOYyfkucytLOgzsdM-VbPz0NSeX9XSmXbrxn9q4Uz6C7cFRVHO3YJt1cdWKJ36WhLv3-Pq4MMz2b4mdAXjosDD3XbkJpjC2hGBD4UKUv7aN12ZYvVlDLw5remd0xwf4_mHQ-AczHaQz4xwxPzdIhwGXqPCui5tEr2efWxzFEd6VKyZX5AkBQaYTwE3UNK-CPKy5NKHwqgXtuE0HVZpciLa43Yw&amp;amp;lib=M-zdWbhavtdZ1B_W2dnFDM0qoVt4lWzJ-"&gt;here&lt;/A&gt;.
&lt;/BODY&gt;
&lt;/HTML&gt;
</t>
  </si>
  <si>
    <t>EltfhzlWTLXU5OGOvllu</t>
  </si>
  <si>
    <t>18130-F</t>
  </si>
  <si>
    <t xml:space="preserve">&lt;HTML&gt;
&lt;HEAD&gt;
&lt;TITLE&gt;Moved Temporarily&lt;/TITLE&gt;
&lt;/HEAD&gt;
&lt;BODY BGCOLOR="#FFFFFF" TEXT="#000000"&gt;
&lt;!-- GSE Default Error --&gt;
&lt;H1&gt;Moved Temporarily&lt;/H1&gt;
The document has moved &lt;A HREF="https://script.googleusercontent.com/macros/echo?user_content_key=AehSKLjpLC_18XzYmIae9nLAQoxjtxHMXZQ4A2VPT2kJB54ZXznF5IaYgg2qZb4d9pWU7FRQurO9IANtQ5TGSUCZ6-1Xm9VRbSADhYO7wNruF32v_pU6x3nckRAOVqDdIvw1OYX88l6TINvVmQXEXU1gml5dh9HCu7M61FEuNW0tA4jiPgDz3t6iOZMLqwM89fHRi2JQAnILkz3PDarmuXW1jxdXnTa0DthI3Z8PFrTROGEIdgcqwBbi0BN6w9zijI8rAE4z7elMPEOmHG5o2r-gDfrlujdJaCTJrO001DYPVgQtcqScMBVjmHLSk7JnMA&amp;amp;lib=M-zdWbhavtdZ1B_W2dnFDM0qoVt4lWzJ-"&gt;here&lt;/A&gt;.
&lt;/BODY&gt;
&lt;/HTML&gt;
</t>
  </si>
  <si>
    <t>vIqDGAUdVn0BUCIbqlzi</t>
  </si>
  <si>
    <t>18132-A</t>
  </si>
  <si>
    <t>8E00250104020015</t>
  </si>
  <si>
    <t>FITLOG TRANSPORTES E LOGISTICA LTDA / (048) 996277956Informação Adicional: REDESPACHO FOB CNPJ 24.882.886/0002-93 - RADLOG TRANSPORTES LTDA Rua UMBUZEIRO, 123 - Cep
07.224-010 - BAIRRO CIDADE INDUSTRIAL SATELITE DE SAO PAULO - GUARULHOS - SP I.E. 796.514.930.111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</si>
  <si>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3t1hPMzlYYeX1WBZO81-FYP1e6duG3R4Y30iOwLsP1H2WatJ-6RNFHrD-PHpEyzcdQYpvXw80XcQHh7yD02yu-wYbOrzsATK_3X8gRFuew1iEPFBldezL82-nC7cWiW0oAhLMU22cAaGT5UdFB-gx-tg6puhI5vOBA1CxlNol0kNFRapW0nWrZ3yJ1Ubk7zVQOl7ZO6vLBJo45vJCcc6gCqt381j69e5cVhXWDF3dE-h78OFjPP0ulA8RQVpBic9tTFiq-TQDboAgYJ6NcDtCHAgyb6pY4lqve7j5mpD0mqCzthcTk4DCfU7FgQ&amp;amp;lib=M-zdWbhavtdZ1B_W2dnFDM0qoVt4lWzJ-"&gt;here&lt;/A&gt;.
&lt;/BODY&gt;
&lt;/HTML&gt;
</t>
  </si>
  <si>
    <t>Hfu.6lbdSQi3FV3QXBfY0g</t>
  </si>
  <si>
    <t>18132-B</t>
  </si>
  <si>
    <t>8E00241224040001</t>
  </si>
  <si>
    <t xml:space="preserve">&lt;HTML&gt;
&lt;HEAD&gt;
&lt;TITLE&gt;Moved Temporarily&lt;/TITLE&gt;
&lt;/HEAD&gt;
&lt;BODY BGCOLOR="#FFFFFF" TEXT="#000000"&gt;
&lt;!-- GSE Default Error --&gt;
&lt;H1&gt;Moved Temporarily&lt;/H1&gt;
The document has moved &lt;A HREF="https://script.googleusercontent.com/macros/echo?user_content_key=AehSKLjyywkh83BXlObceoe_qhsWEH5oTh1XJazD2-6ir8JEV7SvrDQJHMMKQgiguBRts8W1vEaQZzi-DhZAfjrJmmCk1RPKBGg1HDmxSSCJQ-1gDPIvpmaiEaCEjeK-iYVBtCLcYQZUGKI4WT2kzIxBI4W6UaEh3Mq-9JNn7qr9osteJlKGzRIY4eaaLB3kVdOY4ZDBGYJR3YUeNq8RMK60iPSbiEGoYGbLs5yvVURwcYu36h9sWgrqUheX1r_MihZLlxeK6-yd2IaZK2MC4uSfygHuM52By-yqwp1cgGJbz_cDeatlzBRNqSwvehfzGQ&amp;amp;lib=M-zdWbhavtdZ1B_W2dnFDM0qoVt4lWzJ-"&gt;here&lt;/A&gt;.
&lt;/BODY&gt;
&lt;/HTML&gt;
</t>
  </si>
  <si>
    <t>90s3ucHpWgU4FyngcIry</t>
  </si>
  <si>
    <t>18133</t>
  </si>
  <si>
    <t>8F00250411550001</t>
  </si>
  <si>
    <t>TPQ3J05 - RODONAVES - RICARDO ROBERTO RODRIGUES  - 43656676958 - FIAT / CARGA CAMIONETE  / BRANCA  / 2025</t>
  </si>
  <si>
    <t>Rodonaves : cotação: 198995503
EXPRESSO SAO MIGUEL S/A / (049) 3361-6627Informação Adicional: VENDA TRIANGULAR / Obs.Interna: VENDA TRIANGULAR / SEM COMISSÃO PARA REPRESENTANTE RENATO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</si>
  <si>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krSLXEYL42m4WxysOZS0FWR-9Ac5S9i7oY-0Al8LZqEGGgXbNZr3UJ0Bvh6-F3WLO2LTFLNrsKduKEj7kNakmLapoWjLqISvduRJc8g4xdR1_kNwE9qRT_imwtYYG8cFR_HFBaYZ76ULtZXskO57IdW7JcZBFlhu1wFrRUE26xeJrIRhE0ylLRyDU2suPexKxDOOJ3WEnD9czOR-f7Iw98ZqUE5r4kxoiZ_Nn9iA7gwMQyX9QuCj0KAg9trTDtkpNI0_g2-sfr5Pi1-pZTbT6TkK0o8PkWiOikWvvQhwCvO1hF2dNv98pgU9_Lw&amp;amp;lib=M-zdWbhavtdZ1B_W2dnFDM0qoVt4lWzJ-"&gt;here&lt;/A&gt;.
&lt;/BODY&gt;
&lt;/HTML&gt;
</t>
  </si>
  <si>
    <t>zmxXYE0fQr-WZo7ynKiRHg</t>
  </si>
  <si>
    <t>18134</t>
  </si>
  <si>
    <t>20243</t>
  </si>
  <si>
    <t>PRODUZIR E LEVAR NA PJ - VAI SAIR POR LÁ
AGUARDANDO O MARIO LIBERAR O ENVIO 08/08
RETIRADA NA FABRICA / (0) Informação Adicional: bomba em garantia - não cobrar  - APROVADO POR MÁRIO</t>
  </si>
  <si>
    <t xml:space="preserve">&lt;HTML&gt;
&lt;HEAD&gt;
&lt;TITLE&gt;Moved Temporarily&lt;/TITLE&gt;
&lt;/HEAD&gt;
&lt;BODY BGCOLOR="#FFFFFF" TEXT="#000000"&gt;
&lt;!-- GSE Default Error --&gt;
&lt;H1&gt;Moved Temporarily&lt;/H1&gt;
The document has moved &lt;A HREF="https://script.googleusercontent.com/macros/echo?user_content_key=AehSKLhBCh71JSnd8K8MLOMpI5cudHyD54RAIUDgyFVYn8XEFKQFgEA0cWLUbb0Z7F1qWGaYosSgmcrN-JtBRAfew1CX-VatYyOm0f4WWS-W63fxCnYnPS5eS70JRvV6T2ReSIep-CzfMZEsUc2bo1hukJgJtAj1FaupW9VxGY29QNyXubpzkVq2CxATA2iLD0KT_4tOTGV6GEOJBy7xe8Ciw_ws3VnsIP7W7YOrmULwAzNgBFhL6WGWFLJpCffMF3iHjS50Rdc7OCqXNjAiZIJL8TZ5xmZVwFO9mNfzjq9karpjU-bHQRv0LGHDbYFpiA&amp;amp;lib=M-zdWbhavtdZ1B_W2dnFDM0qoVt4lWzJ-"&gt;here&lt;/A&gt;.
&lt;/BODY&gt;
&lt;/HTML&gt;
</t>
  </si>
  <si>
    <t>BoE-D6mnSwei.bfQ1EB5Hg</t>
  </si>
  <si>
    <t>18136-A</t>
  </si>
  <si>
    <t>CASA &amp; PISCINA</t>
  </si>
  <si>
    <t>8E00250208060009</t>
  </si>
  <si>
    <t>EXPRESSO SAO MIGUEL S/A / (049) 3361-6627Informação Adicional: valor da maquina R$ 4845,00 cada / Obs.Interna: valor da maquina R$ 4845,00 cada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</si>
  <si>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Hy6G7EkjkPuy9lMpY3sLdlZXIeuzvPxEv9Q7rif0lCMVuTYVHBA30J8NrE_uEcA1tfvtDEBSaKr_QIgia2NciS1ewnwxFmbATB82VlW5ickHlHvppX1myS0xO8iwG3f4Zn_eg2dBurlZ7U8zjc0t1lu1p6ipr0og6p2kPV2DzqJV6GRjXTqbw_WSlCRzV_42X5mdFGuMxr4XQGLCrPFvvahpR4aGsuTr04Ax_ZUY6NwqHDl2PX5OIWXDI3LIgDvQdxQqnKV4x9zZY26QS5g59fWZA3a-_lrQt7qq7UkKLuQ9moDJMGq-6gCVPgw&amp;amp;lib=M-zdWbhavtdZ1B_W2dnFDM0qoVt4lWzJ-"&gt;here&lt;/A&gt;.
&lt;/BODY&gt;
&lt;/HTML&gt;
</t>
  </si>
  <si>
    <t>G2mYRsn0Q4eQXMp139XBjA</t>
  </si>
  <si>
    <t>18136-B</t>
  </si>
  <si>
    <t>8E00250208060010</t>
  </si>
  <si>
    <t xml:space="preserve">&lt;HTML&gt;
&lt;HEAD&gt;
&lt;TITLE&gt;Moved Temporarily&lt;/TITLE&gt;
&lt;/HEAD&gt;
&lt;BODY BGCOLOR="#FFFFFF" TEXT="#000000"&gt;
&lt;!-- GSE Default Error --&gt;
&lt;H1&gt;Moved Temporarily&lt;/H1&gt;
The document has moved &lt;A HREF="https://script.googleusercontent.com/macros/echo?user_content_key=AehSKLg9vKjYlswnF9jYVWi-NBu_3bqQSXOTD-R1X4IAHkJKdY_pUYnas0PKg_kmmInT4kQ4CXWXuQq_TUtLh8u3UTrIXUxahrAUTyIBZBRix8nXcUlNWaLYeAiSqCWN_pVA-rjLfKJDwQL20Lk5fRI29r-N2EGR3HSJshS3ll-za_Xzy401_E8vE2i-7FhnUBv1Vxh9vT76lAP0sJd1F-M75J7XVi2N0EDUnT3ACNRaI0RQmcDnzoWZhh73cyezD9O4WbqF05emkCAiwrpEWGVLwoJHpnlqzpIC-5oXmE6Ts0ygGh-M7TeVS78fzWGsDw&amp;amp;lib=M-zdWbhavtdZ1B_W2dnFDM0qoVt4lWzJ-"&gt;here&lt;/A&gt;.
&lt;/BODY&gt;
&lt;/HTML&gt;
</t>
  </si>
  <si>
    <t>sn6Eu5Z2SHwgSfTxkypB</t>
  </si>
  <si>
    <t>18136-C</t>
  </si>
  <si>
    <t>8E00250208060011</t>
  </si>
  <si>
    <t xml:space="preserve">&lt;HTML&gt;
&lt;HEAD&gt;
&lt;TITLE&gt;Moved Temporarily&lt;/TITLE&gt;
&lt;/HEAD&gt;
&lt;BODY BGCOLOR="#FFFFFF" TEXT="#000000"&gt;
&lt;!-- GSE Default Error --&gt;
&lt;H1&gt;Moved Temporarily&lt;/H1&gt;
The document has moved &lt;A HREF="https://script.googleusercontent.com/macros/echo?user_content_key=AehSKLh6Z28mSoDM4lchsa-H7RVQ0A8fbS9KzhLDawma28fmefhvz2TEk8KmAzJW9D5qC57CbF3s5kfIIpebd3voClQZHpO6vIMAbrRyMVIfpmza8ZpT51kmjynv6emcajN8YRhRPoTVcW5x1ciX-RYp7jWFKZTjTV2-3NP4I-fEo5CF8Zv_kqTlcrDk8SjIzBs1k0JVZfHdqO_Mut8P9OW1ZnPAfSKHEppVuYDCm6ECS-M9MmT1Lg6J_7tL2x1yZweHTu8U9TywrYWLdco1-ZrWUiZTwMxL_74lVNv0AeuXVKD44FSGeJ_HTd1Vq5heJQ&amp;amp;lib=M-zdWbhavtdZ1B_W2dnFDM0qoVt4lWzJ-"&gt;here&lt;/A&gt;.
&lt;/BODY&gt;
&lt;/HTML&gt;
</t>
  </si>
  <si>
    <t>Twk0G5oqql1TUyOoWAfu</t>
  </si>
  <si>
    <t>18137</t>
  </si>
  <si>
    <t>Iury Siqueira Carvalho</t>
  </si>
  <si>
    <t>8E00250208070020</t>
  </si>
  <si>
    <t>EXPRESSO SAO MIGUEL S/A / (051) 3586-2013Informação Adicional: valor do pedido com o acréscimo do DIFAL de 6% - R$ 6.791,81, como a formar de pagto de 6x no cartão de credito , o valor final da maquina ficou R$ 6.993,63</t>
  </si>
  <si>
    <t xml:space="preserve">&lt;HTML&gt;
&lt;HEAD&gt;
&lt;TITLE&gt;Moved Temporarily&lt;/TITLE&gt;
&lt;/HEAD&gt;
&lt;BODY BGCOLOR="#FFFFFF" TEXT="#000000"&gt;
&lt;!-- GSE Default Error --&gt;
&lt;H1&gt;Moved Temporarily&lt;/H1&gt;
The document has moved &lt;A HREF="https://script.googleusercontent.com/macros/echo?user_content_key=AehSKLhdpcosIpz3xxhZ4ZXAR_vpjk7xePFjNRXxB7M9WNrm6n4QoNI0KsKmIbfFcydZdXa0BJJSqMYU4ddTmqST2LklvFvrBiloXIW_uhUUiaNzWp1EzGo7dfz208EuUlIsu4xS02X6yRip4DMqCkpoIlce0JyDS7lyZjm1mNY4iLvC7QxjKOurJyLJsZQQPw6wWqpA6gGjV4WJbJjQdpez9VrURBmuRW-ydySSEE9OjxQtLDn-qXRjc8b6BkCsNxoQZfflsoK00Wzo72nFqiuPM3025iZHCA120nMnnbcjSa_PphBotMW2j51ZkhTTYA&amp;amp;lib=M-zdWbhavtdZ1B_W2dnFDM0qoVt4lWzJ-"&gt;here&lt;/A&gt;.
&lt;/BODY&gt;
&lt;/HTML&gt;
</t>
  </si>
  <si>
    <t>iB0jGP16SOWqfa8gtCi9cg</t>
  </si>
  <si>
    <t>18138</t>
  </si>
  <si>
    <t>SAÍDA URGENTE
FITLOG TRANSPORTES E LOGISTICA LTDA / (048) 996277956Obs.Interna: OC 695 PGTO 30 60 90 120. Entregar estrada das palmas s/n Fazenda Vila Serena Vassouras cep 27700 000. ligar antes de entregar no tel 21 99512 4022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</si>
  <si>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WFRto63Tw6H9NqaojP8uh45ctpJXArgE4RCVfh9ThQ54LO4gH75CqyhbUOwftmCnE8Yx-cUdDNhbkTEkUnBgRBJGPfZIFWQdZv0ATwTvFLZFqIhcmAET7q6C5--S1oCHuIdTb_PhhrHtEuEJtc2m83z5vNmVGf5yuUMneehieVMHO-UDhmwL7_Oii9BvmGgjrmoKc2ktesTBn6akLPiUzeu_SL1DxWq_Wx42jsTRpOU3DdpvJeJtwmQv1SFe7t90no4cUkp3odMKxL67a4TdHp-Td_y4c7XgZd1J_0ou3o-2Ylswqo---t193nw&amp;amp;lib=M-zdWbhavtdZ1B_W2dnFDM0qoVt4lWzJ-"&gt;here&lt;/A&gt;.
&lt;/BODY&gt;
&lt;/HTML&gt;
</t>
  </si>
  <si>
    <t>2UDKjpOaQEaSBge83ApwTg</t>
  </si>
  <si>
    <t>18139</t>
  </si>
  <si>
    <t>8E00250208070013</t>
  </si>
  <si>
    <t xml:space="preserve">&lt;HTML&gt;
&lt;HEAD&gt;
&lt;TITLE&gt;Moved Temporarily&lt;/TITLE&gt;
&lt;/HEAD&gt;
&lt;BODY BGCOLOR="#FFFFFF" TEXT="#000000"&gt;
&lt;!-- GSE Default Error --&gt;
&lt;H1&gt;Moved Temporarily&lt;/H1&gt;
The document has moved &lt;A HREF="https://script.googleusercontent.com/macros/echo?user_content_key=AehSKLhCd9KAsxt9NiLdsNHKBTU2OKBVuXzISyhGN_coQjtg-IbqsaTA_ZZBnOdT0NFvlrDo0UYw9qNKtbBwZk9ja6nRcejUvTResQlBLLj19OK6qNi4RG0n7AvlPK0UyN__7QezYrmm6UsoXpikyiJ1_O49XLm472aYgmJHViOEV2V14g2ZOtVtTVq4_YwoLe69wWZrRJ7zOT5DfYgeHYILiLcJqsgnVRtVLKfFnT4Tgjqth3p-88bxemBbcWUgQ72xWD5NI0KSewYV5Tp1U5NTFjvlOWCk865qVYrKecCD75NQymz5SbP4uBdZk8b8Gw&amp;amp;lib=M-zdWbhavtdZ1B_W2dnFDM0qoVt4lWzJ-"&gt;here&lt;/A&gt;.
&lt;/BODY&gt;
&lt;/HTML&gt;
</t>
  </si>
  <si>
    <t>CH77Q1pdRsuyCBECTSQbPQ</t>
  </si>
  <si>
    <t>18141</t>
  </si>
  <si>
    <t>im8MF.M-QlKeLIlFjvjDEQ</t>
  </si>
  <si>
    <t>18143</t>
  </si>
  <si>
    <t>8E00250208070024</t>
  </si>
  <si>
    <t xml:space="preserve">&lt;HTML&gt;
&lt;HEAD&gt;
&lt;TITLE&gt;Moved Temporarily&lt;/TITLE&gt;
&lt;/HEAD&gt;
&lt;BODY BGCOLOR="#FFFFFF" TEXT="#000000"&gt;
&lt;!-- GSE Default Error --&gt;
&lt;H1&gt;Moved Temporarily&lt;/H1&gt;
The document has moved &lt;A HREF="https://script.googleusercontent.com/macros/echo?user_content_key=AehSKLhJ35x7fHbtQMx87iy7KVi-PzReVOeJIr5TGfxisBWNzQ-34pdClx_OMHrZEyYPQMA7Tg5xzxrjXMZxmCVmE-PC5_FJylD6MCt42zaD60Bxh_CKEoI7wOsE8HgJopdcysok0gUiz-fxXmHp8DS3lO153rwcnKTx6FxVgPDyhBI2Nm4NybzpIRI4TLc8ytFjWkU_wNAW8hovct9B2YiueoAPI1BxPphJkeP19sAjDWi0fVMzKVoYPmwLL-QCshXKl0d-M0QsejeLTLvtzDfpW5CIkksSD3RH9VrPEc6qZ2Ql86EkD_dr8lkJTq1n7A&amp;amp;lib=M-zdWbhavtdZ1B_W2dnFDM0qoVt4lWzJ-"&gt;here&lt;/A&gt;.
&lt;/BODY&gt;
&lt;/HTML&gt;
</t>
  </si>
  <si>
    <t>0TzCYQZQQTKtPT1xPaf2VQ</t>
  </si>
  <si>
    <t>18144-A</t>
  </si>
  <si>
    <t>8F00250411550002</t>
  </si>
  <si>
    <t>CLIENTE RETIRA / (0) Informação Adicional: ABATER O VALOR ACIMA DO PACOTE DE COMPRAS PROGRAMADAS JÁ ASSINADO PELO CLIENTE. cliente retira  / Obs.Interna: ABATER O VALOR ACIMA DO PACOTE DE COMPRAS PROGRAMADAS JÁ ASSINADO PELO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</si>
  <si>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7catSuA21LDLt66qnzWV-ltjmqkVsJngKxFoxA6UDXvpO7UqUJ1Z9NFY5nupkwKRbwrQM7JHIxfc6Ja3qvzhHISQj5Ph870qE9xrb2tyK_rR5JIAhgzbAPp-tJeG6GXw9X65mCoPJ4FbzcOEEpSXU-Z30gLPTLk47oM6qo19nVm1yYWuPJCchKo26jB3udyUu57MBMdheAt6dUa2raCd0TJ-VYcovc-WRN4cItJxcjZYGnOSVzTMHOaT5WFhGTmrVtPbYSPzFUmz9D14P5xwmuy0xKH93ZfsBFuVnwTN5OuQuD-QizY5-xqRIOA&amp;amp;lib=M-zdWbhavtdZ1B_W2dnFDM0qoVt4lWzJ-"&gt;here&lt;/A&gt;.
&lt;/BODY&gt;
&lt;/HTML&gt;
</t>
  </si>
  <si>
    <t>S4uNHiarQvOWOX9uqGhSbw</t>
  </si>
  <si>
    <t>18144-B</t>
  </si>
  <si>
    <t>8F00241225070017</t>
  </si>
  <si>
    <t xml:space="preserve">&lt;HTML&gt;
&lt;HEAD&gt;
&lt;TITLE&gt;Moved Temporarily&lt;/TITLE&gt;
&lt;/HEAD&gt;
&lt;BODY BGCOLOR="#FFFFFF" TEXT="#000000"&gt;
&lt;!-- GSE Default Error --&gt;
&lt;H1&gt;Moved Temporarily&lt;/H1&gt;
The document has moved &lt;A HREF="https://script.googleusercontent.com/macros/echo?user_content_key=AehSKLj4TPP799uFzj0IO84LWteQqItB0ovm3NDA3Vi3WVQMeN1Y4bE065Tb9zdvSaHO2yO643GcwoTPTQI-hwtD53peO76aoVySasTg025feG0BiXgeeytTbXpMrZ9RhFX4tlIP6DhZYWV_i7PDYE1_6QUuvl_Qmbf9l4tNvFIbH3gz17OJ2A5LxfU8SS9QsIKshP8o5I8N01UQh0vrrELTvxwV3viOeLIUuALXIC_8HeCE9bXijTGIDIc6185fQLQiGzlqnKfjMSpa2FAdJy1rluvIRo4hKW4kHKwpTecMZWHAMrW13I1ePnrzB0m5oQ&amp;amp;lib=M-zdWbhavtdZ1B_W2dnFDM0qoVt4lWzJ-"&gt;here&lt;/A&gt;.
&lt;/BODY&gt;
&lt;/HTML&gt;
</t>
  </si>
  <si>
    <t>lfdIRbTMoiQ99KAzlRCi</t>
  </si>
  <si>
    <t>18147</t>
  </si>
  <si>
    <t>8F00250329040012</t>
  </si>
  <si>
    <t>Redespacho: CARVALIMA - SP - SAO PAULO - CNPJ: 33.070.814/0003-13 - END: AVENIDA ALEXANDRE COLARES - CEP: 05106000
REDESPACHO FOB: TRANSPORTADORA CARVALIMA - 33.070.814/0003-13 AV. ALEXANDRE COLARES 340- PQ ANHANGUERA SÃO PAULO-CEP 05106-000 (11) 986189438</t>
  </si>
  <si>
    <t xml:space="preserve">&lt;HTML&gt;
&lt;HEAD&gt;
&lt;TITLE&gt;Moved Temporarily&lt;/TITLE&gt;
&lt;/HEAD&gt;
&lt;BODY BGCOLOR="#FFFFFF" TEXT="#000000"&gt;
&lt;!-- GSE Default Error --&gt;
&lt;H1&gt;Moved Temporarily&lt;/H1&gt;
The document has moved &lt;A HREF="https://script.googleusercontent.com/macros/echo?user_content_key=AehSKLjjKbHDgsH3b4jnyMXgoVzmr6WmuEfgYFM2L4DZI83iXO7G-xFvdpkEkR1mjOWrrV1lJ55Qlg1pY7E5gC2FcInkCL2bUJ8RJsx4ANb8fH0X52K8uqiaAPs2xn0b88o6xLIgYDZu3IsLkthjgP8FXGx2566pdYEdaEDgJHMhmG0wv6iSTotRlkiTb3V3WG73GldwLS78pvWYRfRU6PCyZJ9ANeGTeoakBYFP0ky1rt2VgN3fglLDm1HttHEXa6qiKzCu86Tp8105nNdKpqb2dfQTllC8kpAg0zDtG6tWCiWVmQLZCS_5D0i14UBekw&amp;amp;lib=M-zdWbhavtdZ1B_W2dnFDM0qoVt4lWzJ-"&gt;here&lt;/A&gt;.
&lt;/BODY&gt;
&lt;/HTML&gt;
</t>
  </si>
  <si>
    <t>cKvNtIykSjmoWNvuhbfOEA</t>
  </si>
  <si>
    <t>18148</t>
  </si>
  <si>
    <t xml:space="preserve">&lt;HTML&gt;
&lt;HEAD&gt;
&lt;TITLE&gt;Moved Temporarily&lt;/TITLE&gt;
&lt;/HEAD&gt;
&lt;BODY BGCOLOR="#FFFFFF" TEXT="#000000"&gt;
&lt;!-- GSE Default Error --&gt;
&lt;H1&gt;Moved Temporarily&lt;/H1&gt;
The document has moved &lt;A HREF="https://script.googleusercontent.com/macros/echo?user_content_key=AehSKLhuKR6uEvW6w0hAUQLzgBTs2U8PMf_EafmspaCZ9pzIVyv10HaA2T8rrLgG2q6nMGjVGCZ3GUwPKTbl4FxXH-sMVCMOCY4BiwQxyBaXpUM3tmMICqNufvVSgD1921eJvRHsWGtDf3Jie7JirIZEchdVx14wQ0nr_dakWsMJ24nXtMKV6gm34-xTax3xRwXlR0GM70SORZ3Y9FSGsNWAmrF1cDlPxuVO1wZxaBFLRrdjBK83amxTiWRE3embO8bnRhceMJyju4svUIhYSlIa7BMbUaUcOJH4yZsf4PxcNFCBwoEMTcoyyu3Ug0mbdg&amp;amp;lib=M-zdWbhavtdZ1B_W2dnFDM0qoVt4lWzJ-"&gt;here&lt;/A&gt;.
&lt;/BODY&gt;
&lt;/HTML&gt;
</t>
  </si>
  <si>
    <t>SInji5H2RL-Z9MceqR3ZWA</t>
  </si>
  <si>
    <t>18149-A</t>
  </si>
  <si>
    <t>8E00250208060012</t>
  </si>
  <si>
    <t>EXPRESSO SAO MIGUEL S/A / (049) 3361-6627Informação Adicional: +10% de desconto / Obs.Interna: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</si>
  <si>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87OrH7_lj6LlkT-5857-iSii9CjG41VdnmM9EMHpn0Feh7yH8AIyn1Lg6s_p4Ena5AYJa4Klh52ZpDThNkJfkLGQieIqmdhM7kI8BwLWTzaIYwqrN8qnqpTb0xAedcxS4ozsyJKo4lIEH0vp3Ef_PKixbjpPyjTu7_pTJXCeizz-qYdpDreWbVDbNAegQtwfl69Qn53GZf3VrW4OltH58xRlYvIdMhrE82jQN4gKx98289nDEfp5cyy9coogufNK2xZbGHKUbKDsDig1cRu0f-vAJhvkrm9w3r946r5On_6tQqzmxts3OCZY5bw&amp;amp;lib=M-zdWbhavtdZ1B_W2dnFDM0qoVt4lWzJ-"&gt;here&lt;/A&gt;.
&lt;/BODY&gt;
&lt;/HTML&gt;
</t>
  </si>
  <si>
    <t>CfLxudEPTSG8l.r4wV2hqw</t>
  </si>
  <si>
    <t>18149-B</t>
  </si>
  <si>
    <t>8F00250208090011</t>
  </si>
  <si>
    <t xml:space="preserve">&lt;HTML&gt;
&lt;HEAD&gt;
&lt;TITLE&gt;Moved Temporarily&lt;/TITLE&gt;
&lt;/HEAD&gt;
&lt;BODY BGCOLOR="#FFFFFF" TEXT="#000000"&gt;
&lt;!-- GSE Default Error --&gt;
&lt;H1&gt;Moved Temporarily&lt;/H1&gt;
The document has moved &lt;A HREF="https://script.googleusercontent.com/macros/echo?user_content_key=AehSKLhbd4obuCseMJYMp0o4QVns8i1cUXGmuTloB1VOBKUFHGKXf8AGdQCv_iMUYX1271e5w8sw6Ok2Yk7A2usbf-y20pQPYa4NENjIEnkxCTrajcqeuoHH9fIwadx8TeSNbUv40PdLw0TtBI_wuLwrE_wXM1FQbHlR1pJtisHcAExlRpS-MOiP0zcfnS8J7VmpbDgOquS1Xs9fuMwNDGUtXVUMwUUewUGd-JjWa7pOu5hVnpmpyO6db0IFAkK1DdM3FAVBc_KHM-12xsl6y6Z8ILqforPMDXrcVsoomgz6y75N4570y-leVGfbSUbG7Q&amp;amp;lib=M-zdWbhavtdZ1B_W2dnFDM0qoVt4lWzJ-"&gt;here&lt;/A&gt;.
&lt;/BODY&gt;
&lt;/HTML&gt;
</t>
  </si>
  <si>
    <t>0sVF6uysbl6qhxfp64xz</t>
  </si>
  <si>
    <t>18150</t>
  </si>
  <si>
    <t>8F00241225070019</t>
  </si>
  <si>
    <t xml:space="preserve">&lt;HTML&gt;
&lt;HEAD&gt;
&lt;TITLE&gt;Moved Temporarily&lt;/TITLE&gt;
&lt;/HEAD&gt;
&lt;BODY BGCOLOR="#FFFFFF" TEXT="#000000"&gt;
&lt;!-- GSE Default Error --&gt;
&lt;H1&gt;Moved Temporarily&lt;/H1&gt;
The document has moved &lt;A HREF="https://script.googleusercontent.com/macros/echo?user_content_key=AehSKLh4fLkl5GxJ9cjWsa2fL2g2F0S8RAxrky7bUzbcVbV4M6WW04EjHz99mywu0VN-rLdujhxS8C8zIyc_B2KR3mZ5ttaS2nOxdl96CRd9meIQU9T4dDje61uKYPLqffEzBSlzq0KVEu-Rj51Abx27MZrlwya9Y7MbZERz3oeMlNok_WjJknoX7ksfZLMBdb7KjLjLprpWH0zgN4BHZ1T3taak8IMJyr5AZDujkhuxsVj-g_tEyl8nuaIiac4fSfSRrvdfHk_EFaMxLKIx_eHCTj6lR5sNYhMeUm7upgAIEc3bCI-LscsqT2JSmZhQtw&amp;amp;lib=M-zdWbhavtdZ1B_W2dnFDM0qoVt4lWzJ-"&gt;here&lt;/A&gt;.
&lt;/BODY&gt;
&lt;/HTML&gt;
</t>
  </si>
  <si>
    <t>c55v5xpcQEyJB2cy-jd1Rg</t>
  </si>
  <si>
    <t>18152-A</t>
  </si>
  <si>
    <t>8F00250329050016</t>
  </si>
  <si>
    <t>PEDIDO GERADO ATRAVÉS DE SOLICITAÇÃO DA PRISCILA 12/08/2025. WHASAPP - PEDIDO EXTRA</t>
  </si>
  <si>
    <t xml:space="preserve">&lt;HTML&gt;
&lt;HEAD&gt;
&lt;TITLE&gt;Moved Temporarily&lt;/TITLE&gt;
&lt;/HEAD&gt;
&lt;BODY BGCOLOR="#FFFFFF" TEXT="#000000"&gt;
&lt;!-- GSE Default Error --&gt;
&lt;H1&gt;Moved Temporarily&lt;/H1&gt;
The document has moved &lt;A HREF="https://script.googleusercontent.com/macros/echo?user_content_key=AehSKLjCqnR_0WbNJB5lXomYysTZ03IyeiSouormojunRy2Y3dke8qicKeujH7uBgC6rj-6A73OMWdl4PGMBzTk6XEn2NHIhKbPjnRyXA-1kzd8ZvpFEQpjSZaN_unqCS0eq-OzrQGO43cteoMX2iQZ1MbycXm2PcILk35LvBWT0SeHvNoOBDqSAodkm_J6XNtNk7bQS-XvW0I6ulUPLsOOy9s0QFy9oWliRZaL-MrCgTDaliLxvc49yMucdFzwDbJKTr7FgJ79mQW6EpS8dk701F_g9iB6dUqELkFI_drLHgLzArZ16f3JiWbJtqWkr3Q&amp;amp;lib=M-zdWbhavtdZ1B_W2dnFDM0qoVt4lWzJ-"&gt;here&lt;/A&gt;.
&lt;/BODY&gt;
&lt;/HTML&gt;
</t>
  </si>
  <si>
    <t>xzN1Bg8mQuCiFEf8hq0Z7g</t>
  </si>
  <si>
    <t>18152-B</t>
  </si>
  <si>
    <t>8F00250329050015</t>
  </si>
  <si>
    <t xml:space="preserve">&lt;HTML&gt;
&lt;HEAD&gt;
&lt;TITLE&gt;Moved Temporarily&lt;/TITLE&gt;
&lt;/HEAD&gt;
&lt;BODY BGCOLOR="#FFFFFF" TEXT="#000000"&gt;
&lt;!-- GSE Default Error --&gt;
&lt;H1&gt;Moved Temporarily&lt;/H1&gt;
The document has moved &lt;A HREF="https://script.googleusercontent.com/macros/echo?user_content_key=AehSKLj_8ewiNP-YUgi1R_VX_x_Asb-7gbC_jJ8Q_IpibZO3qxbrzDjRPO9ppwb17Ef0RCgEjO_YUUYKioKFGerQ3UrgZuR03CxYII9_Kt007xCIYj9b9VJTz3t54-shUvZD7-N5Yn8wlZ-jYe9bS80V0GZ0KAV5WwR2LW5kr-Uqbt77vbJ4Isuth-rrI6y8BeZZMQiq9FFItL7Z6ka049O_6LcQMbrBYORHlQIthk1eklmYtLUeDDARbU4ebRoC_GeyrL-px5mii1peN1jcWZRgkkpCMVlvqlnhpvY9Ra6jLM0jmiJ2fU3ujdBgtr-ikA&amp;amp;lib=M-zdWbhavtdZ1B_W2dnFDM0qoVt4lWzJ-"&gt;here&lt;/A&gt;.
&lt;/BODY&gt;
&lt;/HTML&gt;
</t>
  </si>
  <si>
    <t>VZcy2KP7O5womeM8Hbgf</t>
  </si>
  <si>
    <t>18153</t>
  </si>
  <si>
    <t>HIAGUA PISCINAS LTDA</t>
  </si>
  <si>
    <t>8E00250208060014</t>
  </si>
  <si>
    <t>EXPRESSO SAO MIGUEL S/A / (051) 3586-2013Informação Adicional: MAIS 10%  ( CLIENTE RETIRA NA TRANSPORTADORA ) / Obs.Interna: MAIS 10% ( CLIENTE RETIRA NA TRANSPORTADORA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</si>
  <si>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k48piJ5UADcvv_Jy-JvKf0RJ-LtevJd3SA2Ddz7f4Ev9d6BxCwUthmTEeY2WTLh41q-GxRu-EuGRfC5OmKSl2l39nyfej3H6jkQuckGbTA2_pc3Pn_RhcGtyUhoAziYunL9VMAl43Vq9PoXtpQ8LFFa1_01048OlHXmSkzXp2O24iJ6xZ9YhQxB21ASgKa4mTe-jwhQfC2HdmVa37VJBM6KKTlybMTBULKWvBVr9uKUGlLYafLUg6VsbSItd6k5IbkIFQTKum9QC9HYURloHSV2T-8_hLfCAYFSuzb4MpqK1T4gOoiFYYBkV8lg&amp;amp;lib=M-zdWbhavtdZ1B_W2dnFDM0qoVt4lWzJ-"&gt;here&lt;/A&gt;.
&lt;/BODY&gt;
&lt;/HTML&gt;
</t>
  </si>
  <si>
    <t>O8hTrn4FQ2yr8AJ.syrcSA</t>
  </si>
  <si>
    <t>18155</t>
  </si>
  <si>
    <t>8F00250329040013</t>
  </si>
  <si>
    <t>FITLOG TRANSPORTES E LOGISTICA LTDA / (048) 996277956Informação Adicional: cliente BRUNO SCHWAMBACH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</si>
  <si>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tiod2V7gTaO7XrdW4Mc3LbLEUo1t7h9jUBTUIpBwY3nbcv7xiIqe6d63ngnX33EXMKHJ1LywmhQ3vSPYbd1dXZb63nOYPYTeg0p2PhpEPY64ev-tk-b8f4qDyGatUdaFfSk6_oAvqyaFfwRVEI5HCbeyexFU_jj_fbUsGjzJ_ZJBOCNfQX6wy4sD_cg9LzyzfbiDLU8pGTDDGgTkiDiZppJ7cfQlTjCFjBFkf04ci8UmPjIiGYkKkOhU14d8QWISeCVriW30uOBmw7SRhVh_zJoI6408Pf4tZgLsb_w3bbDFG1cDAZPg4VHLLg&amp;amp;lib=M-zdWbhavtdZ1B_W2dnFDM0qoVt4lWzJ-"&gt;here&lt;/A&gt;.
&lt;/BODY&gt;
&lt;/HTML&gt;
</t>
  </si>
  <si>
    <t>0O1yg5CkSsO8Lzq.NnmPIA</t>
  </si>
  <si>
    <t>18156-A</t>
  </si>
  <si>
    <t>8F00250411550003</t>
  </si>
  <si>
    <t>CLIENTE RETIRA / (0) Informação Adicional: PEDIDO Nº 15301
CLIENTE MEIA PRAIA (WALL STREET)
ABATER VALOR DO PACOTE DO CLIENTE  / Obs.Interna: PEDIDO Nº 15301
CLIENTE MEIA PRAIA (WALL STREET)
ABATER VALOR DO PACOTE DO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</si>
  <si>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vrJGwgLz_ZqEDdRUcbGHS7WUbfECVrXqCu0nh_7zJNUiEupFR2RuR4o1BLOOX1zArIIGbKliCH8xiqup016ad76IczVuqb5r-SmRiwhnjWfb-r3mOZWrJIWT2lhaKLN2kPJ3Ev1Vo-fa4ChVa7KnmQyk_TEKAoYMRDFw3Nyl8JCaDXl4KLv4lCTeNLsRpWQQEoIxVzDIImrslqv11cYQH_OFsXEkNncADYW6YfMPB_nuLOBASbfMjrAudGpAkTSI1Mte8lWoSEVRop1RA-D9z8TFkHGZ9J13idFMijEGov_qYbFPQM4H7dUl4Gw&amp;amp;lib=M-zdWbhavtdZ1B_W2dnFDM0qoVt4lWzJ-"&gt;here&lt;/A&gt;.
&lt;/BODY&gt;
&lt;/HTML&gt;
</t>
  </si>
  <si>
    <t>vy5kFf-wSTGXAK.Sr4IlJA</t>
  </si>
  <si>
    <t>18156-B</t>
  </si>
  <si>
    <t>8F00250411550004</t>
  </si>
  <si>
    <t xml:space="preserve">&lt;HTML&gt;
&lt;HEAD&gt;
&lt;TITLE&gt;Moved Temporarily&lt;/TITLE&gt;
&lt;/HEAD&gt;
&lt;BODY BGCOLOR="#FFFFFF" TEXT="#000000"&gt;
&lt;!-- GSE Default Error --&gt;
&lt;H1&gt;Moved Temporarily&lt;/H1&gt;
The document has moved &lt;A HREF="https://script.googleusercontent.com/macros/echo?user_content_key=AehSKLhkVyGnL0uSKEi1lseyA3T5w6wPrG9In1VazCzY-QHWpD0MZLLABAEef8Pr3lpj72xusoYdgxCXvDN6McmkqiNHwH2fO1hkaZUQpDVmZGnZ9ueNcmry9Omlorxb7yxws-ftByxeZwXmcmlusuHz0ps3m26prjrJT8UY4VaJUYhwVf55KRJAQAzEsUzNlLXJHRd7lJpEgGzKM97a-LnKVAxZzC2Jtb5ih753F-qi8HtANY_khtm8qmLFUMWAnt0LfAq5i0Khd-QCbNrxvzRYSElLt-bamlO45A0fuh8_CLg92q_2GeZJwdWdyp8dZg&amp;amp;lib=M-zdWbhavtdZ1B_W2dnFDM0qoVt4lWzJ-"&gt;here&lt;/A&gt;.
&lt;/BODY&gt;
&lt;/HTML&gt;
</t>
  </si>
  <si>
    <t>snsnfrrLYLygIxNYsfkW</t>
  </si>
  <si>
    <t>18157</t>
  </si>
  <si>
    <t>8F00250329060022</t>
  </si>
  <si>
    <t>EXPRESSO SAO MIGUEL S/A / (049) 3361-6627Informação Adicional: +10% DE DESCONTO / Obs.Interna: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</si>
  <si>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I-PINaM_Rshl1MQA9169tL3wZmuhKjrOTjraQ75LU5AqxsSqjxo8v9tPRa1cFQRit1W5mYUeo-PYK4tW9cWvoDbC7uOuZ-4E9Le_uhv49RnGF1JNOVtwaC9e-B_o36JKMmdPRj6cp1P0IW0f_zploXbntRmZlQqfE7OofR58zZuuxctjj8CKABW8KmKjpAxhsGcTNPMleAtVLp0dLV2FOUj7zkNC2bi7N55351YluAT4W1pp9wz45mvFuFmvr7_4WWrkdoUjKZiJE7KgocRPmC4nSJygITDpHQbHoXU9Pxh2YJ9nTrUzJCOxrLA&amp;amp;lib=M-zdWbhavtdZ1B_W2dnFDM0qoVt4lWzJ-"&gt;here&lt;/A&gt;.
&lt;/BODY&gt;
&lt;/HTML&gt;
</t>
  </si>
  <si>
    <t>a--4RPhvbQ3OwRG.hTI.FpQ</t>
  </si>
  <si>
    <t>18159-1</t>
  </si>
  <si>
    <t>W E COMERCIO DE PISCINAS LTDA</t>
  </si>
  <si>
    <t>8E00250208060013</t>
  </si>
  <si>
    <t>IZZ4B97 - RETIRA - JOSE FABIANO DE LIMA - 68840749000 - VW  / CARGA CAMINHAO  / BRANCA  / 2019</t>
  </si>
  <si>
    <t>CLIENTE RETIRA / (0) Informação Adicional: CLIENTE RETIRA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</si>
  <si>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uwtO5QMHDLcIbyVAY3exf541I9MHqvUocewTCbRl-9TVrxV5RwIFM--0C_Y2hOsdkffasuDfCyUYL3N2KhO9AvVFivefRJt3c7XYpgrDMFsENjHigmr_PpRNavLiEk6N6kuMjwbIneC6iLuSz0Lu9Un1gnsKluy0BFYrtgnh1puWLkJGFgWG1DVovOGFjpKNMQl2fERJVcpxYQ2919cnEYaIkhXd-EESV8Y6RTArhQjdgUdk-1rOvXIWXQ79p3n1mX4Lq_YNP4-8OouMv7XjL3_NhDVL92joMjdqiSXN6CM5yz5rlxU2zfMYJIg&amp;amp;lib=M-zdWbhavtdZ1B_W2dnFDM0qoVt4lWzJ-"&gt;here&lt;/A&gt;.
&lt;/BODY&gt;
&lt;/HTML&gt;
</t>
  </si>
  <si>
    <t>nHk-7Z1SRzi4LmC1sSAkTA</t>
  </si>
  <si>
    <t>18159-10</t>
  </si>
  <si>
    <t>8E00250208060023</t>
  </si>
  <si>
    <t xml:space="preserve">&lt;HTML&gt;
&lt;HEAD&gt;
&lt;TITLE&gt;Moved Temporarily&lt;/TITLE&gt;
&lt;/HEAD&gt;
&lt;BODY BGCOLOR="#FFFFFF" TEXT="#000000"&gt;
&lt;!-- GSE Default Error --&gt;
&lt;H1&gt;Moved Temporarily&lt;/H1&gt;
The document has moved &lt;A HREF="https://script.googleusercontent.com/macros/echo?user_content_key=AehSKLhQHzRvBMHR6GJLygyQh6Pl4s5n8YjHccX56n7drViGDL85pHd4NSbFGrCVZg5RCgpJBdgvyGRuz0Bb-GVuG4Hht2yeKemhc9QQYo42g0vm4vQoLp2lnytevQ6Gjpveu_cAYyZYRDygDjlZDhrQIPjjaxu4tOuxbo5t50PHO4fxDMkeGVN_-ol2q5_FJRtECKwVac9kh5UTfz0hwdXknIT8zjEcsb9pWe-PrGbF3yiEljtcdr7d-b1fBrVlitTjj1r0UOMt6awKU9YSYHG9V-myA9ReA33ccDvgK8LlkLAtrQNjfB7i-bexHcZ8Hg&amp;amp;lib=M-zdWbhavtdZ1B_W2dnFDM0qoVt4lWzJ-"&gt;here&lt;/A&gt;.
&lt;/BODY&gt;
&lt;/HTML&gt;
</t>
  </si>
  <si>
    <t>CqEw22kfA3l7rOQaGelk</t>
  </si>
  <si>
    <t>18159-11</t>
  </si>
  <si>
    <t>8E00250208060019</t>
  </si>
  <si>
    <t xml:space="preserve">&lt;HTML&gt;
&lt;HEAD&gt;
&lt;TITLE&gt;Moved Temporarily&lt;/TITLE&gt;
&lt;/HEAD&gt;
&lt;BODY BGCOLOR="#FFFFFF" TEXT="#000000"&gt;
&lt;!-- GSE Default Error --&gt;
&lt;H1&gt;Moved Temporarily&lt;/H1&gt;
The document has moved &lt;A HREF="https://script.googleusercontent.com/macros/echo?user_content_key=AehSKLiHR-8yExz_uBinOfv0qPFbtPn6Oita_2ZgkRtkc_NTzNfFGiDRyW8MqmPlvZ64LzJQmvq8xJdhWsrLcA0eq67SwiMlitX8JjSCf-lURtrrQnKO92Epy7r_dGi_tCm9wL5AXgdo4p7n_y0QXRPlzHZTR8Pp1w-xxnJ5TlEn6mFfZVQXZK1MLS8zLY9hirgF0z__KxK1_eCfuU6NZhY0ZUJ7GOFb8gRF7eTubbzHbZRlN6yBBQzDY7FNusaUTz2H0fY5xhGxbSAdczSETb-tDoIVS6XeJIolpLQF9DZlbZDQr0sLYaaNvEaCtTlimQ&amp;amp;lib=M-zdWbhavtdZ1B_W2dnFDM0qoVt4lWzJ-"&gt;here&lt;/A&gt;.
&lt;/BODY&gt;
&lt;/HTML&gt;
</t>
  </si>
  <si>
    <t>ZFWd95aMw9OICnbXr20x</t>
  </si>
  <si>
    <t>18159-12</t>
  </si>
  <si>
    <t>8E00250208060024</t>
  </si>
  <si>
    <t xml:space="preserve">&lt;HTML&gt;
&lt;HEAD&gt;
&lt;TITLE&gt;Moved Temporarily&lt;/TITLE&gt;
&lt;/HEAD&gt;
&lt;BODY BGCOLOR="#FFFFFF" TEXT="#000000"&gt;
&lt;!-- GSE Default Error --&gt;
&lt;H1&gt;Moved Temporarily&lt;/H1&gt;
The document has moved &lt;A HREF="https://script.googleusercontent.com/macros/echo?user_content_key=AehSKLjIUdofaIRj4CJmeRGG6DTnB6tsK0VLCkixigXM6H8r5drBSLHHHjfaSCxFteNkqnM1y5AkhcjOySKgT2hmch1YJgTNnsC2AaSfxVSgPpfJptsv3aWmMLPRl1Z0gGzKapzB2q_lLQ_urkwbBGPLHtILLeb2ea1ILu2h3229FByReitGcV4UgLH0d4GtsWh-FzOusBbf4CKZs9Rd0Qv3g_qaw0MdHEH69OwJeEsd1I4k9VY1Yn5KNAlwlEm5QfwYVgqFxiguLspF1VTKdr8IEWN8TX9aYGAt63B5AfXVpxhT2cpkKF1lu94yv7d24Q&amp;amp;lib=M-zdWbhavtdZ1B_W2dnFDM0qoVt4lWzJ-"&gt;here&lt;/A&gt;.
&lt;/BODY&gt;
&lt;/HTML&gt;
</t>
  </si>
  <si>
    <t>ETxKpdT6oWbKtO9FgV1V</t>
  </si>
  <si>
    <t>18159-13</t>
  </si>
  <si>
    <t>8E00250208060025</t>
  </si>
  <si>
    <t xml:space="preserve">&lt;HTML&gt;
&lt;HEAD&gt;
&lt;TITLE&gt;Moved Temporarily&lt;/TITLE&gt;
&lt;/HEAD&gt;
&lt;BODY BGCOLOR="#FFFFFF" TEXT="#000000"&gt;
&lt;!-- GSE Default Error --&gt;
&lt;H1&gt;Moved Temporarily&lt;/H1&gt;
The document has moved &lt;A HREF="https://script.googleusercontent.com/macros/echo?user_content_key=AehSKLhg8FFZkswRGk_37ibajXTEU_oy8EPUtEHmwC1cxYdK1FMBiBWrjm0Dw5Bwfd11n9n2e7Q_Xg5c1rzDX27yk4dpptg3XoGIGd4FHY0Al5CZaDaX8_CnlGcGzq7LJ0rASuytSf0l-QCKLFGNEcdhoZUoKdYj5NWvfN1Ryadeo-S469mcmQyUQPbgNf-aDIY-ntJz-K4DUq3_pu9Z8JVmZsvvO3SKbMi9MjX65j5lRIc8W2UDtRZGis9r_2UB8s8tQgzM94vJhw6AG9127rcrSevg4zJDeya_8rHfEhjavAg1tvLIH5aMSqbDHP4_4g&amp;amp;lib=M-zdWbhavtdZ1B_W2dnFDM0qoVt4lWzJ-"&gt;here&lt;/A&gt;.
&lt;/BODY&gt;
&lt;/HTML&gt;
</t>
  </si>
  <si>
    <t>gt6I7P0jehqLLobKSDjw</t>
  </si>
  <si>
    <t>18159-14</t>
  </si>
  <si>
    <t>8E00250208060026</t>
  </si>
  <si>
    <t xml:space="preserve">&lt;HTML&gt;
&lt;HEAD&gt;
&lt;TITLE&gt;Moved Temporarily&lt;/TITLE&gt;
&lt;/HEAD&gt;
&lt;BODY BGCOLOR="#FFFFFF" TEXT="#000000"&gt;
&lt;!-- GSE Default Error --&gt;
&lt;H1&gt;Moved Temporarily&lt;/H1&gt;
The document has moved &lt;A HREF="https://script.googleusercontent.com/macros/echo?user_content_key=AehSKLj2GkUxog9vCSI2RV1mejaiBHlHzbEi8gGgiGcHVrmSwCvrMTyHyPGF-wDITeZlDmyjMZVyAJVVx6IkI81ZeyyjhQLrVPmESJiY3Cpit34dJet3un7pC62t461Lou0aNs9PKxVAyV3BiYJ6h3k8-GHqyYIozSBLR_xCRBkP9VPTSMXTzKd2kYYC9Wy-EUV5p8e0qOgtSR0ID1YdDdOhKvEXGa2EBMX55-YRlHj1s84b1UbAxncyuX2HPxj9xSKiL0Ek8d-EP1YpHIN2D4prUipjUSLyXir8yhr0fNDKw8UIXuMqrr642gxH3WyIiA&amp;amp;lib=M-zdWbhavtdZ1B_W2dnFDM0qoVt4lWzJ-"&gt;here&lt;/A&gt;.
&lt;/BODY&gt;
&lt;/HTML&gt;
</t>
  </si>
  <si>
    <t>WsoJ9enDbAnUkd9zi0cp</t>
  </si>
  <si>
    <t>18159-15</t>
  </si>
  <si>
    <t>8E00250208060027</t>
  </si>
  <si>
    <t xml:space="preserve">&lt;HTML&gt;
&lt;HEAD&gt;
&lt;TITLE&gt;Moved Temporarily&lt;/TITLE&gt;
&lt;/HEAD&gt;
&lt;BODY BGCOLOR="#FFFFFF" TEXT="#000000"&gt;
&lt;!-- GSE Default Error --&gt;
&lt;H1&gt;Moved Temporarily&lt;/H1&gt;
The document has moved &lt;A HREF="https://script.googleusercontent.com/macros/echo?user_content_key=AehSKLhab4izPumdysEcxs6oTUfN4P25Dv5cveaAFUvLLf_EqTWT3zdAgGq-ORkg1PQLwpyiGbd7JOlpsXVo33JdX0if_pGktHjN-8Shh_2k6Yn98qdX_yvOhOP6LhohLGl2HIJmbO2Bwg8lly7fgOaZhYE23NeB_PVzw8RR-6Lro7mVP-WhpIN32QQYBgUuc5bP5f_Vqqn16c53uh1amd4JcAIOOUoVTtbYqqVk-5NU03UdehZ96HOoUF0MsxySb9Zcyj7wNhtOz8MsZrQ9bZRwZTKE8bpMNTdnIiDhXcE8RfQWNM0MrlEHWztCytlJcQ&amp;amp;lib=M-zdWbhavtdZ1B_W2dnFDM0qoVt4lWzJ-"&gt;here&lt;/A&gt;.
&lt;/BODY&gt;
&lt;/HTML&gt;
</t>
  </si>
  <si>
    <t>VFCX7Od3d9ceHGPKbibj</t>
  </si>
  <si>
    <t>18159-16</t>
  </si>
  <si>
    <t>8E00250208060032</t>
  </si>
  <si>
    <t>a9UVN1Vubmkwd3buKDxO</t>
  </si>
  <si>
    <t>18159-17</t>
  </si>
  <si>
    <t>8E00250208060028</t>
  </si>
  <si>
    <t xml:space="preserve">&lt;HTML&gt;
&lt;HEAD&gt;
&lt;TITLE&gt;Moved Temporarily&lt;/TITLE&gt;
&lt;/HEAD&gt;
&lt;BODY BGCOLOR="#FFFFFF" TEXT="#000000"&gt;
&lt;!-- GSE Default Error --&gt;
&lt;H1&gt;Moved Temporarily&lt;/H1&gt;
The document has moved &lt;A HREF="https://script.googleusercontent.com/macros/echo?user_content_key=AehSKLi5eBPgROP9DrkIm51hxxob_f97b5DRv2boLNsSzRL52u2GGC1OvFIewaEpi07oGfZENset3_SD8Lab-mrDa1WGaArtX8SMOkkRTQRbNDfg74FcQ5ApgxyDSHEDAU9YtsJ6LM6Fmxx3hJe_IjE7A2bOSNpx2BlQihVjO1b9n4gNX5H7ciEIJ-G_Y2efQjM-1B3RXf6_rZkCQpM7Clk7Ldwny6gaRYD4UUk432i8daJNz-wnODWeTPBZ3tBCW1Ky84VzkCl4T54WT5OOzPAi8UaMBdNF-fG2nJ47E5FuH-Qmp0k4X8CA4yiT3Ch8hA&amp;amp;lib=M-zdWbhavtdZ1B_W2dnFDM0qoVt4lWzJ-"&gt;here&lt;/A&gt;.
&lt;/BODY&gt;
&lt;/HTML&gt;
</t>
  </si>
  <si>
    <t>kY3HXYbziMhgxyOIIOEK</t>
  </si>
  <si>
    <t>18159-18</t>
  </si>
  <si>
    <t>8E00250208060031</t>
  </si>
  <si>
    <t xml:space="preserve">&lt;HTML&gt;
&lt;HEAD&gt;
&lt;TITLE&gt;Moved Temporarily&lt;/TITLE&gt;
&lt;/HEAD&gt;
&lt;BODY BGCOLOR="#FFFFFF" TEXT="#000000"&gt;
&lt;!-- GSE Default Error --&gt;
&lt;H1&gt;Moved Temporarily&lt;/H1&gt;
The document has moved &lt;A HREF="https://script.googleusercontent.com/macros/echo?user_content_key=AehSKLjbDaCSoTTo6SxQkcddA8MWETjuCA2img-ttp6s_5y2gDF854eCrynJFCgJHBOzi_eqxDhIUdt_ToE9fdmzVblp2jEh91eM_ejA_fWXQsj1zNgVHgdmRwWm_VzI2zs_G404HNMuoiPDvEbARx3JczaeEZTDtxcLaMmDaPQ1PKO4QJ_snFeToK400kCIKoG6609CXrmgnC36QyME7bpluX5-ZCbGUOJ_YmUiSmYw_CEohPBt0grGeKdH_MoDGcK-HNrcJ9E_xm6PzDdvm9B1_oT_Fq9-kYCh4FGNYPvSyRYPUVWV1zqlXh1xFX0UyQ&amp;amp;lib=M-zdWbhavtdZ1B_W2dnFDM0qoVt4lWzJ-"&gt;here&lt;/A&gt;.
&lt;/BODY&gt;
&lt;/HTML&gt;
</t>
  </si>
  <si>
    <t>KjZLD3htCNm2HIckEyPf</t>
  </si>
  <si>
    <t>18159-19</t>
  </si>
  <si>
    <t>8E00250208060029</t>
  </si>
  <si>
    <t xml:space="preserve">&lt;HTML&gt;
&lt;HEAD&gt;
&lt;TITLE&gt;Moved Temporarily&lt;/TITLE&gt;
&lt;/HEAD&gt;
&lt;BODY BGCOLOR="#FFFFFF" TEXT="#000000"&gt;
&lt;!-- GSE Default Error --&gt;
&lt;H1&gt;Moved Temporarily&lt;/H1&gt;
The document has moved &lt;A HREF="https://script.googleusercontent.com/macros/echo?user_content_key=AehSKLiQqJ_Drt9jc3XNgdSDnUEJuMM8cLeonbBp1V4nX7wK9PiRVogsA1oH6ufvHb73UW77hZo7lwGs2Nl_L22BOlmI9AC3M-eqGnJA3dbui_nLmR2yZUyKk9vXPVx0H-8oAZgiPre61QdS6tm8pIpSGqW07yU1piAAp7QcwWaM3zycuB_mRBlRuQ9BMAZjkUE8_xBY6pA8Vvxdh1czBXU1U097znf82uiaUZhEsf2YWDqz6jFOyTYRReZYiedbtVUJ2pJPHK2KaNBO8fVw4yuf0VrygGYynjpvH6pVzCAk6Y4EwmEgvKnwti9ZA385Nw&amp;amp;lib=M-zdWbhavtdZ1B_W2dnFDM0qoVt4lWzJ-"&gt;here&lt;/A&gt;.
&lt;/BODY&gt;
&lt;/HTML&gt;
</t>
  </si>
  <si>
    <t>3ixBlMjEVDYfo9F3JE7x</t>
  </si>
  <si>
    <t>18159-2</t>
  </si>
  <si>
    <t>8E00250208060016</t>
  </si>
  <si>
    <t xml:space="preserve">&lt;HTML&gt;
&lt;HEAD&gt;
&lt;TITLE&gt;Moved Temporarily&lt;/TITLE&gt;
&lt;/HEAD&gt;
&lt;BODY BGCOLOR="#FFFFFF" TEXT="#000000"&gt;
&lt;!-- GSE Default Error --&gt;
&lt;H1&gt;Moved Temporarily&lt;/H1&gt;
The document has moved &lt;A HREF="https://script.googleusercontent.com/macros/echo?user_content_key=AehSKLiwSghlR2sPMpLscsoLVAwZAfVmdfXvRWz4biob5kX-mZIwDdtLzx2Y2QVC7idM0UiBmL_0FPz6QjhblQWWToBreWXl-1SX-ND_XnBI2eqm4RYPlACWXyJdCcVrfC7aY0IN5vgqo5lFqwxsLkMrTc-3pQQLUC66FtB8XvkXczDvnzihshqj9R4B1GHdPT9FJq50DpoPLVBJ_ah5dYWuxO5FLvrxesPkwIZerKZYKeITddYVpoD_c5T2BH9INF_Xhz8m97_vXy1QCLgixJXdi6jmU87dffxyxXm0CGYzQJ44fBWd0Gt7FMYfPfckzg&amp;amp;lib=M-zdWbhavtdZ1B_W2dnFDM0qoVt4lWzJ-"&gt;here&lt;/A&gt;.
&lt;/BODY&gt;
&lt;/HTML&gt;
</t>
  </si>
  <si>
    <t>UsDFgjydTjEMQVswB3x8</t>
  </si>
  <si>
    <t>18159-20</t>
  </si>
  <si>
    <t>8E00250208060030</t>
  </si>
  <si>
    <t xml:space="preserve">&lt;HTML&gt;
&lt;HEAD&gt;
&lt;TITLE&gt;Moved Temporarily&lt;/TITLE&gt;
&lt;/HEAD&gt;
&lt;BODY BGCOLOR="#FFFFFF" TEXT="#000000"&gt;
&lt;!-- GSE Default Error --&gt;
&lt;H1&gt;Moved Temporarily&lt;/H1&gt;
The document has moved &lt;A HREF="https://script.googleusercontent.com/macros/echo?user_content_key=AehSKLjFY4-LgcHW5m5CLyspwrEJLjOTTDq33JQXvBzGO8EbQEQWJdO-CCe2AR394krXixOkLBtI6wHZA5pPI43jBYguLa7D-8xBnpAaEyHBj2-mvkSnsHCwqAxkt0PfG-z3hwf2agYG3372ioosKJVoA4UCDKU4d2gJ2Eicq4jQ_UPsGJdK_tFOdZp5ZE-_3-1D1qYZJeSeyqEjg2X3oTfzik2ReLHEkfFHAsKVhUFz5milzZa2hIwrClIQL7WXzdDD_zPvJjudU1u0n8gLcOAlc7Ca1rqycgkjO7CMxzjLxCxBpz4R07gcwPS4OKoAkg&amp;amp;lib=M-zdWbhavtdZ1B_W2dnFDM0qoVt4lWzJ-"&gt;here&lt;/A&gt;.
&lt;/BODY&gt;
&lt;/HTML&gt;
</t>
  </si>
  <si>
    <t>v1OP1HpsEoMb9go0EcJw</t>
  </si>
  <si>
    <t>18159-21</t>
  </si>
  <si>
    <t>8E00250208060004</t>
  </si>
  <si>
    <t xml:space="preserve">&lt;HTML&gt;
&lt;HEAD&gt;
&lt;TITLE&gt;Moved Temporarily&lt;/TITLE&gt;
&lt;/HEAD&gt;
&lt;BODY BGCOLOR="#FFFFFF" TEXT="#000000"&gt;
&lt;!-- GSE Default Error --&gt;
&lt;H1&gt;Moved Temporarily&lt;/H1&gt;
The document has moved &lt;A HREF="https://script.googleusercontent.com/macros/echo?user_content_key=AehSKLgEBtuCnQhY1Dkw85ina3ccLczJbe2r5Pu2eVRUiuarIGaFCcOUwWLRm72OkqkE1qnXUcwC2jJmjPFz20aUCzmw9z5aIjURiYg7_G0yn7f7LVkim2gA4IYwMhUjxsmSGU_cXXLSh6T2lIEvCzSjBfZFuO7TD8WQSWQ7Mio9VZpjjeRNxaWDMR3b5Lp133OCzpk0H-XbnIZIZJ7jD3tFPCwzWOrYU9sdRLfEbvHj4pbbjkzVTaVAbkQ-nksWkMTaQb5BsKi5Y-zw5UAbwWGTd6XtuIeGUiepdNNxREP59CqMgAl2OoFgKzaofP4M2A&amp;amp;lib=M-zdWbhavtdZ1B_W2dnFDM0qoVt4lWzJ-"&gt;here&lt;/A&gt;.
&lt;/BODY&gt;
&lt;/HTML&gt;
</t>
  </si>
  <si>
    <t>6tPlfnNtc0HFiJDIvCMj</t>
  </si>
  <si>
    <t>18159-22</t>
  </si>
  <si>
    <t>8E00250208060003</t>
  </si>
  <si>
    <t xml:space="preserve">&lt;HTML&gt;
&lt;HEAD&gt;
&lt;TITLE&gt;Moved Temporarily&lt;/TITLE&gt;
&lt;/HEAD&gt;
&lt;BODY BGCOLOR="#FFFFFF" TEXT="#000000"&gt;
&lt;!-- GSE Default Error --&gt;
&lt;H1&gt;Moved Temporarily&lt;/H1&gt;
The document has moved &lt;A HREF="https://script.googleusercontent.com/macros/echo?user_content_key=AehSKLguSjczB2IrL-hasupyMzuRg1ud3X5JLYKqrChbHZ99G_JaDkm_xWCZTrIh56DYJOd5rFQCRdd9xVz3N6X8CW3A3XFu-vBFTTjNtyuytQZFrn1hpPS4J3aR8x0CwCa-xFt9MO6EiM84f2CbkSsJ4luEyjq4I3EiY_LMZ1COy0PUebiirAPNkyMsFJAAzxxNRM-WmdnTdeysi5ulS52ULaeQ6Omf3iD7mY-7t8zB03IvuQ-sj51FBJ0226hvcgUMj9K14T8gLY-7gX_r9KNVlZRhUlijxeasRS0s4p9yIltWlfIeO5yUcwkSazTs8Q&amp;amp;lib=M-zdWbhavtdZ1B_W2dnFDM0qoVt4lWzJ-"&gt;here&lt;/A&gt;.
&lt;/BODY&gt;
&lt;/HTML&gt;
</t>
  </si>
  <si>
    <t>iqPez3spnHYmBMsyEvJJ</t>
  </si>
  <si>
    <t>18159-23</t>
  </si>
  <si>
    <t>8E00250208060040</t>
  </si>
  <si>
    <t xml:space="preserve">&lt;HTML&gt;
&lt;HEAD&gt;
&lt;TITLE&gt;Moved Temporarily&lt;/TITLE&gt;
&lt;/HEAD&gt;
&lt;BODY BGCOLOR="#FFFFFF" TEXT="#000000"&gt;
&lt;!-- GSE Default Error --&gt;
&lt;H1&gt;Moved Temporarily&lt;/H1&gt;
The document has moved &lt;A HREF="https://script.googleusercontent.com/macros/echo?user_content_key=AehSKLgBf4OMlOaXrrOOy-q4N_15VDlZPvHXEOiUmpHGvu8w1Q91BJhY5eKzXOKNhAANuiXr0wnoRXAVYGvHDvAJeAY0-eRyqBuAz623K6PNlIptxHIDI66BS_jirLpfOw3FjgUiZYhcHDzurB5YeuCrCzeq_z8R9GMrDczRSjoFXujyvTAeppKJcdXN7qqIvWNyAyPP49oFkvLRWy5JIYAtHlPB8ZzKvWzeNkkFnKu_KMuBmzqci74APamCKS6Jdi2orvOWgCFVsaSr9U75afW-kee0ycOUJq-KVnMjdJ4l26yoXZiQKU8KlIqLDaOkaQ&amp;amp;lib=M-zdWbhavtdZ1B_W2dnFDM0qoVt4lWzJ-"&gt;here&lt;/A&gt;.
&lt;/BODY&gt;
&lt;/HTML&gt;
</t>
  </si>
  <si>
    <t>BWEBt5doBWP0gXxS60Ro</t>
  </si>
  <si>
    <t>18159-24</t>
  </si>
  <si>
    <t>8E00250208060039</t>
  </si>
  <si>
    <t>dvo0isAsuWgDMfxpFWEs</t>
  </si>
  <si>
    <t>18159-25</t>
  </si>
  <si>
    <t>8E00250208060006</t>
  </si>
  <si>
    <t xml:space="preserve">&lt;HTML&gt;
&lt;HEAD&gt;
&lt;TITLE&gt;Moved Temporarily&lt;/TITLE&gt;
&lt;/HEAD&gt;
&lt;BODY BGCOLOR="#FFFFFF" TEXT="#000000"&gt;
&lt;!-- GSE Default Error --&gt;
&lt;H1&gt;Moved Temporarily&lt;/H1&gt;
The document has moved &lt;A HREF="https://script.googleusercontent.com/macros/echo?user_content_key=AehSKLhXJGO2Tx79CWDT0IyhqMIonHVCIv1F6lgS6t77bGCuNqNfXzGvJDE4qB0Rb7cd1SzwfRQ2Ry7atRD-Qc1UBsuizGEQfaPc3WOTFlJQcEJxlwvlekYQlMrKg5uzI4kfsAAZm8c8bY_Sgp1COEcl_Lif2hv3i_l1hUJiY-jBh6eDaqNJevQdpQyL0hUab38rCTUu1ic11g_8InrZbRogBraOLLVeuXIc_PBa51LTYJNdD1ErnEoT6RXkhMwxP2UIY1uO096vVm-RflDNZCgD3EwUo2KVUAMpxltpEeuevlbLftMRBjEAk1c7mh37Jg&amp;amp;lib=M-zdWbhavtdZ1B_W2dnFDM0qoVt4lWzJ-"&gt;here&lt;/A&gt;.
&lt;/BODY&gt;
&lt;/HTML&gt;
</t>
  </si>
  <si>
    <t>Dz614Ma824lF6Q4LKvzl</t>
  </si>
  <si>
    <t>18159-26</t>
  </si>
  <si>
    <t>8E00250208060038</t>
  </si>
  <si>
    <t xml:space="preserve">&lt;HTML&gt;
&lt;HEAD&gt;
&lt;TITLE&gt;Moved Temporarily&lt;/TITLE&gt;
&lt;/HEAD&gt;
&lt;BODY BGCOLOR="#FFFFFF" TEXT="#000000"&gt;
&lt;!-- GSE Default Error --&gt;
&lt;H1&gt;Moved Temporarily&lt;/H1&gt;
The document has moved &lt;A HREF="https://script.googleusercontent.com/macros/echo?user_content_key=AehSKLhoErTxPiiapkSBgdefBpicAZpMU8adh5NzxXpiq4bSLnEl23_PPFsJb4lqXtiaaOFbagwjIwITgLU_UVbMDZ9-u9ON1om0jvFDZOIZJ3z40X0n3avnDVTJVEsocw-8dqJV1bAsrVKwU1rUNo7aESjw-jckUyIO7QjHfhj6PsDv6HjM8K_WCLtbwsf6xQQ89UOPbzPawjQz9EGB0-GLfynf6VKwgGotMXOoLTP0wYKjMLcY0mOR-3l30rtP0AdvYi4rvR8C8OYhKGJpvUu6UIi8KVOKy1xLID9IpF4x5iWzuaV-4vcs4AQgCos_qQ&amp;amp;lib=M-zdWbhavtdZ1B_W2dnFDM0qoVt4lWzJ-"&gt;here&lt;/A&gt;.
&lt;/BODY&gt;
&lt;/HTML&gt;
</t>
  </si>
  <si>
    <t>kdKwsH69xF6Ws7ZNoni3</t>
  </si>
  <si>
    <t>18159-3</t>
  </si>
  <si>
    <t>8E00250208060017</t>
  </si>
  <si>
    <t xml:space="preserve">&lt;HTML&gt;
&lt;HEAD&gt;
&lt;TITLE&gt;Moved Temporarily&lt;/TITLE&gt;
&lt;/HEAD&gt;
&lt;BODY BGCOLOR="#FFFFFF" TEXT="#000000"&gt;
&lt;!-- GSE Default Error --&gt;
&lt;H1&gt;Moved Temporarily&lt;/H1&gt;
The document has moved &lt;A HREF="https://script.googleusercontent.com/macros/echo?user_content_key=AehSKLhbnxMJsr-oD6cxHQo1ZTj2mpMhS811PygJpPDm9UXAOojOpfPLFeGVpxmDwN36CVzD8G7h9FJ6u_p3gHXl0rGlGjRvZIEF1rDcV80xYzI4R1trXoDtgTJWVp-LXiOcYK0m0EzrQkaCC-_Wsvu2HgNnNnnpszpMdOyRJI0nAC1aPHry_Tj-wnYKCefOt_ws6qmJnUnOgLYdWM7NyFY0TIwZArabuo_vnPet9MKAovGo9vIQF8gO1_BPqfFfdDiNmFUbkVDuQ3qGTgA5k7Gdrjs9FJ-Wk5YRTba3_8cmS8zvaq-TBQ119-kTolSuZw&amp;amp;lib=M-zdWbhavtdZ1B_W2dnFDM0qoVt4lWzJ-"&gt;here&lt;/A&gt;.
&lt;/BODY&gt;
&lt;/HTML&gt;
</t>
  </si>
  <si>
    <t>y96MNZRiFcXct52XeKVj</t>
  </si>
  <si>
    <t>18159-4</t>
  </si>
  <si>
    <t>8E00250208060015</t>
  </si>
  <si>
    <t xml:space="preserve">&lt;HTML&gt;
&lt;HEAD&gt;
&lt;TITLE&gt;Moved Temporarily&lt;/TITLE&gt;
&lt;/HEAD&gt;
&lt;BODY BGCOLOR="#FFFFFF" TEXT="#000000"&gt;
&lt;!-- GSE Default Error --&gt;
&lt;H1&gt;Moved Temporarily&lt;/H1&gt;
The document has moved &lt;A HREF="https://script.googleusercontent.com/macros/echo?user_content_key=AehSKLgEwLtBnT0R_qnqXEIlj2fQewuzdl7vA9SrOrmXKbGnK5fN6UUxa3SWCprrRZncI5ng3nYXBjjoSUp2IPiV6P1uJWmNz40Eop1Jeo2QTGGhFfFV8HpUua7CWTE3Z8_nyuEyE2jLiqT3ASX2BMSWbx4Tb3MN4oEK93_rFfN1hZ8zguBLwmdRttSm68vzntaGSsoZwo0ZGaQUS0Lz5iEdlnthHPqQau3aQZTVVUO03vrJJYWkY2g7APKXTVsqIl0hsTa0hGI3JotxSsO2DvfiBU32TXI4dysTm51ZTA2o0-DNLlXS7CRZo0djg2FsdA&amp;amp;lib=M-zdWbhavtdZ1B_W2dnFDM0qoVt4lWzJ-"&gt;here&lt;/A&gt;.
&lt;/BODY&gt;
&lt;/HTML&gt;
</t>
  </si>
  <si>
    <t>36bUlLE5jqgWBcZKoOUt</t>
  </si>
  <si>
    <t>18159-5</t>
  </si>
  <si>
    <t>8E00250208060005</t>
  </si>
  <si>
    <t xml:space="preserve">&lt;HTML&gt;
&lt;HEAD&gt;
&lt;TITLE&gt;Moved Temporarily&lt;/TITLE&gt;
&lt;/HEAD&gt;
&lt;BODY BGCOLOR="#FFFFFF" TEXT="#000000"&gt;
&lt;!-- GSE Default Error --&gt;
&lt;H1&gt;Moved Temporarily&lt;/H1&gt;
The document has moved &lt;A HREF="https://script.googleusercontent.com/macros/echo?user_content_key=AehSKLhkz0EdLykIVagCTTdKnpKiuC1S4Pa1RR663gafcazQI36dg3iSydDcyMTzEqWdSrChH62KQUYUHqaQDTKy2JcWoGJefFhF0ZwSGzbHGsVTFtfp9_1bhzuKuZQOcEm9U0_VtyvT9VcOIQFL89DzXMIjNc0B--EGrD7W40L9-bgt35OIeTZjieHdwILVbtQ0KwhTVQyzMx5BkjPlbRpF9hEYkl0YJzMldZAt2AuWz_UaT7QpE405WrGORNYxNhsDlpA5irerT8eouTZ4EWjBbu5MqClHwWUPh6GaiO8_1ZqC3qCxS2JHop7Dk_6VIA&amp;amp;lib=M-zdWbhavtdZ1B_W2dnFDM0qoVt4lWzJ-"&gt;here&lt;/A&gt;.
&lt;/BODY&gt;
&lt;/HTML&gt;
</t>
  </si>
  <si>
    <t>Z21SQXxqr6IxlLTa349S</t>
  </si>
  <si>
    <t>18159-6</t>
  </si>
  <si>
    <t>8E00250208060018</t>
  </si>
  <si>
    <t xml:space="preserve">&lt;HTML&gt;
&lt;HEAD&gt;
&lt;TITLE&gt;Moved Temporarily&lt;/TITLE&gt;
&lt;/HEAD&gt;
&lt;BODY BGCOLOR="#FFFFFF" TEXT="#000000"&gt;
&lt;!-- GSE Default Error --&gt;
&lt;H1&gt;Moved Temporarily&lt;/H1&gt;
The document has moved &lt;A HREF="https://script.googleusercontent.com/macros/echo?user_content_key=AehSKLhTidX-GhRZssvBB1y_9F83sUh4w9SL9eoUT1s7is2gAPINZ9acJkXoCHizvotxv9L7rjYUszHHMSkxQkjm2Mx71IuCD5VdT4wkww9IxXxxC8v3bj96b2CXhVbOnDPjjls86azjog6vYnjkju9RrfCzV3QRHlj4tevWy02DMzeqPKxcfa61K_jGAS8l9TQ7Hxsne4Cy9aSvd6yP8DxAmu5WhxsS8rFqc7i6qhrlGaNkd9YXIsj--vxLpP9KGiXFUefakIfx87SwKU2XailJIe1Hp-1VWRXCvK4i6Vx13nHVQjUvXPNrEED_nmsbNg&amp;amp;lib=M-zdWbhavtdZ1B_W2dnFDM0qoVt4lWzJ-"&gt;here&lt;/A&gt;.
&lt;/BODY&gt;
&lt;/HTML&gt;
</t>
  </si>
  <si>
    <t>uMKCaHb25qqqXJXg1dcu</t>
  </si>
  <si>
    <t>18159-7</t>
  </si>
  <si>
    <t>8E00250208060021</t>
  </si>
  <si>
    <t xml:space="preserve">&lt;HTML&gt;
&lt;HEAD&gt;
&lt;TITLE&gt;Moved Temporarily&lt;/TITLE&gt;
&lt;/HEAD&gt;
&lt;BODY BGCOLOR="#FFFFFF" TEXT="#000000"&gt;
&lt;!-- GSE Default Error --&gt;
&lt;H1&gt;Moved Temporarily&lt;/H1&gt;
The document has moved &lt;A HREF="https://script.googleusercontent.com/macros/echo?user_content_key=AehSKLikulbYhaX6BBwX6g_bnmtxruxrmfE9S-T0CpzT8i78XsPyAEpG1FwXtO72kzl_yKtOLa_830UhtDlNjBc7EPgwbcJzoA3NfeYEOA4IG2pazjvnqWhNlcXW9o0TriY0WeFjr9Dp4OUUQEcJZcl9urR8rR3QOXrTPFak4Af2JJloWl1HMFdkJTMLP_oIjKUARYrSbNwYF-mSUBoZbBFa9p4cvGBJ8oW22RaevrHzlqz-HIZErM1UAixfQd41b1PdAb0J2CQ7KEZVolE2I91GjNd44S9lIhKZK4evrwCT5uXcd4yYQ3Kv-huHcuL10Q&amp;amp;lib=M-zdWbhavtdZ1B_W2dnFDM0qoVt4lWzJ-"&gt;here&lt;/A&gt;.
&lt;/BODY&gt;
&lt;/HTML&gt;
</t>
  </si>
  <si>
    <t>IzedQn4pVelSRDRSF1jT</t>
  </si>
  <si>
    <t>18159-8</t>
  </si>
  <si>
    <t>8E00250208060022</t>
  </si>
  <si>
    <t xml:space="preserve">&lt;HTML&gt;
&lt;HEAD&gt;
&lt;TITLE&gt;Moved Temporarily&lt;/TITLE&gt;
&lt;/HEAD&gt;
&lt;BODY BGCOLOR="#FFFFFF" TEXT="#000000"&gt;
&lt;!-- GSE Default Error --&gt;
&lt;H1&gt;Moved Temporarily&lt;/H1&gt;
The document has moved &lt;A HREF="https://script.googleusercontent.com/macros/echo?user_content_key=AehSKLjd3DEqP3TbqQawSa-XmJZnJgbNOX-PaCZbmPMECJmXl9s8eDAvTyG64qZ_4JS7UeuLKWdjWoVj2cEj6O82dYOB3dyue1OehceoK3mw0a9gP_kh9xVktMYlp-Ogg8v4m9Inv1kA4LMEe_gslJIZKuwIIcxoqsXLEyaX0HxFrOSZnly_i8jv6q6CaUjEjYAeFM1jPQGAqTO8dlo7ligzttef9xyQg-25guXcKQdn8iEzPcl4hSOWyyrkxfBdrU5IAmO0LlIL6SUcUl7uCC8gkCwn8eazVTErb289hb74UznGIybWDsFPvTabz2j5_Q&amp;amp;lib=M-zdWbhavtdZ1B_W2dnFDM0qoVt4lWzJ-"&gt;here&lt;/A&gt;.
&lt;/BODY&gt;
&lt;/HTML&gt;
</t>
  </si>
  <si>
    <t>M1likPcEzXq0g4BsDMIB</t>
  </si>
  <si>
    <t>18159-9</t>
  </si>
  <si>
    <t>8E00250208060020</t>
  </si>
  <si>
    <t xml:space="preserve">&lt;HTML&gt;
&lt;HEAD&gt;
&lt;TITLE&gt;Moved Temporarily&lt;/TITLE&gt;
&lt;/HEAD&gt;
&lt;BODY BGCOLOR="#FFFFFF" TEXT="#000000"&gt;
&lt;!-- GSE Default Error --&gt;
&lt;H1&gt;Moved Temporarily&lt;/H1&gt;
The document has moved &lt;A HREF="https://script.googleusercontent.com/macros/echo?user_content_key=AehSKLgOlem_CAtT4NGBuonXafPhTaC3cSnhe3R6zEq3NRKoSL3B4Pg7GV0aKRrwh7MZkr10m89MkGjxtQnMo5PaxIzq8AMJ-XA00J60ctKjX91Jg7VDcXZw1poNoWK_61sUNlXrR2vXH6hz-92ghuzqXqjeEgbPXhUB9lgTKxRK78ZRSBOQxmU7HvNlpmrLTGAajSxFnw2MVrgDz2v68GPiJ1HGjJ0E79NmqwS8B5N7VJALMZ2UFYgvz7HaV25hKizPiGk7YjNR5aVeWqWyaN5OWOyBT8B0XyuYZoaTRPcujieikieSs_0KdP_DECTaDA&amp;amp;lib=M-zdWbhavtdZ1B_W2dnFDM0qoVt4lWzJ-"&gt;here&lt;/A&gt;.
&lt;/BODY&gt;
&lt;/HTML&gt;
</t>
  </si>
  <si>
    <t>h1xxYomEF9tDIHsFMl0H</t>
  </si>
  <si>
    <t>18162</t>
  </si>
  <si>
    <t>8F00250208110016</t>
  </si>
  <si>
    <t xml:space="preserve"> PRONTLOG TRANSPORTES LTDA</t>
  </si>
  <si>
    <t>FITLOG TRANSPORTES E LOGISTICA LTDA / (048) 996277956Informação Adicional: PG EM 3 X NO CARTAO - TITULAR PRORIETARIO DA HIDRAULICA, CONFORME DOCS NO WHTAS DO ADM.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</si>
  <si>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o21W5spAgRMsF5VXXHvM5KhzXk1rSr0qneahILaRkJsqX8HEozA72cqYiWKAecDqYFP8Jb9uBuV_LFzxAnzMdmRLhALgAngcwd7hS-dfpHXvdL38MEmqg-RbKhxuDaFKwN8PnsxoHOcaP6OrWzPPqSv6JAaFs6qtYpnaTOHuJ2mtOWmqqGXKXW1_knFmrVDIXb5YRjOrWEpKvJLUjEQpt4wh-PpfqGZUncx9zWx5T-3Re3PBObdLl7oo97VH4uRyp1Lyt1MvYAqXYfwse-aNS3lttBr5apZkLStRR_3_5Z4UYrXk59zFldDF-Q&amp;amp;lib=M-zdWbhavtdZ1B_W2dnFDM0qoVt4lWzJ-"&gt;here&lt;/A&gt;.
&lt;/BODY&gt;
&lt;/HTML&gt;
</t>
  </si>
  <si>
    <t>Kx3RiRasTwCqYW0eJ58rhw</t>
  </si>
  <si>
    <t>18163</t>
  </si>
  <si>
    <t>8F00250329060030</t>
  </si>
  <si>
    <t xml:space="preserve">&lt;HTML&gt;
&lt;HEAD&gt;
&lt;TITLE&gt;Moved Temporarily&lt;/TITLE&gt;
&lt;/HEAD&gt;
&lt;BODY BGCOLOR="#FFFFFF" TEXT="#000000"&gt;
&lt;!-- GSE Default Error --&gt;
&lt;H1&gt;Moved Temporarily&lt;/H1&gt;
The document has moved &lt;A HREF="https://script.googleusercontent.com/macros/echo?user_content_key=AehSKLgtN_1i1gCPclDzU79JOs4wmgU-g6kUVPcq0_433KHEp4l203PWQ9xkMT8igoSbdwG9Cue8ED6dypUQlFVsG0-scuPYhJP5rlyiD92vt9GDx_ReS_24iM5vnziyNMhNlPI9oUqMBHyWyiWgWbEg2GMsjaEFamFSs42sHzx3cXAp9l5d7f0NYRdA1By2fSLOyP2Qm_iTdq7Xr_9-3YeO93BBKTBhdW29cR5cfAcx_MwGRjq3FCPlOHMMYkryFmA6ffEChPbDMDq6j2gc5irh5psgL8DZ-8HFB0VXjHfL_VX3jyLd4Dg6f4qDaxTEXg&amp;amp;lib=M-zdWbhavtdZ1B_W2dnFDM0qoVt4lWzJ-"&gt;here&lt;/A&gt;.
&lt;/BODY&gt;
&lt;/HTML&gt;
</t>
  </si>
  <si>
    <t>XGcPe9s9QzCEueK5KSEwDw</t>
  </si>
  <si>
    <t>18164</t>
  </si>
  <si>
    <t>8F00250411530004</t>
  </si>
  <si>
    <t>EXPRESSO SAO MIGUEL S/A / (049) 3361-6627Informação Adicional: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</si>
  <si>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DDONA_rSbTmIJKS0Bgzbp0k_XHHu8_f6FI3_ZK1BmIa6ogI1hX-xV7HN-RL85GgcJLrQj7AEz4Y17-K6lgsx6cPjtqqCOJnPhwVdZ_V8XgvhKbQDa_i1kjVDSxp3tD5acS6oSLY7EsfYJc5anx0NADAYYbOg6zxrLWhVdpjHosRyt6-5KU_4EzPL4BU4EaTR1xqhzC27peKSzQjn50XsC9YDXA0mz-WVED0yR_GtLdcH5h3kumk25tPeoI0V5GSTjyacaXObc5KgsPPCEaTNKeHrA9-dtbPEIoUBIZthWmFvOPi2sfHAQUI2bZw&amp;amp;lib=M-zdWbhavtdZ1B_W2dnFDM0qoVt4lWzJ-"&gt;here&lt;/A&gt;.
&lt;/BODY&gt;
&lt;/HTML&gt;
</t>
  </si>
  <si>
    <t>kUGnFHC4Rm2b53HB6QgfZg</t>
  </si>
  <si>
    <t>18165</t>
  </si>
  <si>
    <t>MASTER PISCINAS</t>
  </si>
  <si>
    <t>8E00250208070036</t>
  </si>
  <si>
    <t xml:space="preserve">&lt;HTML&gt;
&lt;HEAD&gt;
&lt;TITLE&gt;Moved Temporarily&lt;/TITLE&gt;
&lt;/HEAD&gt;
&lt;BODY BGCOLOR="#FFFFFF" TEXT="#000000"&gt;
&lt;!-- GSE Default Error --&gt;
&lt;H1&gt;Moved Temporarily&lt;/H1&gt;
The document has moved &lt;A HREF="https://script.googleusercontent.com/macros/echo?user_content_key=AehSKLiKlkQEh3fyCiGMVMVLAfyMiXtpckGhLq8TaVRSE_mxGnnicJ1Nyb2k_ovXGVpIHtOgBOsPoN7nTIJ6j7Mc4_buZ1luGcqjXl5kQQ5w_WEnGBG6Hd1gAZgNPti31LZPQFLrmPwPA22Py9y-54Rtt754FunH-fyR20MDgwCMKLC8auqPZRwfVFmeoY9vu7ovuOzA2VxKFfX63ebEltmyY_hvSbH4NxFjb1aItbGRk4f2CtyytrvSbLKgqogPfJ68xF_MmmSVzP2GO_RrX0lvMAPrQTMYm8T0tq-9PtMpYMdC1rWXPzE7Pr8s7iBuJg&amp;amp;lib=M-zdWbhavtdZ1B_W2dnFDM0qoVt4lWzJ-"&gt;here&lt;/A&gt;.
&lt;/BODY&gt;
&lt;/HTML&gt;
</t>
  </si>
  <si>
    <t>iNZOlQD8R7eRSidIaACIQA</t>
  </si>
  <si>
    <t>18166</t>
  </si>
  <si>
    <t>ESTRUTURAL PISCINAS LTDA</t>
  </si>
  <si>
    <t>8F00250329040001</t>
  </si>
  <si>
    <t xml:space="preserve">&lt;HTML&gt;
&lt;HEAD&gt;
&lt;TITLE&gt;Moved Temporarily&lt;/TITLE&gt;
&lt;/HEAD&gt;
&lt;BODY BGCOLOR="#FFFFFF" TEXT="#000000"&gt;
&lt;!-- GSE Default Error --&gt;
&lt;H1&gt;Moved Temporarily&lt;/H1&gt;
The document has moved &lt;A HREF="https://script.googleusercontent.com/macros/echo?user_content_key=AehSKLgU91LRooO1TnasGdHwWQnWB7D2LMqPZ3na15xjn2tsq039G83cv_Ojs6Eq8cYuXfYgHh5T6F6ZwzweNnHvh5Y5kpsnGxrpXqMndiPPRjEyocl6OqMZvzXrJ2dpvaUbBidXMtwWgUA57IMOi6KDJkFWkzuAPxydhfz5k-RQ957siPxr-ecXgNd2w_Awjfo5qyBhE1yRxZYDpEyyhR333KJyEfThxw-yDH5j42eBPECqbnwMNLqwrbUDEHvATSRt7yIDtWrf-EZzDvkK6CaA5hE2E7IvcA_xZWBtfkWP7948qcr0JogCFdl_NRnBzA&amp;amp;lib=M-zdWbhavtdZ1B_W2dnFDM0qoVt4lWzJ-"&gt;here&lt;/A&gt;.
&lt;/BODY&gt;
&lt;/HTML&gt;
</t>
  </si>
  <si>
    <t>rjfXIAUUTQyNbiofB0NDqQ</t>
  </si>
  <si>
    <t>18167</t>
  </si>
  <si>
    <t>8F00250329040015</t>
  </si>
  <si>
    <t xml:space="preserve">&lt;HTML&gt;
&lt;HEAD&gt;
&lt;TITLE&gt;Moved Temporarily&lt;/TITLE&gt;
&lt;/HEAD&gt;
&lt;BODY BGCOLOR="#FFFFFF" TEXT="#000000"&gt;
&lt;!-- GSE Default Error --&gt;
&lt;H1&gt;Moved Temporarily&lt;/H1&gt;
The document has moved &lt;A HREF="https://script.googleusercontent.com/macros/echo?user_content_key=AehSKLihRB8fspDWSCo3i7SXwi_vzgwK37Gtqm-wETKrhahvkeb99PiKE37HQytGcJM_5tadweBlZviHr7RmGtSakh79eNYlSe3V9bgjW8wSWO8xx8qAYXxey4EBg_3Zbg-sEHQMkOGwVbFZd3RyO4MeCUVez87WiG5GXWa0lRNntJJagNsh73_JJdzFuIakpdHDOJBx6nnyyV0Mzd_6y_rO4t2ksr-XoeuYrKFv2wCg2tdpZ5WtV_SxUyEmVfjuZHFuETzEUD2KwcaRdfdFXq81b6uDQ2ESzu5DW0o7j3LX_DibUNSNJwSGOCh6zdBP3Q&amp;amp;lib=M-zdWbhavtdZ1B_W2dnFDM0qoVt4lWzJ-"&gt;here&lt;/A&gt;.
&lt;/BODY&gt;
&lt;/HTML&gt;
</t>
  </si>
  <si>
    <t>eiEU9L6dSqqj8T9.zpRc0Q</t>
  </si>
  <si>
    <t>18168</t>
  </si>
  <si>
    <t>FITLOG TRANSPORTES E LOGISTICA LTDA / (048) 996277956Obs.Interna: Cliente vai informar endereço de entrega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</si>
  <si>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xJNRLLR_TZa8n54kDPbi1EPSKfwTK9hcmrI4RAwM_LBKksKSG4WlnlumpISfSGBZe11xIdsJ3Ps1AA4VC-W87IBZHKAvJEg2dXVu_dPTtcNkGsRW5KOhgiLf41xMdG7Y1a8AbCabswRohjDPWdINRMD_xYIFOOE5IddWnlOm4ZcnzmIzMJrkKi6MiJYDO8WEIHvmr8dIg_dk1DfR5x3Gw8x0KfQkSJHmcW7DxHNz_pc_U2iknkcRWn2KHI66-UyaIVBtCijSA3VpwBWwoUElBWB-TKOeojpiYQos13FFh0QS8gE7bMgOeO62RA&amp;amp;lib=M-zdWbhavtdZ1B_W2dnFDM0qoVt4lWzJ-"&gt;here&lt;/A&gt;.
&lt;/BODY&gt;
&lt;/HTML&gt;
</t>
  </si>
  <si>
    <t>G6VRFBO2RWKgIXY67nk5sw</t>
  </si>
  <si>
    <t>18170</t>
  </si>
  <si>
    <t>8F00241118040045</t>
  </si>
  <si>
    <t>EXPRESSO SAO MIGUEL S/A / (049) 3361-6627Informação Adicional: CORRIGIR VALOR PARA R$8.573,04
ENVIAR BOLETO COM VENCIMENTO PARA O DIA 18/08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</si>
  <si>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pbNbMFg6nMyHclX4rU2GY7hblNfbtTsmDgUozl2dC2aK-nAsGrkerJvSdE0wGNcxtccs45c7bUD8Qx6Xeqs1MMwvCPByOrZNwWBg4ZFth2mZ3jtfgo6kpQ4flukCrSixU10bOSieYahOJe6bheYlOOcEH5x1t7SALJ9wsr1EXPrLV4fVYDBXWy1g5BeMnHPhhXVytL7HRh2h-KXf9F3hGhC0M7KLP9e6l0OKyzD1D3fCT0OWdV1z6j2JmlubqBJ8wPBEXR7v0pNqD_D0HJ__lov5R7Dxvq38PsEYkoW3E_XS8uiMe7ixdEUQDCw&amp;amp;lib=M-zdWbhavtdZ1B_W2dnFDM0qoVt4lWzJ-"&gt;here&lt;/A&gt;.
&lt;/BODY&gt;
&lt;/HTML&gt;
</t>
  </si>
  <si>
    <t>a-jS8loGxRwCz5TSj7slZGw</t>
  </si>
  <si>
    <t>18174</t>
  </si>
  <si>
    <t>8F00250411530005</t>
  </si>
  <si>
    <t>A MÁQUINA FOI TROCADA, TIVEMOS QUE GERAR UMA NOVA NOTA, A MÁQUINA JÁ ESTA PAGA.
EXPRESSO SAO MIGUEL S/A / (051) 3586-2013Informação Adicional: +10% DESCONTO - PAGAMENTO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</si>
  <si>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pAwQkEzc4VRNeOvIGRHfNrCBnVzzXBG4mXjRvRwLIYT4gSJVah1yNnUrwO7Vh5FWEGpWot6wTpYBgMesy7YDNkLewsOK-aIxKukXhTegJlMqDnqJja89NlsT2E36SEIltAWRObdPLxuezTPDbAuczA3v9HfyKkYavK0SRy6evKdFK-ljFK8CRjt2a9yIzVx9au-wIuip-S3YsD34GIQIfhj99x2a10uzN5Z1rJhYFONftzg1ZypKdoyV6gxKyo1A5qsv1nCxIO-LCLs9SXYtf6ZAy5BGagE1vwiAYwmAh36GJ5E3hpFbdPJJAvQ&amp;amp;lib=M-zdWbhavtdZ1B_W2dnFDM0qoVt4lWzJ-"&gt;here&lt;/A&gt;.
&lt;/BODY&gt;
&lt;/HTML&gt;
</t>
  </si>
  <si>
    <t>11sL619IRAuVhmcU0oxNKQ</t>
  </si>
  <si>
    <t>18175</t>
  </si>
  <si>
    <t>8B00240508003115</t>
  </si>
  <si>
    <t>EXPRESSO SAO MIGUEL S/A / (049) 3361-6627Informação Adicional: CLEINTE FECHOU CONTRATO FORNECIMENTO B2B
ABATER ESTE VALOR DO PACOTE / Obs.Interna: Guilherme- vai liberar do estoque de segurança dos testes INMETRO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</si>
  <si>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I8q-py5FbzqDsuTymYHvu0btqAR0En26vpSOCi9V7zBbYLAqNbhA9gz_IYwhcaXsRx5amAaW6Mn024pqy0CvmDUo6OEnZoZyvANXeLeVP49lgRhqI0zh27myn_kvYDXneELuKCUs4SDMYhTiHAR2SN-X5RQxY5OyALXc_fXAk0vUTpyDHoYP_TH67zu4TotUmGqcrPzXuwwayfwpJQBaCoQ6EscaSGhssVGvWItYJzDWBjnmS7yLi8eIgWEI-CX1oEd2nUIjfnKHT4DWDY2WStWz9rIF2yXGRmOKWaLpJP-4WYbQ4SkL9_TRepg&amp;amp;lib=M-zdWbhavtdZ1B_W2dnFDM0qoVt4lWzJ-"&gt;here&lt;/A&gt;.
&lt;/BODY&gt;
&lt;/HTML&gt;
</t>
  </si>
  <si>
    <t>L6egrD1USgGSLliSJttW2Q</t>
  </si>
  <si>
    <t>18176-A</t>
  </si>
  <si>
    <t>8F00250208090007</t>
  </si>
  <si>
    <t>FITLOG / (011) 2212-5862Informação Adicional: Pagamento: 50% entrada via depósito + 50% via boleto para 30 dias
Frete CIF autorizados pelo Mário / Obs.Interna: MARIO- PREÇO PROMO, NESSA COND.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</si>
  <si>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dKo27D51sXsnyy5NTnH5tmXQLJ-Ko50pZ0Oo1tIMGNLz8VAG5tSmXDnabGzSLCjISd5S8qxfupxygT9cdGQt4_6NuT_RUOwiXoRuzc2ZHUkvj7UVjNPFH-ziHatgAmqtTa7Mnf61CdyzAoU2iDuXYvqh6gUA14Or0PkPJdh1SCYc--5_w_meWvLJ7v7nfcgsAQo4OhqKI3zqiCws1dhlTEpjevburthz3MqJNnJ5Ptk0nU1YCQUdxsNeErvjCsROB5AavkV-Dw2QaU7QDyWRaPy0BZVSwPdls8QrCMK_QcqaccA0s6IyMEtQaw&amp;amp;lib=M-zdWbhavtdZ1B_W2dnFDM0qoVt4lWzJ-"&gt;here&lt;/A&gt;.
&lt;/BODY&gt;
&lt;/HTML&gt;
</t>
  </si>
  <si>
    <t>lRKmyJDuQNaLV71f3bhQ9A</t>
  </si>
  <si>
    <t>18176-B</t>
  </si>
  <si>
    <t>8F00250329040004</t>
  </si>
  <si>
    <t xml:space="preserve">&lt;HTML&gt;
&lt;HEAD&gt;
&lt;TITLE&gt;Moved Temporarily&lt;/TITLE&gt;
&lt;/HEAD&gt;
&lt;BODY BGCOLOR="#FFFFFF" TEXT="#000000"&gt;
&lt;!-- GSE Default Error --&gt;
&lt;H1&gt;Moved Temporarily&lt;/H1&gt;
The document has moved &lt;A HREF="https://script.googleusercontent.com/macros/echo?user_content_key=AehSKLjyq3u0gvbPgN-zPs35LJWKutMujdbj4mLcduCWYO_ecK9wklGMgw2MqHIrE2Nf-aGSfzQfUAQp9tH5Z0xyo4vnKUJUYvUDmcXF0crThkokSgqpmM2ers60M3zsLUpn216mcZAGS0lX5OgWOHa3UMOJkG-kkTLKssW6rzuoIIrLwgSsS-VwxflMqwswM9hT094AbjNzy-Y2D1OjhOq0o9CaU-TeM6PB2RVGtzDG6Ng3Vx9GjJu5adXZXTZ5VUjFFRbP_hi1-ZO0Frdjs-HQGPj9GaMgj7Sy3B20adWI7RCWYn9bx_eJno5TXGY6VA&amp;amp;lib=M-zdWbhavtdZ1B_W2dnFDM0qoVt4lWzJ-"&gt;here&lt;/A&gt;.
&lt;/BODY&gt;
&lt;/HTML&gt;
</t>
  </si>
  <si>
    <t>B8goKgVISBu5R0wBqPRn</t>
  </si>
  <si>
    <t>18176-C</t>
  </si>
  <si>
    <t>8F00250329040005</t>
  </si>
  <si>
    <t xml:space="preserve">&lt;HTML&gt;
&lt;HEAD&gt;
&lt;TITLE&gt;Moved Temporarily&lt;/TITLE&gt;
&lt;/HEAD&gt;
&lt;BODY BGCOLOR="#FFFFFF" TEXT="#000000"&gt;
&lt;!-- GSE Default Error --&gt;
&lt;H1&gt;Moved Temporarily&lt;/H1&gt;
The document has moved &lt;A HREF="https://script.googleusercontent.com/macros/echo?user_content_key=AehSKLivrD0dbaAuGcgU4FNwMzXvnpWNHC5g1fr9yJackkHWgSB8WwObMp8MLPh3Vo35AF5utWehwIwInH625F_Hzmfn2jVIYCNhhsRUKgl6ofLedZSxkwLsPxYXXSfllDx5XuAR-EwczXggiFfqfEckBMRqN6x27G5YtxQ6ELHctijnjx0Uvn50kqmNontPOvlvkVzPBIYaSiBydF2I8t8M0aTIn8hFY5do0Lh1jpp2lseJ7Uc5eRaPGOl6s7JUlzXTDkluBE8itB3J-AzpasQe6HFIsQ2CST17xyFEZOY-FZvipQO6SFK1FEqQZsHbzg&amp;amp;lib=M-zdWbhavtdZ1B_W2dnFDM0qoVt4lWzJ-"&gt;here&lt;/A&gt;.
&lt;/BODY&gt;
&lt;/HTML&gt;
</t>
  </si>
  <si>
    <t>N0W2RteRj1cEqnZJ3Fya</t>
  </si>
  <si>
    <t>18177</t>
  </si>
  <si>
    <t>DIEGO JUNIER ROUMOW</t>
  </si>
  <si>
    <t>8F00250208090004</t>
  </si>
  <si>
    <t>EXPRESSO SAO MIGUEL S/A / (049) 3361-6627Obs.Interna: VENDA HIDROTEC -  BOLETO 3X PARA  20/08 ; 20/09 ; 20/10 - ENVIO IMEDIATO</t>
  </si>
  <si>
    <t xml:space="preserve">&lt;HTML&gt;
&lt;HEAD&gt;
&lt;TITLE&gt;Moved Temporarily&lt;/TITLE&gt;
&lt;/HEAD&gt;
&lt;BODY BGCOLOR="#FFFFFF" TEXT="#000000"&gt;
&lt;!-- GSE Default Error --&gt;
&lt;H1&gt;Moved Temporarily&lt;/H1&gt;
The document has moved &lt;A HREF="https://script.googleusercontent.com/macros/echo?user_content_key=AehSKLh_00fMFYwuMzzo3wR90TTI2WSfbU__rQLgmgwRxCp4krq5LRlToxbUm7y4UMUHEpvk2fCKlptpOpIonltax-ivvllOl0cTvqss8ZVVN4Z_vUEmtzptY5rrYudZyg2Bh60-4lHyebvNux-p_qtdq8RNvkpzqdqNcTNFXc4hWC2g0VXwN2JKRYaDaAeGz62t5u1J5ojmXsBRzK9V2FL2pg9uQpHm4VUKYMQJOQrTxXz_hsabvSHNqTpudFdn4rbe_qziVEpsRQf9REVES_5U0KmkTlEDco6B7fKbK6i-M8rcC0n0MAK7c5TFyIQPow&amp;amp;lib=M-zdWbhavtdZ1B_W2dnFDM0qoVt4lWzJ-"&gt;here&lt;/A&gt;.
&lt;/BODY&gt;
&lt;/HTML&gt;
</t>
  </si>
  <si>
    <t>SG4qROueRkSZrzqKiziZVg</t>
  </si>
  <si>
    <t>18179</t>
  </si>
  <si>
    <t>VILA PISCINAS</t>
  </si>
  <si>
    <t>8F00250208090008</t>
  </si>
  <si>
    <t xml:space="preserve">&lt;HTML&gt;
&lt;HEAD&gt;
&lt;TITLE&gt;Moved Temporarily&lt;/TITLE&gt;
&lt;/HEAD&gt;
&lt;BODY BGCOLOR="#FFFFFF" TEXT="#000000"&gt;
&lt;!-- GSE Default Error --&gt;
&lt;H1&gt;Moved Temporarily&lt;/H1&gt;
The document has moved &lt;A HREF="https://script.googleusercontent.com/macros/echo?user_content_key=AehSKLgeOht2s--ZmqcaBf6iZbd_hzaegMAYOc2_RBM-If1m1fP0JNvH-Sg7MvcHae_sXM9tpD5nfSvOGgMXx5aNRBbZ1SLFT61nZjzF3_D2dsRYpuOA_Q1n6X8mLqZDkoaWR7ATCQiy-NBw2tWKxTznZhyVW4xUDTn8b4YO7bPbT0p0P253hzgckp3pyuwrnQ7wIsH6RXQfWks1HfslTDPY6ExbKqfXmx0fdW7-tXDKlfKxelzR-BRXBh749Sw99wpiqEyOygpDgqt9nuRK-DPX0cVUGx_slKklISa32qaavsbLmE-2Sf-MvpPYQANCgw&amp;amp;lib=M-zdWbhavtdZ1B_W2dnFDM0qoVt4lWzJ-"&gt;here&lt;/A&gt;.
&lt;/BODY&gt;
&lt;/HTML&gt;
</t>
  </si>
  <si>
    <t>MAqfUYuDRkyvzHEy-WdVrg</t>
  </si>
  <si>
    <t>18181</t>
  </si>
  <si>
    <t>MANCILHA ENGENHARIA E PROJETOS LTDA</t>
  </si>
  <si>
    <t>8F00250329040018</t>
  </si>
  <si>
    <t>EXPRESSO SAO MIGUEL S/A / (051) 3586-2013Informação Adicional: 3 X CARTÃO DE CREDITO . DOCS WHATSSAP ADM.  / Obs.Interna: DIFAL R$607,00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</si>
  <si>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BSOJ5cFMM624KBe4hg3eY3MBLWSbgawRtUKxHTZijMa53os-eBr6WAuo1bBJ7elwVlPMORkGBBNP1ND39_eaSCLFesOlr407-h_KQI5o6XJfUnPkA3ckP045SLmXQCK5JtzzNgxdxaB3p5aw28SInJY8uw6OgJET-cDdLu5_pmTv97tkY6k7V8jN3-OyTNGE94xG8b3o8LZE0PIzQrSGcaDc9GmY0ZoFczTzoDKNzIOUBdNGFMke19s8aud1GPFZ7WINMB8NBtwnllEY-dZiZ4WH5YSSpss-HWvv15J2FLjqedxaSF3Hm-k-aCQ&amp;amp;lib=M-zdWbhavtdZ1B_W2dnFDM0qoVt4lWzJ-"&gt;here&lt;/A&gt;.
&lt;/BODY&gt;
&lt;/HTML&gt;
</t>
  </si>
  <si>
    <t>kGRsErrCRPSEAM5PWHMlJg</t>
  </si>
  <si>
    <t>18182</t>
  </si>
  <si>
    <t>8F00241225070010</t>
  </si>
  <si>
    <t>FITLOG TRANSPORTES E LOGISTICA LTDA / (048) 996277956Informação Adicional: APLICAR DESCONTO ADICIONAL DE 3% CONFORME PROMOÇÃO
CLIENTE RETIRA NA FITLOG NA FILIAL DE SÃO JOSÉ DOS CAMPOS</t>
  </si>
  <si>
    <t xml:space="preserve">&lt;HTML&gt;
&lt;HEAD&gt;
&lt;TITLE&gt;Moved Temporarily&lt;/TITLE&gt;
&lt;/HEAD&gt;
&lt;BODY BGCOLOR="#FFFFFF" TEXT="#000000"&gt;
&lt;!-- GSE Default Error --&gt;
&lt;H1&gt;Moved Temporarily&lt;/H1&gt;
The document has moved &lt;A HREF="https://script.googleusercontent.com/macros/echo?user_content_key=AehSKLjIaYvvvOTI9xWaqwTSLb4TYY-hRrMAgClMxgv3v_54raGz-aOj7EUTTkI2wICXpzTSowl0tCDhiS3rE1yZJXbZaLfGTFi4w4w7Lz-TrQwXVTuJ06S-n48h1LZc-hJqC1ZT_XRM7u3kXITkCiXZldgM-0twfKbuyAehuhFn7S8Ou5SNLWtTTKeBbGht1T5kkPqs9dYRnoHVUKa_rxJ5NTRAiqDrUx-vc_Ayr908lABg4E9_Bd2Rd5rOarJxDsWQxgf6DDYlHYD7AXCnMh8qZBR9iUusRXrKuNBoCXq0JR20N9TZlDjnAi3bkaetWQ&amp;amp;lib=M-zdWbhavtdZ1B_W2dnFDM0qoVt4lWzJ-"&gt;here&lt;/A&gt;.
&lt;/BODY&gt;
&lt;/HTML&gt;
</t>
  </si>
  <si>
    <t>f0KZzYNxSgGUWeAXXdfqeA</t>
  </si>
  <si>
    <t>18183</t>
  </si>
  <si>
    <t>8F00250208090005</t>
  </si>
  <si>
    <t>EXPRESSO SAO MIGUEL S/A / (051) 3586-2013Informação Adicional: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</si>
  <si>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G-jigLrJcSLIt-WXgbQcHfD7pfNUGp3rb12Ruv2gel4HZdsSZzl-HtPLhMKyNsVoBZ0iWyCf-6C0ULtIe1n3gYe4YWKvJIZYvc3qxo4Iv2Yj9hLVpmusyX8r4IC0fZsAj7tgQzSwvCI7CfP9YhRhFiZ0fiESi1aXFdB-iSnwAxDDrmVc6ij7uxOegvCf02hiEocjaexpYcBmO1ObZokAIiai4MG0bfmUmJqLBDGuAziOoKxwLI24KMaqyvBXeJqIqzfuTOr3miSAi6OTZTDrNNLd42bQ_M3oQZc7ADRF6kgAOdWeD0is9dTWlBQ&amp;amp;lib=M-zdWbhavtdZ1B_W2dnFDM0qoVt4lWzJ-"&gt;here&lt;/A&gt;.
&lt;/BODY&gt;
&lt;/HTML&gt;
</t>
  </si>
  <si>
    <t>WeTPRNkwQwaQDjkvCdQPBg</t>
  </si>
  <si>
    <t>18184</t>
  </si>
  <si>
    <t>8E00250208070010</t>
  </si>
  <si>
    <t xml:space="preserve">&lt;HTML&gt;
&lt;HEAD&gt;
&lt;TITLE&gt;Moved Temporarily&lt;/TITLE&gt;
&lt;/HEAD&gt;
&lt;BODY BGCOLOR="#FFFFFF" TEXT="#000000"&gt;
&lt;!-- GSE Default Error --&gt;
&lt;H1&gt;Moved Temporarily&lt;/H1&gt;
The document has moved &lt;A HREF="https://script.googleusercontent.com/macros/echo?user_content_key=AehSKLj_DIicvFfWxOhyGIW1XjBSyLKiqd4f1VRULrbrGPQTWwLhhNHtZ49ye4Ib1Tbrxt8oE6eSU91s4Sn5w7lD35jDXrSO4wFN8WFALekL0geOtqZlRMpdpJN536uSVCp96jgrtCKqadCU-TFV7X-4f1NrbsS5yQfFV7DiX4Q1LniTUSjKEFVn8swBw_wx70Ku6IbQb7ItU9dOjOdzgUaVGzT7DCW4g2ksIbz_Y4upne1yhmCKgzdjdMDKkcII7QJmgXw3IiNTQeZZzi4LQWeLRVTvs_aWtME-erOgE3e_-CIhc4CPYoYs-v2-wM-sjw&amp;amp;lib=M-zdWbhavtdZ1B_W2dnFDM0qoVt4lWzJ-"&gt;here&lt;/A&gt;.
&lt;/BODY&gt;
&lt;/HTML&gt;
</t>
  </si>
  <si>
    <t>Eb6NnQCSSfWeXSarLhH.iQ</t>
  </si>
  <si>
    <t>18185</t>
  </si>
  <si>
    <t>FITLOG TRANSPORTES E LOGISTICA LTDA / (048) 996277956Informação Adicional: APLICAR DESCONTO À VISTA DE 3% COM BOLETO PARA 07 DIAS
Pedido de Compra Nº 7811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</si>
  <si>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MnOFp0xUL3Sn9BDMSlspw7Zj99VQXyrWpyfAsI9g0_Wk8vvd7ghv0bRAkwGUmzPAMzQaA75hyH8WutnnggcLjHQPQ_kA7EnCHdfVV3qi7Q6rrzM7kpc0BWqoyH_uJqnCMKG2qNvv7uyAq-NwswW7GmDxr7YRyBGf-yepmwJSbbPwc5sSYYApuDxOikkXeYbQGGFm9-km7PAWjdqcWwfuWm1Wo5iN0ljo5gI40_jiAwgZfamkr8ro9Rr2ra_d0H6Ceyy3AZDf9Rvfh97gSGnN7K7CZWJcZK3fLnZTTYqZQc4cDnsbyQkaLMg1Mg&amp;amp;lib=M-zdWbhavtdZ1B_W2dnFDM0qoVt4lWzJ-"&gt;here&lt;/A&gt;.
&lt;/BODY&gt;
&lt;/HTML&gt;
</t>
  </si>
  <si>
    <t>cwzy2fjtSWWhsKsWKOXY7g</t>
  </si>
  <si>
    <t>18186</t>
  </si>
  <si>
    <t>8F00250110270032</t>
  </si>
  <si>
    <t>IYY6359 - EXPRESSO SÃO MIGUEL - JOSIEL - 00982240937 - FORD / CARGO / BRANCA / 2019</t>
  </si>
  <si>
    <t>EXPRESSO SAO MIGUEL S/A / (051) 3586-2013Informação Adicional:  FTi-45 R$ 8.072,54  Com 30% de entrada ( CLIENTE RETIRA NA TRASPORTADORA ) / Obs.Interna:  FTi-45 R$ 8.072,54  Com 30% de entrada ( CLIENTE RETIRA NA TRASPORTADORA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</si>
  <si>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2bHJKFLEO0ATH8gafyxxY2NwZaM26_OhC3Jmn1w3t_gSxmW9oz7ZmHLFWzQ3eyynH43_DY8hupnyv90Bj7Zep4Mn6S-61hF0oxWwYkuutRyIZJCOL5uMjh4px40dja49e8VfTtyvDKLypQ--xGCB33pSJK_n6fGec4hQFVtfzg3ilnTBakjooiMNpfki796sqmk5dP4EcMHcKK31CaYHc_3MfIMTLRXXzTv0QtptCmtXfds0NZxmAIByhpjzAYSJdlKeaefDL4lAwqLHskF5WdnOkTMm_sbdZkKgBrCPX0AhyNOF5hp9cCNbH6Q&amp;amp;lib=M-zdWbhavtdZ1B_W2dnFDM0qoVt4lWzJ-"&gt;here&lt;/A&gt;.
&lt;/BODY&gt;
&lt;/HTML&gt;
</t>
  </si>
  <si>
    <t>XzYwx9UgSKya5Aj4VgMFGQ</t>
  </si>
  <si>
    <t>18187</t>
  </si>
  <si>
    <t>ONZE ENERGIA</t>
  </si>
  <si>
    <t>8F00250329040014</t>
  </si>
  <si>
    <t xml:space="preserve">&lt;HTML&gt;
&lt;HEAD&gt;
&lt;TITLE&gt;Moved Temporarily&lt;/TITLE&gt;
&lt;/HEAD&gt;
&lt;BODY BGCOLOR="#FFFFFF" TEXT="#000000"&gt;
&lt;!-- GSE Default Error --&gt;
&lt;H1&gt;Moved Temporarily&lt;/H1&gt;
The document has moved &lt;A HREF="https://script.googleusercontent.com/macros/echo?user_content_key=AehSKLh1N-jffmf9VvRyYwCEgA0J4E5jtTci4Jz_fm7v6Wp__LAP-XZXF43JvwH9RAuwZJx11fPTLojXO__pXAiC8lHaiv4aZaBhdOpOY8B-jTWG1LK_Of3MdQ9FN5KCSFaEmEXlxZAgRZVMwIpXk78W-T4_XjTTzuMO0YmMRGZXg-NsCkHJM3ced-Msy6n62wcKfVUVt3tBmC-katWVKP-n-8NU37gOZN9zxk_hHfd25dkCHP148UNjlIBFtP82vYtT42fm3jquv2tWCvEx74KE9J7GGzg2OvtGwgvFn-yrEFEf0wC-ybNKqmowAM9Czw&amp;amp;lib=M-zdWbhavtdZ1B_W2dnFDM0qoVt4lWzJ-"&gt;here&lt;/A&gt;.
&lt;/BODY&gt;
&lt;/HTML&gt;
</t>
  </si>
  <si>
    <t>MIaW2AhjSY-UJyKBokmLfg</t>
  </si>
  <si>
    <t>18189</t>
  </si>
  <si>
    <t>SADIR BRANDALISE</t>
  </si>
  <si>
    <t>8F00250208090019</t>
  </si>
  <si>
    <t>CLIENTE RETIRA / (0) Informação Adicional: ADICIONAR 3 UNIÕES BRANCAS, 2 NA VENDA E 1 COMO CORTESIA VISTO QUE, NO ÚLTIMO PEDIDO, O CLIENTE RECEBEU UMA COM DEFEITO / Obs.Interna: ADICIONAR 3 UNIÕES BRANCAS, 2 NA VENDA E 1 COMO CORTESIA VISTO QUE, NO ÚLTIMO PEDIDO, O CLIENTE RECEBEU UMA COM DEFEITO- venda indicação da HIDROESTE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</si>
  <si>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hs6StPEQs4UEP5O5WxHlSDhltXGNchB2QnY0jyCfilHjhUg53A7w3PxFyRoG9T7YhjcWYTYbDtxJB78GCMfVPRHIKHsMQ9L6dYNeJzyHLFcK-qwQ1ewXqSCYm7-6oAVSPz24uc5p4_oCCWYNpZ2PZpiN3wGjikpzoUkyNlEXoRxTLWl8Oc2xiptomnJ8t1Dis_Mv3LCCy6WrmoTCcs8DmCJ78rdLzvOoknOu0PXJBQesWQIuYS_7l_ynFr49f7y_kmqUsjS1iklfPeq0lhX46u2OoqrQ2GTw3JwRot4MR5DDhx5uyCJfHcDgqIA&amp;amp;lib=M-zdWbhavtdZ1B_W2dnFDM0qoVt4lWzJ-"&gt;here&lt;/A&gt;.
&lt;/BODY&gt;
&lt;/HTML&gt;
</t>
  </si>
  <si>
    <t>Aroc1tjjT0yVlTZyRSBw5Q</t>
  </si>
  <si>
    <t>18190</t>
  </si>
  <si>
    <t>8F00250411530006</t>
  </si>
  <si>
    <t>CLIENTE RETIRA / (0) Informação Adicional: ABATER DO VALOR DO PACOTE DO CLIENTE
Nº DO PEDIDO: 21900 / Obs.Interna: ABATER DO VALOR DO PACOTE DO CLIENTE
Nº DO PEDIDO: 21900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</si>
  <si>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0Z-1903xw4sxSeNr9MkiBssJRhIz6xwJw1Lt8muanEbhdnCI_gDAHW-Gxc69Nk9SMxGgJwg-EkZOLwNcOQQbfeNHf0J1JzfKLFbQWwp7b0v1ZKeflGYuRpmdjL_krI4gi9iGP-5aJKx7gXhfPj-0Dr0dW3avquYmECwieOmmrOHGQlZI0Tr2XnnvaaSwD968QmDv92pcPF4feYmPIznxe2s_CoYDM5n12CP_z8VXdKNHzD7uNGeiGYc0Dmu6Rp6wN9E2UgumfysGopN0kWcF65lFfAYrB8CEFmQ_k5DKSjdeFr7H_Oweg9D7dyw&amp;amp;lib=M-zdWbhavtdZ1B_W2dnFDM0qoVt4lWzJ-"&gt;here&lt;/A&gt;.
&lt;/BODY&gt;
&lt;/HTML&gt;
</t>
  </si>
  <si>
    <t>q2.a47NqQ1Oac.9z6YBElw</t>
  </si>
  <si>
    <t>18191</t>
  </si>
  <si>
    <t>8F00250411520020</t>
  </si>
  <si>
    <t>EXPRESSO SAO MIGUEL S/A / (049) 3361-6627Informação Adicional: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</si>
  <si>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2QQ_N2sEvQ8IV5SuGWfdf9p14sqfrkCrGYEJOGlyZ6_HcoVKE2R_GAFMPeRYgWYgnHMWEgD8qEi4pgudla9AdtVEYE4Ah8pgFrVbnDXUqvWahSBAhM1_kIjUDEgNN7GQKcQBEvLDwV3lU6Xm1VwDHw0ZGMv7AhBF7Hwee-u_4Uzvbxf0ZheProIg83rDlfVL1jWQdd9pvkW5ybdvwX_rG3BdofMRhP6Gl8VoqGdnPKAXivUFHhuTFLGbY_Fy6vG4f4D4Sof3wXTOlFFzebhl72uZgKOvWxwpPwvDB5KcELSbMP48dw_y-0ccfSg&amp;amp;lib=M-zdWbhavtdZ1B_W2dnFDM0qoVt4lWzJ-"&gt;here&lt;/A&gt;.
&lt;/BODY&gt;
&lt;/HTML&gt;
</t>
  </si>
  <si>
    <t>MIXyixLfSHK2FQ0x9C64qw</t>
  </si>
  <si>
    <t>18192</t>
  </si>
  <si>
    <t>J &amp; P LOJA DAS PISCINAS LTDA</t>
  </si>
  <si>
    <t>8E00250208070022</t>
  </si>
  <si>
    <t>EXPRESSO SAO MIGUEL S/A / (051) 3586-2013Informação Adicional: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</si>
  <si>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DW_cNXJTlFMo4GnD49tzI9uxvdID4hPtEq4ALSOL4bzfdg_yx3XWP9jdGu_WAXhcrfKGYOdhhq7TQv4WFvFmoENOMbAFQyagZFTFic8WyB4SDtz7IfKEnGSRFsISPbyhYWFfBYkJh1iyvFGbtPMSLYYf5C9M0t6zzuCegT-8J2nlbReCY02YiRftQDdr_nM2u_3XtIRBO6TTG3mLiuT58mtcSKVRrEmaymdui46H3lumr_05ftdmkx3ud33RCTisFmm7hHUs_Oz2cIMblsrIAS1YaqBjrYa6_tq6ru3WhbAtFDGoZi8BkiRkBLg&amp;amp;lib=M-zdWbhavtdZ1B_W2dnFDM0qoVt4lWzJ-"&gt;here&lt;/A&gt;.
&lt;/BODY&gt;
&lt;/HTML&gt;
</t>
  </si>
  <si>
    <t>snDe2VA3STW0CXN3oPIleQ</t>
  </si>
  <si>
    <t>18193</t>
  </si>
  <si>
    <t>ACQUADEL SPA E BANHEIRAS</t>
  </si>
  <si>
    <t>8F00250208090012</t>
  </si>
  <si>
    <t>SXH5B91 - RETIRA - WILLIAM MACHADO ACQUADEL - 00000000000 - FIAT / TITANO / PRETO / 2023</t>
  </si>
  <si>
    <t>EXPRESSO SAO MIGUEL S/A / (051) 3586-2013Informação Adicional: MAIS 10%.  ( O cliente fará a retirada na fábrica em Santa Catarina na segunda-feira, dia 25/08 ) / Obs.Interna: MAIS 10%.  ( O cliente fará a retirada na fábrica em Santa Catarina na segunda-feira, dia 25/08 )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</si>
  <si>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o_tDHfaXTA1vp-NkorlrJTx7l7wyQZDkb56zZE1JqsmJfSaHOXmeLmHgH0CDi4dQn61sJH1f2LoFKUqERWleT9tZ4xMWV9UkTPjKe6rBiJM8TEDG4T8l4WUhy-zXUcz29KFNpoOj6kbwr-Xtxj2c6uECunbt-0yT3nucWbA0IZNmpGUlpE_0JdcoMOxNoNYjF6P8cMB-E4PFGBPo5Q_-eS2bJDAbJW0d_QI_QiRXwZUw7kZ3AnDThXebsVtpWe8YxhyNvJ1AiCef_DGQMQl4i-B8EZBIJ44bvtpj99TtxFxNO25hWJsK6tAOMtA&amp;amp;lib=M-zdWbhavtdZ1B_W2dnFDM0qoVt4lWzJ-"&gt;here&lt;/A&gt;.
&lt;/BODY&gt;
&lt;/HTML&gt;
</t>
  </si>
  <si>
    <t>JwyxrT5eRN2XjmJWK99GtA</t>
  </si>
  <si>
    <t>18194</t>
  </si>
  <si>
    <t>8F00250411530009</t>
  </si>
  <si>
    <t>FITLOG TRANSPORTES E LOGISTICA LTDA / (048) 996277956Informação Adicional: TRANSPORTADORA:PRONTLOG TRANSPORTES- CNPJ: 44.781.745/0001-00 -Rua Soldado Américo Rodrigues ,131-Galpao B - Parque Novo Mundo- SP  (11) 5283 0009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</si>
  <si>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Wuu-jCduGc0CMBrdC5Ps9bfIVKfxxx_yzZ8n-CqI4eQvan6ENzOLJ7ttG7BOVFux1lR1BCRKQePAFn8rpaJCpHgyUjDWtC-vsxfkr92wWTCYLzoJCbofqIX3jcaQVEPyncPpC27yRme9KP3H5o9slzzK0KnWFAULbzZUhDAohz1TCptU-iL5ygWWHu0HfTdsi-vsXgTMixGmA1YfKl3YBv2tyDzoWUyhq83jnM1LkNlcd99pGedrGoHAF9ClmHdsUKMCBJwOXDk4pWapVAxS1WaId_PcwKbXvK13Zs9fykj8_kK88HGwnAkWpnA&amp;amp;lib=M-zdWbhavtdZ1B_W2dnFDM0qoVt4lWzJ-"&gt;here&lt;/A&gt;.
&lt;/BODY&gt;
&lt;/HTML&gt;
</t>
  </si>
  <si>
    <t>HszLPKTASg6W5l5YrO3tbw</t>
  </si>
  <si>
    <t>18195</t>
  </si>
  <si>
    <t>8F00250706320013</t>
  </si>
  <si>
    <t>EXPRESSO SAO MIGUEL S/A / (051) 3586-2013Informação Adicional:  FTi 25 R$ 5.222,29 com 30% de entrada ( CLIENTE RETIRA NA TRASPORTADORA )
ENTREGA FUTURA DIA 14/09 SEM ESTOQUE  / Obs.Interna:  FTi 25 R$ 5.222,29 com 30% de entrada ( CLIENTE RETIRA NA TRASPORTADORA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</si>
  <si>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qxh7kZMOBQ9-A-vdrVDLM4ZIrPgGeINCWBXfhLWjCQt7qUoMc7M97aIhdzQ2MNcvuWw_raUOt5VM_jI-H7ybn0XIJKkmmrG1WgydFrOr9328P8ScmcW9-y7cA70yj_WO1MYlXWvGTyzzFdvZprnGZTrCorl2GdPJTzSG2wSie9ECXD3Qr_SJ3QOntX6lRpgFjdu1JRdE9P6Ljq2zUV8L5NGD81ZRIzaWjxIX5e4yy6KUQj92TshOg-OmQjvYfkz4DrJDhxav-kmMvOcGJlFmNpoAsJy-LoezmXyXMMAyt9_V2kq0eMaZjHnPGhw&amp;amp;lib=M-zdWbhavtdZ1B_W2dnFDM0qoVt4lWzJ-"&gt;here&lt;/A&gt;.
&lt;/BODY&gt;
&lt;/HTML&gt;
</t>
  </si>
  <si>
    <t>0VXLvEiZQ2GiIFL2PDdNIA</t>
  </si>
  <si>
    <t>18196</t>
  </si>
  <si>
    <t>8F00250706320002</t>
  </si>
  <si>
    <t>FITLOG TRANSPORTES E LOGISTICA LTDA / (048) 996277956Informação Adicional: TRANSPORTADORA:PRONTLOG TRANSPORTES- CNPJ: 44.781.745/0001-00 -Rua Soldado Américo Rodrigues ,131-Galpao B - Parque Novo Mundo- SP  (11) 5283 0009   / Obs.Interna: ENTREGA FUTURA DIA 14/09/2025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</si>
  <si>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DGdxaaFoHEnrZFPgHjMwGSiX7FgtUIj2YCk63Ia1y8bKBMp_I1hSgmnsaYY1SyntveCrpdy2kcLuz0_YyL80745o-8NJkQvP_CoOvaVr3BFCu3ZwiTutFAIRhDAOghxb-B1zkH6YUtxuzQnvLWgisA4iKWA5WveYdITQU9g0mqv5ZeQHAZ309TdNmPNRdLh0LVuU3q0I4H7F45jGFKMRHftbPwnhs8gCa9yXzNmJXow4LCR2R2vN_5STE0XURJz_zHlhY9OSnJcD14LHbDZzljWT7xkh_VU33v0FxxbNAX5ApzFmeZq1z1nePQQ&amp;amp;lib=M-zdWbhavtdZ1B_W2dnFDM0qoVt4lWzJ-"&gt;here&lt;/A&gt;.
&lt;/BODY&gt;
&lt;/HTML&gt;
</t>
  </si>
  <si>
    <t>piRG4RJoRgqN4xTh-CRPUA</t>
  </si>
  <si>
    <t>18197-A</t>
  </si>
  <si>
    <t>8E00241118030055</t>
  </si>
  <si>
    <t>RETIRADA NA FABRICA / (0) Informação Adicional: cliente retira na fabrica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</si>
  <si>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MPGkBJFz9WNqyn6vgitBxtRYmzaLqqNqMOkDgrgVH0lK7VP-vfxIQGhXzucSLDj953qY-JRMLrJ7EO7Wu5IgGxU3ayW_d_mSWsnOxak6KGWGfT2j7kKWhUry8dr3-ZNWrD9GJxwfmTXzmPYp76vBbE2e6jpMiH3xtj_mtDetPmqLENEg8O-qgF4xKZ3aC9_CJxys22bEgNYnzsXQ4O-JCepNmqJHW5YSVbqV10-SWfh82x_WGTXnMlOAG59HaHBZ4groPIcGN49-j3eSLpzLNxmChsJwBtpLnCDrc2YvtmxfKRgX0Z_kGUp_p_g&amp;amp;lib=M-zdWbhavtdZ1B_W2dnFDM0qoVt4lWzJ-"&gt;here&lt;/A&gt;.
&lt;/BODY&gt;
&lt;/HTML&gt;
</t>
  </si>
  <si>
    <t>W6flSB.xSl-Pq1Ek8cMGOg</t>
  </si>
  <si>
    <t>18197-B</t>
  </si>
  <si>
    <t>8E00241224040004</t>
  </si>
  <si>
    <t xml:space="preserve">&lt;HTML&gt;
&lt;HEAD&gt;
&lt;TITLE&gt;Moved Temporarily&lt;/TITLE&gt;
&lt;/HEAD&gt;
&lt;BODY BGCOLOR="#FFFFFF" TEXT="#000000"&gt;
&lt;!-- GSE Default Error --&gt;
&lt;H1&gt;Moved Temporarily&lt;/H1&gt;
The document has moved &lt;A HREF="https://script.googleusercontent.com/macros/echo?user_content_key=AehSKLjL5VCS31AQNVn4VnXLB4LJy1SP8G51lXhYwono2TvGqex6BhcSYnTJYpnvu6kDBUqM7XH47egDZTfdQOYMik7CM0SpBF7F4TRi6BCZ51roiYz1FJI5f2SmJgQ43muZZPXNL-iqjWphNBJ3cB_e-T7-L_pT4jQWk-nQGZZQw2qqNHWtpjochUtyYBaNjodzledmijoLPUg7EkC2g1UO9UbVXI9rkbczvUWr2XEUgvZPyeYY0kjcFzeenM-lQW4WASub48U7MutcAH1AJGQS7KGvW2YSikW6NVVKH8Z6X53-8w4uk3ntLfeOjMBveg&amp;amp;lib=M-zdWbhavtdZ1B_W2dnFDM0qoVt4lWzJ-"&gt;here&lt;/A&gt;.
&lt;/BODY&gt;
&lt;/HTML&gt;
</t>
  </si>
  <si>
    <t>FFBg1y7bdVg6Aepdno9K</t>
  </si>
  <si>
    <t>18197-C</t>
  </si>
  <si>
    <t>8E00241118030056</t>
  </si>
  <si>
    <t xml:space="preserve">&lt;HTML&gt;
&lt;HEAD&gt;
&lt;TITLE&gt;Moved Temporarily&lt;/TITLE&gt;
&lt;/HEAD&gt;
&lt;BODY BGCOLOR="#FFFFFF" TEXT="#000000"&gt;
&lt;!-- GSE Default Error --&gt;
&lt;H1&gt;Moved Temporarily&lt;/H1&gt;
The document has moved &lt;A HREF="https://script.googleusercontent.com/macros/echo?user_content_key=AehSKLjiS-UI5S4qTVbcr-0qJKglaPoRdtjou1uZPfaB7Y8-iD9044EZL4gZtjWV_UK2WommGWKUEP-6F9TWzPwmtJJsgvnseLBt1EZrlfZyAC8DqvwU06b5nSj4F3O_RB3fstwvrbbqm984fR_C33qb9dc1XnY8HlZ4jHSgUuOa2OgjCqdi7BYMQsjhALy3zzPpIAW3dVoM9Cz5o1hk62FZDHA9Yrjd92z4cnUTiPVStrfGEBJ0gcXh6m0631bQFxBFt3bPdbohsPvJioE1NCL4vrZLmnNdWH7_kT-s5Hv1pvMpdmebenOVkxXRy9e3EQ&amp;amp;lib=M-zdWbhavtdZ1B_W2dnFDM0qoVt4lWzJ-"&gt;here&lt;/A&gt;.
&lt;/BODY&gt;
&lt;/HTML&gt;
</t>
  </si>
  <si>
    <t>BQqYJtVL3dijjKC5irTD</t>
  </si>
  <si>
    <t>18197-D</t>
  </si>
  <si>
    <t>8F00250110300018</t>
  </si>
  <si>
    <t xml:space="preserve">&lt;HTML&gt;
&lt;HEAD&gt;
&lt;TITLE&gt;Moved Temporarily&lt;/TITLE&gt;
&lt;/HEAD&gt;
&lt;BODY BGCOLOR="#FFFFFF" TEXT="#000000"&gt;
&lt;!-- GSE Default Error --&gt;
&lt;H1&gt;Moved Temporarily&lt;/H1&gt;
The document has moved &lt;A HREF="https://script.googleusercontent.com/macros/echo?user_content_key=AehSKLjbpYQfGcAA8lSoID-iy3fSQ7ki7eLey3S092ChyH3pEdQ-_40WnjfyDS9kL49mZOdSWz_vTnWci2T_qURRVx74NPwVTCVhX0w4IplkpKcpjdEFNZjUGoiQIElfOzUMounIfkMn3Zqw9Qxx61oixBBTA32qVC9chV5kap2FF6q4S23u3P9rj1hGX27mspvTnnEorfqqIMKnQxixLASXx3BQyBk0zZbxohCArCVEGp5xBkOWiTK_YAD2ABJWSSrmrsyaeFe_COqEZxOXyNkqD9Br_ny8htqER95CRctfvm7oAZKEzYHH9acqnwOoeg&amp;amp;lib=M-zdWbhavtdZ1B_W2dnFDM0qoVt4lWzJ-"&gt;here&lt;/A&gt;.
&lt;/BODY&gt;
&lt;/HTML&gt;
</t>
  </si>
  <si>
    <t>CeXvxP15w4TNEMlKLarE</t>
  </si>
  <si>
    <t>18198-A</t>
  </si>
  <si>
    <t>8F00250208090001</t>
  </si>
  <si>
    <t>CLIENTE RETIRA / (0) Informação Adicional: ALTERAR PREÇO DAS MÁQUINAS:</t>
  </si>
  <si>
    <t xml:space="preserve">&lt;HTML&gt;
&lt;HEAD&gt;
&lt;TITLE&gt;Moved Temporarily&lt;/TITLE&gt;
&lt;/HEAD&gt;
&lt;BODY BGCOLOR="#FFFFFF" TEXT="#000000"&gt;
&lt;!-- GSE Default Error --&gt;
&lt;H1&gt;Moved Temporarily&lt;/H1&gt;
The document has moved &lt;A HREF="https://script.googleusercontent.com/macros/echo?user_content_key=AehSKLiNCkgwVtDKOAknxC6TBIijv-NFyEfGh8sOxnDVqPENHrN-ipDcZc6yb8HYKUpaY_5jF89_frmMaqAJ5k4zrFgmSW2zE6Ag6Wy4QeZFCG4V9BaC-5RWoOlUMQE9uJyDmG85p2VwTmlcFdhmxX4rXNphtecbuCqAkW6ke3c2wV0XrFC3AeazZjTVnZWF1Vou6UHMoDhUH629H7kX-eOM_8o5O7ThIFp8jU1zZshOBArAU-znHPI8MvNSIubjEuaOhyYdcOXEm26UVWlakQ3umBoQyx9hKhP5U_A443BhFlOBZz9Sy4w6eYwInM1wZg&amp;amp;lib=M-zdWbhavtdZ1B_W2dnFDM0qoVt4lWzJ-"&gt;here&lt;/A&gt;.
&lt;/BODY&gt;
&lt;/HTML&gt;
</t>
  </si>
  <si>
    <t>b14MgArcQhuULBYlzxgNbw</t>
  </si>
  <si>
    <t>18198-B</t>
  </si>
  <si>
    <t>8F00250110270053</t>
  </si>
  <si>
    <t xml:space="preserve">&lt;HTML&gt;
&lt;HEAD&gt;
&lt;TITLE&gt;Moved Temporarily&lt;/TITLE&gt;
&lt;/HEAD&gt;
&lt;BODY BGCOLOR="#FFFFFF" TEXT="#000000"&gt;
&lt;!-- GSE Default Error --&gt;
&lt;H1&gt;Moved Temporarily&lt;/H1&gt;
The document has moved &lt;A HREF="https://script.googleusercontent.com/macros/echo?user_content_key=AehSKLiMbVIrRdkyXaBTNJ-9VckQvMY0fFYhcnGYjgVgQtnDPMm9BHYhQR9te-Q76FcwwmPIeegCQU_yMHKNxXCYMlk7zzzhg2c_caArPyPVaapQIm5Kd8ysfAsfw88qfTeJIroOWSjNNWdCST9_Pync6gkIzDlTfR8YdtMeJVEGJ7oULhftZR0cKQR_A-JjSCMDmf04e5cXHrOPNgpUM0FSBcNHhItf8um9T9L53C89qIIbP8ScqXSj0TQfzBgA8EGo4uhtA658UcMg14FQaAl0wDSfMxBF747eBQ9krk7dn6GJSS0du4SpeHtnbfdDLA&amp;amp;lib=M-zdWbhavtdZ1B_W2dnFDM0qoVt4lWzJ-"&gt;here&lt;/A&gt;.
&lt;/BODY&gt;
&lt;/HTML&gt;
</t>
  </si>
  <si>
    <t>9CSBeUwwMEiR45DSwSSX</t>
  </si>
  <si>
    <t>18198-C</t>
  </si>
  <si>
    <t>8E00250208060001</t>
  </si>
  <si>
    <t xml:space="preserve">&lt;HTML&gt;
&lt;HEAD&gt;
&lt;TITLE&gt;Moved Temporarily&lt;/TITLE&gt;
&lt;/HEAD&gt;
&lt;BODY BGCOLOR="#FFFFFF" TEXT="#000000"&gt;
&lt;!-- GSE Default Error --&gt;
&lt;H1&gt;Moved Temporarily&lt;/H1&gt;
The document has moved &lt;A HREF="https://script.googleusercontent.com/macros/echo?user_content_key=AehSKLgkM9gyCeZjDofYh42Q_hPANUU4baw_MRXdUIXUJChvlorCkkUIKxBf3iWIjeAg_y3BQsbUVAAvuNZ0ut4AuqS1clEUafGt9jMhwFgOGXXlDhtE-EPB5xZl_inuRow9GWW9Ib3q6H2BZ1-1LvMt7laz9OfR2E4gVvnwjVDLEGZIpq-ySJaa5vVp4reLI1Y1QBkqrGz_4HCkpYp78olwPvrrsg3fj2ZBof5jcoq0dd6FoWMHPlpTi5oQPU1nswjICYdGFdAmLdY61ZHmWLKOiFFveJba0bqQfw8OvPQkuylhxYQMw9nns8WAfqoLkA&amp;amp;lib=M-zdWbhavtdZ1B_W2dnFDM0qoVt4lWzJ-"&gt;here&lt;/A&gt;.
&lt;/BODY&gt;
&lt;/HTML&gt;
</t>
  </si>
  <si>
    <t>RageUBidoCzp7aTIZ3yY</t>
  </si>
  <si>
    <t>18198-D</t>
  </si>
  <si>
    <t>8E00241224040015</t>
  </si>
  <si>
    <t xml:space="preserve">&lt;HTML&gt;
&lt;HEAD&gt;
&lt;TITLE&gt;Moved Temporarily&lt;/TITLE&gt;
&lt;/HEAD&gt;
&lt;BODY BGCOLOR="#FFFFFF" TEXT="#000000"&gt;
&lt;!-- GSE Default Error --&gt;
&lt;H1&gt;Moved Temporarily&lt;/H1&gt;
The document has moved &lt;A HREF="https://script.googleusercontent.com/macros/echo?user_content_key=AehSKLgc8WlA_N6TflQhX7OBJ6fRei2TgASL-2FnXfZKI19gaZ9Fhr0EKFVSRs1a-KhBHr1N9zcZ1Wd6qTUd65ikk5HwFm53s_Plwf-eUleeBL7OjHWMupzgJP4CKL7A7wIt4BG0C8nmPHyL4OSh-LFPL2zM7taXlKs9qMZ7Thrfa2cKqIUhDCyEvGq6q72eKpNVii8GxZO75h1SnU1YO_iKKZajD2SujxetYwDwgheDnK-IfSDnVM5pM_FbDSC8AfEmce-UNgGaGCwvMYZGTmbQ9FovF0RBbYv2t5aV0je562wpgszZTEtrbCZLQdcZbw&amp;amp;lib=M-zdWbhavtdZ1B_W2dnFDM0qoVt4lWzJ-"&gt;here&lt;/A&gt;.
&lt;/BODY&gt;
&lt;/HTML&gt;
</t>
  </si>
  <si>
    <t>nLSCI95QAz19M7p145eu</t>
  </si>
  <si>
    <t>18198-E</t>
  </si>
  <si>
    <t>8E00241224040012</t>
  </si>
  <si>
    <t xml:space="preserve">&lt;HTML&gt;
&lt;HEAD&gt;
&lt;TITLE&gt;Moved Temporarily&lt;/TITLE&gt;
&lt;/HEAD&gt;
&lt;BODY BGCOLOR="#FFFFFF" TEXT="#000000"&gt;
&lt;!-- GSE Default Error --&gt;
&lt;H1&gt;Moved Temporarily&lt;/H1&gt;
The document has moved &lt;A HREF="https://script.googleusercontent.com/macros/echo?user_content_key=AehSKLipSCPjaP2UpjwO8hPr7nmIfsNTejkTepKDQvHxztNh9YRgsJce_WkzMj_DDSJdZ0nQzj3gy1lZKnw5a72ZGiH5NS0PACwhGnoyWn-lJYbJ-onLlmFh74hkGLcabRbpiUl_FYeyol63Q1UR2l3uedTOq_0gvwqCvormV_0JDxvQdVS92KLV8PR-zCddZrOQR3mUbT5KitHhdE4hweUav8iIgk12Mo_f3npud8UNKNhoD3mNjZVjt2dK41Bd_RexlrupTK3PWv0w-3Qm6Xwe3oDQH-TdAzpLfFk_iubqh4MLplpnzLvVE73gMSu5yQ&amp;amp;lib=M-zdWbhavtdZ1B_W2dnFDM0qoVt4lWzJ-"&gt;here&lt;/A&gt;.
&lt;/BODY&gt;
&lt;/HTML&gt;
</t>
  </si>
  <si>
    <t>ADm3JRlUi49Axt8cFc42</t>
  </si>
  <si>
    <t>18199</t>
  </si>
  <si>
    <t>8E00250208070021</t>
  </si>
  <si>
    <t>FITLOG TRANSPORTES E LOGISTICA LTDA / (048) 996277956Informação Adicional: CLIENTE LUIZ ALBERTO BATISTA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</si>
  <si>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l4srmqNKhu6tDr6tXxZ1FdEQkevleqqJCOy4cVVBjVQYfgfazxmYWlPelnUsAH3RLS7qr4f406-_7WvYu_hzziTnZ6GXbfvM03QR2x-QydrQUIqOCz_QqJK0H-0Wl2EV5NF3bfWbEiU_8fCKJl-Dt6GZZgIOsFYcVXNFSA8ZogCExfY5mh4QsEBTv-0YMGiRsIZA-sztq78mmvBqN5FUHPfWzVFiteTe2AajFq0Q-h2cvwkJB6y0aHvvNJrBUChD-VrPs2_p7YF2u_q3XXTYZn9PPgBAC062ZLerhIpuxx967b5nULQUo8KtlwQ&amp;amp;lib=M-zdWbhavtdZ1B_W2dnFDM0qoVt4lWzJ-"&gt;here&lt;/A&gt;.
&lt;/BODY&gt;
&lt;/HTML&gt;
</t>
  </si>
  <si>
    <t>CSOhRgebQCOtkIA8goNI-g</t>
  </si>
  <si>
    <t>18200</t>
  </si>
  <si>
    <t>8F00250329040016</t>
  </si>
  <si>
    <t xml:space="preserve">&lt;HTML&gt;
&lt;HEAD&gt;
&lt;TITLE&gt;Moved Temporarily&lt;/TITLE&gt;
&lt;/HEAD&gt;
&lt;BODY BGCOLOR="#FFFFFF" TEXT="#000000"&gt;
&lt;!-- GSE Default Error --&gt;
&lt;H1&gt;Moved Temporarily&lt;/H1&gt;
The document has moved &lt;A HREF="https://script.googleusercontent.com/macros/echo?user_content_key=AehSKLj0cojwf3xc8ajhUDvlSp8u7EnmnTGImd1gFJNAco8UMg6g5tbCzKQF_Eme_4x5tHGVlZS09yEjxhvr2T98Awbq6O-v9U7H_RJFgNaNJI0hURNRGoDN48aJUog3wVFVhMNJAVF-9AG0klEFu57TYeVuQ5c60mr0QRlk609iXn7XwSl-bluB39iNZ1cbO1ju4LHP9ahUObs5gprjDZJ6C9ig7-sCvdseXMszu1vYvHN2z7DW_wlQgoaOq9KXsMIPX_9WRTflZAs8PeRtfgfqqLELwzLpdMDsk9jRHE_PNkHlaIrAmmZ6udlsvaP92Q&amp;amp;lib=M-zdWbhavtdZ1B_W2dnFDM0qoVt4lWzJ-"&gt;here&lt;/A&gt;.
&lt;/BODY&gt;
&lt;/HTML&gt;
</t>
  </si>
  <si>
    <t>CZc-hyKJQGOcAXDfQGjtfg</t>
  </si>
  <si>
    <t>18201</t>
  </si>
  <si>
    <t>PISCINAS DO VALE</t>
  </si>
  <si>
    <t>8E00241225030002</t>
  </si>
  <si>
    <t>EDiIoBqvRDGBU3eTRor2MQ</t>
  </si>
  <si>
    <t>18202</t>
  </si>
  <si>
    <t xml:space="preserve">&lt;HTML&gt;
&lt;HEAD&gt;
&lt;TITLE&gt;Moved Temporarily&lt;/TITLE&gt;
&lt;/HEAD&gt;
&lt;BODY BGCOLOR="#FFFFFF" TEXT="#000000"&gt;
&lt;!-- GSE Default Error --&gt;
&lt;H1&gt;Moved Temporarily&lt;/H1&gt;
The document has moved &lt;A HREF="https://script.googleusercontent.com/macros/echo?user_content_key=AehSKLiW1kulP-C87tkLn4KUr_02i5sxv_whGfSM6EV_dPM1HOXBb_4kHndZl03Qzgjcm70JCtDTIHYV57b4fTAYacD06fJnzJWjrbPUttXs4H6jtoYB8htRY-oGZSnnohX7LxvpMWMHjxvtcNvwx-8dGmm_974qKILXtAeKJ2iboFQvefAFx4uSfiOKRExx3lpWh4L2xhrAQo-SMQiwsFU-THDKhhuT6wdmZIqBtW65Li9W-olZLelOQhRLLTC06XudZCNhEo7btUVdUwlXS21Frg9HRbGnEZu0GW3Si0p2ftazI2Md8K3d0UQ7HpOQrg&amp;amp;lib=M-zdWbhavtdZ1B_W2dnFDM0qoVt4lWzJ-"&gt;here&lt;/A&gt;.
&lt;/BODY&gt;
&lt;/HTML&gt;
</t>
  </si>
  <si>
    <t>THoHuA-PQXy7MbtGJDhDRw</t>
  </si>
  <si>
    <t>18203</t>
  </si>
  <si>
    <t>FITLOG TRANSPORTES E LOGISTICA LTDA / (048) 996277956Obs.Interna: OC 517 ( CE 648 DAVID KLABIN) Entregar : Rua PERI 395 JARDIM BOTANICO RJ CEP . Entrega imediata . Quadro deslocado sobrepor. Ref pacote pgto 30 60 90 120 150 180. Ligar para o Joreg antes de entregar 21 9 9512 4022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</si>
  <si>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4CzNUf6bikHdl9B8wVa65q78DCfd_yzwRaA6BbZCoiZOkIrGBoj_uW3S4LWsdAVTT9O9YSNk5XX2LwA6WP9s9CjP3eK5sBbjMadC61PBXKR513T06HY1z2AHKxwq6uQb7oE3zMY54SEYhxaZS3BuUm4luHHfUeZgL_jC0fJU7SKP-vXF3IO3npJIpLpsWGUDQB0OIkuWndYF7oVmIq7LoSO8C1r7lyK2j2TbEKFrwC3EhUzbVFLci0QSd67HR4bDDQQLLdO3r1vymUG0k6dkT_7OOIrOS2szOc3xuLxxrTH-pBKyNr1PokWA44Q&amp;amp;lib=M-zdWbhavtdZ1B_W2dnFDM0qoVt4lWzJ-"&gt;here&lt;/A&gt;.
&lt;/BODY&gt;
&lt;/HTML&gt;
</t>
  </si>
  <si>
    <t>3fM9tBufSmah8aputXeulQ</t>
  </si>
  <si>
    <t>18204</t>
  </si>
  <si>
    <t>FITLOG TRANSPORTES E LOGISTICA LTDA / (048) 996277956Obs.Interna: OC 945 (CE 1303 LEA KLABIN) . Entregar : aAv Niemeyer 550 casa 12 Sao Conrado RJ cep 22450 220 . Ref pacote pgto 30 60 90 120 150 180. Entrega imediata. Valor R$ 16.321,50. Ligar para o Jorge antes de entregar 21 9 9512 4022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</si>
  <si>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YAMs2Z572ss7VvAqnA59e-F_tO93zwKxAcrtH9S33ow18iSNkaSOp2ynKDvQHoAQz-lWCWyftcpO9ZDuAxnhlK-f1fOVv_XrU66rXrErKUtlIG0ZTFlJDoMbRrZNs_lPbyZWJtynlYorNW1vkryvr5mgAtiQyrHelV4HneFtVBFXDNV0peRKzOCsPGOxgvMP1WW5U2snIykN60WLHsyW7SJSwHrw24t8j4_SsRwhFnHpT-RCINN-ky6s3Yv81GEpXWt8EaTAtZQ8uH0DjpdPYw5rj1R0mCZU1-pWk5mMBFUMbXfTCQzvLTHzRw&amp;amp;lib=M-zdWbhavtdZ1B_W2dnFDM0qoVt4lWzJ-"&gt;here&lt;/A&gt;.
&lt;/BODY&gt;
&lt;/HTML&gt;
</t>
  </si>
  <si>
    <t>6MW76o8JQ-qSc5n-OfHKoQ</t>
  </si>
  <si>
    <t>18205</t>
  </si>
  <si>
    <t>8F00250329040017</t>
  </si>
  <si>
    <t>FITLOG TRANSPORTES E LOGISTICA LTDA / (048) 996277956E-mail para nota fiscal: , E-mail de cobrança: , Telefone para contato
O REDESPACHO SERA FOB - TRANSP. GRIFE - CNPJ:25.406.384/0005-00 - END: R IRAQUARA, 24, CEP: 07.161-550</t>
  </si>
  <si>
    <t xml:space="preserve">&lt;HTML&gt;
&lt;HEAD&gt;
&lt;TITLE&gt;Moved Temporarily&lt;/TITLE&gt;
&lt;/HEAD&gt;
&lt;BODY BGCOLOR="#FFFFFF" TEXT="#000000"&gt;
&lt;!-- GSE Default Error --&gt;
&lt;H1&gt;Moved Temporarily&lt;/H1&gt;
The document has moved &lt;A HREF="https://script.googleusercontent.com/macros/echo?user_content_key=AehSKLiG_phgBz15Ri1_M4XBAvsnEL6-60Ju2ZzbmodFcIX8a8k4nvi8873w9uEEYxKmP8-iu0tnoykmpcsCU7gMGkloDjsPgG9HCyc4goGvGLAqTxG75MPKqQhOlXkHTXYPWmjgTHSjG7Kjfh9VTmVeDQxZVxLgVaXRWKJWTPDkt46TgrOq7Oo_ZenS18xE_Fc_N791Bi0Bk8VXNpIqJNtS46Xcg4co_WOQbhY9VGVdYd_o55Q2UpMqEzoA85X-hikpw7_ACceDEAg1-Ngrtn-2U_IjDBcOv9FM0RIJ2CGfn4F688jGmrwVpxFoQ-_TPg&amp;amp;lib=M-zdWbhavtdZ1B_W2dnFDM0qoVt4lWzJ-"&gt;here&lt;/A&gt;.
&lt;/BODY&gt;
&lt;/HTML&gt;
</t>
  </si>
  <si>
    <t>Gu1UddkuTzy13CFDpzJgVA</t>
  </si>
  <si>
    <t>18206</t>
  </si>
  <si>
    <t xml:space="preserve">&lt;HTML&gt;
&lt;HEAD&gt;
&lt;TITLE&gt;Moved Temporarily&lt;/TITLE&gt;
&lt;/HEAD&gt;
&lt;BODY BGCOLOR="#FFFFFF" TEXT="#000000"&gt;
&lt;!-- GSE Default Error --&gt;
&lt;H1&gt;Moved Temporarily&lt;/H1&gt;
The document has moved &lt;A HREF="https://script.googleusercontent.com/macros/echo?user_content_key=AehSKLgKF7eZZUV8Fieh6nuhGv3u81YXPMGcEOChS1iNm10ssF5EmxG9zr269_bGI8unv94-ABFWkOwrT0getmvXzMAdC8ztcylo4i945HUcDBurxJ1cjEWRWTq3WZRw_iytLY6e6w_PJFd0pirGld5ZOomjjS-Wg12Ei4Rep11Itb34nQaKzQIi7ejk2b5zRJ1zNZWcW0zYdbkWL2AxOZi2IeWoWd7OIeYck5rgCKzy0jVs02YqpXM9hFam8_Q_SPQ3XA-efWm_y_WzXWkcFMDVGnDNiz3rGH69nXxDcQw8Byxed5qMPkHicHpDnoYDvA&amp;amp;lib=M-zdWbhavtdZ1B_W2dnFDM0qoVt4lWzJ-"&gt;here&lt;/A&gt;.
&lt;/BODY&gt;
&lt;/HTML&gt;
</t>
  </si>
  <si>
    <t>esHwm9SzROidAdNZOCZoew</t>
  </si>
  <si>
    <t>18207</t>
  </si>
  <si>
    <t>8E00250208070026</t>
  </si>
  <si>
    <t xml:space="preserve">&lt;HTML&gt;
&lt;HEAD&gt;
&lt;TITLE&gt;Moved Temporarily&lt;/TITLE&gt;
&lt;/HEAD&gt;
&lt;BODY BGCOLOR="#FFFFFF" TEXT="#000000"&gt;
&lt;!-- GSE Default Error --&gt;
&lt;H1&gt;Moved Temporarily&lt;/H1&gt;
The document has moved &lt;A HREF="https://script.googleusercontent.com/macros/echo?user_content_key=AehSKLi5yaw5mzNVWgpwtXAIaWqmSJM2mc5lGvmzQj8blj16lUlW4_aSVn39iPSueDQ8yaEPnokjLzYQS7IeHchBQT_0Vfz6ZG26sZ4-RpSPsctMGfZoeOMYyVDs4vhQz8TbLJkdffHoB0PTxxoOBOUdgkcqGVsHLkv8_7si4Tlai7Fd07T27ggraivBn3QIYJ_UexX0b18gAIfypJsVfexSTHjU_lhIWEbR9kYmOvZAqpINRXIxsyErjihGYf2lR6hXbAKNHQ_1w2y4DZ2uYgr6AU1KTDnfwXXbJmDNSz-kZuqR2ZfC-la-zy21sqF0Tg&amp;amp;lib=M-zdWbhavtdZ1B_W2dnFDM0qoVt4lWzJ-"&gt;here&lt;/A&gt;.
&lt;/BODY&gt;
&lt;/HTML&gt;
</t>
  </si>
  <si>
    <t>QsSG9RQ4ReeFXzX7UUNX9g</t>
  </si>
  <si>
    <t>18208-A</t>
  </si>
  <si>
    <t>8F00250329020010</t>
  </si>
  <si>
    <t xml:space="preserve">&lt;HTML&gt;
&lt;HEAD&gt;
&lt;TITLE&gt;Moved Temporarily&lt;/TITLE&gt;
&lt;/HEAD&gt;
&lt;BODY BGCOLOR="#FFFFFF" TEXT="#000000"&gt;
&lt;!-- GSE Default Error --&gt;
&lt;H1&gt;Moved Temporarily&lt;/H1&gt;
The document has moved &lt;A HREF="https://script.googleusercontent.com/macros/echo?user_content_key=AehSKLh2fEyM6K1uQA9uIFbiiAArfO6k4S1EgvBqc981n2fYGcf71thYWoukt4XT2HkkyAgF5g3PI-IgFpTUPhMuK1_hiXorqfW7fmWpnHZj5zC6O2oB8rAePrz6_o2JqwxI34c8p4eZLZNvbLiVTfhFpAS1w-5G5UXvW6Fkg_Q1dwUX4tyTn-IdxQ8BixJja-vDpGdLu6VyyPyQ_dWuzU9gzsy83PRiapVZyTNXX1i15i96zVNGaNB4NPUITaIHZyChK6f4i_sruWssDdzkge6kGlKQfCO7EDsFLPYy9d3WysRsnz9KXSVf17b3ROf6Yw&amp;amp;lib=M-zdWbhavtdZ1B_W2dnFDM0qoVt4lWzJ-"&gt;here&lt;/A&gt;.
&lt;/BODY&gt;
&lt;/HTML&gt;
</t>
  </si>
  <si>
    <t>LHHa7FITSiafxlHw6gEmTg</t>
  </si>
  <si>
    <t>18208-B</t>
  </si>
  <si>
    <t>8F00250329060021</t>
  </si>
  <si>
    <t xml:space="preserve">&lt;HTML&gt;
&lt;HEAD&gt;
&lt;TITLE&gt;Moved Temporarily&lt;/TITLE&gt;
&lt;/HEAD&gt;
&lt;BODY BGCOLOR="#FFFFFF" TEXT="#000000"&gt;
&lt;!-- GSE Default Error --&gt;
&lt;H1&gt;Moved Temporarily&lt;/H1&gt;
The document has moved &lt;A HREF="https://script.googleusercontent.com/macros/echo?user_content_key=AehSKLjU9HY4tRE9znzt2kKHDnhE2Q6pC2k_mDZXqwi-QPJ1sLcT5poAkj4ng9aJdcQK0qIVF2HMdDQfnZNE1J_l1f3t4csvSYxoqXMwr6mQ0fAf4C1ITvXJ31IuX7nZ-b_p9JBJ74itJTp3h2KE6LHOScioBCu1NXamfeWQh4eDI-9cGUWBLz-u0kLLlBrJcITz6_9uAXpUAzeKCEZNc1UAj8EKIg4yjKWw_EyevAXK4AtYSKfAROxJTX5ZHtxoofZFhc-p7hp55KgAS-EldK6J4veAVwsBP5gCdX5Xud9-jS_Pgy5E0BbDjGy6y9WZiQ&amp;amp;lib=M-zdWbhavtdZ1B_W2dnFDM0qoVt4lWzJ-"&gt;here&lt;/A&gt;.
&lt;/BODY&gt;
&lt;/HTML&gt;
</t>
  </si>
  <si>
    <t>IfFiKNnmOXiYOKEMnlz2</t>
  </si>
  <si>
    <t>18209-A</t>
  </si>
  <si>
    <t>8F00250104080001</t>
  </si>
  <si>
    <t>FITLOG TRANSPORTES E LOGISTICA LTDA / (048) 996277956Informação Adicional: FRETE FOB COM REDESPACHO PELA SETE LAGOS TRANSPORTES CNPJ : 03.098.929/0005-17 - End. SP: RUA PEDRO DE TOLEDO, 407 - JARDIM SANTA LIDIA - GUARULHOS - SP-CEP07140-000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</si>
  <si>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15E4xSQQdr2U2706aVmbCLNeQ6YS7PjKAImNH36tOBcyKhjfYawEq1DM9As4PP_Irl-0gOth0vKaXVsUbFel3mwOq4114jcmueZiKo4W1KZJhtT_hyq2NsRoZ7zSnbZYqtHW6KCH0AiLvP2yt4yiQPC-U4HfwkhHhq95gxsjdCV-HhF7U6aAwqEsNsboWCgArE6YVLG0yZ72D3qrjECOR1urDp_5OkzsdlNOfAC9kEA_yt1BP_EQRW35K1-neEyi-TVbEabWWFQ6oBdEf_EFY56XuH7zOdO80J9xXiXSGK_W1qUbVnL__7hlPBQ&amp;amp;lib=M-zdWbhavtdZ1B_W2dnFDM0qoVt4lWzJ-"&gt;here&lt;/A&gt;.
&lt;/BODY&gt;
&lt;/HTML&gt;
</t>
  </si>
  <si>
    <t>ELFlT6O2R9iXryq8485qZA</t>
  </si>
  <si>
    <t>18209-B</t>
  </si>
  <si>
    <t>8E00250208070027</t>
  </si>
  <si>
    <t xml:space="preserve">&lt;HTML&gt;
&lt;HEAD&gt;
&lt;TITLE&gt;Moved Temporarily&lt;/TITLE&gt;
&lt;/HEAD&gt;
&lt;BODY BGCOLOR="#FFFFFF" TEXT="#000000"&gt;
&lt;!-- GSE Default Error --&gt;
&lt;H1&gt;Moved Temporarily&lt;/H1&gt;
The document has moved &lt;A HREF="https://script.googleusercontent.com/macros/echo?user_content_key=AehSKLiYDdR6fuvsQwI9B99O5dsZmP29zBJlwozBGtG2MP4votbz8BVcYwJsq2t4aVGpTgWTxLhIWiTUTtbrkr6Cdkurs8S8zbvuEI2RO4dBcJlCqLBiI17c4VbvyNBQiZeBvjlHcgWa4u4GC09jQCZiPnZUPX5U0wjXhKQSCkt19AuvEL2LhyYKUSXIOx-15QycXeK6gCkeFRgJfoMEj30XUMxsYN32FSgLtDXtalu4FImiD4Q53kE0yXT4WNvVan3WvVxNkijA6Dt61SOXCRrmyaoaQoSVT2J2HRUwB784BMRjxfZXLNJjeOtcufd1AQ&amp;amp;lib=M-zdWbhavtdZ1B_W2dnFDM0qoVt4lWzJ-"&gt;here&lt;/A&gt;.
&lt;/BODY&gt;
&lt;/HTML&gt;
</t>
  </si>
  <si>
    <t>DGsa6Mz3y2zheyaggiXK</t>
  </si>
  <si>
    <t>18210</t>
  </si>
  <si>
    <t>8F00250706320001</t>
  </si>
  <si>
    <t xml:space="preserve">&lt;HTML&gt;
&lt;HEAD&gt;
&lt;TITLE&gt;Moved Temporarily&lt;/TITLE&gt;
&lt;/HEAD&gt;
&lt;BODY BGCOLOR="#FFFFFF" TEXT="#000000"&gt;
&lt;!-- GSE Default Error --&gt;
&lt;H1&gt;Moved Temporarily&lt;/H1&gt;
The document has moved &lt;A HREF="https://script.googleusercontent.com/macros/echo?user_content_key=AehSKLhdHm7OhhlIbuP_ZXJkhZDjCBOxFidpGIHRBJnNuqqHEUVToaxZPmu5Z5tCzEkiCf38nWR5vpIpq6frRDR3dMNs6EHv7fVE5fvIHkUpoByC3ZJxFzeg7inZxfl2cP76oumre8Qm7-x-MJtswSK-OffCxrlgBkHzpYRr30IQHsQZmbS-6dwZsKJCvgQC8VPHJfOQiBaMx_Z7zgptZ3kD4CjzmNFbYPqS3AGhhMWeuOGDgLHTrC6WecVumHQOOoaTVmBfV_X_67b2DHH_INpzI3l_r333DbHmchKAqjqxTc36I-ySX7BlQ8aVxR0ImA&amp;amp;lib=M-zdWbhavtdZ1B_W2dnFDM0qoVt4lWzJ-"&gt;here&lt;/A&gt;.
&lt;/BODY&gt;
&lt;/HTML&gt;
</t>
  </si>
  <si>
    <t>Tdh9dFJuQoyf9vmt0WoAkw</t>
  </si>
  <si>
    <t>18211</t>
  </si>
  <si>
    <t>8F00250208090014</t>
  </si>
  <si>
    <t xml:space="preserve">&lt;HTML&gt;
&lt;HEAD&gt;
&lt;TITLE&gt;Moved Temporarily&lt;/TITLE&gt;
&lt;/HEAD&gt;
&lt;BODY BGCOLOR="#FFFFFF" TEXT="#000000"&gt;
&lt;!-- GSE Default Error --&gt;
&lt;H1&gt;Moved Temporarily&lt;/H1&gt;
The document has moved &lt;A HREF="https://script.googleusercontent.com/macros/echo?user_content_key=AehSKLhiA4kqmNlKkCxocAw4vgArCD2_AkWr2pohmiQDEjDBFRpvhjF8JTesC5Qxgjb0HHGud6f6g8GIYAZlKl4pEwSozPK_p4RpiDByNokir4o9V5c87YJGIL4nDwl-d2ZOvcgH071v1mtZ1astIF7O6WXElUGkNe6bVsBc37RkwXHOouCB3qDNbjJcVHXnBtHJUGbRwutyWW1Z-lFOOvevLL33w70y4TSLUl0ZFdKEOpqlCvMc31m9VTlZnhljLarXdlJ6ImICRTG0MiJpCeMSWcQF3CHoxp3ftWIag1knDsH7U0k8fqAWHL5QGO56yA&amp;amp;lib=M-zdWbhavtdZ1B_W2dnFDM0qoVt4lWzJ-"&gt;here&lt;/A&gt;.
&lt;/BODY&gt;
&lt;/HTML&gt;
</t>
  </si>
  <si>
    <t>gZtQO1FBQamZIBBCirXD-g</t>
  </si>
  <si>
    <t>18212</t>
  </si>
  <si>
    <t>8E00250208070025</t>
  </si>
  <si>
    <t xml:space="preserve">&lt;HTML&gt;
&lt;HEAD&gt;
&lt;TITLE&gt;Moved Temporarily&lt;/TITLE&gt;
&lt;/HEAD&gt;
&lt;BODY BGCOLOR="#FFFFFF" TEXT="#000000"&gt;
&lt;!-- GSE Default Error --&gt;
&lt;H1&gt;Moved Temporarily&lt;/H1&gt;
The document has moved &lt;A HREF="https://script.googleusercontent.com/macros/echo?user_content_key=AehSKLjzqzzHoHgwtxLGRfm5pJKCe4J3wBhPvakN-G8lB2Vj0PwhyHeCM2mkOrnLWEY8LRGD3iPUXtnMq-wAAbs8hNOhyQeyH2AeJNXnWx0tgCebO-7dD2RpMpJPGwsU6QDJJH8a7EnzJAVY7zSGj78rgOGq3J1OBLohaoyMEsnAXMqQMGpTLGQCJzKOGkYUQ-NW-MRKZSpn4eWDIKxLyXYFjaIx7w7XXsiI6DuTAsyzRvb7mSRSl1mM8akWHdltAtNV4s8-t-_5G-zur_DF9DZqp9bM6xr6EESKKzklzPbPheIlnxjKLpRKdcALhq7P_Q&amp;amp;lib=M-zdWbhavtdZ1B_W2dnFDM0qoVt4lWzJ-"&gt;here&lt;/A&gt;.
&lt;/BODY&gt;
&lt;/HTML&gt;
</t>
  </si>
  <si>
    <t>lLFfe6nJTyuEemK6IgFdSg</t>
  </si>
  <si>
    <t>18213</t>
  </si>
  <si>
    <t>8F00250411530007</t>
  </si>
  <si>
    <t xml:space="preserve">&lt;HTML&gt;
&lt;HEAD&gt;
&lt;TITLE&gt;Moved Temporarily&lt;/TITLE&gt;
&lt;/HEAD&gt;
&lt;BODY BGCOLOR="#FFFFFF" TEXT="#000000"&gt;
&lt;!-- GSE Default Error --&gt;
&lt;H1&gt;Moved Temporarily&lt;/H1&gt;
The document has moved &lt;A HREF="https://script.googleusercontent.com/macros/echo?user_content_key=AehSKLgzzND6P9PR6STWIfDFfLLnpJoeXB2CvU1IcuEJdDvbWEe7zWoYJb2CBHcQ2k_tHd3z09pfrMRN1BhnBcwS0Q-6rd5wFwPWXI-GhbO4p_q8TQhbtKXHM6DFLqX15GMaRPi3c1mUWhk9STVppbkGnb6tAdNS53PCgHrzo3AVUTjt4y9HIkyi6cEvlOzI9V5-HDnJhj-i6Adij6hLlvdFa0qn9nKdprpg4kPwv6Hp7BVmTHrOxPaCH6zfTVx8JUpejjMG5wmBHJP0pywPKRbDq85DXNze9nwyZ1NIp0m37REg6Hy3MVxC2ja3gAu2lw&amp;amp;lib=M-zdWbhavtdZ1B_W2dnFDM0qoVt4lWzJ-"&gt;here&lt;/A&gt;.
&lt;/BODY&gt;
&lt;/HTML&gt;
</t>
  </si>
  <si>
    <t>5Wo7XyIERV-I8lLixoxcVw</t>
  </si>
  <si>
    <t>18214</t>
  </si>
  <si>
    <t>8F00250329040002</t>
  </si>
  <si>
    <t>RODONAVES TRANSPORTES E ENCOMENDAS LTDA / (016) 3965-3955Informação Adicional: +10% de desconto / Obs.Interna: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</si>
  <si>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7lqXvswkXt1AvtUhhsLByjhuXyXg8fFtzRK6GUICoiQDZay383HaeSg_LZxxWhXwY_Id43yiR3NmhNDYKJiw9ozQrAXLD9KTE2oID4qAvFd1OpuKc3zvBcgsuKDBLUwhI52lqz8_mRjjvaE-OAyUuWRNhRxew3gAEqZz48sEVuwLUAIvW7pZjw5rPPVGNk5IfhAn1iLIJRuT_Lv3sOWWdnXckLpxbwdFwb_7tmfKXex9DsjjNK-kijXmoJpdICJQZRCF_-0la-AVRr3CmZxAJX9UqR3AT6ttvZwo_a6oF3hai5mF3WpMwja1MDw&amp;amp;lib=M-zdWbhavtdZ1B_W2dnFDM0qoVt4lWzJ-"&gt;here&lt;/A&gt;.
&lt;/BODY&gt;
&lt;/HTML&gt;
</t>
  </si>
  <si>
    <t>9W3ocv-GQFy93dvqPY-vhQ</t>
  </si>
  <si>
    <t>18215</t>
  </si>
  <si>
    <t>CLIENTE RETIRA / (0) Obs.Interna: ALTERAR PAGAMENTO PARA 30/60/90/120 DIAS
CLIENTE RETIRA NA FABRICA - INFORMAR DANIELE SOBRE O LOCAL E DATA PARA RETIRADA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</si>
  <si>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wC4lvDRc-aFVSpIWMKjOElX9seleg9XN1YQ7OeG8ZhoHPBl6wO3rowhuQWyxYRyUwciE-hqStx0GYSCVoam90mlEYV9-ZgqB9AyIbLCH7OkSqSizlmxDzXlIfayfUAf2Ijcn1_31ovfOBR3cWO3D4LZqp_9tsjcMwM1AtLOATFn2_R6eF5lml32BqgJ2WB6rKo1IC4ncaZZCqimWtYRgs7Y2dUI3t7g7LKFek0L7GL2abeQY5fxI8g4qpUb3c_JsJGpBjNU6i3Gt9U_fEYCHMaMEmhpwZVn0ZdykLy2nDqSyHwCQ07NQ1FKxfvQ&amp;amp;lib=M-zdWbhavtdZ1B_W2dnFDM0qoVt4lWzJ-"&gt;here&lt;/A&gt;.
&lt;/BODY&gt;
&lt;/HTML&gt;
</t>
  </si>
  <si>
    <t>6KUOcHyYTr2lzeTaHUO56Q</t>
  </si>
  <si>
    <t>18216</t>
  </si>
  <si>
    <t>CRICIUMA PISCINAS LTDA</t>
  </si>
  <si>
    <t>8F00250411530008</t>
  </si>
  <si>
    <t xml:space="preserve">&lt;HTML&gt;
&lt;HEAD&gt;
&lt;TITLE&gt;Moved Temporarily&lt;/TITLE&gt;
&lt;/HEAD&gt;
&lt;BODY BGCOLOR="#FFFFFF" TEXT="#000000"&gt;
&lt;!-- GSE Default Error --&gt;
&lt;H1&gt;Moved Temporarily&lt;/H1&gt;
The document has moved &lt;A HREF="https://script.googleusercontent.com/macros/echo?user_content_key=AehSKLihZXhLnkBqOz7RC18x5rfXntJW0fkn6Mz7KmZ9XkrtUzI8FWNTjuxwBndroDMu6hQD74xiVoJChs8Q1OTE6yeUMe2bytMtZDXWP0SxSn935K9ZbWz77H22SbwzT2ktbpzi5gP9zN8z04V5G-sa2lSbBzcoyCkY6IM5Nw8wvGKkVzPIafxfFGK2JNcqyZ2_PF24oyfrHogr04xJq9eeQjjjps5BTZkfVtrkGx1DXos6Dh5QY99Jw0EYhzbSnv6pUUpQ85PmCJsb2hsOHBhRnjEFsUwtpYGrKHgslLC_oIyDczrFGwrTI0T-XsgN2w&amp;amp;lib=M-zdWbhavtdZ1B_W2dnFDM0qoVt4lWzJ-"&gt;here&lt;/A&gt;.
&lt;/BODY&gt;
&lt;/HTML&gt;
</t>
  </si>
  <si>
    <t>zrLI2-l6S-a-CrsCqBNGfg</t>
  </si>
  <si>
    <t>18217</t>
  </si>
  <si>
    <t>8F00250208090013</t>
  </si>
  <si>
    <t>FITLOG / (011) 2212-5862Informação Adicional: Essa máquina será bonificada, com frete CIF, conforme acertado com o Mário. O.S 250268
/ Obs.Interna: Eline , orientar Debora com nf devolução . (19) 99391 1595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</si>
  <si>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5BikStOfSWkpzCcMLp2Q9ZAQuaU67yezSPRiJSpk0SzjLBBDm66InpKCm9rUZErnAooRjZOf9ZA4LBrII1FmjxVXfWIgTsuZ1snZ2gDnruFkVq1Ce6CH8GUlWelzuo9p2gVBQgEA9IrUqxBERAU71cDxCyvEQnqheduwa3hdbsDLsBHjFLys-y7TU_G9LIRVruxQee7mTfYGW4xb2XKUdeT0pNqDO9DfoCAHr_ZPePH_xgKPKt4sBc1lB-dqLjc8r_Q6EfbE_T_YTlMX72hxu5v10kV3VbNJYJmsfqT3J72rNUXJu9Bel4vYzw&amp;amp;lib=M-zdWbhavtdZ1B_W2dnFDM0qoVt4lWzJ-"&gt;here&lt;/A&gt;.
&lt;/BODY&gt;
&lt;/HTML&gt;
</t>
  </si>
  <si>
    <t>189q-7hoTmOI9c2qMbMhNQ</t>
  </si>
  <si>
    <t>18218</t>
  </si>
  <si>
    <t>8F00240812220291</t>
  </si>
  <si>
    <t xml:space="preserve">&lt;HTML&gt;
&lt;HEAD&gt;
&lt;TITLE&gt;Moved Temporarily&lt;/TITLE&gt;
&lt;/HEAD&gt;
&lt;BODY BGCOLOR="#FFFFFF" TEXT="#000000"&gt;
&lt;!-- GSE Default Error --&gt;
&lt;H1&gt;Moved Temporarily&lt;/H1&gt;
The document has moved &lt;A HREF="https://script.googleusercontent.com/macros/echo?user_content_key=AehSKLiT6Nx3BP2XjwPJStDXDcKZ5INbPuU8y9HwK1LyseiEUq-tr5RN3fJ-JzJRLyzH7Fh0vv6I-WxEOEAiSIKLwfhs06duA2wKU9l_HFfZLDpFCGm1cp2QdBy4o_UH6SQFg0TI7RRIzYUM3vdAOCou3ssbo3mzAqMT5yTTcPYtuj8Cs-QTG97Je4sxFUoj2Wnfobv8747r27opk056B3Oe9K2Auu3ZZWRNALxEnSZ7aXDiPGRxynRH78n3fnElMZXAVuh1-IY-7bm0abmKGbPWTZP-cHu62hIUou-ecfLCX9001-ZG-yrlhy-vwhCJiw&amp;amp;lib=M-zdWbhavtdZ1B_W2dnFDM0qoVt4lWzJ-"&gt;here&lt;/A&gt;.
&lt;/BODY&gt;
&lt;/HTML&gt;
</t>
  </si>
  <si>
    <t>6bdb0795R0qIhXW6z5F2IQ</t>
  </si>
  <si>
    <t>18219</t>
  </si>
  <si>
    <t>VOLMIR FOLLMER</t>
  </si>
  <si>
    <t>8F00250411550007</t>
  </si>
  <si>
    <t>EXPRESSO SAO MIGUEL S/A / (049) 3361-6627Obs.Interna: VENDA CLIENTE HIDROTEC
PAGAMENTO CARTAO DE CREDITO 10X - TAXA CUSTO HIDROTEC- EMAIL COPIANDO A TODOS</t>
  </si>
  <si>
    <t xml:space="preserve">&lt;HTML&gt;
&lt;HEAD&gt;
&lt;TITLE&gt;Moved Temporarily&lt;/TITLE&gt;
&lt;/HEAD&gt;
&lt;BODY BGCOLOR="#FFFFFF" TEXT="#000000"&gt;
&lt;!-- GSE Default Error --&gt;
&lt;H1&gt;Moved Temporarily&lt;/H1&gt;
The document has moved &lt;A HREF="https://script.googleusercontent.com/macros/echo?user_content_key=AehSKLjA7S3TWu34wvH-B8GxYDbNhPLGdfuf3zI8k2D8C1NCHgqnoQ4XITNDL8eu2wr063zUBVju3zp9rl78zL8_drawHFW0CJUijrp9LzODso_m1Rzh879DEEsEtRaen0lTIWs0kJ1baUss0n6p6cEJH3qkIPLRa-wmsB221xNEpDpj5agF-l8-caamQl5s33UYhPcmouiUNCf-H863Ng3oY8U6i5ENzY-vDxFe6viXuctiWIA_IVJDDy0avvwoJ3yyfp6yQCo7vDYULL3JvLrezaxcQ4Rjrkqo22ws2gFz8fuZEL8aaIeJzlx4V8UNdA&amp;amp;lib=M-zdWbhavtdZ1B_W2dnFDM0qoVt4lWzJ-"&gt;here&lt;/A&gt;.
&lt;/BODY&gt;
&lt;/HTML&gt;
</t>
  </si>
  <si>
    <t>vIymCZlFSumR9-.wDWpG-A</t>
  </si>
  <si>
    <t>18220</t>
  </si>
  <si>
    <t>8F00250411530012</t>
  </si>
  <si>
    <t>FITLOG TRANSPORTES E LOGISTICA LTDA / (048) 996277956Informação Adicional: cliente Eduardo Machia  / Obs.Interna: FATURAR SOMENTE DIA 25/08/2025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</si>
  <si>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6pO-n9aIio05PL8I02bepJSbgUh4E0Z4e3_tFWDrN9hW2r7DH5vncLBNoBChOD0Php1gSVdiEykZLDUZFR7apufgRK6sQDs1mTQR7VXQexH8DpseNdp5op9XHdnuVL_fECoJhbgMPUNyPOU5KDTmet09XvSXTMirtzr0VPvxz0LBxSCE055j245YfFyDZfGL1Jd-NFqWm_xA0gf5gzpPylbzPH6YT5jg9DLMoYmUuDXM-FMkOtd83r1n473vU-onb5erhLsS8dPup6McwRnHqs7Idsh6pK1zCDJptaDISV27ZKpB3YY3ROBLYyw&amp;amp;lib=M-zdWbhavtdZ1B_W2dnFDM0qoVt4lWzJ-"&gt;here&lt;/A&gt;.
&lt;/BODY&gt;
&lt;/HTML&gt;
</t>
  </si>
  <si>
    <t>2O-7AUBhSqKB3lbAItqe1g</t>
  </si>
  <si>
    <t>18221</t>
  </si>
  <si>
    <t>8F00250329060032</t>
  </si>
  <si>
    <t>EXPRESSO SAO MIGUEL S/A / (049) 3361-6627Informação Adicional: +3 de desconto / Obs.Interna: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</si>
  <si>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BPE-5illBRl9vYmU8zdQ6_sgyMLg8bYpIAMx0UbyMelnF49FG_M8NyiHS4nQP1TsdG6h6-2Zriq64BQFQkyp9tJQequYWIphXDTnBxcihlkgw2sLhFGWfqFMgSU8Ak51P1Vd12qua5CAtES8CklfRzC3EFR3nhJlUn-0fVn3soPIH4Ocs_n3co5SXp2J8CLJ5x68FBgroZkctO7wZZi4wEaXwQMJ_Lwd9hdxxszwOT37opt2Dyjei8m_7sevyArpR5uvvxXR64B0JI-YZHy1B3t7IHBlGM2WeQ1FTwZdPmZruh_dfV7qvj-iJNw&amp;amp;lib=M-zdWbhavtdZ1B_W2dnFDM0qoVt4lWzJ-"&gt;here&lt;/A&gt;.
&lt;/BODY&gt;
&lt;/HTML&gt;
</t>
  </si>
  <si>
    <t>jCUev77sS-atl1n-SiYExA</t>
  </si>
  <si>
    <t>18222</t>
  </si>
  <si>
    <t>Darlan Favreto</t>
  </si>
  <si>
    <t>8F00241225070020</t>
  </si>
  <si>
    <t>EXPRESSO SAO MIGUEL S/A / (049) 3361-6627Obs.Interna: VENDA SPA PASSO FUNDO - PARA ACERTO  EMAIL ADICIONAL , COPIANDO A TODOS . / E-mail para nota fiscal: , E-mail de cobrança: , Telefone para contatoPAGAMENTO CARTAO DE CREDITO 3X</t>
  </si>
  <si>
    <t xml:space="preserve">&lt;HTML&gt;
&lt;HEAD&gt;
&lt;TITLE&gt;Moved Temporarily&lt;/TITLE&gt;
&lt;/HEAD&gt;
&lt;BODY BGCOLOR="#FFFFFF" TEXT="#000000"&gt;
&lt;!-- GSE Default Error --&gt;
&lt;H1&gt;Moved Temporarily&lt;/H1&gt;
The document has moved &lt;A HREF="https://script.googleusercontent.com/macros/echo?user_content_key=AehSKLi1R4l4l73U7tT0Yu6FUnv-nJjt3Qg3_HuLK0s9zsze7J19t2BTlGR24uWTnBhHavTN2XbVVQj2qFE3ugiy7uAvhIAI-8zDDLLB8PXpiT6wC-MvRGM3L61fhC90Qu1FCQxqcvBagQwXjOioFIX8-jr5QdA36c5DWZaLX--Fvlk4rdn6lhHlR0cb7Mj6Hn36fS6LvecO6IDEsLU_kkbR7gLRddda5QWA0R8p8Wk6bNMTw1Jthji6ESvMDqZWJygd9X_q8vhFs93LLUY3zk_r1UPXEzCRM7Fzh6KaNBCe0PxziIrRcF1rpiGW9FQZLA&amp;amp;lib=M-zdWbhavtdZ1B_W2dnFDM0qoVt4lWzJ-"&gt;here&lt;/A&gt;.
&lt;/BODY&gt;
&lt;/HTML&gt;
</t>
  </si>
  <si>
    <t>QB996jvNQeiaGvZNmZyREw</t>
  </si>
  <si>
    <t>18224</t>
  </si>
  <si>
    <t>8E00250208070035</t>
  </si>
  <si>
    <t>EXPRESSO SAO MIGUEL S/A / (049) 3361-6627Obs.Interna: Boleto 15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</si>
  <si>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FjJAewG4lGfMaUoIhzqxZdsJQbtFGfH9re2hO_PJ4nKBUJKd4W9FNyMWTBYeLlba7kEuJUJcHhPjpfNqzWQfWShMUGbmqzP5V3wESBT4HKDfnzdr1Aqz1Ai_5NR7X5A-fiQ6Sbd4o94Kb0YSF0VIj7uSWoEdHdofabeg4JnJnLx5fN21TZB29R8xiT18MgXPXAU9XnIfl83arnrwh0Rubn7VS0TidVB1JzYMgbbhwDRSCnD8q3UslsZzQ3GDajQjWgmgokQp9aiBZ-qdhnADmiR52SKVhoJmKdQqnKrWCFR58-3GeS4j6aVC2MQ&amp;amp;lib=M-zdWbhavtdZ1B_W2dnFDM0qoVt4lWzJ-"&gt;here&lt;/A&gt;.
&lt;/BODY&gt;
&lt;/HTML&gt;
</t>
  </si>
  <si>
    <t>JsnP.U0FT.OchiI0vxHOOw</t>
  </si>
  <si>
    <t>18225</t>
  </si>
  <si>
    <t>53.780.066 EVERTON ALEIXO FERNANDES</t>
  </si>
  <si>
    <t>8E00241225030003</t>
  </si>
  <si>
    <t>K1 TRANSPORTES LTDA / (011) 41519079E-mail para nota fiscal: , E-mail de cobrança: , Telefone para contato
TOTAL: R$6.542,26 / ENVIADO PELO CD KEEPERS SP / TRANSPORTADORA K1 TRANSPORTES LTDA</t>
  </si>
  <si>
    <t>R4tH51Y6SWSfN47P9l2waQ</t>
  </si>
  <si>
    <t>18226</t>
  </si>
  <si>
    <t>8F00250706320003</t>
  </si>
  <si>
    <t>ENTREGA FUTURA DIA 14/09/25
K1 TRANSPORTES LTDA / (011) 41519079E-mail para nota fiscal: , E-mail de cobrança: , Telefone para contato TOTAL: R$ / ENVIADO PELO CD KEEPERS SP / TRANSPORTADORA K1 TRANSPORTES LTDA</t>
  </si>
  <si>
    <t xml:space="preserve">&lt;HTML&gt;
&lt;HEAD&gt;
&lt;TITLE&gt;Moved Temporarily&lt;/TITLE&gt;
&lt;/HEAD&gt;
&lt;BODY BGCOLOR="#FFFFFF" TEXT="#000000"&gt;
&lt;!-- GSE Default Error --&gt;
&lt;H1&gt;Moved Temporarily&lt;/H1&gt;
The document has moved &lt;A HREF="https://script.googleusercontent.com/macros/echo?user_content_key=AehSKLjczPxprRwjCBa99JW6MoeFhICMP8rE2yVeDr2UTnITt9CAHPCZddT-uSdnm1_3_z_w8wL2DsOzFpJyUO76Nk5HbOfgl806jF-XbrFkSjMqkpE6xuaRib4TSdvDrJybnivd03NslcrL39_A3Jlr0TTAJOq26Yl9lqem9vfQ4diXDBWcgw9Bcej70ScLgdlx0s0I2haizIzTbJ-Ppp_hxhUUaU9BGwDVEo4_tA3pgJbsFwjNgqMRBq77STPALttlLIydL9th7hv4okwxHXVEzZzrrAxa6Y1x-ZxuN7bkDCFGLi5PHhLvm82SnpzO7g&amp;amp;lib=M-zdWbhavtdZ1B_W2dnFDM0qoVt4lWzJ-"&gt;here&lt;/A&gt;.
&lt;/BODY&gt;
&lt;/HTML&gt;
</t>
  </si>
  <si>
    <t>QIOuNmkyRyWKI0XVSX5aHQ</t>
  </si>
  <si>
    <t>18227-A</t>
  </si>
  <si>
    <t>8F00250411520004</t>
  </si>
  <si>
    <t>DESTAK / (048) 2102-5242Informação Adicional: ALTERAR PRAZO DE PAGAMENTO PARA 30/60/90/120 DIAS
AUTORIZADO-Mario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</si>
  <si>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3jDppP1KNPgia8qFhOtY9ur9a-k6Cw34thm5sWk4H69rHPDesT9st-FTi2i1Pi-kbax9Mnz3te11Ue0lE_RuBLX16uq_3yrhpbPJTTQYXk9ShXsxctxx-EpiP-FSaFB_yzlVtusFWpRX_cNRHYooxRlejN5ius1PqtRbQ_5mbnmGAVCvjb6wiufJdg9D_i4p5OuuoRRqJHl4F8div6M6aK3Gm5poOeLiDSdCeI-K_aU3ZKQICqz4wAm6xmQhxR1UVCZs0_hhqZJcAY50v4XcAbQpVQFJJcsCe6xbihr1SYXv58utKJ8TKhL9dkw&amp;amp;lib=M-zdWbhavtdZ1B_W2dnFDM0qoVt4lWzJ-"&gt;here&lt;/A&gt;.
&lt;/BODY&gt;
&lt;/HTML&gt;
</t>
  </si>
  <si>
    <t>azdQLJVNQxO2jBfIl3Dbug</t>
  </si>
  <si>
    <t>18227-B</t>
  </si>
  <si>
    <t>8F00250208090018</t>
  </si>
  <si>
    <t xml:space="preserve">&lt;HTML&gt;
&lt;HEAD&gt;
&lt;TITLE&gt;Moved Temporarily&lt;/TITLE&gt;
&lt;/HEAD&gt;
&lt;BODY BGCOLOR="#FFFFFF" TEXT="#000000"&gt;
&lt;!-- GSE Default Error --&gt;
&lt;H1&gt;Moved Temporarily&lt;/H1&gt;
The document has moved &lt;A HREF="https://script.googleusercontent.com/macros/echo?user_content_key=AehSKLidKSPfhywthj6JOVF_NkeGuwBGqk8kncWrIx3sboLiMGYZd51f_yUj_hMvDPl7aGth0UrV1oWsgJmNA1KF3S-vYiazFUp2PQ_dmVhZtvpyyL7w5_sh1pRX6ojtSc1GIpP5F2cGZ0D8LWMti2y-mcaGruP-TMdswPAZ_hBBJck-QmCRMxHDNZxT5OasqnwxVH5q3HfS0rAlFb8Gb8pxoNQB-gH3x8uB3hmwEEHPA7V3o4pYH7ORy3MQHfdlpiZ_TqL9Vq3FX2m-7k0UjKqQk0oZiuiHBMDp3GjENoxOBHLH2V7CdQeoI8rflxVTFQ&amp;amp;lib=M-zdWbhavtdZ1B_W2dnFDM0qoVt4lWzJ-"&gt;here&lt;/A&gt;.
&lt;/BODY&gt;
&lt;/HTML&gt;
</t>
  </si>
  <si>
    <t>Gbm3KzkOGPSUUzBTAWZs</t>
  </si>
  <si>
    <t>18227-C</t>
  </si>
  <si>
    <t>8F00250411520003</t>
  </si>
  <si>
    <t xml:space="preserve">&lt;HTML&gt;
&lt;HEAD&gt;
&lt;TITLE&gt;Moved Temporarily&lt;/TITLE&gt;
&lt;/HEAD&gt;
&lt;BODY BGCOLOR="#FFFFFF" TEXT="#000000"&gt;
&lt;!-- GSE Default Error --&gt;
&lt;H1&gt;Moved Temporarily&lt;/H1&gt;
The document has moved &lt;A HREF="https://script.googleusercontent.com/macros/echo?user_content_key=AehSKLgEpKj4Tp66uy2Ekagb60WMhzstx7bqMWquFoMcMKsPD40Dcu0rKjFGJ5JqjNvew3MfUh4pYaU3pgmxkEvXUbWl89kPm9oDh5gkLie4k8Fj3Ohx1b0YXOkycoOplCBcLO05WJAM_32Ff3u4iMkp9R0ZdWCCkQDBFCnSfqduQYm1dbs2cSbtUjyrwSC4Vp8o7zXjRWTZ6iPID0dI-8hXFPCqy-QpgEAieY4Wv7VgX2K58rwa1Z9wE9muLiNWlNhmoFTQ9QLWeIZquYCstFkpgf4AH-vwhkAbTnscX1RGH-l6nVJn9igh2Ld9BUhRRQ&amp;amp;lib=M-zdWbhavtdZ1B_W2dnFDM0qoVt4lWzJ-"&gt;here&lt;/A&gt;.
&lt;/BODY&gt;
&lt;/HTML&gt;
</t>
  </si>
  <si>
    <t>i9UeBs1qD3EgfAngeVAl</t>
  </si>
  <si>
    <t>18228</t>
  </si>
  <si>
    <t>RETIRADA NA FABRICA / (0) Informação Adicional: PEDIDO CLIENTE 21950 COSTA INSOLARATTA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</si>
  <si>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gYaDTOMdhnbixHR4Cc0gqDeUQn6FkzhSkknWB2LK4pFYYNF2x6Lg3M4dECNCDfR3lh7LjyE_nj3FZ2Jci-xntCDXmYMKSM123tdtPoTcQgMv-oXZdjjnk6fWQS151JJNWihNGyoc5ceHC-INpZcguznhip651qOGo6DU36Z49Zpz7yBZLdSbw7tQS6PpGbu6zOw0_E9N3hUWJAcyI592GmaQsbXATbGZo84hLZyo8BKcwvGgATr15mBQyp9MXb6rQA6egluK9GuPsbEhKhrUaySshR6CAIhS_euutBlSOfYvKSIePuoSDgcZPPA&amp;amp;lib=M-zdWbhavtdZ1B_W2dnFDM0qoVt4lWzJ-"&gt;here&lt;/A&gt;.
&lt;/BODY&gt;
&lt;/HTML&gt;
</t>
  </si>
  <si>
    <t>yknz1hzCSXmZIfvhYMrFkQ</t>
  </si>
  <si>
    <t>18229</t>
  </si>
  <si>
    <t>EDUARDO FERNANDO REBONATTO</t>
  </si>
  <si>
    <t>8F00250706510004</t>
  </si>
  <si>
    <t>CLIENTE RETIRA / (0) Obs.Interna: VENDA REALIZADA PELA HIDROESTE PISCINAS DE JOAÇABA
ESTÃO CONSULTANDO FRETE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</si>
  <si>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azji4reYZuDklICaDarIDdDRdj-ae0C0vkVz6lRt13WMG9JvJCY-21DhkrNsr9ZXN4BxIcpkLvJzJHuzZdft2hnJhBk57OFeRtv5I4_2s5QGkbHH85zlNqmCAGjQ0YbdxlfwFxLiq2KtvuDI6crkdkaut-Mc4YhCfWBTqqdPhwDOx0255CESijH_PRoBH9foBeOxBp_UEwmnZOnsjOjGN8Fs_Jc3Urh3d3F98gnJTSeWRFilKUnezegh2wvkBj3Z0jaNYdkWTm-n3_sWk7DwogvRAIMknu1QYXQN72U5EJFAeTpOKwxgUDi4Fwg&amp;amp;lib=M-zdWbhavtdZ1B_W2dnFDM0qoVt4lWzJ-"&gt;here&lt;/A&gt;.
&lt;/BODY&gt;
&lt;/HTML&gt;
</t>
  </si>
  <si>
    <t>trR1P9F5TOScbONPmX26jA</t>
  </si>
  <si>
    <t>18230-A</t>
  </si>
  <si>
    <t>8F00250411520005</t>
  </si>
  <si>
    <t>RETIRADA NA FABRICA / (0) Informação Adicional: ABATER VALOR DO CONTRATO DE FORNECIMENTO
PEDIDO 21945 - MAGO/DOM LUCCA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</si>
  <si>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Enfy7NhYR6NhRuWTgPgjOEvS1vgj4u6KVTzAt-MKLtLSvHiQQtdhOPEhnEJ5Brv0qtgRhmVHIj2N757qUmGOip-U3ibBz66pM3_wnoTxlEKzMvGcX-56g6hC7QAuEFkObyHBXhrEJwBhd9Ecp1QjVjC0DYQbJKjWqBAwvLCZ9jcbVXqAaj_LYll9DjSZtvMfEVvK1clbN5ZoRj9Qq7vNlyjzUBa-0aE6J1qwCLLsJ_UeMNBnMSAiGNxWYf2yi7Evww315oixtdQ1bDyM4rhumAic-x4PjUEAMqySekryaJdjYK_Rm9RaGyucugw&amp;amp;lib=M-zdWbhavtdZ1B_W2dnFDM0qoVt4lWzJ-"&gt;here&lt;/A&gt;.
&lt;/BODY&gt;
&lt;/HTML&gt;
</t>
  </si>
  <si>
    <t>RoZBq0f9QJiGR0xRxrrxJg</t>
  </si>
  <si>
    <t>18230-B</t>
  </si>
  <si>
    <t xml:space="preserve">&lt;HTML&gt;
&lt;HEAD&gt;
&lt;TITLE&gt;Moved Temporarily&lt;/TITLE&gt;
&lt;/HEAD&gt;
&lt;BODY BGCOLOR="#FFFFFF" TEXT="#000000"&gt;
&lt;!-- GSE Default Error --&gt;
&lt;H1&gt;Moved Temporarily&lt;/H1&gt;
The document has moved &lt;A HREF="https://script.googleusercontent.com/macros/echo?user_content_key=AehSKLjeVYkZm2GfvA7ySxMp04hxDNdYgj22GlpdAz4e8JaV89fB600NNHbmpcvoi9Lk5jWFynO51i6jsmvKyKLpAEDIxUow89jZ5hIVkiDPXoVe4kCeZpbnKpS3qpCHuyD0jMA49NPb_ax3cIRdFqPIMOMIHS1BPvMdIq0wqDspTLAaPsAA134C1C41H649FaPh8p-pv6Q8gmNf4AlBAWJWmmM_uzUqrBFOLlXSQmTt63tu_qmhrnnQdszQtS2VhfeHvMCq21zGHrjVtXTQRPy6ypR1c_IoJCzDtOPGUs0Rm74UHp9-fH4_yMOnAch3Nw&amp;amp;lib=M-zdWbhavtdZ1B_W2dnFDM0qoVt4lWzJ-"&gt;here&lt;/A&gt;.
&lt;/BODY&gt;
&lt;/HTML&gt;
</t>
  </si>
  <si>
    <t>uMgUDoJ5iqjqSpwriLYR</t>
  </si>
  <si>
    <t>18232-A</t>
  </si>
  <si>
    <t>8F00250411520037</t>
  </si>
  <si>
    <t xml:space="preserve">&lt;HTML&gt;
&lt;HEAD&gt;
&lt;TITLE&gt;Moved Temporarily&lt;/TITLE&gt;
&lt;/HEAD&gt;
&lt;BODY BGCOLOR="#FFFFFF" TEXT="#000000"&gt;
&lt;!-- GSE Default Error --&gt;
&lt;H1&gt;Moved Temporarily&lt;/H1&gt;
The document has moved &lt;A HREF="https://script.googleusercontent.com/macros/echo?user_content_key=AehSKLhielkG_KkGyY21Oj3Z4ayTM4p0IZ3WIUweB2rR18lOPVJDqjwoEPq7uTnL5-88wlF0G0cIojvIoovXmy6uaI4j69y2gVlrMAnnuibRvmV4BnWG_f__lqXeWaFwpwedsfGXWrzAoSTcBkMSltTbRJaVK9AgRMa5w5c1HDjtixg8MVtPfzlth-18UiECm31rsiEZLqMDSRXFuo0OTIazMbWzD_9FSj1y0yQP9SXbpO_tpqvm__1wH87Ly80dR8hEMyRxOJoWx0kHY04YeaDGdJc_eZVJz_ePdLsAosvZdkuNpK7FT66UkgM4RNAi_w&amp;amp;lib=M-zdWbhavtdZ1B_W2dnFDM0qoVt4lWzJ-"&gt;here&lt;/A&gt;.
&lt;/BODY&gt;
&lt;/HTML&gt;
</t>
  </si>
  <si>
    <t>BLnZHmBm38tSbeHtPh3l</t>
  </si>
  <si>
    <t>18232-B</t>
  </si>
  <si>
    <t>8F00250411520038</t>
  </si>
  <si>
    <t xml:space="preserve">&lt;HTML&gt;
&lt;HEAD&gt;
&lt;TITLE&gt;Moved Temporarily&lt;/TITLE&gt;
&lt;/HEAD&gt;
&lt;BODY BGCOLOR="#FFFFFF" TEXT="#000000"&gt;
&lt;!-- GSE Default Error --&gt;
&lt;H1&gt;Moved Temporarily&lt;/H1&gt;
The document has moved &lt;A HREF="https://script.googleusercontent.com/macros/echo?user_content_key=AehSKLjWbN4Y609T5CDeD3otHL_HumxMD5kV4yzGHw_tkT23OQMhl7-ZTIrvLqhP0YVn8y--CTqviX5lJ_FjBNBXGuLNzU9cOm7DQWvwMyeNDIbHa5tXoZ_uE-dKjNAL_YyPnddw9idB_bAzZL8hwnQoAOqdHZiRgXZMCp3FOKeBeMGTWNVYlvM0Jx9vMINEPTYp7skTsGNxx2dPviP9aJ0N9egq619EKE4fOnVzuM-2kEkQNkP0sVjQdOsFhLGF6I1161yfuilKJARtcxu-VCM63xEyY0nFoUX1mPDEgFOZuxZ2_lrA60P86GOXgDJxhg&amp;amp;lib=M-zdWbhavtdZ1B_W2dnFDM0qoVt4lWzJ-"&gt;here&lt;/A&gt;.
&lt;/BODY&gt;
&lt;/HTML&gt;
</t>
  </si>
  <si>
    <t>NGE1ESRQvcUxUbOLGpbW</t>
  </si>
  <si>
    <t>18233</t>
  </si>
  <si>
    <t>8F00250104080002</t>
  </si>
  <si>
    <t>FITLOG TRANSPORTES E LOGISTICA LTDA / (048) 996277956Obs.Interna: OC 937 ( CE 1094 MARCELO AZEVEDO) Entregar : Condominio Portobello lote 6 gleba H Mangaratiba RJ CEP 23860 000. Informar despacho da maquina para que a Aqualar possa rastrear entrega junto a Fitlog.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</si>
  <si>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i4XNv6WkvJ3JVTsz6VtvBcJGQsLiSki31ig2lA7K5kfBQ6vG0_HrZKW3ZYiF0Wh-aKf_gKc07_wb82LgXGw9o99z7vGM4bP6ForeucBfSXys-DcbI_TsiO0OMoZos8omx7a4a9vtnxiVn0x5b8t9AFVxNaFdVoAdEmDA_9eHMd8Qut1Gf20zfEuvKLyfxvcsHEK198OQ-xO10Yz8UTxNjcCvJ4DSA6TAu6Kl0livzPLKrR0xpqd379k2VT4RHccVmxiEoLERf-fAxIfzgFCXMWOAh7NvGqFvX3dntx0dwQcj8ufrSIBhRC3G1qWg&amp;amp;lib=M-zdWbhavtdZ1B_W2dnFDM0qoVt4lWzJ-"&gt;here&lt;/A&gt;.
&lt;/BODY&gt;
&lt;/HTML&gt;
</t>
  </si>
  <si>
    <t>yzrCi7bPSe-xjbRIHAGInA</t>
  </si>
  <si>
    <t>18234</t>
  </si>
  <si>
    <t>FITLOG TRANSPORTES E LOGISTICA LTDA / (048) 996277956Obs.Interna: OC 938 ( CE 1109 CLAUDIO AZEVEDO) Entregar : estrada da ilha Condominio Portobello lote 41 gleba E1 São Bras Mangaratiba cep 23860 000. Abater do pacote. Informar  o Jorge data de coleta da maquina para que possam rastrear junto a Fit Log. Quadro deslocado de sobrepor.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</si>
  <si>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hwy7GOTrVLoloopthWDywrfCa-vCKIEkwPFpE_kVkqXZLkoIsmA-S97_8_xpmw8jCILoKDaM8ioS6KB1lBLRNmgf6yg6YT89whOuvaLxJS7AI-XBjywjek-gF5y2fjID-UgIEk8petyZgSp_t5tkyzWJSmvSD01rPWgn9tN0TqjBDF4DK1QU8xTgLN4tqVaGa42_GIkjNOJCO52pv18exhktBbe_mzaKZHZSN-Tk6AyIWHzKSomufswZHptsmwlfrCTe8GbcudC_huSLy_5aevo3Q0J5fbagGD5TOVOr3_XTv5dOGIDuLOBLTkfQ&amp;amp;lib=M-zdWbhavtdZ1B_W2dnFDM0qoVt4lWzJ-"&gt;here&lt;/A&gt;.
&lt;/BODY&gt;
&lt;/HTML&gt;
</t>
  </si>
  <si>
    <t>Jgm3tHjlQFSuPXzQ4tv-jg</t>
  </si>
  <si>
    <t>18235</t>
  </si>
  <si>
    <t>FITLOG TRANSPORTES E LOGISTICA LTDA / (048) 996277956Obs.Interna: OC 940 ( CE 1126 MAITE PROENÇA) Entregar : Rua Iposeira 760 Sao Conrado RJ. cep 22610 380 . Quadro deslocado sobrepor. Abater do pacote. Ligar para o JORGE 21 99512 4022 antes de entregar .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</si>
  <si>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g8yw1Qt7orXQKeYPQ6bzlZXXSt1r7vuiF2mI0VqEiE3r9PWF0AoiqkaVncOgEhvh5GEvV_lvME0_ofXE0TrBvlYWxzQWW7iGyZ46WxCj1yILdp51y77njaP3WPpp9T4FxpdIpscl-5U8BYwZWDL6GqQHSoyE7gu9rXvKN088E4MLysHJev7Nz37bz6HdaS2gQLKDLvzf_Dupo6NzXYCyANPqCiG7bLn9C7tACzWDE2R0oaEynBDh7unJ1lcXiVF-8p1-1tUiVqr0KcgtGMpURVukObuEWJWpmLMR_CjsXM9ll-R8QA7NpkEuve4Q&amp;amp;lib=M-zdWbhavtdZ1B_W2dnFDM0qoVt4lWzJ-"&gt;here&lt;/A&gt;.
&lt;/BODY&gt;
&lt;/HTML&gt;
</t>
  </si>
  <si>
    <t>CiyTIuIdQ-6kq176VNHDbw</t>
  </si>
  <si>
    <t>18236</t>
  </si>
  <si>
    <t>FITLOG TRANSPORTES E LOGISTICA LTDA / (048) 996277956Obs.Interna: OC 944 ( CE 1070/71 Elizabeth Marinho) . Entregar : Rua Pacheco Leao 674 casa 6 jardim botanico RJ CEP 22460 036. Entrega imediata. Abater do pacote. Ligar para o Jorge antes de entregar 21 9 9512 4022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</si>
  <si>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jvcx44uPle4vXP49tUO-S3fBkgYpivb6cNk9fVWwbkUDR0JJaLxl17AqVnKYdmHk6LxXm5FDTTOCYdtY8lxCa1tbWac9dHf15ny9crQmWUbYAxhNTIHj1Z61Qm5evHtcIj-ejTssNxpmN1kOe85V_gktDa2wz6Tg_ouKkwb4CZMHalp-J_y0MOcIv3vMsmMDjoHwlx8EDjjd_Urhv4HZXxoE8Ppu-kA-bpGw-YHLpiJcDLeyxSe6xLiSnq7fL18Le3al-betQLL14Em9l8uEcfkI60sUs0NP-Gj4EAdjiumX5xgJKs8DF2q7f85Q&amp;amp;lib=M-zdWbhavtdZ1B_W2dnFDM0qoVt4lWzJ-"&gt;here&lt;/A&gt;.
&lt;/BODY&gt;
&lt;/HTML&gt;
</t>
  </si>
  <si>
    <t>7pkjzxMGR4Kjoflb5ChjSA</t>
  </si>
  <si>
    <t>18237</t>
  </si>
  <si>
    <t>8F00250329060033</t>
  </si>
  <si>
    <t>FITLOG TRANSPORTES E LOGISTICA LTDA / (048) 996277956Obs.Interna: OC 934 ( CE 1350 PAULA MARINHO) .Entregar Rua Felix Pacheco 135 Leblon RJ cep 22450 080 . entrega imediata. Ref pacote pgto 30 60 90 120 150 180 . Valor R$ 13.680,17 . Ligar para o Jorge antes de entregar 21 9 9512 4022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</si>
  <si>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C_qhw-_UaHIWp94sj9XOKVRWQ0JIF-yY5A8WfQVX-9By2CtkATFyoWfLBB1TvAgqxacfIZLngaYDIfYlTUaePSsogTNNPkZ8CVGudJlF1knvJXfPP1fZGAHZRsHjdF1nwutI_c2wlm963JDjZfh-HvfSFAOlWO5Kby0IPapZPurKE7k_R8prkxv-K1piwee-g0zm7JepnqGM83kL9UsW7-uu9mMmgAn1Ro8DfIZ-sxgV4W-A0CqtqRy_Fn2usA6CET-ENqUgYKuxO-9v5l9cu0Lt8YDegxqUQqff9_6TSjXYMo-jykUc_Cf3Slw&amp;amp;lib=M-zdWbhavtdZ1B_W2dnFDM0qoVt4lWzJ-"&gt;here&lt;/A&gt;.
&lt;/BODY&gt;
&lt;/HTML&gt;
</t>
  </si>
  <si>
    <t>JrOFMd1vQIGkNphZ8HSlgg</t>
  </si>
  <si>
    <t>18238-A</t>
  </si>
  <si>
    <t>FITLOG TRANSPORTES E LOGISTICA LTDA / (048) 996277956Obs.Interna: OC 936 (CE 1201 KRAKEN) Entregar Rua das Aroeiras s/n Bracui ( cunhambebe) Angra dos Reis cep 23943 007. Quadro deslocado sobrepor . Enviar comunicado ao Jorge assim que faturar para eles poderem alinhar entrega junto a transportadora FitLog. Abater do pacote.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</si>
  <si>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elxACsjafPzSyNLnaUphbnRuwBX1ndp_bX_L8lQHmQb66cry40z_mE1q_rDlyvcyQQSJhf_7Dv4RtGgJeBW9H3fdJhbRbTz3kMROp7FAkXDoiebGR7bcLuDjQYifwOduCfsknZPfPBWffnVo2iK_XPiiS4rZupQ8_5UQw2OU1tpKPlnZquznx1nxda9c0gtFzLjpxVregcyP3Ut5H5nZDJFOF-4d32mthy0xOLdGGEwpXcn1tdMC3ykf2N3qSv0GnUVTN1qFFN54KBPGbsH3TzXkq0wLlKEuGh2KdWZNVye09jp5_5I1X8sRHVQ&amp;amp;lib=M-zdWbhavtdZ1B_W2dnFDM0qoVt4lWzJ-"&gt;here&lt;/A&gt;.
&lt;/BODY&gt;
&lt;/HTML&gt;
</t>
  </si>
  <si>
    <t>kwxXLLi7Qce1oa.iPP12Xg</t>
  </si>
  <si>
    <t>18238-B</t>
  </si>
  <si>
    <t xml:space="preserve">&lt;HTML&gt;
&lt;HEAD&gt;
&lt;TITLE&gt;Moved Temporarily&lt;/TITLE&gt;
&lt;/HEAD&gt;
&lt;BODY BGCOLOR="#FFFFFF" TEXT="#000000"&gt;
&lt;!-- GSE Default Error --&gt;
&lt;H1&gt;Moved Temporarily&lt;/H1&gt;
The document has moved &lt;A HREF="https://script.googleusercontent.com/macros/echo?user_content_key=AehSKLhAn6CVfjEcUZa1kEpdCe7mI-wZ8hluUVv2Pgz3GYC45VQLo7KR0Zq_t0Ur_HiePNKYGRtu34sU2m4USrXsxr75M4Rg5PDyX5DE2UKJ2uMhd_5Jo7o8b7bwZjr9GnlDGM0onhmYK59aapAb8qmPU_DAnlYJkjD9hBSel4RMtvfD3_Kr_t913EyiUYR-DrIRNOIV59DrAWZBkUkfJmXl-6_aZVRKSZiGiIqBWz8COD5br6z8p21dsxr2-6_NYfaBECVxAstwXRI-gOqqXmXov6kooN97S6dPA3BG82693dMlUePrTeyodFC1ZRrGhg&amp;amp;lib=M-zdWbhavtdZ1B_W2dnFDM0qoVt4lWzJ-"&gt;here&lt;/A&gt;.
&lt;/BODY&gt;
&lt;/HTML&gt;
</t>
  </si>
  <si>
    <t>dHschSt9sKX2W0MITUZO</t>
  </si>
  <si>
    <t>18239</t>
  </si>
  <si>
    <t>FITLOG TRANSPORTES E LOGISTICA LTDA / (048) 996277956Obs.Interna: OC 946 ( CE 1379 CBR 148 ) Entregar Rua Mena Barreto 150 ICONYC BY YOO . Quadro deslocado sobrepor. Ligar para o Jorge antes de entregar 21 9 9512 4022. Abater do pacote.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</si>
  <si>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j83tVtplqLtl9HtbI2IF37vZMXhY4L2JOdXN9nu_vDHZYTtajFLtbR99nScuboCqW_NEs4UZJJA3OijWco8Y-8BfAVhtlK77kgd0ki2msplQ5y0R2_FhPYkMXcYlBXPa24hs6-wvTpaPeqoVEstoiwsPDoGN8Vhd2gpxBBfB5k5_zp4Hl1pTUdqkI3Lu4jdlrwrx1xvQAtFRfxwcBf8MR4YwLo4tZHkU_Rip4r9_0jAGjlPSF-eMJxtvDieIXGjewT7hpgpv6NxRJftfrAJAOzmAy-3wioAy96DNIqieifcZU5oO3CDjN5jJGYQ&amp;amp;lib=M-zdWbhavtdZ1B_W2dnFDM0qoVt4lWzJ-"&gt;here&lt;/A&gt;.
&lt;/BODY&gt;
&lt;/HTML&gt;
</t>
  </si>
  <si>
    <t>YUrFM5HaSfmpkWMqnD-AXA</t>
  </si>
  <si>
    <t>18240</t>
  </si>
  <si>
    <t>PISCILAGOS COMERCIO E REPRESENTACOES</t>
  </si>
  <si>
    <t>8E00250208070028</t>
  </si>
  <si>
    <t>EXPRESSO SAO MIGUEL S/A / (051) 3586-2013Obs.Interna: pedido faturado com preço do a vista. Diferença para FTi 25  vou pagar para 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</si>
  <si>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k7-r0JnGCEDsJPzDy12kOV7c3icGrwO3XPM7FONApNTCxO2fMarzkJVXP_ltrI4hK_5462cueuzc00dvK1qKnSdi0KKZnxAqPIT0wPik0iyVGJIYkh0JykMlD9gjmWjDVaY6wOZyG-_UUrSTlSAUiJWit3iXmEyF3sHR5IC-wjTTQrSO62rFToaXxGOOM6uZ2AuUzR8ky5My16HFHBgwlv3QoFZBjxBHjS014LojQLAdu7DhBsLcdmRqBxUeTmvAjHHbwNOvuP8Dq9LtUV_LrAMcR4_m_T_h-2TfVdzTOremoNjaCv0f9mvr3Vg&amp;amp;lib=M-zdWbhavtdZ1B_W2dnFDM0qoVt4lWzJ-"&gt;here&lt;/A&gt;.
&lt;/BODY&gt;
&lt;/HTML&gt;
</t>
  </si>
  <si>
    <t>1UxaYZv-SYOiy6oH85uNdQ</t>
  </si>
  <si>
    <t>18241</t>
  </si>
  <si>
    <t>FITLOG TRANSPORTES E LOGISTICA LTDA / (048) 996277956Obs.Interna: OC 948 CE1365 ( CAIÇARAS). QUADRO TOUCH DESLOCADO SOBREPOR. Entregar AV Epitacio Pessoa s/n ilha dos Caiçaras Lagoa RJ cep 22471 002 ligar para o Jorge antes de entregar 21 9 9512 4022. Abater do pacote. / E-mail para nota fiscal: , E-mail de cobrança: , Telefone para contato</t>
  </si>
  <si>
    <t>&lt;!DOCTYPE html&gt;&lt;html&gt;&lt;head&gt;&lt;link rel="shortcut icon" href="//ssl.gstatic.com/docs/script/images/favicon.ico"&gt;&lt;title&gt;Error&lt;/title&gt;&lt;style type="text/css" nonce="NhrNPRTzj4kTeVY_hmxwJw"&gt;body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0;max-width:600px"&gt;SyntaxError: Unexpected token &amp;#39;F&amp;#39;, &amp;quot;Forbidden&amp;quot; is not valid JSON (line 113, file &amp;quot;Código&amp;quot;)&lt;/div&gt;&lt;/body&gt;&lt;/html&gt;</t>
  </si>
  <si>
    <t>LpI.Ccj2SrGg.xqjRy9kpA</t>
  </si>
  <si>
    <t>18242</t>
  </si>
  <si>
    <t>8F00250411530011</t>
  </si>
  <si>
    <t>FITLOG TRANSPORTES E LOGISTICA LTDA / (048) 996277956Obs.Interna: OC 968CE 1427 DANIEL RIVELLO VEGA. Entregar Estrada Leopoldo Froes 302 casa Sao Francisco Niteroi RJ cep 24360 005 ligar antes de entregar 21 9 9512 4022. Abater do pacote.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</si>
  <si>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x2Lpu7cNtevZLM2tmjVFwhxyUYj_N65ndxKx4pLTJKbXTgVSH9R5t_eUG7Beo8MdMVn3pq0ifNzHFKABOBDFLiJucFYeGDBJpkl1fCFGpPBiA23F3U5xX7kyGLaP79wWJ4YrFBs1ae-USFxt20Ix-I93D-5tB0yWCqALDD3KOXz1HEocJeznybMR6FEpFIy_QwgwnsqFH8mPojXk-r7j8I3tyq7gAdyXyrr--PlTsflDlME9r8DNQ17Z6M2pNi68myeI_do2AdY8n9cT4LLMiwqebmFuW1x_Pty0YlAtdXWaNWNRSGyMuhDwYTw&amp;amp;lib=M-zdWbhavtdZ1B_W2dnFDM0qoVt4lWzJ-"&gt;here&lt;/A&gt;.
&lt;/BODY&gt;
&lt;/HTML&gt;
</t>
  </si>
  <si>
    <t>5bT.Bwf5Qbi3SwGbWNMK9g</t>
  </si>
  <si>
    <t>18243</t>
  </si>
  <si>
    <t>14079</t>
  </si>
  <si>
    <t>EQUIPAMENTO DA FEIRA DIRETO PARA REVENDA</t>
  </si>
  <si>
    <t>0000000 - RETIRA - ELINE VELHO - 00000000000 - X / X / X / 0000</t>
  </si>
  <si>
    <t>FITLOG TRANSPORTES E LOGISTICA LTDA / (048) 996277956Obs.Interna: Pedido ref maquina de mostruario de Feira da Marc Sander. Enviamos a máquina para a Solucao NF que ficou com este equipamento. Nao necessita destacar frete ou produzir o equipamento, pois já está com 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</si>
  <si>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q-moM3DK7LoCLQUhuHz1ntEZcxwWSTa9WHxY8v9MzuoTWz4vo0QJUelfkTz6b3HDhGt1uyZBu-dtGj4W1OyV0EX6m3KmMs_kgR_HOFquoIk9Vf1J-VPlnvVHFfCddQQlmKNSud9eKsz8Bibzqp-f2hjPDFkjN97wkk8i67m7YsqHin3oc9laojgVdrCPP73CZpMdeRNr3GBJCkUdLmOMTNT4r052qS9aG-MfDc2qHUQmACa8Tic5HXFYrFMMDKXOP6FBrhWwnXUk9MIKwE2P7jURTjsrjRkprppD3X6M5kWDO4Uhkl4svZK-nhQ&amp;amp;lib=M-zdWbhavtdZ1B_W2dnFDM0qoVt4lWzJ-"&gt;here&lt;/A&gt;.
&lt;/BODY&gt;
&lt;/HTML&gt;
</t>
  </si>
  <si>
    <t>tHtvY0F-Rjuuk7kiMQo4jA</t>
  </si>
  <si>
    <t>18245-A</t>
  </si>
  <si>
    <t>ROBSON/ PEDRO REPRESENTANTE</t>
  </si>
  <si>
    <t>8E00250214240046</t>
  </si>
  <si>
    <t>FITLOG TRANSPORTES E LOGISTICA LTDA / (048) 996277956Informação Adicional:
seg a sex 08:00 as 16:00 HORARIO DE FUNCIONAMENTO
/ Obs.Interna: SEM COBRANÇA E SEM COMISSÃO . NF DE AMOSTRAS
ENVIAR  04 BANNERS FTI / 20 CATALAGOS/20 CANETAS / 01 WIND BANNER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</si>
  <si>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hDlc8BsC3ms7HKiZfOdjkHAM_eeGQk9W2fgJmv8dWLb5hH1YUUIT3O9Kvg87dgDvU9SxcTOMPFtUY0yNi7Hi_RVwoMEpEakJ1379hde7XAkR_6WOOnBdD_NRSz4UoM-fisJZhIQvl3B6Hvrj5YWzoYVEYaiqVbneBkCy1VBnXtCVrGWn_lERH0YPxQ50B2zbcuHOjX8IDhcuF8Rr9mKoVa6BZmAsWIyvSYOrN-J6lq5TC8sZV_yJOPyHMIv4hsyh84-MLrCvlr1oB_1cVHRq5HRrrOo9-rkM8LHclvVp2hEQim1lMc-ZCAEthgw&amp;amp;lib=M-zdWbhavtdZ1B_W2dnFDM0qoVt4lWzJ-"&gt;here&lt;/A&gt;.
&lt;/BODY&gt;
&lt;/HTML&gt;
</t>
  </si>
  <si>
    <t>2SzoOUAaSJqZwmCX8Hzm9A</t>
  </si>
  <si>
    <t>18245-B</t>
  </si>
  <si>
    <t>8E00250214240009</t>
  </si>
  <si>
    <t xml:space="preserve">&lt;HTML&gt;
&lt;HEAD&gt;
&lt;TITLE&gt;Moved Temporarily&lt;/TITLE&gt;
&lt;/HEAD&gt;
&lt;BODY BGCOLOR="#FFFFFF" TEXT="#000000"&gt;
&lt;!-- GSE Default Error --&gt;
&lt;H1&gt;Moved Temporarily&lt;/H1&gt;
The document has moved &lt;A HREF="https://script.googleusercontent.com/macros/echo?user_content_key=AehSKLjOJJKGcCWkqJEhaeiJtqklsivONdp0JGbnqftNmhMBATeclLlwzkd6ex5TFOoxxMN1w6QQ7gOhEHz3u7dCywJCU3Wa_bQi2n2MjOlFR3BIWGWxQEr_NggbCv9VK9syqqEH09jy1WM_lWCucfUggCXUeOTMc-ginbmqb8FpFg40ctH3WEeJHO79fne5jPbCLnJuZu1E2QexR063Yp3bWGWLu5-7AC_TPUMoW1qBOcwpqq9gkuIHKEBd2ami4xxoXkhF2K1EE9zXJEtkGKNuQtStx0SdqAlnc6zJUsEI9TkdQPFmulHB5-Kwmg5L4Q&amp;amp;lib=M-zdWbhavtdZ1B_W2dnFDM0qoVt4lWzJ-"&gt;here&lt;/A&gt;.
&lt;/BODY&gt;
&lt;/HTML&gt;
</t>
  </si>
  <si>
    <t>7TrcJ6OZH8Z3bi1y9W3X</t>
  </si>
  <si>
    <t>18245-C</t>
  </si>
  <si>
    <t>8E00250214240029</t>
  </si>
  <si>
    <t xml:space="preserve">&lt;HTML&gt;
&lt;HEAD&gt;
&lt;TITLE&gt;Moved Temporarily&lt;/TITLE&gt;
&lt;/HEAD&gt;
&lt;BODY BGCOLOR="#FFFFFF" TEXT="#000000"&gt;
&lt;!-- GSE Default Error --&gt;
&lt;H1&gt;Moved Temporarily&lt;/H1&gt;
The document has moved &lt;A HREF="https://script.googleusercontent.com/macros/echo?user_content_key=AehSKLgISvcWyod5sWzCfnuZMMTzUlTgUG0vucrObsfdHKAqR-tHfePQdChAp_SgT_28OQ1WfjdXSQm1SLSL3HzGEMdv1PEtYr3GLU7TzGn8zRJVVO-Hzd2cmbUnyE6fxJqbno1R8fK2P_Uia9h2CqsCB45CVfTG2OJ5BGijFq4GM2A4fop-MyxdV9GB-96i5KFl-9tydaOrJAkBc2dyhDzD96uZ-8_fwTywdGOI91XEj2uvLrttAzoBV9CY7Rl5BdXrE09qvr_FNsDVBzl4JtBFAONkQwwyr7NUNSXnu3JOBPlm6yrrrtBYh9SKYMWacg&amp;amp;lib=M-zdWbhavtdZ1B_W2dnFDM0qoVt4lWzJ-"&gt;here&lt;/A&gt;.
&lt;/BODY&gt;
&lt;/HTML&gt;
</t>
  </si>
  <si>
    <t>1f3Zg1AgQG9J8mmbYGpO</t>
  </si>
  <si>
    <t>18245-D</t>
  </si>
  <si>
    <t>8E00250214240019</t>
  </si>
  <si>
    <t xml:space="preserve">&lt;HTML&gt;
&lt;HEAD&gt;
&lt;TITLE&gt;Moved Temporarily&lt;/TITLE&gt;
&lt;/HEAD&gt;
&lt;BODY BGCOLOR="#FFFFFF" TEXT="#000000"&gt;
&lt;!-- GSE Default Error --&gt;
&lt;H1&gt;Moved Temporarily&lt;/H1&gt;
The document has moved &lt;A HREF="https://script.googleusercontent.com/macros/echo?user_content_key=AehSKLjsQR9gXbAZ77BlXJoYQnKGjWhPBz4t-0L9P_VbQcbDhSK7pJFnb3x6PwzlhYMrJ0n6mHAgLOglvxNG0vXDEejHW-lcvFkniUw_wiCPG24P1ps5wXvayUSRsKJ17bn7Eqtf-0dXjN7ZC7wjY1aX-qCRNJfUZawkdJsrRN_FVCZa1AdGeBR9qNdH2RSvfBtGTzU-OkE4-KEvluGWnHyJt2BZA5teMhIVvs3O-K5sIMyB4NbyY6ZZ7-dNDNjjMcQAy0GqHdK0SPXel1K1TS9Sjmoj18WAx36s-gDZkiOpN1megxFUMsF-aCjxjZ3h2g&amp;amp;lib=M-zdWbhavtdZ1B_W2dnFDM0qoVt4lWzJ-"&gt;here&lt;/A&gt;.
&lt;/BODY&gt;
&lt;/HTML&gt;
</t>
  </si>
  <si>
    <t>uU7oMIvIGNFpJNZ1mWPi</t>
  </si>
  <si>
    <t>18246</t>
  </si>
  <si>
    <t>8E00250208070029</t>
  </si>
  <si>
    <t>FITLOG TRANSPORTES E LOGISTICA LTDA / (048) 996277956Informação Adicional: Frete FOB com Redespacho pela Transportadora Prontlog CNPJ SP - 44.781.745/0001-00 - RUA SOLDADO AMERICO RODRIGUES, 131 - GALPÃO B - PARQUE NOVO MUNDO CEP 02.186-020
Maquina faturada direto para cliente. Valor ja considerando o acrescimo de 6% de DIFAL.</t>
  </si>
  <si>
    <t xml:space="preserve">&lt;HTML&gt;
&lt;HEAD&gt;
&lt;TITLE&gt;Moved Temporarily&lt;/TITLE&gt;
&lt;/HEAD&gt;
&lt;BODY BGCOLOR="#FFFFFF" TEXT="#000000"&gt;
&lt;!-- GSE Default Error --&gt;
&lt;H1&gt;Moved Temporarily&lt;/H1&gt;
The document has moved &lt;A HREF="https://script.googleusercontent.com/macros/echo?user_content_key=AehSKLiaeO5P1TdOKFBD9lCiIIpp3HpBOdFEiAHIzI-_m4SgVCu9fsBl1FI9e8GgBnSlmGWoZjTGHV91_uVD1xDuLJX_eSD_dSXfKiptg2nLSHlJESng0OQTpaE6Gf1UnLp-oxvtddXujvjW9fBs0BrIekf9LOgLsWKWziwGBY6JxN01g961ZzRw2E2ewAGyjsTrBC7sx7YL6efkLxx98EmjiDJeODbfmS3UySW9Id0sTpfvBpBMaGoZeBtbiINuO-RWh7npaKThOf1t6xjMkOs7lUvBzBW0984n7A1A_TBPqtYJx_dnEiJMe0t4aeaFbA&amp;amp;lib=M-zdWbhavtdZ1B_W2dnFDM0qoVt4lWzJ-"&gt;here&lt;/A&gt;.
&lt;/BODY&gt;
&lt;/HTML&gt;
</t>
  </si>
  <si>
    <t>YFY1wMqDSrG5Z7w1-dMGlw</t>
  </si>
  <si>
    <t>18247</t>
  </si>
  <si>
    <t>8F00250208090016</t>
  </si>
  <si>
    <t>RETIRADA NA FABRICA / (0) Informação Adicional: ABATER PACOTE FORNECIMENTO PREÇO CORRETO  R$ 7.487,00
RETIRA DIA 22/08 - DE MANHA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</si>
  <si>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5gaLmYHbvfZgFzNXapOtXFio2971C-JmokE-jp4J6i0sNboe5ceq0rUGd00THdtRumBA0Uh58JNtRLHCzwwAAfkM1eb5eeLzkcok4dvnQ9RAIMi_65srs93BOJYOyfeWh72vx4_t549e-G3pTlHCesqveMQXcNY-8qwIPI22QDOSGpaf0WXKR1Q7GubpFf_9tOBxXj8_X-UHMWOy8qDK9kYMVHsjz9tYeURb13kKMfRxnh_mMfvqgd_h1H9rIaLDp7O4nSK3DSrBqCjHrRWxOuCmNmMkbhG9peH0fdy9ZpGYUF1UfXpA7km9K-w&amp;amp;lib=M-zdWbhavtdZ1B_W2dnFDM0qoVt4lWzJ-"&gt;here&lt;/A&gt;.
&lt;/BODY&gt;
&lt;/HTML&gt;
</t>
  </si>
  <si>
    <t>eZ0Jxz-OSnit0qgmvcBPwA</t>
  </si>
  <si>
    <t>18248</t>
  </si>
  <si>
    <t>8F00250706320010</t>
  </si>
  <si>
    <t>DESTAK / (048) 2102-5242Informação Adicional: SALDO DO PEDIDO 18277 TRANSFERIDO PARA ESTE POR FALTA DE ESTOQUE
ENTREGA EM SETEMBRO 1/09/25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</si>
  <si>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LhrVlxxGZUlbNsrE67cyDISHaBI6J-yrK99z6n4r3pXeP6oAjAVVlOFzG521GNYbv5G-xW3mALG0b1bB9EL4ORJ52ok0uh1V_jwxD1U9qJwJAgNDCZZ7fkZOzRNN0CB5ydXadKSPlc8cD_5Vgwz_t158FbYr1QS55uyVHFTBxw2nO37Ol_Aj06seUlU6zuJwkqY8cdnIUzZRSpuV5oKGV17efjXLzR4J7Zg1_tFjeQqrqGYP38V4rLVdjWMwK8t7uBglH9lyfwswnUbMqGIenQRzB3fzPIZmgHc9e7IhI-mQj7FN-ZypCZjPbaA&amp;amp;lib=M-zdWbhavtdZ1B_W2dnFDM0qoVt4lWzJ-"&gt;here&lt;/A&gt;.
&lt;/BODY&gt;
&lt;/HTML&gt;
</t>
  </si>
  <si>
    <t>a.A7cGyeCR5KbNivQq1KU-A</t>
  </si>
  <si>
    <t>18249-A</t>
  </si>
  <si>
    <t>8F00250706320005</t>
  </si>
  <si>
    <t>EXPRESSO SAO MIGUEL S/A / (051) 3586-2013Informação Adicional: 50% de entrada+30 dias / Obs.Interna: 50% de entrada+30 dias ENTREGA DIA 14/09/25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</si>
  <si>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W6aCmg5KDSiDIehRHzE459D8dtOXZqv800Am0cyHwN4XvSBFTRMZn9FvH5q8cTPUX5LqajZyrmWktM8srzXkfzRvWIHBBICi3rWKRhUEQCPAdLgjZnDkp7use5a-cxMDPfKO07TjzVeDDiw1TwpmhpcsM6kL0nQCGa76Ahc3NGH-kxjQmtnXJisREnGYEGzzbxsXH0jJGg9EzX0RwhaZidJCzeI3_zfgMA9qESsLDFgxjja3DQyPLYC5cv9wmoWkL-4rDtdVSRHIMg8YzbXPLEOyPS75dw8fTzNFgqhg5kc-ewTg4xSm5B3eIHg&amp;amp;lib=M-zdWbhavtdZ1B_W2dnFDM0qoVt4lWzJ-"&gt;here&lt;/A&gt;.
&lt;/BODY&gt;
&lt;/HTML&gt;
</t>
  </si>
  <si>
    <t>dwnK9ymyVZx8yPRbq1Gh</t>
  </si>
  <si>
    <t>18249-B</t>
  </si>
  <si>
    <t>8F00250706320006</t>
  </si>
  <si>
    <t xml:space="preserve">&lt;HTML&gt;
&lt;HEAD&gt;
&lt;TITLE&gt;Moved Temporarily&lt;/TITLE&gt;
&lt;/HEAD&gt;
&lt;BODY BGCOLOR="#FFFFFF" TEXT="#000000"&gt;
&lt;!-- GSE Default Error --&gt;
&lt;H1&gt;Moved Temporarily&lt;/H1&gt;
The document has moved &lt;A HREF="https://script.googleusercontent.com/macros/echo?user_content_key=AehSKLj2jW00kbanlUl-BZn_brVlrsCEyfHpfjdiaF9YHbWK137x8s2-RDON0Zl1QtcY135w-yc7ZIxq9HeBDYeLsx7Ww4p9vx36u1OIg2qofknLv1y88rTbCsHKFaQ56cMVTX98cwqlg5FBZlLUTD1wp6Q7Caoqc6cE3spc4FxUgl83G8kHCOoEpeXXrszT6_hPfTQcr45LSiB9lcSgp56vvQw0i5GuDO9EL6yEVA_ApXtAbokrW1COeRulU1sud7--1KFjo25Zl5HqxVmRsFSEhG52Wmpoyw43cG7Y3zB_4HUNepfV8Z4AeoyG8TEnGA&amp;amp;lib=M-zdWbhavtdZ1B_W2dnFDM0qoVt4lWzJ-"&gt;here&lt;/A&gt;.
&lt;/BODY&gt;
&lt;/HTML&gt;
</t>
  </si>
  <si>
    <t>4hShE1O8bYpBuvsh0A9Q</t>
  </si>
  <si>
    <t>18249-C</t>
  </si>
  <si>
    <t>8F00250706320007</t>
  </si>
  <si>
    <t xml:space="preserve">&lt;HTML&gt;
&lt;HEAD&gt;
&lt;TITLE&gt;Moved Temporarily&lt;/TITLE&gt;
&lt;/HEAD&gt;
&lt;BODY BGCOLOR="#FFFFFF" TEXT="#000000"&gt;
&lt;!-- GSE Default Error --&gt;
&lt;H1&gt;Moved Temporarily&lt;/H1&gt;
The document has moved &lt;A HREF="https://script.googleusercontent.com/macros/echo?user_content_key=AehSKLhDpwbpOqO8SUzy1miaPOwLakVuCGMiTVwXI3fkO1BrkGVhrtZiM5vtz0K5Ez4fAvghBC6p9rTwkwi6pxjCPCnmGLVONtf2Pu6J4HPmtvX5HFj-G4qK8XjyJBRGJC4Tu6B51bAEEC9c2nHATBmEIlMwLKqiAClM6h3IEYrGS9Ig-oFFKhi2SIAsy4k8go2G59Q6Q9TKj5NvghICAvyfuuBUUSI9xneLxd0lxngqn5yCdGeD_vZFmS0lyc-CnujYj671k9SgBnsOcR6Sm0_xhIWNI-SFgWPT2trUD6ScnKPd8wsUquzznB9hkEEnOA&amp;amp;lib=M-zdWbhavtdZ1B_W2dnFDM0qoVt4lWzJ-"&gt;here&lt;/A&gt;.
&lt;/BODY&gt;
&lt;/HTML&gt;
</t>
  </si>
  <si>
    <t>UFiwR6URchf5cwrlA96c</t>
  </si>
  <si>
    <t>18249-D</t>
  </si>
  <si>
    <t>8F00250706320008</t>
  </si>
  <si>
    <t xml:space="preserve">&lt;HTML&gt;
&lt;HEAD&gt;
&lt;TITLE&gt;Moved Temporarily&lt;/TITLE&gt;
&lt;/HEAD&gt;
&lt;BODY BGCOLOR="#FFFFFF" TEXT="#000000"&gt;
&lt;!-- GSE Default Error --&gt;
&lt;H1&gt;Moved Temporarily&lt;/H1&gt;
The document has moved &lt;A HREF="https://script.googleusercontent.com/macros/echo?user_content_key=AehSKLj8MRJU3aN5V2k0XMhHr9h83GMLgQz2U1u788Hr313qiLi-8nUPRkA8gzqOaB_bR0Vzat71ljLyb3lt-t6DIuXoYBxzn69LqAXKZS50k2Oh1P4sLhxtO1pgvgS2Z0xPtSvfDeKB4DaAu-VNwQy9DWxML02SdJFLAPA8LemTXcXP5yW6aczGYreNAz3mKRNjdqMctCFpbrRPI11FN869kTSeOuj6wYrJefilfAUah63R9-x0yJSgGleO5TQ73US-zyvAOLj2UPIV0PC4lOsYSvkYrI_r3VF3Se-mWtY6iF56FxbCW9M3EETO8ULrrA&amp;amp;lib=M-zdWbhavtdZ1B_W2dnFDM0qoVt4lWzJ-"&gt;here&lt;/A&gt;.
&lt;/BODY&gt;
&lt;/HTML&gt;
</t>
  </si>
  <si>
    <t>LWrDosGr3TqfyMpTYyNN</t>
  </si>
  <si>
    <t>18250-A</t>
  </si>
  <si>
    <t>8E00250208070046</t>
  </si>
  <si>
    <t>NDT8I42 - RETIRA - LUIS CARLOS MACHADO  - 08507289916 - IVECO / CARGA CAMINHAO / BRANCA / 2008</t>
  </si>
  <si>
    <t>EXPRESSO SAO MIGUEL S/A / (051) 3586-2013Informação Adicional: 50% de entrada +30 dias / Obs.Interna: 50% de entrada +30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</si>
  <si>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zMK9lOclgwuFIJmnf2wlUqVZwsuTfe_Zqi9Ru6qYz-V3KqD8TGlYVnaiRt9kw1atDPHuXz5Rzffa736_5GXyOxFcay0QVS1VnKKjeNXTwliNnnHp_2pt0A9pK9TbDTrsHffD5o9KN760hC0An-zNFyrT_KbEBASoMobTr8LEItzB5i1ge092tt16tKYD88oLk8EqQh5q-S8iJ36bpWwmFFQ4IdMu41c12QDxmdcUWGsiI0UcuUW4eOMJkqa-sBO615RtDPsvixy2p6WvDxu4Qb77fhqtpb3YlsbATJpk8XapiaT9Ftbw7cCzwxQ&amp;amp;lib=M-zdWbhavtdZ1B_W2dnFDM0qoVt4lWzJ-"&gt;here&lt;/A&gt;.
&lt;/BODY&gt;
&lt;/HTML&gt;
</t>
  </si>
  <si>
    <t>cBdOnRn7T5Gb6CrRsWYLkQ</t>
  </si>
  <si>
    <t>18250-B</t>
  </si>
  <si>
    <t>8E00250208070047</t>
  </si>
  <si>
    <t xml:space="preserve">&lt;HTML&gt;
&lt;HEAD&gt;
&lt;TITLE&gt;Moved Temporarily&lt;/TITLE&gt;
&lt;/HEAD&gt;
&lt;BODY BGCOLOR="#FFFFFF" TEXT="#000000"&gt;
&lt;!-- GSE Default Error --&gt;
&lt;H1&gt;Moved Temporarily&lt;/H1&gt;
The document has moved &lt;A HREF="https://script.googleusercontent.com/macros/echo?user_content_key=AehSKLhT3PfkN29X-Srm7hQkXWSFitkh9EIkHYRINTOmpnGVmzCCmGgpoUe4O_9h68fn9MLQVa-4lutx77TD5WofHQ4LLcLN9X34QaEQDqzhezZygmxwTNL_CDwfCdti4FZGz1Cg-82zXsMc7dU7Z43g2IEMlKXPvuYgzhnEJZg2ZVswU3m_fjy_kFW37vkoMjYp0s83eKXURU0xLeBsbY7cHDJO31gyHwyXdB1ARAs7RAOJKorwGj-X_Di7FSOmbjc-15LFfTM_uUq7AcKqpQL0DcUmnXrKALcJRx5x9UJDq0BrJDVX3TrTOJz4okksew&amp;amp;lib=M-zdWbhavtdZ1B_W2dnFDM0qoVt4lWzJ-"&gt;here&lt;/A&gt;.
&lt;/BODY&gt;
&lt;/HTML&gt;
</t>
  </si>
  <si>
    <t>cAfZYCPXnK8Lt2n5NGIf</t>
  </si>
  <si>
    <t>18251</t>
  </si>
  <si>
    <t>FITLOG TRANSPORTES E LOGISTICA LTDA / (048) 996277956Obs.Interna: Abater do saldo de conta corrente
Quadro deslocado</t>
  </si>
  <si>
    <t>CAcMq3ejSCeiq7UHuBTEeg</t>
  </si>
  <si>
    <t>18252-A</t>
  </si>
  <si>
    <t>FITLOG TRANSPORTES E LOGISTICA LTDA / (048) 996277956Obs.Interna: Abater do saldo de conta corrente
Quadro deslocado na FT100
Pedido de compra 941 (CE 1008 - Everest)
Entrega Futura (sem previsão de data ainda). Aguardar autorização para despachar.
Entrega no endereço do cliente: Rua Prudente de Morais, 1117 Ipanema/Rio de Janeiro CEP 22420-041 / E-mail para nota fiscal: , E-mail de cobrança: , Telefone para contato</t>
  </si>
  <si>
    <t>0h8O45bqQ7eG8d3Tb5ZCUA</t>
  </si>
  <si>
    <t>18252-B</t>
  </si>
  <si>
    <t>fjKAyZHTjU8PtZWFKMNG</t>
  </si>
  <si>
    <t>18253-A</t>
  </si>
  <si>
    <t>8F00240812220292</t>
  </si>
  <si>
    <t>CLIENTE RETIRA / (0) Informação Adicional: ABATER VALOR DO PACOTE DO CLIENTE / Obs.Interna: ABATER VALOR DO PACOTE DO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</si>
  <si>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a_XveIlNNMzgf4sEZAnQXADw_oVk8TSCM--OXMzsMExbAK9W5G4-b8f_fF7tm386XeLzXeIS8p1oFyeK7PV6JfKGuZSaK9tIAJ4izxPKneExWLozzjl5C-C2hrCRm4u92CIzHyXNlAuXfVojCgcJBfHpFDPub2WgjRhBHDVTaqbnf40U8ryK_rnAQTo8A6zMD0lIzHy_D_ZVuJyIU_clmNstdr6yFmePu7jM61ZR9G_NTvEimitK2F1_jLCJ_0BtEsbIM5EmqgCoaHJBZExCPZ7zyLI6vFLUYjvz2Shn2G8-LK9m5ZCtnnNaTPw&amp;amp;lib=M-zdWbhavtdZ1B_W2dnFDM0qoVt4lWzJ-"&gt;here&lt;/A&gt;.
&lt;/BODY&gt;
&lt;/HTML&gt;
</t>
  </si>
  <si>
    <t>x.WmLVdpTXqqss1YNjY10g</t>
  </si>
  <si>
    <t>18253-B</t>
  </si>
  <si>
    <t>8F00250411550005</t>
  </si>
  <si>
    <t xml:space="preserve">&lt;HTML&gt;
&lt;HEAD&gt;
&lt;TITLE&gt;Moved Temporarily&lt;/TITLE&gt;
&lt;/HEAD&gt;
&lt;BODY BGCOLOR="#FFFFFF" TEXT="#000000"&gt;
&lt;!-- GSE Default Error --&gt;
&lt;H1&gt;Moved Temporarily&lt;/H1&gt;
The document has moved &lt;A HREF="https://script.googleusercontent.com/macros/echo?user_content_key=AehSKLjo6qLVunvldDmh-yzcAwDA6o5Wz7eS9aXpAcguD-36qCMtk_aj_exqUYd65KOIxncy0ATuhCZuGtS5F7N4NP2hPmX72PpzjQHmzkxOzsvYmqSDl7n6yiYI-sM2yOYjcdI3qS0cpe3fWp_HahJKu_hy40qfSbeKnZi2qNxCOrZDBysYmzBcI66Y7gCLJkjtD-mfmsZy1onhd4fJd5KzpGreNDpmYOgr6cjql7-FCZEyxHllTTAtwv7oFgrYvBrHZILLavHO-BK2BasB8nhN3e3aVbkq3ze04zpT-7tfe1FZdUMvb6e2hb9Dq6eeAg&amp;amp;lib=M-zdWbhavtdZ1B_W2dnFDM0qoVt4lWzJ-"&gt;here&lt;/A&gt;.
&lt;/BODY&gt;
&lt;/HTML&gt;
</t>
  </si>
  <si>
    <t>d2YsQubP3XwUuMbRgW7L</t>
  </si>
  <si>
    <t>18253-C</t>
  </si>
  <si>
    <t>8F00250329040019</t>
  </si>
  <si>
    <t xml:space="preserve">&lt;HTML&gt;
&lt;HEAD&gt;
&lt;TITLE&gt;Moved Temporarily&lt;/TITLE&gt;
&lt;/HEAD&gt;
&lt;BODY BGCOLOR="#FFFFFF" TEXT="#000000"&gt;
&lt;!-- GSE Default Error --&gt;
&lt;H1&gt;Moved Temporarily&lt;/H1&gt;
The document has moved &lt;A HREF="https://script.googleusercontent.com/macros/echo?user_content_key=AehSKLiZC31rPv5FF4mgh-0rGBu74PbNNJRszXK9Raoe1uyzWaUOPSNCvqlK93MpoWlOl_EVFZq2GoqME_2T06xEe4E3PLwcuU4FuYbR3-xPp1QO0LzcQDk8zKYrjWIjWNHNNZo4oo2SEhEYX0vxjka5-480u9z_d8_FZj7U3qXB0bb7KpD2Ucus-BxLNvxEAe4_IrPX6IOjfKRu4nL4uEnUPYmIX4a-cp04thjv38m_ExaSM-K4_QtcUuZByGTN1b_IpCnQRH1K68g_PTUzgnZDWntWxTI8GxHmnKo4A3g83dyVho3NpDI6cm69Ws36mg&amp;amp;lib=M-zdWbhavtdZ1B_W2dnFDM0qoVt4lWzJ-"&gt;here&lt;/A&gt;.
&lt;/BODY&gt;
&lt;/HTML&gt;
</t>
  </si>
  <si>
    <t>Fx2MgX0ScS5t6AW2oY7V</t>
  </si>
  <si>
    <t>18253-D</t>
  </si>
  <si>
    <t>8F00250411520001</t>
  </si>
  <si>
    <t xml:space="preserve">&lt;HTML&gt;
&lt;HEAD&gt;
&lt;TITLE&gt;Moved Temporarily&lt;/TITLE&gt;
&lt;/HEAD&gt;
&lt;BODY BGCOLOR="#FFFFFF" TEXT="#000000"&gt;
&lt;!-- GSE Default Error --&gt;
&lt;H1&gt;Moved Temporarily&lt;/H1&gt;
The document has moved &lt;A HREF="https://script.googleusercontent.com/macros/echo?user_content_key=AehSKLiiSe8DMaQcahrYHBYdw8voMWwk447Yc7Ds99-BS1UVenmpI28pLjwuFMX9sFey551vLFVzmTuJEGrqVlFQmc-WdDHHnI40QzS4TodCLF8B-cYqeYqLF1_Ql6VfgHIXILfXadRrYN-v8gCzEfG0kgkoTISgFvOZIsO_n7vus6LT48z3N-LSedSSO00N8cvpFYKlMVprjclgh0dbktzNrfVuW4l8kvpNl76lqPjAP1U8d2JZRX2t0oB4jaAVqsIxLncy40lty8SJIED9Loc2syhaZj9UvQWEKKMgGF5s1g7wtzLGPnZUhTusHLseVQ&amp;amp;lib=M-zdWbhavtdZ1B_W2dnFDM0qoVt4lWzJ-"&gt;here&lt;/A&gt;.
&lt;/BODY&gt;
&lt;/HTML&gt;
</t>
  </si>
  <si>
    <t>avsjZmkvOawPArXb1MGX</t>
  </si>
  <si>
    <t>18253-E</t>
  </si>
  <si>
    <t>8F00250329040020</t>
  </si>
  <si>
    <t xml:space="preserve">&lt;HTML&gt;
&lt;HEAD&gt;
&lt;TITLE&gt;Moved Temporarily&lt;/TITLE&gt;
&lt;/HEAD&gt;
&lt;BODY BGCOLOR="#FFFFFF" TEXT="#000000"&gt;
&lt;!-- GSE Default Error --&gt;
&lt;H1&gt;Moved Temporarily&lt;/H1&gt;
The document has moved &lt;A HREF="https://script.googleusercontent.com/macros/echo?user_content_key=AehSKLhzCe-bHN7gq6pVCHrIhOAbXJ_xjVc-yF1jl_2xPY9_7xZYhd5aO4utRc1kn2_DvbI9kGFDti5VxSzsu9NHSrER6Mtx5NQuMKAfA1aMg_-c263ZCdl9URAoac7VoT3qPBLSWhkcnH-cZhIYeLwPH-xcaq-R4jzHTI2kb1ZIxuGSQjdmpA0B5Il8hw-XS36kQoxClPPe0T1_mkxNNulEfn_elZvdZrc_3qJ5POQFg3oaROBgS-SjOKsczUuL8rydu0Q_QGqzEVYWqxgparY2cqfZeAAWk4c0hcIitK28_xeiIVLfYgF7VFxSoFyWuQ&amp;amp;lib=M-zdWbhavtdZ1B_W2dnFDM0qoVt4lWzJ-"&gt;here&lt;/A&gt;.
&lt;/BODY&gt;
&lt;/HTML&gt;
</t>
  </si>
  <si>
    <t>38qiI1iiHDsHToMaxU9j</t>
  </si>
  <si>
    <t>18254-A</t>
  </si>
  <si>
    <t>AQUA LUMEN</t>
  </si>
  <si>
    <t>8E00250208070031</t>
  </si>
  <si>
    <t>EXPRESSO SAO MIGUEL S/A / (051) 3586-2013Obs.Interna: R$10.916,04 PIX NA CONTA A DIFERENÇA DE R$ 1. 223,96 BOLETO PARA 45 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</si>
  <si>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__ND949kUC4bQCJF68en5FXM4JeXdkTkdU2vThscC_iUAQ1K9NprGGfTbSLB_WPVFiK6AlRVdVfL2VPH533oTCKMZ744KLoWHsncUF7FsvjKDUFSBVQBhB_Yhci8DGj8DnPI6Xb-Xxb0vy230d_w5HDO4xdvxt6UoTYLwikuy-Mfu7W2bua1K_m6iPkKpvQ26Aa-K9ootvkXmXrNzhSt58PpsRL6ab0tnuRsv469qqJLLMFoMxQXvz4i7bGY4rxZLnsJV1hAdlGL8DE8n79-OV7hzt34JV9ljZEL9V8xd_coTwXrIHe_BGb5JGw&amp;amp;lib=M-zdWbhavtdZ1B_W2dnFDM0qoVt4lWzJ-"&gt;here&lt;/A&gt;.
&lt;/BODY&gt;
&lt;/HTML&gt;
</t>
  </si>
  <si>
    <t>06.cnGuhTDecy6SiUIhfAw</t>
  </si>
  <si>
    <t>18254-B</t>
  </si>
  <si>
    <t>8E00250208070030</t>
  </si>
  <si>
    <t xml:space="preserve">&lt;HTML&gt;
&lt;HEAD&gt;
&lt;TITLE&gt;Moved Temporarily&lt;/TITLE&gt;
&lt;/HEAD&gt;
&lt;BODY BGCOLOR="#FFFFFF" TEXT="#000000"&gt;
&lt;!-- GSE Default Error --&gt;
&lt;H1&gt;Moved Temporarily&lt;/H1&gt;
The document has moved &lt;A HREF="https://script.googleusercontent.com/macros/echo?user_content_key=AehSKLgSBq2zTGkbHhXOTmsCD_57Txl44sYMtQxXrSNA8F8OieQ_q6cnlg2JofFKsw7-hLkrNNkdanb9uxFxIHJDktNOvXKnxcWVmDZDwD0-RJLp722poYuS_z1h17O4HnC1JOHjC4V53F8NFRJK4JVZ4W08zPfkqVB3p_ZwLKEFOBIFsCptNYX-yJGy6Q_3ijA87yGIApbWo1yNF0zb9FLODcb-HHQerE1O6-j81bNzo0ltA-01s5CNuO3r7KktK817m6kIG7LivluiKtfxRh9INgd60cb7Cbr7LurQrWmKcSJC4cTF7GeMqNo8TTRvSQ&amp;amp;lib=M-zdWbhavtdZ1B_W2dnFDM0qoVt4lWzJ-"&gt;here&lt;/A&gt;.
&lt;/BODY&gt;
&lt;/HTML&gt;
</t>
  </si>
  <si>
    <t>XqS1dc3eidK47MuBkJGO</t>
  </si>
  <si>
    <t>18255</t>
  </si>
  <si>
    <t>ACEVILLE TRANSPORTES LTDA / (0) Informação Adicional: ALTERAR PRAZO DE PAGAMENTO PARA: ENTRADA + 15/30/45 DIAS
COM QUADRO DE COMANDO EXTERNO / Obs.Interna: ALTERAR PRAZO DE PAGAMENTO PARA: ENTRADA + 15/30/45 DIAS
COM QUADRO DE COMANDO EXTERNO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</si>
  <si>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3UM3jEmPNLdOVMJLn3_4nY7cVpLL21k-y4zD5uTCjb-8kG_EgLjrIL6Vt7ubpwQnT0UvcGSY5gAR8AmB-DVyPjB1TsxtSeSB5Y2swd25ElNOt1rKTcfCyTKV2aPfXw9NB-2XeTpUGIVtpUENt5TPSRwLHPrW_qk0FGK55ZIOnEMOh8u7BNiv6A3RTHzeYDM9BC7ikJIcoRli2LrCND0K2EJHWWwqCLvGKc_doC15ztZYEnvhEfyj3D7dndsgODWnyOk7SkRxLvY8FDyc7fVocoHM7ukUt9hyQl6d1s6lmMVsWaFZ8TU4WIJ1a1w&amp;amp;lib=M-zdWbhavtdZ1B_W2dnFDM0qoVt4lWzJ-"&gt;here&lt;/A&gt;.
&lt;/BODY&gt;
&lt;/HTML&gt;
</t>
  </si>
  <si>
    <t>x6lAUFI-SeaKu6.6vMfVIw</t>
  </si>
  <si>
    <t>18256</t>
  </si>
  <si>
    <t>8E00250208070032</t>
  </si>
  <si>
    <t>Favor enviar junto ao pedido uma carcaça de mostruário
&lt;br&gt;
FITLOG TRANSPORTES E LOGISTICA LTDA / (048) 996277956Obs.Interna: Favor enviar junto ao pedido uma carcaça de mostruário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</si>
  <si>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owdIm3Ni09WT61Odncv46E5ZsAFwcmOhIsfp0SUgu-ol1zAoafeH8zgx_jkgYEGE4n4E97Jz-cEojHYC-xSpEpRPAKM1QHnRY5V8rIUjOe9DEADqRephb__qKrRA4XtuM-nF3CYTlzbBWiLM3lE9u2T59Z__hze01aCvzDO_kxtESNLA0o6NYnueFxSSCVnzdSGFJG3GybdvP89V4aDb52pwL6ipGEtNRnIPiCQS-JU7O7YTtt4DkjSogVk-VDg4k4yrhv0ZulpRP5yCs8RZXNVrsVec5WPO5B-qWD-Ee948qXkF7bjviTHoSjQ&amp;amp;lib=M-zdWbhavtdZ1B_W2dnFDM0qoVt4lWzJ-"&gt;here&lt;/A&gt;.
&lt;/BODY&gt;
&lt;/HTML&gt;
</t>
  </si>
  <si>
    <t>ryua3maZSja3N2I3ckN3dg</t>
  </si>
  <si>
    <t>18257-A</t>
  </si>
  <si>
    <t>8E00250208070037</t>
  </si>
  <si>
    <t xml:space="preserve">&lt;HTML&gt;
&lt;HEAD&gt;
&lt;TITLE&gt;Moved Temporarily&lt;/TITLE&gt;
&lt;/HEAD&gt;
&lt;BODY BGCOLOR="#FFFFFF" TEXT="#000000"&gt;
&lt;!-- GSE Default Error --&gt;
&lt;H1&gt;Moved Temporarily&lt;/H1&gt;
The document has moved &lt;A HREF="https://script.googleusercontent.com/macros/echo?user_content_key=AehSKLgestbXyczfTP2CMjgswu7xFuhH743d8pZQSZyR3KgWtu1vlbnOdGuUVeUUzmCcoxXS5XDFhNteMhxEtllEwGBuUXuP7ecnqdSu9L8ZDMGUBl-zoAfz0zglbvTpx15EdYLHfNeSyooXEF2K9c7cQSuEFkLDR4pVxguC0I9aRIIfkarN_KOn4vNw_wSgvaJcHCkwL97ZqymSYudQM_MyCVhqAjKL8Ll8YYTv1DZoEFgjC1jBeznAVqD_NX8dEVE2DWGPqJCPkb9WNcmyPWj3nrs6_2qlztfFhxG3K4AZG3k6qVAqvYl5qkjmwmyuaQ&amp;amp;lib=M-zdWbhavtdZ1B_W2dnFDM0qoVt4lWzJ-"&gt;here&lt;/A&gt;.
&lt;/BODY&gt;
&lt;/HTML&gt;
</t>
  </si>
  <si>
    <t>wi01w9Y6SKWVNs5WlQJuiA</t>
  </si>
  <si>
    <t>18257-B</t>
  </si>
  <si>
    <t>8F00250208090017</t>
  </si>
  <si>
    <t xml:space="preserve">&lt;HTML&gt;
&lt;HEAD&gt;
&lt;TITLE&gt;Moved Temporarily&lt;/TITLE&gt;
&lt;/HEAD&gt;
&lt;BODY BGCOLOR="#FFFFFF" TEXT="#000000"&gt;
&lt;!-- GSE Default Error --&gt;
&lt;H1&gt;Moved Temporarily&lt;/H1&gt;
The document has moved &lt;A HREF="https://script.googleusercontent.com/macros/echo?user_content_key=AehSKLgwtMtetKJQRV2PpN1Y4D-PY9RWzPdd47spDE2HnvZzMsL8Kdpk6P9usED5BWC2y3ZaLDwBmIYt8EYGM4R46zOP1HrBitO_xMlGHLDdMMnEuH7QUsvNlQxXpvAQ6kM0-X9Y8FrvHn0ZO--kUOJp4xSBQlGbN0js_TxAMJGEYvo_JedU34DMWj83sYhvDbsLlQ5Kbi1tWa_mKhc06Iuj_nxvf_uNBQrzbjaqad3K44ImGkx9GGUo-0MIfEhhA13cpcwV4DH_mUZxQUMsCduIPXOasX3zhcPZCooNIGiaMXOt8nRF--J8B2P4zi4rMw&amp;amp;lib=M-zdWbhavtdZ1B_W2dnFDM0qoVt4lWzJ-"&gt;here&lt;/A&gt;.
&lt;/BODY&gt;
&lt;/HTML&gt;
</t>
  </si>
  <si>
    <t>ppsh84Y7z4fUWAqZxx7N</t>
  </si>
  <si>
    <t>18258-A</t>
  </si>
  <si>
    <t>8F00250329060034</t>
  </si>
  <si>
    <t xml:space="preserve">&lt;HTML&gt;
&lt;HEAD&gt;
&lt;TITLE&gt;Moved Temporarily&lt;/TITLE&gt;
&lt;/HEAD&gt;
&lt;BODY BGCOLOR="#FFFFFF" TEXT="#000000"&gt;
&lt;!-- GSE Default Error --&gt;
&lt;H1&gt;Moved Temporarily&lt;/H1&gt;
The document has moved &lt;A HREF="https://script.googleusercontent.com/macros/echo?user_content_key=AehSKLi8mDkY0DAk1BC_mODucnUWB6MmYZy4_xJEIoXrV89iXfp78j1ie21kT-v_Er4xcMJZAiwdcf9gnSt_bvEqhxHWEEI94qD_47TDnwU29pwxLVFREHsJXKJcPP7ot2gE1ZPFHOq0uQF-UGHYjfzWO51N_nCdCUyxX1mtH5t2qNcBGXQq1Cz0vST5aOTfJXKDT_1HYbA3o0HeP97UwdoMTgvJ_945lhXdMlXO5YKf9vfSFhJKa7JNha1DszOfmzqErFwBq-JTsx447TXLnE5IdoyMJtTFmLBRcntOPnDoABqaSwy_TSFebkLOzw1Ejg&amp;amp;lib=M-zdWbhavtdZ1B_W2dnFDM0qoVt4lWzJ-"&gt;here&lt;/A&gt;.
&lt;/BODY&gt;
&lt;/HTML&gt;
</t>
  </si>
  <si>
    <t>UY.VVPd1RCW-Ot2Jc7cRPw</t>
  </si>
  <si>
    <t>18258-B</t>
  </si>
  <si>
    <t>8F00250411530010</t>
  </si>
  <si>
    <t xml:space="preserve">&lt;HTML&gt;
&lt;HEAD&gt;
&lt;TITLE&gt;Moved Temporarily&lt;/TITLE&gt;
&lt;/HEAD&gt;
&lt;BODY BGCOLOR="#FFFFFF" TEXT="#000000"&gt;
&lt;!-- GSE Default Error --&gt;
&lt;H1&gt;Moved Temporarily&lt;/H1&gt;
The document has moved &lt;A HREF="https://script.googleusercontent.com/macros/echo?user_content_key=AehSKLiIEOIVWwDNcv8wxyzoL_lngBrHXG5if3T6tAGDHkW7x2_zYEJBw8Ick_N1otqHmlAjaox5v8XT9-m4Xx-mHUIFMG591aM8WgyyrY8xzAXMFipd7CDTVF8WVmhNWvfjg--d5fugXRJtA1hBpogS2iaB3nRBzArVWc7cdHd-84U0QkN9MS926FXDOt5wRaeOt-Fr0rS4jdrYtKxzeu29qCivpspcO2Xj-8gUgULlgnQmSmaJKR2dz7HWTPW7van3B-laAZF9ZhAwZZc4EdaEj2_hdnyM5FwVOZMpnPYLkVkqqXQ5VALOCLgWpFnBUw&amp;amp;lib=M-zdWbhavtdZ1B_W2dnFDM0qoVt4lWzJ-"&gt;here&lt;/A&gt;.
&lt;/BODY&gt;
&lt;/HTML&gt;
</t>
  </si>
  <si>
    <t>C6mbrZXNckNnvTge0LYu</t>
  </si>
  <si>
    <t>18259</t>
  </si>
  <si>
    <t>COMERCIAL DALSOTO LTDA</t>
  </si>
  <si>
    <t>CLIENTE RETIRA / (0) Obs.Interna: A/C MARIO - VERIFICAR NF PARA TRANPORTE - AMOSTRA- AUTORIZADO PELO ABEL EXPOSIÇÃO EM FEIRA E TESTE EM LOJA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</si>
  <si>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frWK2m0mpWPAiBwxP8iV-jbD6_T_xVxm4o39FaSp88Lpfxh72PBIK7TZzu-VvlilTYY9oEN1bT3lqjNaNhoasRCcXz5SiQeTh4QeiJgK9QA2xvWpcyIJWSjz7KYTDTQ0-yvxUhhyYEwcnSdDJj2ZmyfxlJ1YcVcFmkBS1983z8Re6cFPFX38NUPv-GBEPss0LC_edtaByAmvvYmu05r-XvyRE72OCe91YNlr47bbKf2TerSfy8X-YEvXc9Ft6mtHDTyNIJnVPPBllmsSOq2H_UX8PlD7BqryyY4UFieJi4oWUa1wc7bXbwntU1w&amp;amp;lib=M-zdWbhavtdZ1B_W2dnFDM0qoVt4lWzJ-"&gt;here&lt;/A&gt;.
&lt;/BODY&gt;
&lt;/HTML&gt;
</t>
  </si>
  <si>
    <t>AhozkEISTN6mW7BdZJDzhA</t>
  </si>
  <si>
    <t>18260</t>
  </si>
  <si>
    <t>8F00250208090015</t>
  </si>
  <si>
    <t>FITLOG TRANSPORTES E LOGISTICA LTDA / (048) 996277956Informação Adicional: REDESPACHO FOB  CNPJ 24.882.886/0002-93 - RADLOG TRANSPORTES LTDA Rua UMBUZEIRO, 123 - Cep 07.224-010 - BAIRRO CIDADE INDUSTRIAL SATELITE DE SAO PAULO - GUARULHOS - SP I.E. 796.514.930.111 / Obs.Interna: desconto campanha pagamento faturado 3%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</si>
  <si>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ideEW2tqigEgyMc0M8WD3IN99VpdXkHOMN_YmvUU2xYd3WZpT15tPr-By-kGNnzaei1iY6oIBkrLXY-uejoww0j9foBhT0lcBLLN1qL0VU0wVybfUJSuR-B4V8NeFN_us19-sSbu-Wb2Bu82SaCjcG1c2RrdMnyUbxQNIknOcGok5snvINiIUYQ-fVZoAWs-qiHC9bIsk64_MjgoJgOMkwV50nWpDy4E2P02Eya3F6pbXOUP9WTyZD2NCHtMQqJZ8KsZdpidlF_wA9YbUPEtnehGeSqEK0nRLv7wjRNtbiBq8ZRg2U2QXQ4JUNAg&amp;amp;lib=M-zdWbhavtdZ1B_W2dnFDM0qoVt4lWzJ-"&gt;here&lt;/A&gt;.
&lt;/BODY&gt;
&lt;/HTML&gt;
</t>
  </si>
  <si>
    <t>FZz-IQ6tR5yiviVFkeyD.g</t>
  </si>
  <si>
    <t>18261</t>
  </si>
  <si>
    <t>8F00250411520002</t>
  </si>
  <si>
    <t>FITLOG TRANSPORTES E LOGISTICA LTDA / (048) 996277956E-mail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</si>
  <si>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haaBUpW1zIldSRn_UpU40q4utJWMsw2GPpSZzxI3XkZ_FBo2bQqrwk56-XMn7kUnxu9V_d6gU_vDGM35FPgA1uwAfsMM5yqLFJKNLFrvvJFJDrFeezDjMSu6DcS8sHpBqgqBhXEZfGctFhLkFpS49S9EdfX3E77bfvd5o7jVR2Cxqnz8P-X3nm_fD6DeCwASsoNzc3n4UyvT892IXIjLZrgQjb2BVW2pk6w7nncaW9JJFYqsJY2ZXlTek2ncx5fLkhKaO7iLn0yZmNiKy6uOrV2U6Z5i4QTFb7BfJagQ3XNLjsAfuTLkKaG9uIZQ&amp;amp;lib=M-zdWbhavtdZ1B_W2dnFDM0qoVt4lWzJ-"&gt;here&lt;/A&gt;.
&lt;/BODY&gt;
&lt;/HTML&gt;
</t>
  </si>
  <si>
    <t>JT3xBgdfSPihW.vX8Sta1w</t>
  </si>
  <si>
    <t>18262-A</t>
  </si>
  <si>
    <t>8F00250411520011</t>
  </si>
  <si>
    <t xml:space="preserve">&lt;HTML&gt;
&lt;HEAD&gt;
&lt;TITLE&gt;Moved Temporarily&lt;/TITLE&gt;
&lt;/HEAD&gt;
&lt;BODY BGCOLOR="#FFFFFF" TEXT="#000000"&gt;
&lt;!-- GSE Default Error --&gt;
&lt;H1&gt;Moved Temporarily&lt;/H1&gt;
The document has moved &lt;A HREF="https://script.googleusercontent.com/macros/echo?user_content_key=AehSKLhaIZ4pxLKsmmSoIFZEY-vzltsDSmq55Ij7D4hAb0SeKasMjxYTW0o-Wdfb-q5kMF3rAR7XDYEOu8r9h3oEi3vR3OMiauDzY6u-QwUrhubWd_8kDYW01lcuT5_VdQIGmVtYz4p7DrRh2jU_GyohvC27hEn5teCz2DE0-vRAyldcK5aj-nCsizaK-mFqdCvGQ7VXJa742MRwzuz8TyyJMSCifwUG4KpSfIp_Z7CnWfgJgdOMsJhHLF-n958FDKLo8W1Y4t69sccAkM3tExuADUoaM-jCjTqlTBhVy_BX8cgys4H6SlLeHPNVS4VDiw&amp;amp;lib=M-zdWbhavtdZ1B_W2dnFDM0qoVt4lWzJ-"&gt;here&lt;/A&gt;.
&lt;/BODY&gt;
&lt;/HTML&gt;
</t>
  </si>
  <si>
    <t>mlCR9UmqQ2CGMPr83Xzt5w</t>
  </si>
  <si>
    <t>18262-B</t>
  </si>
  <si>
    <t>8F00250411520012</t>
  </si>
  <si>
    <t xml:space="preserve">&lt;HTML&gt;
&lt;HEAD&gt;
&lt;TITLE&gt;Moved Temporarily&lt;/TITLE&gt;
&lt;/HEAD&gt;
&lt;BODY BGCOLOR="#FFFFFF" TEXT="#000000"&gt;
&lt;!-- GSE Default Error --&gt;
&lt;H1&gt;Moved Temporarily&lt;/H1&gt;
The document has moved &lt;A HREF="https://script.googleusercontent.com/macros/echo?user_content_key=AehSKLh6rloW5VVnO64b_TLF8VGxnqXQNHoTvmMRXqauMQ3gMmysgOBKtfDsfJD-BZLDVGZsqXWqPwQCot_xa1uXWc08tUntjRbDdbC3RqPF_DQMUq4IxxbB9rIN6No3F-9GI2Nn9AJJRl5yKDXPX6eK3kBMrZVGpFsdrgsjrcZZev5tvgi6rAZYtEXxWI-MpbL5IN5MR8RL9UMlC1lvzjiT-e6LA4eJ5Qj9VUnFjR_q0F9wG3-NO1QB_2AmnJ4kZzxkPqaMGLlhhnB7O7iu3TlpX4BCgnleg8wDSyXlf_bVUtAariXnzilYNtB2ZC8KTA&amp;amp;lib=M-zdWbhavtdZ1B_W2dnFDM0qoVt4lWzJ-"&gt;here&lt;/A&gt;.
&lt;/BODY&gt;
&lt;/HTML&gt;
</t>
  </si>
  <si>
    <t>wRr5mEY8npM31RSz7DmH</t>
  </si>
  <si>
    <t>18263-A</t>
  </si>
  <si>
    <t>8F00250804020004</t>
  </si>
  <si>
    <t>FITLOG TRANSPORTES E LOGISTICA LTDA / (048) 996277956Informação Adicional: FRETE FOB COM REDESPACHO PELA SETE LAGOS CNPJ : 03.098.929/0005-17 - End. SP: RUA PEDRO DE TOLEDO, 407 - JARDIM SANTA LIDIA - GUARULHOS - SP - CEP 07140-000 - VALOR TOTAL DO PEDIDO: R$ 9.690,84 / Obs.Interna: ENTREGA FUTURA DIA 10/10/25 .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</si>
  <si>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iqktTJ5E1SZx3tByHNiriuMt8XZCrLRnNFblw8CSjdO9wZ97eSY5dg3Opn3JrBg77w2CufejQUbesCuxHgxs4XOr0AFTseyumhkKmPSWxTa0wI2KSgmockSJvSvucAxuwuXtPmYqyIdp2VNnPEvMzNX8CFhj029DhrVhgOz7qRMeG77DXd12_2YzCqK_YdkAA4iq1r8LDPhCpBU4ti_oaSYhRD9htJKfinmj1umg-mSjrISDAmxQCNM6j0TyXs7FLaVmXQW8r2b6E-SfeKph_ARSjj3CBjpuhn_SSpDGzurR9BroYWWTWOufNzPg&amp;amp;lib=M-zdWbhavtdZ1B_W2dnFDM0qoVt4lWzJ-"&gt;here&lt;/A&gt;.
&lt;/BODY&gt;
&lt;/HTML&gt;
</t>
  </si>
  <si>
    <t>1SV1QXmBT822eS3.vGKSTg</t>
  </si>
  <si>
    <t>18263-B</t>
  </si>
  <si>
    <t>56vj8jeCRI8xS0HMvxjC</t>
  </si>
  <si>
    <t>18264</t>
  </si>
  <si>
    <t>RYn4NZlpR0yHSssynuSssg</t>
  </si>
  <si>
    <t>18265-A</t>
  </si>
  <si>
    <t>8F00250411530013</t>
  </si>
  <si>
    <t>EXPRESSO SAO MIGUEL S/A / (049) 3361-6627Informação Adicional: considerar o valor de cada maquina R$12.145,63
&lt;br&gt;</t>
  </si>
  <si>
    <t xml:space="preserve">&lt;HTML&gt;
&lt;HEAD&gt;
&lt;TITLE&gt;Moved Temporarily&lt;/TITLE&gt;
&lt;/HEAD&gt;
&lt;BODY BGCOLOR="#FFFFFF" TEXT="#000000"&gt;
&lt;!-- GSE Default Error --&gt;
&lt;H1&gt;Moved Temporarily&lt;/H1&gt;
The document has moved &lt;A HREF="https://script.googleusercontent.com/macros/echo?user_content_key=AehSKLiGHJttqW_gOsLp93JlAiv3nSP6f7kxKRZYC98YviAcIcd-fVzP8fQlnSlL4F3Dl1WGQOR__Rssjn8NtrW8a2ab7fPhIpS9uM11nV4cmGtYHoqsCMeO1P1oi2zdF9sdTuaqdYIZdTOp6j1FZWZ0RccVyTrvNyQGfD_Kj9dxwn8b6rTA6qHDeBjlsKPBccopK1qSkCVg8caUkfm1qewweaBV-GMRXF9bPLpaLfWxdKNaRfMZuzpdmFc7-DvSmK09HPK6fNuBGggWhZ5LV1IwyHtrudOm_DgX6KHa2QFZ-AiwJ834hXSGvS92htpUqw&amp;amp;lib=M-zdWbhavtdZ1B_W2dnFDM0qoVt4lWzJ-"&gt;here&lt;/A&gt;.
&lt;/BODY&gt;
&lt;/HTML&gt;
</t>
  </si>
  <si>
    <t>S.Ui-P3CQheBw4xenTWkgA</t>
  </si>
  <si>
    <t>18265-B</t>
  </si>
  <si>
    <t>8F00250411530014</t>
  </si>
  <si>
    <t xml:space="preserve">&lt;HTML&gt;
&lt;HEAD&gt;
&lt;TITLE&gt;Moved Temporarily&lt;/TITLE&gt;
&lt;/HEAD&gt;
&lt;BODY BGCOLOR="#FFFFFF" TEXT="#000000"&gt;
&lt;!-- GSE Default Error --&gt;
&lt;H1&gt;Moved Temporarily&lt;/H1&gt;
The document has moved &lt;A HREF="https://script.googleusercontent.com/macros/echo?user_content_key=AehSKLiHpbFFgx_eWS2Zcnu3rkvnSGcTYebytToPgqjQxz72pre5ELJttCmmJhAKAJRp9BLeY8BJHZNEvlmtK3bju42-M41GnUq3Uwp80sy4kXwE10vhJpX55orJWD23pcTOFxTCb69DQmGCsDWn9iLJLxKDGE4R_OTqumbqSHkhEhnBCJYTZXVU32pqSzrCP0DJGipLH1Gnxlwe7S8tqLCYnKQ3lKfjh0lqIlXSC59ALNm3rJEgBhgH2YITLY12hQQFbreC069olAFStRgIwRL4KYNohTiTnWOh16i7B76i9LcijdU5XVQE-8KLBvVJZg&amp;amp;lib=M-zdWbhavtdZ1B_W2dnFDM0qoVt4lWzJ-"&gt;here&lt;/A&gt;.
&lt;/BODY&gt;
&lt;/HTML&gt;
</t>
  </si>
  <si>
    <t>47wEwbhvCT7gUBiXcR24</t>
  </si>
  <si>
    <t>18267</t>
  </si>
  <si>
    <t>8F00250411530018</t>
  </si>
  <si>
    <t xml:space="preserve">TRANSRUAS </t>
  </si>
  <si>
    <t>Pedido gerado através do PedidoEletronico.com - , Transportadora / telefone: TRANSRUAS TRANSPORTES LTDA / (0) -</t>
  </si>
  <si>
    <t xml:space="preserve">&lt;HTML&gt;
&lt;HEAD&gt;
&lt;TITLE&gt;Moved Temporarily&lt;/TITLE&gt;
&lt;/HEAD&gt;
&lt;BODY BGCOLOR="#FFFFFF" TEXT="#000000"&gt;
&lt;!-- GSE Default Error --&gt;
&lt;H1&gt;Moved Temporarily&lt;/H1&gt;
The document has moved &lt;A HREF="https://script.googleusercontent.com/macros/echo?user_content_key=AehSKLgut_9tGUQ8CHuRQyh0WlB9IrGxIFULQNBJ6WPJ3HSTHbMk7enM7MJqFIr1u8WXHLBGJosU-7xh81UGvka--7lMyMbzgyzIMalrAbX5o5kuvWzMf0BNE_0kjD5_dZx0c_VrrOt2vVvhPYf97g109KQ7GsorNP5Q2_dUx4tGPgHSu3zzUylJqoLiuJTSnKrU2PJNkH4kaDAjPwZ0qFPa8X3DhEnmBdV8IOm52Xdt_dE2nOA0M184bYVKdAsZkbe-IANe_4nJN6hr9BG0Hup0RYhZX8j6g7buNenav9q7bQft11KtJzt9UZ_w3HEcgw&amp;amp;lib=M-zdWbhavtdZ1B_W2dnFDM0qoVt4lWzJ-"&gt;here&lt;/A&gt;.
&lt;/BODY&gt;
&lt;/HTML&gt;
</t>
  </si>
  <si>
    <t>e84-b59WTW6G5z4IIcVloA</t>
  </si>
  <si>
    <t>18268</t>
  </si>
  <si>
    <t>8F00241118040048</t>
  </si>
  <si>
    <t>EXPRESSO SAO MIGUEL S/A / (049) 3361-6627Informação Adicional: 30/60/90 (+3%) R$  9.239,83 FTI 55 / Obs.Interna: 30/60/90 (+3%) R$  9.239,83 FTI 55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</si>
  <si>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77Evvu_FwtNlvods9vLHPJbanqkuAoAPC6mum8iQJ3OEB9feVG9WQ29aLtSZPX6VfriotkY8_zCFHLAZdaTQpyI2oxfXPPEXcO2v6Wrjj4UzyR44oyVVoYhUtefEkelOpfifpDFeAjB_J0FqJWrd_JVlN4oc71r-XpGYJVOIMv7F4DrPnlrN3UYR_5rNDd6SdVSVNET3nyUtEO960APqSLbnpSlwo35DwFXZR2Tjzv4kVdpw-cf5n4ghTKG-mFaL1zvX8Deeh2MeWjnW2bJq5X-Fdno53SZ111UJg2NYPmzgnSqI1tvsnGHlyQA&amp;amp;lib=M-zdWbhavtdZ1B_W2dnFDM0qoVt4lWzJ-"&gt;here&lt;/A&gt;.
&lt;/BODY&gt;
&lt;/HTML&gt;
</t>
  </si>
  <si>
    <t>ed154.02RVCIsBKJuOWw8w</t>
  </si>
  <si>
    <t>18269</t>
  </si>
  <si>
    <t>8F00250208090020</t>
  </si>
  <si>
    <t xml:space="preserve">&lt;HTML&gt;
&lt;HEAD&gt;
&lt;TITLE&gt;Moved Temporarily&lt;/TITLE&gt;
&lt;/HEAD&gt;
&lt;BODY BGCOLOR="#FFFFFF" TEXT="#000000"&gt;
&lt;!-- GSE Default Error --&gt;
&lt;H1&gt;Moved Temporarily&lt;/H1&gt;
The document has moved &lt;A HREF="https://script.googleusercontent.com/macros/echo?user_content_key=AehSKLjb5gYIgPRfuJ7giSpoXuUIqzEdaHkS_l9DIHoc7fBJ9FX8Mcv58e25qc8bWfW-V9v5wQSCOFjx8Pt5X1XkZbhhPUQ15kAE7ZooQLnSlytByRjGkLFlM7UMHKQOszUnSFL2dkrRK1MQFpuqH7MToi-jwDVU6eRBJiap8HC_BXrgVys8nZuQnq-5lZjQ1BhmmZWQiwHWyydNej-hi-f4_oL8xlud9Fa-4MyQx0inIl11N0ubFWNv-6IQCKcgivdBBGOAJMx7SR8OUmg0rM1aXxSNYpsTpBafo5tUq1OwtAegCYBZWlnG3w5Leo8BQg&amp;amp;lib=M-zdWbhavtdZ1B_W2dnFDM0qoVt4lWzJ-"&gt;here&lt;/A&gt;.
&lt;/BODY&gt;
&lt;/HTML&gt;
</t>
  </si>
  <si>
    <t>FoQXhYajQwuhDN5sxxBgkA</t>
  </si>
  <si>
    <t>18270-A</t>
  </si>
  <si>
    <t>8F00250104080003</t>
  </si>
  <si>
    <t>EXPRESSO SAO MIGUEL S/A / (051) 3586-2013Informação Adicional: +10% de desconto cliente j pagou / Obs.Interna: +10% de desconto cliente j pagou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</si>
  <si>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8iPpIbzVbProzgGwr3AXcTDSSrUpjx6ZkFojZ-9oDfIjd4lnfEwqZ2eZoHPWsaCXlVqnYW0GMxbJm6BJK-KRX5PpDxkGRYQsBwRYXjpmkO2wCtRRk49C5Ey_zqKc77zySacQpjxcIyohlTxjcR3CQaNxgxXaGpiyuNW4pmCPR25esO2NxXc4huAk7WIfoAdZ7-jCXfPToMcETJjYjUU_5-VW0piNw2agIfEqabyTqS5M6JQVoL7UtHLrz5b3weGK1OQ8L7AjBjpmNEplaXnpUNH6OFQw5lIEfuB2DlCLHSFqxeQzqYYZJpp8g8w&amp;amp;lib=M-zdWbhavtdZ1B_W2dnFDM0qoVt4lWzJ-"&gt;here&lt;/A&gt;.
&lt;/BODY&gt;
&lt;/HTML&gt;
</t>
  </si>
  <si>
    <t>Z7MHgu4ZRC6-YUIYCNG1lg</t>
  </si>
  <si>
    <t>18270-B</t>
  </si>
  <si>
    <t>8E00250208070034</t>
  </si>
  <si>
    <t xml:space="preserve">&lt;HTML&gt;
&lt;HEAD&gt;
&lt;TITLE&gt;Moved Temporarily&lt;/TITLE&gt;
&lt;/HEAD&gt;
&lt;BODY BGCOLOR="#FFFFFF" TEXT="#000000"&gt;
&lt;!-- GSE Default Error --&gt;
&lt;H1&gt;Moved Temporarily&lt;/H1&gt;
The document has moved &lt;A HREF="https://script.googleusercontent.com/macros/echo?user_content_key=AehSKLhQjh2oWGkDwFsk6i_6bgxlUBEl2uuKmLa1CWCuaxuNAJ1ET9wlQ7X3nCWJsN40vlNl87byoouheSO3n2fK22SA2U3eOYFfiRhO59G_mvSDJtNQsNq88BVaIO6UapMK8xeUXkBhnapwkPtIs8RUCFjfvM5SArQ9s87-fEwqbwgTH00GFaMYWHPE4ME-dgTbhIFEgqwavbX-KICG4vkh2kyA-r0jqh_yLZfDwZ-nEtXlCA7wahYI8xRup-ov4fNELlN1wrX-ANEZm5Xi-gs0VzTKkkB7Au9XSkAIfvFvxmAFFWTQn5OAXhrnApxViw&amp;amp;lib=M-zdWbhavtdZ1B_W2dnFDM0qoVt4lWzJ-"&gt;here&lt;/A&gt;.
&lt;/BODY&gt;
&lt;/HTML&gt;
</t>
  </si>
  <si>
    <t>hYqrIfDUEbERpeMSRJsj</t>
  </si>
  <si>
    <t>18271</t>
  </si>
  <si>
    <t>Andre Gustavo Santos Lima</t>
  </si>
  <si>
    <t>8F00250411520013</t>
  </si>
  <si>
    <t>Pedido gerado através do PedidoEletronico.com - , Transportadora / telefone: FITLOG TRANSPORTES E LOGISTICA LTDA / (048) 996277956, Informação Adicional: REDESPACHO RF BRA TRANSPORTES LTDA - CNPJ:49.515.412/0001-53 RUA OURO VERDE DE GOIAS, 1233 - CID INDUSTRIAL SATELITE - GUARULHOS-SP. DESCONTO (40+10) + DIFAL 13,5%  ENTREGA: Avenida Caxangá, 1562.Cordeiro - Recife-PE. 50711-000 Caxangá</t>
  </si>
  <si>
    <t xml:space="preserve">&lt;HTML&gt;
&lt;HEAD&gt;
&lt;TITLE&gt;Moved Temporarily&lt;/TITLE&gt;
&lt;/HEAD&gt;
&lt;BODY BGCOLOR="#FFFFFF" TEXT="#000000"&gt;
&lt;!-- GSE Default Error --&gt;
&lt;H1&gt;Moved Temporarily&lt;/H1&gt;
The document has moved &lt;A HREF="https://script.googleusercontent.com/macros/echo?user_content_key=AehSKLj3tL78H7tA99KpVqF1G7MgfytiIYI_28lK9Dur5sRbT9s_PnTs45A-S9ph8O3phZVCfbGVUywYpgMvl5NqRdW8PSAnLaDDYWhtCUFHD0LVBHygjCMdCnh7muFIwuGlyQi3gxqMUFzb1ohVBjL9CVZqwXEetjYiYfS9uk5t6teyWK5NBRcZ6UWE12WkhMnWVdvFDbYaKXuB-Ju0dh0KAbND-k7MFIOsz9pWbFAkpSkVyYXSK2yQ2wxbxGkzbgT1tv5HYGdsmdt1zEOy3RbhVpBsCgQlLeewAfdGafdS94tCC6q8edvjJ6ed_InPSg&amp;amp;lib=M-zdWbhavtdZ1B_W2dnFDM0qoVt4lWzJ-"&gt;here&lt;/A&gt;.
&lt;/BODY&gt;
&lt;/HTML&gt;
</t>
  </si>
  <si>
    <t>MnqT5hBoR4iLUZ8x.g62CA</t>
  </si>
  <si>
    <t>18272</t>
  </si>
  <si>
    <t>8E00250208070033</t>
  </si>
  <si>
    <t xml:space="preserve">&lt;HTML&gt;
&lt;HEAD&gt;
&lt;TITLE&gt;Moved Temporarily&lt;/TITLE&gt;
&lt;/HEAD&gt;
&lt;BODY BGCOLOR="#FFFFFF" TEXT="#000000"&gt;
&lt;!-- GSE Default Error --&gt;
&lt;H1&gt;Moved Temporarily&lt;/H1&gt;
The document has moved &lt;A HREF="https://script.googleusercontent.com/macros/echo?user_content_key=AehSKLhYr_CBLAgnfsV2FnU0kJNBjVvQJAhp0wl3RwzvOS-KMSyxYWYTm7yihn3GTL_1pHa4JG_962Wt3vp4eGK81Zqs2TV9oLPdotAOyJxjuz4MlEFkj6Xhq5zwbAgQ8EE3CBLMaCIbHxjZyV_uW8sZ3v_yl9IYFirCb_0LaqS4crJMQpY0jhG77JwOA9lV3TjWcFrhii85tZtJjY66_J8wxVXvmfRyAH-Q6N-KF3Reo-08uuNEqU1vF5qJTPaw77VyZeieS0SOynvbjVLUNAA_el1ItluCL0nUNG2IEN2mC9i1y9syv0yB-jvtqNTlHQ&amp;amp;lib=M-zdWbhavtdZ1B_W2dnFDM0qoVt4lWzJ-"&gt;here&lt;/A&gt;.
&lt;/BODY&gt;
&lt;/HTML&gt;
</t>
  </si>
  <si>
    <t>c4xIE6UWSCqTHuUZV5NgWg</t>
  </si>
  <si>
    <t>18274</t>
  </si>
  <si>
    <t>CENTRAL PISCINAS</t>
  </si>
  <si>
    <t>8E00250208070014</t>
  </si>
  <si>
    <t>A C FREITAS TRANSPORTES LTDA</t>
  </si>
  <si>
    <t>FITLOG TRANSPORTES E LOGISTICA LTDA / (048) 996277956Informação Adicional: REDESPACHO FOB CNPJ: 36.457.969/0002-14 - A C FREITAS TRANSPORTES LTDA - R ITIRUCU, 87 - JARDIM PRESIDENTE DUTRA ¿¿¿ CEP 07.171-160 ¿¿¿ GUARULHOS-SP ¿¿¿ I.E. 127.171.846.114 / Obs.Interna: Desconto promoção faturado agosto/2025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</si>
  <si>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hNiW8Un6dWzuClSlZFR6q7PFO7XJIJZAbjAftdLP1ewr5FYya5aKjfs8cjtRIY3j8s3J5QmzLjLBgOvtXrOLM6HqUrMzx0jjqqs60_6DU3nf2XitOowF8nSX3p094nIibM_spfpNNyhgmf4HFjX9if6iI-oWCGJHpjTLixQvrK9MAd61t0nPzVr91K6L7AjUldyhhTpSELTtmiHo-tpLPtEN4fVYzjtOEhEziiCI5Uydo3MPNkTJ-CLxVLPYjdGc9j8s_1HIzd3xbG6wWmjdRKpM-PSdN-eyf6CxAXKjJ-PwSxRHbQCXruFACGA&amp;amp;lib=M-zdWbhavtdZ1B_W2dnFDM0qoVt4lWzJ-"&gt;here&lt;/A&gt;.
&lt;/BODY&gt;
&lt;/HTML&gt;
</t>
  </si>
  <si>
    <t>mfvE8yS6RjuAvsW3vjm.vA</t>
  </si>
  <si>
    <t>18275-A</t>
  </si>
  <si>
    <t>FH160F60W</t>
  </si>
  <si>
    <t>Pedido gerado através do PedidoEletronico.com - , Transportadora / telefone: FITLOG TRANSPORTES E LOGISTICA LTDA / (048) 996277956, Obs.Interna: endereço de entrega :Ritz Plaza Leblon Av Ataulfo de Paiva 1280 Leblon cep 22440 032. Ligar para o Luiz antes de entregar 21 9 6518 9999.. Maquinas ref a pedido ja implantado como entrega futura pgto 30 60 90 120 150 180  /</t>
  </si>
  <si>
    <t xml:space="preserve">&lt;HTML&gt;
&lt;HEAD&gt;
&lt;TITLE&gt;Moved Temporarily&lt;/TITLE&gt;
&lt;/HEAD&gt;
&lt;BODY BGCOLOR="#FFFFFF" TEXT="#000000"&gt;
&lt;!-- GSE Default Error --&gt;
&lt;H1&gt;Moved Temporarily&lt;/H1&gt;
The document has moved &lt;A HREF="https://script.googleusercontent.com/macros/echo?user_content_key=AehSKLgzEiRfKISuMjo9Ecza0MEYecfvI-le3UbNXHjNpWD3hlP5ryDvV7vMwC5zHDwJ6GJwyH_c_MOhMAr8aL97SokXzeIplPOpc8sXoGO_9YoQqRLKsJ6eSa6zDOR5reu2G5ApqbXfuDWCzmgY57ITkh4PsyL6-ZGriUXFbm5yx0DV3Qv5AWOcuLsZtYzEO3XPyssy8cA3cweZoHS8uS6gnXlNTbo-YBOrMnqHAahDiSv4F-AreO2Fb2Fbhk4xQwt38OBadeixlFv4nFEO3gPOD2UQV_DaqOXtFNjPrAHp1PDEyYChMRFzm1DLmxSllQ&amp;amp;lib=M-zdWbhavtdZ1B_W2dnFDM0qoVt4lWzJ-"&gt;here&lt;/A&gt;.
&lt;/BODY&gt;
&lt;/HTML&gt;
</t>
  </si>
  <si>
    <t>7A7uaVCrSRiH4Kq5BCYqlQ</t>
  </si>
  <si>
    <t>18275-B</t>
  </si>
  <si>
    <t xml:space="preserve">&lt;HTML&gt;
&lt;HEAD&gt;
&lt;TITLE&gt;Moved Temporarily&lt;/TITLE&gt;
&lt;/HEAD&gt;
&lt;BODY BGCOLOR="#FFFFFF" TEXT="#000000"&gt;
&lt;!-- GSE Default Error --&gt;
&lt;H1&gt;Moved Temporarily&lt;/H1&gt;
The document has moved &lt;A HREF="https://script.googleusercontent.com/macros/echo?user_content_key=AehSKLhtWjUs11wO9yqYXZAA6Cz85KaDhaw_Qbiob9dMhufGDk9kIrdIzsAfy0SEToDb76r7cEoe17FQVb73g9BmEs9MfSjaT3ZcqNaw61oNS4OrsvwZ_hdhBezst1hlI6uAn2umwMQYWZifULzbPmKlMdB1ebwNumLgVDPE9pOkfmsz__xt490BBrVNFkrl4sbTCwl8yUxjfuuhPRiZMRp1nE1OvLzomuL8HYBLU2fSXU0QwSlAtIpgDO0iW8ZScYDPjHGBQZiN0jKhe3-D6iKn0Yv0WPfunWcUjEMR6cstsU1a3P8S8LbKxYkgTiguZQ&amp;amp;lib=M-zdWbhavtdZ1B_W2dnFDM0qoVt4lWzJ-"&gt;here&lt;/A&gt;.
&lt;/BODY&gt;
&lt;/HTML&gt;
</t>
  </si>
  <si>
    <t>5I9P00x8FzwdjMQu9NG2</t>
  </si>
  <si>
    <t>18276</t>
  </si>
  <si>
    <t>8E00250208070016</t>
  </si>
  <si>
    <t>Pedido gerado através do PedidoEletronico.com - , Transportadora / telefone: EXPRESSO SAO MIGUEL S/A / (051) 3586-2013, Informação Adicional: descontar da compra pacote B2B .  /</t>
  </si>
  <si>
    <t xml:space="preserve">&lt;HTML&gt;
&lt;HEAD&gt;
&lt;TITLE&gt;Moved Temporarily&lt;/TITLE&gt;
&lt;/HEAD&gt;
&lt;BODY BGCOLOR="#FFFFFF" TEXT="#000000"&gt;
&lt;!-- GSE Default Error --&gt;
&lt;H1&gt;Moved Temporarily&lt;/H1&gt;
The document has moved &lt;A HREF="https://script.googleusercontent.com/macros/echo?user_content_key=AehSKLirhGjuR8MCXoBaHY9owILPEuOo4DltvJgCq61Z8eWy84KYDal-0PtWLsDZ8SubjuMFTH64NWeQkiEJJ6OZ6IhuHaCet16JSxN3-xbZgdWsST_Cb1RZMwPrY2wDR69_8t-javtzl3U0Z3qJzH1fS7V-Gh4z6vN74yxC-wODJZ0hDyTKDaDSajraQloI06MSYvjkDCwuPGGkrXvC1lXM40HPpAU8XO8RCJO1UoKJoRHxq6dsD07YG6WkufzO3DRLLuoYejJn5G9Tb8KeXbpUp46p2GV2Cjuf98EdSGSoWPvgb8-uezvhSlDHf2IQHA&amp;amp;lib=M-zdWbhavtdZ1B_W2dnFDM0qoVt4lWzJ-"&gt;here&lt;/A&gt;.
&lt;/BODY&gt;
&lt;/HTML&gt;
</t>
  </si>
  <si>
    <t>EwBiXiutRTquu5bRmxzvHA</t>
  </si>
  <si>
    <t>18277</t>
  </si>
  <si>
    <t>8E00250208070015</t>
  </si>
  <si>
    <t xml:space="preserve">&lt;HTML&gt;
&lt;HEAD&gt;
&lt;TITLE&gt;Moved Temporarily&lt;/TITLE&gt;
&lt;/HEAD&gt;
&lt;BODY BGCOLOR="#FFFFFF" TEXT="#000000"&gt;
&lt;!-- GSE Default Error --&gt;
&lt;H1&gt;Moved Temporarily&lt;/H1&gt;
The document has moved &lt;A HREF="https://script.googleusercontent.com/macros/echo?user_content_key=AehSKLhozyTgMITxzR578n1j5J48Hp0hShGgvsbcZhzKNIKPbDDkBKBhUG-7fU0ZuUqCCH0-ZTYmmDH8YZis3DeYsQwRRZSsJmd8q4rFTAvyJJzPNJHO-FYUQVvGYkTYvYvi5l6YwSTcAyu2hamxecKDemqVIeEY1P4M4TbEx65kQaf8TW-Ag60tOcunj-0HJwt1fPKPxPEAEyLsRN90OSJ_w3Tkny8VjWE1kfdN62kdbo1l3O4Alo2LVqjOp7jBfdwx2jxJBsG5OB3IPXToOMSzNckQmFCs2EjPJqUEMe1jlUAAHWDQ5nLAirQnztelXA&amp;amp;lib=M-zdWbhavtdZ1B_W2dnFDM0qoVt4lWzJ-"&gt;here&lt;/A&gt;.
&lt;/BODY&gt;
&lt;/HTML&gt;
</t>
  </si>
  <si>
    <t>L2DoOFykSHyeYJPhYQ5Lmw</t>
  </si>
  <si>
    <t>18278</t>
  </si>
  <si>
    <t>8F00250411520010</t>
  </si>
  <si>
    <t xml:space="preserve">&lt;HTML&gt;
&lt;HEAD&gt;
&lt;TITLE&gt;Moved Temporarily&lt;/TITLE&gt;
&lt;/HEAD&gt;
&lt;BODY BGCOLOR="#FFFFFF" TEXT="#000000"&gt;
&lt;!-- GSE Default Error --&gt;
&lt;H1&gt;Moved Temporarily&lt;/H1&gt;
The document has moved &lt;A HREF="https://script.googleusercontent.com/macros/echo?user_content_key=AehSKLhq8Oto7Cch2HNo1G6B8r2Yzs6AJ4XizDAcz6KDTlI_pkeHsgXE8xqgQHUaou8F9oAm9qsm1FFq_1V_cInURLrVO9kyrdW0rTQ7w993ZAw-7wBUt8832WjsVlrgL5wiiJ1MnmUR_KULJiVKk7GSwQnLxAyJ4nIJ5LOu7VWjKVuoJOSihxIYq1pspGDsxld8jDdw-_o4XlYym6-FZFKQ2GoAPdxgB7LkGCdSARzZ-b5gmXl8YFR8aBfX-mU8--IRDHa1nV9kfP8sJhp7kiSYLiHAXC5wfOqtC-9RUbBm7PcAqv2iurB-BCLME9aRLg&amp;amp;lib=M-zdWbhavtdZ1B_W2dnFDM0qoVt4lWzJ-"&gt;here&lt;/A&gt;.
&lt;/BODY&gt;
&lt;/HTML&gt;
</t>
  </si>
  <si>
    <t>qJUBpuhqQbeRgRELIbO34w</t>
  </si>
  <si>
    <t>18280</t>
  </si>
  <si>
    <t>METAL LUZ</t>
  </si>
  <si>
    <t>8F00250411520018</t>
  </si>
  <si>
    <t>Pedido gerado através do PedidoEletronico.com - , Transportadora / telefone: EXPRESSO SAO MIGUEL S/A / (051) 3586-2013, Informação Adicional: 3X CARTÃO DE CREDITO .  / , Obs.Interna: redito para Village de R$6.084,00 /</t>
  </si>
  <si>
    <t xml:space="preserve">&lt;HTML&gt;
&lt;HEAD&gt;
&lt;TITLE&gt;Moved Temporarily&lt;/TITLE&gt;
&lt;/HEAD&gt;
&lt;BODY BGCOLOR="#FFFFFF" TEXT="#000000"&gt;
&lt;!-- GSE Default Error --&gt;
&lt;H1&gt;Moved Temporarily&lt;/H1&gt;
The document has moved &lt;A HREF="https://script.googleusercontent.com/macros/echo?user_content_key=AehSKLizQmDxrWq6_FnuQfO6dFaOn9y_B7ft_pRIx2T96JXtI6FYHycA9uXqz0_lxuFQaLukHT3hr_jMT-_wfH7XjjaycC8TMWTKkrmQ-b6PNGIS_uGE9Cd9BZdeLnnFUE_eZwIzwWolc_T8NvaTJAOnKAVorai3ZsAhpt4Us3s1YOKrts23K8DjxCjslDe8OhGlILz3PdR8rpFw7N0EHjc6wt79K7FIY9oHDrturchcaKJW1hGa0ASWKXL31XP-GosgupdOqfr3WLDSHJw72vh-sGaBOCmu18ArjFJTaNa2nX7lc4uETJJlwAGJhl8grg&amp;amp;lib=M-zdWbhavtdZ1B_W2dnFDM0qoVt4lWzJ-"&gt;here&lt;/A&gt;.
&lt;/BODY&gt;
&lt;/HTML&gt;
</t>
  </si>
  <si>
    <t>WGTUVcS4RBuaqmCMPIvf6Q</t>
  </si>
  <si>
    <t>18282</t>
  </si>
  <si>
    <t>8F00250411490007</t>
  </si>
  <si>
    <t>EXPRESSO SAO MIGUEL S/A / (051) 3586-2013Informação Adicional: 3% de desconto / Obs.Interna: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</si>
  <si>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xdcs9NQBVzayokQ7cFTMEYeHjT-1j8Kvh0AGW22Ta9UHePBJ4li6I7y20ZsklSnHC7lPNj1OS96C5eQL4D5HUI_63fPlaFiIDDBYcjVqzgtLDLP1Min4S4BGcGRAIeQ0hBJh72ijPXHieTswpIVQOTqca5-E0l72o_FLnb7rUh5_DMfwLBmyTxzT6EjJWwYQlnpMUYp8PPJ-mymp9RCxFmbOwKlMDcvD3OHI0Ols7BS3iLgb0dkXM4G0lwRpShdD4ZQyt9LWfEZ3lwPNr_RMZU8R8pauGzRFDja2hBPM7yOBLhAbGjmMgocRjLA&amp;amp;lib=M-zdWbhavtdZ1B_W2dnFDM0qoVt4lWzJ-"&gt;here&lt;/A&gt;.
&lt;/BODY&gt;
&lt;/HTML&gt;
</t>
  </si>
  <si>
    <t>8ZzEXF6USL-j7PCwfphIpw</t>
  </si>
  <si>
    <t>18283-A</t>
  </si>
  <si>
    <t>8F00250329060035</t>
  </si>
  <si>
    <t xml:space="preserve">&lt;HTML&gt;
&lt;HEAD&gt;
&lt;TITLE&gt;Moved Temporarily&lt;/TITLE&gt;
&lt;/HEAD&gt;
&lt;BODY BGCOLOR="#FFFFFF" TEXT="#000000"&gt;
&lt;!-- GSE Default Error --&gt;
&lt;H1&gt;Moved Temporarily&lt;/H1&gt;
The document has moved &lt;A HREF="https://script.googleusercontent.com/macros/echo?user_content_key=AehSKLgnNFPf38ZtItGMP_dnGthSpoGGflOAtP5lte4MNSNlgCeGmJU2P-iFS1YWEnnIJEsM0vr1IpjNaf7CAs0y8n9tbImNrhRKDQzhkirUq1CdFrlAk9gggvOw5mbTlYTZtIuWr7Hj6rnu5UjRLcpWT2pxehFXoj9YdZaATFXEVxdgnK6fwZgD0g6e6wJt9YY0mcEbhpje-7PitG0gdYMCb_uk2iWAMnlOVLikN5u8Uxh4JFyaQDuEZ4Y9S5t-RMuxiDVtSo_XckSF1Q7G0SwHDqkD6vtayveuPUJpWAOGDP6LWuMERh1069V8wB4uvw&amp;amp;lib=M-zdWbhavtdZ1B_W2dnFDM0qoVt4lWzJ-"&gt;here&lt;/A&gt;.
&lt;/BODY&gt;
&lt;/HTML&gt;
</t>
  </si>
  <si>
    <t>a.8z9SK0DRLqGaCC309SoAA</t>
  </si>
  <si>
    <t>18283-B</t>
  </si>
  <si>
    <t>8F00250329060036</t>
  </si>
  <si>
    <t xml:space="preserve">&lt;HTML&gt;
&lt;HEAD&gt;
&lt;TITLE&gt;Moved Temporarily&lt;/TITLE&gt;
&lt;/HEAD&gt;
&lt;BODY BGCOLOR="#FFFFFF" TEXT="#000000"&gt;
&lt;!-- GSE Default Error --&gt;
&lt;H1&gt;Moved Temporarily&lt;/H1&gt;
The document has moved &lt;A HREF="https://script.googleusercontent.com/macros/echo?user_content_key=AehSKLjp3eittPKeKefnQWI0U0yw-GsQWy3hovlSPRQUR-TGgX4sV8lOKuxcha-BRxkFP6ZaCDeo_NaRVbJpdZX1clveAFakFazIHWUHGhQaTXPpdFmPn1HSmWCmEjKpYiCPLY9E1CbxFHG5VM90n4HFp1Ws4HwUCo9w0Ew6DoESgGGhbMJMowWxiKIzMPO704zENUGglZToRi2ZfI-aoYmv2cdTISPIG42calGqtrlCPr7X7vtXen8l5B3q56C8bAw3DrIgdbahq4joQ4GWWqgdWJKin6oTbbjNzimYmWx8sZOo3LCNCGK83drtGHLLWQ&amp;amp;lib=M-zdWbhavtdZ1B_W2dnFDM0qoVt4lWzJ-"&gt;here&lt;/A&gt;.
&lt;/BODY&gt;
&lt;/HTML&gt;
</t>
  </si>
  <si>
    <t>3kcQ3soTkwzFlDJjYVwz</t>
  </si>
  <si>
    <t>18284</t>
  </si>
  <si>
    <t>8F00250208110012</t>
  </si>
  <si>
    <t>EXPRESSO SAO MIGUEL S/A / (051) 3586-2013Informação Adicional: +10% NO A VISTA / Obs.Interna: +10% NO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</si>
  <si>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JsvKRcrNTYkL-QuzaJgtCQjEC8kq3FWDsuvt9Hi-9jnHqLcMFb5uGnQISdzh-HbxSH6Mh6tWDzPbmIrPOQLCxatHzA_9ZljEd3lJ82mJcdonGbDkGAvLuESex4lfBZBvqZOixCuoxGKZxuhr53cVuoq_C_uV2QkiIv8mOK4V4HVyxtnyIRiTS2I_FscXKbelaK_pjPMm9vmdSAC0q3V-evb1CE1d2dCAGjIAZTmiDNshBgw2_To-whSA5tQv9nHTVugA2OHpTVaTj2yL83TfSWGUV9Lwo6bwFTVzILtSUOkOUoMi-A_yW17aBWA&amp;amp;lib=M-zdWbhavtdZ1B_W2dnFDM0qoVt4lWzJ-"&gt;here&lt;/A&gt;.
&lt;/BODY&gt;
&lt;/HTML&gt;
</t>
  </si>
  <si>
    <t>R4trqxDLQL2HLLVNenOwUw</t>
  </si>
  <si>
    <t>18285</t>
  </si>
  <si>
    <t>8F00250411520008</t>
  </si>
  <si>
    <t>FITLOG TRANSPORTES E LOGISTICA LTDA / (048) 996277956Informação Adicional: Cliente: David de Oliveira
Aplicar desconto à vista com boleto para 07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</si>
  <si>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R1EAL5gNgLwNQOA1LvbH-7zSFgY9J7K8iZhraSDrfCBu8GIrxwHDx5RfuAmO2Nc2TtqWeWWOl3mj5sm8DHPvn8HtrC91ZrQLARnvBYVhSnRMp7bzRu_ezCm42J4LnitYtrWn7W8AcqcxGPsLiHmHP2G4RtoI-ozmol-Ty9dXYRvleNY1xfnX2vx7oysXmyG3V4jCfwk23jL2GdKzlpl_CEJCcwSkGRwX5DmvB4-p53pIGILNq9ebzQJFye0JEDCnDhX-ETUzOSR03kaDr4p6bXHcb9syngf0fyqUos80MxlGDp5pNnRppYKFoEg&amp;amp;lib=M-zdWbhavtdZ1B_W2dnFDM0qoVt4lWzJ-"&gt;here&lt;/A&gt;.
&lt;/BODY&gt;
&lt;/HTML&gt;
</t>
  </si>
  <si>
    <t>6l-qBq4bR9e8pDklVCpIAQ</t>
  </si>
  <si>
    <t>18286</t>
  </si>
  <si>
    <t>8F00250208090021</t>
  </si>
  <si>
    <t>FITLOG TRANSPORTES E LOGISTICA LTDA / (048) 996277956Informação Adicional: Cliente: Raphael Galvão Komori
Desconto à vista com boleto 7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</si>
  <si>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KVnrkXu2Pw-WQMtyyTHVFTi6zvzBUsoue2F469Cqov0G7CV6GJMyiNAJGeEuN_WeR8U0Sn-VRoBp0k08NT4LmXApMQOPmqt4POe_4ADw3MVfMcmfTxwsn-4wzzizT_wpm09uB5657QLnnyys2_oym86B_JoHsIxvpq663Rsxi_j-GrWCPL2aYp9Hc4BPqltSo5lES11mehvQSBMqPQ_gXxWXMBo-UBf3NveffICZrrm_8Yuxw1MsDmWly_N31Vv-i5o2k1MisoAcS0zI9q97XbE3CtgasGNG5yfQCQW-IuojjxDQIZSo-eJeg3g&amp;amp;lib=M-zdWbhavtdZ1B_W2dnFDM0qoVt4lWzJ-"&gt;here&lt;/A&gt;.
&lt;/BODY&gt;
&lt;/HTML&gt;
</t>
  </si>
  <si>
    <t>iAm70STweA3Q6Yx55Ls9</t>
  </si>
  <si>
    <t>18287</t>
  </si>
  <si>
    <t>8F00250411520009</t>
  </si>
  <si>
    <t>FITLOG TRANSPORTES E LOGISTICA LTDA / (048) 996277956Informação Adicional: Cliente: Ivan Sperandio
Desconto à vista com boleto para 7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</si>
  <si>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IyVYkoFoNbB0isbh5ld9X4tRX-ANQqvshOdPgUfPVTeplCe7FGm-18jmB9fMTtNVBy5_nelwkRFCxwK4GaLVDoaDck1ibRxI35zoQCaP8zET7ozBCRsWqLwfBiNkc3k3-kTDJ0ydwVYzdqKsae--1vhkvF91Hhi8GUQr0P8qB8tDUUJ3CJsmYmMQROVC_AVAnrASpSzI7PqXI_nlfhobDiIilXxFIU5EWYQB58sBIXLyOXm4giZ_kpoTmYO2gwh4nEajOhI9b_w1C1Ll1SGSnLASV3YDYt4Si_52E4RdJdNMe-zYjaFPT2SmtPQ&amp;amp;lib=M-zdWbhavtdZ1B_W2dnFDM0qoVt4lWzJ-"&gt;here&lt;/A&gt;.
&lt;/BODY&gt;
&lt;/HTML&gt;
</t>
  </si>
  <si>
    <t>d9Y7MznEGSYDg0ulKl79</t>
  </si>
  <si>
    <t>18288</t>
  </si>
  <si>
    <t>8F00250411520014</t>
  </si>
  <si>
    <t>FITLOG TRANSPORTES E LOGISTICA LTDA / (048) 996277956Informação Adicional: Cliente: Churrascaria Recanto Gaúcho
Desconto à vista com boleto para 7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</si>
  <si>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VOu-RHNXizot0oAGsiyvksteri3KRjAQ2kT_ik7P0Afwm-mDKS0HWYLu8OHAzfjgjz6PA4Y9VysXEQw9mjXfCB2uSdx9FLMqVermJfXL_fccGL27h_50-Rc7KNcD4Z-aJ9zrDUeQfrwUAwOOdaCqoHcca9VhfXARNXxyst-yL1qyHowzzoGdeVoZ5kvwx21HPPIyrPRonhrG7oAkxnG3SSP24pUfyP1R-vNSAfPf75Kms5lrw5tlK77FgedEY8nHQiBx6X6RMD1Eg7wZ3q7D4eSe5H4XCHZPiJSbNBpvFicu-V2n-pTtbA4o7QQ&amp;amp;lib=M-zdWbhavtdZ1B_W2dnFDM0qoVt4lWzJ-"&gt;here&lt;/A&gt;.
&lt;/BODY&gt;
&lt;/HTML&gt;
</t>
  </si>
  <si>
    <t>vCkL3cigHXUBEAGfZikT</t>
  </si>
  <si>
    <t>18291</t>
  </si>
  <si>
    <t>8F00250208090031</t>
  </si>
  <si>
    <t>EXPRESSO SAO MIGUEL S/A / (049) 3361-6627Informação Adicional: +10% de desconto / Obs.Interna: +10%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</si>
  <si>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eOkeEif_v6WokD5GpM-C8Rt7fqTmGxTmzygHuTdiOxfr9mAa-luBqm_4WzWN4lfPc3n3SgTJOcgzSr-mJpBMqh4fvEd04cmWkT6UeTR2Ka3sU5crzMbBbD6sP3lVDgPVvzpvGisHyHkHPiG1C-V0cVI3jzgUbxlmxw2qAoAosCbCgFaMBBdQYZ_EODuEooR2kRzo04CEXhOZzPD_-HpDad-dIq8dx-FjjgA6cWIS206txMBlC6qykAX4AczdtFbEJLNZkqSdH1AZ7ERuqfXnOr4W76ucrYlHEQjWV6QdV2YVzxJlL5M-qd2EnGQ&amp;amp;lib=M-zdWbhavtdZ1B_W2dnFDM0qoVt4lWzJ-"&gt;here&lt;/A&gt;.
&lt;/BODY&gt;
&lt;/HTML&gt;
</t>
  </si>
  <si>
    <t>43t-Dev7QTGWQonbMeOTAw</t>
  </si>
  <si>
    <t>18293-A</t>
  </si>
  <si>
    <t>8F00250411520022</t>
  </si>
  <si>
    <t>EXPRESSO SAO MIGUEL S/A / (049) 3361-6627Informação Adicional: ABATER O VALOR DO PACOTE DO CLIENTE / Obs.Interna: ABATER O VALOR DO PACOTE DO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</si>
  <si>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6XR9E2-5Fw-e_1lcXjduSZVvntYlliEEPrT9AG8uR7P1UTIOwJK7mkSrgWBH5_abqNWy5IifpnM4h4dYuoALoCy4kZWJR-WC9uYwVZKqTZ6FzLBMI4Ys4q02izz_iEGtWEgFqe3MQC3fW4iXEt_SgwOSg59gJhT8W-D0ZeM3eCCjzW3tJoRnBxOd1AASDA2--v3DmJI7MWkzvo1dYzDJVvHjiciWq3LkYfzeQDHuJzkUfwfrznijNv2tfkzFupS6PQHChTZAZf_tExTLpTfJ235UEyZFrxplwPnQyd_TNXzNOSqGhs4DdzA4BrQ&amp;amp;lib=M-zdWbhavtdZ1B_W2dnFDM0qoVt4lWzJ-"&gt;here&lt;/A&gt;.
&lt;/BODY&gt;
&lt;/HTML&gt;
</t>
  </si>
  <si>
    <t>2qGknJzaVS8r2E8gsVHk</t>
  </si>
  <si>
    <t>18293-B</t>
  </si>
  <si>
    <t>8F00250411520023</t>
  </si>
  <si>
    <t xml:space="preserve">&lt;HTML&gt;
&lt;HEAD&gt;
&lt;TITLE&gt;Moved Temporarily&lt;/TITLE&gt;
&lt;/HEAD&gt;
&lt;BODY BGCOLOR="#FFFFFF" TEXT="#000000"&gt;
&lt;!-- GSE Default Error --&gt;
&lt;H1&gt;Moved Temporarily&lt;/H1&gt;
The document has moved &lt;A HREF="https://script.googleusercontent.com/macros/echo?user_content_key=AehSKLhmdraGeDIRe33ZOWcoUNAGIf9M9SSVoCf1SdnWh_m6prB4Q-WW5Qf2l_-8obpPvjK2RioZqEQcU_WzGkNjKEW1PcL-g0-LrSI8e-uNTffcr1tnII8041VVvauOrGXVEEH98V8YdoiFnmLuEwln1ZMlwA-AbE1bc_TxuCscfcNm4WaRuvVZxqhSyjhGKfCFQieI_rM0TaxKFANm8MzHnEPQ7naajVHAccYo0ORoWbcuQQTeyJZ6jcM1AESNAJSWA03LOsepUBA9NG6NKfze-L0YI6BuT0ScYoI9Ut3D6Ugo39ItKewGb1k8bGx7Bg&amp;amp;lib=M-zdWbhavtdZ1B_W2dnFDM0qoVt4lWzJ-"&gt;here&lt;/A&gt;.
&lt;/BODY&gt;
&lt;/HTML&gt;
</t>
  </si>
  <si>
    <t>ciyFoi4qRciMMaMa-Z4tjA</t>
  </si>
  <si>
    <t>18293-C</t>
  </si>
  <si>
    <t>8F00240812220293</t>
  </si>
  <si>
    <t xml:space="preserve">&lt;HTML&gt;
&lt;HEAD&gt;
&lt;TITLE&gt;Moved Temporarily&lt;/TITLE&gt;
&lt;/HEAD&gt;
&lt;BODY BGCOLOR="#FFFFFF" TEXT="#000000"&gt;
&lt;!-- GSE Default Error --&gt;
&lt;H1&gt;Moved Temporarily&lt;/H1&gt;
The document has moved &lt;A HREF="https://script.googleusercontent.com/macros/echo?user_content_key=AehSKLjjGcPFkHbLYJ5Uqo-b2qYB2uqiimwlxGcajs0zrpi1Wof-U36MmVJ1kkJ1B0Ow1Mq2zh_hBOIn3lgqX01jhno4wSgi4Z3x6qsvbnqVM8amfB4PTy_ld14QeuYexq97VKAM4DXitsjkh3uvCP23j2QYG-Dyie7qMTm7EgPmWTVQPbvTmJyli3JskwAB1SF8GKhrdWdGHMedFjIJhLkW_adIgSJOV-tCFZS63JBfEEkX4m6xx5rs489lGqE7IPX9EmkTGdKrefPHUG3cAJICm7K-givaKuxsIDBEL6bIi_WKSETAEuUxcWX7wfR9Rg&amp;amp;lib=M-zdWbhavtdZ1B_W2dnFDM0qoVt4lWzJ-"&gt;here&lt;/A&gt;.
&lt;/BODY&gt;
&lt;/HTML&gt;
</t>
  </si>
  <si>
    <t>EB4Dvurt28P5r52EmH3f</t>
  </si>
  <si>
    <t>18293-D</t>
  </si>
  <si>
    <t>8F00250104080005</t>
  </si>
  <si>
    <t xml:space="preserve">&lt;HTML&gt;
&lt;HEAD&gt;
&lt;TITLE&gt;Moved Temporarily&lt;/TITLE&gt;
&lt;/HEAD&gt;
&lt;BODY BGCOLOR="#FFFFFF" TEXT="#000000"&gt;
&lt;!-- GSE Default Error --&gt;
&lt;H1&gt;Moved Temporarily&lt;/H1&gt;
The document has moved &lt;A HREF="https://script.googleusercontent.com/macros/echo?user_content_key=AehSKLhf4llhEvW3n282QafKE7bAtVkCDAPqVEmN8GlWoqZZqnP0iI0JLdn6RXeRz4op4N2U4eMjgVdppdAi9fxvccHITesjOjdWrQMXeMB0izHwSBpbPK5VxBJFyNHu231YxtI79xWDGLljXMyRTJZw9II12BzYRu0bD6h8dOi90Fu1sT7xS9jihgZP3Hm27GjcAQ5ZPBbyBiO2dnlga4ApFoz99v_z5RHv6l9q0x4W04DfGd-ptqRunRJFsGje_ygZKep96iPj3sE2kr8YK07S37LtKZLFAHoW8gOjCvyHdYa2-HueFu727NgWUYPvPQ&amp;amp;lib=M-zdWbhavtdZ1B_W2dnFDM0qoVt4lWzJ-"&gt;here&lt;/A&gt;.
&lt;/BODY&gt;
&lt;/HTML&gt;
</t>
  </si>
  <si>
    <t>DKWThLjf4GFQQjohMLvj</t>
  </si>
  <si>
    <t>18293-E</t>
  </si>
  <si>
    <t>8F00250208090030</t>
  </si>
  <si>
    <t xml:space="preserve">&lt;HTML&gt;
&lt;HEAD&gt;
&lt;TITLE&gt;Moved Temporarily&lt;/TITLE&gt;
&lt;/HEAD&gt;
&lt;BODY BGCOLOR="#FFFFFF" TEXT="#000000"&gt;
&lt;!-- GSE Default Error --&gt;
&lt;H1&gt;Moved Temporarily&lt;/H1&gt;
The document has moved &lt;A HREF="https://script.googleusercontent.com/macros/echo?user_content_key=AehSKLi6lkCrjy0186pMpk74FJOFQ55Zv4LdMkAmoaTdNM4le0XLIJX5JDwooiVFrXjo5PVKAOqsCb5501pMIF0Feca3sjgs99Ny6NtfWGE6McyxEp7_lrgmya4zSo_nscRXq24MddZhd6-6RyJ0dBwmhKTMTOUQWY5h0P_JS8_6Ujuedp_2XT2_eKqWDwULM0zdHZ1gdWCGzPjd2c3b_brJtONP4x8l2j0avpvhZztPVQIzgcNeVuD_d48F7wf6VDDyiQ2tVxNBwyc0ZbQUJMbMz1Tpfe18vwX9QAYK0LJvsV5aoCS9kgrw2Cpv7FNC4Q&amp;amp;lib=M-zdWbhavtdZ1B_W2dnFDM0qoVt4lWzJ-"&gt;here&lt;/A&gt;.
&lt;/BODY&gt;
&lt;/HTML&gt;
</t>
  </si>
  <si>
    <t>IBOYPqpaNXUBy1orMLFs</t>
  </si>
  <si>
    <t>18294</t>
  </si>
  <si>
    <t>8E00250208070011</t>
  </si>
  <si>
    <t xml:space="preserve">&lt;HTML&gt;
&lt;HEAD&gt;
&lt;TITLE&gt;Moved Temporarily&lt;/TITLE&gt;
&lt;/HEAD&gt;
&lt;BODY BGCOLOR="#FFFFFF" TEXT="#000000"&gt;
&lt;!-- GSE Default Error --&gt;
&lt;H1&gt;Moved Temporarily&lt;/H1&gt;
The document has moved &lt;A HREF="https://script.googleusercontent.com/macros/echo?user_content_key=AehSKLgtFcCPOL0SHzjjsHltOHryGYtNLtDOXjluSxL8fYRH9md2Ipc3MJ4nFrsdX_Lypj36JP7fXagB4LdmmvBm0iA56HRyd_CtkC5iuiGvr9XNH30ZRTo8z8I7_tEkRr1F7p_VTZVUBo-u4tdv1dCv0cFp6VbeyoczyY3f2exBi52GNojEldSY8qiFvByzP1vjVsnRyLCbqVDMI9ZzAIzXDNHXZAtVwEiYn79u-SJDbkrJvsZaBz2j0gb8Vmuy9FY4VBnrqYgJFATix5vH1FtpU43UU_ozDPHwyGK1MCSeMhC6RKGSmvNkTDn4fYdatg&amp;amp;lib=M-zdWbhavtdZ1B_W2dnFDM0qoVt4lWzJ-"&gt;here&lt;/A&gt;.
&lt;/BODY&gt;
&lt;/HTML&gt;
</t>
  </si>
  <si>
    <t>s7pyUSOISx-uaA.fR5QjVA</t>
  </si>
  <si>
    <t>18295</t>
  </si>
  <si>
    <t>8F00250104080010</t>
  </si>
  <si>
    <t>EXPRESSO SAO MIGUEL S/A / (049) 3361-6627Informação Adicional: preço da maquina R$9239,00 / Obs.Interna: preço da maquina R$9239,00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</si>
  <si>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M70CaqnG_pHhXmTvN8m4QMTgkYOu6hThM3AMAVp8Y1XIwyUcd5s1RYYz_S26XDKfwK6O5-mbxO5WGmtgC3JO3k5u37tfaGjrbD0WjZyxankqXt06BcELIbcYrH5nYNHJytoNxPmibkeQl0asRtQRH-BQTvPI7hO8-wgJOIO-5T3mLCNpnEHsI24RDqoRl0PtvK1Mn5DtTuJ37OX8eo51WKM38Bz7YE3h6eam42-lkxr68k4yrV1D4Gv4ucDsNJnHymOfX8xqmCllVW8r10-7MpP2VAypGIpEIuqfsLdOzVI8KxAP531pPpLh0zw&amp;amp;lib=M-zdWbhavtdZ1B_W2dnFDM0qoVt4lWzJ-"&gt;here&lt;/A&gt;.
&lt;/BODY&gt;
&lt;/HTML&gt;
</t>
  </si>
  <si>
    <t>TSp5XqECQlWl-owFWDuv3Q</t>
  </si>
  <si>
    <t>18296</t>
  </si>
  <si>
    <t>REVISA ENERGIA RENOVAVEIS</t>
  </si>
  <si>
    <t>DESTAK / (048) 2102-5242Obs.Interna: Parceiro, captado no sul de SC- faremos sem entrada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</si>
  <si>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LsQGDMNO7pLo_MOq5iiV3VaPlPIWbH3qncU8YEOtNbzWnEAzu_2-eRiKHfzm5uDdbw8zt-QL16Z_PdAvlg6zlfUZrCkpTw0kYLSNrP9Y1S55tBujvlYKG9H8a1WIhg996ytmdyY_LlZorcILUbE6HG7L3gDwLhIIrxn_moiaM5z1Vq8-YvE-WHxlUCtNOs_TCJn08W8x7BHbeDVSQNKjEbpkHQFpK7zp77AV_H_VF10X7421z1UzmV9LcYqLQeHOxhBE8kX86oTEBq8sfHiZDq7f3PbMNgA1Ju3jAKl01P5ZBFnO-F5-lK-uR0A&amp;amp;lib=M-zdWbhavtdZ1B_W2dnFDM0qoVt4lWzJ-"&gt;here&lt;/A&gt;.
&lt;/BODY&gt;
&lt;/HTML&gt;
</t>
  </si>
  <si>
    <t>nfsgXXbaSL6ep46FG29jZw</t>
  </si>
  <si>
    <t>18297</t>
  </si>
  <si>
    <t>8F00250208110013</t>
  </si>
  <si>
    <t>RETIRADA NA FABRICA / (0) Informação Adicional: ABATER VALOR DO PACOTE DE PROGRAMAÇÃO
VALOR NEGOCIADO R$ 8,915,67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</si>
  <si>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HrVGTx7i4ZnDI0YQ_Kefn5mC1l19xcxzxadQDKv78I_pdw-IaIOHXDIkTeGmjwybPdVGBdZuH50BHKPOIuGUolp10j9_Na32xa8vddYUGGdEQ2NhEezmVTmV1rNLn2cSKXEdNgaQkcRBMcf8fxFQNSFYvNB818LHnpmI2fRd2xe5F_FfvIUlF5YK4FMEuW9dHveatWUdpmL_5OrmL1iCDasj2_ol6D-Qq5ezfHOAqD9EdbBUaPgBngsa9IatVTexlNNMsppUIC3--9PuZMxKA4QiyjWZuMLBorU6RL4r-BmWr69w3rThlUNfnA&amp;amp;lib=M-zdWbhavtdZ1B_W2dnFDM0qoVt4lWzJ-"&gt;here&lt;/A&gt;.
&lt;/BODY&gt;
&lt;/HTML&gt;
</t>
  </si>
  <si>
    <t>h4C6TuTPQtquCP7YksBCMg</t>
  </si>
  <si>
    <t>18298</t>
  </si>
  <si>
    <t>8F00250411520006</t>
  </si>
  <si>
    <t>FITLOG TRANSPORTES E LOGISTICA LTDA / (048) 996277956Informação Adicional: VALOR REAL DO PEDIDO : R$ 8.915,67 - BOLETO PARA 7 DIAS
DESCONTO DE 40% + 10% + 10%
Frete Fob com redespacho pela PRONTLOG - CNPJ SP - 44.781.745/0001-00 - RUA SOLDADO AMERICO RODRIGUES, 131 - GALPÃO B - PARQUE NOVO MUNDO CEP 02.186-020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</si>
  <si>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oxek3xwscaODX2Yr68axIz5Vej5vwai97IdDXRIwBIWx2awjliMAGxIp84YaW74ddexVCxRSvPmRVfNxL7ysrSWNioqk9p1xpEcVi97jKELx_qpx9Q_9mQLzEJGfCXTIxHUGKohlH0PG0WQFedAhkG5-u8hxMExLe8kohWhKP_O2jpmtdfUNExVT99MCZdP5pvA2kvA7Fo9Vn90bINlwN1BpUNVfGK2Q8rCrUcLLESV5KFCu5rusNl3-j7ZlmgZ_oHxZK1qEKygb4B5S_uQFFOIiyzDEokfLHGUwAerV60eu910axleHNhf0xtg&amp;amp;lib=M-zdWbhavtdZ1B_W2dnFDM0qoVt4lWzJ-"&gt;here&lt;/A&gt;.
&lt;/BODY&gt;
&lt;/HTML&gt;
</t>
  </si>
  <si>
    <t>VMug-.QWSbm6F.F1peiaUQ</t>
  </si>
  <si>
    <t>18299</t>
  </si>
  <si>
    <t>MELO MANUTENCOES</t>
  </si>
  <si>
    <t>8F00250411520007</t>
  </si>
  <si>
    <t>EXPRESSO SAO MIGUEL S/A / (051) 3586-2013Informação Adicional: ENTRADA+30/60/90 / Obs.Interna: ENTRADA+30/60/90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</si>
  <si>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iCX0AQsQMhg2FRc1D1qMwj660BwxBmfmLGwb_Nc6spDaWadXuRn8Pmq_2FsHioy1xkuW5H5YhawAOXGN2ywEVgU-iQZHYSEMwbE68qCzSlJj5Hg_GNizU1XegntkPPBXU1Qgk8LtCG8y2RyNuFx1XcmTZdiLqJH2KP8-SLfwqCvpUakUrYX3sScf_ZtA6zJCt41inPrqnZ4fgMDCKV90T2G5d4bGz2h0Z_BbMsM5sRc-zbJYVa2k0qUqUsOCMPHcqF06ikGCOjNmBPGKc6uZGztZWJrnyVZRUiTayS-dDjjHJQKFCwyvS1RTALg&amp;amp;lib=M-zdWbhavtdZ1B_W2dnFDM0qoVt4lWzJ-"&gt;here&lt;/A&gt;.
&lt;/BODY&gt;
&lt;/HTML&gt;
</t>
  </si>
  <si>
    <t>PBJ0bCguTminIuEt-Xq-hQ</t>
  </si>
  <si>
    <t>18300</t>
  </si>
  <si>
    <t>8F00250208090023</t>
  </si>
  <si>
    <t>RETIRADA NA FABRICA / (0) Informação Adicional: PEDIDO 19802 WS/EZE
ABATER VALOR DO CONTRATO EM VIGOR PREÇO R$ 7,486,99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</si>
  <si>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yiJo23NnyW4DHLye2QC0dVX8YsvsZ81HF-C7k8NSP_wnpAV3Gg-sA8LKLU7ZqrCGMQ9WuQcAyD4yHsvH8uKFpEzqgw8twwb-aC3fa1RTf2SYiZTaKyqMNxQJrALhawypzVqp9w4nJ_2JdB0lT4mLJEtmCz2r5SBFVW5jKTi0kN2nzTCqbZ9j83dU-SKmjbaiE1BE92PsKiYDTntOVBp6xdePGjvq5uuL4UVXb1n9gjKp2HZ_RWMO8jfCiZhQ_ANYRCOBcoZ0JBTs8GF0ydORaGLNrGSWPCQv_bhDGYMDHiLQvRUQAyge1eMFCg&amp;amp;lib=M-zdWbhavtdZ1B_W2dnFDM0qoVt4lWzJ-"&gt;here&lt;/A&gt;.
&lt;/BODY&gt;
&lt;/HTML&gt;
</t>
  </si>
  <si>
    <t>6Yj-6YMxT46dzf4aCDg1UA</t>
  </si>
  <si>
    <t>18301-A</t>
  </si>
  <si>
    <t xml:space="preserve">&lt;HTML&gt;
&lt;HEAD&gt;
&lt;TITLE&gt;Moved Temporarily&lt;/TITLE&gt;
&lt;/HEAD&gt;
&lt;BODY BGCOLOR="#FFFFFF" TEXT="#000000"&gt;
&lt;!-- GSE Default Error --&gt;
&lt;H1&gt;Moved Temporarily&lt;/H1&gt;
The document has moved &lt;A HREF="https://script.googleusercontent.com/macros/echo?user_content_key=AehSKLjIT3mV_tbb0UqXHR_3fQ_zlyTn6OqD29tU11VCL3XQT4zZowDl8nKnqEy__yrOl-XZXZ8-gIJ6uz532yTBR0A_NNHi0FArEMOwOB_CIZZRxhcVnsPA43AjABsFKKHTSccF06SY26MKVbb2BxpkwP8UcfyYUrXQ_bQPEOXccTGwTRycTC0unNn2SwffIiz3qqzvk6TRwwrptVpGBMTUoTN43KSec98liRLhcRMaRvsLWaegv1yjnNwkvfiQLz0hYFc3Ndi5RDqrgTGh_guqnSL5fyMPZfUvZyp38ZNWLaKfjMaAfTEKXJdaubE2TA&amp;amp;lib=M-zdWbhavtdZ1B_W2dnFDM0qoVt4lWzJ-"&gt;here&lt;/A&gt;.
&lt;/BODY&gt;
&lt;/HTML&gt;
</t>
  </si>
  <si>
    <t>rSzoqCx1Qz6MvStP-gMwqQ</t>
  </si>
  <si>
    <t>18301-B</t>
  </si>
  <si>
    <t xml:space="preserve">&lt;HTML&gt;
&lt;HEAD&gt;
&lt;TITLE&gt;Moved Temporarily&lt;/TITLE&gt;
&lt;/HEAD&gt;
&lt;BODY BGCOLOR="#FFFFFF" TEXT="#000000"&gt;
&lt;!-- GSE Default Error --&gt;
&lt;H1&gt;Moved Temporarily&lt;/H1&gt;
The document has moved &lt;A HREF="https://script.googleusercontent.com/macros/echo?user_content_key=AehSKLialhKQUzX7EbeheveJhdj7t8Dnjk2AuJcdf8TbKmOpkXDiYZjQe8B0GGu8AA9Lxlff4BdJfY5uwEa0LwELL7MXD6VlruiFLgKMD0gHSVd64UgD-86TUAyX6T7CH2UhrsGDQf0exS840G4BfwnM1exh6f0wBvXdis6MVfHr8OX9nvY9KcvDu-IDf_YTF494FY54mUT4ISZWPzLQE_ILpN-7F_knnvD-LUhuHU-W8Ufh9FMoXP55GiIptj5RLYj0lVIltth68GVuTEm1AHeagVb0LDkbo8SM2lTEP9UfB8mhStdceKpc8Yx-UU_jEA&amp;amp;lib=M-zdWbhavtdZ1B_W2dnFDM0qoVt4lWzJ-"&gt;here&lt;/A&gt;.
&lt;/BODY&gt;
&lt;/HTML&gt;
</t>
  </si>
  <si>
    <t>7F-WxE0bR16j2TgrPzzC.g</t>
  </si>
  <si>
    <t>18301-C</t>
  </si>
  <si>
    <t xml:space="preserve">&lt;HTML&gt;
&lt;HEAD&gt;
&lt;TITLE&gt;Moved Temporarily&lt;/TITLE&gt;
&lt;/HEAD&gt;
&lt;BODY BGCOLOR="#FFFFFF" TEXT="#000000"&gt;
&lt;!-- GSE Default Error --&gt;
&lt;H1&gt;Moved Temporarily&lt;/H1&gt;
The document has moved &lt;A HREF="https://script.googleusercontent.com/macros/echo?user_content_key=AehSKLhlDowBntC4XCrSukK3loEN9GpvgQaNxKlBZKbU4OhwuPePbq6q3y4LsZ6nFenT4X4NZ07EiWA-C35f4KpamIDDRaL28UBS2yVVBwkov0LvCgBsF7y3ZsfqIV6U3JF5Ny0x-ufktNKYRqozcAmiikyqBWNTW68NBrFYIVoOmMAbCnaP8LsKcjCG3BJgg4DsCfm4tDq6mpMm7aK5PeI7CRHCuomHPMq-7j3VZrK6qojXCJtnwwEchz32dUCK_q31okSxlMgHB0YQVATuG9dk36P_9oDHbnSKBtvtIwn3GkifjZjInyt9hkOdW2HQqw&amp;amp;lib=M-zdWbhavtdZ1B_W2dnFDM0qoVt4lWzJ-"&gt;here&lt;/A&gt;.
&lt;/BODY&gt;
&lt;/HTML&gt;
</t>
  </si>
  <si>
    <t>SiTHKaN7Q46l4hh9JOgQTA</t>
  </si>
  <si>
    <t>18301-D</t>
  </si>
  <si>
    <t xml:space="preserve">&lt;HTML&gt;
&lt;HEAD&gt;
&lt;TITLE&gt;Moved Temporarily&lt;/TITLE&gt;
&lt;/HEAD&gt;
&lt;BODY BGCOLOR="#FFFFFF" TEXT="#000000"&gt;
&lt;!-- GSE Default Error --&gt;
&lt;H1&gt;Moved Temporarily&lt;/H1&gt;
The document has moved &lt;A HREF="https://script.googleusercontent.com/macros/echo?user_content_key=AehSKLi_P-CWN18xPijjvmKXGwWgeHTRu3nZDCokduSZYKNDacB_kz8_UznaKIkgE3xXnhdnSIKa7OFdhOT1K2g5642xfIaYgqZefCpyZnnb9Pl_Ohyt30USJqLKvHSg-xNw1hH9I1aDR1UbKLmVDsgTtHcE3gXmbpY9BI_RURFCDqDgk82o-n5xXRcGvwZjibAaUqZT9Rj6Yf8TOU_iCZEbFii-0SONAy7rhOss6wTTJA8G60pBng_fD9U5lxyWe5e1fSUH_Nz8_5zUSenxCTAgdktnqPNGT0yN6hvsCyq3MBlKIU6_sz3jtTM22wUTgw&amp;amp;lib=M-zdWbhavtdZ1B_W2dnFDM0qoVt4lWzJ-"&gt;here&lt;/A&gt;.
&lt;/BODY&gt;
&lt;/HTML&gt;
</t>
  </si>
  <si>
    <t>nOYD1c2nCU0ayAiGSZiG</t>
  </si>
  <si>
    <t>18303</t>
  </si>
  <si>
    <t>8F00250411550006</t>
  </si>
  <si>
    <t xml:space="preserve">&lt;HTML&gt;
&lt;HEAD&gt;
&lt;TITLE&gt;Moved Temporarily&lt;/TITLE&gt;
&lt;/HEAD&gt;
&lt;BODY BGCOLOR="#FFFFFF" TEXT="#000000"&gt;
&lt;!-- GSE Default Error --&gt;
&lt;H1&gt;Moved Temporarily&lt;/H1&gt;
The document has moved &lt;A HREF="https://script.googleusercontent.com/macros/echo?user_content_key=AehSKLiODANNe6MZiv06VpcUKUm8bRtzPbusNIS3lh0uiYjw2aQxn_FM5lHXsrd4QjcZTSuLjEKdaWoY1f4FcbwzdHAYbaFHcIhCawLG3xHNlx_5mw2HRXS5vECfor1xrXayXgYK-Y4_DSIuEKaoQmJ7OhJv-VuhVW71jXWGGiU4899bFYZny592xHzVJrGOkaEe1jxVWpt7FHiy0hxBSGlcj2StY30O4uq7Ie_PsbROcU5bfPU3Zn_zWg0a4g1SgpU8f7eh_4PfOReY2Os6xMSY8de1IY9JqC7RvgNaUZobXWj4Ysar7lRuxEGdJ9jFZw&amp;amp;lib=M-zdWbhavtdZ1B_W2dnFDM0qoVt4lWzJ-"&gt;here&lt;/A&gt;.
&lt;/BODY&gt;
&lt;/HTML&gt;
</t>
  </si>
  <si>
    <t>AtXzEaTTT5WRONNCLMjuYg</t>
  </si>
  <si>
    <t>18304</t>
  </si>
  <si>
    <t>FITLOG TRANSPORTES E LOGISTICA LTDA / (048) 996277956Obs.Interna: Cliente tem urgencia nesta maquina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</si>
  <si>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pTpNrmKafopZ5MQiSuXRb8tm87ustGA4nyUd5-_fM32-Px5A-EmvPEUTGluLZCvgYwZGKMI-95zvgTy1_VgiMJeC82KgK8bTq2h1qi9i39QJXkdtmASRWDLfKRvdl1_GSBwm2YIr09iIe0RQ5lIQ9O6unzZY3SdpjkLSiUQ1cFMON_X_Ss3FYlPyyhn5ltiynYnWMIS8mgQy2ZisKjzOB-90qFkebk9HH47ZxHC0xK09F4-LgOLtYmSunGJPNRl8odxsjxSjxNUV-ndvdPkjIzj-z33gnZHzu9AOni4_k2Z63rOPM0nbMmgQzDg&amp;amp;lib=M-zdWbhavtdZ1B_W2dnFDM0qoVt4lWzJ-"&gt;here&lt;/A&gt;.
&lt;/BODY&gt;
&lt;/HTML&gt;
</t>
  </si>
  <si>
    <t>WYokG.dyRDaBUhxeNXpt.g</t>
  </si>
  <si>
    <t>18305</t>
  </si>
  <si>
    <t>8F00250329040003</t>
  </si>
  <si>
    <t>FITLOG TRANSPORTES E LOGISTICA LTDA / (048) 996277956Informação Adicional: cliente Enio Armando Piccino
Aplicar desconto à vista conforme promoção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</si>
  <si>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NG6i0t9UqMihypeysBE0Fte7ZOYqnzujLrvrEG_c9sGDzK9eB_s3aF9tE1zILyGeesiXa-du90lwRmNstSVCxc3HPFm4wd9YCeNlhyxxAzw2hFybuwfHVtKNodHbvnP-m7fyfDSDWfGX792waiuCvFqOl9zyL5EGLfS_2H2xnr3t0TMScoK_P9HksatVZCTn-6My84aa1truyl-3Ex3GSdk_U_v5qRIVilulhtga-EdT78zJtKiMoTpzUt3e3HlM_8XeTCyTeU0Jj8OPohizfR3dySw9B6p8gXZ3YW8j-zJD1QNWMSfx-UzbwIQ&amp;amp;lib=M-zdWbhavtdZ1B_W2dnFDM0qoVt4lWzJ-"&gt;here&lt;/A&gt;.
&lt;/BODY&gt;
&lt;/HTML&gt;
</t>
  </si>
  <si>
    <t>bXEWJhLaR12MZCJm7Fnm.w</t>
  </si>
  <si>
    <t>18306</t>
  </si>
  <si>
    <t>8F00250411530015</t>
  </si>
  <si>
    <t>FITLOG TRANSPORTES E LOGISTICA LTDA / (048) 996277956Informação Adicional: Cliente Abel Gonçalves
Aplicar desconto adicional à vista, conforme promoção!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</si>
  <si>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fffSAUtnCZRIJh94cgQU3G8moqmb-BN4U2NBL7YdvVzLn-lfE1zN_9js4a-gYoYmVQ-66I7deHSgL4af8tXD61t90TJkeDOpjRVJrmY6_OmB1XqlYy_bnGQ8cuDMhhE0szbkDyYzX8u-aJUERoYIXHZPFt2GU0-b1SoOhOkG5528Cy1hIFzgFArYeCVyrtpILBwirwXr-P6c2v9Ip0nfqQ1s3dIvSuOOChRi82ziNvF7jqK6F838GZi7qNM_Z2cz0-zWz9-jHaVPX4uTA5Gv8LDKe-4vlokI9XU-BNzlWIQv4xArJ7VHDirE5uA&amp;amp;lib=M-zdWbhavtdZ1B_W2dnFDM0qoVt4lWzJ-"&gt;here&lt;/A&gt;.
&lt;/BODY&gt;
&lt;/HTML&gt;
</t>
  </si>
  <si>
    <t>7ZG-uo3LQ2iCJSvJJTxFZw</t>
  </si>
  <si>
    <t>18307-A</t>
  </si>
  <si>
    <t>8E00241118030009</t>
  </si>
  <si>
    <t>TRANSMIG TRANSPORTES RODOVIARIOS LTDA</t>
  </si>
  <si>
    <t>TRANSMIG</t>
  </si>
  <si>
    <t xml:space="preserve">. </t>
  </si>
  <si>
    <t xml:space="preserve">&lt;HTML&gt;
&lt;HEAD&gt;
&lt;TITLE&gt;Moved Temporarily&lt;/TITLE&gt;
&lt;/HEAD&gt;
&lt;BODY BGCOLOR="#FFFFFF" TEXT="#000000"&gt;
&lt;!-- GSE Default Error --&gt;
&lt;H1&gt;Moved Temporarily&lt;/H1&gt;
The document has moved &lt;A HREF="https://script.googleusercontent.com/macros/echo?user_content_key=AehSKLjkKS-kqTG84FwMrKzcXMJOYaRXpRaHDTiya3fr_fa6Soe-RX8SrcBa2b6wAiXiwP0PEx1dTv3HSbtk_W5a52KyZiXop2LadJKxaZoklMZxj5U-yFNMgme5vaoMGYO5ce5lOaCFKO2oHXJlRKeuPCEimxLbL1666rMNIBucE9Kgbu6qvGwtAuspOsvBkkbiwdmt2Vfo8eqcSuCt8yzlY1py1yr7R3iTkL2rD64P6GDxXkBW0WQgIUY6TIFLmCxUx6k3ZgyzhEOOaw7dD-syiNeeRHXrHbprY9PDATJKNHc2M38j_fi02vJ-Ufdnfg&amp;amp;lib=M-zdWbhavtdZ1B_W2dnFDM0qoVt4lWzJ-"&gt;here&lt;/A&gt;.
&lt;/BODY&gt;
&lt;/HTML&gt;
</t>
  </si>
  <si>
    <t>ux402P2WQj2wanNFp6A5rw</t>
  </si>
  <si>
    <t>18307-B</t>
  </si>
  <si>
    <t>8E00241118030010</t>
  </si>
  <si>
    <t xml:space="preserve">.A </t>
  </si>
  <si>
    <t xml:space="preserve">&lt;HTML&gt;
&lt;HEAD&gt;
&lt;TITLE&gt;Moved Temporarily&lt;/TITLE&gt;
&lt;/HEAD&gt;
&lt;BODY BGCOLOR="#FFFFFF" TEXT="#000000"&gt;
&lt;!-- GSE Default Error --&gt;
&lt;H1&gt;Moved Temporarily&lt;/H1&gt;
The document has moved &lt;A HREF="https://script.googleusercontent.com/macros/echo?user_content_key=AehSKLgGMwmKPGEVVdDXILOMDxLy8Uumig0w6-0RAnFiUTXiqyWNxbOkKU_QhL6ZSGo7wlUUnt9zK50fcPy3noPlsAWxgR6e9ih5lFr2GBvgWvErGMbilahVMWOhXYFSjqC77xLwKcgOpbrm73v_YJRR4Elx_jGu_doHhm8uf8HHZQu6y2PqGJauoRXmT5WRH7zWAa3K1cGwbvTrXtE3TT0nEwIXdEzrmBvanPrldhshV4szhn2QaUljwGp_fGsxLwyWVdxBOfWI-PVzAWfbt5lAG2QFK8pcwW2XvhRk82oYpF0oCOIVwjzt2x4zyXIDxg&amp;amp;lib=M-zdWbhavtdZ1B_W2dnFDM0qoVt4lWzJ-"&gt;here&lt;/A&gt;.
&lt;/BODY&gt;
&lt;/HTML&gt;
</t>
  </si>
  <si>
    <t>JDhl6IyekTefSkg9nwv0</t>
  </si>
  <si>
    <t>18307-C</t>
  </si>
  <si>
    <t>8E00241118030018</t>
  </si>
  <si>
    <t xml:space="preserve">&lt;HTML&gt;
&lt;HEAD&gt;
&lt;TITLE&gt;Moved Temporarily&lt;/TITLE&gt;
&lt;/HEAD&gt;
&lt;BODY BGCOLOR="#FFFFFF" TEXT="#000000"&gt;
&lt;!-- GSE Default Error --&gt;
&lt;H1&gt;Moved Temporarily&lt;/H1&gt;
The document has moved &lt;A HREF="https://script.googleusercontent.com/macros/echo?user_content_key=AehSKLiPo2OMXWcj5arDabAU5KhbRZqqAPePVbkxU7XS5LXHBLbIQUeuYfsdSGw-MhBIITAdW_y2Rfq_cwRRM8o-GzBZ5O1-pA8Wqvm29rHIPXrE76wjCim-Y0Tb-hlnq127s7PIBfzgwWB_bU8gFzZqRVS4WF9DS82xzGlXdJit17-D3v7_iJ1jGzdNA1PzfoZldx2cfH4eDdkz3BOmLx3mk8zHj4TQe4q9GG7VXD97We6JKijvEN2-fpGqhqNVUB9jvd_92qwQgUfkl4HVN0q-lcTnmCglUjSOJPJoLrjeirp6d9lD5i-5dpwSHs2msw&amp;amp;lib=M-zdWbhavtdZ1B_W2dnFDM0qoVt4lWzJ-"&gt;here&lt;/A&gt;.
&lt;/BODY&gt;
&lt;/HTML&gt;
</t>
  </si>
  <si>
    <t>9inkx9IQXpBDQnJUslxu</t>
  </si>
  <si>
    <t>18307-D</t>
  </si>
  <si>
    <t>8E00241118030019</t>
  </si>
  <si>
    <t xml:space="preserve">&lt;HTML&gt;
&lt;HEAD&gt;
&lt;TITLE&gt;Moved Temporarily&lt;/TITLE&gt;
&lt;/HEAD&gt;
&lt;BODY BGCOLOR="#FFFFFF" TEXT="#000000"&gt;
&lt;!-- GSE Default Error --&gt;
&lt;H1&gt;Moved Temporarily&lt;/H1&gt;
The document has moved &lt;A HREF="https://script.googleusercontent.com/macros/echo?user_content_key=AehSKLhoe9aZkxLE1X9JxCvZ5nDD0fvV72zN-ljwIaGFGtIzb6RbDFeJh5NO_guAL7I0-GF0dUYLcSWUreBLX2UUPBxv4wozXhXeGlaDkPvmoCvhaH7-tPiWC57bxECFuFSGUJ-h4g23nAC8yuixKj8D1gfZN_9fTPiH1qk4p9uvryzuOXaBt1lVx_N68Q9jhuF6NBEVzdaU0Bbft5YiGnTb9bL5M46LtTYtMPVYTOjaCkoz1LBi-4tgFUvneXGcrcy3KA4gJbbMs03wkZUMSzlt2eDD0XppyJkVyxp5IOI6yBlJMO71oXp8sugZ8NoH_g&amp;amp;lib=M-zdWbhavtdZ1B_W2dnFDM0qoVt4lWzJ-"&gt;here&lt;/A&gt;.
&lt;/BODY&gt;
&lt;/HTML&gt;
</t>
  </si>
  <si>
    <t>6Bm9L3geOjXdYWWiKZpI</t>
  </si>
  <si>
    <t>18308-A</t>
  </si>
  <si>
    <t>HELUX</t>
  </si>
  <si>
    <t>8F00250329060037</t>
  </si>
  <si>
    <t>EXPRESSO SAO MIGUEL S/A / (049) 3361-6627Obs.Interna: PAGAMENTO ENTRADA R$ 28.800,36 E SALDO BOLETO 30 DIAS DE ACORDO MARIO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</si>
  <si>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oL3ygX11FWoRTx8MzB0pkoos77Tg5b-DpJJMjlZxYejBCyOMtUbWbbRHJyQSccR49SCZ9CchVNReFX37U2fAbp7UZNku-ZQ3QAo-9ZSjDVeekFAXZOQ_0W9xJ4a90F3OIi_Bh0B_Rjbm0tJx9dIxmIEnbhCgW3xLUzenkl3W6IRpksNXe5zsgXLCaRQJ5IcUFNjsU6HvCX-Gd40oib8gIxPq0xNUnNKdLvZmy6dxf6vUsPHNaAY_o65FsTx2H72-FyS-OtehfZy2I90NF4qssitaOXQoUZUTlxE5VlCiKVUHQjx_68FZavw7MTg&amp;amp;lib=M-zdWbhavtdZ1B_W2dnFDM0qoVt4lWzJ-"&gt;here&lt;/A&gt;.
&lt;/BODY&gt;
&lt;/HTML&gt;
</t>
  </si>
  <si>
    <t>GtD6VL.0Raqwi2hUpKpCxw</t>
  </si>
  <si>
    <t>18308-B</t>
  </si>
  <si>
    <t>8F00250329060038</t>
  </si>
  <si>
    <t xml:space="preserve">&lt;HTML&gt;
&lt;HEAD&gt;
&lt;TITLE&gt;Moved Temporarily&lt;/TITLE&gt;
&lt;/HEAD&gt;
&lt;BODY BGCOLOR="#FFFFFF" TEXT="#000000"&gt;
&lt;!-- GSE Default Error --&gt;
&lt;H1&gt;Moved Temporarily&lt;/H1&gt;
The document has moved &lt;A HREF="https://script.googleusercontent.com/macros/echo?user_content_key=AehSKLidsTTD6hmShxmhyEKgYy1ffgOTwd2Rfr7e0rswupQtZjQKYpixXTL1RjtHp_S6fO5sGL5CwfZFFKco9gXpSbTjXXQbcgiENW45MHElNY4hFmPOHIeuVC_ACj2VylenY9_QqatuFAjk-1sxLa1QOAJB-ryhnXTWucIA0RRnDPNqEqz9XEYYqCtsp7GSSPfdhYx5pTg9k-43BW1p_3T3Rgmt0mQg2n56YhiG82gJ6QcQnoA82cJGo9-pn9embb96883j-WoSh3k2iXC5eN-f58lcR3O7sCuTXY3o3H6tgb9w_gRDIgwRJ7l4XCaekQ&amp;amp;lib=M-zdWbhavtdZ1B_W2dnFDM0qoVt4lWzJ-"&gt;here&lt;/A&gt;.
&lt;/BODY&gt;
&lt;/HTML&gt;
</t>
  </si>
  <si>
    <t>VZQvyQZQpM9cS10cNJ1A</t>
  </si>
  <si>
    <t>18308-C</t>
  </si>
  <si>
    <t>8F00250329060039</t>
  </si>
  <si>
    <t xml:space="preserve">&lt;HTML&gt;
&lt;HEAD&gt;
&lt;TITLE&gt;Moved Temporarily&lt;/TITLE&gt;
&lt;/HEAD&gt;
&lt;BODY BGCOLOR="#FFFFFF" TEXT="#000000"&gt;
&lt;!-- GSE Default Error --&gt;
&lt;H1&gt;Moved Temporarily&lt;/H1&gt;
The document has moved &lt;A HREF="https://script.googleusercontent.com/macros/echo?user_content_key=AehSKLg7TpagHH5VpjWpRimA6sgMqk3maG-NX46yGpYR5lJTz_5YIRuOX5JlZMH_mUJ6FYcymtA34CnOZxNyucqG8Bg4ravKyhbkmh0kueae-taPAc0BqvhWtCfInXtparf-D7qJHnftE8OZMJUx9ojWSM2MPd5ewt6D43UBxRNrMXMhWjQKQxQfKlLgD6IcRruZNTLNELr_Safz1dYFlA0eCEc6sU9wSrlF9U0gYZXi4Fdmdqi5GGM-JnOT8IsFhrXinCkcQKlPs_sp4LSgTyyGzHvRtlGESUSwoXjM8_w8EKy775Dj3SNUkqOrep6WUQ&amp;amp;lib=M-zdWbhavtdZ1B_W2dnFDM0qoVt4lWzJ-"&gt;here&lt;/A&gt;.
&lt;/BODY&gt;
&lt;/HTML&gt;
</t>
  </si>
  <si>
    <t>gZEjvbeGuAdoSPowydi3</t>
  </si>
  <si>
    <t>18309</t>
  </si>
  <si>
    <t>20269</t>
  </si>
  <si>
    <t>RETIRADO EM SÃO JOSÉ JUNTO AO GUILHERME</t>
  </si>
  <si>
    <t xml:space="preserve">&lt;HTML&gt;
&lt;HEAD&gt;
&lt;TITLE&gt;Moved Temporarily&lt;/TITLE&gt;
&lt;/HEAD&gt;
&lt;BODY BGCOLOR="#FFFFFF" TEXT="#000000"&gt;
&lt;!-- GSE Default Error --&gt;
&lt;H1&gt;Moved Temporarily&lt;/H1&gt;
The document has moved &lt;A HREF="https://script.googleusercontent.com/macros/echo?user_content_key=AehSKLhHBk70IH8-regpCWN80AWe3L06tTzzVXgxda5bdHIKpgJSU8ZnGU9hsD1h5n4UAaTy7RwazjtxhX-UoJQ6J-VLoGOTvdy5uV0-KUA8VL6x0w4GdwOwll8hm7Pk4FChwfeVtJ39X3P-MPYAhlYJz4Eo84xWvehPdqdQ8owUntKgzQbbky9ffT9mPPwDAZCjoCeHPT7RDlD60ReN-7xmt6lc7P22Yk30JGlvkcQiYa1p293O_gGTuZQH5xd_O3KQtpwtVnE-YTndpD5t7tyUizZKls1Lk3jJX76pngVBwjqz0AnZFgpcLg2ki6PB_g&amp;amp;lib=M-zdWbhavtdZ1B_W2dnFDM0qoVt4lWzJ-"&gt;here&lt;/A&gt;.
&lt;/BODY&gt;
&lt;/HTML&gt;
</t>
  </si>
  <si>
    <t>2pcTs40QTuyfXbYciyzdJQ</t>
  </si>
  <si>
    <t>18310</t>
  </si>
  <si>
    <t>Luciane Trombini</t>
  </si>
  <si>
    <t>8E00250208070041</t>
  </si>
  <si>
    <t xml:space="preserve">&lt;HTML&gt;
&lt;HEAD&gt;
&lt;TITLE&gt;Moved Temporarily&lt;/TITLE&gt;
&lt;/HEAD&gt;
&lt;BODY BGCOLOR="#FFFFFF" TEXT="#000000"&gt;
&lt;!-- GSE Default Error --&gt;
&lt;H1&gt;Moved Temporarily&lt;/H1&gt;
The document has moved &lt;A HREF="https://script.googleusercontent.com/macros/echo?user_content_key=AehSKLj3PigBAXpbi01UgTP3xAFt6dXOUdihyRuoWjf-2QxuoIKOZiCWui792XO04TURL7KxLLyMcdbJw8gh8uqSPUJ0edeHjJ315xdJwmnukUyDVtrbrS2fR_xBU7J8oKkPul1uQT38XRgtHQiyreL1-PUEy8-fEIbmCkFsM_IlyK2-W3_GUJv5Y4t5VYHG3iA3TSVJUFUnE39ARLnqnQPF-etY-KogxQR5a21KnGQhHuXEutV-Ohlg0AHW2kQR9I2rohZSLrrnmeNH2ORBwJueu-7moBA095_oaNyBhnIJa-sw2XI7p9NxoVBTcIlCuw&amp;amp;lib=M-zdWbhavtdZ1B_W2dnFDM0qoVt4lWzJ-"&gt;here&lt;/A&gt;.
&lt;/BODY&gt;
&lt;/HTML&gt;
</t>
  </si>
  <si>
    <t>Usd.J5T6S.aSBf1pI6IuXQ</t>
  </si>
  <si>
    <t>18311</t>
  </si>
  <si>
    <t>TRISUL 34 EMPREENDIMENTOS IMOBILIARIOS LTDA</t>
  </si>
  <si>
    <t>FITLOG TRANSPORTES E LOGISTICA LTDA / (048) 996277956Informação Adicional: Venda efetuada pelo nosso cliente CS3 TERMOTECNOLOGIA SP LTDA / Obs.Interna: DESCONTAR SEM COMISSÃO P FABIO, devido sem o difal . ENTREGA FUTURA DIA 25/09-/2025 .  / E-mail para nota fiscal: , E-mail de cobrança: , Telefone para contato</t>
  </si>
  <si>
    <t>sCfL3d1NRT-PLK2K30DCpw</t>
  </si>
  <si>
    <t>18312-A</t>
  </si>
  <si>
    <t>8E00250208070039</t>
  </si>
  <si>
    <t xml:space="preserve">&lt;HTML&gt;
&lt;HEAD&gt;
&lt;TITLE&gt;Moved Temporarily&lt;/TITLE&gt;
&lt;/HEAD&gt;
&lt;BODY BGCOLOR="#FFFFFF" TEXT="#000000"&gt;
&lt;!-- GSE Default Error --&gt;
&lt;H1&gt;Moved Temporarily&lt;/H1&gt;
The document has moved &lt;A HREF="https://script.googleusercontent.com/macros/echo?user_content_key=AehSKLivMz5THvMmpTBWIORZB6jMk3T0ReKZSTx2qv6AsaS251xdtTbmH8y4lIvWnqttwI_T6BxiNoX9QdG9aHwssTGYynr2ktVM6B1QZZ9di9iWGnJQafQr71iVj-QMeMnEFVJ-dn35RvOBhPOZhrUEtQuQ_q_oOn4Ka-bfv-lVIf24-yDPMPE-7RsaeEtvU1reznThWYfB_EgwIYFdl4ia4kdBuKTbULaAkQs0Kx5czoG2VboHH2a6fDQQU3bUP09is1s939gXHn1oYJbJVtSbDdVaLKIlhoI_UYS7O1GqXqterdB7qQF8ltxV830IZQ&amp;amp;lib=M-zdWbhavtdZ1B_W2dnFDM0qoVt4lWzJ-"&gt;here&lt;/A&gt;.
&lt;/BODY&gt;
&lt;/HTML&gt;
</t>
  </si>
  <si>
    <t>d.4L0yjMQUWIcNigh0-JDA</t>
  </si>
  <si>
    <t>18312-B</t>
  </si>
  <si>
    <t>8E00250208070038</t>
  </si>
  <si>
    <t xml:space="preserve">&lt;HTML&gt;
&lt;HEAD&gt;
&lt;TITLE&gt;Moved Temporarily&lt;/TITLE&gt;
&lt;/HEAD&gt;
&lt;BODY BGCOLOR="#FFFFFF" TEXT="#000000"&gt;
&lt;!-- GSE Default Error --&gt;
&lt;H1&gt;Moved Temporarily&lt;/H1&gt;
The document has moved &lt;A HREF="https://script.googleusercontent.com/macros/echo?user_content_key=AehSKLiCg4Tczy8XymL8FZSDk-8UtdIVXxbo806db7duC9SBvUsb5awJ6c-X4WHz-TxEEgivp5cblJcerg09j1vU0KfWdvG4QbqUAtdokusz3XpxLADphfSpDDdiu5KtZxl8s3Ezrjc6oQh3t0nOvhMP065i4Xw985XRu0rKsn8rPNwJyXKJhWXzJuzwziEOv0v0dqUsisYC4jgOt20IQA599GaW0Anb-zMKbqJOY2wkLU_GkdFjptjJuZgcwA6ZeV0kn2g7EEp-bEd7kyzhMAUrzWCnfzvMnA5l9gzHR2HEVGdSOJzRFK__vJRzlhK9EQ&amp;amp;lib=M-zdWbhavtdZ1B_W2dnFDM0qoVt4lWzJ-"&gt;here&lt;/A&gt;.
&lt;/BODY&gt;
&lt;/HTML&gt;
</t>
  </si>
  <si>
    <t>CBfkNxJBlO3KIAnWmhgr</t>
  </si>
  <si>
    <t>18312-C</t>
  </si>
  <si>
    <t>8F00250208090022</t>
  </si>
  <si>
    <t xml:space="preserve">&lt;HTML&gt;
&lt;HEAD&gt;
&lt;TITLE&gt;Moved Temporarily&lt;/TITLE&gt;
&lt;/HEAD&gt;
&lt;BODY BGCOLOR="#FFFFFF" TEXT="#000000"&gt;
&lt;!-- GSE Default Error --&gt;
&lt;H1&gt;Moved Temporarily&lt;/H1&gt;
The document has moved &lt;A HREF="https://script.googleusercontent.com/macros/echo?user_content_key=AehSKLjKVdiTHnUyyF2R8RrTs5LNFDnqqAtHKdwEsNR1-lmY1Uf2QfnihJZ3o96S0OalQY1tW4Yfa_QrRhEqWUf9UzYI6DY9IOokYIUzdLKgv4MJJrcbbXBMDaiphJI3hUS5FLz8H4deKNahuCbXl1lZeletrPVKs2c0-xAF-A871wY56WwwbV3PZ-JyW46idSe0Pg8Dl2uIYYIAloBntK2sUF2GozS-PtD9e62R0HY6svNrA8GdIq6iDOlLGuxHRgBWhYA3NQxR59sREvYs_4BJqtRzkW2hQsXUBlo_lxWFLO4O3icQJOk6GfbJjZIPdA&amp;amp;lib=M-zdWbhavtdZ1B_W2dnFDM0qoVt4lWzJ-"&gt;here&lt;/A&gt;.
&lt;/BODY&gt;
&lt;/HTML&gt;
</t>
  </si>
  <si>
    <t>5eCjkE1MfNNJsFM0PCjy</t>
  </si>
  <si>
    <t>18312-D</t>
  </si>
  <si>
    <t>8F00250104080004</t>
  </si>
  <si>
    <t xml:space="preserve">&lt;HTML&gt;
&lt;HEAD&gt;
&lt;TITLE&gt;Moved Temporarily&lt;/TITLE&gt;
&lt;/HEAD&gt;
&lt;BODY BGCOLOR="#FFFFFF" TEXT="#000000"&gt;
&lt;!-- GSE Default Error --&gt;
&lt;H1&gt;Moved Temporarily&lt;/H1&gt;
The document has moved &lt;A HREF="https://script.googleusercontent.com/macros/echo?user_content_key=AehSKLjaZbzt_Y1thTQMfhSWt0qG9uQqS0J9enOJJarlW6t2BYxWdWpiat5gZfZsROBFpOPSUB28cu4_0BwiLUSVz77zpysbK4idbfLNPRtg3aXThdtG2jPWcC3eWJP7gsc7NMA6iP7Exs9Djh2ltCyshuUFqXYffW9ZTORwrCVJxZLsgt1EIxX5UPSw0V9QQFHP0aJ1F87D6NeQIsOZTjUHmuO6M568JFCTO0dvovOs-TzAP_1o4GwZkGPRgTgTzHfXBPijBeW52sskpH-RpqWEbgg6J-9aFGVF1iEH722adiU9kEOSXQYytt8HKRvcQA&amp;amp;lib=M-zdWbhavtdZ1B_W2dnFDM0qoVt4lWzJ-"&gt;here&lt;/A&gt;.
&lt;/BODY&gt;
&lt;/HTML&gt;
</t>
  </si>
  <si>
    <t>O2J6yvEvhfw4gwFfOrDH</t>
  </si>
  <si>
    <t>18314-A</t>
  </si>
  <si>
    <t>FARNEZZI MATERIAIS DE CONSTRUCAO LTDA</t>
  </si>
  <si>
    <t>8F00241118040047</t>
  </si>
  <si>
    <t>FITLOG TRANSPORTES E LOGISTICA LTDA / (048) 996277956Informação Adicional: valor total do pedido - R$ 12.574,33  valor de tabela IFV 01 - R$ 3.334,50
FRETE FOB com redespacho pela  RODOCAP -  CNPJ SP : 38493863000200 - R.JOAQUIM MENDES,162 A DO LIMAO SAO PAULO - SP - CEP : 02518100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</si>
  <si>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10sb4PL9wZ9bBCrFi7-oMFSD-NS-eLnTtB-HUYli5yHpRI5s7dEncSZZW1hjwbJgPO7iOTMbuseCibqvTZWgT8ETrU533iFOzieZoTXyGoLtqPYWAQ8D59pzyIg0oHoA9TD_O_lQ5NS1cvIrT3eOnz-LBGOSoQANHppM48DQsanLTHXvZTrlt1xIUABhmevC47lqw_FcIhK37HDbOzeC13Bv9FLbf-mTECJZxRCQgvuUd7FhV4zVaJrlJYFRJO44zZ61kT9KKpr7jzqQFLc9dMazJyllfDIQNKj-H4TY-_7I-mhhbgbQ8ocX9Zg&amp;amp;lib=M-zdWbhavtdZ1B_W2dnFDM0qoVt4lWzJ-"&gt;here&lt;/A&gt;.
&lt;/BODY&gt;
&lt;/HTML&gt;
</t>
  </si>
  <si>
    <t>m5m89rgiTS6cvlVQVhSQcQ</t>
  </si>
  <si>
    <t>18314-B</t>
  </si>
  <si>
    <t>WL-2024072510041</t>
  </si>
  <si>
    <t>IFV-1CV</t>
  </si>
  <si>
    <t>BOMBA DE ÁGUA</t>
  </si>
  <si>
    <t xml:space="preserve">&lt;HTML&gt;
&lt;HEAD&gt;
&lt;TITLE&gt;Moved Temporarily&lt;/TITLE&gt;
&lt;/HEAD&gt;
&lt;BODY BGCOLOR="#FFFFFF" TEXT="#000000"&gt;
&lt;!-- GSE Default Error --&gt;
&lt;H1&gt;Moved Temporarily&lt;/H1&gt;
The document has moved &lt;A HREF="https://script.googleusercontent.com/macros/echo?user_content_key=AehSKLjSjXU4hb5aEcN_CnOab4JlFxg3yy7HYlCdCv_lXVQEZZg0VokjTbLxRtwRSWfK6pGqpKEljJXW3yesGkG0-54aK89FWQpFvsq7voKKfnEWIgOinx93a6We_78yKUiJDrvbKjqzYHUC05xjUjMJaNlHMGHbpbVy3IGCkIeJ45XFsccAfLWh5pMu-kkhXjwd-wTWqBaY1d9JokN1AJqmpLgVn7s532mqQye2Y0Zdy92lFwi8ve7MfUhNXcA86U2o0CZ4iFSMFmc9fgsNiSPS6mgw2bd3lWOPS4t86AFDgiqKS-J7kdN6pHcGxEyFow&amp;amp;lib=M-zdWbhavtdZ1B_W2dnFDM0qoVt4lWzJ-"&gt;here&lt;/A&gt;.
&lt;/BODY&gt;
&lt;/HTML&gt;
</t>
  </si>
  <si>
    <t>DcZWx6urHROhqSNEtSEP</t>
  </si>
  <si>
    <t>18315</t>
  </si>
  <si>
    <t>FITLOG TRANSPORTES E LOGISTICA LTDA / (048) 996277956Obs.Interna: Abater o valor do pedido do saldo da conta corrente
OC 995 - Constar na NF a ordem de compra do cliente "CE 1443 (Izaias Cirios)
Entrega imediata no endereço do cliente (confirmar 24hs antes da saída com Jorge (21) 99512-4022
Endereço: Rua Rubem Braga, 447 Barra da Tijuca, Rio de Janeiro CEP 22793-238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</si>
  <si>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_HqDOB2MIWC8R3ZGY5Cnx3YWz0UG6JEQBKtgyO1svL6sc8dDVbc63AjHYcUwMlacbfZSPuj4OnVkEZgCmMMfcncxaQaOnBIwW-ikSd4NfWRti2LmSNP1F3aFKWXuh8HJsra9vwLGic7J547xqUQbqhUKePc1ESLnB6YXjFx1GVhnPxRGgpysbc-7aSS7MYTgktYoPLqkKrkuXnAVe-XyXPEOQUO5eoo2I2SqfRTYEwB25HynmerVhYjQncclof1aroz1Apd0pOoBcW3xSghMGZiLXMzwHJc0E6b7bfCI35iJow1HilJhztcKeSw&amp;amp;lib=M-zdWbhavtdZ1B_W2dnFDM0qoVt4lWzJ-"&gt;here&lt;/A&gt;.
&lt;/BODY&gt;
&lt;/HTML&gt;
</t>
  </si>
  <si>
    <t>8Vxapqq7Sv-4CQ56k849qg</t>
  </si>
  <si>
    <t>18317</t>
  </si>
  <si>
    <t>FITLOG TRANSPORTES E LOGISTICA LTDA / (048) 996277956Informação Adicional: Cliente Claudia de Freitas Barroso Santos
Aplicar desconto à vista, conforme promoção vigente / E-mail para nota fiscal: , E-mail de cobrança: , Telefone para contato</t>
  </si>
  <si>
    <t>b3WmP4k5TJWo5uvfQk1POw</t>
  </si>
  <si>
    <t>18321</t>
  </si>
  <si>
    <t>8F00250411520016</t>
  </si>
  <si>
    <t xml:space="preserve">&lt;HTML&gt;
&lt;HEAD&gt;
&lt;TITLE&gt;Moved Temporarily&lt;/TITLE&gt;
&lt;/HEAD&gt;
&lt;BODY BGCOLOR="#FFFFFF" TEXT="#000000"&gt;
&lt;!-- GSE Default Error --&gt;
&lt;H1&gt;Moved Temporarily&lt;/H1&gt;
The document has moved &lt;A HREF="https://script.googleusercontent.com/macros/echo?user_content_key=AehSKLgsxPtCQwdScLWfPbvMVfR8NDO2K9S7EJSrY5FcrKaF_eRg7e-WspCinSn2nTbegnGS10dJwvpfPpPGycP9Ahavqk5fp0F7XQLWFrUdUzAep_X2E2SOeE695vQ0_H2XMmKZjXK75VYSm1KTqVvILkFTWFo8lQBXlvfCPecG9aq7OOWaiSUDSOu6gZCg0AiEOVRvIPIJjKMJPtb6vbo6boLn3kY7xLjumber9e9OOMC89cGZUQt4t4JHjWthB9nZqOmsg_IBtUcUouJ60-GIfLfLxu5gxmth3t7k0-6zmmj_31Ro4hf9-dMXexcLlw&amp;amp;lib=M-zdWbhavtdZ1B_W2dnFDM0qoVt4lWzJ-"&gt;here&lt;/A&gt;.
&lt;/BODY&gt;
&lt;/HTML&gt;
</t>
  </si>
  <si>
    <t>GIhvntAZQu2TpgOYafRgeg</t>
  </si>
  <si>
    <t>18322</t>
  </si>
  <si>
    <t>8F00250411520015</t>
  </si>
  <si>
    <t>EXPRESSO SAO MIGUEL S/A / (049) 3361-6627Informação Adicional: CORRIGIR VALOR PARA R$8.915,67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</si>
  <si>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vCtVzXKMys3GbhAQ8zy0Y3eajmVJBtO1Oox_CRKuM6iNOKxhob1RJbBfs4NJN0FQmv1vZlAECtwK5HwlEuFs2snqoXdld6zYeqbkyhXBCPdM_3IRAfiiPy1gShKi_x2-hwuxN9G9irT9rBjE4DDtUhii_-y345oxyjGSpLdDwS5LgXPnZl96z2JGxzoR4PLNT8FKaM1xAl3-Krz5T6GIdJ4kRlDWhYUOlpmEbDnGg5GdvhJwe9HnBvsK0xaXTmi2upy3-xRmp5LSYfHsoxe60ngWQINMRdFrKmXx4COnfXWhniewo8sABSKGLFQ&amp;amp;lib=M-zdWbhavtdZ1B_W2dnFDM0qoVt4lWzJ-"&gt;here&lt;/A&gt;.
&lt;/BODY&gt;
&lt;/HTML&gt;
</t>
  </si>
  <si>
    <t>YbXpRGuzRzel5bJugF3fKg</t>
  </si>
  <si>
    <t>18323</t>
  </si>
  <si>
    <t xml:space="preserve">&lt;HTML&gt;
&lt;HEAD&gt;
&lt;TITLE&gt;Moved Temporarily&lt;/TITLE&gt;
&lt;/HEAD&gt;
&lt;BODY BGCOLOR="#FFFFFF" TEXT="#000000"&gt;
&lt;!-- GSE Default Error --&gt;
&lt;H1&gt;Moved Temporarily&lt;/H1&gt;
The document has moved &lt;A HREF="https://script.googleusercontent.com/macros/echo?user_content_key=AehSKLg7_4880nGOc6dSAWaQ3UgcVrcjqF_D8lYMQSATKgoimdTm66je8wy9Yf3z2n-HsKJvx6qnPRmE5KRG9gH6QRPxSpF-OU8tdwQWk3DCceQPsOj8npwU-cld8eiPRxCnbAQZX38RSO0sysecePXLt_VHlkbVr2O0rTSzbKjTxDFffa06Ia0Uci7iQwfqWnAJMrkemVwGuJ0vJvPVqf5Rkomf5GqFaz8GvhUs0UxCDQoYzxjohLq56zhu1gZv2wlauNGcMO2WhcyLtSoScMhHB0luNw0AJJYmvKw9vxw3YKtzw7bYaIKBjv_F-Wsoxw&amp;amp;lib=M-zdWbhavtdZ1B_W2dnFDM0qoVt4lWzJ-"&gt;here&lt;/A&gt;.
&lt;/BODY&gt;
&lt;/HTML&gt;
</t>
  </si>
  <si>
    <t>MQAurgFbSOyKUol229ZMjw</t>
  </si>
  <si>
    <t>18325-A</t>
  </si>
  <si>
    <t>8F00250411540001</t>
  </si>
  <si>
    <t>EXPRESSO SAO MIGUEL S/A / (049) 3361-6627Informação Adicional: Considerar o valor de R$14.400 cada maquina, o cliente vai pagar a primeira no pix dia 02/09 e a segunda até o dia 08/09
ENTREGA NA RUA RIO JAGUARIBE,626. BAIRRO ALTO - CURITIBA-PR - CEP 82840-330 / Obs.Interna: Mario - Aprovado / sair somente o pagamento da segunda dia 08/09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</si>
  <si>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6SNlyIlIwTV_kfHHuTcDhsYIrxGr78uxD9g2CkSOsACh41W92F4P-xKr6ALEuWyauuQDoTbXWiddRnLsGnjFfPGUMjrYWZ_YmerI9cjzuXaT6iXCCYBKTWOhaV9vy4mmQ-XU2sv8DvfMWBd_B5wrOMFyYb7DBu7UegWN3lTMb3O3cuFve1BDcP_-K-PQWYS99pW4OH2vaBVmfDgyQLX9jNoZanC5dq-TWn5zGLCQjgH4JMniXVJc-kL4hRwttnvj1yOOO5bckisQMEItTYG9uniJ0-Lelh0_W7s0Xcs74EJ5BvLu5Nq0HeyFasQ&amp;amp;lib=M-zdWbhavtdZ1B_W2dnFDM0qoVt4lWzJ-"&gt;here&lt;/A&gt;.
&lt;/BODY&gt;
&lt;/HTML&gt;
</t>
  </si>
  <si>
    <t>cxh6E-j2SfupiQRigz-K5A</t>
  </si>
  <si>
    <t>18325-B</t>
  </si>
  <si>
    <t>8F00250411540002</t>
  </si>
  <si>
    <t xml:space="preserve">&lt;HTML&gt;
&lt;HEAD&gt;
&lt;TITLE&gt;Moved Temporarily&lt;/TITLE&gt;
&lt;/HEAD&gt;
&lt;BODY BGCOLOR="#FFFFFF" TEXT="#000000"&gt;
&lt;!-- GSE Default Error --&gt;
&lt;H1&gt;Moved Temporarily&lt;/H1&gt;
The document has moved &lt;A HREF="https://script.googleusercontent.com/macros/echo?user_content_key=AehSKLjP12ET0fK6IE0XVKqBbFlD0VAT9dHJ01mobNB_nQ6dLocW-RGaC3T6U_ATHxsu8vEqQPONxWPdeCqLbe2qrGx84KtXi3NEPCA_JOBWbC467hFdwIUu4zgsURpsofMYlLmJlYv-JQAqJ90ycOS-IXyK00qOPgJDX7hXFjBkZGPfRzmnpNSzZz80t6ASMmRUTPiyLWIK7vFpnI4z1jTgCF8ofN01tZYHTR_JUDLXAOkSrV-7IbGNa-vV99i6UWVzqRftK5zQ_yKKQ5igy61pw3BIZc6h_lQxCy_qf7qc7Bp57XAONSaIaBsfsmPhNw&amp;amp;lib=M-zdWbhavtdZ1B_W2dnFDM0qoVt4lWzJ-"&gt;here&lt;/A&gt;.
&lt;/BODY&gt;
&lt;/HTML&gt;
</t>
  </si>
  <si>
    <t>QlkYKXtdfXMNeYaEHfml</t>
  </si>
  <si>
    <t>18326</t>
  </si>
  <si>
    <t>8F00250110290001</t>
  </si>
  <si>
    <t>EXPRESSO SAO MIGUEL S/A / (051) 3586-2013Informação Adicional: Corrigir valor para R$8.573,04
Enviar os brindes para a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</si>
  <si>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GxiTrNnOTZGKLZ3O3aiLh3B6lczAki3WwolGeyEJKaxzw1J03i1hyq4dzalQAsYi1WaC4Mev4wczzOiWO0HOr_C8LWxQhvMOdDMcQ7pJ10oaPmOVDGxGlCh8NczCi3NpEWsEaw_kyBjoWgxpHRfcY8bYaTTjqQDFTCiS6Ll6-mlvI67-iBzLAideelqZwOy5x4GG8Xr8Fcvqcz-DETA-2IhR_VFmrdps7OrS0YhOakTaaD8CZH-MQ2n-pXeu-_8U3vvLe_l2kTAd4rQpJbT8KX5zOfabeY9_tbPsT0QEQkg6ZL44occSY52AZjg&amp;amp;lib=M-zdWbhavtdZ1B_W2dnFDM0qoVt4lWzJ-"&gt;here&lt;/A&gt;.
&lt;/BODY&gt;
&lt;/HTML&gt;
</t>
  </si>
  <si>
    <t>m-NnE2khSgqVPmX7O-OkRA</t>
  </si>
  <si>
    <t>18327</t>
  </si>
  <si>
    <t>8F00241225070012</t>
  </si>
  <si>
    <t xml:space="preserve">&lt;HTML&gt;
&lt;HEAD&gt;
&lt;TITLE&gt;Moved Temporarily&lt;/TITLE&gt;
&lt;/HEAD&gt;
&lt;BODY BGCOLOR="#FFFFFF" TEXT="#000000"&gt;
&lt;!-- GSE Default Error --&gt;
&lt;H1&gt;Moved Temporarily&lt;/H1&gt;
The document has moved &lt;A HREF="https://script.googleusercontent.com/macros/echo?user_content_key=AehSKLhzQzLiJv70CnAjHvPVf5Ja73eQFJbK5J4HvpA16AzsPT4AarTSmfobgo5hfEpOQ7oq9vnJeKjRTjhFjmS4BbmjeSZJlxQvFkyv6yue9GzLadEUybKUxP5aAk1NsCY3-Np9TGPlQ5x-WSMjHzwnIx1q2FoFsyFH-6oCpMpSNF82VxdS4H5P-3c2s9xjkvpCazdMB8tTvXKI-4GZ_bsiPHP1YIZoFSNL9GTZr8AXlWF9FAWzWXxu-nlO4h6VAchUQoOnnQDRjySON2TgEU0wl4UTnBJ_oy5j7YQfOzj68nfGJ3s62NRpWc3T2MjHKA&amp;amp;lib=M-zdWbhavtdZ1B_W2dnFDM0qoVt4lWzJ-"&gt;here&lt;/A&gt;.
&lt;/BODY&gt;
&lt;/HTML&gt;
</t>
  </si>
  <si>
    <t>Kb5.UHHjR3eKRQ5ywKsx7w</t>
  </si>
  <si>
    <t>18328</t>
  </si>
  <si>
    <t>8F00241225070011</t>
  </si>
  <si>
    <t xml:space="preserve">&lt;HTML&gt;
&lt;HEAD&gt;
&lt;TITLE&gt;Moved Temporarily&lt;/TITLE&gt;
&lt;/HEAD&gt;
&lt;BODY BGCOLOR="#FFFFFF" TEXT="#000000"&gt;
&lt;!-- GSE Default Error --&gt;
&lt;H1&gt;Moved Temporarily&lt;/H1&gt;
The document has moved &lt;A HREF="https://script.googleusercontent.com/macros/echo?user_content_key=AehSKLi5EvAuJnQU9YlMKQQDdGDSPaWizBJ2eRr2HiILDHKktqaZQsqxNagJ1Bb9oZARf133JQEoPIsi-0-zctA3aNb2bGtVrPjuEJlsRCvS1OSCaCKWikxnAMFHfiDH6aArKJTtFfPMkhkl6Cn6tKyOLOnAhnY65mTUVSanD-QKJgzdTZNrSIPpdgWnR_KVc1-vo31fNAUbOD_Fk_ZItaEC_xl6-3kokK6Qj4STuBRM_tL-58BVwzoSIPYUSvFp3Wo4yrwmqog1dre5K2w1jq0Xtgk7nmoPvX5F31aAiGtKnm3MyIlwt_DZpiK90hUm1w&amp;amp;lib=M-zdWbhavtdZ1B_W2dnFDM0qoVt4lWzJ-"&gt;here&lt;/A&gt;.
&lt;/BODY&gt;
&lt;/HTML&gt;
</t>
  </si>
  <si>
    <t>quVCzxqzRZaR5Qn5ME9grA</t>
  </si>
  <si>
    <t>18329-A</t>
  </si>
  <si>
    <t>8F00250208100029</t>
  </si>
  <si>
    <t>EXPRESSO SAO MIGUEL S/A / (049) 3361-6627Obs.Interna: CONDECER DESCONTO 10 + 10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</si>
  <si>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61yKHZ0oaJGD4l-s4MvVW_YE38TPMKEZPn2U3MPtxAUabv1_08inXx379a4VT5hViZ8fJVp3rYZwp7uKXbSbSE5zPiUTjFebnXxVzgPfvNWugX05v-mt9fLOka7uR6cvPxrrysObdbS-hLe_5K10cqgc5odu3SSx4GMM_E5SejwjhRh0dEz89pZS58LXB0GOmFAp3WyvMpT4ymWEmMukU5t3V0uBQmcwfRYg0n5TqJfu67Qsne_hMl4zvrDsJxoVtBTujU5c0PabioY3TQhxIzScCysyY8iR6rz0WMiPwtToxl8ZPUtnwYg9ygA&amp;amp;lib=M-zdWbhavtdZ1B_W2dnFDM0qoVt4lWzJ-"&gt;here&lt;/A&gt;.
&lt;/BODY&gt;
&lt;/HTML&gt;
</t>
  </si>
  <si>
    <t>Y38GZ.dIRJ-eZT1hG48TPA</t>
  </si>
  <si>
    <t>18329-B</t>
  </si>
  <si>
    <t>8F00250208100030</t>
  </si>
  <si>
    <t xml:space="preserve">&lt;HTML&gt;
&lt;HEAD&gt;
&lt;TITLE&gt;Moved Temporarily&lt;/TITLE&gt;
&lt;/HEAD&gt;
&lt;BODY BGCOLOR="#FFFFFF" TEXT="#000000"&gt;
&lt;!-- GSE Default Error --&gt;
&lt;H1&gt;Moved Temporarily&lt;/H1&gt;
The document has moved &lt;A HREF="https://script.googleusercontent.com/macros/echo?user_content_key=AehSKLjpqofVLys-RJ_fHRNO7qEyj1Z-3393rsLDioVI2vhutjUZaCLSUTeZ-ZmlIwaO4IHEsP3-a5wBuQOYaCgv2CpOJRMA67SwrEb11ssgtYcnehFsX0bZYLo6j4Y7mybbjvhm2BwAzb__qOlizf-Sx3et_01ejg2BqnwmtUQa3yTKF_O3f_IALvI8HNO8TLp44C4z6kCFTqVW-VZj66eGLkXkHVsgNAVQppCep7fobaJbttTaVod9a-LMWvpv9RfAM6NSO7lFjOLB_uP6MzQqGYpMY6F7B0-5xWmNqauMLBjTJmyXAFmwjb1MJF4I6g&amp;amp;lib=M-zdWbhavtdZ1B_W2dnFDM0qoVt4lWzJ-"&gt;here&lt;/A&gt;.
&lt;/BODY&gt;
&lt;/HTML&gt;
</t>
  </si>
  <si>
    <t>exYr4v4FMwrAuUKckwod</t>
  </si>
  <si>
    <t>18329-C</t>
  </si>
  <si>
    <t>8F00250529210017</t>
  </si>
  <si>
    <t xml:space="preserve">&lt;HTML&gt;
&lt;HEAD&gt;
&lt;TITLE&gt;Moved Temporarily&lt;/TITLE&gt;
&lt;/HEAD&gt;
&lt;BODY BGCOLOR="#FFFFFF" TEXT="#000000"&gt;
&lt;!-- GSE Default Error --&gt;
&lt;H1&gt;Moved Temporarily&lt;/H1&gt;
The document has moved &lt;A HREF="https://script.googleusercontent.com/macros/echo?user_content_key=AehSKLigYKLO-LeIZ06Er-YUqegxR7N8cnQbMcX2wbSvK7K4UPiwrwlA-agsyiqiAM4AC7pBPYHnQUmFtq0onrYIHs5KSRjW7iBzJSC3eUF9rXU0UZO5R0WXtekqPq1BZ-KdxsMK-9rs1YHX19ZDUwvI-m0plfdgmdSO33XpTxeR7KHlryPEt9UYt_jolAJv1s1KxkIIQNNSlsAaqu7gv2_AblV1zepaVkQDoMijsrGwWIP-mqyBAhpuQbae3Sx2rqfUvkBYtWIxeo7txzAA6rKn4uXNLogJAEhYT9sRbVZTN_hk5ZzNLnqCJUYQAHMgDA&amp;amp;lib=M-zdWbhavtdZ1B_W2dnFDM0qoVt4lWzJ-"&gt;here&lt;/A&gt;.
&lt;/BODY&gt;
&lt;/HTML&gt;
</t>
  </si>
  <si>
    <t>l8chGWo6RH7AfUftkrD9</t>
  </si>
  <si>
    <t>18330-A</t>
  </si>
  <si>
    <t>8F00250411550009</t>
  </si>
  <si>
    <t>CLIENTE RETIRA / (0) Obs.Interna: AJUSTAR VALOR - DESCONTO 10 + 10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</si>
  <si>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tJ5CgzhIy_EnJGHGqJobeQJKsyDljFnKwhdZA9bHyM_IpSs4tMpbkDdGRzLxJhL_lNCyGfsLbyaOoZ0AwnjhR0_sN2Vjeu_nYdju3dZ4agrJBcNuyqQ7ISZN9QCBXaMq79aV6ywQGKD-RrjhBYx6-NNyVUtOmtwcrGXv40YU65DzX9iWu82cuJPzgw0X48gkqV4gaUA_90jxRYEESdjT8t5K2-U2kbZF3dqTeY7be2qulTETTUhi4KJFE73aQKaMuSYtUCV3OwR727XuZF7KmZUh9KPnCKzrh299C8WNzAvE8MGIPjTj-qhbfw&amp;amp;lib=M-zdWbhavtdZ1B_W2dnFDM0qoVt4lWzJ-"&gt;here&lt;/A&gt;.
&lt;/BODY&gt;
&lt;/HTML&gt;
</t>
  </si>
  <si>
    <t>mP41AQJTSe6HNJNM--1kyQ</t>
  </si>
  <si>
    <t>18330-B</t>
  </si>
  <si>
    <t>8F00250411550008</t>
  </si>
  <si>
    <t xml:space="preserve">&lt;HTML&gt;
&lt;HEAD&gt;
&lt;TITLE&gt;Moved Temporarily&lt;/TITLE&gt;
&lt;/HEAD&gt;
&lt;BODY BGCOLOR="#FFFFFF" TEXT="#000000"&gt;
&lt;!-- GSE Default Error --&gt;
&lt;H1&gt;Moved Temporarily&lt;/H1&gt;
The document has moved &lt;A HREF="https://script.googleusercontent.com/macros/echo?user_content_key=AehSKLiyvoJ0fqyKdSf207FJtcC0wZ5XaTLpHvir1YYy42aycd3SiQpNlRLzacRhep_JMSDn9BUVxQPQwnpYBqOveKOYB-Cpzyjjeyn8Jc0EIIM4fgEedbIASB0e3ePDdQZGwz2gCXLeLiyG3gOp-IaBs4QGBeSCEgcWkyLlkCAq3BUbBFLmNgBluVp9tmfZPIIMDw63bYVmbMamtkJ0LyBPXZL-Xe_hqQWn_7X1uXol-jbHtS_f9AeitE98wgfoWPV9Hzda0ylWMFGGi8Di3sA14l7qhG9yeLGQ2k9t9itnvP8vfkP7QdmhAMpCKEUFVw&amp;amp;lib=M-zdWbhavtdZ1B_W2dnFDM0qoVt4lWzJ-"&gt;here&lt;/A&gt;.
&lt;/BODY&gt;
&lt;/HTML&gt;
</t>
  </si>
  <si>
    <t>jDi5jb59HOFyxw2uzJ9H</t>
  </si>
  <si>
    <t>18330-C</t>
  </si>
  <si>
    <t>8F00250208090028</t>
  </si>
  <si>
    <t xml:space="preserve">&lt;HTML&gt;
&lt;HEAD&gt;
&lt;TITLE&gt;Moved Temporarily&lt;/TITLE&gt;
&lt;/HEAD&gt;
&lt;BODY BGCOLOR="#FFFFFF" TEXT="#000000"&gt;
&lt;!-- GSE Default Error --&gt;
&lt;H1&gt;Moved Temporarily&lt;/H1&gt;
The document has moved &lt;A HREF="https://script.googleusercontent.com/macros/echo?user_content_key=AehSKLiV7dUfJ-3TXd998yY2LCyBwggk1d8pqRGVE1quBckxBf66cGOQoLPdmtFvNFb3e8RxdH3npK42-qh6tePEHdxvmM8OMO81oQ333t7ka22LKAeL6oTNsb6jyt_qj_IhczXUhfhpMOWLOjiMTIdWczH1-zyMgxOhIKQJjZ-3YQLAPklhtZIYQ47RzvnJRPjTgr1zkNPngNdCZxNJ4rtuiHVgYumCJLuJ0hF3icUafd3eIa9-bhKQ4rYx4SFNB6jXScuz3H8q-i8fcBKy0a3ng9qOhyuPoRb1uCQLYOb8KRGuqI_zDuLzKJB_9vdOow&amp;amp;lib=M-zdWbhavtdZ1B_W2dnFDM0qoVt4lWzJ-"&gt;here&lt;/A&gt;.
&lt;/BODY&gt;
&lt;/HTML&gt;
</t>
  </si>
  <si>
    <t>4f2SrTXJs3BHcxIkv04s</t>
  </si>
  <si>
    <t>18331</t>
  </si>
  <si>
    <t>Laercio André Pletsch Brandt</t>
  </si>
  <si>
    <t>8E00250208070040</t>
  </si>
  <si>
    <t>EXPRESSO SAO MIGUEL S/A / (049) 3361-6627Obs.Interna: VENDA LOJA CSG GARIBALDI
VALOR NF R$ 6.727,74 DIFAL 320,37
PAGAMENTO A VISTA</t>
  </si>
  <si>
    <t xml:space="preserve">&lt;HTML&gt;
&lt;HEAD&gt;
&lt;TITLE&gt;Moved Temporarily&lt;/TITLE&gt;
&lt;/HEAD&gt;
&lt;BODY BGCOLOR="#FFFFFF" TEXT="#000000"&gt;
&lt;!-- GSE Default Error --&gt;
&lt;H1&gt;Moved Temporarily&lt;/H1&gt;
The document has moved &lt;A HREF="https://script.googleusercontent.com/macros/echo?user_content_key=AehSKLg5fJAIXnnnxiFm3IYkQEh88iuwaGPliYOegMs-oygozRLfjVs3pUz4CDtUfwAdTQjlKCzqWOgYLssVf4frUHeTH8_MrtEuoLrYwwOIpmnQWch2-jplBOMTAeVqezlyyH5BNOZVoEmsC1aheMzRU1iwKSXCR6JvMvN7K0Y3zo-N9bQHBc_FoLfGywZJtoE3ujaTzMEuRtyu7OSENI-5wjHYGist8jsfK9IFXjaNKML6LJosOJn6EKAOlRMtvj724q_dYazcQf_tWA2UCm9Hi1mOUczdoMB0szGNtwFD2kC9gdYYKKh30FceM4K_Cw&amp;amp;lib=M-zdWbhavtdZ1B_W2dnFDM0qoVt4lWzJ-"&gt;here&lt;/A&gt;.
&lt;/BODY&gt;
&lt;/HTML&gt;
</t>
  </si>
  <si>
    <t>Tj31-IgXTeisZEtEUaMb4Q</t>
  </si>
  <si>
    <t>18332</t>
  </si>
  <si>
    <t>ALDREI ESBROLO ASSISTENCIA</t>
  </si>
  <si>
    <t>8F00250329060040</t>
  </si>
  <si>
    <t xml:space="preserve">&lt;HTML&gt;
&lt;HEAD&gt;
&lt;TITLE&gt;Moved Temporarily&lt;/TITLE&gt;
&lt;/HEAD&gt;
&lt;BODY BGCOLOR="#FFFFFF" TEXT="#000000"&gt;
&lt;!-- GSE Default Error --&gt;
&lt;H1&gt;Moved Temporarily&lt;/H1&gt;
The document has moved &lt;A HREF="https://script.googleusercontent.com/macros/echo?user_content_key=AehSKLjPSvSOroLhOTG9cfVXU1L-xharD-nQ3eS1tP0epmnT9hlW5R5-QyyKP8JQZeo_DuYp7nCYfvjWPwCUWR8RsMuc2In55jhZPzA5Y_MlLwRNUS457z_hHYyO_I66-VQwdAr5Y8bZ7-lc5KUwCzH89PmdI89Gn2vzKcthv_CnloPfE3kaakOYyScOkwW2rliTSKcn-xWNVhjggsD57tw9_HrLh1E3sfRUtUAkFnKSO-4ninmsbJElfqpgHJAD8JVjUROQ5EpJV0At03_ksamUVKXqMaY6y996yn2k2F_bLQ2lUcFXLZ5J5LUqOmgi1A&amp;amp;lib=M-zdWbhavtdZ1B_W2dnFDM0qoVt4lWzJ-"&gt;here&lt;/A&gt;.
&lt;/BODY&gt;
&lt;/HTML&gt;
</t>
  </si>
  <si>
    <t>Pptm.puzSNKoFAY4cOyNgg</t>
  </si>
  <si>
    <t>18333</t>
  </si>
  <si>
    <t>TRISUL TUNGUE</t>
  </si>
  <si>
    <t>FITLOG TRANSPORTES E LOGISTICA LTDA / (048) 996277956Informação Adicional: Venda efetuado pelo nosso cliente CS3 TERMOTECNOLOGIA SP LTDA / Obs.Interna: descontar a comissão do Fabio, devido ao erro sem o difal . ENTREGA FUTURA  PARA DIA 25/09/2025 / E-mail para nota fiscal: , E-mail de cobrança: , Telefone para contato</t>
  </si>
  <si>
    <t>up5g0fi6Saa9Ni91.wKPJQ</t>
  </si>
  <si>
    <t>18334</t>
  </si>
  <si>
    <t>8F00250706320004</t>
  </si>
  <si>
    <t>FITLOG TRANSPORTES E LOGISTICA LTDA / (048) 996277956Obs.Interna: pedido entrega futura . Abater do saldo que o cliente possui de comissao ref a nf 17167 TAJ HOME RESORT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</si>
  <si>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tqB9I-LoymbYfkxAmxrFX3nW603y4tuRYDyxDtuuzUoCsvIEVEUCMP-ezp5nVbHFWVR2CGQe4sAGiN9i4tvFwWYbgruPdCn0Cg6zRqjpLr7-XvEvGQEcaFbpoMgqpju2NHx7-Mqs88GGL7UwXXGGX91p4TupH9kihBf3I8oCzhNqHeIuc3sqhELeaVyZKOYjOJWYqYjBn8Ou1BqAHJaq6tv1Vao0EKSjG6TvZj2XSrg69nLcnBitD-eIA31KIEqDxv2xpnJwjhnuCsNOGZWScNk2x9vqDUhw417QD-YhLN--Jz2L_VFEMblijQw&amp;amp;lib=M-zdWbhavtdZ1B_W2dnFDM0qoVt4lWzJ-"&gt;here&lt;/A&gt;.
&lt;/BODY&gt;
&lt;/HTML&gt;
</t>
  </si>
  <si>
    <t>1j3sAENdStSpVFWyFxSrXQ</t>
  </si>
  <si>
    <t>18335-A</t>
  </si>
  <si>
    <t>8F00250411500014</t>
  </si>
  <si>
    <t>FITLOG TRANSPORTES E LOGISTICA LTDA / (048) 996277956Obs.Interna: maquinas entrega imediata. Abater do saldo de comissao referente a NF 17167 TAJ HOME RESORT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</si>
  <si>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rUNXQvxRK96Kweu36ZeUZnFNhToKSIpCJ-ALcqIq6rG6fA3oG_Zy5gTz8-ZbyvICaDXcWC9XwIrsIKjEqtpdifTw77vf2guVcEznET_2_fqAXSwUpqchR3vkXvFc7Oh7nm89a4CFzK-wzXF75snc4j4ZpSKaqme3AmjpYUAmqxS5vS4fShA8TCBxNb4ggddv7OdYI5d-vtzW_0wCLSw8zaAl6HN64pt005AFulZ5jywAoA3h7-Y93cPdvJ2zi0F31YqNPIaI0evJ8wmP9Vvzv2ARiLjD04hz3AYKBPD2oTxaUTD5zLNcMXEQdLg&amp;amp;lib=M-zdWbhavtdZ1B_W2dnFDM0qoVt4lWzJ-"&gt;here&lt;/A&gt;.
&lt;/BODY&gt;
&lt;/HTML&gt;
</t>
  </si>
  <si>
    <t>CgirFMxJT.mNz3E6X24F6g</t>
  </si>
  <si>
    <t>18335-B</t>
  </si>
  <si>
    <t>8F00250529210013</t>
  </si>
  <si>
    <t xml:space="preserve">&lt;HTML&gt;
&lt;HEAD&gt;
&lt;TITLE&gt;Moved Temporarily&lt;/TITLE&gt;
&lt;/HEAD&gt;
&lt;BODY BGCOLOR="#FFFFFF" TEXT="#000000"&gt;
&lt;!-- GSE Default Error --&gt;
&lt;H1&gt;Moved Temporarily&lt;/H1&gt;
The document has moved &lt;A HREF="https://script.googleusercontent.com/macros/echo?user_content_key=AehSKLg03Y9w-I_v3Zsyv9TKPBcFay-cChFcBCPQZEWPQ8aYm-hsSjoExIxIWuyi_s5zT1NiYg3UOFmyVNX4d8iYLhb63P0xne9SfIy4_w7TKu1tnH3eobJ1gq91uuZIRoCef770rVpWaU21f2X2vifth8ieI7CDs3c1S0sTbsHkjUh-LFqM7_5Zki192kMmzEJFnMBWr5cBfPGckVnWG9zjIc1_O3XYrJfWq7toP6MuPnRxE14qEnILPXRQfRSYPk7PzudymwfQoZTI9UZy7fYmCePsyqY-C403OtaukqQJv1n62SNQsKBXCzOgLUxn1w&amp;amp;lib=M-zdWbhavtdZ1B_W2dnFDM0qoVt4lWzJ-"&gt;here&lt;/A&gt;.
&lt;/BODY&gt;
&lt;/HTML&gt;
</t>
  </si>
  <si>
    <t>NqKMfoiygWIhcdPGt5Ss</t>
  </si>
  <si>
    <t>18335-C</t>
  </si>
  <si>
    <t>8F00250529210014</t>
  </si>
  <si>
    <t xml:space="preserve">&lt;HTML&gt;
&lt;HEAD&gt;
&lt;TITLE&gt;Moved Temporarily&lt;/TITLE&gt;
&lt;/HEAD&gt;
&lt;BODY BGCOLOR="#FFFFFF" TEXT="#000000"&gt;
&lt;!-- GSE Default Error --&gt;
&lt;H1&gt;Moved Temporarily&lt;/H1&gt;
The document has moved &lt;A HREF="https://script.googleusercontent.com/macros/echo?user_content_key=AehSKLiQ2Pore9jiPncATPLUWIJgEqle0QR4KWYA0zpHh1txvHzrH4jcNJHtCQRQDl4D4f40H8qN6I-iuhvj16x1mnXrgdE-uygbqI5OQ4R_HABmnDDk1wzobNOPW1XJ9Ww6ugiculkNDxhbg9n1hT_2xgvFrN5yjEFjt8ogiirYKnB0Aeykt27XnK9yXdD3Gk_i_uF7HXXjmMwm4EhHfKxI4UdTOXzreNCCBYgunjrj4A75Xn0zyB6wmTpbSNynIZCTxiVx-hN8H_LvghZsEnfApUiaFuVkp_gTR_TrG3tOeJKHteml6y0O_GfCqGw5pw&amp;amp;lib=M-zdWbhavtdZ1B_W2dnFDM0qoVt4lWzJ-"&gt;here&lt;/A&gt;.
&lt;/BODY&gt;
&lt;/HTML&gt;
</t>
  </si>
  <si>
    <t>txAgVddT23bsX0sY62yl</t>
  </si>
  <si>
    <t>18336-A</t>
  </si>
  <si>
    <t>FITLOG TRANSPORTES E LOGISTICA LTDA / (048) 996277956Obs.Interna: OC 1000 ( CE 1442 COND SILVER BALI). Pedido a ser abatido do saldo de conta corrente Aqualar. Quadro deslocado sobrepor. Entrega imediata no endereço: Rua Mario da Costa e Souza 135 Barra da Tijuca RJ CEP 22790 735. (Se possivel ligar antes da entrega no tel 21 9 9512 4022 JORGE)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</si>
  <si>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es5VuIDDfVh6hYbyXe3tIczhL0rn9s0iXkp0VEeHzr9YQ9_laDSVvNOk9dYGqdbBz8wUNQvfKjefI2jABWBCOLXy4hak9Cp9cgcfgiBEBimoMHw9-Q7keZj2rpsCszmo55DqLthzJ67UsCU9nqghX22renYx6sncczziYiKjlTUmX0HFYFNnTGJBIeMEwuFMAR1C3B0nYlV3AYoUKVrZMUiECTdKhHZRrfjrUg0ncCFR5IBHUHs5ldfnCKXaSN-AppbKHyW6PPPcGpvayN7f-r1dyZZ6Bbb8zdafCEn03moZwCAw2W5EK7TPm0w&amp;amp;lib=M-zdWbhavtdZ1B_W2dnFDM0qoVt4lWzJ-"&gt;here&lt;/A&gt;.
&lt;/BODY&gt;
&lt;/HTML&gt;
</t>
  </si>
  <si>
    <t>yJQ6JIL1TpKVBhs0i9dPyg</t>
  </si>
  <si>
    <t>18336-B</t>
  </si>
  <si>
    <t>QdA26zajDqOD59Bal9CJ</t>
  </si>
  <si>
    <t>18337-A</t>
  </si>
  <si>
    <t>FITLOG TRANSPORTES E LOGISTICA LTDA / (048) 996277956Obs.Interna: OC 1001 ( CE 1474 BRUNO VIANA). Pedido deve ser abatido do saldo conta corrente do cliente Aqualar. Maquina com quadro deslocado sobrepor. Entrega imediata no endereço: Rua Benjamin Pesset 80 Barra da Tijuca rj cep 22793 740 ( Se possivel ligar antes de entregar no tel 99512 4022 Jorge)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</si>
  <si>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iX4Q-wyZvDsx_ljX89I_8xV70MQhaq49kXiPjf2j6FZB100BJ9ztkoPzoTPoHUxjy-Uln9f-eMRdTK7rTuMLT8sAGNEgYsjYLO1G8apSgtVbF6DTW7LCET55OY6n4AGmWhuH7-gfnlQvjYuolmqz3PVmReghRtfDMOTb3UWFydbpFwETh4sK1ywO37sQV4tKfxO5E0pqwmPOtwKVP9gSGcOpQXZXstCc-2wp8sS0g8G9X-nuSUu-Hmw8GqQZDsFZe7wnHcX0o8wkY4hx2_-ytKnp0TiM2G4_8Rzx9EckKkFZra0GP-wX_QJYVjDg&amp;amp;lib=M-zdWbhavtdZ1B_W2dnFDM0qoVt4lWzJ-"&gt;here&lt;/A&gt;.
&lt;/BODY&gt;
&lt;/HTML&gt;
</t>
  </si>
  <si>
    <t>YMc8yJMmSP6nJRsk9DPJmA</t>
  </si>
  <si>
    <t>18337-B</t>
  </si>
  <si>
    <t xml:space="preserve">&lt;HTML&gt;
&lt;HEAD&gt;
&lt;TITLE&gt;Moved Temporarily&lt;/TITLE&gt;
&lt;/HEAD&gt;
&lt;BODY BGCOLOR="#FFFFFF" TEXT="#000000"&gt;
&lt;!-- GSE Default Error --&gt;
&lt;H1&gt;Moved Temporarily&lt;/H1&gt;
The document has moved &lt;A HREF="https://script.googleusercontent.com/macros/echo?user_content_key=AehSKLgcAmLig0hhGNtsKEOwRpplPytfOonBppyoZtWbm7LJ9uxF6AEZIEa3z3BFXrqvGKYwRMRzcFOn9G3JLihZ5umj4FXwcNdfb7tslF9WC0kIBbHRw1uCRjrUc2fvled286hWLrbRpWl1o1-iANLxi5x1uG9sczcOv5eOCyIz0HGugWJmyFAGM4smiekKOKWOI3N4YkTaqzKdjUzHLyhMpMz20Uspd5EjYFIrufYBQDhZcrIe_0ESpNO1Cjht2Pvn01D00MGXMmp6-lK-vcGzkTQjJu4javM4H8-LImt16t93z33qMCcfRqju3LGFrA&amp;amp;lib=M-zdWbhavtdZ1B_W2dnFDM0qoVt4lWzJ-"&gt;here&lt;/A&gt;.
&lt;/BODY&gt;
&lt;/HTML&gt;
</t>
  </si>
  <si>
    <t>rJ7HwmG0FtSF4nv1Ou7h</t>
  </si>
  <si>
    <t>18338-A</t>
  </si>
  <si>
    <t>20336</t>
  </si>
  <si>
    <t>FITLOG TRANSPORTES E LOGISTICA LTDA / (048) 996277956Obs.Interna: Maquinas referente CT BOTAFOGO.  DAS 4  FT 180 TRIF 220 DEGELO duas são para resfriamento e duas degelo padrão. Maquinas serão em gabinete preto personalizadas com escudo do Botafogo. quadro deslocado sobrepor em todas as maquinas, Entrega futura, cliente vai enviar endereço de entrega e definir data de entrega.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</si>
  <si>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hBJRnDQW0Nj3c_6m4Nkbg-g4p5q05KdFZHLeL1RY8xmhzBBUzjaxSDTMZBCtCFkKmGCvtLSPrs6h78DSM5oDNtmxSHY4sfUNRw44yFgGhvRY3vqylQsGhYo7bpxmA_qk0WyjwtMhATvvQhmULJoYXTpT4KSZHksSDakheG32HMXYI2RepwcPGwQ9yUgjD4vTFb-A9lDZJ5N-WyuPl6IGhVU8XMJVT7oShGLrFbdhytWhbV_V40FioH7IGD3od41Jog1TsjaqVlit8ZUeWyFA730aAm9dFz5jjsdg4KxI7a3e5dqfQ_CRcWNjSPw&amp;amp;lib=M-zdWbhavtdZ1B_W2dnFDM0qoVt4lWzJ-"&gt;here&lt;/A&gt;.
&lt;/BODY&gt;
&lt;/HTML&gt;
</t>
  </si>
  <si>
    <t>IMqPpeW9STS.q6Pe-q0d0Q</t>
  </si>
  <si>
    <t>18338-B</t>
  </si>
  <si>
    <t>20332</t>
  </si>
  <si>
    <t xml:space="preserve">&lt;HTML&gt;
&lt;HEAD&gt;
&lt;TITLE&gt;Moved Temporarily&lt;/TITLE&gt;
&lt;/HEAD&gt;
&lt;BODY BGCOLOR="#FFFFFF" TEXT="#000000"&gt;
&lt;!-- GSE Default Error --&gt;
&lt;H1&gt;Moved Temporarily&lt;/H1&gt;
The document has moved &lt;A HREF="https://script.googleusercontent.com/macros/echo?user_content_key=AehSKLiBiI1Hlxczf4iBTl6Xxn_7USGBJCXWLgIRr5yU8wSAjysWpjinEGdmQW7y4_Vpcwmez8ieOnIvLa05ClHJiPRqKXhLNvp5UlGsZcpnsgMGCyPXBQJxY5MPvghgJXxg_odXREl_cW6s3-rNu8P_eIDGkGUEHHhIWyzIULkSambkp-FyJLHMVRU2AJdlmG_pxyoxaJUzN16y1lVxPKrmrs1Xr0Av7GtjNMm0_JXZ5gsFoQUg-BP2Esu8ERFNKo1nY121_x1l5YrBnU-WAN_3xR41iVbXmPdpgFbhLmKPhLv4vnK-Q_iRG2xwBaYxGg&amp;amp;lib=M-zdWbhavtdZ1B_W2dnFDM0qoVt4lWzJ-"&gt;here&lt;/A&gt;.
&lt;/BODY&gt;
&lt;/HTML&gt;
</t>
  </si>
  <si>
    <t>Y9r9opWTMyEXgJBkLfaO</t>
  </si>
  <si>
    <t>18338-C</t>
  </si>
  <si>
    <t>20333</t>
  </si>
  <si>
    <t>&lt;!DOCTYPE html&gt;&lt;html&gt;&lt;head&gt;&lt;link rel="shortcut icon" href="//ssl.gstatic.com/docs/script/images/favicon.ico"&gt;&lt;title&gt;Error&lt;/title&gt;&lt;style type="text/css" nonce="UExBSdf_o3xMpOtIzEoF_Q"&gt;body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</si>
  <si>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3D6laqEFn0zUF81pua1B</t>
  </si>
  <si>
    <t>18338-D</t>
  </si>
  <si>
    <t xml:space="preserve">&lt;HTML&gt;
&lt;HEAD&gt;
&lt;TITLE&gt;Moved Temporarily&lt;/TITLE&gt;
&lt;/HEAD&gt;
&lt;BODY BGCOLOR="#FFFFFF" TEXT="#000000"&gt;
&lt;!-- GSE Default Error --&gt;
&lt;H1&gt;Moved Temporarily&lt;/H1&gt;
The document has moved &lt;A HREF="https://script.googleusercontent.com/macros/echo?user_content_key=AehSKLjrtuVVHB9I1P5hJ-uh7csSxe9UMo6b4CGR5mS6o6VwPp6stCt9nvCZ73nxxy-3cD2t8-sRWfDF44b_mZ_EQkWgY3Oihnj0K9UKDiLnPP_3CjhYMf8EoNyP_6kTB2_4WmTCFBnfbQsAIoYVoC7_3rXj-QkEaqTHvVwEkB3VF-r5IvvgdPYMvrq7U3AzXDz8HjFVkH_0RA4mnauTfY0xXHqI5oYIrh5WtGG1dccGsboCob8cNfm-nrZyHWp2ZEwlSrvOLgOc6yKP3X3rpyAfohnpQJEcOBWvoYPjGeDS9NkxAPIyya5q1pmEt1Ub9A&amp;amp;lib=M-zdWbhavtdZ1B_W2dnFDM0qoVt4lWzJ-"&gt;here&lt;/A&gt;.
&lt;/BODY&gt;
&lt;/HTML&gt;
</t>
  </si>
  <si>
    <t>MtXFZa99uatRGsVVtGwd</t>
  </si>
  <si>
    <t>18338-E</t>
  </si>
  <si>
    <t xml:space="preserve">&lt;HTML&gt;
&lt;HEAD&gt;
&lt;TITLE&gt;Moved Temporarily&lt;/TITLE&gt;
&lt;/HEAD&gt;
&lt;BODY BGCOLOR="#FFFFFF" TEXT="#000000"&gt;
&lt;!-- GSE Default Error --&gt;
&lt;H1&gt;Moved Temporarily&lt;/H1&gt;
The document has moved &lt;A HREF="https://script.googleusercontent.com/macros/echo?user_content_key=AehSKLjcm83_C5Xrv5xSk1JP1-oLklqmdmpWcC37Hw_zUzhPDtjKuV_R_XyQGEu8aFuY5wHsiEPx-7IUMr8p9ocILwUMxvoIu__bKngmZ3h_dwsG1rHrn3VVmwNDnYU0pgpEQYmwCgTRSjbj5m8rllcghtZqyVvMW_8bG_owo0QpdV5s53RTcsjPAzhioE1M79zJ0qMK1IynOnQlSKN40aFn_o4kIgnCTfzdYg592TybMC5qHqd6uxRnm3lFin98szN8bmRY9hxYbDRAlZJvwxgMVjZFYRmyGwYUC82zds7H6VY7EpwQTqlx5HkkPzi-7A&amp;amp;lib=M-zdWbhavtdZ1B_W2dnFDM0qoVt4lWzJ-"&gt;here&lt;/A&gt;.
&lt;/BODY&gt;
&lt;/HTML&gt;
</t>
  </si>
  <si>
    <t>nFb1rIWYsSVxG37usXML</t>
  </si>
  <si>
    <t>18339</t>
  </si>
  <si>
    <t>8F00250208090025</t>
  </si>
  <si>
    <t>EXPRESSO SAO MIGUEL S/A / (049) 3361-6627Obs.Interna: AJUSTAR PARA DESCOTO 10 + 10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</si>
  <si>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6ojZlJlQGJYF5QlR93phZ3wsKchJDt_xAWBKHOk84Kgknb0zu6yK0ZKgQIiH-rI3jIyqTEmJBghyhMa53B7csZwvQRD5iN-CJVYdGh6PYJXpM9tFGDWk-mmxeYIlNhVrcQyRFNBKHUAQDkdUNTs0fsTMfCwvLkN8YjXvm3ssD5lcXin-0O_qKaxP9cKr-NCLMyCo5jLGmeC4DdnmtQBMpR7LvoxMz1S6TQhB3I5QMNFyySE_Co6zJ6-PtLY8yD5Bz5thM_lSbacoaGJ5v7D27qCvfOKweYXDBodl44X-Pw1vT500IvbwwEXRLjg&amp;amp;lib=M-zdWbhavtdZ1B_W2dnFDM0qoVt4lWzJ-"&gt;here&lt;/A&gt;.
&lt;/BODY&gt;
&lt;/HTML&gt;
</t>
  </si>
  <si>
    <t>Xs1UGR6VSdqfaIj70zG2Qg</t>
  </si>
  <si>
    <t>18340</t>
  </si>
  <si>
    <t>DESTAK / (048) 2102-5242Informação Adicional: INFORMADO AO CLIENTE QUE EM TEMPERATURA AMBIENTE  MUITO BAIXA, CORRE O RISCO DE CONGELAMEMTO DO EQUIPAMENTO POR SER SEM FUNÇÃO DEGELO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</si>
  <si>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uh0KlCoIoyPaRn6TxQb3olbKTj4W7zDbhKiCHkUjDSIZ1UFh4EY6OyFoaozqTE4D-XCJrJUxPLs8JgzZjWR2W6RM2xwDTruzXu0iLQC4vN-1gn_T_gZeQTCajHuJZEkk8oTvQyiopp-7t8_9S5jS0nOAPJq2xBb170M4Us1kbRaxLDDVv82uq9scz9jOwaLsI6nALl550XtLJSE4TVxc2uQ-rc2nWAcDazh2amsfaupf5NE6-9GUT4nmW2Kby2FNyoJsaVMRIhYndPgNwM1Gp0XEpDYoKxDVZXi5uObNjTG5iWHFmhvjbn1NIYg&amp;amp;lib=M-zdWbhavtdZ1B_W2dnFDM0qoVt4lWzJ-"&gt;here&lt;/A&gt;.
&lt;/BODY&gt;
&lt;/HTML&gt;
</t>
  </si>
  <si>
    <t>q-gjr-s7RSeCixuAYGME5A</t>
  </si>
  <si>
    <t>18341</t>
  </si>
  <si>
    <t>8F00250411490008</t>
  </si>
  <si>
    <t xml:space="preserve">&lt;HTML&gt;
&lt;HEAD&gt;
&lt;TITLE&gt;Moved Temporarily&lt;/TITLE&gt;
&lt;/HEAD&gt;
&lt;BODY BGCOLOR="#FFFFFF" TEXT="#000000"&gt;
&lt;!-- GSE Default Error --&gt;
&lt;H1&gt;Moved Temporarily&lt;/H1&gt;
The document has moved &lt;A HREF="https://script.googleusercontent.com/macros/echo?user_content_key=AehSKLjWzdyn4vlzjaNcgTj4TRXVVUo4Dr2bgezt6Ru1aARSGsH5AJedNMMvvh7YpD6xxRtdc7reyeUFB_T2Wn4h0BeJLOPalld7hyqufC21WKDL_KhfPBKLnMRI6o7yCJwrcamGrO4zWgiiCau8SVsvZeTgAlK0IUIWWrENtqH4Z16sWnE_h7oUm6ycMT2toqwsEpBqnojPHXtwmkk6lLwDPbQC4GNy7ZBVTlkEb-XVIgq5FOqX8oXiV8eY8VgoMGlsYx-xNvL_lP6LCAUDek1lxa-GRze27ZvPRt-5UN1Ii17qXMgPW5lqQD4iijDyUQ&amp;amp;lib=M-zdWbhavtdZ1B_W2dnFDM0qoVt4lWzJ-"&gt;here&lt;/A&gt;.
&lt;/BODY&gt;
&lt;/HTML&gt;
</t>
  </si>
  <si>
    <t>RceHE.2aQ8iiXJLU-EZ6dQ</t>
  </si>
  <si>
    <t>18342</t>
  </si>
  <si>
    <t>8F00240812220300</t>
  </si>
  <si>
    <t>FITLOG TRANSPORTES E LOGISTICA LTDA / (048) 996277956Informação Adicional: Cliente: Ailton de Carvalho Garcia
Pedido enviado na sexta, dia 29/08, portanto peço que conceda o desconto adicional de 10% à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</si>
  <si>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M7Vcfeqiyaj2QkKBUREcLumgcdfBBpbm4tTC7Oty2GocwOqUfIFLU0Tsec-q5_9F2rzS2w_w424x8IUaVfEqa8DmjcQMeSzxkU3aljMO9mgfuGsvhzAorZHS2tQ6SLRKP9jOH6g3M6lJwRGlLYnEhpbDNdlxpwm5CdxMIQEGt7ZyHEECX6KRGPCFG7eOXLcuj-vIVRhA_kqLnMtObunk8_GFuEwSm0KMNJteaEf8DhGWJM5xGH3q77x55UEoXIyv-xczLGtywrC4PtcLLbW72BcMRcLIbpSzZcahdRnbmsI6yy6VgaARVqp5s9g&amp;amp;lib=M-zdWbhavtdZ1B_W2dnFDM0qoVt4lWzJ-"&gt;here&lt;/A&gt;.
&lt;/BODY&gt;
&lt;/HTML&gt;
</t>
  </si>
  <si>
    <t>5BWoh2JUTfazVoEXyM.ICQ</t>
  </si>
  <si>
    <t>18343</t>
  </si>
  <si>
    <t>8E00250208070044</t>
  </si>
  <si>
    <t>CLIENTE RETIRA / (0) Obs.Interna: CONCEDER DESCONTP 10 + 10 - TABELA PROMOCIONAL
CLIENTE RETIRA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</si>
  <si>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-9j1H_rKww_XrIkGw8v2VmC8XpvK2IEZC9__Vk_udgLNavBXoGal-MjUodQulOXTYIRC77-1EvA_KXk692ybnZyjcilfuHIF1WxZwgUfrXubu2E0KYSKwGqmcIJN5D9gRjpD9kzGk_0PHkkvMh9Tuk9Dx9iQlEebH5yE-kBlUjRxqBIbB348wV2ykAaOs4pm385zx93hjSoC1MXrUaDXCaq5TV1yT8UOvIhnKXZVVj3j0k3G3Kz7UFGYK2wzeEx2qa2JPvupLAcX9ffGmjbLmwM8j6JR1w0UcUaYdpZUPUcCi4QuizYfbj2TGYg&amp;amp;lib=M-zdWbhavtdZ1B_W2dnFDM0qoVt4lWzJ-"&gt;here&lt;/A&gt;.
&lt;/BODY&gt;
&lt;/HTML&gt;
</t>
  </si>
  <si>
    <t>w1qrexiUTQuHe0mU2cMNtA</t>
  </si>
  <si>
    <t>18344</t>
  </si>
  <si>
    <t>8F00250208090026</t>
  </si>
  <si>
    <t xml:space="preserve">&lt;HTML&gt;
&lt;HEAD&gt;
&lt;TITLE&gt;Moved Temporarily&lt;/TITLE&gt;
&lt;/HEAD&gt;
&lt;BODY BGCOLOR="#FFFFFF" TEXT="#000000"&gt;
&lt;!-- GSE Default Error --&gt;
&lt;H1&gt;Moved Temporarily&lt;/H1&gt;
The document has moved &lt;A HREF="https://script.googleusercontent.com/macros/echo?user_content_key=AehSKLgylrbEpKXMae_mf8iFLCX6xCpHEeibFfn9-aMpWB1L8gUgIxSi05CX0I7BmK7obnd1zfRgk_GzCnXyqqyZYiIzs_JlpgsXX3peBCNRoqR-NjF_s1VxZkVXp8xFmBK2aDNi3b9cuhGM5uQMaLWobWaHHtZFSFmVG5uBht9h-rpcADlLDRS4b9ZT0Lvm1qf-j8qPiCPZFUEqoeLBwxEU2fMDgCY4uRYm3PxUxOX8v2K6r-7hm_e1d8CS0yxNh9HPVIYnddcyKlynBBKrF2fB0NpdyKN06-LFFNQNdbBUMSnzreZHz99_XZq7Q32aaQ&amp;amp;lib=M-zdWbhavtdZ1B_W2dnFDM0qoVt4lWzJ-"&gt;here&lt;/A&gt;.
&lt;/BODY&gt;
&lt;/HTML&gt;
</t>
  </si>
  <si>
    <t>Bq-DVhMDTaO5UjZEt45dLw</t>
  </si>
  <si>
    <t>18345-A</t>
  </si>
  <si>
    <t>8E00250208070042</t>
  </si>
  <si>
    <t>EXPRESSO SAO MIGUEL S/A / (051) 3586-2013Informação Adicional: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</si>
  <si>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_mvv8B6O4Dv8LD6Ov4E02e8_l980sJYAEy4NXDnkQqZZrqYqoqISvhETnUylsiS0c97ShXVetMeKYAnB6U-noTlArEzzNtAvWJRmzJtylHoP2biaUHmTJmFpvtm-iK1KZMQRcC3rnAd6vktDlS9DQ8N3mZwQvxP_64eFzz5RMUJgNzRa718hWxV3rJzj4vBQUemas_wPrCzXsVwnYDGazMilT0tRum8ef03vU-NVEBpicXHawc4ObangLkUVdRm5I-1vxPpckb0hz9SkJZGhY3fcmnbrEYoseervH0NSGBUF-9VPjoX3qxXJjTg&amp;amp;lib=M-zdWbhavtdZ1B_W2dnFDM0qoVt4lWzJ-"&gt;here&lt;/A&gt;.
&lt;/BODY&gt;
&lt;/HTML&gt;
</t>
  </si>
  <si>
    <t>XAfRut7EReWqhKRx1w.wLA</t>
  </si>
  <si>
    <t>18345-B</t>
  </si>
  <si>
    <t>8E00250208070045</t>
  </si>
  <si>
    <t xml:space="preserve">&lt;HTML&gt;
&lt;HEAD&gt;
&lt;TITLE&gt;Moved Temporarily&lt;/TITLE&gt;
&lt;/HEAD&gt;
&lt;BODY BGCOLOR="#FFFFFF" TEXT="#000000"&gt;
&lt;!-- GSE Default Error --&gt;
&lt;H1&gt;Moved Temporarily&lt;/H1&gt;
The document has moved &lt;A HREF="https://script.googleusercontent.com/macros/echo?user_content_key=AehSKLitOa8-Tmvv18MQz5mk9rODGWnO4XZoxJ8BpqrZ98-B1Fvm1aQHk0vpTjm9pidNorWlpGrfftGnFVQA26VbooNFS1DBOyfjiPNjnGsmoqfQwazlQMaFzexh2mpfpHiAh6absCBI-gWsfFZ1AIgU1YJc7YmUOdL8RhttIvUzvmyoWRzpi3gea_pxI8MCg10b7Jqtxt4yzjMduurmCRIurSYgZWn36c_PxEkmDUdKrprp3msEwJ8UXPGY7heFHjeIUaTxoxGm4Yz7e9PmK9JV1uSffNrz34G1S70G84T8UMS80TzPy7SjNh0oxRWU5g&amp;amp;lib=M-zdWbhavtdZ1B_W2dnFDM0qoVt4lWzJ-"&gt;here&lt;/A&gt;.
&lt;/BODY&gt;
&lt;/HTML&gt;
</t>
  </si>
  <si>
    <t>IyP7VvJjalU7m2PVfAyF</t>
  </si>
  <si>
    <t>18346</t>
  </si>
  <si>
    <t>VILLAGE PISCINAS</t>
  </si>
  <si>
    <t>8F00250411520019</t>
  </si>
  <si>
    <t>EXPRESSO SAO MIGUEL S/A / (051) 3586-2013Informação Adicional: CLIENTE TEM CREDITO DE R$6084,00 do pedido 18280 e pagou R$2831,00 / Obs.Interna: Mario- CLIENTE TEM CREDITO DE R$6084,00 do pedido 18280 e pagou R$2831,00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</si>
  <si>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KYOmreRkjbXs3W-54UbC0IZdgQFzeI_JSLCyJf1V7Mv8ZGMHfZHSiPAJ2Y0gWgXSJwX8H9lexwZov6sVnurkXT28lhpxGkV_9jGsj-uItdcXe_-T6fua8WcnDnc6cTrPxVBaWv6leaBg1UbR6h2Wh4wVjHnCLW3Mh7riP_wMRffYxjyVaA9nDOr_OQDZTt6zLCPTTilw3ECgebrILB5ve30f2YCHNGxyKiN_VDaF4RSuvfigirP1rSgD7dvd2rd6lDGM4xd1xZKwDAET17tqz2Gwa1IbhC7ZzXKJ5sRwmPCmailv0RaFiekoFmQ&amp;amp;lib=M-zdWbhavtdZ1B_W2dnFDM0qoVt4lWzJ-"&gt;here&lt;/A&gt;.
&lt;/BODY&gt;
&lt;/HTML&gt;
</t>
  </si>
  <si>
    <t>6Nheb8LLSbKQOp5QoguLtA</t>
  </si>
  <si>
    <t>18348-A</t>
  </si>
  <si>
    <t>FENIX EQUIPAMENTOS</t>
  </si>
  <si>
    <t>EXPRESSO SAO MIGUEL S/A / (051) 3586-2013Informação Adicional: +3%de desconto / prazo de 30/60/90/120 e faturar depois do dia 10/09 / Obs.Interna: +3%de desconto / prazo de 30/60/90 e faturar depois do dia 10/09
ENTREGA FUTURA EM 10 /10 / 25   / E-mail para nota fiscal: , E-mail de cobrança: , Telefone para contato</t>
  </si>
  <si>
    <t>EGvrqhqvTc2dHBe2.0rVAg</t>
  </si>
  <si>
    <t>18348-B</t>
  </si>
  <si>
    <t>GWZSKvugo5ahFXlZfnBd</t>
  </si>
  <si>
    <t>18350</t>
  </si>
  <si>
    <t>8F00250208090024</t>
  </si>
  <si>
    <t>EXPRESSO SAO MIGUEL S/A / (049) 3361-6627Obs.Interna: AJUSTAR VALOR PARA R$ 7.490,00 ( DESCONTO 10 + 10 )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</si>
  <si>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UF5hgC5ho8cYrGXuKyd8-nkH2SumUAXNQn-_bX-zRYtut6Rqblf_HIUV3JYVuN37ac6zdg6QJTYYB42uvHi4ZPglFBy19kgXa1VRn31WfX3ZNhxjJhLcREwePK6GUP-j_hmiU60itXyozkOrQRC5RgggvbDY_PDqgPxIX7QXN89sp3rJgcrER2Mhi8p_e4PPFxd5BNYyiD28rrZVLEn_olVQDPTC6nNitmXkmySYbYpXxUvBJnefH1KKxNlATMmAidLV4e8xCpeKjlWIpTf0Lyp84Nz9DJ5wwBjOTZBSKexyaAMKUT7_9OIPWg&amp;amp;lib=M-zdWbhavtdZ1B_W2dnFDM0qoVt4lWzJ-"&gt;here&lt;/A&gt;.
&lt;/BODY&gt;
&lt;/HTML&gt;
</t>
  </si>
  <si>
    <t>Dui95KoAR4yFlj-XN965Jg</t>
  </si>
  <si>
    <t>18351</t>
  </si>
  <si>
    <t>8F00250411520017</t>
  </si>
  <si>
    <t>EXPRESSO SAO MIGUEL S/A / (049) 3361-6627Informação Adicional: Consider o pagamento, boleto para 28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</si>
  <si>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YzTBmvM0p_NZbNLsz5nSdegJ-vrxHEGBNLHD1thCvoQiMCWEPLk2Xj8yLUYxZ5Gl1QlmRPgii_-05V2Uc3-PrD9rRP-55yeBn3BVnIxjRpXHHQ-DEoJUEZUZDkP023mWbh_59iRcy5lLA_Xu61VP6jWkDAkuKa1us4mR-LwpnPX2Di4_ufS9KU_6WsUnNJjxIHgZjNPwKRXQ5GLH4cPN74m2pfY8qVCQKBy9Q3ZUuUzhAd9T2NvpovpqvNGcUZptLTE1sLAoncUHnWMHjSp3YkGIdpaHZ5NC0AYQkF6TihU7ISI1JIEG65wnMPg&amp;amp;lib=M-zdWbhavtdZ1B_W2dnFDM0qoVt4lWzJ-"&gt;here&lt;/A&gt;.
&lt;/BODY&gt;
&lt;/HTML&gt;
</t>
  </si>
  <si>
    <t>GywVMqITSPC-zMHyZWHXtA</t>
  </si>
  <si>
    <t>18352-A</t>
  </si>
  <si>
    <t>MARU RESIDENCIAL GRAVATA CONSTRUCOES E EMPREENDIM</t>
  </si>
  <si>
    <t>8F00240812220288</t>
  </si>
  <si>
    <t>EXPRESSO SAO MIGUEL S/A / (051) 3586-2013Informação Adicional: REDESPACHO: RF BRA TRANSPORTES LTDA. CNPJ: 49.515.412/0001-53. Rua Ouro Verde de Goiás, 1233. Guarulhos - SP. END ENTREGA: Av. Caxangá, 1562 - Cordeiro, Recife - PE, 50711-000. COND COMERCIAL (40%/10%) + DIFAL / Obs.Interna: ENTRADA DE R$8.131,00 + 5 X R$4.500,62
Aprovado -Mario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</si>
  <si>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FqIeYdj1iKDD4LfF9FA4ParpTPHQClPLLRgXOCQvkR8k3GH5pVfCCD_NrL0fAFuMfDeQ9jmgxyq7OPcMCY7GSlWXvv6Rks7sFXTZnw9htaI-l4L_g4j-3RihhS9cbDH_8txvY4DJ-5NIwcWi4aJWAvUcinHFeSskq5jYJbmTLZ2DuPjgtVi0RPDUxuMywNKdLrwhRXVlUDkftqA1gBhMEGlsGP1o7B1wL5LtbAWITJLNqrvbGOU7-X_3Iew1Ob5gkaIQ_aYhGfiLPHrPIfTeUQhhwYiqG_ZpN0QWNOdWsIH_3ETv39wdm4P6jAg&amp;amp;lib=M-zdWbhavtdZ1B_W2dnFDM0qoVt4lWzJ-"&gt;here&lt;/A&gt;.
&lt;/BODY&gt;
&lt;/HTML&gt;
</t>
  </si>
  <si>
    <t>klRGJVulQrG3N.yBdRtjuw</t>
  </si>
  <si>
    <t>18352-B</t>
  </si>
  <si>
    <t>8F00240812220287</t>
  </si>
  <si>
    <t xml:space="preserve">&lt;HTML&gt;
&lt;HEAD&gt;
&lt;TITLE&gt;Moved Temporarily&lt;/TITLE&gt;
&lt;/HEAD&gt;
&lt;BODY BGCOLOR="#FFFFFF" TEXT="#000000"&gt;
&lt;!-- GSE Default Error --&gt;
&lt;H1&gt;Moved Temporarily&lt;/H1&gt;
The document has moved &lt;A HREF="https://script.googleusercontent.com/macros/echo?user_content_key=AehSKLj31vlKRhMxLmZPUnxl_ejwKjS-izu3RMk_c9O8WK5MZYtgDQpAKEH4hLVxR_WX5biCY4cErtfKwWdkjzEVoKLJs1pvrmqzrvr_-FvmzN4OxdA4PzWebA9Up4woxcLXa8kkVrM2_G1t_a2F1saq2slf-dpNvR-Qq-wTHB_DZgYe8uqCihoc1bUFIXqSLXEZXWKnAYc-P1FIzViHiYr-qBnTBNP8LE7o9XUGBlqfwhYz5sm2oaHbquFP1SAHv0r_t_vi_vwihm_kyjZ7Sb00ICI9JwW1-MlNJkaa120QgxoMMi4-QQQN_Q3DYDxZvA&amp;amp;lib=M-zdWbhavtdZ1B_W2dnFDM0qoVt4lWzJ-"&gt;here&lt;/A&gt;.
&lt;/BODY&gt;
&lt;/HTML&gt;
</t>
  </si>
  <si>
    <t>nyvmk3GMIcOlzapkYGnw</t>
  </si>
  <si>
    <t>18354-A</t>
  </si>
  <si>
    <t>EXPRESSO SAO MIGUEL S/A / (049) 3361-6627Obs.Interna: ENRTREGA DA FTI 25 PARA DIA 10/10/25 .  / E-mail para nota fiscal: , E-mail de cobrança: , Telefone para contato</t>
  </si>
  <si>
    <t>AmKBy0OsR7CdNX46CLRPnw</t>
  </si>
  <si>
    <t>18354-B</t>
  </si>
  <si>
    <t>C3TXsey09frLLuwNtlgw</t>
  </si>
  <si>
    <t>18354-C</t>
  </si>
  <si>
    <t>TPaMT7XPD67OPPJmfY0z</t>
  </si>
  <si>
    <t>18355</t>
  </si>
  <si>
    <t>8F00250208090029</t>
  </si>
  <si>
    <t>EXPRESSO SAO MIGUEL S/A / (049) 3361-6627Informação Adicional: ALTERAR O VALOR PARA R$7.486,99 E ENVIAR O LINK PARA PAGAMENTO O CLIENTE VAI FAZER NO DEBITO O PAGAMENTO TOTAL DA MAQUINA
SEGUE O ENDEREÇO DE ENTREGA DA MAQUINA! Rua Amadeu do Amaral 1750 bloco 01 Apt 12 bairro portão cep 80330240 Curitiba Paraná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</si>
  <si>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8oCikonatXR5P5Upyba27evP2NOyPJGHqPz3P4KFqsyu8lPsOGOt_sqf9KZ1S0sNtLH5jES7u26t0zuyJha7O1Nu5tego-v285nnezzv6wvIpurbNYpf7EJFhvcmKjnUC5R7nvTFjsPII2lYNNEHnsa4K09B26WeHQFJ9cijVyDmPUC7_ZIiSFe3FofTg8PlonLbHX_jgJhDzNYZX8FaPvcch-jw8eux_EM2aNDhIOuwTmyPRCpV2j21PVFmUASWhxQeIzye8BZzWn7KRkFZOo9Huqi4kL1B7bXjIvI7eBPm02rrIKBMuOKj95Q&amp;amp;lib=M-zdWbhavtdZ1B_W2dnFDM0qoVt4lWzJ-"&gt;here&lt;/A&gt;.
&lt;/BODY&gt;
&lt;/HTML&gt;
</t>
  </si>
  <si>
    <t>e1vMtb7IREOwvqYHKU-MEQ</t>
  </si>
  <si>
    <t>18356</t>
  </si>
  <si>
    <t>8F00250208090027</t>
  </si>
  <si>
    <t>CLIENTE RETIRA / (0) Informação Adicional: ALTERAR VALOR DA BOMBA PARA R$7486,99 CONFORME TABELA JULHO 2025
PEDIDO 27632 - MARCELO PAGLIOLI / Obs.Interna: ALTERAR VALOR DA BOMBA PARA R$7486,99 CONFORME TABELA JULHO 2025
PEDIDO 27632 - MARCELO PAGLIOLI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</si>
  <si>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NujJIW3MrOVgn-m_bLMn24qRU-45V6Cf9jjv_a3O21kw-woVbA0EwNZpXcCK_oNcRM7YJKTCRDha_OlE__koJgTgJwvRf3D9W5Zs8vwl3e4gHuCHQ9fMECHkWABidbzUSID8-YCtl6n4SOrMo7Vh4QSxJqlSQ1Z9iFnFt_teZSbRlpXklb9vYiAfvqe6j9OT2m05aHH3PA4QHVcDEdwl1OaNTFz1rA_tgs_oos9NRAj2R5MMePKX4U4ZxFyCmUO1d3ISQe-2Nfk9eas_IR7XQQxWg0b8wAunPyRlV3gr5EwNp3Z6KGGpnfxso8w&amp;amp;lib=M-zdWbhavtdZ1B_W2dnFDM0qoVt4lWzJ-"&gt;here&lt;/A&gt;.
&lt;/BODY&gt;
&lt;/HTML&gt;
</t>
  </si>
  <si>
    <t>M5VLKybkS86QWkF5hpNIvA</t>
  </si>
  <si>
    <t>18359</t>
  </si>
  <si>
    <t>ELETROTELE</t>
  </si>
  <si>
    <t>0000000 - RETIRA - RAFAEL DA ROSA COSTA PEREIRA - 00000000000 - PEUGEOT / HOGGAR / BRANCA / 2016</t>
  </si>
  <si>
    <t>RETIRADA NA FABRICA / (0) Obs.Interna: PEDIDO REALIZADO PELA FEIRA - EXPROTHEL ENCATHO -CENTRO SUL FLORRIANOPOLIS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</si>
  <si>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ZKMc_zlqPJBGoh4suh7LaBXc93g6shW2H12qkQqR-XK04qYEpqIzt852ZvK4G9aUpYivau3eq0qkPh2_4KnMGVJq1XRBpgmZ7cwHrOzgAbK9Ri40QgIaRanRETVobZkUHnlinOgKPBNMArezTW1_jHmuRdW3wDEBmYO1nUb-f2UHCI82GVRj8KtGw4JSvwMj1ybKIs8g79K-BbylJFJucwKrNyqFaOKxWINyLC1Aw9bbjDyYe-hLcz_arFK23oRxRmGMkkm3heE7VnYJyllv4aT-qcm-guDuG7fuXMo9ssVnN7VlElvADGfuCoA&amp;amp;lib=M-zdWbhavtdZ1B_W2dnFDM0qoVt4lWzJ-"&gt;here&lt;/A&gt;.
&lt;/BODY&gt;
&lt;/HTML&gt;
</t>
  </si>
  <si>
    <t>dyBBrH3WRlCgR-yulbEtrQ</t>
  </si>
  <si>
    <t>18362</t>
  </si>
  <si>
    <t>FITLOG TRANSPORTES E LOGISTICA LTDA / (048) 996277956Informação Adicional: Pedido de Compra Nº 7871
ATENÇÃO - Conceder desconto à vista de 3% para boleto para 07 dias - aut. pelo GV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</si>
  <si>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kjabmLoQG-GqmRxUdBD__e3lmLZ5xxaOAKwV78-yyJLOJlDKjgVRkqr4gPg0LNR8ofCVdFU7Vr36S3yDwrERUZuIccn8orjVk_068bMUnnn0LdMZXr5611GWARZmzaadJzYvk5HBdDe5evVs50Pa0HFytbeaMcHJML94ZrLUhPM35f1AlvqFOf_vwieZBlbwgjYnSKxG9WLwKwRfy4NGz_O8T_r-FFF3k30uFwmops1nfB4L7vR2VkHtRbVlCvR-AHry7WVXSxV0w2mBl915iD4586yhG-y_31yMIWX05oesxkwkRt2ZHedwPA&amp;amp;lib=M-zdWbhavtdZ1B_W2dnFDM0qoVt4lWzJ-"&gt;here&lt;/A&gt;.
&lt;/BODY&gt;
&lt;/HTML&gt;
</t>
  </si>
  <si>
    <t>DwD4F3k6Q6a1DeAOBO.gGQ</t>
  </si>
  <si>
    <t>18363</t>
  </si>
  <si>
    <t>8F00250411520021</t>
  </si>
  <si>
    <t>EXPRESSO SAO MIGUEL S/A / (049) 3361-6627Informação Adicional: +3% de desconto, maquina para feira do dia 16/09 / prazo de 30/60/90/120 / Obs.Interna: +3% de desconto, maquina para feira do dia 16/09 / prazo de 30/60/90/120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</si>
  <si>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dP-kDEEOFGiLYAZSHg3C4MSHhMQAcE1PWJTwzY95cWYzgdjn7fIEZMIM9uaXoDj_N37T9iJSI5EcqB9AadmJ820cl_-pSsDt-QjZq_BSFgdkzlfGIgTLNoK3ZCklRr6CKjofFMeP-UMvlHaModfhpSTovuaf48NTrFnGTNd814S4ZX6j1HYMPXABbQ03Qti-Gr6qax1dStOGG5bMAOik_D5F99EUzoyka5S3niWYcJ0vqvsyKVsOS6VPa-Lc6gWMDcihgM8ZMd72d-0ZXrrNWzlmWbneUJ3ARAwH4dBGSx2EHQvw-HdOI4XW8iA&amp;amp;lib=M-zdWbhavtdZ1B_W2dnFDM0qoVt4lWzJ-"&gt;here&lt;/A&gt;.
&lt;/BODY&gt;
&lt;/HTML&gt;
</t>
  </si>
  <si>
    <t>Zx7wFpy7RRKGRIbxpqXlNg</t>
  </si>
  <si>
    <t>18365-A</t>
  </si>
  <si>
    <t>8F00250411540004</t>
  </si>
  <si>
    <t>FITLOG TRANSPORTES E LOGISTICA LTDA / (048) 996277956Informação Adicional: Pedido de compra n° 7873
Conceder desconto à vista de 10% para a condição de boleto 07 dias (aut. pelo GV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</si>
  <si>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o-8GH0_pI3TXOxUDExsQu7-UgO5i92naohNjo47JErfNjKpjjq0c3MMuPHBgMvUMZ86AnMQbt-SwlUN2AlpdnXVKbJd0IOEpPbELm9IYqptrNfGmcDE60p9uq8mYivljaMpqfro-68AdsffcFn9V1jsoi4hha2mbXy4t7wKkE9vgrx-D5Cu9hYMgWfeFZ2PHf-H0302adVYFBr0N9MhQQPrlww6er1lQpLKG2SD-UBMdsb55tPwqzlUy-tPQaNTITcORUOI-LdFHdzaPjGP0dS0jMN1uAJrbhCYZmxKekjRfXn-T2ADnqAtUIew&amp;amp;lib=M-zdWbhavtdZ1B_W2dnFDM0qoVt4lWzJ-"&gt;here&lt;/A&gt;.
&lt;/BODY&gt;
&lt;/HTML&gt;
</t>
  </si>
  <si>
    <t>b4YnmNQsSFKRmhCvEnt54Q</t>
  </si>
  <si>
    <t>18365-B</t>
  </si>
  <si>
    <t>8F00250411540005</t>
  </si>
  <si>
    <t xml:space="preserve">&lt;HTML&gt;
&lt;HEAD&gt;
&lt;TITLE&gt;Moved Temporarily&lt;/TITLE&gt;
&lt;/HEAD&gt;
&lt;BODY BGCOLOR="#FFFFFF" TEXT="#000000"&gt;
&lt;!-- GSE Default Error --&gt;
&lt;H1&gt;Moved Temporarily&lt;/H1&gt;
The document has moved &lt;A HREF="https://script.googleusercontent.com/macros/echo?user_content_key=AehSKLhJMC07TGOmxo57_fXRbBFAkokVE5-R5yC0uHIoLz1aSe_tckNn7SYhuoYcnn1PWP1mHen8TKoy2tICGNFXrqrvA9UfumNY5c4jnZOxdqDB7f0uMzC0QwfEFFaVUJHsL2UrFm0QYYdhrPFjmMxS-TqDxCB8jXoYC_9CP9Bo8NoLdZ4LgEuIqZaEzrdY8JDO7UT4Xp5Oda6WbhlVLNLr9kgJ2zDZtcxRaB6TZyw0Rv-h3q1rbC04cOqD-aAMavq751mXF1JDxrDWNS6nedqLZxhtMgr1vBtJJLaOVe1jeTAZyLzUjny10OERNQ-xgQ&amp;amp;lib=M-zdWbhavtdZ1B_W2dnFDM0qoVt4lWzJ-"&gt;here&lt;/A&gt;.
&lt;/BODY&gt;
&lt;/HTML&gt;
</t>
  </si>
  <si>
    <t>1Qf3Fhzv9j7A4qZN2pfK</t>
  </si>
  <si>
    <t>18365-C</t>
  </si>
  <si>
    <t>8F00250411540006</t>
  </si>
  <si>
    <t xml:space="preserve">&lt;HTML&gt;
&lt;HEAD&gt;
&lt;TITLE&gt;Moved Temporarily&lt;/TITLE&gt;
&lt;/HEAD&gt;
&lt;BODY BGCOLOR="#FFFFFF" TEXT="#000000"&gt;
&lt;!-- GSE Default Error --&gt;
&lt;H1&gt;Moved Temporarily&lt;/H1&gt;
The document has moved &lt;A HREF="https://script.googleusercontent.com/macros/echo?user_content_key=AehSKLikjkcrlqDCceVJiLBV07wN7jeFP7cihCF3vU4ITfGMx1KlatRi2B0fjzB2IH6mDc5EOFUSRp9LasVoJiiIFOlj8QyE4sw45EpeBRP6vyT5qxFs0c2-MfWIp0FbM2pIUh0WzSmDxPKGH-3DGOVZOZJKdwaMqNwS0UtVzPW9NeQ9hH33WLaGzshudVmiAKt6GclCY03KUC42bKUlrpe1Av2FJiaSb-o15e8bkuXMKM1b0toPUCdI2L21cykYutA-r5O4rzUdBQC2T9-UJlamQam-C5_3XSUZov-AKiIZR9LRvjN968NuGtSkCaEXfg&amp;amp;lib=M-zdWbhavtdZ1B_W2dnFDM0qoVt4lWzJ-"&gt;here&lt;/A&gt;.
&lt;/BODY&gt;
&lt;/HTML&gt;
</t>
  </si>
  <si>
    <t>IIWLMhGpup3Znk8kdx5q</t>
  </si>
  <si>
    <t>18365-D</t>
  </si>
  <si>
    <t>8F00250411530017</t>
  </si>
  <si>
    <t xml:space="preserve">&lt;HTML&gt;
&lt;HEAD&gt;
&lt;TITLE&gt;Moved Temporarily&lt;/TITLE&gt;
&lt;/HEAD&gt;
&lt;BODY BGCOLOR="#FFFFFF" TEXT="#000000"&gt;
&lt;!-- GSE Default Error --&gt;
&lt;H1&gt;Moved Temporarily&lt;/H1&gt;
The document has moved &lt;A HREF="https://script.googleusercontent.com/macros/echo?user_content_key=AehSKLgidT2sKWHXGj-5JMollKDeA9uJrFmwdRZSZ-W6kGv6lgtycZpVSvjCVX5WaZSOpx9l-fNuGC7Tw40ubmhBX-BgBgdpMVvjJ-NVFI8dONFTyyit3bZGoAcVcWEGPKAkz4aJwdmZNcF6aN1Vkgz6NkXAE2qlxzEffbLe0QkBxs_pK-vAsk2HGc7id46fmIbQv-foeqYwcY8qljv6IOPOYhP3gNqvADglq6_LZOx-8nmcFE1KTSVy8j_kFKDarD8UyaezBvgDd6oNIv189EKPcKa-pubrI7JAm2gA5yn9OaTCUjmaUHEuUGw9i9vGzw&amp;amp;lib=M-zdWbhavtdZ1B_W2dnFDM0qoVt4lWzJ-"&gt;here&lt;/A&gt;.
&lt;/BODY&gt;
&lt;/HTML&gt;
</t>
  </si>
  <si>
    <t>pRl4dz4Jfk6OLSgwxbvJ</t>
  </si>
  <si>
    <t>18366</t>
  </si>
  <si>
    <t>8F00250329070012</t>
  </si>
  <si>
    <t>FITLOG TRANSPORTES E LOGISTICA LTDA / (048) 996277956Informação Adicional: Pedido de compra n° 7869
Conceder desconto de 10% à vista para a condição de boleto para 07 dias (aut. pelo GV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</si>
  <si>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LDQ5GvhecsH-onYOClYHkqWBBqKuHvmR7UhK6NoMNI8vdjgC2MNW1cl_fqxbW5xBCDRivX0mf2zb3OiFW20tL9g87fCpuE3I2Nwxk7JfTKhh_4ZM3L69ej-ZuM6bOMZpyjNDsTLF5C7Ob1o_lhH9qLeVWKfY0hdfyCjwW_GF1EhVsss6_4X6OjLCM7pj1V0Bw8EF45eKQI0P1Iq5cStYKj7kBImEQdqLRUG3Wz8e7cUKCbOSGiRm9l942k0bqEboFuqOe-RGNQHjZAxOGqczYCdNuyXjxDwZwwFs5MM2-T0bJ43ob5DBs-gTmTw&amp;amp;lib=M-zdWbhavtdZ1B_W2dnFDM0qoVt4lWzJ-"&gt;here&lt;/A&gt;.
&lt;/BODY&gt;
&lt;/HTML&gt;
</t>
  </si>
  <si>
    <t>d7K7W1JfQDamqvyzGgziCQ</t>
  </si>
  <si>
    <t>18367</t>
  </si>
  <si>
    <t>FITLOG TRANSPORTES E LOGISTICA LTDA / (048) 996277956Informação Adicional: Pedido de compra n° 7822
Aplicar desconto à vista de 3% para a condição de boleto para 07 dias (aut. pelo GV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</si>
  <si>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aYbMsZ-e9BMfxHpqFPMwyP8MVUaAMTnp8oHXw6JX3RVxhnMt-V3cRCbbk2z4bMJp6_JwrgO05oJ66PfSiCzzx1Wa5YYug7jzcpygDSZTnEBNVRfnJvycVJ5vpCi-p60CcbjVWSAp9iN9aOJgh5XTFvg_EbbtrlCESFLAcIkNkSa5uN1_ToLj_Ve0w4kzWYaXKPtUFJAe5ZrfU6VxhswltgkyRo24q4ogDD7-kWWrwAYEf-h_BZH_BVIkXzNqce0NSMX2_NFgJ8RdrmnY3TEgXWjKitkwzmGmuyGJ-TwYzmdzg1l--2TpIa4TpKQ&amp;amp;lib=M-zdWbhavtdZ1B_W2dnFDM0qoVt4lWzJ-"&gt;here&lt;/A&gt;.
&lt;/BODY&gt;
&lt;/HTML&gt;
</t>
  </si>
  <si>
    <t>WiIfEbh6TIS8c6ZSBz165g</t>
  </si>
  <si>
    <t>18368</t>
  </si>
  <si>
    <t>MICHEL TREMEA BORTOLUZZI</t>
  </si>
  <si>
    <t>8F00250411490014</t>
  </si>
  <si>
    <t>EXPRESSO SAO MIGUEL S/A / (049) 3361-6627Obs.Interna: PAGAMENTO CARTÃO DE CREDIDO 2X
PEDIDO REVENDA JEAN SPA - PASSO FUNDO
PARA ACERTO
VALOR DA MAQUINA R$ 9.500,00 DIFAL R$ 500,00
Frete por conta de terceiros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</si>
  <si>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_fOD264nER9m0wPxP7gDQd9JLQ8s3RtwT40mcGKOYYALYdpBeI3Im9j5fIE2DjRvDycTUAiYq6lDltDCi1sFgn8RstmgDcsw1VR4pH544MyUZ2t4sH5YWiGqwrHoWYBVkvnDyDPy9jr4Hg9uEaxjNDiudgQpvABzc6emddOMi75AJuxG60yJp2_u7qbOS15uQ8YM-2Y_rMoFy8trUKhyBySMyCel4u5cx_8IoK3h9OaJWAlm_92rXkdkpa8hMhUQd55FBP2ohfbAlMcp5FaSscSmIRtUrxTNIolEetbCL1Q3xor6OSc3NEk4OLw&amp;amp;lib=M-zdWbhavtdZ1B_W2dnFDM0qoVt4lWzJ-"&gt;here&lt;/A&gt;.
&lt;/BODY&gt;
&lt;/HTML&gt;
</t>
  </si>
  <si>
    <t>lU.DKS.BTSKSMWbIsn2Wwg</t>
  </si>
  <si>
    <t>18369</t>
  </si>
  <si>
    <t>FRIGORIFICO KLEIN</t>
  </si>
  <si>
    <t>QIF0F49 - EXPRESSO SÃO MIGUEL - Jaime Luiz Gordini - 00000000000 - FORD
 / CARGO 2429 B / BRANCO / 0000</t>
  </si>
  <si>
    <t>EXPRESSO SAO MIGUEL S/A / (049) 3361-6627Obs.Interna: PEDIDO REVENDA JEAN SPA PASSO FUNDO - PARA ACERTO
PREVISAO DE ENVIO 15/09
ENTRADA R$ 10.000,00  SALDO BOLETO  30/11
FRETE PAGADOR TERCEIRO
LOCAL DE ENTREGA: AVENIDA GENERAL LOPES DE OLIVEIRA, 448 CENTRO CEP: 99523-000 ALMIRANTE TAMANDARE DO SUL/ RS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</si>
  <si>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RP6ndly3jgDHJS75yw5wb5XEz7kWbIt_bz3VXjn4kuQPSHjMxfcdGpfSASa1ZfBT6VwaVw8MBg_Yiu5bn3Mo2bPNI4Msip4wJWmXrKqtFROL8Uv19MNNh7VBk19aFEuWLcPqC8JyPnA8DYBP23A9fCXtQDUpzH0Nv6jx9kZTD2xiuoQ2hh39iCpv-nlB1PgwELwaCqyxh56ueZ4QMEZG2cygrC1JFfsn0Qt2IA-Ti43uPqpAYo_eLchq5M39JoEc14o6lpE2CK4Kxq9wY18J5YNGzHEP3K-Kw4t7tattpSinc909XlAp-cZB7A&amp;amp;lib=M-zdWbhavtdZ1B_W2dnFDM0qoVt4lWzJ-"&gt;here&lt;/A&gt;.
&lt;/BODY&gt;
&lt;/HTML&gt;
</t>
  </si>
  <si>
    <t>MsCy3m1RQPykNetlHlXUxw</t>
  </si>
  <si>
    <t>18371</t>
  </si>
  <si>
    <t>8F00250411490012</t>
  </si>
  <si>
    <t>FITLOG TRANSPORTES E LOGISTICA LTDA / (048) 996277956Informação Adicional: REDESPACHO FOB  CNPJ 44.914.992/0013-71 - RODONAVES TRANSPORTES E ENCOMENDAS LTDA - AV ALEXANDRE COLARES, 500 ¿¿¿ CEP 05.106-000 ¿¿¿ BAIRRO PARQUE ANHANGUERA ¿¿¿ SÃO PAULO-SP I.E. 112.782.533.118 / Obs.Interna: Pagamento via cartão de crédito 3 vezes.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</si>
  <si>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MbNUsoAiQBlrORzvxvxrPoYLcQACuKJqBeyp_98z_3k8aqA1g2wLizXZb-r5TVExyIawIqZ5lSkLdnr1FxgLqXMN3ofmEsI2-TbwrCyvD-aWH6ycCd9cTbNlaLfA7NWR_u9esIMyJbdJBElnuUo1Qt_nxFkJC4xsjSpsFBJ7S5-mbE9IhLniJ43rIkZD0zzMMi_GAfVtFab2b2aYCpCg8OW1lfF8gKhqDY295iMCA7OWj75BLyQpKgxcYvpE_uXD8ZMCzjxjlSDmRkXqK82w0rZeSoj7cyZ2AQOYiYRjWEZLuSH9tsZsaEU3TAg&amp;amp;lib=M-zdWbhavtdZ1B_W2dnFDM0qoVt4lWzJ-"&gt;here&lt;/A&gt;.
&lt;/BODY&gt;
&lt;/HTML&gt;
</t>
  </si>
  <si>
    <t>3SSI8cN1TxWj2F7AMJ7YPw</t>
  </si>
  <si>
    <t>18372-A</t>
  </si>
  <si>
    <t>8F00250411490006</t>
  </si>
  <si>
    <t>FITLOG TRANSPORTES E LOGISTICA LTDA / (048) 996277956Informação Adicional: REDESPACHO FOB  CNPJ 24.882.886/0002-93 - RADLOG TRANSPORTES LTDA Rua UMBUZEIRO, 123 - Cep 07.224-010 - BAIRRO CIDADE INDUSTRIAL SATELITE DE SAO PAULO - GUARULHOS - SP I.E. 796.514.930.111 / Obs.Interna: Condição antecipado, pago com cartão de crédito em 3 vezes (autorizado pelo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</si>
  <si>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QG_xtYRFOP3r4OA9iAuhuhprFmtI1xdamHlot_G3c-7atQXANLE0e6hZF2vPk86TQX3gw0JKD-9w0QzlYSdaMYZD00paux0zZ-jdaLF6YxfZckdCrBfF7BI4BSCnlXm7gzlX8tvd59jpWUyvFzIeCcpKmvUrpnpzG5GJrpO2FxtauuLvkUNuldSdvCCp9tvvsmQMxhiCCyy3cUU-cqKnAf1a_cZ7dV8lheWV0L_Q1ss-3YyjJ5MyIpbfc-sUVWotRiD29-u-6dUC5rg5L8nGiIgnCUOGk1Ew3vJOj-nlBIQf0D4pqLCj64xLy_A&amp;amp;lib=M-zdWbhavtdZ1B_W2dnFDM0qoVt4lWzJ-"&gt;here&lt;/A&gt;.
&lt;/BODY&gt;
&lt;/HTML&gt;
</t>
  </si>
  <si>
    <t>AigGlbdWR.mG7sQpmL-rAg</t>
  </si>
  <si>
    <t>18372-B</t>
  </si>
  <si>
    <t>8F00250411520034</t>
  </si>
  <si>
    <t xml:space="preserve">&lt;HTML&gt;
&lt;HEAD&gt;
&lt;TITLE&gt;Moved Temporarily&lt;/TITLE&gt;
&lt;/HEAD&gt;
&lt;BODY BGCOLOR="#FFFFFF" TEXT="#000000"&gt;
&lt;!-- GSE Default Error --&gt;
&lt;H1&gt;Moved Temporarily&lt;/H1&gt;
The document has moved &lt;A HREF="https://script.googleusercontent.com/macros/echo?user_content_key=AehSKLjN2uiIdAEH6Zv30Q6mQiizBtWsrSzIWUJjDmFy9id72pYL3lybMgWvGCU82RBSXHB3igVlKjhZCjGTavEh6gqFsfElXdeVqo2Nql8_ZIHCEB0BHvenjyh5p_AlOqJqgUFn5wxRtiJUL3cXJZ3R7GaG0fUgu52ybbRm4E8EikcnuyR4O38iV1f2ChoLGT7Rpb5ggxvz5CtTr-x5v-sEd6O8l9mvYE1jo1qFh_c5UALjvZ1Y-8DXELl431SXKjF4vFDmboE-uOr6SMZDGee_SCkQhXGJOzfq8-lAZTr6U-KhGEv57JW8y31Qz--9Kg&amp;amp;lib=M-zdWbhavtdZ1B_W2dnFDM0qoVt4lWzJ-"&gt;here&lt;/A&gt;.
&lt;/BODY&gt;
&lt;/HTML&gt;
</t>
  </si>
  <si>
    <t>7evRnSCXohuN3ll4txya</t>
  </si>
  <si>
    <t>18372-C</t>
  </si>
  <si>
    <t>8F00250411530016</t>
  </si>
  <si>
    <t>&lt;!DOCTYPE html&gt;&lt;html&gt;&lt;head&gt;&lt;link rel="shortcut icon" href="//ssl.gstatic.com/docs/script/images/favicon.ico"&gt;&lt;title&gt;Error&lt;/title&gt;&lt;style type="text/css" nonce="c6JL4UUZGmTcfFvQcvhIMg"&gt;body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</si>
  <si>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MQuPcYEzVk8Bope3oCI3</t>
  </si>
  <si>
    <t>18374</t>
  </si>
  <si>
    <t>L&amp;R PISCINAS E SPAS LTDA</t>
  </si>
  <si>
    <t>8F00250411490005</t>
  </si>
  <si>
    <t>FITLOG TRANSPORTES E LOGISTICA LTDA / (048) 996277956Informação Adicional: Entrada de 50% e o resto em dois boletos (30/60).
Frete Fob com redespacho pela transportadora Prontlog Transportes CNPJ SP - 44.781.745/0001-00 - RUA SOLDADO AMERICO RODRIGUES, 131 - GALPÃO B - PARQUE NOVO MUNDO CEP 02.186-020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</si>
  <si>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aFwZsv_Xt7npTcCV_tQXQXCdvmMy5e4Y2XrwO5tJ6b-WLwp2L7BKWKPNFAwLY86vzWdVORi9-_VOQ4loS4t_2yZjm-ZOfpOrKr7BpX_zf14dXReCqtHrrgdxTuYHaPhOZ15DoCg0mMFh6rTAF0B1gSo5dGnaHuuPXBzhI6kwzr_Bt42aIe9tgPfUsHc8BO-hST9dTS1r02AcZ3TuP0ozByFYIpVBB7cjnaH5QjYt5e9KxVAWf6SLAkUf8xgOoOB-eekncFpAwIZ45u9treEp_pPAgLRBFBv78RorxKemyOoyhn2lX-Ok_N_ZcSQ&amp;amp;lib=M-zdWbhavtdZ1B_W2dnFDM0qoVt4lWzJ-"&gt;here&lt;/A&gt;.
&lt;/BODY&gt;
&lt;/HTML&gt;
</t>
  </si>
  <si>
    <t>qFQRL3a4QICMnXkwaiSRog</t>
  </si>
  <si>
    <t>18375</t>
  </si>
  <si>
    <t>8F00250208090032</t>
  </si>
  <si>
    <t xml:space="preserve">&lt;HTML&gt;
&lt;HEAD&gt;
&lt;TITLE&gt;Moved Temporarily&lt;/TITLE&gt;
&lt;/HEAD&gt;
&lt;BODY BGCOLOR="#FFFFFF" TEXT="#000000"&gt;
&lt;!-- GSE Default Error --&gt;
&lt;H1&gt;Moved Temporarily&lt;/H1&gt;
The document has moved &lt;A HREF="https://script.googleusercontent.com/macros/echo?user_content_key=AehSKLi3tWeOKh2JEFTY4a_Qx-95SoToI-57_ACmQeDUIMAQ3yizZpmb6N9hV_LO5LzuztFz7uqvgP5LWWYdHsfBg9rjKQW9Ub_AAkykjkA-6HNfFKPmivhrxlSNxaAfWYkPjLHMcyNhL1QjAeD_-A9xCcC4n5qDxy05Q0B6VW_2IOtVpi3HL5P6nsQfYf5cYm40Xl4a1EHjvuozd37exKmmDhxw4EygAJ8SRyIhp69UvRp0ehJnlqcv30mAMLWcy2zc7Aheo_GGCUXflUwl_r3Ibcw93tiMg0zY9eGtaGqDbyvoTHQVhvu4NsYo53XRHA&amp;amp;lib=M-zdWbhavtdZ1B_W2dnFDM0qoVt4lWzJ-"&gt;here&lt;/A&gt;.
&lt;/BODY&gt;
&lt;/HTML&gt;
</t>
  </si>
  <si>
    <t>rRUovnY9Q6u47dQ3Hz.xBA</t>
  </si>
  <si>
    <t>18376-A</t>
  </si>
  <si>
    <t>8F00250411490004</t>
  </si>
  <si>
    <t xml:space="preserve">&lt;HTML&gt;
&lt;HEAD&gt;
&lt;TITLE&gt;Moved Temporarily&lt;/TITLE&gt;
&lt;/HEAD&gt;
&lt;BODY BGCOLOR="#FFFFFF" TEXT="#000000"&gt;
&lt;!-- GSE Default Error --&gt;
&lt;H1&gt;Moved Temporarily&lt;/H1&gt;
The document has moved &lt;A HREF="https://script.googleusercontent.com/macros/echo?user_content_key=AehSKLjomo2PacZD2ljf0nuhTnjR41rojSgjNvgoRvflqRxoR_AYbtLeWlKGjO-cxBnxFyX4p_9LTKnoQblEeP2MvulkcIYkZKy-Ppw514frQo_rj3UVNUNGxMgIlU2gCWAx_C1I55ob8E3SsCKH6wxCiJhhF-_-8YthRh_3zLmUyh2tuI_nmuGsTphVfVfXbhSVv2D4TOYI1LAfLH5OBZJ1efk9j7wsPoeuNbGmdGxNU4gIFUYfpajdJPfO0rDaJkrxM1pKf9yhBt5l--iLdFdqwbbRYZQtOjeNiYBi8vNgfuwbNzoP_bQ1wbnqNAiMLA&amp;amp;lib=M-zdWbhavtdZ1B_W2dnFDM0qoVt4lWzJ-"&gt;here&lt;/A&gt;.
&lt;/BODY&gt;
&lt;/HTML&gt;
</t>
  </si>
  <si>
    <t>JAQCNWerT0KqN5R5T2ghgA</t>
  </si>
  <si>
    <t>18376-B</t>
  </si>
  <si>
    <t>8E00250214240008</t>
  </si>
  <si>
    <t xml:space="preserve">&lt;HTML&gt;
&lt;HEAD&gt;
&lt;TITLE&gt;Moved Temporarily&lt;/TITLE&gt;
&lt;/HEAD&gt;
&lt;BODY BGCOLOR="#FFFFFF" TEXT="#000000"&gt;
&lt;!-- GSE Default Error --&gt;
&lt;H1&gt;Moved Temporarily&lt;/H1&gt;
The document has moved &lt;A HREF="https://script.googleusercontent.com/macros/echo?user_content_key=AehSKLjZ1rKdWi1ZlDfV3Yf83xmg0qRGUoqe80rzueuP6317C6YCzH8TA2wHmFUo6gpXykrTxs0s7LtDBuP6roeE7-fQaxN58gWDUqQcbVN_plb_ID4IvKJwOMfYmHOa25DbdP8zdrmtBeSg4DggxJuop9S6jN6o5JzuLLMGkxrjLKWV51tFIhrjUFav5HVkw2HSW-2ITs8_EskAmg1qeRIVzuAZ0UR5UGUm-vyp0mDs4ZRmYDIyjJNN5W5sEvqXvNWhftPyhfHN-XijuVoDipa_m9qQnfLZAjtDESQo959dRAycu2uIXtcCFW0Lkzd11w&amp;amp;lib=M-zdWbhavtdZ1B_W2dnFDM0qoVt4lWzJ-"&gt;here&lt;/A&gt;.
&lt;/BODY&gt;
&lt;/HTML&gt;
</t>
  </si>
  <si>
    <t>uiU5YJfOaEjPTXyq4sWL</t>
  </si>
  <si>
    <t>18377</t>
  </si>
  <si>
    <t>8F00250411520035</t>
  </si>
  <si>
    <t>FITLOG TRANSPORTES E LOGISTICA LTDA / (048) 996277956Obs.Interna: Frete CIF. Pagamento com saldo do pacote. CONTRATO B2B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</si>
  <si>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Ib3Oxpm-0IHbB9DVlwNgIPDwbTpmwpOM_d7_WfJpL0YkSMUwIaCOYnJdIUzzTTtj9kvCDFXkh6YrP4kd49Mey5uhF9R8qTknKd2Qrlz3LxaWb2aFpyxFCx4z94jY_7_ozcxLxk9Sb1vlq16Dk2uSBqLNnB74dRgsWroZPtKuhnXwwsfineJ56AKrEjRpoW9wIWiEX6KfEUHWjN1o7761CWqD8m0QkyMmO12W2OSay8K7hRUsksh2POnyv7O3kmhyIuqQD9A4ofeIL51YGD-GRyLBWixvp2cKKGfi1ihOt1jUjbI0vlSPGiJkhWg&amp;amp;lib=M-zdWbhavtdZ1B_W2dnFDM0qoVt4lWzJ-"&gt;here&lt;/A&gt;.
&lt;/BODY&gt;
&lt;/HTML&gt;
</t>
  </si>
  <si>
    <t>0OJ.LUA4TdyXLdgfmRMrdw</t>
  </si>
  <si>
    <t>18378</t>
  </si>
  <si>
    <t>8F00250411490009</t>
  </si>
  <si>
    <t xml:space="preserve">&lt;HTML&gt;
&lt;HEAD&gt;
&lt;TITLE&gt;Moved Temporarily&lt;/TITLE&gt;
&lt;/HEAD&gt;
&lt;BODY BGCOLOR="#FFFFFF" TEXT="#000000"&gt;
&lt;!-- GSE Default Error --&gt;
&lt;H1&gt;Moved Temporarily&lt;/H1&gt;
The document has moved &lt;A HREF="https://script.googleusercontent.com/macros/echo?user_content_key=AehSKLhl7IGCGqj_Xq5VzLojdBLtlLorCKsTUT-nbLw2Zf33eeOB_CTSdHzlmSdurLZpDR2FBbpoWXbbNZdaDvnUNU-rS1u6yDAapITaLCpc9gaiolcYTV7l7coCOjfO341H8bpOsliZ67U1T34H_4usRR0K9MWpVXsecgZ1jbY4Fc22hr7Us8Peo-pHhjM39nIWghWHDTFcLgLTwBO585AFjpPo8lH2rrNWAgZchcJokV8LTmsljDT401RIPKO07Bu6LfPwUxuM8DIFu1tJci-29HH06w8M_ny2k2iedgbDfl3Qk89tHK76so1dMXjHTg&amp;amp;lib=M-zdWbhavtdZ1B_W2dnFDM0qoVt4lWzJ-"&gt;here&lt;/A&gt;.
&lt;/BODY&gt;
&lt;/HTML&gt;
</t>
  </si>
  <si>
    <t>75WRiNBnTQ-XapgFu21ksw</t>
  </si>
  <si>
    <t>18379</t>
  </si>
  <si>
    <t>8F00250411490019</t>
  </si>
  <si>
    <t xml:space="preserve">&lt;HTML&gt;
&lt;HEAD&gt;
&lt;TITLE&gt;Moved Temporarily&lt;/TITLE&gt;
&lt;/HEAD&gt;
&lt;BODY BGCOLOR="#FFFFFF" TEXT="#000000"&gt;
&lt;!-- GSE Default Error --&gt;
&lt;H1&gt;Moved Temporarily&lt;/H1&gt;
The document has moved &lt;A HREF="https://script.googleusercontent.com/macros/echo?user_content_key=AehSKLgnXR-E6KPCXV7Xtq8KVnagFdRuzLjr26V55ChpYzVcbsWMawEbt06FEL5eZTmCjCeEuddwbfWKm6RH-dYceqlwBjRtawMzTobclIEGBGSRh7kW1OXCr_Sf6V8xzhYKbyxzKK5gQZyAiMFH4vDxDNjdssv4LpxWH5FdxEzhCwRoQhL_G3jzKACDOLYERldS-CK088f4kDX5AVX9K-AE8CxxHMTiYKOjwwL5JvodU5ifTSW9puNgojN-EJ8E9QkhKZ8BX55s1WuV3bMI0pSbNhghJ4WsoAFgW0r8gYaGiF5HEzBToYhGQmx8qsRYpA&amp;amp;lib=M-zdWbhavtdZ1B_W2dnFDM0qoVt4lWzJ-"&gt;here&lt;/A&gt;.
&lt;/BODY&gt;
&lt;/HTML&gt;
</t>
  </si>
  <si>
    <t>yWccmqfwTXCcn7gw6DY46A</t>
  </si>
  <si>
    <t>18380-A</t>
  </si>
  <si>
    <t>20275/25</t>
  </si>
  <si>
    <t>CLIENTE RETIRA / (0) Informação Adicional: PEDIDO - 22041 - VILA SOL/ILHA DE MALTA + ESTOQUE / Obs.Interna: RETIRADA EM BIGUAÇU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</si>
  <si>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LxedbQJEGCFaDE7qqFvCebeADAENmwLJO759Dze-H4lj6eoPfFYroodRihFri7-IzTDvfod_XRZhrpVUVbZE_oKgim3C6WLIeyfAXeKm_r7z4DBwjXnEs44C-L0vJT4ODbvdBZOuaWEJgl8FIdIODv9A-BCjVRK8NQvRpfKnOlAvhByjEvqaxWcd5y37HuFXVO70x3bw4dyJmBpDXqi4EHkFj8ftSlb-0TInMnPYgUmRO8MSVW67avEuse1JKytnUmB_l_pL1DPVDgCLgs8QXH1vKQqJ69_91kWwzot1CocSxh9Q4b6mNrhKMhw&amp;amp;lib=M-zdWbhavtdZ1B_W2dnFDM0qoVt4lWzJ-"&gt;here&lt;/A&gt;.
&lt;/BODY&gt;
&lt;/HTML&gt;
</t>
  </si>
  <si>
    <t>n3mBZTVvT7W3P0OyUQN.4w</t>
  </si>
  <si>
    <t>18380-B</t>
  </si>
  <si>
    <t>20275/22</t>
  </si>
  <si>
    <t xml:space="preserve">&lt;HTML&gt;
&lt;HEAD&gt;
&lt;TITLE&gt;Moved Temporarily&lt;/TITLE&gt;
&lt;/HEAD&gt;
&lt;BODY BGCOLOR="#FFFFFF" TEXT="#000000"&gt;
&lt;!-- GSE Default Error --&gt;
&lt;H1&gt;Moved Temporarily&lt;/H1&gt;
The document has moved &lt;A HREF="https://script.googleusercontent.com/macros/echo?user_content_key=AehSKLhbZ92wKx1ek_jVC06w6de5v9kH8CTQUsGUoZEqlGewAIqsWjoLxK78dCzXDcL1HbRn3l8ydMt5teMKJTe0aWF3ODoe9IAiIP0jy1ve8wnSeq0-ezmlTGMMa-t7xszYmn0T5VmeOhwS_s-0khcW6-Cn01jdLbJ8XxVaJtXHbhKcPA-27Rq7sJ64XKlCA4x9zDTKJCpvlNyBC9QhhYX9DTAkMrXYYZmicCYgurbYBCm1Ox8pdTCh15SQd9lMRWqG9KeRadabbSWWUqnX39--A8FLfGGsNg4aM-Hm9uqV_fyfuApfzqZ_F841eGxyVA&amp;amp;lib=M-zdWbhavtdZ1B_W2dnFDM0qoVt4lWzJ-"&gt;here&lt;/A&gt;.
&lt;/BODY&gt;
&lt;/HTML&gt;
</t>
  </si>
  <si>
    <t>C4f7WzyneodfT0BDmigK</t>
  </si>
  <si>
    <t>18381</t>
  </si>
  <si>
    <t>8F00250208090036</t>
  </si>
  <si>
    <t>CLIENTE RETIRA / (0) Informação Adicional: ALTERAR VALOR PARA R$7.487,00, CONFORME TABELA DE PREÇOS
ABATER VALOR DA PROGRAMAÇÃO DO CLIENTE
PEDIDO CLIENTE FÁBIO MACHADO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</si>
  <si>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BuicrM156yf9ouoqRheZAhOGeTO0Sw4CWsWIpLrhmLgzvdekNAw0lJQ8rV6MuNKDIgIeqzYVKPxnrALHggObtwPvuYQ2vttRk-I9L13ENsF_YfBPd4gluaY3Wc7_rOpf3p3M6J1OMqB66pio5ARKOcS9geO7aqNhQuJlJbRbeh2LT8D5WD__Ib5DvZVtwgzj3H2O89k3sLQYQff-2tZTfvM7w_VS_6nBm6vn5xnpx44uAmBS_f5Us4h38dUSIN8Tt5KtDyps6BIxrnqdKfFx_vzJ3u9oLoSMhmACqnHpV8i6bgZEm_TWVQd6gFQ&amp;amp;lib=M-zdWbhavtdZ1B_W2dnFDM0qoVt4lWzJ-"&gt;here&lt;/A&gt;.
&lt;/BODY&gt;
&lt;/HTML&gt;
</t>
  </si>
  <si>
    <t>Ol6ncGjQSSGo1m6v1sBSGw</t>
  </si>
  <si>
    <t>18382</t>
  </si>
  <si>
    <t>BRUNA PAOLA DEBONA ARENHART</t>
  </si>
  <si>
    <t>CLIENTE RETIRA / (0) Obs.Interna: VENDA REALIZADA PELA HIDROESTE PISCINAS / E-mail para nota fiscal: , E-mail de cobrança: , Telefone para contato</t>
  </si>
  <si>
    <t>eA.69o3nTsCkLlt4babKJw</t>
  </si>
  <si>
    <t>18385</t>
  </si>
  <si>
    <t>8F00250411490010</t>
  </si>
  <si>
    <t xml:space="preserve">&lt;HTML&gt;
&lt;HEAD&gt;
&lt;TITLE&gt;Moved Temporarily&lt;/TITLE&gt;
&lt;/HEAD&gt;
&lt;BODY BGCOLOR="#FFFFFF" TEXT="#000000"&gt;
&lt;!-- GSE Default Error --&gt;
&lt;H1&gt;Moved Temporarily&lt;/H1&gt;
The document has moved &lt;A HREF="https://script.googleusercontent.com/macros/echo?user_content_key=AehSKLh_MuJ06gdRGLzYKKEHXt8gGtE_kGwq-NdNS3zZL7hdoTDTftf3HLxQb3rkVnzpSsPTK1XOnuTDqUD4SZOKeK8JtAgDUkhqwFUeCdE9RSX1ZnEgh-pvXdubff0WBZztJyBzUu06SbZ4LZAwheZxyYE8m6pmOyRkuztmyIcFeaM7UKhabTDK-z0g8PF_NnwYTrpCgs0ZnaAF2Ss0HU0KCAuemcnTotIsKITEx1KCSJXZDv0-7ST7LySCyd5pPnyygtR0PEiXzx4N0mSnKuhbZyqoz0oA0ci7KDkXu05FXlBjN8DgVoEN0Na02y3qRA&amp;amp;lib=M-zdWbhavtdZ1B_W2dnFDM0qoVt4lWzJ-"&gt;here&lt;/A&gt;.
&lt;/BODY&gt;
&lt;/HTML&gt;
</t>
  </si>
  <si>
    <t>LyPoM.QIQ1KGS.hyaW3.ig</t>
  </si>
  <si>
    <t>18386-A</t>
  </si>
  <si>
    <t>8F00250804020001</t>
  </si>
  <si>
    <t>FITLOG TRANSPORTES E LOGISTICA LTDA / (048) 996277956Informação Adicional: Valor total do pedido : R$ 9.690,84 - desconto de 40% + 10% + 10%
Frete Fob com redespacho pela SETE LAGOS
CNPJ : 03.098.929/0005-17 - End. SP: RUA PEDRO DE TOLEDO, 407 - JARDIM SANTA LIDIA - GUARULHOS - SP - CEP 07140-000 / Obs.Interna: ENTREGA FUTURA DIA 10/10/25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</si>
  <si>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igMlVWwPjrXyo0Egt1G2Njv1IWHW5QDFD1jnQwJs2P8F9pug8vRXhXBjS-qI3TipZvmB3F7hXw4gvhwa_xw-d7Yy1qXYLi4fJx-KQmAvMZ6NAXhwSWXKM7HVW28FHOT9IUz2GzVYD8gH6IHi1B5zZSYJloi4GZkjW9uEQFzPK_I1ySOqSmSAM9QUQqEqkPE0tym4KgEizcHXHnxspDRXFCFAmLQM_IKNo8vmQE2u7ZvzF-l6FTJRirDXI1n0H0w7SQoGDJf8D8ovhAetOtVT0vf2w3LeyON68nZrFHZfqQIpmzx1BU2zwPz8rnFg&amp;amp;lib=M-zdWbhavtdZ1B_W2dnFDM0qoVt4lWzJ-"&gt;here&lt;/A&gt;.
&lt;/BODY&gt;
&lt;/HTML&gt;
</t>
  </si>
  <si>
    <t>3fF8fNaoRgCN85VrfOk34A</t>
  </si>
  <si>
    <t>18386-B</t>
  </si>
  <si>
    <t>8F00250804020005</t>
  </si>
  <si>
    <t xml:space="preserve">&lt;HTML&gt;
&lt;HEAD&gt;
&lt;TITLE&gt;Moved Temporarily&lt;/TITLE&gt;
&lt;/HEAD&gt;
&lt;BODY BGCOLOR="#FFFFFF" TEXT="#000000"&gt;
&lt;!-- GSE Default Error --&gt;
&lt;H1&gt;Moved Temporarily&lt;/H1&gt;
The document has moved &lt;A HREF="https://script.googleusercontent.com/macros/echo?user_content_key=AehSKLjpT5fGjdTwyo96arJerC8TTZwR63yMVBz_6cFIHYHcIZjy8UZpREJKXWtAXPqDbNrkz0HGOdpr2Olj_UjSXT8LJ4kfPWlosbu5C79Jyx0wfVKOaC1UQhQ8RkFscIbkzWKBNPCubhFtItFoIEFEdPXnz-2E6i1t9SZzjAtBvfQUaNvnTKrPK6GHSrauCvhjBQENe7gpYm0p7DgjMEzL_OBuxzWDla-vYFsum4MsvtrmWBqdkH6Zj21Py1z4gTsyFggaCMm60_20S6FA36dSWv-ZCHhebvzVYiLH_XGSUZqhMgCzEcIxdORTOKDWlw&amp;amp;lib=M-zdWbhavtdZ1B_W2dnFDM0qoVt4lWzJ-"&gt;here&lt;/A&gt;.
&lt;/BODY&gt;
&lt;/HTML&gt;
</t>
  </si>
  <si>
    <t>5JMpmEXL5O8W80tmc8yk</t>
  </si>
  <si>
    <t>18390</t>
  </si>
  <si>
    <t>8F00250411550010</t>
  </si>
  <si>
    <t>FITLOG TRANSPORTES E LOGISTICA LTDA / (048) 996277956Informação Adicional: Entrega : Rua Jornalista Aristides Melo 139 casa 2 cep 24330 030 Niteroi RJ. Ligar antes de entregar para Daiane 21 96447 1781 / Obs.Interna: Entrega : Rua Jornalista Aristides Melo 139 casa 2 cep 24330 030 Niteroi RJ. Ligar antes de entregar para Daiane 21 96447 1781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</si>
  <si>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N6kuVvDJCBSKbcOAiCqAMDg7WF1DWM3UDFCBSQp7CAufqKtoOSwf-7umOaxMOMmZrCnOGUZzSmeNMvueE_Wz9i31cwfBMVh5tzrC6XpZMyHIowXh67ivV3p9Q91h5Rv9bZbpSfN7hbLX6-0IVZVispXjy9YI75wNeruJVJ2EBWVG5sDdYhUnZNOKsV5cvnzXca8ey45zHIqJORIrsboDyTBCiiA_9N-QSzZlKO8tmiw1s4rSkTT04Yn3jq2wJN6EtnXJJ8tTTK5xflXT4L11l5CwfdkO1xvjP4x9pUTMSMxtH47n5HZqyS8WXg&amp;amp;lib=M-zdWbhavtdZ1B_W2dnFDM0qoVt4lWzJ-"&gt;here&lt;/A&gt;.
&lt;/BODY&gt;
&lt;/HTML&gt;
</t>
  </si>
  <si>
    <t>TdRsY1RVTYm4kHPJORQqug</t>
  </si>
  <si>
    <t>18391-A</t>
  </si>
  <si>
    <t>8F00250411540008</t>
  </si>
  <si>
    <t>FITLOG TRANSPORTES E LOGISTICA LTDA / (048) 996277956Informação Adicional: valor total do pedido : R$ 31.040,39 - desconto 40% + 10% + 3%
forma de pagamento 30/60/90/120 (aprovada pelo Mario Dick)
Frete Fob com redespacho pela PRONTLOG - SP
CNPJ SP - 44.781.745/0001-00 - RUA SOLDADO AMERICO RODRIGUES, 131 - GALPÃO B - PARQUE NOVO MUNDO CEP 02.186-020 / Obs.Interna: Mario- Aprovado 30/60/90/120 ds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</si>
  <si>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lQQfqepD--vhP-bCZNxt8mT3tHn2UzJ7Kf4T61b1A7JWSEniIentORp-GRvSX9S68XMZa01WUZJAXYd0MN1-iYTC3bh5Wx83AE3OjeMjava9VL89bTvOyZxHWYcVmPCJYcJIESpqBoh0YH4O3iIrH7JP6kgvtt3I-GtjFhwJ5zjYqYq_a0a4byjtHW8M9uQ9PlZn7oEvoIrcMJFeEhzSomhQL5pttxoMlpSFWhO9xBIr8ZJvx_WmzF6XCYYFuhYmtVjMYfZOOJ0nwhoTli908IapDn3Y7ce0qUd5tPtEcqKlnhYq_0zwHgUsywQ&amp;amp;lib=M-zdWbhavtdZ1B_W2dnFDM0qoVt4lWzJ-"&gt;here&lt;/A&gt;.
&lt;/BODY&gt;
&lt;/HTML&gt;
</t>
  </si>
  <si>
    <t>rVlrACMrSteXHdD5I4x0RQ</t>
  </si>
  <si>
    <t>18391-B</t>
  </si>
  <si>
    <t>8F00250411540007</t>
  </si>
  <si>
    <t xml:space="preserve">&lt;HTML&gt;
&lt;HEAD&gt;
&lt;TITLE&gt;Moved Temporarily&lt;/TITLE&gt;
&lt;/HEAD&gt;
&lt;BODY BGCOLOR="#FFFFFF" TEXT="#000000"&gt;
&lt;!-- GSE Default Error --&gt;
&lt;H1&gt;Moved Temporarily&lt;/H1&gt;
The document has moved &lt;A HREF="https://script.googleusercontent.com/macros/echo?user_content_key=AehSKLj7Cvwu9xTWFQtaJOmB18LKB4rAGsa-YA0rhPmN7zwGQPrZ4hQw7W8tkHuel3wqFVtXG575odRpEcm7wWk2VaKSWknR9SNLlVSqYq3TZkcMK4yw4jRhvvicZp2RRCjHgWhA5r5FJFxLrs5l60J3N1Tl_ef8NlfANtV_mztEcyj3mn3FQDvPLIchsKeAJod4_R7aJ1KwUdION_X9wzcYm-J1tyd9VWEB0UFPjcjFq-Qr-0IgWoOigiVVFn8Hcut5k7LmqcyIdKFYXkmxJcxcTNPuTw0Wbz0S7TaRV6e0rcmeCaol0lCMdNIGkoknTg&amp;amp;lib=M-zdWbhavtdZ1B_W2dnFDM0qoVt4lWzJ-"&gt;here&lt;/A&gt;.
&lt;/BODY&gt;
&lt;/HTML&gt;
</t>
  </si>
  <si>
    <t>EeZrz9U1fODddYLaF2IN</t>
  </si>
  <si>
    <t>18393</t>
  </si>
  <si>
    <t>8F00250411520036</t>
  </si>
  <si>
    <t>FITLOG TRANSPORTES E LOGISTICA LTDA / (048) 996277956Informação Adicional: cliente PAULO BARREIRAS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</si>
  <si>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LeHPYpWhDJWYHQ5ILR11NMdyUaPCqv-h-Zbh-oIKM4oFHgzdwoQDrDcaD-jaIGHkqq0pKgCZJVAS4lwNHU0IGbwoD8zTVEV7hL1luZCMVU5zlD1lKKCwN01bpsWvsK2xOWbWI2SSUvKnaTHRhNyaq7p_UxrGlfhSMujG5fRqUYLzA4ZZ8buW7nCDKdJV_KVXjdFeIYOzLnirpyhMcWPeB_Lmp9iDRUo07C53QwGg1I50MORDjfAjbpW4EYkPRPJ_VbcY1ozc9TyCXPdv30HdsGPGypeRbngoYchR-g1ehbbbQiUFCiovsY-w7A&amp;amp;lib=M-zdWbhavtdZ1B_W2dnFDM0qoVt4lWzJ-"&gt;here&lt;/A&gt;.
&lt;/BODY&gt;
&lt;/HTML&gt;
</t>
  </si>
  <si>
    <t>jlMZsEIVQQCROtBPcJ3z4w</t>
  </si>
  <si>
    <t>18398</t>
  </si>
  <si>
    <t>RICARDO RAPHAEL FAVARO</t>
  </si>
  <si>
    <t>8F00250706370018</t>
  </si>
  <si>
    <t xml:space="preserve">&lt;HTML&gt;
&lt;HEAD&gt;
&lt;TITLE&gt;Moved Temporarily&lt;/TITLE&gt;
&lt;/HEAD&gt;
&lt;BODY BGCOLOR="#FFFFFF" TEXT="#000000"&gt;
&lt;!-- GSE Default Error --&gt;
&lt;H1&gt;Moved Temporarily&lt;/H1&gt;
The document has moved &lt;A HREF="https://script.googleusercontent.com/macros/echo?user_content_key=AehSKLjtdKKe-zStuPo7h1f4-L58eXXvDwqS-kKkv33PQRVuDF_Tve4uqoVUt78MmLByf6AONhPi553wnFlGC3hPdrQxwEc3REk8cbxfLojY9kVPMwktl9NBDU07c3ECVysvGqJ7axFvLWGSD2FUsmJdeI-DaC-BJaM_HNTuOlDdBGsyFckqkVKd_4rYJHcq93VH1raGMxiUKHGl_G1qpKkvRxcY6eG81UdH3HXuys5s3WMhptIbrI0eRychKHWVSth1naaY5ftBRSUd1Bu8MYrmctpqV4BVMynrRGK0n-UjB6yXtL385mtk4fvFW19EOg&amp;amp;lib=M-zdWbhavtdZ1B_W2dnFDM0qoVt4lWzJ-"&gt;here&lt;/A&gt;.
&lt;/BODY&gt;
&lt;/HTML&gt;
</t>
  </si>
  <si>
    <t>Uw653BWYRpebob-JCQv3RA</t>
  </si>
  <si>
    <t>18399</t>
  </si>
  <si>
    <t>8F00250411490013</t>
  </si>
  <si>
    <t xml:space="preserve">&lt;HTML&gt;
&lt;HEAD&gt;
&lt;TITLE&gt;Moved Temporarily&lt;/TITLE&gt;
&lt;/HEAD&gt;
&lt;BODY BGCOLOR="#FFFFFF" TEXT="#000000"&gt;
&lt;!-- GSE Default Error --&gt;
&lt;H1&gt;Moved Temporarily&lt;/H1&gt;
The document has moved &lt;A HREF="https://script.googleusercontent.com/macros/echo?user_content_key=AehSKLiKlwEBSE1Uxx1M18xG42x73Xw9-nLgRUwZ_JE4egdF0zMVYqlW2tmI_7Ju5bHXQKCrLcAC4o15iEcZQZU4gaSsoDGO9vP6FCjP8jzhoxtatdCRs3ux4O2Jm53j3wgt5S8pIP0wiwFJO_DlRQtuw3xI4V3_SiQwGRQ2jvKOqIooKtUidYlYkgWbYo2VnE-Ay1vnKd6w5NK2zWIgCycwugFYa0VnUaKXLSkBCcJJt1hwpyN0TVuJYZRRBEiANNMr6wm9eoi3HQjRBpilHdEaSfLuekhM-LZUruK8bAqJ3wTS-jZwBAxdVr7P2kdYyg&amp;amp;lib=M-zdWbhavtdZ1B_W2dnFDM0qoVt4lWzJ-"&gt;here&lt;/A&gt;.
&lt;/BODY&gt;
&lt;/HTML&gt;
</t>
  </si>
  <si>
    <t>pU6k.KJ3TSixhbJ6Lz533A</t>
  </si>
  <si>
    <t>18400-A</t>
  </si>
  <si>
    <t>8F00250411530019</t>
  </si>
  <si>
    <t>EXPRESSO SAO MIGUEL S/A / (049) 3361-6627Informação Adicional: +3% de desconto  e prazo de 30/60/90/120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</si>
  <si>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FzTIjTsHfssYkHhJeQB5gqGqXSEzf9aMlbC6ERV6aBQS8FuPxqdl6mhPwR-dKYvId_W2tzTJHJKIWHwlBR07NsF2sdUE3cSF3AYF7zpKaFIiWQhKTi6AjPtzEK9A5QpeGwhfq1-Tn9HZZO7wLNqwu6zDhjio_7KYYeytUDlJIC-l91508WEaE_9zzuBtSdZprIi83wX-FGhKtUOnLk4q82o58Z4zaCFYypigNMbKodE024yk-1WaLpRs8LU2Ta8SU0RrvXGqsrWrXT0tb8-DSwQLefdsqE2pGcVVWImB7PTgqbMfoOT96LHO7Jg&amp;amp;lib=M-zdWbhavtdZ1B_W2dnFDM0qoVt4lWzJ-"&gt;here&lt;/A&gt;.
&lt;/BODY&gt;
&lt;/HTML&gt;
</t>
  </si>
  <si>
    <t>Ug7IaDy93V3ca0VCf2cR</t>
  </si>
  <si>
    <t>18400-B</t>
  </si>
  <si>
    <t>8F00250526260001</t>
  </si>
  <si>
    <t xml:space="preserve">&lt;HTML&gt;
&lt;HEAD&gt;
&lt;TITLE&gt;Moved Temporarily&lt;/TITLE&gt;
&lt;/HEAD&gt;
&lt;BODY BGCOLOR="#FFFFFF" TEXT="#000000"&gt;
&lt;!-- GSE Default Error --&gt;
&lt;H1&gt;Moved Temporarily&lt;/H1&gt;
The document has moved &lt;A HREF="https://script.googleusercontent.com/macros/echo?user_content_key=AehSKLjx1BIckpoCJooVvhSU4_W8ZOhnsfmh8A6tearmu1M0rXEMQSQm3m_xe6CQ57YkV9ue4I6qSpi_vbQgprlu1TaB6aTKZz0fbVyydOWFxnVhQqO8EAZJi3VkxSxIhBIyzzOGEdARHWRMq9k1opwbcTPqMLuFV2srOSGNyPudSZ4GkkuYsGS48vzE_m3dfvEZ5qToi_NJZ3_6cfvS6QsS3wZa0LmSNSaZBMuwFn0ISq2mhjjh6lKAhV2lOmyKtREog2og2pGW562Vl7RB8i4OFqeQyZN9YvFklewaxUSlA0SgvTOeb4856xkzago2qQ&amp;amp;lib=M-zdWbhavtdZ1B_W2dnFDM0qoVt4lWzJ-"&gt;here&lt;/A&gt;.
&lt;/BODY&gt;
&lt;/HTML&gt;
</t>
  </si>
  <si>
    <t>2G123E12oWqX5ulvNLuf</t>
  </si>
  <si>
    <t>18400-C</t>
  </si>
  <si>
    <t>8F00250411530020</t>
  </si>
  <si>
    <t xml:space="preserve">&lt;HTML&gt;
&lt;HEAD&gt;
&lt;TITLE&gt;Moved Temporarily&lt;/TITLE&gt;
&lt;/HEAD&gt;
&lt;BODY BGCOLOR="#FFFFFF" TEXT="#000000"&gt;
&lt;!-- GSE Default Error --&gt;
&lt;H1&gt;Moved Temporarily&lt;/H1&gt;
The document has moved &lt;A HREF="https://script.googleusercontent.com/macros/echo?user_content_key=AehSKLjoWcLQP_7wqkbLtiOHvdMbV1jNMVlBjmbw2-4Ma2E5_VtXi7DKpYhG3BALfcnmFUUzDszZV0JadNE1HHvQNYqzLqYnmqJYMIyoB-TYq3TM9ve812Hijzkf_vZRTvECgvF5esX4O3k75hVjWX8ZpEBeJ_HNO0n4xCQDT048iHXLHJNG17qFW3oTy6ybckdJcyUk-HVeK92GsKlpiCfiQys82zDKv5AhN6619hcrQ5ZgjR60gHl1OUKakoRvW6ApzxK081N3DU2llU3CNW6ieR0T0yjh8apHm7sWiLwgW-NqXvaK5pucf-iUAOgUfQ&amp;amp;lib=M-zdWbhavtdZ1B_W2dnFDM0qoVt4lWzJ-"&gt;here&lt;/A&gt;.
&lt;/BODY&gt;
&lt;/HTML&gt;
</t>
  </si>
  <si>
    <t>dGsGfki5CiWjHuEEoojp</t>
  </si>
  <si>
    <t>18400-D</t>
  </si>
  <si>
    <t>8F00250411520041</t>
  </si>
  <si>
    <t xml:space="preserve">&lt;HTML&gt;
&lt;HEAD&gt;
&lt;TITLE&gt;Moved Temporarily&lt;/TITLE&gt;
&lt;/HEAD&gt;
&lt;BODY BGCOLOR="#FFFFFF" TEXT="#000000"&gt;
&lt;!-- GSE Default Error --&gt;
&lt;H1&gt;Moved Temporarily&lt;/H1&gt;
The document has moved &lt;A HREF="https://script.googleusercontent.com/macros/echo?user_content_key=AehSKLgZonoV5wUL-JKFM3AMUYlZzTieQTmGhrUi27l_R-iv_N8923ydHTLMXzFjPypaEwk_ooJ2OWoDQxSiHa9w35pHIuojDmnU_mLdTBpGMQT2tZcIpsb0G1s0dmJkf8gpY4KngxielMCU9pWo3heQnnW7ocZZuXW8jnNhU1RLME6DuPmPbIbnPl7yNYQeWAom0tONyZyJdqYMTJOwXR21pzQYU8o8gn8IRvZEGeaAzunal9rjW0r0X3Bx--At-y6_s9ejhVbo2p-CoEhkq6r3gp7n3lJDfTKBQ6jUJ4CRiLREQEtXAO1ZDAO1iNByCg&amp;amp;lib=M-zdWbhavtdZ1B_W2dnFDM0qoVt4lWzJ-"&gt;here&lt;/A&gt;.
&lt;/BODY&gt;
&lt;/HTML&gt;
</t>
  </si>
  <si>
    <t>Gb9bJg98oltdKyCbdxPF</t>
  </si>
  <si>
    <t>18400-E</t>
  </si>
  <si>
    <t>8F00250411520040</t>
  </si>
  <si>
    <t xml:space="preserve">&lt;HTML&gt;
&lt;HEAD&gt;
&lt;TITLE&gt;Moved Temporarily&lt;/TITLE&gt;
&lt;/HEAD&gt;
&lt;BODY BGCOLOR="#FFFFFF" TEXT="#000000"&gt;
&lt;!-- GSE Default Error --&gt;
&lt;H1&gt;Moved Temporarily&lt;/H1&gt;
The document has moved &lt;A HREF="https://script.googleusercontent.com/macros/echo?user_content_key=AehSKLiNSZw8Jhdvks-5N5IZGGv38JLzi6TEpJ4SYw48UUqYvp1ZXsuuHznHD1gg9SHdr8_gK5mMf0AdGxEocY1tvQFayM78gBCxUsBWLSzeQ7qBFt2Bl1Dpqqszm_M9wRy5Euv1tqw9UEzDka5XRM8TINsSn0TjlZ0qRpCVQw6WbkI6rMsWCTcTUOftcMhNCJAkU8m3i3-jzrDUqw-lqr3tse6-KwvTg9PlYvBMJKTPY7N5pHkZ0r832I4obiEpcEy73_upUUa5cE-CB_04Tf5amidFBiirc_k3z-r2UqWH13qpbKAwHSSDs9SIsSyIyw&amp;amp;lib=M-zdWbhavtdZ1B_W2dnFDM0qoVt4lWzJ-"&gt;here&lt;/A&gt;.
&lt;/BODY&gt;
&lt;/HTML&gt;
</t>
  </si>
  <si>
    <t>BubehZxubBvD2GvWA4WJ</t>
  </si>
  <si>
    <t>18401</t>
  </si>
  <si>
    <t>8F00250411500002</t>
  </si>
  <si>
    <t>EXPRESSO SAO MIGUEL S/A / (049) 3361-6627Informação Adicional: DEVOLUÇÃO DE MAQUINA QUE DEU PROBLEMA / Obs.Interna: O.S 2502265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</si>
  <si>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Lu7dNVrgA41YQvPbBNxdjYuNltZYTjdH26Nk_CmVW4XjP9EpTNTw_wvZIjWJk_CrRRGFVFE3yJG00Eu6FnOpjTHBE-7-qNVxNunXNiLmMPMe3KSKcc7lOXe2HUysh4w4PraEQgC9o0d8aficmC-VvLUlgDof2uFyLjaeSaieuwI8KIlaMt5HeBJpk3c4So9fzYhq9icIORY_wTKNI5a9HaNREzNkWfJYzp796psFL09NHae0t_1rEqGSYDk5hG9_cQ32m41XNquC4ghdJKUVp94Ry5GDYLliaEqzG1kPYsJCHuyJba5tEDViavA&amp;amp;lib=M-zdWbhavtdZ1B_W2dnFDM0qoVt4lWzJ-"&gt;here&lt;/A&gt;.
&lt;/BODY&gt;
&lt;/HTML&gt;
</t>
  </si>
  <si>
    <t>I3a6yroHRl2DvWCq3LOpMA</t>
  </si>
  <si>
    <t>18403-A</t>
  </si>
  <si>
    <t>AGUAZUL PISCINAS</t>
  </si>
  <si>
    <t>8E00241225030005</t>
  </si>
  <si>
    <t>SAÍDA DE SP KEEPERS - K1
K1 TRANSPORTES LTDA / (011) 41519079E-mail para nota fiscal: , E-mail de cobrança: , Telefone para contato</t>
  </si>
  <si>
    <t>XkPc9a26S8Wh894Uiff8Dw</t>
  </si>
  <si>
    <t>18403-B</t>
  </si>
  <si>
    <t>8E00241225030009</t>
  </si>
  <si>
    <t>Q3zxQPYdlXwCJl0aS2ej</t>
  </si>
  <si>
    <t>18404-A</t>
  </si>
  <si>
    <t>8F00250411540012</t>
  </si>
  <si>
    <t>FITLOG TRANSPORTES E LOGISTICA LTDA / (048) 996277956Informação Adicional: CLIENTE ANTILHAS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</si>
  <si>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KsK0Smgz6pTUdfdl7JsvoyufoE2LBVgnjo6JIMV0fte4ib3ETEmikRVINDYphDQApUtkbzquKYGeAgiljYz9vZP4S8nsRMDnYX9PLhQg0V3iiGRJymW8dpzeFjcLlYNva_gRJhu7ciau3hpRWJwkYKx2tssNjD-fHMDi3UbxilICtEvrnK_64_vIw8S2TlR4fLDCTCFRdtt4BxatsrPn8ENOq8S29N9UO1nAwXQJ48SZn5rAfeQsD8lFs_KOmnWBFZLQJ12sXJl9jlZx1WALo9uDJyK4grCTFwBqreNj5cac1WvRiQpJyxIZNTQ&amp;amp;lib=M-zdWbhavtdZ1B_W2dnFDM0qoVt4lWzJ-"&gt;here&lt;/A&gt;.
&lt;/BODY&gt;
&lt;/HTML&gt;
</t>
  </si>
  <si>
    <t>0HhM6urST5CN1kvEh85Q7Q</t>
  </si>
  <si>
    <t>18404-B</t>
  </si>
  <si>
    <t>8F00250411540013</t>
  </si>
  <si>
    <t xml:space="preserve">&lt;HTML&gt;
&lt;HEAD&gt;
&lt;TITLE&gt;Moved Temporarily&lt;/TITLE&gt;
&lt;/HEAD&gt;
&lt;BODY BGCOLOR="#FFFFFF" TEXT="#000000"&gt;
&lt;!-- GSE Default Error --&gt;
&lt;H1&gt;Moved Temporarily&lt;/H1&gt;
The document has moved &lt;A HREF="https://script.googleusercontent.com/macros/echo?user_content_key=AehSKLie28T0xsC2qAQABpc9-feDT6VB9pTpj9rps4zU5425_hJ0dpos0Kp8OUPQmB2BjO47JNZcuWkxp6uwHewAnZ2ueK1xFv_nidBoNPtprDOyICtRt-XRSewhkZ_7DLEGy2G15ffXNtw-qmR8fmnLFfsHDDKWlAhB1DypnK_Nch4dEhFdtj9sA8CWJwAEon57qlDqxHYiDFGjiNbuFSNc_ozaxJR46igTpFxUCUrKmpa7R_P7IaPRvVw5tdyHJiEpUTZ05bXOUcRtC7L1CaRvDsIZj2RtfDAWSW-ztcz8upA5zDpUomklP_6CEp01WQ&amp;amp;lib=M-zdWbhavtdZ1B_W2dnFDM0qoVt4lWzJ-"&gt;here&lt;/A&gt;.
&lt;/BODY&gt;
&lt;/HTML&gt;
</t>
  </si>
  <si>
    <t>75orruKKPi8dTfqpaQIh</t>
  </si>
  <si>
    <t>18405</t>
  </si>
  <si>
    <t>8F00250411490011</t>
  </si>
  <si>
    <t>FITLOG TRANSPORTES E LOGISTICA LTDA / (048) 996277956Informação Adicional: CLIENTE LUIZ HENRIQUE BATISTA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</si>
  <si>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HwpQagVd7jgT6oLp_j8JWMN6AEzSM_dU3zk7dj79AN03-jGKGihu21jok2f4hilKQMEBqfghh9PIUSBQEnKnz2pluo7mmrfswl7P9uM6fWBmdqErBrnrZtXrgZaSXQYRdKFxpZKWbxrMVgvl3KPOjDYzz-UYB35CLnOg6OJjGonCYfUj6AurB8w_wXG58aa4CZ3XzbyduGgjrnPYoLTBKl-W7G3UhdvyR53pdgma7k4lIqMpJAwC-GSsV8U70xd63PqGQ099i3MVq0pf-p8FX3BD8ZZ-quxlPeldnRrUXmJvtvpkHg1EC582gA&amp;amp;lib=M-zdWbhavtdZ1B_W2dnFDM0qoVt4lWzJ-"&gt;here&lt;/A&gt;.
&lt;/BODY&gt;
&lt;/HTML&gt;
</t>
  </si>
  <si>
    <t>8028rVZUSBqnz6O6evCH4g</t>
  </si>
  <si>
    <t>18406</t>
  </si>
  <si>
    <t>8F00250102050007</t>
  </si>
  <si>
    <t>K1 TRANSPORTES LTDA / (011) 41519079Informação Adicional: Preço final R$8.916 (desconto à vista 10% +10%)
Cliente retira na transportadora / E-mail para nota fiscal: , E-mail de cobrança: , Telefone para contato</t>
  </si>
  <si>
    <t>QChgvkH4SKe.dpcUStfJQQ</t>
  </si>
  <si>
    <t>18408</t>
  </si>
  <si>
    <t>8F00241005160003</t>
  </si>
  <si>
    <t>ACEVILLE TRANSPORTES LTDA / (0) Informação Adicional: FRETE NEGOCIADO - 4X 30/60/90/120 DIAS / Obs.Interna: FRETE NEGOCIADO - 4X 30/60/90/120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</si>
  <si>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tKsEk2WXD3KXpQbY59WseDB1ZHnhS4DKpIbQ6nbbcs_uOiPKw7aChVvErgoGiherIaXABZFPZCBUQ_gDMDDOLigAspA2u8qeqIc5l_zTeG7Pr08Rv_W8DLoqJTUhG_nRrXjFa1-c0nvHP8hTlvrpQ6BRvDY0fgG5HRlwF-utczWNI4UURmNNYnOZu22ufgpc3TDaVi_2-62ubGoFB7-qHUofxSjjezrO2oqv39KjShGMyJDXlD4X7Fa_VeJ_DGpa3IVn7x2OQssm58oiquV-Ww7gHCpMPnQWDmuGXfeNaNoC4EhmmJNlaOpvpw&amp;amp;lib=M-zdWbhavtdZ1B_W2dnFDM0qoVt4lWzJ-"&gt;here&lt;/A&gt;.
&lt;/BODY&gt;
&lt;/HTML&gt;
</t>
  </si>
  <si>
    <t>YtWOd0orQy2feJ5bJr6EfQ</t>
  </si>
  <si>
    <t>18410</t>
  </si>
  <si>
    <t>LEANDRO BENTO POMPERMAIER</t>
  </si>
  <si>
    <t>8F00250411540020</t>
  </si>
  <si>
    <t>EXPRESSO SAO MIGUEL S/A / (049) 3361-6627Obs.Interna: PAGAMENTO CARTAO 3X
VENDA HIDROTEC
VALOR DA NF R$   32.200,00    VALOR PRODUTO R$ 30.590,00 DIFAL R$ 1.610,00
VALOR TABELA R$   16.562,28
  -   DIF VAL TAB X NF R$   15.637,72
  -   DIF IMPOSTO 17% R$  2.658,41
IMPOSTO ESTADUAL R$ 1.610,00
TOTAL A PAGAR E$ 20.830,69
FRETE CIF - DESCONTAS COMISSAO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</si>
  <si>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2LGvdaWmD-89yo2-ah7vGnbfGlziM60lmf0FSRYyrgT73kTWaCJpBxPNzgpw-QQ7hv8mvHRcoqy93a66tXLeyh5NfVsr6N9IkhV3Xcv9Bwq9B0y6oJH6I5GhvXs_yNme3LIwLUZG9E8JrfhAg2vebPqCLAsXkh81QO0nBM5wM9Gx6Q1stNVJ9ATX3S080GjAl1JIw_u-Wn8yR4FnOdNbG3ygn1wu82TQpm4QaoJH52lftnp5ZJJvSvYlidOOgCmWQQDPIWgUXjXOPB75v8M51_n_nqlAmekhdrvAeDwAefXRsZrAzEkX9DQSTow&amp;amp;lib=M-zdWbhavtdZ1B_W2dnFDM0qoVt4lWzJ-"&gt;here&lt;/A&gt;.
&lt;/BODY&gt;
&lt;/HTML&gt;
</t>
  </si>
  <si>
    <t>ftMYwwbGTCGRK4W23kFtqg</t>
  </si>
  <si>
    <t>18411</t>
  </si>
  <si>
    <t>8F00250411500003</t>
  </si>
  <si>
    <t>FITLOG TRANSPORTES E LOGISTICA LTDA / (048) 996277956Obs.Interna: Quando for entregar, favor entrar em contato no número (21) 96434-9723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</si>
  <si>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Efg3Mt1evMXIC0ZuZSmfBUrNL7f0QJ04-Yj5c1QjcJlI3d1hN9HHEjFXXVNQmLwfXB28XMvV3LGNaAp-mIsJ8PjkyUmETw_jqi1Ui9LLCf_7pao3y8nzdJYQbfObPGUsG6oCopnOftO6NDBzjCif4Vh5QrZHpmA2KlQn5cPJh3nfNUhGqGrEbpaakH_mV7xZM6jbL8Rmb2UGhUdr1HysxjHGrEHAcIL1wO2qpaO5Wf4pHg9JDxWyRGtAL-n-O4q_d_o27JLT3KvyfXl2pSmk38vovv2_R6NOMjEN69qwj4yY4YdqXUyW6SiqOVA&amp;amp;lib=M-zdWbhavtdZ1B_W2dnFDM0qoVt4lWzJ-"&gt;here&lt;/A&gt;.
&lt;/BODY&gt;
&lt;/HTML&gt;
</t>
  </si>
  <si>
    <t>oNtnsTBYSWysUQj.QtNRiw</t>
  </si>
  <si>
    <t>18413</t>
  </si>
  <si>
    <t>8F00250411500001</t>
  </si>
  <si>
    <t>DESCONTAR DO CONTRATO
RETIRADA NA FABRICA / (0) Informação Adicional: CLIENTE ROBERIO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</si>
  <si>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T23vOifQPRzbHpwQxGIOS6wUVmY6DXxlNkn7loeEGdwj5H24QqzAN_e43wQ2xuAEHveDIhoddYZSza91Kzhobn_r3MiZpKP5Wpid9TXi56pDGHIgur3vVu5m0neoEmjoqC93f9sp3G5c31zjHLrb8lleh2-L-cGvJ_elL6s_nNj67dJXpjgo_sgPZiexZ-Q7aam_MUMIQ8wJy07XoG9O7CJF2Tb9puWbfHYfOJ8ROf2Xbv1DuQAstTsamLUqmPGwrTHotMuQjVp8BExj0-0ds00rIzoiyttEnTY6K8cvdWdWll2vvHxJvJloHuQ&amp;amp;lib=M-zdWbhavtdZ1B_W2dnFDM0qoVt4lWzJ-"&gt;here&lt;/A&gt;.
&lt;/BODY&gt;
&lt;/HTML&gt;
</t>
  </si>
  <si>
    <t>V7DiQonkTLqt4N0-mGwhdQ</t>
  </si>
  <si>
    <t>18414</t>
  </si>
  <si>
    <t>8F00250411520025</t>
  </si>
  <si>
    <t>DESCONTAR DO CONTRATO - Wlilliam retirou em Biguaçu sem a nota
RETIRADA NA FABRICA / (0) Informação Adicional: CLIENTE ALEXANDRE INGLESES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</si>
  <si>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d1gVwAVIsY6SpATvSISGW4snXcQa5Brg2fIyPMtftp48EFw_vC1eSULOeXjPLxtPc73Wc49USdlJtE0NtB_IX4VIQgTYURzWbQ-CayjnpFHXR2E38jWONCJAjjYkrbhzYbWu5Fvjn2ZIP_K7wL_BECZNCWuaUJbwAou1oc7F_o8Het4_rgZtdqFFrGeRSSWLwqHJfYbVJ_qIZ5PuVjAMoMTnGE6_KcbakBrBD9kyzSDmZ2lu5t6QcvVkIm18lztRUV7R296hOjnwYQmiXbPR-g6EP_-V4KN3v4zb44H_ep7SQFlUUv-aUqbhndw&amp;amp;lib=M-zdWbhavtdZ1B_W2dnFDM0qoVt4lWzJ-"&gt;here&lt;/A&gt;.
&lt;/BODY&gt;
&lt;/HTML&gt;
</t>
  </si>
  <si>
    <t>GngfYrpBQwqtYQGaF5tzBQ</t>
  </si>
  <si>
    <t>18415</t>
  </si>
  <si>
    <t>EXPRESSO SAO MIGUEL S/A / (049) 3361-6627Informação Adicional: entrada 50% +50% quando ficar pronta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</si>
  <si>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pTU4XKqU7DEyw2bl6jCDBM1InzdIyBzhZsKFWQ9TvCn-Qu8xN6CHoaDc9Do4U07JDg8mMfSFURKMCyGhyo70pHXu0K4GjHNd4Tsn_obt8SZRRv7-PimVdtR8PstUN6FkQMtht0fXqNXODiaPJX-R9k6nHzYrwK2jWHv0Lys5DbO83RwiNKSN9ZOIC2OZOQJJ8ydNVaXbNaXz9wSrn6mWmp4qR4GzadxQc61la_BvWRmr1knGs0k4iB41Huk7-LXonp5c_AnOzghT9Ju5Ra3TB-JoLE0dbruhtgX2TzyQUE_2Q7ELBRnuljR-phw&amp;amp;lib=M-zdWbhavtdZ1B_W2dnFDM0qoVt4lWzJ-"&gt;here&lt;/A&gt;.
&lt;/BODY&gt;
&lt;/HTML&gt;
</t>
  </si>
  <si>
    <t>qyHnr8X8ROe8HtiQ5lwTQg</t>
  </si>
  <si>
    <t>18416</t>
  </si>
  <si>
    <t>8F00250526250006</t>
  </si>
  <si>
    <t>RFS5H30 - BAUER EXPRESS - ANDRE RAIMUNDO DE MATOS ELIAS - 48549986879 - RENAULT / MASTER FUR L1H1 / BRANCO / 2018</t>
  </si>
  <si>
    <t xml:space="preserve">&lt;HTML&gt;
&lt;HEAD&gt;
&lt;TITLE&gt;Moved Temporarily&lt;/TITLE&gt;
&lt;/HEAD&gt;
&lt;BODY BGCOLOR="#FFFFFF" TEXT="#000000"&gt;
&lt;!-- GSE Default Error --&gt;
&lt;H1&gt;Moved Temporarily&lt;/H1&gt;
The document has moved &lt;A HREF="https://script.googleusercontent.com/macros/echo?user_content_key=AehSKLisi-Uip5zXM2RjhgQHxce2NGEXu7-8iqolQXQzg0llnNcPWKavdr1AsYUH-8ZiuG7ce3M3LbOZAE-t8AbrMEDnjvlVLlTNE-VF8FhNV80oWztntW55tiOKLBcVub4yN9fbP271sIl1_qJBXvI15zO5DP-8hxvEczRanRv2PyTY5YoNo_VPCSTejz96mxN_zXOWtp2LtourZQWS5es4kSLWep-mNSP5r8wwuxaCajE49WmbsQPKeFVHZYjH5P3T97z4ojZXfbmL7YbWZOTvI5xXkPU-Rjx18_pE7p3NkENj2HSUh4uK8QIRVGm4vw&amp;amp;lib=M-zdWbhavtdZ1B_W2dnFDM0qoVt4lWzJ-"&gt;here&lt;/A&gt;.
&lt;/BODY&gt;
&lt;/HTML&gt;
</t>
  </si>
  <si>
    <t>mygsLII-Qry-ZkD50ROtTA</t>
  </si>
  <si>
    <t>18417</t>
  </si>
  <si>
    <t>8F00250526260002</t>
  </si>
  <si>
    <t>FET1C14 - RETIRA - WILLIAM MACHADO - 79904122920 - FIAT TORO / CARGA CAMINHONETE  / PRETA  / 2022</t>
  </si>
  <si>
    <t>FITLOG TRANSPORTES E LOGISTICA LTDA / (048) 996277956Informação Adicional: +3%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</si>
  <si>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pa3W8zPGntCr6_kcyT_W0diV-mRdcQRVCG6B-gxdt3h7i7GV5oJxFGYppxPTT5cY6b6zghzrMqCuWW9nsa1Org6TxKzX8gT3HLpODZo5uag055aQRiQ6RMCfKZL2opufR84Kb4TNWq53-80yCx8Lf8bQRmGdC4S4UNepchzAu4acd8Ccpe0oS-6f1jmHBvqrf3YCeWB04DRccSl8prwQA-MwVRXXvDgSqkb_a8AVZkb98adlyAmGT7i4Y1qwEqnnOWXM8b4GYkPDNS650lipnKsHiC-yX_eJFj9RwcdBcib9xireU9dIf14hRg&amp;amp;lib=M-zdWbhavtdZ1B_W2dnFDM0qoVt4lWzJ-"&gt;here&lt;/A&gt;.
&lt;/BODY&gt;
&lt;/HTML&gt;
</t>
  </si>
  <si>
    <t>28N7ofKhRSyYDwas5PioMw</t>
  </si>
  <si>
    <t>18418</t>
  </si>
  <si>
    <t>8F00250411540009</t>
  </si>
  <si>
    <t>EXPRESSO SAO MIGUEL S/A / (049) 3361-6627Informação Adicional: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</si>
  <si>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OxMsM1pDxdFKqspQ-1BzIblEdBBRNoXky6MFIfDeNCCqZ2pwx5wGanTqAuDnaefgK7AUmhXBYzKFCv00qkpMH5Pr-wNHFPqmM99051H1AOC42iUdN8ECLFtk2ezbFsX4XE2ke-6vO6cEHdLZjNQH_M8RUWe0ZBuY_SC7h18y2dtvbAu5ctV0Ha38NfqqN0IMhbbyem7I-z-3Zs5kOzVRBw2y49axrC3QvIj2qtoPVrYrkg2yFWhnGrogEpGoNbtANZ0-_sl42UVq4XHHmfaAI4SwCj5tYlsb1gC9xoarAzq91IZjrHrPnqBap8A&amp;amp;lib=M-zdWbhavtdZ1B_W2dnFDM0qoVt4lWzJ-"&gt;here&lt;/A&gt;.
&lt;/BODY&gt;
&lt;/HTML&gt;
</t>
  </si>
  <si>
    <t>VgArCb9FSK-x22OsqIcogw</t>
  </si>
  <si>
    <t>18419</t>
  </si>
  <si>
    <t>FITLOG TRANSPORTES E LOGISTICA LTDA / (048) 996277956Informação Adicional: Cliente João Roberto Moreira Neto / E-mail para nota fiscal: , E-mail de cobrança: , Telefone para contato</t>
  </si>
  <si>
    <t>a-GRgwiClQZ2h2nzdpYGlqA</t>
  </si>
  <si>
    <t>18420</t>
  </si>
  <si>
    <t>FITLOG TRANSPORTES E LOGISTICA LTDA / (048) 996277956Informação Adicional: Cliente Geber Fernandes / E-mail para nota fiscal: , E-mail de cobrança: , Telefone para contato</t>
  </si>
  <si>
    <t>VRcUwys25Lq7u0SUcUGu</t>
  </si>
  <si>
    <t>18421</t>
  </si>
  <si>
    <t>FITLOG TRANSPORTES E LOGISTICA LTDA / (048) 996277956Informação Adicional: Cliente Fabio Henrique Pereira dos Santos / E-mail para nota fiscal: , E-mail de cobrança: , Telefone para contato</t>
  </si>
  <si>
    <t>OHk48tHafnbipjPr0YxQ</t>
  </si>
  <si>
    <t>18422-A</t>
  </si>
  <si>
    <t>8F00250804020002</t>
  </si>
  <si>
    <t>FITLOG TRANSPORTES E LOGISTICA LTDA / (048) 996277956Obs.Interna: Entrega futura dia 10/10/2025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</si>
  <si>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R49v3kukjjs6ZvF4nOHVm4U0Ev0VESZ2dKfXafasJ1owA8zj0kQPvSeo1G9X3msljEoqW2h8_Sx5DpqYCDZZM3XjI-xLOKs3C2AZWD2hfhBJlVFkJl01UbgDMSBEQPfyfo6i-rSOI_wh9b42KqkWBcPXGgKd1dWEZQS72zGjzqmJSV2a5x4L7DYiQP6bxGK83FtvaT3UbskjI1_K7012KK6UxPm4JvPAK2u8iDgn6SkkpnW85oyPvU6LTF3Ub51smZx3SA4u0kgnO1koGkzdybf-BkAH8FQBHRV7zVCVOW5elGIkYZ_FlEq75eA&amp;amp;lib=M-zdWbhavtdZ1B_W2dnFDM0qoVt4lWzJ-"&gt;here&lt;/A&gt;.
&lt;/BODY&gt;
&lt;/HTML&gt;
</t>
  </si>
  <si>
    <t>e8awhkhTR32uyVZN5GHkIQ</t>
  </si>
  <si>
    <t>18422-B</t>
  </si>
  <si>
    <t>8F00250804020006</t>
  </si>
  <si>
    <t xml:space="preserve">&lt;HTML&gt;
&lt;HEAD&gt;
&lt;TITLE&gt;Moved Temporarily&lt;/TITLE&gt;
&lt;/HEAD&gt;
&lt;BODY BGCOLOR="#FFFFFF" TEXT="#000000"&gt;
&lt;!-- GSE Default Error --&gt;
&lt;H1&gt;Moved Temporarily&lt;/H1&gt;
The document has moved &lt;A HREF="https://script.googleusercontent.com/macros/echo?user_content_key=AehSKLhMpn_FyMhWllJr2iQc1FVOqyUjMLfmCHwU5bMdMFJ36qJBqVjy47mB5qLcTH_XRCoVV5HJFapY8p5itBvAGINvPalsQ2AzUL5orOpjYwCMrVQmuhwcWIgupQ8A4kqAE6J03z36FklLUJWKZpcA4fBnUAlwkG5WXdj5Cxqzcu9WLvcKW102YReEKwvpWTxe0gR3PqiQKzLofI9N4lhcDmM8iGsj5xiNPeYZLe_vYIjQs5p5cHWVX0URIRXzoSqe4yEqmE6bTpAmiDX5wKtRhdLQoL7Wja5YuEuZddTOliVk5fnO-BmD0eW-oQDfXA&amp;amp;lib=M-zdWbhavtdZ1B_W2dnFDM0qoVt4lWzJ-"&gt;here&lt;/A&gt;.
&lt;/BODY&gt;
&lt;/HTML&gt;
</t>
  </si>
  <si>
    <t>K3YmvdjCEClx8aaxxN66</t>
  </si>
  <si>
    <t>18422-C</t>
  </si>
  <si>
    <t>8F00250804020003</t>
  </si>
  <si>
    <t xml:space="preserve">&lt;HTML&gt;
&lt;HEAD&gt;
&lt;TITLE&gt;Moved Temporarily&lt;/TITLE&gt;
&lt;/HEAD&gt;
&lt;BODY BGCOLOR="#FFFFFF" TEXT="#000000"&gt;
&lt;!-- GSE Default Error --&gt;
&lt;H1&gt;Moved Temporarily&lt;/H1&gt;
The document has moved &lt;A HREF="https://script.googleusercontent.com/macros/echo?user_content_key=AehSKLhrOUnRKX3Nc0eCQsPy3GFFCnOEYvLqAfHLNn9mSOVOZuzCBsXAGR2dG_nGe5u7Po5ZnopB5PWAgNegy7Csfi1Zm0Vy4sos26Z__KTQVBWdVWzYtzZoGGd1PEH_E1bMCrcI2Xrf5bcGASOX9vvTlSSmXSnallorR2kNSnmvgZn4w9tj2Ec3ykangmSf-6kLQHt_gT5d_AlEkxC_Vw1Md2cNMdwfiMj6UmplHnIwz8WpL7bM-JbkONWNb5BWwX94T_7hnFbhr8dTEgs7CHWLqdybDJGpcWNwXsraGZWUd_H12ELXixJaVPsMfIscUw&amp;amp;lib=M-zdWbhavtdZ1B_W2dnFDM0qoVt4lWzJ-"&gt;here&lt;/A&gt;.
&lt;/BODY&gt;
&lt;/HTML&gt;
</t>
  </si>
  <si>
    <t>vimimwFA0hf4lXrutPb2</t>
  </si>
  <si>
    <t>18422-D</t>
  </si>
  <si>
    <t>IlZ7zso4U8SrvFQCDueE</t>
  </si>
  <si>
    <t>18422-E</t>
  </si>
  <si>
    <t>1FH0ZsN3dPe2owWwfM6h</t>
  </si>
  <si>
    <t>18422-F</t>
  </si>
  <si>
    <t>IBDGunIiF5XqBVsWmpOw</t>
  </si>
  <si>
    <t>18422-G</t>
  </si>
  <si>
    <t>0omIsCWx6lD6IPGyUqZk</t>
  </si>
  <si>
    <t>18423-A</t>
  </si>
  <si>
    <t>ENGPOWER EN. SOLAR LTDA</t>
  </si>
  <si>
    <t>8F00250411540010</t>
  </si>
  <si>
    <t xml:space="preserve">&lt;HTML&gt;
&lt;HEAD&gt;
&lt;TITLE&gt;Moved Temporarily&lt;/TITLE&gt;
&lt;/HEAD&gt;
&lt;BODY BGCOLOR="#FFFFFF" TEXT="#000000"&gt;
&lt;!-- GSE Default Error --&gt;
&lt;H1&gt;Moved Temporarily&lt;/H1&gt;
The document has moved &lt;A HREF="https://script.googleusercontent.com/macros/echo?user_content_key=AehSKLi2oHj-QlPkiz4ij0xdac7awX-pMGQ_zvoHmb8OlSbnBm9truwOXAvyizbkBCZU1Yup8tEFBwDMTx1UJkwqvo0YwGKybmOLin8sEwp64BkXVginQYu2A32SQuxeOkYDuuYImL-fyA88xC-r6yh-faC96AOTqNvqvY1kykwcVOm2PnhPqgXWmKTynHYTWV1Y9UKxQBA0bwmw64H3P8lu2ar9i75fquEFMIPh8n2Yg-YK7_VzJmHQx_7rEuBGDOrtX5P7Z0-Y2KkynordSBlYG_QCTlmvY0hU65LmvSi9QsHP_CwYhLqSXTqhEHfd3A&amp;amp;lib=M-zdWbhavtdZ1B_W2dnFDM0qoVt4lWzJ-"&gt;here&lt;/A&gt;.
&lt;/BODY&gt;
&lt;/HTML&gt;
</t>
  </si>
  <si>
    <t>N9hrwt9lRg66I54Y1qXxQQ</t>
  </si>
  <si>
    <t>18423-B</t>
  </si>
  <si>
    <t>8F00250411540011</t>
  </si>
  <si>
    <t xml:space="preserve">&lt;HTML&gt;
&lt;HEAD&gt;
&lt;TITLE&gt;Moved Temporarily&lt;/TITLE&gt;
&lt;/HEAD&gt;
&lt;BODY BGCOLOR="#FFFFFF" TEXT="#000000"&gt;
&lt;!-- GSE Default Error --&gt;
&lt;H1&gt;Moved Temporarily&lt;/H1&gt;
The document has moved &lt;A HREF="https://script.googleusercontent.com/macros/echo?user_content_key=AehSKLiv8GKhzHF9mPe0Mr2rqWKYzxctA4jcVZwoSk2-po3TWKVFGFtHIT1DaZERQuPytlMHBV7iXjqkDMrF1Al1AvrG6xTvxnlGVeFff8k80Txb4sVPXhWy8fMWIORtaHuBZQsSCDlGk13aQ5JpH7lUXkz52mVkcolz1carAEdyIFoY8VxK1OgaQXHK_xymUU34_p-Jxdzfyg8CZtdOyKnye8PtuE9EKkmFLkyNK42dPQ-lM8YFSVO-SFYu-myyP98T4QRnv3HTBP610tPXVyxyCNypMTG8zfbKle3PAgWntIlNVvRMDAJC-F3KlHZ6Zg&amp;amp;lib=M-zdWbhavtdZ1B_W2dnFDM0qoVt4lWzJ-"&gt;here&lt;/A&gt;.
&lt;/BODY&gt;
&lt;/HTML&gt;
</t>
  </si>
  <si>
    <t>m3Vn2EzsE7evNRJtSbMh</t>
  </si>
  <si>
    <t>18424-A</t>
  </si>
  <si>
    <t>8F00250208120028</t>
  </si>
  <si>
    <t xml:space="preserve">&lt;HTML&gt;
&lt;HEAD&gt;
&lt;TITLE&gt;Moved Temporarily&lt;/TITLE&gt;
&lt;/HEAD&gt;
&lt;BODY BGCOLOR="#FFFFFF" TEXT="#000000"&gt;
&lt;!-- GSE Default Error --&gt;
&lt;H1&gt;Moved Temporarily&lt;/H1&gt;
The document has moved &lt;A HREF="https://script.googleusercontent.com/macros/echo?user_content_key=AehSKLhb2odO8qobN6Dj7r4K0vmwhlca134DSFGECQuFy86FLSb_dQlBh7aMBsIsoDFRmgR2Jdswx9v73GeBPMnyCVkoVC15PvuCAH8gPf-X4RMRfIz43O8tB50NtS34BWDNzeS-UcYqM40s5LkCo8sUORuwlH4xWzPVdh4T4ZHRaLrBDJeptAI8jiAIz1hKVKdpUfxdGnVYF0OQpcquoUWe7krXK6JvAA8lx95KWHXlkH3V6X7dNpyWNzjNLqzlmWWTZ8azhRKqOoFchfV1ocF0HZimGWs9PkRwGJ-hqI775lOkf7rUELqSyDIMZuu7Gg&amp;amp;lib=M-zdWbhavtdZ1B_W2dnFDM0qoVt4lWzJ-"&gt;here&lt;/A&gt;.
&lt;/BODY&gt;
&lt;/HTML&gt;
</t>
  </si>
  <si>
    <t>DDAkwvzmTPmuggeTYeLv0A</t>
  </si>
  <si>
    <t>18424-B</t>
  </si>
  <si>
    <t>8F00250526260006</t>
  </si>
  <si>
    <t>ZbD5J2Kw1trGsOdJRDBN</t>
  </si>
  <si>
    <t>18424-C</t>
  </si>
  <si>
    <t>8F00250526260007</t>
  </si>
  <si>
    <t xml:space="preserve">&lt;HTML&gt;
&lt;HEAD&gt;
&lt;TITLE&gt;Moved Temporarily&lt;/TITLE&gt;
&lt;/HEAD&gt;
&lt;BODY BGCOLOR="#FFFFFF" TEXT="#000000"&gt;
&lt;!-- GSE Default Error --&gt;
&lt;H1&gt;Moved Temporarily&lt;/H1&gt;
The document has moved &lt;A HREF="https://script.googleusercontent.com/macros/echo?user_content_key=AehSKLhGNtk4vJJXdBQatzanttTghB5hErGIBIWluiKsHdSmTHMy4Ig_hBvS0oj2a0kor4_5Gp_XzpdBppKTtha1b2IUis7p70Bv6K-7rU9kkgK9DDbiomjjKs-Qs9DE-vtHPM0Ik8L-77p2ay2jDfgHxXUfBTQFzus6NCIf-tzSkTO8qZjzzx5rvZgpPqHQCEvt31tu1wGUlyJXbVN3Pa7P0rAStIzZYWT65Bg-8fST0dFs5clh1Lz4GUcJQ_Y6mPAIsN1QiVZqZZA0zbx5n_nDmW1INKGZ02_c7mV-iavItZhC-ApF7m1TWhRI_oLiiQ&amp;amp;lib=M-zdWbhavtdZ1B_W2dnFDM0qoVt4lWzJ-"&gt;here&lt;/A&gt;.
&lt;/BODY&gt;
&lt;/HTML&gt;
</t>
  </si>
  <si>
    <t>jJ5mi5I2pZ7eNI5OJoOr</t>
  </si>
  <si>
    <t>18425</t>
  </si>
  <si>
    <t>8F00250411490016</t>
  </si>
  <si>
    <t xml:space="preserve">&lt;HTML&gt;
&lt;HEAD&gt;
&lt;TITLE&gt;Moved Temporarily&lt;/TITLE&gt;
&lt;/HEAD&gt;
&lt;BODY BGCOLOR="#FFFFFF" TEXT="#000000"&gt;
&lt;!-- GSE Default Error --&gt;
&lt;H1&gt;Moved Temporarily&lt;/H1&gt;
The document has moved &lt;A HREF="https://script.googleusercontent.com/macros/echo?user_content_key=AehSKLgBpM9r0D0PN9sS53-ShL7BIZvf8RBgq9RhFu79pxmbQpCPDAjcGOEaEWCtaMrodervT7wC_QIPRO6fyslqSDzwIpznYoQJyfjpMbfpDtGvWmNLeKalOL3IkJn-2u3S5N1nfxrBqE8epP2TBHeTI0ZqrtXeHDTBil2CPrpaBpHXHjUg6o194k4bIWntTHolr3thsAfO2jbMXa5oZoSOAsi5t8PaIOHB-nWPxmStsnrvoviEAvPCEdDrv8v1SAQCQAZn5BSb1g-oEjOouq8SPvT3drH71W-hjb8Lre0VOAJNZc0kz7S5QMuLH_Jr-A&amp;amp;lib=M-zdWbhavtdZ1B_W2dnFDM0qoVt4lWzJ-"&gt;here&lt;/A&gt;.
&lt;/BODY&gt;
&lt;/HTML&gt;
</t>
  </si>
  <si>
    <t>CfuoksvJQ-i4IV4hgNzsIw</t>
  </si>
  <si>
    <t>18426</t>
  </si>
  <si>
    <t>8F00250110290008</t>
  </si>
  <si>
    <t xml:space="preserve">&lt;HTML&gt;
&lt;HEAD&gt;
&lt;TITLE&gt;Moved Temporarily&lt;/TITLE&gt;
&lt;/HEAD&gt;
&lt;BODY BGCOLOR="#FFFFFF" TEXT="#000000"&gt;
&lt;!-- GSE Default Error --&gt;
&lt;H1&gt;Moved Temporarily&lt;/H1&gt;
The document has moved &lt;A HREF="https://script.googleusercontent.com/macros/echo?user_content_key=AehSKLiSvEKo3sjEul35HkghXMyS9op6N3_L_SpRjYe5bKNqePKBzdbMnM0kO9LCc90ISH9G-hpaWIVwWFVVUsDcn9HBdSqOXbkeyCnil1VpolLp9slNT8v6LtrPGBUCqeIFcyrzPP2A463fEzoH07Sv361n7W9mG9QSQN7JALRefow0hKXqKX_jSoHDzo4YYBJVaxckLfYqDXP6N55TkOXH0EmfKaKk_4WABOK0GKOuHIp7dflpYNPL-OerwujW6M9k58zG3-WjyHviqdLZE45pLYhIwNQ4XaV6Th2IUzgv3RvM3ApAYUkmImQyJ1cuQg&amp;amp;lib=M-zdWbhavtdZ1B_W2dnFDM0qoVt4lWzJ-"&gt;here&lt;/A&gt;.
&lt;/BODY&gt;
&lt;/HTML&gt;
</t>
  </si>
  <si>
    <t>2KMsfgF.SG23k1Z-ZsSptQ</t>
  </si>
  <si>
    <t>18427</t>
  </si>
  <si>
    <t>PISCINA PORTO RICO</t>
  </si>
  <si>
    <t>8F00250110290007</t>
  </si>
  <si>
    <t xml:space="preserve">&lt;HTML&gt;
&lt;HEAD&gt;
&lt;TITLE&gt;Moved Temporarily&lt;/TITLE&gt;
&lt;/HEAD&gt;
&lt;BODY BGCOLOR="#FFFFFF" TEXT="#000000"&gt;
&lt;!-- GSE Default Error --&gt;
&lt;H1&gt;Moved Temporarily&lt;/H1&gt;
The document has moved &lt;A HREF="https://script.googleusercontent.com/macros/echo?user_content_key=AehSKLieoqeWGOeJ9YLamJmc_etVVNsXG_G8brFT0zDO6SWjabx6VZhzk41jm29Yuhg13MvvZ0ANarKpL6dAYvcZ8s9Ur-01v53jFrbEU-QZtwVnJivN3SLb60YVdetDR9qJufbKd9Wyx4jYz5uMRYkQfZFbK-U3kecBaixj1FlwNbKnSaqE8EPt3pUu_TmWXGzlevsNZ9194KkN30nHL2FwUboENudcHAI4Ihylz3stKYMbgI_7tPlBoNd9fA1iEi7uRwXY4gWk51znKThn19AQ89prEM4ym-F6rEalCpXv0PQ_sZk1_1E-gYcA-NG5LQ&amp;amp;lib=M-zdWbhavtdZ1B_W2dnFDM0qoVt4lWzJ-"&gt;here&lt;/A&gt;.
&lt;/BODY&gt;
&lt;/HTML&gt;
</t>
  </si>
  <si>
    <t>wb-AXCn2S8a7vqmKfkE-5Q</t>
  </si>
  <si>
    <t>18428</t>
  </si>
  <si>
    <t>8F00250411540015</t>
  </si>
  <si>
    <t xml:space="preserve">&lt;HTML&gt;
&lt;HEAD&gt;
&lt;TITLE&gt;Moved Temporarily&lt;/TITLE&gt;
&lt;/HEAD&gt;
&lt;BODY BGCOLOR="#FFFFFF" TEXT="#000000"&gt;
&lt;!-- GSE Default Error --&gt;
&lt;H1&gt;Moved Temporarily&lt;/H1&gt;
The document has moved &lt;A HREF="https://script.googleusercontent.com/macros/echo?user_content_key=AehSKLjkEK6EwClFhaE4PiGu4Keh1vIcYyo00t4Y4WOALXLUn74e-v5DjoJQS4HjMKCRaay-il8ccAC_-10DCCQ668BllTbSzpOJGDTCjqZ2AwPCciEkMDY5J7WvjDq8Vy6BN8xwGS0pVzvTEotH2PtciZVYNie6rhQnM0cLK7nt-DxJJTsSpIVytI5sVeFe7akUShmFft10ZILENIerpX_nrTzg9wh0K2Vb419_HrbiOdD2ON_n0igdsklNDSHzC9I6e_HY9xrFw9P8bS5hqhdJgaG5pC9JvsU-AM93M-QeR8R8N5EuUmqIrBdcdhqaiA&amp;amp;lib=M-zdWbhavtdZ1B_W2dnFDM0qoVt4lWzJ-"&gt;here&lt;/A&gt;.
&lt;/BODY&gt;
&lt;/HTML&gt;
</t>
  </si>
  <si>
    <t>ZHT53ZUTSRicJbDpKiBTeQ</t>
  </si>
  <si>
    <t>18429</t>
  </si>
  <si>
    <t>8F00250110290004</t>
  </si>
  <si>
    <t xml:space="preserve">&lt;HTML&gt;
&lt;HEAD&gt;
&lt;TITLE&gt;Moved Temporarily&lt;/TITLE&gt;
&lt;/HEAD&gt;
&lt;BODY BGCOLOR="#FFFFFF" TEXT="#000000"&gt;
&lt;!-- GSE Default Error --&gt;
&lt;H1&gt;Moved Temporarily&lt;/H1&gt;
The document has moved &lt;A HREF="https://script.googleusercontent.com/macros/echo?user_content_key=AehSKLg8nbO-Wtc5bl_nDulnNK-5-P64pFl0EIUTNq-g1cyDaVQknCcESBrTsWhkaNyVCV5Ss42dVZYM5Okzp2gCqGoE6xKQEvpOLH62Ox-z8G6womnsSWyQQGZA7G9JZ6sPElCXztCDx3SY-EmzKZmPfmZvnlasGoEFtrMo9buQOJpzJ9bxA_u6_xjNNM15auMVK-pc1rdfoj8rMDNWqkvFUqenyYYdalFOMOReuPFx6-qg5RDr3RSKT81LOQlJOSFlhhzYfHvmhLsvKaqmbgcdxXOCiukssHydRxOoG7c05-WZxVBDK3AshuuJ0oeUeQ&amp;amp;lib=M-zdWbhavtdZ1B_W2dnFDM0qoVt4lWzJ-"&gt;here&lt;/A&gt;.
&lt;/BODY&gt;
&lt;/HTML&gt;
</t>
  </si>
  <si>
    <t>ls7.CLsNQxCreSOtgkJz-Q</t>
  </si>
  <si>
    <t>18430-A</t>
  </si>
  <si>
    <t>8F00250110290006</t>
  </si>
  <si>
    <t>FITLOG TRANSPORTES E LOGISTICA LTDA / (048) 996277956Informação Adicional: pgto 30 60 90 120 aut pelo Carlos  / Obs.Interna: pgto 30 60 90 120 aut pelo Carlos  / E-mail para nota fiscal: , E-mail de cobrança: , Telefone para contato</t>
  </si>
  <si>
    <t>&lt;!DOCTYPE html&gt;&lt;html&gt;&lt;head&gt;&lt;link rel="shortcut icon" href="//ssl.gstatic.com/docs/script/images/favicon.ico"&gt;&lt;title&gt;Error&lt;/title&gt;&lt;style type="text/css" nonce="aLB5cCUHNMMPekxQAPPz_g"&gt;body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</si>
  <si>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UkOYSCLPRQmSLgh68O0cGQ</t>
  </si>
  <si>
    <t>18430-B</t>
  </si>
  <si>
    <t>8F00250110290005</t>
  </si>
  <si>
    <t>&lt;!DOCTYPE html&gt;&lt;html&gt;&lt;head&gt;&lt;link rel="shortcut icon" href="//ssl.gstatic.com/docs/script/images/favicon.ico"&gt;&lt;title&gt;Error&lt;/title&gt;&lt;style type="text/css" nonce="cqxwvz6ruK5WVpm3QA2EQA"&gt;body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</si>
  <si>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j00iGH4oLxonZMeC5UW7</t>
  </si>
  <si>
    <t>18430-C</t>
  </si>
  <si>
    <t>8F00250110290003</t>
  </si>
  <si>
    <t xml:space="preserve">&lt;HTML&gt;
&lt;HEAD&gt;
&lt;TITLE&gt;Moved Temporarily&lt;/TITLE&gt;
&lt;/HEAD&gt;
&lt;BODY BGCOLOR="#FFFFFF" TEXT="#000000"&gt;
&lt;!-- GSE Default Error --&gt;
&lt;H1&gt;Moved Temporarily&lt;/H1&gt;
The document has moved &lt;A HREF="https://script.googleusercontent.com/macros/echo?user_content_key=AehSKLg5hUYH3clWLIsbMA4pOLhFgxStYrK9q0CtT7GU3C72zUIBpLt4hl6TeHqZxIu_xBbwKWL-qRpOtfNFgvsNLEX_5FCip142R6iGyu6JlafhbFh5AdqFMWfC3ykMJ_NFjPrJGUpj25cekYcUGevFnn_ouFYhjpMbZGKg3ssIJNKV7rB_m4lpvKQn3JuXXWXZ7ll2T5OMS7TvZhiBceY_JwEtff5xT6Zt40RF9W2v_wxPrsNDT4iyhETXaqmpwaLDBRpf13GGpo5trlJAC3UOxE1RgCtYq7JB2UjK1UrJSnuRps0ZefJP_2XENUQmHw&amp;amp;lib=M-zdWbhavtdZ1B_W2dnFDM0qoVt4lWzJ-"&gt;here&lt;/A&gt;.
&lt;/BODY&gt;
&lt;/HTML&gt;
</t>
  </si>
  <si>
    <t>YBwhoXeuvwXmKFbJ43A4</t>
  </si>
  <si>
    <t>18430-D</t>
  </si>
  <si>
    <t>8F00250110290002</t>
  </si>
  <si>
    <t xml:space="preserve">&lt;HTML&gt;
&lt;HEAD&gt;
&lt;TITLE&gt;Moved Temporarily&lt;/TITLE&gt;
&lt;/HEAD&gt;
&lt;BODY BGCOLOR="#FFFFFF" TEXT="#000000"&gt;
&lt;!-- GSE Default Error --&gt;
&lt;H1&gt;Moved Temporarily&lt;/H1&gt;
The document has moved &lt;A HREF="https://script.googleusercontent.com/macros/echo?user_content_key=AehSKLjHyLdlFAtuWbj14j2uskFm6H5CDbnEyMtofYq8ew2CXePKFhyXwHRetKISHtavs9DuZmfQPTVHLav5To6PHY9sv0fGH_AA9pz6DjjTikegQOnKhTVw0zoAbGHHw0LkOUzII_mBL6O2RnZXylFqgXPcBxFbdxMBXNw3Uxwynefbn9iaKcJyDmFGvYd_vmOFJN9oZSEVKTC-Zjg0qS0iHqKJzYTSdKPaYZN7QXOchqzmsl85rmITvCSOMSGpT_4c7-oVbNd78hd49hB1KhVLJXdfyx5F0RAjonkRI2GJTUUgvGbUOFlwpLy6iE9h7A&amp;amp;lib=M-zdWbhavtdZ1B_W2dnFDM0qoVt4lWzJ-"&gt;here&lt;/A&gt;.
&lt;/BODY&gt;
&lt;/HTML&gt;
</t>
  </si>
  <si>
    <t>zSzyZDmFLdqBgQAxN4MP</t>
  </si>
  <si>
    <t>18431</t>
  </si>
  <si>
    <t>Victor Vinícius Pagnossi Bandeira</t>
  </si>
  <si>
    <t>8F00250411500004</t>
  </si>
  <si>
    <t>FITLOG / (011) 2212-5862Informação Adicional: PAGAMENTO VIA CARTÃO DE CREDITO EM 3 PARCELAS.  / Obs.Interna: VALOR DE R$348,00  FRETE INCLUSO- ATÉ O CLIENTE - DIFAL R$1.160,00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</si>
  <si>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RnQjJvf-KHB9S5RB7mMbNc66MFx9jV3nvOD_ASIxgog-tq59O6oYDk_FjGZgxoieGXX8EMEUpgQva62j_hBGLJcYaCFwiTWOp6cZ9V_ibBi15bBKFxUOnztyz4Eam5A8jbNorzj2a5HD-KVklXXycaLV3flUsgZ1MDYmMQievBL1shJ2q1AXTnTXqB6hrjsf3b3O2kUv2xIFmyi--gwyDWLSbaj79d63i9qX4NxwMf1dULulw5p3Bm8I2cnpqLFMFSScmi6nuH3Pc_xykqxyelf9Mh96so5nhLZFAbrWoL7k3qzSCOKq2Scf_kg&amp;amp;lib=M-zdWbhavtdZ1B_W2dnFDM0qoVt4lWzJ-"&gt;here&lt;/A&gt;.
&lt;/BODY&gt;
&lt;/HTML&gt;
</t>
  </si>
  <si>
    <t>ft.73XUTSDmWbgW079vxCQ</t>
  </si>
  <si>
    <t>18432-A</t>
  </si>
  <si>
    <t>8F00250804020022</t>
  </si>
  <si>
    <t>CLIENTE RETIRA / (0) Obs.Interna: VALOR DA MAQUINA R$ 4.845,00
CLIENTE RETIRA NA FABRICA PREVISAO 10/10 QUANDO CHEGAR AS MAQUINAS
INFORMAR TRANSPORTADORA - TRANSMIG TRANSPORTES RODOVIARIOS LTDA
CNPJ: 11.693.111/0001-47 / E-mail para nota fiscal: , E-mail de cobrança: , Telefone para contato</t>
  </si>
  <si>
    <t>contasfromtherm@gmail.comJuliana Vieira</t>
  </si>
  <si>
    <t xml:space="preserve">&lt;HTML&gt;
&lt;HEAD&gt;
&lt;TITLE&gt;Moved Temporarily&lt;/TITLE&gt;
&lt;/HEAD&gt;
&lt;BODY BGCOLOR="#FFFFFF" TEXT="#000000"&gt;
&lt;!-- GSE Default Error --&gt;
&lt;H1&gt;Moved Temporarily&lt;/H1&gt;
The document has moved &lt;A HREF="https://script.googleusercontent.com/macros/echo?user_content_key=AehSKLj_-ehS3OIF3lqMzObsKoUo9jcb8wu9NQ43G5PZPbMlNZsR24HPGoNlSGULxIUY45kf6QleNIuOEarQH8a_wBoM82lBfVtTk-jxg-Ifl3ekHyFNey23oRRCWIIRkIsyLzuiprTjWvE7TP4akknYFh9wU3k7AIE9v2sIy6sGvXYtk34kR4AkQgKl2ZyyLMS87OjvRLzX3DNLgEFAS3j4bbhgZPfSdUNlHZz3t9kCxTIrPJgFANvjeslr1cEilGUQtD3Ar8Ky29eDyR4MmcBoB46aPP6MpnZw-ve7Gbikofcr2nDeQ6ydxYg1hWhb3w&amp;amp;lib=M-zdWbhavtdZ1B_W2dnFDM0qoVt4lWzJ-"&gt;here&lt;/A&gt;.
&lt;/BODY&gt;
&lt;/HTML&gt;
</t>
  </si>
  <si>
    <t>pRXpnMxkQB-.Mf5K42sPag</t>
  </si>
  <si>
    <t>18432-B</t>
  </si>
  <si>
    <t>8F00250804020021</t>
  </si>
  <si>
    <t xml:space="preserve">&lt;HTML&gt;
&lt;HEAD&gt;
&lt;TITLE&gt;Moved Temporarily&lt;/TITLE&gt;
&lt;/HEAD&gt;
&lt;BODY BGCOLOR="#FFFFFF" TEXT="#000000"&gt;
&lt;!-- GSE Default Error --&gt;
&lt;H1&gt;Moved Temporarily&lt;/H1&gt;
The document has moved &lt;A HREF="https://script.googleusercontent.com/macros/echo?user_content_key=AehSKLi1mlf_uQifGLMyv3Z9ogbrnlbYgbQhdGtoY6cfvO5SbNh37TZlJA6iObJQ7GGMGwHAykHnStHolmKIgh8bxr562Czx2or7oNSxrr4nqQ6mzbHF1n-_-87mFrlMoPeiGg8Ntn0dErC0ik3trjmOuE4OolpWaAHiiZJdwAHW-hpYH7zcMCuZ-AGCylBUZOdkLVpOTsL3Mxe5gcTLdzUVpUOxlHhRqGFj02W4xuoLjlkXuthyyswR667WSyUIAhgeM2YsdjAH7loo_76GRSIrGlCrF_FlKLqy8L9dcpUXvcLGC3EuvC-RMA5oiT8jXw&amp;amp;lib=M-zdWbhavtdZ1B_W2dnFDM0qoVt4lWzJ-"&gt;here&lt;/A&gt;.
&lt;/BODY&gt;
&lt;/HTML&gt;
</t>
  </si>
  <si>
    <t>tPydtqAwnGSl9CRcKBqF</t>
  </si>
  <si>
    <t>18432-C</t>
  </si>
  <si>
    <t>8F00250804020025</t>
  </si>
  <si>
    <t xml:space="preserve">&lt;HTML&gt;
&lt;HEAD&gt;
&lt;TITLE&gt;Moved Temporarily&lt;/TITLE&gt;
&lt;/HEAD&gt;
&lt;BODY BGCOLOR="#FFFFFF" TEXT="#000000"&gt;
&lt;!-- GSE Default Error --&gt;
&lt;H1&gt;Moved Temporarily&lt;/H1&gt;
The document has moved &lt;A HREF="https://script.googleusercontent.com/macros/echo?user_content_key=AehSKLjKL-rMhqSAaOtG7NXb430THNg3k6X8wprdSq8EE5XMXg4STJbe3x6kISEqeAXne-gdrs_YLtOcbMRqJ7p1ue3LS92D1C0HJpgvtMlNyg9LB_nhwlUivSJfDM5I6TvDdmr7YMZHxrEXeXbrDm9ZVJqk5RRLszn0WfuGTTnxVhf4OMoUWfJgnRmEmFL4pjXMlFytEuqBfzjRigZOiRFyXISrko3EJxXuYaCRv3bZtsnX_-FvyCI0TpaJaPN0m8gShMk0SzyLXCin2D8g3kU_QL2e899oENju3u6CkUDjdgCxXv6dK4hteyFRzDoEdw&amp;amp;lib=M-zdWbhavtdZ1B_W2dnFDM0qoVt4lWzJ-"&gt;here&lt;/A&gt;.
&lt;/BODY&gt;
&lt;/HTML&gt;
</t>
  </si>
  <si>
    <t>Q0DRKWutPImwwWg3UIfK</t>
  </si>
  <si>
    <t>18432-D</t>
  </si>
  <si>
    <t>8F00250804020028</t>
  </si>
  <si>
    <t xml:space="preserve">&lt;HTML&gt;
&lt;HEAD&gt;
&lt;TITLE&gt;Moved Temporarily&lt;/TITLE&gt;
&lt;/HEAD&gt;
&lt;BODY BGCOLOR="#FFFFFF" TEXT="#000000"&gt;
&lt;!-- GSE Default Error --&gt;
&lt;H1&gt;Moved Temporarily&lt;/H1&gt;
The document has moved &lt;A HREF="https://script.googleusercontent.com/macros/echo?user_content_key=AehSKLh5w2fsWXTrvev-JoBzr5yW3sYMyIIC_XrVAYuy76R03I0VIZNAOJsulUUkgUM9aZ6eg1vqyXl0gZjsCy-gF2YIovuY8Gh_8LPDJkzNrIfCKF4XC4yUccxIOSOc-F2DYQ1qjerBwMOUl-JPz4rZpHsB0r7tCi4pQOAZvPxEOnpgU_rm4t7q77qBDarbd5iBJ9GCX_zXYJUjjqPrIuONeSs9euIVvuZPC7dzDOtij4-zRzcuiITymEqyk1FSFO856vmA8O4HIw-kNgrxdk3WIW-bozm_PY_eARuWdH_DHTIkr7zY8CVysvi723TDcQ&amp;amp;lib=M-zdWbhavtdZ1B_W2dnFDM0qoVt4lWzJ-"&gt;here&lt;/A&gt;.
&lt;/BODY&gt;
&lt;/HTML&gt;
</t>
  </si>
  <si>
    <t>LoxK5Fjcs9MDIp2pk32x</t>
  </si>
  <si>
    <t>18432-E</t>
  </si>
  <si>
    <t>8F00250804020026</t>
  </si>
  <si>
    <t xml:space="preserve">&lt;HTML&gt;
&lt;HEAD&gt;
&lt;TITLE&gt;Moved Temporarily&lt;/TITLE&gt;
&lt;/HEAD&gt;
&lt;BODY BGCOLOR="#FFFFFF" TEXT="#000000"&gt;
&lt;!-- GSE Default Error --&gt;
&lt;H1&gt;Moved Temporarily&lt;/H1&gt;
The document has moved &lt;A HREF="https://script.googleusercontent.com/macros/echo?user_content_key=AehSKLjYmB1gMsZEpCnwa5QD72Mtk8R0u9KvwO9gLL2xl1hyr-y_TyOCPKHV4WI_FSq0DSQwLVfalvMcmtJLFVC2yShImXCllaT3BAPw70Q4Kf5MNbKmRAki7LbUFN5ph3gm87fiPzdN-Vjs_5RXivK4ZoyYdm5p0Z99C-e9a2edR8wxPRKNDjrsZk0NXSvMf1T1qekYG0aHImC92Ej7bGoJAfdCfvBoHfWMzjOO6v-xjtJBF5E8dcS7oznyTLl-F-Z-nYs-wkbj8UavF5K9cgZTc7824nBF9hAbwanmSJbhL-hFzbp1FSjNWrpmRYAG-w&amp;amp;lib=M-zdWbhavtdZ1B_W2dnFDM0qoVt4lWzJ-"&gt;here&lt;/A&gt;.
&lt;/BODY&gt;
&lt;/HTML&gt;
</t>
  </si>
  <si>
    <t>AMcYY76zmaKlismWAFyE</t>
  </si>
  <si>
    <t>18432-F</t>
  </si>
  <si>
    <t>4d2Uw20Pzc2nvBzOe9Dh</t>
  </si>
  <si>
    <t>18432-G</t>
  </si>
  <si>
    <t>8UOXREzO3UFqyBHPudcr</t>
  </si>
  <si>
    <t>18432-H</t>
  </si>
  <si>
    <t>KuBzSgGYqgf4qgQpSidJ</t>
  </si>
  <si>
    <t>18432-I</t>
  </si>
  <si>
    <t>WrmeVqbqQPenx9zerOEU</t>
  </si>
  <si>
    <t>18432-J</t>
  </si>
  <si>
    <t>SIy9rA5EW3FyqfGkm5fB</t>
  </si>
  <si>
    <t>18433-A</t>
  </si>
  <si>
    <t>8F00250526250020</t>
  </si>
  <si>
    <t>CLIENTE RETIRA / (0) Obs.Interna: 35 = R$ 6070,00
45 = R$ 7487,00
55 = R$ 7700 promo até dia 30
CLIENTE RETIRA: INFORMAR TRANSPORTADORA TRANSMIG TRANSPORTES RODOVIARIOS LTDA
CNPJ: 11.693.111/0001-47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</si>
  <si>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vEb4xDcGKOBSsIe3T09U2rr68p1udLLnGq40ezwpEV_d4yiNQJXYoJdRlQAQYoN4fWqaJ9cOtz1o6txAijmstPco8TUl2c06U2gp3lpYQdZxPtVjqO0rmhT78Bo7_hvisc28xRZh9_xUkiRgAufxdMENJ6Lhg6jC-75zS4N4ZRtcwFZAc_XhwKOgxvDCxncv8ZTKdL2QOmpjvdMS0vN65L0pLKxBmP-BxLYrdySNGYrSCyvsS99U0Qx_PidIkuCVAjaA32yKFAltX4e3t839f2pMuCzuXI_YYlTqieTRapqaNB1z3OnkfeXkk8g&amp;amp;lib=M-zdWbhavtdZ1B_W2dnFDM0qoVt4lWzJ-"&gt;here&lt;/A&gt;.
&lt;/BODY&gt;
&lt;/HTML&gt;
</t>
  </si>
  <si>
    <t>lLlyFi3sE56YG8U75xQV</t>
  </si>
  <si>
    <t>18433-B</t>
  </si>
  <si>
    <t>8F00250526250007</t>
  </si>
  <si>
    <t xml:space="preserve">&lt;HTML&gt;
&lt;HEAD&gt;
&lt;TITLE&gt;Moved Temporarily&lt;/TITLE&gt;
&lt;/HEAD&gt;
&lt;BODY BGCOLOR="#FFFFFF" TEXT="#000000"&gt;
&lt;!-- GSE Default Error --&gt;
&lt;H1&gt;Moved Temporarily&lt;/H1&gt;
The document has moved &lt;A HREF="https://script.googleusercontent.com/macros/echo?user_content_key=AehSKLg1XQLdTHiaqERjyIWqN9iV1rXgBjrZbHaQAa_s0K0cahRUKFcnLUqlx1DPwvie6_7OoAYykT77IWnP1efAP7T8xMGDbfRfh3m234RukexaQJQkL9TNryfDYgGhmCabv1YM-UVf1VSXjg2Rkci5_ICD1v3dk7-ZnqqWRPpcye2TW9tgdFVaZsy-QW5BF6UINaGt6gahrtcuT_KVfOU6Jm9d3vbnIuvXIUvBPg-JpAux_USDNPqG6yqjBuJ_MIXWBFLDRgdzIDE7W-TUD9OF85vaWZJsrxx0m9vFG42AaPxJNKVNAJAhZDC1Dq2LFQ&amp;amp;lib=M-zdWbhavtdZ1B_W2dnFDM0qoVt4lWzJ-"&gt;here&lt;/A&gt;.
&lt;/BODY&gt;
&lt;/HTML&gt;
</t>
  </si>
  <si>
    <t>3QMkx2ocKvw9Qgs0Brbk</t>
  </si>
  <si>
    <t>18433-C</t>
  </si>
  <si>
    <t>8F00250526250008</t>
  </si>
  <si>
    <t xml:space="preserve">&lt;HTML&gt;
&lt;HEAD&gt;
&lt;TITLE&gt;Moved Temporarily&lt;/TITLE&gt;
&lt;/HEAD&gt;
&lt;BODY BGCOLOR="#FFFFFF" TEXT="#000000"&gt;
&lt;!-- GSE Default Error --&gt;
&lt;H1&gt;Moved Temporarily&lt;/H1&gt;
The document has moved &lt;A HREF="https://script.googleusercontent.com/macros/echo?user_content_key=AehSKLiLtFCPq8XsRSdwfHn7_xQhaYPAPI3z7wyx7kvOpMbZMho485JiZqQSe3lxGdLVUJY-e47pNRCNqO_TgW53Ize09b01eXk3sNK9l5swV2CK5dXmxtDsqY_-i7DZD9-7Gw-FwP6uMCoIHuGOtXWmIA7tuf9IN0nUPKmQ7VvMogez5CGCShXa9Vt1vQjuQe8U9L4GM-OufKt-WFrTHM6funQNE-tjPyVSqpN9h5pdev9Qkq7RD3ixKJ7E2zOTG-oaY88QGHmYo18OZFy1XKHli5glh_G6OBQc7OJNylDsVgUxCq9geRq-tQ7JKbFDEw&amp;amp;lib=M-zdWbhavtdZ1B_W2dnFDM0qoVt4lWzJ-"&gt;here&lt;/A&gt;.
&lt;/BODY&gt;
&lt;/HTML&gt;
</t>
  </si>
  <si>
    <t>kzyLhrJdOBcXOyagVJ1j</t>
  </si>
  <si>
    <t>18433-D</t>
  </si>
  <si>
    <t>8F00250526250002</t>
  </si>
  <si>
    <t xml:space="preserve">&lt;HTML&gt;
&lt;HEAD&gt;
&lt;TITLE&gt;Moved Temporarily&lt;/TITLE&gt;
&lt;/HEAD&gt;
&lt;BODY BGCOLOR="#FFFFFF" TEXT="#000000"&gt;
&lt;!-- GSE Default Error --&gt;
&lt;H1&gt;Moved Temporarily&lt;/H1&gt;
The document has moved &lt;A HREF="https://script.googleusercontent.com/macros/echo?user_content_key=AehSKLgjJf3W1Rj5cdp89qw7AfXgJI95X5CFTaY1v9c0CXsYmFtncaWMra_NGSoZPJVtbT6DAPJqvPLcjMkbhz86NmLtHfQs9g1o7GaHln1oxbpanLVORdCw_9-M_6ulu4pkYp3yDMSv5e3Sd3Ar5h02qTQQEglpRT9YABaaoCu4bK4FZTSkMwyBrjW1dqJwe3YkjfL1FeJ_zg9A27D0Cy6cC0jIzxpM2YAPLfbca2nTWusfL-8kRBVk26CXjYzAmpOb0qzEQncjsCa297Kecwjk9vHwlmqzxom3SMMS2OIiOSAIdWREdKKE_HZUytJ0jA&amp;amp;lib=M-zdWbhavtdZ1B_W2dnFDM0qoVt4lWzJ-"&gt;here&lt;/A&gt;.
&lt;/BODY&gt;
&lt;/HTML&gt;
</t>
  </si>
  <si>
    <t>sjJeAKW1QfGbl1G.25m97g</t>
  </si>
  <si>
    <t>18433-H</t>
  </si>
  <si>
    <t>8F00250329020009</t>
  </si>
  <si>
    <t xml:space="preserve">&lt;HTML&gt;
&lt;HEAD&gt;
&lt;TITLE&gt;Moved Temporarily&lt;/TITLE&gt;
&lt;/HEAD&gt;
&lt;BODY BGCOLOR="#FFFFFF" TEXT="#000000"&gt;
&lt;!-- GSE Default Error --&gt;
&lt;H1&gt;Moved Temporarily&lt;/H1&gt;
The document has moved &lt;A HREF="https://script.googleusercontent.com/macros/echo?user_content_key=AehSKLh-i8q4HC1n8U8b7pl6bF1PJVaZm1ySt1k5Hm29fS0TclOF0oCU3js2DvJJBMAKXEbAvIW6LDv7PgC-bj6mGp4udsnUEuo84E7awOCDZPxGAOpE9jWqYLNzJRYC8yL7pZO_mzkFinwlybbcm5Ux24CD4dYC6-ywV7jq8ho2OoXsMqe7duukN50ObDYi-q6TDRGHlMsZj2sKZ-K5-yM_zjBfFKdlayQAm-NUrxyGjluOfi7AVMhBPlEG3fmj9fSwE9FEdlTzmbHX6skE1sIn8xg_zprzfFudzsmVYPSX73tin2p4kmeklzfp5Wxg8Q&amp;amp;lib=M-zdWbhavtdZ1B_W2dnFDM0qoVt4lWzJ-"&gt;here&lt;/A&gt;.
&lt;/BODY&gt;
&lt;/HTML&gt;
</t>
  </si>
  <si>
    <t>JMu21XtUwXGorBksarXd</t>
  </si>
  <si>
    <t>18433-I</t>
  </si>
  <si>
    <t>8F00250208100004</t>
  </si>
  <si>
    <t xml:space="preserve">&lt;HTML&gt;
&lt;HEAD&gt;
&lt;TITLE&gt;Moved Temporarily&lt;/TITLE&gt;
&lt;/HEAD&gt;
&lt;BODY BGCOLOR="#FFFFFF" TEXT="#000000"&gt;
&lt;!-- GSE Default Error --&gt;
&lt;H1&gt;Moved Temporarily&lt;/H1&gt;
The document has moved &lt;A HREF="https://script.googleusercontent.com/macros/echo?user_content_key=AehSKLi5WO0slvMc5Hc9nR2iZsf4ag6IkekfoAexWIdk8prc1xtfqlZY_g9A5YJwKyoM1p7nRh4rn4EcaFqJWFDAHOMh42mO425Pd47HX4I671ZxLDAZhnEKIMbWwDDu8xdqahChN-wkifaq5XB30eK0EpYGyIo4M2YUCo-cQq5TU0-B-qGyr1AEhYSRh5GP14ESLUu_1lEuEDtrpspVYH3_NEi0mvy9beH2XCpvTkrSggyGfiQI99KzmZ-Tnixhuhy1IhYT5guxtLiw9PThP-j_zu4J29uU83xdUft2p22GRTvNCMpTKWGWxHIawLv2ww&amp;amp;lib=M-zdWbhavtdZ1B_W2dnFDM0qoVt4lWzJ-"&gt;here&lt;/A&gt;.
&lt;/BODY&gt;
&lt;/HTML&gt;
</t>
  </si>
  <si>
    <t>3od9w4Ru1yic9idxbWmq</t>
  </si>
  <si>
    <t>18433-K</t>
  </si>
  <si>
    <t>8F00250208100005</t>
  </si>
  <si>
    <t xml:space="preserve">&lt;HTML&gt;
&lt;HEAD&gt;
&lt;TITLE&gt;Moved Temporarily&lt;/TITLE&gt;
&lt;/HEAD&gt;
&lt;BODY BGCOLOR="#FFFFFF" TEXT="#000000"&gt;
&lt;!-- GSE Default Error --&gt;
&lt;H1&gt;Moved Temporarily&lt;/H1&gt;
The document has moved &lt;A HREF="https://script.googleusercontent.com/macros/echo?user_content_key=AehSKLh94_UjCoDZc7fMwuc3yGq-dyxvCDxj6fZAOzNv-OsT01aOyTnRZAEpnGmbhsb3wH4sDjzoNLFjjUZ1y70BWjAfzeUtAiXFf2sWCIQxK2H3MTPPepb8G7XogowuehHuDQPS41L3gnkvket7O5qpTePVKCxZhe4MieBLl1BzHQeo17tC3ljgFbAPuFFyftXEDCkF9tPYpd3Ug6m0JNcp79DumxAOlGuL3IdGCnaUt6yJc_g_uaqGhcWi-GIzpWfxse0kWITLB30telQcegSBPJEwtnYtH8MvOHayq9mD4azbDfuHFRtiHmkvviKppw&amp;amp;lib=M-zdWbhavtdZ1B_W2dnFDM0qoVt4lWzJ-"&gt;here&lt;/A&gt;.
&lt;/BODY&gt;
&lt;/HTML&gt;
</t>
  </si>
  <si>
    <t>LhqnAyH2RSeJTon9gB1E</t>
  </si>
  <si>
    <t>18433-L</t>
  </si>
  <si>
    <t>8F00250208100006</t>
  </si>
  <si>
    <t xml:space="preserve">&lt;HTML&gt;
&lt;HEAD&gt;
&lt;TITLE&gt;Moved Temporarily&lt;/TITLE&gt;
&lt;/HEAD&gt;
&lt;BODY BGCOLOR="#FFFFFF" TEXT="#000000"&gt;
&lt;!-- GSE Default Error --&gt;
&lt;H1&gt;Moved Temporarily&lt;/H1&gt;
The document has moved &lt;A HREF="https://script.googleusercontent.com/macros/echo?user_content_key=AehSKLh8Uk7rnk1dhcoZ0df_jT58r0QjLoOYPTjnUKdcwOaKad6r3lCRNVDhBNIC4M-rAh913uVOX55Ih4Ap_8A_Y9EaZabS58mVlqu0VHIGdxCUc9FsgXTuShH4bS3g-Ee78jQly9_WMoeqtd_iywUNMpWUzNMK0RIHrOQX6JrGUv3q6mS8n4FZQNIsX6_u1kmlCyZ_n4JmQCi4wNDoSMJbzOEYhCC9rG0yXdgAbRPyTbQ8nyDJ8_j79Bli6TNmeva_Z5IrS841352BQM5heNiya_8OWo1YEcsikkjerMtskngIt5l5i8-74bJFbVQ1bg&amp;amp;lib=M-zdWbhavtdZ1B_W2dnFDM0qoVt4lWzJ-"&gt;here&lt;/A&gt;.
&lt;/BODY&gt;
&lt;/HTML&gt;
</t>
  </si>
  <si>
    <t>ASfHsEjHfv8D3japBJgp</t>
  </si>
  <si>
    <t>18434-A</t>
  </si>
  <si>
    <t>8F00250411490020</t>
  </si>
  <si>
    <t xml:space="preserve">&lt;HTML&gt;
&lt;HEAD&gt;
&lt;TITLE&gt;Moved Temporarily&lt;/TITLE&gt;
&lt;/HEAD&gt;
&lt;BODY BGCOLOR="#FFFFFF" TEXT="#000000"&gt;
&lt;!-- GSE Default Error --&gt;
&lt;H1&gt;Moved Temporarily&lt;/H1&gt;
The document has moved &lt;A HREF="https://script.googleusercontent.com/macros/echo?user_content_key=AehSKLgkpGc4_cM8ofPOR10uWkcZCF7LLjXkh-qvv6LpL8mLqkVNHOY_hegkV_KBo31fa6zb43eTdguw55mvyUdBG-dXz3HQYFNdKFqScUZGsMQ5VWZtS6xHjniVaauJ7pwYp5-a7R6nFrEbEYTXRK8bAQdkX7aXZTk2mSUC_coXOIIRnERX6YazuniZqSQmvr3PiAlMk69e-n7jylQw_xC52D0zusDhzLZoMfKMJsYOnDU2b5sqITmfp6fTVXkzY2joZmEsilusSiv8TYGPWMVWgWOmgrd5xqaGMnNriyJ0_w5Jpx9Gdl9u27jLtUTFuw&amp;amp;lib=M-zdWbhavtdZ1B_W2dnFDM0qoVt4lWzJ-"&gt;here&lt;/A&gt;.
&lt;/BODY&gt;
&lt;/HTML&gt;
</t>
  </si>
  <si>
    <t>hSgSznkFRriWCfubIfO4kQ</t>
  </si>
  <si>
    <t>18434-B</t>
  </si>
  <si>
    <t>8F00250411490017</t>
  </si>
  <si>
    <t xml:space="preserve">&lt;HTML&gt;
&lt;HEAD&gt;
&lt;TITLE&gt;Moved Temporarily&lt;/TITLE&gt;
&lt;/HEAD&gt;
&lt;BODY BGCOLOR="#FFFFFF" TEXT="#000000"&gt;
&lt;!-- GSE Default Error --&gt;
&lt;H1&gt;Moved Temporarily&lt;/H1&gt;
The document has moved &lt;A HREF="https://script.googleusercontent.com/macros/echo?user_content_key=AehSKLgtsLZFYUc3c0NV0wJkPI3c2FItbpBjfLKWW9zY0qBG67isRoUihsFducjcqsmflu4UYQ06Q_ACQvE1z8K2Zu_Fppsp-ZYJTVyA4HpcmZdzxMmHPCHf1aBq46vIVkVcxzcpt-s5eo6ShEM4aosWJt80FHmAb54iaMukBw4m2I-4VXDgWLOrP3FxibkQs60zEJ2Y1MRNs-3ES5e17zuymUjCVFQAN446MfOlnRcLu3K2m7melIAXSNzk7SIp5aFZjKKjzFQmWQAKAsqT_eQbZen0aP5-Ie4IBK8iIoupVq9-M7xZXK-kMw1ivB3jJg&amp;amp;lib=M-zdWbhavtdZ1B_W2dnFDM0qoVt4lWzJ-"&gt;here&lt;/A&gt;.
&lt;/BODY&gt;
&lt;/HTML&gt;
</t>
  </si>
  <si>
    <t>F1HVKqMYn3sQodgAeH19</t>
  </si>
  <si>
    <t>18434-C</t>
  </si>
  <si>
    <t>8F00250411490018</t>
  </si>
  <si>
    <t>RUER</t>
  </si>
  <si>
    <t xml:space="preserve">&lt;HTML&gt;
&lt;HEAD&gt;
&lt;TITLE&gt;Moved Temporarily&lt;/TITLE&gt;
&lt;/HEAD&gt;
&lt;BODY BGCOLOR="#FFFFFF" TEXT="#000000"&gt;
&lt;!-- GSE Default Error --&gt;
&lt;H1&gt;Moved Temporarily&lt;/H1&gt;
The document has moved &lt;A HREF="https://script.googleusercontent.com/macros/echo?user_content_key=AehSKLhPwYW46EBLmJgt2Z6PedRHEqdvKK7h1h5B-GERV5z84DPFnpHyyLX7QxmaAiUiRQDqFZn0aCLh4Qm9NdFHjAHsxnRVPGruPyvRZdX9qRbFjGbvfT3wFg2LqrHnGLlwBLFIAng9SxAihmxXGXw3YLrki_nvHGw_1b1VHUWUZ5wf_VP6dz1qnDkUMDhqZ5Va_gOg5XivZbM8RRfNSC0ljB2N4JAgOiH_rpXqCySI825jTL2IUtNj1r74l6yqxg-KDiSL9z5Y2kKV1y8vfaBr6dd5rK2xrc0Yy1-IX4PasiaCCEu6_mSUOA4xi8de5w&amp;amp;lib=M-zdWbhavtdZ1B_W2dnFDM0qoVt4lWzJ-"&gt;here&lt;/A&gt;.
&lt;/BODY&gt;
&lt;/HTML&gt;
</t>
  </si>
  <si>
    <t>CaiB5OjQio51IAgwiHwW</t>
  </si>
  <si>
    <t>18437</t>
  </si>
  <si>
    <t>8F00250411520042</t>
  </si>
  <si>
    <t>FITLOG TRANSPORTES E LOGISTICA LTDA / (048) 996277956Obs.Interna: maquina para casa do Vitor - Proprietário da Multicolor -  SEM COMISSÃO PARA MARIO DICK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</si>
  <si>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MywnlPcZzeBQiAr6DgkjtSyF9v7rCJwhCIGovM_nBhFkT4jlFKe3_j87myVQ17psD2QpVPRW6mAewjJmE4OUHPvsPbRlj4ISHyZx8ycSROy8sjRz3SvSscPN9bJccAxNl7j3Zclzen9W_K3yOmmkOQpUPpj35CGqLBsPFLUvNefChTU0F2bzBASIn3TFWvXLvLlWqi8BXcISc1r8hPZjxr2MRsYZi9KRlxVNWDavYmArO7y6ztyw5yHVXuqlnaQ6xuROU1YIaMLOiyBfk62I_9kF5kmJ4EyUFRsd8D0MOmADZGLIs2NwgJnxW8Q&amp;amp;lib=M-zdWbhavtdZ1B_W2dnFDM0qoVt4lWzJ-"&gt;here&lt;/A&gt;.
&lt;/BODY&gt;
&lt;/HTML&gt;
</t>
  </si>
  <si>
    <t>6B1yH5-nQh6edTvLtgZ5Dg</t>
  </si>
  <si>
    <t>18439</t>
  </si>
  <si>
    <t>8F00250208100007</t>
  </si>
  <si>
    <t>EXPRESSO SAO MIGUEL S/A / (049) 3361-6627Informação Adicional: valor da maquina R$7900,00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</si>
  <si>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mc5lB9SiMz7tL5ejF51dg-APXFvK8-TlkeMyYobWIZcQxondA6k6hLStAR_xC1rcnGZWgkCVNXXV_JurUS4NgatFo8i-EQVjlpgq7Vvo7I2evMRaIWnD4diuhTbg8BqMryongDv9bI5P0Ti5iPn_1ub6yh0iTKnN9rI_ijupU-p7rYf4_FDamKXnQSLCGKezIHfO6Vp9vq0cNVoFFJ8TnWuOofa6ANn1iZ8KY1Ie8qyjup5sJmvbVsqk16ynAItMF0Sac5fsvtCfIpzVaI8CgGGDvkAhS-lJJQ0o_SKkep-4YC8OjWQkhP2z-lQ&amp;amp;lib=M-zdWbhavtdZ1B_W2dnFDM0qoVt4lWzJ-"&gt;here&lt;/A&gt;.
&lt;/BODY&gt;
&lt;/HTML&gt;
</t>
  </si>
  <si>
    <t>ZCC7r5IMS.e4u.QTbah.DQ</t>
  </si>
  <si>
    <t>18440-A</t>
  </si>
  <si>
    <t>EXPRESSO SAO MIGUEL S/A / (049) 3361-6627Informação Adicional: VALOR DE CADA MAQUINA R$7900,00AUTORIZADO PELO MARIO / Obs.Interna: PROMO SETEMBRO  / E-mail para nota fiscal: , E-mail de cobrança: , Telefone para contato</t>
  </si>
  <si>
    <t>ArfS6nlyT8WSVqsu.TkjLg</t>
  </si>
  <si>
    <t>18440-B</t>
  </si>
  <si>
    <t>XYeyCsIXTh3eqKye2Ebb</t>
  </si>
  <si>
    <t>18440-C</t>
  </si>
  <si>
    <t>XHzbFT6Wy2NliaaSZc04</t>
  </si>
  <si>
    <t>18441</t>
  </si>
  <si>
    <t>BONI &amp; SERPA LTDA</t>
  </si>
  <si>
    <t>8F00250411540014</t>
  </si>
  <si>
    <t>BOSS EXPRESS CARGAS E ENCOMENDAS</t>
  </si>
  <si>
    <t>FITLOG TRANSPORTES E LOGISTICA LTDA / (048) 996277956Obs.Interna: Mario- Autorizado a vista 7 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</si>
  <si>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IE8K6DArvdWKYCw0uDblStUUtOnZX23KgAzfSPN6aeWkrg0Jz6no2cAgqPdODrhegsNamBQYuVS7PA7StRedoj-PxjAFn5R_z9OeyagrnV5UkhgpvZSzH4Uc-n7lBWIDig67y_Uu7GEhQRrol_UfWyc0Mokqy5RnYdnGzxwn_PxS5rl4yVn2mu0bfM2iK3A0bHV6IyvcRmjvOM8oNyO5Siowp37xqwhzm0KnnaL5-ea0R2F2ZKl0VOUNIcExoatFsddjuU1BEpq5FeiSFkF3cSSo8D3PwTqFG7-KwF0KJyjL0Q0uKtpYP_iW2fA&amp;amp;lib=M-zdWbhavtdZ1B_W2dnFDM0qoVt4lWzJ-"&gt;here&lt;/A&gt;.
&lt;/BODY&gt;
&lt;/HTML&gt;
</t>
  </si>
  <si>
    <t>sYKFMV8vQma.ttwyx01XHQ</t>
  </si>
  <si>
    <t>18442</t>
  </si>
  <si>
    <t>EXPRESSO SAO MIGUEL S/A / (051) 3586-2013Informação Adicional: 30/60/90 R$ 7.939,00 VALOR PROMOÇÃO  / Obs.Interna: 30/60/90 R$ 7.939,00 VALOR PROMOÇÃO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</si>
  <si>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bBHMGbxxjvBQGHMRgkMQKOra6UqLaD0UQdJ2CySgERZw9Qm7zmtrVDUjmweMtMuUksnMnCXkvo0tvcYSGsgKNRE3j-EBSBYy92svXU60sFylvQQxkMv_ewhZZbSiWSPiI__w_lPtQb5fF2zsYjhBSwioFRuUkLkN0-ZeHTAhuAKwK_f1IW9l618oyQaBJdspau3R6izEu7bwtTHfe102FZLxIgFlEDhKlwpiyCQfSNEpfYN3DPZYi27ewXQTAPpxWr0rX3krR_0YVaq1_CUJ-c9GKbO-ICjv4P8nMLklAqjn8N6eKhvuZ07TkkQ&amp;amp;lib=M-zdWbhavtdZ1B_W2dnFDM0qoVt4lWzJ-"&gt;here&lt;/A&gt;.
&lt;/BODY&gt;
&lt;/HTML&gt;
</t>
  </si>
  <si>
    <t>bvc7TiMPQwelAHQiw9xX5A</t>
  </si>
  <si>
    <t>18443</t>
  </si>
  <si>
    <t>8F00250706320011</t>
  </si>
  <si>
    <t>CVP5F83 - BAUER EXPRESS - ANDERSON CLEITON BARBOSA  - 09738922933 - FIAT/DUCATO / CARGA CAMINHONETE  / BRANCA  / 2011</t>
  </si>
  <si>
    <t>SAIR EM OUTUBRO
RODONAVES TRANSPORTES E ENCOMENDAS LTDA / (016) 3965-3955Informação Adicional: valor da maquina 5222,29 -prazo de 30/60/90 - faturar em 30/09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</si>
  <si>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O3apQj5opYx3-vljbRcMxdbuQcflAH2rLXV0YG1hPSqlNCCt13upts-FjlyKZibtY1qXnPwmxWmOWMJaoYFPzHb7534RSBL8JdVHjeL7hVmIUKrdNCikjNxEUb5li3paTXx-0lwclFTtXEuXQshKmJNHDC2pfe-d2SxOv9KC7l5Ftat73eX0BFvQkWIoBuZp0mHdlFlvLjEYhHoKU6jNSbtmnKXulbjl5X1PhYbQ1wDNZm9Smluz9I2sXG7pyXn49m6OkAjEBlaOSc1JvmgTxaNdo12acVDLy8UomXhUo7GDJ8ui6HvFCtZe8gA&amp;amp;lib=M-zdWbhavtdZ1B_W2dnFDM0qoVt4lWzJ-"&gt;here&lt;/A&gt;.
&lt;/BODY&gt;
&lt;/HTML&gt;
</t>
  </si>
  <si>
    <t>uJdbaaDyQA-7X-qm6bQVtQ</t>
  </si>
  <si>
    <t>18444</t>
  </si>
  <si>
    <t>8F00250329030055</t>
  </si>
  <si>
    <t>MJP0755 - BAUER EXPRESS - RONALDO CESAR DA ROSA - 00697858057 - IVECO / CARGA CAMINHAO / BRANCA  / 2013</t>
  </si>
  <si>
    <t>RODONAVES TRANSPORTES E ENCOMENDAS LTDA / (016) 3965-3955Informação Adicional: valor da maquina R$9239,83 prazo de 30/60/90/120 / Obs.Interna: Mario-Aprovado até 120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</si>
  <si>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lB3smhJa8CQP2jXpy_GfIL1IH-GQjAPiQc4LxHYPSEAjtjecP1YexXRPG6IjFgfuLU0FiMZo4F_vSukEoKSVtUmKG3gZx5F_fCvaeZnWvu5dZKICjEkMVDSYj_JtW9JsRby7XsBm3kv8Tu-CEDJEEOpsPlOKo5e1oJWFLaUjfU8azS-WRhbWGDKyXkFMQZ7n6f1fK5lTU1R1vTZiIh5E1q6dUmNIEA4Y9Wv7QM_KG2s302NYyP6y8w-wRqT3w39fqRPr_DNtgihVdhrUbYhwKQvtQPekm2e_Ixwt-vSb3Q8ymryn65n0IGoZQrQ&amp;amp;lib=M-zdWbhavtdZ1B_W2dnFDM0qoVt4lWzJ-"&gt;here&lt;/A&gt;.
&lt;/BODY&gt;
&lt;/HTML&gt;
</t>
  </si>
  <si>
    <t>WDrSBDFyT.Od-3E92FrRNg</t>
  </si>
  <si>
    <t>18445</t>
  </si>
  <si>
    <t>8F00250411490015</t>
  </si>
  <si>
    <t>FKM1E96 - RODONAVES - DANIEL MACHADO - 06660668926 - IVECO/DALLY / CARGA CAMINHAO / AZUL / 2020</t>
  </si>
  <si>
    <t>RODONAVES TRANSPORTES E ENCOMENDAS LTDA / (016) 3965-3955Informação Adicional: valor da maquina R$6542,26 - prazo de 30/60/90/120 / Obs.Interna: Mario-Aprovado até 120 . Pacote 03 pedidos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</si>
  <si>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m0ucb4XPx0M2Dsu6YB-L-c6P2E5pYh5vLOXwcGucU-upQs7PiIwB8x7TS6pUx9T3d6r75X0-ciakMRvi6Jhjk9Z5lcQTrnwOPEG6cFo4a3MX_fzvozkcF1xs8tfZ957ohojXq0KC3n3fwgQcX1AtZo4_JoOabIPLmpDEEPFklW6Suiv0qgkdUkqpHaesBJ4R-b0kJfDLIpG4QM5CaM07JDHW2Oc7W4HUse8XPqL5gVPgnivYWaFRb2H-YncgLcSK4q1IMEEtkFcF4pBIbbN_ch1ZESQOMGgjb0tX3AkGeKDSqzypNO50bPOv-jA&amp;amp;lib=M-zdWbhavtdZ1B_W2dnFDM0qoVt4lWzJ-"&gt;here&lt;/A&gt;.
&lt;/BODY&gt;
&lt;/HTML&gt;
</t>
  </si>
  <si>
    <t>djqgPLGHSsG8Cr7uH-Fb9g</t>
  </si>
  <si>
    <t>18446</t>
  </si>
  <si>
    <t>PISCINA E CIA PRODUTOS LIMPEZA E MANUTENCAO EM GE</t>
  </si>
  <si>
    <t>8F00241225070009</t>
  </si>
  <si>
    <t>FITLOG TRANSPORTES E LOGISTICA LTDA / (048) 996277956Obs.Interna: pix COMPROVANTES COM A BRUNA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</si>
  <si>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UKpFJw4NIuZPd_5oGTC2LZn9VKGFJ_jq2z3q31fN2N4K8rarbwsoBCsL-ctpdKm2NMFGC60Vtg4Bm2B7475f5PF52wMPI6Al_SQZxeoBmXDGeuTg5KfLqGcM_owLleVWdrCBBSAsrLf21sjrX9I4xiJLaW3MREMtp0mo-bhx9z4AP2gU5BomfKQyWdTCfY88KQk4uPpjHBULCMQrLGrA7M7whbaplM5cd12YMW5qhPtpBEKjHhye8xf_jk1NhDpz40kAHSOF-onxwpKFSxq7b5RjKc3bgWn89ZV8o-94FmQurdCFptk_Dxw9fQ&amp;amp;lib=M-zdWbhavtdZ1B_W2dnFDM0qoVt4lWzJ-"&gt;here&lt;/A&gt;.
&lt;/BODY&gt;
&lt;/HTML&gt;
</t>
  </si>
  <si>
    <t>7tVRIeB4TG2yqNpu3bCZWg</t>
  </si>
  <si>
    <t>18447-A</t>
  </si>
  <si>
    <t>FITLOG TRANSPORTES E LOGISTICA LTDA / (048) 996277956E-mail para nota fiscal: , E-mail de cobrança: , Telefone para contato.</t>
  </si>
  <si>
    <t>qH5QNHO8Rba61a5wqioWyg</t>
  </si>
  <si>
    <t>18447-B</t>
  </si>
  <si>
    <t>8F00250804050001</t>
  </si>
  <si>
    <t xml:space="preserve">&lt;HTML&gt;
&lt;HEAD&gt;
&lt;TITLE&gt;Moved Temporarily&lt;/TITLE&gt;
&lt;/HEAD&gt;
&lt;BODY BGCOLOR="#FFFFFF" TEXT="#000000"&gt;
&lt;!-- GSE Default Error --&gt;
&lt;H1&gt;Moved Temporarily&lt;/H1&gt;
The document has moved &lt;A HREF="https://script.googleusercontent.com/macros/echo?user_content_key=AehSKLiTzmsirQuOWzjwQgAJ1b-kOlNVPCWagWiZ17cGRFL162CJTmVMMVB48CMj5N521Te0ChQGsHKj77lY0yaEkIcM1aalndQz6uQAvOS4mpm0_7tYHXcmR6r16JgvT6JcI0KqdPTsBo_AGl9e-Vn6TNUTvEI5Uoz90BNvB9wQxaAl4J5mYN45-kJLe-2VV8jFkM0Q9-n4Uo80fARHxJ72Bc9n8jvevMy5yYuhUQtAYQVg-YUDdWx5VfdJA9F6YgRB5YrrIr_ShdVN29wBBzs2tiFSVCCDXGyq6mQJlkGp-41hp7aD_-u04tuH_yAYlA&amp;amp;lib=M-zdWbhavtdZ1B_W2dnFDM0qoVt4lWzJ-"&gt;here&lt;/A&gt;.
&lt;/BODY&gt;
&lt;/HTML&gt;
</t>
  </si>
  <si>
    <t>YQRXzuJtU9kIm4jL6ODc</t>
  </si>
  <si>
    <t>18448-A</t>
  </si>
  <si>
    <t>A PAGAR</t>
  </si>
  <si>
    <t>FITLOG TRANSPORTES E LOGISTICA LTDA / (048) 996277956Obs.Interna: entrega em 10/10/25 futura com entrada .  / E-mail para nota fiscal: , E-mail de cobrança: , Telefone para contato</t>
  </si>
  <si>
    <t>OxkAIErfQgGjgWSY.jZyQw</t>
  </si>
  <si>
    <t>18448-B</t>
  </si>
  <si>
    <t>wi08GffR2zWGHh6K0dTq</t>
  </si>
  <si>
    <t>18448-C</t>
  </si>
  <si>
    <t>Ld4ePqlZbcxK7sLS9X1H</t>
  </si>
  <si>
    <t>18449</t>
  </si>
  <si>
    <t>8F00250411500005</t>
  </si>
  <si>
    <t>FPX5B63 - RETIRA - RONNYEL KELVYN JACOMONY - 06787218907 - FIAT/DOBLO / PASSAGEIRO / BRANCA  / 2020</t>
  </si>
  <si>
    <t>RETIRADA NA FABRICA / (0) Informação Adicional: CLIENTE VAI RETIRAR EM BIGUAÇU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</si>
  <si>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BkPxrkQv_O5DaDskI9lon-DoxEI5DW4szmwvv_uSQo_a16zTase9VDF9zZ5NytNZe4QdShjnDuZdpL0mO7GscdpT520OnNVZkQVSnnGe5JOwpFLTfxOs4BpaygX_cpqlNEyA5LA2Q_TMibfUG1hN974UWHEguYTmwNo-uNp9dlVoxAGQ_qvbZzSODi9NYJ72jWHHbsvHyzRcDcCbfw8PFFEmw5V9n8XN1CXbC9tZY1GuruDEdhaLnXbyOWBvzWC859x-Zpnaiz0H8mUd07XlyZbLMrBnxAsmJvSYCQk4S5XQsUaHhvAoxDeU3gA&amp;amp;lib=M-zdWbhavtdZ1B_W2dnFDM0qoVt4lWzJ-"&gt;here&lt;/A&gt;.
&lt;/BODY&gt;
&lt;/HTML&gt;
</t>
  </si>
  <si>
    <t>7iRsuCD1Q9-X9-P8SjB7yw</t>
  </si>
  <si>
    <t>18450</t>
  </si>
  <si>
    <t>8F00250804020012</t>
  </si>
  <si>
    <t>SAIR EM OUTUBRO
FITLOG TRANSPORTES E LOGISTICA LTDA / (048) 996277956Obs.Interna: remessa entrega futura, cliente ja vai deixar maquina paga para receber quando chegar.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</si>
  <si>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xp2GGRUtXdQLgreP7qfii7RS_4yQUkYndv39CJTkyiOvJ4-WMVSgHOCR4lR8bkxMXBJbr0UxfWgsP92ore-A1fAaNB0hKe9c34_85FuSmwGhK4P-Atzkx1IrjhPLl3zcrb6Ti4Nw8BOAEm0k-E22ZnSI9O4Vx_1pYA48BQ74fpgJmGgdKRkp8SiKi8UwqS2yS8qjzpPwJfLdAJUz5MThiBeiXZYjXQyHESl6weUrikKz07kQLxvpaHFeZKBZA03GUJJG_lfAZuWS3_IP4FA-6qHBbsBxKjip3SXUYpBQs8kPS9LetrUmbmbZ4Ow&amp;amp;lib=M-zdWbhavtdZ1B_W2dnFDM0qoVt4lWzJ-"&gt;here&lt;/A&gt;.
&lt;/BODY&gt;
&lt;/HTML&gt;
</t>
  </si>
  <si>
    <t>1UdIpVhRTN2V5PXjOZLgZw</t>
  </si>
  <si>
    <t>18451</t>
  </si>
  <si>
    <t>8F00250526260004</t>
  </si>
  <si>
    <t>EXPRESSO SAO MIGUEL S/A / (051) 3586-2013Informação Adicional: +3% de desconto prazo de 30/60/90 / Obs.Interna: Mario-Prazo 30/60/90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</si>
  <si>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AKw5Xz8ZdRT4r_HrN23RkcQ_V9F8NX-1rLpIVCTO5OMuXO9p9uH5vMoVVFlsc5GjQP_CbXGohZ4VpIn283FbmCqVou2jJIgD-sOqpFFxM41DSjXUUwBU6pqwzh5P3aBp5RjaNJofczd4ImMCbgmBPHRt3GLq0235AjznAropSWvfv2UVvAh8575oX2e_Jn3dDrrEk2IRNxP6AIOCRJrBqx6dBxFBEfgCjFlm7JwqmY42g8b5WIS9KrB_S-fzATh4IqgnMYOV0L9xhXPR3_XsR-XFTN4mQ4Uoy9_Fqj9q20U5M9Jnl1gEX4k-bw&amp;amp;lib=M-zdWbhavtdZ1B_W2dnFDM0qoVt4lWzJ-"&gt;here&lt;/A&gt;.
&lt;/BODY&gt;
&lt;/HTML&gt;
</t>
  </si>
  <si>
    <t>vieYW9d9Sr6h8fhqcqKv5Q</t>
  </si>
  <si>
    <t>18454</t>
  </si>
  <si>
    <t>KAPE COMERCIO E REPRESENTACAO LTDA</t>
  </si>
  <si>
    <t>PEDIDO AGUARDANDO LIBERAÇÃO PELA ELINE 18/09/2025 - 13:41 FOI TENTADO FATURAR PARA ENVIAR, MAS FOI SOLICITADO PELO GRUPO DA EXPEDIÇÃO PARA SEGURAR FITLOG TRANSPORTES E LOGISTICA LTDA / (048) 996277956Informação Adicional: VENDA INDICADA POR CAXANGÁ PISCINAS SEM COMISSÃO - REDESPACHO: RF BRA TRANSPORTES (49.515.412/0001-53) ENTREGA: AV CAXANGÁ 1562 -
DESCONTO 40/10 + 13,5% / Obs.Interna: VENDA INDICADA POR CAXANGÁ PISCINAS SEM COMISSÃO - REDESPACHO: RF BRA TRANSPORTES (49.515.412/0001-53) ENTREGA: AV CAXANGÁ 1562 -
DESCONTO 40/10 + 13,5%
Endereço de Entrega: Av. Caxangá, 1562 - Cordeiro, Recife - PE, 50711-000 / E-mail para nota fiscal: , E-mail de cobrança: , Telefone para contato
&lt;br&gt;</t>
  </si>
  <si>
    <t xml:space="preserve">&lt;HTML&gt;
&lt;HEAD&gt;
&lt;TITLE&gt;Moved Temporarily&lt;/TITLE&gt;
&lt;/HEAD&gt;
&lt;BODY BGCOLOR="#FFFFFF" TEXT="#000000"&gt;
&lt;!-- GSE Default Error --&gt;
&lt;H1&gt;Moved Temporarily&lt;/H1&gt;
The document has moved &lt;A HREF="https://script.googleusercontent.com/macros/echo?user_content_key=AehSKLju_PiMCOFlQyfFHsgSuGeYHdLttwMRvS5-LvYvwfZnsjssad87NOC3A1SAiskkWIT9MJTZ6jd3BK3XcDiIo7pr5tNKJo-96IwXhF52ym5PJ0XvZCPqGoJG2OK9bTRIwLTOrjJaeUhTQ3zNgfU8zmLDXKLt9OhrX1FNWdRZrSiOurxJl0YVq5ixtZ8e0a6b0ylKI6VvitaVyVmM66LGEdRXsgjlYYjE08cJXmq0nUFLPuHtPMBHRDC5jKyN0gmQhNb-N8jE0Wny-PiqSHG2hxvcvVGwJORM7dMwiTt3Ji-7KneLo-DEby8r7jPMJA&amp;amp;lib=M-zdWbhavtdZ1B_W2dnFDM0qoVt4lWzJ-"&gt;here&lt;/A&gt;.
&lt;/BODY&gt;
&lt;/HTML&gt;
</t>
  </si>
  <si>
    <t>10rBKi-2QTGOlkdi--5vEg</t>
  </si>
  <si>
    <t>18455</t>
  </si>
  <si>
    <t>8F00250526250012</t>
  </si>
  <si>
    <t>RODONAVES TRANSPORTES E ENCOMENDAS LTDA / (016) 3965-3955Informação Adicional: +10% DE DESCONTO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</si>
  <si>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KP8yCcENpC0hpQLpKGVS4PcypJNJ2caP5PmmheqixA4xPQEoaq7kc-nb4NkXiLx5w4dTU6jbhp5IAEri08XpdayhMeXxjUnTbYHm5nfed628ylI2Rg7jMwvuq3ZXtBOYUr16tbUbfyQ9tDu6vU2Tiz5l0UqpdrQUhpnKJa2iLutjG0XMpSyZkuo_3dgqRJSKvnS4cKGd6zwV7e3vJFwG9lF4xX7Yl1hMLvqOt3pi1-RDXHBk-FW974du3hbIOuKR9PHv_fYUNR-1Nj41fRw_rc2uH8-B6wCLCzgJ0OFoO9XOnSqJL1KGSNvufMg&amp;amp;lib=M-zdWbhavtdZ1B_W2dnFDM0qoVt4lWzJ-"&gt;here&lt;/A&gt;.
&lt;/BODY&gt;
&lt;/HTML&gt;
</t>
  </si>
  <si>
    <t>3eun2iFbRuevgyp1kZewyw</t>
  </si>
  <si>
    <t>18457</t>
  </si>
  <si>
    <t>8F00250804020010</t>
  </si>
  <si>
    <t>SAIR EM OUTUBRO
FITLOG TRANSPORTES E LOGISTICA LTDA / (048) 996277956Informação Adicional: REDESPACHO SÃO PAULO PELA BRASPRESS / Obs.Interna: REDESPACHO SÃO PAULO PELA BRASPRESS - futura em 10/10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</si>
  <si>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OGFgXOGE9V1S7CK0zjcu5ao2HE529jbhj8DbmhIl5qaUBKXib42czBVbgZ8w3_hTS0krkeW8lTML8B98mwGFpXSSJ-jlj-AZ_Sbi0Qeq3Grb0mC073vZKuaduUAA8sP1HtivagGZulb7gFGiB5s5X2LNUMXqmPHR6V4F7cioWsuCA0ZX7BH9a4MAviXOZGM4Z7q22NLRCUug-IbFPWPyt5qwlHl35kv3G4p9zlZ48cxqEPy0y2Te0veYfGKmbdMolP2Mtbz0GwNV00UDrLYwdqPE8ScyjM_LtG4xKnbowG9Q6yFRWYMdoZs4v6A&amp;amp;lib=M-zdWbhavtdZ1B_W2dnFDM0qoVt4lWzJ-"&gt;here&lt;/A&gt;.
&lt;/BODY&gt;
&lt;/HTML&gt;
</t>
  </si>
  <si>
    <t>vQeDZ7EdSz6CPW-pGRtczA</t>
  </si>
  <si>
    <t>18459</t>
  </si>
  <si>
    <t>8F00250526250011</t>
  </si>
  <si>
    <t xml:space="preserve">&lt;HTML&gt;
&lt;HEAD&gt;
&lt;TITLE&gt;Moved Temporarily&lt;/TITLE&gt;
&lt;/HEAD&gt;
&lt;BODY BGCOLOR="#FFFFFF" TEXT="#000000"&gt;
&lt;!-- GSE Default Error --&gt;
&lt;H1&gt;Moved Temporarily&lt;/H1&gt;
The document has moved &lt;A HREF="https://script.googleusercontent.com/macros/echo?user_content_key=AehSKLiNCcsqX43ATU_Q84kuWOvz3hNlIGwg4ej3MJPQJjbDepuLIXB7aNUnkjrUeB1H2jzIy-qrbiXWYHNHMUBzdiAbgPUojWy0X78KQ3wIctKx26LPVNN0B7nVvN7gM-b0NjXpMsDqaaZ5Ds0zwpxoJ-kDy9glsRt7ettYT0KWlGZeaVcx-jSdyFMow7R25v8L44hjCi_SIyukhBLra8FARtZrj5q01R2I67a0G71TFlom1WyJnMpkNx5KSWvFhX5gDY3ReZZCskbNdIKhC5DqKFASClxo2tYxrgwl6dEU84C0ZXmXn6Tk1f2HIOZTjg&amp;amp;lib=M-zdWbhavtdZ1B_W2dnFDM0qoVt4lWzJ-"&gt;here&lt;/A&gt;.
&lt;/BODY&gt;
&lt;/HTML&gt;
</t>
  </si>
  <si>
    <t>wJkp5bUMRbmigaXZkPxEjA</t>
  </si>
  <si>
    <t>18465-A</t>
  </si>
  <si>
    <t>8F00250526250001</t>
  </si>
  <si>
    <t>CLIENTE RETIRA / (0) Informação Adicional: PREÇO ESPECIAL EXCLUSIVO PARA ESTE PEDIDO  / Obs.Interna: cliente retira 12/09/25 em Biguaçu  / E-mail para nota fiscal: , E-mail de cobrança: , Telefone para contato</t>
  </si>
  <si>
    <t>&lt;!DOCTYPE html&gt;&lt;html&gt;&lt;head&gt;&lt;link rel="shortcut icon" href="//ssl.gstatic.com/docs/script/images/favicon.ico"&gt;&lt;title&gt;Error&lt;/title&gt;&lt;style type="text/css" nonce="2zWXmHiGkqcekV-t8Nszbw"&gt;body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</si>
  <si>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7h08sk3.SQuzL4f0Gbf.Sw</t>
  </si>
  <si>
    <t>18465-B</t>
  </si>
  <si>
    <t>8F00250526250005</t>
  </si>
  <si>
    <t>&lt;!DOCTYPE html&gt;&lt;html&gt;&lt;head&gt;&lt;link rel="shortcut icon" href="//ssl.gstatic.com/docs/script/images/favicon.ico"&gt;&lt;title&gt;Error&lt;/title&gt;&lt;style type="text/css" nonce="UeJrIDh85ks3A7z_AEbPyQ"&gt;body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</si>
  <si>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kdeCLatJAhwOYlB92Q8G</t>
  </si>
  <si>
    <t>18465-C</t>
  </si>
  <si>
    <t>8F00250526250003</t>
  </si>
  <si>
    <t>&lt;!DOCTYPE html&gt;&lt;html&gt;&lt;head&gt;&lt;link rel="shortcut icon" href="//ssl.gstatic.com/docs/script/images/favicon.ico"&gt;&lt;title&gt;Error&lt;/title&gt;&lt;style type="text/css" nonce="eg9ADo_8rdyt7_KiJXnf0g"&gt;body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</si>
  <si>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RIbfiJn5uz6ZVteHHhGM</t>
  </si>
  <si>
    <t>18466</t>
  </si>
  <si>
    <t>FITLOG TRANSPORTES E LOGISTICA LTDA / (048) 996277956Informação Adicional: Abater valor do pedido do saldo de conta corrente (Contrato). / Obs.Interna: Abater valor do pedido do saldo de conta corrente (Contrato).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</si>
  <si>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3Vu_bv5ZkPpfGOHdzaf0V7mqCNeee3QKcU28VGju3NVEOAaM-Fnw-EkUxXmkX_MxXWCR7013hM8IPJN33yWa9DPIM7S9tW2ofctrOex-D1mU0DsHDHFxgaxmt_7-LJccXntzKwSF4pBZvwS9LDV1XRxn1FjuBeRBnQvhVQAgO7WsfILt0CkRae361tJeGvh1INiUFxlpch2KSlQgKot62_xbWgXQCa9PVzZKRzcbBTzSwMfyFRn0PG76kqbVVRz6thxQiRDghRLDQ6WR8Ncf3vFG6LywP5G1NqliBvtTJ9vOmIpOryedkT2ml5A&amp;amp;lib=M-zdWbhavtdZ1B_W2dnFDM0qoVt4lWzJ-"&gt;here&lt;/A&gt;.
&lt;/BODY&gt;
&lt;/HTML&gt;
</t>
  </si>
  <si>
    <t>VyYeYVnVQYSGmLwlExEx1Q</t>
  </si>
  <si>
    <t>18467</t>
  </si>
  <si>
    <t>8F00250526260003</t>
  </si>
  <si>
    <t>CLIENTE RETIRA / (0) Obs.Interna: cliente retira dia 12/09/25 em biguaçu , fez pix entrada .  / E-mail para nota fiscal: , E-mail de cobrança: , Telefone para contato</t>
  </si>
  <si>
    <t>&lt;!DOCTYPE html&gt;&lt;html&gt;&lt;head&gt;&lt;link rel="shortcut icon" href="//ssl.gstatic.com/docs/script/images/favicon.ico"&gt;&lt;title&gt;Error&lt;/title&gt;&lt;style type="text/css" nonce="wswkkW8el2KcmX_oJBqvWA"&gt;body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</si>
  <si>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a.E6Pm0NATR-KLh1uHtIlOw</t>
  </si>
  <si>
    <t>18468-A</t>
  </si>
  <si>
    <t>8F00250526250004</t>
  </si>
  <si>
    <t>CLIENTE RETIRA / (0) Informação Adicional: PREÇO ESPECIAL EXCLUSIVO PARA ESTE PEDIDO  / Obs.Interna: cliente retira em biguaçu 12/09/25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</si>
  <si>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7VIBw_u-_B3SxBuAahZmuHFMrAGzDqKdckFWwD4tGUMbbEK7nCH0w0rvBK8PAbNOZt1VI5Bueyd0Xod9s9MdwbvfKqw7wAq7BkwAaO7JhPOa537CivDLWNVOORObqmKVAmKOmGY4MDsmETEbf4ZvmdnqTF88K4jbbshnutLvJ3DN6weYDWv-FAXyX8vK6Qkz11DGlX0YVsq3GgrCHfMjAsQQtCkupgvtN6DtJFPCICatyrYc15DCaHt0LSVaHiQRu0Jw4W6Aw6lBZHk8NjxU9uicVpfv9bQ0PwbEhPY3bAwv8FcZyOaY-FwwA_Q&amp;amp;lib=M-zdWbhavtdZ1B_W2dnFDM0qoVt4lWzJ-"&gt;here&lt;/A&gt;.
&lt;/BODY&gt;
&lt;/HTML&gt;
</t>
  </si>
  <si>
    <t>M-cS6pJ8QOS-ySdGxtS2gg</t>
  </si>
  <si>
    <t>18468-B</t>
  </si>
  <si>
    <t>8F00250411520039</t>
  </si>
  <si>
    <t xml:space="preserve">&lt;HTML&gt;
&lt;HEAD&gt;
&lt;TITLE&gt;Moved Temporarily&lt;/TITLE&gt;
&lt;/HEAD&gt;
&lt;BODY BGCOLOR="#FFFFFF" TEXT="#000000"&gt;
&lt;!-- GSE Default Error --&gt;
&lt;H1&gt;Moved Temporarily&lt;/H1&gt;
The document has moved &lt;A HREF="https://script.googleusercontent.com/macros/echo?user_content_key=AehSKLjtPrnLU-FCyUBDbSZ6xa04slS8zUNu7Li6z_Kx5soA_lOcKg-DT8v413KgJ4fUB1p0V_N5oL-ljoTnpjF71zYWDNyfPLFWqE4wIAg9QPleE5CCCIKQ-huPw23coOVR8DkY5r2WsjgBjYJiJSJNMRSFPrQqPFB80d353Q5G2En38TtClHvp5pH0s2u-ea_HwBQKAME5HY6jisLqxP3OnqnA2axuOSlT9EpEtJpCts4L_sfSEWuwd09e5MdHQPDxnr2fDu9J5_K0gwBgXOTgF8eip-SYZhvs1XcFxgYu5EnoB-Mayxs_xSVVSKkTuQ&amp;amp;lib=M-zdWbhavtdZ1B_W2dnFDM0qoVt4lWzJ-"&gt;here&lt;/A&gt;.
&lt;/BODY&gt;
&lt;/HTML&gt;
</t>
  </si>
  <si>
    <t>kCeRRy8vVYSMr8w1laNb</t>
  </si>
  <si>
    <t>18469-A</t>
  </si>
  <si>
    <t>8F00250329030051</t>
  </si>
  <si>
    <t>EXPRESSO SAO MIGUEL S/A / (049) 3361-6627Informação Adicional: Favor corrigir o valor de cada maquina para R$7.939,00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</si>
  <si>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39XwdrPywwZ2LvdHT1C23obUL1Y8v3forFKYy79OQUtrFDr453WSQNQVwXVu-yj57Uk2f8mZX5OytbZdPtUsWWRAgeHadWcdB3tQEU8T8jS8oBAx2WHBqGkOngDSjErcT6HuiReS4yO7qK1plp3xPSQXrwrdTuL_FuhSv7Wu6Uin8pS5atQjjTBxgFLSjL2gYIHef7097omwt10JduPhS_Edv5P3osG94_EhvAdBFs3N77CBMiV6jWu606JuZd6Qf1QnJaSQWcROYRXPb8TyCK2cD2mOpgTOVsVuLq1VKZ0T5_5kQfrCwKEDJ2A&amp;amp;lib=M-zdWbhavtdZ1B_W2dnFDM0qoVt4lWzJ-"&gt;here&lt;/A&gt;.
&lt;/BODY&gt;
&lt;/HTML&gt;
</t>
  </si>
  <si>
    <t>bA.jT4kmSbSiKmrur8lHpw</t>
  </si>
  <si>
    <t>18469-B</t>
  </si>
  <si>
    <t>8F00250329030049</t>
  </si>
  <si>
    <t xml:space="preserve">&lt;HTML&gt;
&lt;HEAD&gt;
&lt;TITLE&gt;Moved Temporarily&lt;/TITLE&gt;
&lt;/HEAD&gt;
&lt;BODY BGCOLOR="#FFFFFF" TEXT="#000000"&gt;
&lt;!-- GSE Default Error --&gt;
&lt;H1&gt;Moved Temporarily&lt;/H1&gt;
The document has moved &lt;A HREF="https://script.googleusercontent.com/macros/echo?user_content_key=AehSKLjtYFzvHkLxkcGifof6zX8b7IojzGt2GIsXoXnrgCCJUUOAZZMx5S5A0Hm6xpKd8v-fwuCQJOXzkIA8lV15Ro1lUyUdMfWnjXIvIthzdmz16KVB43rAaRar8bY4pGT-fSfx3X-E2Gk0TMLpUVDGW_oydBZG6fZZWnOz_ZdsGmzEMmbCdRAmH4zxXUMydxvJk5bEG0Rxlif67v1wJ0HSJO50gsDZJN6XcaPG2qmP2vQszd_tT-qFwXvdRYTHncFo-LYfYhzuTy3nrXDwAzeCowqhz-CNQleBwHZG1jKL6NtFc68eYcoz9N_gfxB-QQ&amp;amp;lib=M-zdWbhavtdZ1B_W2dnFDM0qoVt4lWzJ-"&gt;here&lt;/A&gt;.
&lt;/BODY&gt;
&lt;/HTML&gt;
</t>
  </si>
  <si>
    <t>hMYisXiONRaFLlLxzjhS</t>
  </si>
  <si>
    <t>18469-C</t>
  </si>
  <si>
    <t>8F00250329030048</t>
  </si>
  <si>
    <t xml:space="preserve">&lt;HTML&gt;
&lt;HEAD&gt;
&lt;TITLE&gt;Moved Temporarily&lt;/TITLE&gt;
&lt;/HEAD&gt;
&lt;BODY BGCOLOR="#FFFFFF" TEXT="#000000"&gt;
&lt;!-- GSE Default Error --&gt;
&lt;H1&gt;Moved Temporarily&lt;/H1&gt;
The document has moved &lt;A HREF="https://script.googleusercontent.com/macros/echo?user_content_key=AehSKLhImMDDV3JAO31qtIcQSTHVyBFV4AkZVUV0mMPF6odN1grWsUQrpLt7UByYaUWFo5WDi0vfZr7QcasWJ3v_1o6A5tMtM-D8GSq_l2IWhN_YHRcbxcu_jAoXB3gijGlGshtCHJCLQPG9GLCD09qVHZSRqIj6TNa-QW5VwYIPo_77aQIFJq3PDj3LUXU1b0fjklvPEFJ7xUJ81zFhAo18KBjfW4DnP--iEIVziXL8xbBbynOv-09-CQ5PYd39Vn6GFFoKS4k6ytIBbrP-Ran0NJG5VtY_UKiv3oBgyuZGa_ubhK9MXjWyjNxCI3Bfdg&amp;amp;lib=M-zdWbhavtdZ1B_W2dnFDM0qoVt4lWzJ-"&gt;here&lt;/A&gt;.
&lt;/BODY&gt;
&lt;/HTML&gt;
</t>
  </si>
  <si>
    <t>O1MoFaczO6CL5Xdbn558</t>
  </si>
  <si>
    <t>18470</t>
  </si>
  <si>
    <t>8F00250526320001</t>
  </si>
  <si>
    <t>EXPRESSO SAO MIGUEL S/A / (049) 3361-6627Informação Adicional: Favor corrigir o valor para R$14.400,18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</si>
  <si>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bly7nOZlWLeO2o9oBWmdLNGoBTqxcajRAzjPGL_YlaZ9i24zTVZLJ7qvL7AI_XwRGVAbssA4aSd-fNulxq_zOey6PwoybOt-BMeArTO9kVSOPoTROY-RcDb5esmv_ZvJjhqKyJHy6mlPsRnZPPvlAuOXGxUksIjMXLILueu6VfAFv3ZJNdVDwmkd5jOZqHuyhahyoavi4HRrYr0Sp3__gYSJTOAGj9AmW_jKbkv8-7r2N8sBfQ-7rl7GP7ITKoybCkVrHPAkR2RZ-kq-hqjXW2lSA96OzBcnttys47yLlDYq-o34_a7j9YWGH5A&amp;amp;lib=M-zdWbhavtdZ1B_W2dnFDM0qoVt4lWzJ-"&gt;here&lt;/A&gt;.
&lt;/BODY&gt;
&lt;/HTML&gt;
</t>
  </si>
  <si>
    <t>anGbCPiAQUG1waInIkzkbw</t>
  </si>
  <si>
    <t>18471</t>
  </si>
  <si>
    <t>THERMYCLEAN INDUSTRIA E COMERCIO LTDA</t>
  </si>
  <si>
    <t>8F00250526250015</t>
  </si>
  <si>
    <t xml:space="preserve">&lt;HTML&gt;
&lt;HEAD&gt;
&lt;TITLE&gt;Moved Temporarily&lt;/TITLE&gt;
&lt;/HEAD&gt;
&lt;BODY BGCOLOR="#FFFFFF" TEXT="#000000"&gt;
&lt;!-- GSE Default Error --&gt;
&lt;H1&gt;Moved Temporarily&lt;/H1&gt;
The document has moved &lt;A HREF="https://script.googleusercontent.com/macros/echo?user_content_key=AehSKLixxU7ujO0vl-JYxA4MIeaKiolV5KTUb7jKj8tmAxSnpDBnF89VRSiRzMh2fkB1ql-WEvlP61A-fJTweKuw2L6XhSbfSZtkG5vOgT8ECauAm_tdedH9DUprhvnYZsG6EnHJa3SPWYL9OU0N_4xy5lYb4q8GNB8BwBdmY2DdAPqM_eC_OZuFbRjeYnsrC02ULKPVvogJYnu270Bo4I6ZgZbLhMeMRdJLDMCvKYFN7x8xjH6pYSUw0PJK-2D1cIGvc6Uhj_akvFMd4i_TR9A7yd_afWxZ2U7MNDtxAlS1S6nrOJoZIDgRh-tmsToEug&amp;amp;lib=M-zdWbhavtdZ1B_W2dnFDM0qoVt4lWzJ-"&gt;here&lt;/A&gt;.
&lt;/BODY&gt;
&lt;/HTML&gt;
</t>
  </si>
  <si>
    <t>raPcYwK4T1eWEmcRWaF-uA</t>
  </si>
  <si>
    <t>18472</t>
  </si>
  <si>
    <t>8F00250526260005</t>
  </si>
  <si>
    <t>FITLOG / (011) 2212-5862Informação Adicional: Pagamento: 50% entrada + 50% boleto para 28 dias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</si>
  <si>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WeHEQe2onTqudcUbCdxe_9JFdmVvUuqmYWsaxEM6iZopgHQufSOeZXmoqYRQfkJbJcEgRnBgeZIdO8AGSoxyk9xeUUUNtEEsl0PHFwRo1LgTK1PP8LHx0mGCbnmP7ymeaZrceQ_bnIdcqFOJjTGVw-iWSKcnYimjy29PlsqECLT8zt-HFm56W6NBWtwyhTipP5cs5Rc4yIzKqkgn7zUqQ37sNkOP7NCi7yqFAAnf8TZH3im4uGl_lR9JtfSDbZunLgRU3eWWFp3IHIiTpJHTHlUbL9YbD2IeoTU02yPOlpacxMahHEYfM4U9a6g&amp;amp;lib=M-zdWbhavtdZ1B_W2dnFDM0qoVt4lWzJ-"&gt;here&lt;/A&gt;.
&lt;/BODY&gt;
&lt;/HTML&gt;
</t>
  </si>
  <si>
    <t>xNTeaHVsTBuzg9rAAWJqDw</t>
  </si>
  <si>
    <t>18473</t>
  </si>
  <si>
    <t>8F00250526250018</t>
  </si>
  <si>
    <t xml:space="preserve">&lt;HTML&gt;
&lt;HEAD&gt;
&lt;TITLE&gt;Moved Temporarily&lt;/TITLE&gt;
&lt;/HEAD&gt;
&lt;BODY BGCOLOR="#FFFFFF" TEXT="#000000"&gt;
&lt;!-- GSE Default Error --&gt;
&lt;H1&gt;Moved Temporarily&lt;/H1&gt;
The document has moved &lt;A HREF="https://script.googleusercontent.com/macros/echo?user_content_key=AehSKLhtxwSWnWC40YMxEAtPAOXT4MemOS-3YeHp0n_E9H3_V-qVs6Cwv2JO9ZAebJh1Fjn-5AJKY8Kttst5orIIjvAH9w3f3xbDkGrEYFqAt87XfmXHC46laqHrVgDb8elWgERDhW6hn0c49n9PDAXn9QJGngTJXNR98TXQyFaHM3vKsJc1rwwvlMmQcSLbb0Mvm9tN2SUoBlmWspe2hB5vV55cbDLaXWRoNyemOVjgfLvbyrYRi50ftDSuBa99HAOP983tpGWR9KT5Su8lfvF8P2BfNS6Oe4yO9Dg_nYi5IO3V9E-OTArHF0IiuZ5UYA&amp;amp;lib=M-zdWbhavtdZ1B_W2dnFDM0qoVt4lWzJ-"&gt;here&lt;/A&gt;.
&lt;/BODY&gt;
&lt;/HTML&gt;
</t>
  </si>
  <si>
    <t>3.xzX43sTx62eAYFDGpMWw</t>
  </si>
  <si>
    <t>18474</t>
  </si>
  <si>
    <t>8F00250526250010</t>
  </si>
  <si>
    <t>FITLOG TRANSPORTES E LOGISTICA LTDA / (048) 996277956Informação Adicional: VENDA INDICADA AGUAS E VAPORES - RN - REDESPACHO PELA  3A TRANSPORTES CNPJ: 14.898.432/0001-57 - RUA ALEXÂNIA, 493 - CID IND SATÉLITE - GUARULHOS - SP - ENDEREÇO DE ENTREGA Av. Maria Lacerda Montenegro, 2874 - Loja 05 - Parque dos Eucaliptos, Parnamirim - RN, 59152-600 / Obs.Interna: VENDA INDICADA AGUAS E VAPORES - RN - REDESPACHO PELA  3A TRANSPORTES CNPJ: 14.898.432/0001-57 - RUA ALEXÂNIA, 493 - CID IND SATÉLITE - GUARULHOS - SP - ENDEREÇO DE ENTREGA Av. Maria Lacerda Montenegro, 2874 - Loja 05 - Parque dos Eucaliptos, Parnamirim - RN, 59152-600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</si>
  <si>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IfL-j-2MFmen9rJmsPP_XfgyQp9ACQhJjIB-PMY7Vjgv6vRpVNo7tOnCG4A5R0OFPXx1BR_GpNCzU3zmzGpKxg0vp38EqMJxXG1mRRkAl_AWLB71TVzLp25T3Lj9Q-7841k0YjaUvEOW_zhl8E7ReJ8AZNUozLvjq7HVkNLN0re9IBoBLvhN1HIM6WhO2VKc5tCHmElg1yLHbbRzd5ySqg2luDN_po2wBwBGyy_n531j6jmx9FSL9U4rTX4VQgcHBh8q7yzNfNMSIysJcooaYPY8crFUF6Wg5nucX0YETzB8RjRWi4Z8tbEGn8A&amp;amp;lib=M-zdWbhavtdZ1B_W2dnFDM0qoVt4lWzJ-"&gt;here&lt;/A&gt;.
&lt;/BODY&gt;
&lt;/HTML&gt;
</t>
  </si>
  <si>
    <t>rBtCNUspT6-DT5xCWvEbGQ</t>
  </si>
  <si>
    <t>18475-A</t>
  </si>
  <si>
    <t>8F00250110290009</t>
  </si>
  <si>
    <t>EXPRESSO SAO MIGUEL S/A / (049) 3361-6627Informação Adicional: FAVOR ENVIAR COM URGÊNCIA, O CLIENTE PRECISA DELA ATÉ TERÇA-FEIRA NO MAXIMO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</si>
  <si>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SM0VpZBkakjeKbY3jW4AkMN1YuctVRjC0YvPz-Pt6kJnTatUlN1VUolY6zyDSsbwNPVYam6aLEaZNFXfWGfOyTlL-xVIYW3Rne_E9rkB2UXBP7I8dDOjufHhgbS_AGB9UhnzjTK5xNhj3hVmN3sU8eyydVezYbV5eSaOaS0ZG0JhhL2cdNPT9Ps9xfHtuUvvj0VR66GHj9zavYm6hQMqWAUWbp5XIop6aD4xw4FlnzuAu-6nzGnmEVxo1mUqlJtQEbG-VTjIdgfQUA7_9m2-x7ho_uXbJOnXfCwp3AhumgiwXaPiOthYeG9H9Fw&amp;amp;lib=M-zdWbhavtdZ1B_W2dnFDM0qoVt4lWzJ-"&gt;here&lt;/A&gt;.
&lt;/BODY&gt;
&lt;/HTML&gt;
</t>
  </si>
  <si>
    <t>Rpb5rfkxTuGnh4MBwx9yNg</t>
  </si>
  <si>
    <t>18475-B</t>
  </si>
  <si>
    <t>8E00241005140035</t>
  </si>
  <si>
    <t xml:space="preserve">&lt;HTML&gt;
&lt;HEAD&gt;
&lt;TITLE&gt;Moved Temporarily&lt;/TITLE&gt;
&lt;/HEAD&gt;
&lt;BODY BGCOLOR="#FFFFFF" TEXT="#000000"&gt;
&lt;!-- GSE Default Error --&gt;
&lt;H1&gt;Moved Temporarily&lt;/H1&gt;
The document has moved &lt;A HREF="https://script.googleusercontent.com/macros/echo?user_content_key=AehSKLghx_KcU7RIrjnshHmvReeFCUTa1bZXTlKG2nisU2xU758DY5YwxpNLXo3FcnTIqK8nD-xELd9_QsBglVIYqMibRzGFnKcUOYmBbabn6LJfA0kyvlCOtw453mVjEOSCQ-1TPn7I-qJgkSh62cT3xtcl9nLklP-WFlQLwUcAdXbYVJpXNM_x7o4FQFMy5XfRhxLr24wq07ZTaSdDVyNMKrOY59kkvBYew7fey0iZxX_nfavfnDLFvtXS2O3KZXYxbZJJaZlhHDYmWwzPA4De4ND9QimaVFkQAMw5nRjXy5mgisGMAY_oIzFk1lzqzg&amp;amp;lib=M-zdWbhavtdZ1B_W2dnFDM0qoVt4lWzJ-"&gt;here&lt;/A&gt;.
&lt;/BODY&gt;
&lt;/HTML&gt;
</t>
  </si>
  <si>
    <t>uUXw4Vc5LxSIi4toFshB</t>
  </si>
  <si>
    <t>18477-A</t>
  </si>
  <si>
    <t>8F00250529210015</t>
  </si>
  <si>
    <t>CLIENTE RETIRA / (0) Informação Adicional: PREÇOS PROMOCIONAIS, VÁLIDOS SOMENTE EM SETEMBRO
ORDEM DE COMPRA: 1507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</si>
  <si>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09oKIUTBbdCPIKWP5vWZPc3ljhTOb6MYEW6pVCPduQ00fFBf8x9EUrSBOdSKKkyr8EzmSpeuXfWwjqM0aYHQYjUk2UBvy8ZrUJBclk1-RP5761Xb0lFBRyj2bU2iZ9IVq6hnKe8CItHGO4gW4z6rrzEMX27Uap13AcxRpUmpVce3rNwUBkYpNO1HRptuzklp-bHgx2wwkpQ3GU3bSbGNow6dsV_b9lUkVyzCsfWjVB47pvvG0ZDi8O_iS9YK4OA-ilKLAJ3JFuOMlhtF704l7HsVYMgtvyTK1wJ32Q1MzPCsiUNrgKvdiDUGiag&amp;amp;lib=M-zdWbhavtdZ1B_W2dnFDM0qoVt4lWzJ-"&gt;here&lt;/A&gt;.
&lt;/BODY&gt;
&lt;/HTML&gt;
</t>
  </si>
  <si>
    <t>INPFHkjsQS-P2Oov.0qMyw</t>
  </si>
  <si>
    <t>18477-B</t>
  </si>
  <si>
    <t>8F00250208100022</t>
  </si>
  <si>
    <t xml:space="preserve">&lt;HTML&gt;
&lt;HEAD&gt;
&lt;TITLE&gt;Moved Temporarily&lt;/TITLE&gt;
&lt;/HEAD&gt;
&lt;BODY BGCOLOR="#FFFFFF" TEXT="#000000"&gt;
&lt;!-- GSE Default Error --&gt;
&lt;H1&gt;Moved Temporarily&lt;/H1&gt;
The document has moved &lt;A HREF="https://script.googleusercontent.com/macros/echo?user_content_key=AehSKLglQ1OZIHGgxlrAIkbjXriGbT8D64RuMZ56xvrmnQXkiOGfS5tUDCWtb47d_YBpb7Cx_3bmaEwDimNWNgw1KeRtLKCj8DD-MWBGB4i9UEFmaDozPEsYFOQzO8WwQkE8_tEqlQuELXzS0XkknH5SnTDkpUdD0fJ5Lbj0RULv6d1jAP7gh7oYOE3plPyzHQGooX-Oy6Oo62XchIIN_2f_tFmbGbzyh5cAh43sjuDQm4jxePrzl-agPBzxXEkjBgDoeLPIcAjkI1oyNEXmaff_UVSvWSprFiPwRFucEXWf3nrjLEtKGYTfPx69zT8n1A&amp;amp;lib=M-zdWbhavtdZ1B_W2dnFDM0qoVt4lWzJ-"&gt;here&lt;/A&gt;.
&lt;/BODY&gt;
&lt;/HTML&gt;
</t>
  </si>
  <si>
    <t>Nw4iPKa7oSCaJ3knMHjO</t>
  </si>
  <si>
    <t>18477-C</t>
  </si>
  <si>
    <t>8F00250208100023</t>
  </si>
  <si>
    <t xml:space="preserve">&lt;HTML&gt;
&lt;HEAD&gt;
&lt;TITLE&gt;Moved Temporarily&lt;/TITLE&gt;
&lt;/HEAD&gt;
&lt;BODY BGCOLOR="#FFFFFF" TEXT="#000000"&gt;
&lt;!-- GSE Default Error --&gt;
&lt;H1&gt;Moved Temporarily&lt;/H1&gt;
The document has moved &lt;A HREF="https://script.googleusercontent.com/macros/echo?user_content_key=AehSKLg5FUoj6oy4NLJf27cG2BtLj8Bvv4IKFpYiorxVnxxMymzMC5cZkH5THmmCPurK7zwMpgMLuZacjsADPehVt48362-5p9duUj-MLKqzT4xblHt2u2wW_5nfFHK2J1soG6NLt18EWzTglF_aW6b2gNEEDzXAEzBuS46oKkI00gbFmP0DUVv7K2Qr4onjmZFDUj1eeJxkcLuP5vWGbQUY4eE90ykZVkYsVrsdRxLX8S1O_shb1nkzPocQbOUz9mNyGhgIthJyZvUdajxFeYaQAYiEivEZChF_HNvHgn6M-IAvpudfdXSVYl4bXWRayQ&amp;amp;lib=M-zdWbhavtdZ1B_W2dnFDM0qoVt4lWzJ-"&gt;here&lt;/A&gt;.
&lt;/BODY&gt;
&lt;/HTML&gt;
</t>
  </si>
  <si>
    <t>QSybTGJCm9VyMtmrJ8sd</t>
  </si>
  <si>
    <t>18478</t>
  </si>
  <si>
    <t>8F00250110290010</t>
  </si>
  <si>
    <t>EXPRESSO SAO MIGUEL S/A / (051) 3586-2013Informação Adicional: VALOR DA MAQUINA r$7,700,00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</si>
  <si>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JCSpMfuINa1dyF8Yltc0eepdSP1T5fb0MIY4sM3EzaDPhKcYAc318eLfxhdCi9XmU1uWbAvpB3Oev_5cnk0gUovKGHlFkZkSpzuLltAYmwK1vPXv28QkoFzV2OBGL2fkwscKhbwYH8Kb_GANjPmZ9g4dL3Q-KVKmmPdEDmYpxyNVFCdduFAE7SZ3NDMpVrDlqvhaVhC6ohFmnDazCGqePw1G7j1LH5w7OEu8Ow2QaW15i6-VwMN2dtoVNZ6XHW5F4WtFzLHWx0kXxZWoXOWyRn2ptNjJDwh_Ik5dcg8_ktQVyQBKu0P-xOZWwdQ&amp;amp;lib=M-zdWbhavtdZ1B_W2dnFDM0qoVt4lWzJ-"&gt;here&lt;/A&gt;.
&lt;/BODY&gt;
&lt;/HTML&gt;
</t>
  </si>
  <si>
    <t>7KYPKGa5QayjMCc9becLxg</t>
  </si>
  <si>
    <t>18479-A</t>
  </si>
  <si>
    <t>8F00250526250009</t>
  </si>
  <si>
    <t>FITLOG / (011) 2212-5862Informação Adicional: FTI55 valor promocional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</si>
  <si>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vplo2NrTa4RT3Lo_NkCdQ3IsQuO1o0wFGnQlClhf_bKJKtaJ23-_r1UEdCbnxcdWAOXTPDY49LaAArtPR8QBu9JaTt6PCYRlHnTDyGqUAezuc7cb8RTpvGFKi9Z_Md7od_BbJq4EYmMxyY1krX1lUQlm-GzCQxEKbHlBZoNeKVxbhAOJk7nf8hNUxOup8I_ELUaZVm7QFpiwkJpOQdzUXo1SItE7dSu5Jx0cxSVjUnvNwDiujQzZU2QJCCXHEwm4l6OYERnHtPQZEOFwuwuLXMXpLGPVthliyuAgrbuIHbXBj7w9_Rru65kEvHw&amp;amp;lib=M-zdWbhavtdZ1B_W2dnFDM0qoVt4lWzJ-"&gt;here&lt;/A&gt;.
&lt;/BODY&gt;
&lt;/HTML&gt;
</t>
  </si>
  <si>
    <t>wZDT-3F2QkOwxfowm.D4Bg</t>
  </si>
  <si>
    <t>18479-B</t>
  </si>
  <si>
    <t>8F00250208100002</t>
  </si>
  <si>
    <t xml:space="preserve">&lt;HTML&gt;
&lt;HEAD&gt;
&lt;TITLE&gt;Moved Temporarily&lt;/TITLE&gt;
&lt;/HEAD&gt;
&lt;BODY BGCOLOR="#FFFFFF" TEXT="#000000"&gt;
&lt;!-- GSE Default Error --&gt;
&lt;H1&gt;Moved Temporarily&lt;/H1&gt;
The document has moved &lt;A HREF="https://script.googleusercontent.com/macros/echo?user_content_key=AehSKLgOUvfb_jQaPG_y60MLwzYQPM8FkAy8dSYIXb-YU86uKnMNkQ8yAmBz5L7PRzhZ9j3tWglKF4ABp21lY58bD-8vSThqoyF2bqhwndYYwd_lX28i4PBOj5rTIZ1WxWEOelv3JXY4mfZsLc_71PC1MAg_nbvvk1ElR_QFz2jcig2gY9e-ZNwVwABk0t8It4TijVlDqGoz3IOEJW548n6Egju7z99FZee585Y5vNEhlGzo-Oa3Vv23cO-Ek4Gp3QPeFgxLjv7r-ZelLm3dbaG9LDmOc2gwQdLlPykxqi1OYXt7UEcPKFpEa5PtMp6RVA&amp;amp;lib=M-zdWbhavtdZ1B_W2dnFDM0qoVt4lWzJ-"&gt;here&lt;/A&gt;.
&lt;/BODY&gt;
&lt;/HTML&gt;
</t>
  </si>
  <si>
    <t>AveayxLSEk8JGfo3H3wp</t>
  </si>
  <si>
    <t>18480</t>
  </si>
  <si>
    <t>Carlos Roberto Soares Silva</t>
  </si>
  <si>
    <t>8F00250529210001</t>
  </si>
  <si>
    <t>EXPRESSO SAO MIGUEL S/A / (051) 3586-2013Informação Adicional: PEDIDO NO CARTÃO DE 3X difal R$587,89
FRETE FOB SEM REDESPACHO  - RODONAVES
CNPJ: 44.914.992/0036-68 - IE. 260.650.455 - CONTATO (48) 32027150 ENDEREÇO : ROD BR 101 , 7725 - SÃO VICENTE - ITAJAI - SC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</si>
  <si>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OHF9W_IKZAAR-YZxK5_yThYTdzpNbxN2fDXp8W1rusgMcI_7PDGjsEVBFTO9pdMJUP9F-Gl8VgJW2sVGcQ6YYd04yP8EgBHZF34MXozz9lEEOR_IjEURl8ccKdglSkCyr0Tbl5qc4AXnyjThelbu3DTwIBVIpMux_g2SFe_UJ4Rugk3rmTFpOfZ7NaKxaG29lG4xb1dATLFYW23x73ZHrrb9-fK6FObfEok5xHmIslNZ31pP6rKrdjKa749FSn4xM9Vq_yOoDxT6V7_g8xggi4Ra2FN6wYqqYOvQD8s4-_SX6KcSX5W-_kFkKaQ&amp;amp;lib=M-zdWbhavtdZ1B_W2dnFDM0qoVt4lWzJ-"&gt;here&lt;/A&gt;.
&lt;/BODY&gt;
&lt;/HTML&gt;
</t>
  </si>
  <si>
    <t>q31cizgKQ0WLRCu-eyHXOQ</t>
  </si>
  <si>
    <t>18481</t>
  </si>
  <si>
    <t>8F00250411520045</t>
  </si>
  <si>
    <t>valor correto do pedido : R$ 8.915,67 (desconto 40% + 10% + 10%)
Frete Fob com redespacho pela Sete Lagos
CNPJ : 03.098.929/0005-17 - End. SP: RUA PEDRO DE TOLEDO, 407 - JARDIM SANTA LIDIA - GUARULHOS</t>
  </si>
  <si>
    <t xml:space="preserve">&lt;HTML&gt;
&lt;HEAD&gt;
&lt;TITLE&gt;Moved Temporarily&lt;/TITLE&gt;
&lt;/HEAD&gt;
&lt;BODY BGCOLOR="#FFFFFF" TEXT="#000000"&gt;
&lt;!-- GSE Default Error --&gt;
&lt;H1&gt;Moved Temporarily&lt;/H1&gt;
The document has moved &lt;A HREF="https://script.googleusercontent.com/macros/echo?user_content_key=AehSKLif5nxyuyB8ymtMwMvmEzP0f1wCcBZlob3MUHV40ZXskkRr-SCdXp3OIF3iCvhhdgVzx2o06M6D31RVZFWi5-uhQiyVnuL7Kg1O-wZlxvAwJ2RJzG07taTbHJLUknPh-R7j_a8W-XgJL8V8gqtXUwV8NvFFxLTi8M-yVDVkrnoKEqFJNHxzTSetLXxoT1oUYfM1ZCcEOUGVRxNg9K3nZPdsXTk56tbQqZob9GWWuEQAS8U0MUiKOCRLfMW4VqAuuXmRYUDcnTBYka2qgGc1Rkt5bazPIWo8Oj9CXK0COapxV39CHpG7QDp-gwiviw&amp;amp;lib=M-zdWbhavtdZ1B_W2dnFDM0qoVt4lWzJ-"&gt;here&lt;/A&gt;.
&lt;/BODY&gt;
&lt;/HTML&gt;
</t>
  </si>
  <si>
    <t>BgJMxQTYTcu42IpBXXZhig</t>
  </si>
  <si>
    <t>18483</t>
  </si>
  <si>
    <t>8F00250411520044</t>
  </si>
  <si>
    <t xml:space="preserve">&lt;HTML&gt;
&lt;HEAD&gt;
&lt;TITLE&gt;Moved Temporarily&lt;/TITLE&gt;
&lt;/HEAD&gt;
&lt;BODY BGCOLOR="#FFFFFF" TEXT="#000000"&gt;
&lt;!-- GSE Default Error --&gt;
&lt;H1&gt;Moved Temporarily&lt;/H1&gt;
The document has moved &lt;A HREF="https://script.googleusercontent.com/macros/echo?user_content_key=AehSKLiPk-guOFPS5Vc1GkL0VDHwG6mtBjYRVoQ0E98OwLfxUiErLEgR8iX464r27xkv4V7zU4eT-wFgm8dakYnAk0Mq2sz759ZxQED6YHMgBNFJBvDvg8jqRlKnnhhw-LbK_pIyaYSEHIB4tgnEPqMhnOAJpLYXw5qxhpNygckMYUuKDiGgT1bD2fPyc-Xc38UIA-RRg4wz-9qI-aSUxHVYUzIyDtXL7Z1QmYZlntnKd-45-cnIMytAjFJvcJSXemLY2IWhwhYpvzYqBNYsS12CtT7gglAU-AKTU4paTxEuGUmYADSZWq9nChyihK4JdA&amp;amp;lib=M-zdWbhavtdZ1B_W2dnFDM0qoVt4lWzJ-"&gt;here&lt;/A&gt;.
&lt;/BODY&gt;
&lt;/HTML&gt;
</t>
  </si>
  <si>
    <t>kmfOF04OQ7qGJMAYcH0nuw</t>
  </si>
  <si>
    <t>18484</t>
  </si>
  <si>
    <t>60.419.916 LUANA ELOISA LEME</t>
  </si>
  <si>
    <t>8F00250804020007</t>
  </si>
  <si>
    <t xml:space="preserve">&lt;HTML&gt;
&lt;HEAD&gt;
&lt;TITLE&gt;Moved Temporarily&lt;/TITLE&gt;
&lt;/HEAD&gt;
&lt;BODY BGCOLOR="#FFFFFF" TEXT="#000000"&gt;
&lt;!-- GSE Default Error --&gt;
&lt;H1&gt;Moved Temporarily&lt;/H1&gt;
The document has moved &lt;A HREF="https://script.googleusercontent.com/macros/echo?user_content_key=AehSKLhRnfdxy_QfK1TKZQBFd1pYWspKtttpgpqTMy00Cpuddt9-go_L7IjV6UX8j0QT3_0pUXUKa7Jjt_cXWO5oBs7yo9lcfOoxAceQpucpnvu2BjxVP5jw29fTeedCDjNESoT-OXQamFmOUIyo0G6OzRmwHGZj1nCTydRxumdBXf5maTdFXCFonKjCQ4co7CnGjDZaXy6E9doCLkQJv1rAsRc_Bk9cndI5Qh0yf5X76jbKquVCKRDdTjPuxI_pw_YmUn_Qs_VBkwmBVh5G4S92rdJtnKyoa2PPwDrFEX0Cf3KsMdnT8D5xYyuNM2Hu4Q&amp;amp;lib=M-zdWbhavtdZ1B_W2dnFDM0qoVt4lWzJ-"&gt;here&lt;/A&gt;.
&lt;/BODY&gt;
&lt;/HTML&gt;
</t>
  </si>
  <si>
    <t>2y5wAsOAS3qreZQRr7F0KA</t>
  </si>
  <si>
    <t>18485-A</t>
  </si>
  <si>
    <t>8F00250526250014</t>
  </si>
  <si>
    <t>EXPRESSO SAO MIGUEL S/A / (049) 3361-6627Informação Adicional: +3 de desconto e prazo de 30/60/90/120 dias / Obs.Interna: Mario- Autorizado 30/60/90/120 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</si>
  <si>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xAUPvq7AUBrQjFqg4_TSk0znug-ggYjURsrpHkHdE833oJv16p5hQp9K59eOKBslyUqFnkZuN19AMFyFsnO0cOwgD-NE-4fBXwhda8DK7cnCzQs4LkT2iW-6I82_j1HBSN7YA00p7WgBvs_bB6oQCFz6X19ag-tSZ_0EOyw60yYRvoLmSX_VG_RXuJ_8Ne1nz_utm0ox1b0zuUkNrf06PdMr6mQOk93B3AsKR-gDdCIAz6uZq8e2-j35V2KQK2dVVNSbFmegG7EAMzxCZjN9hduplRZRRq8uHcpXlYVHQrgYISt_sEddrx0j__w&amp;amp;lib=M-zdWbhavtdZ1B_W2dnFDM0qoVt4lWzJ-"&gt;here&lt;/A&gt;.
&lt;/BODY&gt;
&lt;/HTML&gt;
</t>
  </si>
  <si>
    <t>Za.tVLjCRu-s4e-Nm6zSwQ</t>
  </si>
  <si>
    <t>18485-B</t>
  </si>
  <si>
    <t>8F00250529210002</t>
  </si>
  <si>
    <t xml:space="preserve">&lt;HTML&gt;
&lt;HEAD&gt;
&lt;TITLE&gt;Moved Temporarily&lt;/TITLE&gt;
&lt;/HEAD&gt;
&lt;BODY BGCOLOR="#FFFFFF" TEXT="#000000"&gt;
&lt;!-- GSE Default Error --&gt;
&lt;H1&gt;Moved Temporarily&lt;/H1&gt;
The document has moved &lt;A HREF="https://script.googleusercontent.com/macros/echo?user_content_key=AehSKLhNxWQ5EP0xT99l1bclrXJD-BmVOp6yyvyX4S-up3HvNFEx-Dl--zJL_oKxA2HrgwcTrwlt7gIkQ4y5b59rcxsiLeJ2-_0ICNWoH-S4AYbU13IPuCkVTUzGol2Xsp9llMnqY3slhx1sSgbblCIECko9chLjV13-EI4V1tF-n6ETuDOyGIQ2Ikk8oWMY_k_RLFwBL7JWdMIM6uDB8TTWXNA09x3PMcyihFQqWQSbSCzH2_s_T8wvCDtYmcnKtX4tV0xEDJSjik5IyVXt_kvoHUSnTGiY_Zn9cQG5CCJFDlVFWmpBJOJksS1K67T1Eg&amp;amp;lib=M-zdWbhavtdZ1B_W2dnFDM0qoVt4lWzJ-"&gt;here&lt;/A&gt;.
&lt;/BODY&gt;
&lt;/HTML&gt;
</t>
  </si>
  <si>
    <t>FeQxbs5JkPwdSQ9j9qLD</t>
  </si>
  <si>
    <t>18486-A</t>
  </si>
  <si>
    <t>8F00250208100010</t>
  </si>
  <si>
    <t>FITLOG TRANSPORTES E LOGISTICA LTDA / (048) 996277956Informação Adicional: Pedido de Compra Nº 7939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</si>
  <si>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RR2liHxkj78xvQre8jcKV6sqKMlyRni9LGszgFCLnbgBudVlxGZahvS3dEsQEUrc4LaViJb-sTprYWlnujs0shKgwRHZKUn7K-OWNbxgE1XjzfB5qF9sCsy7A4knORM52Ed79nQy6teJypVs0UWr9g1FooCstOHsW__z_n_bhULttzu2mSlH4ooaayM0cbkhAzAkDy7SwS3irV6B9OnryqiTKoUXpKvD529KJkHczmqT2aONM8SFepEbdoKnt74meRP1yKXKCRBmox1sWZVVHEg4HJRLiReWCvEkXfdccoue_VRwuKCJe3atFug&amp;amp;lib=M-zdWbhavtdZ1B_W2dnFDM0qoVt4lWzJ-"&gt;here&lt;/A&gt;.
&lt;/BODY&gt;
&lt;/HTML&gt;
</t>
  </si>
  <si>
    <t>L1Zf8CSYQE-P36t06BC4ag</t>
  </si>
  <si>
    <t>18486-B</t>
  </si>
  <si>
    <t>8F00250208100011</t>
  </si>
  <si>
    <t xml:space="preserve">&lt;HTML&gt;
&lt;HEAD&gt;
&lt;TITLE&gt;Moved Temporarily&lt;/TITLE&gt;
&lt;/HEAD&gt;
&lt;BODY BGCOLOR="#FFFFFF" TEXT="#000000"&gt;
&lt;!-- GSE Default Error --&gt;
&lt;H1&gt;Moved Temporarily&lt;/H1&gt;
The document has moved &lt;A HREF="https://script.googleusercontent.com/macros/echo?user_content_key=AehSKLiR1eS3QApCUfx24QecNK2KkZPurGNgFNyjHRzbyk7DfXJ_fQt0uvDtMVscHWfpvc_DowAaYP4fl-QbkaPXILrOIZecWDXyUJMYJ_ISn9Vi1Egxa8USaFMDWYqhZAXjZTiGM1IVFH_f0Ma0VigHHeRVdteLcPBPLS8TXJUV2ySaliE2LEFjcl1XTY4MoAhw-lyx76lCahO1t95I0SBX-bxIOweyILx6h80u9hS8cDJ-HB1cdkWe0Li5OQPy_f8yqQP4P_kZ1_Dq0ZmKR8js46_RJXqPZTlcO299M_3Nu6kxqmOLJOj_GLTcwu1ZpA&amp;amp;lib=M-zdWbhavtdZ1B_W2dnFDM0qoVt4lWzJ-"&gt;here&lt;/A&gt;.
&lt;/BODY&gt;
&lt;/HTML&gt;
</t>
  </si>
  <si>
    <t>yVxzwTYYgInSVqcbwUGv</t>
  </si>
  <si>
    <t>18486-C</t>
  </si>
  <si>
    <t>8F00250208100012</t>
  </si>
  <si>
    <t xml:space="preserve">&lt;HTML&gt;
&lt;HEAD&gt;
&lt;TITLE&gt;Moved Temporarily&lt;/TITLE&gt;
&lt;/HEAD&gt;
&lt;BODY BGCOLOR="#FFFFFF" TEXT="#000000"&gt;
&lt;!-- GSE Default Error --&gt;
&lt;H1&gt;Moved Temporarily&lt;/H1&gt;
The document has moved &lt;A HREF="https://script.googleusercontent.com/macros/echo?user_content_key=AehSKLgwK6rb0PR1pdwm2JB5_o4Oa8_aQxacXQEoVacSNE11gDlbJpfVxHy3DPalV_ED_RY2hUGz6DR7cIeO36uqV0XWam0zMTKS9Rs51OLIqIXP4rgGxqONLYzRLuRj23DJOYh0juI8nvhW3alFlwNa2eYCg630dae4XaGZ-FMotqKU3KviV7WWL3oyaWiYRrhOyVjbsH2cOqb_AxP5xZ6wPbFAeyrB9vfVSFSvEceGuYp6uPHhva7u7GLpCFCXLFeboktNf8P8JZUmqmcz4Yle5Mdp1Mqq7YR8zqVjUlENukHZo3MFF8oJlkWOzFznHw&amp;amp;lib=M-zdWbhavtdZ1B_W2dnFDM0qoVt4lWzJ-"&gt;here&lt;/A&gt;.
&lt;/BODY&gt;
&lt;/HTML&gt;
</t>
  </si>
  <si>
    <t>pnnVHHBHUMcdRjHgH8aR</t>
  </si>
  <si>
    <t>18487</t>
  </si>
  <si>
    <t>8F00250411520043</t>
  </si>
  <si>
    <t>Frete FOB com redespacho pela PRONTLOG
CNPJ SP - 44.781.745/0001-00 - RUA SOLDADO AMERICO RODRIGUES, 131 - GALPÃO B - PARQUE NOVO MUNDO CEP 02.186-020
ENDEREÇO DE ENTREGA : Rua Custodio de Melo, 54 - Bairro Liberdade - BH - CEP: 31270-290</t>
  </si>
  <si>
    <t xml:space="preserve">&lt;HTML&gt;
&lt;HEAD&gt;
&lt;TITLE&gt;Moved Temporarily&lt;/TITLE&gt;
&lt;/HEAD&gt;
&lt;BODY BGCOLOR="#FFFFFF" TEXT="#000000"&gt;
&lt;!-- GSE Default Error --&gt;
&lt;H1&gt;Moved Temporarily&lt;/H1&gt;
The document has moved &lt;A HREF="https://script.googleusercontent.com/macros/echo?user_content_key=AehSKLh9WrooV9LR-flDwbkOR8iAPZgftvoLDONZgyM15k82M8jM9FQucPlk26amZTkGkwujdLhmyq_rGWUwhSNwJSj77Oy3b0Au-UWzB83_3QJa95BGA6O-GUjbOKe5Yl7TJf2J9FOJT7YA0HvWYJabGmwrgey7YS7oe5mQjByroetCxnuxsyAaVcbd2rTf09rPs7pvjd7a8iGdnNsCMr2FImuB2RmKcPDDZ_I5naDURaFFte_YIR7HczIFp66chVtPkmthPockrbuAamtTm3UfPisbBuLrhb3Ua-45XOBCT7aBmBjKltMb5zLFjG05VQ&amp;amp;lib=M-zdWbhavtdZ1B_W2dnFDM0qoVt4lWzJ-"&gt;here&lt;/A&gt;.
&lt;/BODY&gt;
&lt;/HTML&gt;
</t>
  </si>
  <si>
    <t>E-LztX8QTxqQlsY46k4UTQ</t>
  </si>
  <si>
    <t>18488-A</t>
  </si>
  <si>
    <t>8F00250411500008</t>
  </si>
  <si>
    <t>APROVADO PELO MARIO NAO REQUER APROVAÇÃO VIA EMAIL, SAIR HOJE, PAGAMENTO JA REALIZADO
EXPRESSO SAO MIGUEL S/A / (049) 3361-6627Obs.Interna: EMBARQUE HOJE, 16-09 A/C MARIO/ JAIR
DESCONTO 10 + 10 - VALOR FINAL R$ 14.973,98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</si>
  <si>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EDeKKif-eL6M_OuI4vW8yE1oAUo77DVwz2Qc9l87-l4cCLYEmDf5gFklfWV88Bfhuq_yG1tf_1g-1jeo6RREy287kAP1D7u-RegseYCxhKE7GXmSTOqdYDAK8FREspFwyUGLSqs6-eiN4g-hgTsW1k72oMCTsA5Fv8itp7_34Ump6jpvwAuKKEWzRkSkOs1HboEXo_mGlUwdpItv_IdWivo9HmD4AqEfsB1zPbFQMDoA8_Z1EtWcy7-StQKB9V7ytGm8zONZc_VdELF4Q947slUgkP0Z26MkvT5ee4JIytOd9_2CAejYdhZPMLw&amp;amp;lib=M-zdWbhavtdZ1B_W2dnFDM0qoVt4lWzJ-"&gt;here&lt;/A&gt;.
&lt;/BODY&gt;
&lt;/HTML&gt;
</t>
  </si>
  <si>
    <t>CJSu.M7NQ12IwZ6ZrLDCFg</t>
  </si>
  <si>
    <t>18488-B</t>
  </si>
  <si>
    <t>8F00250411500010</t>
  </si>
  <si>
    <t xml:space="preserve">&lt;HTML&gt;
&lt;HEAD&gt;
&lt;TITLE&gt;Moved Temporarily&lt;/TITLE&gt;
&lt;/HEAD&gt;
&lt;BODY BGCOLOR="#FFFFFF" TEXT="#000000"&gt;
&lt;!-- GSE Default Error --&gt;
&lt;H1&gt;Moved Temporarily&lt;/H1&gt;
The document has moved &lt;A HREF="https://script.googleusercontent.com/macros/echo?user_content_key=AehSKLj-nTnIDW0q26Fj4_EbYGwOD2MOCPbELsFvDSj4XnXAbDeabT8jmg8kc6mKyD-7ZR9j69pIu2WNamebCkrAbs7oNbFjKsVnbtb8HU6vusm0n6zTjkcJaxeKI0_AjA0qLOJS5tgDZYo4NgHoE31irFu9WMRO1-_gzHblOWnZTCNq3-4oq21ETQvdcSiQoJlA6IDy1sggVrL6wOmzBF7k3Xxn2KoByVCM2_5zwNVepO6WfanG-Ayfd4oZ6z_pbKjuKE6MGCaduV9P0tz1kJEIakL8W18ssYOFBq_wMhYv4Mn1naQ9LdvWGyeotIN15A&amp;amp;lib=M-zdWbhavtdZ1B_W2dnFDM0qoVt4lWzJ-"&gt;here&lt;/A&gt;.
&lt;/BODY&gt;
&lt;/HTML&gt;
</t>
  </si>
  <si>
    <t>NhtSZJ5VuzxshiOkOAyh</t>
  </si>
  <si>
    <t>18489</t>
  </si>
  <si>
    <t>8F00250208100009</t>
  </si>
  <si>
    <t>IVY LOGISTICA E TRANSPORTES</t>
  </si>
  <si>
    <t>FRETE FOB com redespacho pela IVY LOGISTICA E TRANSPORTES
CNPJ : 32.381.000.0002-56 - ENDEREÇO SP : RUA: URUGUAIANA,197 - CID IND SATELITE DE SP - CEP - 07223-230</t>
  </si>
  <si>
    <t xml:space="preserve">&lt;HTML&gt;
&lt;HEAD&gt;
&lt;TITLE&gt;Moved Temporarily&lt;/TITLE&gt;
&lt;/HEAD&gt;
&lt;BODY BGCOLOR="#FFFFFF" TEXT="#000000"&gt;
&lt;!-- GSE Default Error --&gt;
&lt;H1&gt;Moved Temporarily&lt;/H1&gt;
The document has moved &lt;A HREF="https://script.googleusercontent.com/macros/echo?user_content_key=AehSKLgoUAQwSo85h0AbojpUXUmnVHfuo7WiLZilZDjxkKuveNXhQ_ZE0npX_l-b8lca-IJWP1vKjxz4v1J2GgZyr5K995EVq8nmnhVBiaSairY0EYtxWj4WfoZVNhfa_8coCp3M1hDCKpL2tvB5soeKdWrhdUkwmbsO5YzwLMIcLxt5Ya3ZdxxtZ_XEnUGW0hYJJYGyd3SLc8cy0wB6ET-hJgY7mE9YeMaR_wHhBl0rid3UoOxoFsdds-Sp86bX7xDFMebBsb7fjVsIf1fMNQLrm4s0jvKFCPlL568udvjhFPQ3_Rzb2AZxjNuTeVIMAQ&amp;amp;lib=M-zdWbhavtdZ1B_W2dnFDM0qoVt4lWzJ-"&gt;here&lt;/A&gt;.
&lt;/BODY&gt;
&lt;/HTML&gt;
</t>
  </si>
  <si>
    <t>KPjXN86xRtC195c6kjMo8A</t>
  </si>
  <si>
    <t>18491-A</t>
  </si>
  <si>
    <t>8F00250529210006</t>
  </si>
  <si>
    <t>EXPRESSO SAO MIGUEL S/A / (049) 3361-6627Informação Adicional: +10% DE DESCONTO/ ENTRADA DE 50%+ 50% PARA 30 DIAS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</si>
  <si>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ODVAxbzlmeEc47Naf6UdHcxW7Z_l5g4lqTTLvrE8iZfvl2XfC6pXh6ajBjPDKv2GK6PNheF2C7zSEUc7vkgeLSpMuIwq7lRDI7NxsEsCY5tt6LX7QVfpt9-Hqc_XMnL-8iwE3jZLdj37q54Zcb3W6YTKYnKLZY3JXol8k3fIdB7nyh3dkSjwx6TXs7fSz8QidOKguqwB3mbj_7BCKRN-KmO7VyDHciT6eStE6XkRgXHvBuutymLYjcggTIGlRwx3iy7a6Z0DOkDL42CBghSGeaGgYCT1kgZ9hIrkFAFatdVn6lFTaQQd4mFTb0g&amp;amp;lib=M-zdWbhavtdZ1B_W2dnFDM0qoVt4lWzJ-"&gt;here&lt;/A&gt;.
&lt;/BODY&gt;
&lt;/HTML&gt;
</t>
  </si>
  <si>
    <t>TUe4sM2eSoybRV.zjyR5KQ</t>
  </si>
  <si>
    <t>18491-B</t>
  </si>
  <si>
    <t>8F00250526260009</t>
  </si>
  <si>
    <t xml:space="preserve">&lt;HTML&gt;
&lt;HEAD&gt;
&lt;TITLE&gt;Moved Temporarily&lt;/TITLE&gt;
&lt;/HEAD&gt;
&lt;BODY BGCOLOR="#FFFFFF" TEXT="#000000"&gt;
&lt;!-- GSE Default Error --&gt;
&lt;H1&gt;Moved Temporarily&lt;/H1&gt;
The document has moved &lt;A HREF="https://script.googleusercontent.com/macros/echo?user_content_key=AehSKLiP8sliHwIxYfOlEeQOxjIgyqLuCasQGAJhUe7feRGb7Bhxf9lQXGJ1_uXKNLr2AI0S9SZtPqg5N3X1ZBwUZ1IWN2J5IKvpe5-C-D94Q41fde97fKwnhasK2Of-vYDYpBDMX7MW-8GQjEIc9nW64ylGlH_ol4J54tMn83CyDVXvJ2xQ7mPfa5UINeM930Voigvj1VpiQAxIUtn1Xs3uKrlrl8_iF8hOCXw8lvTCyP-6QJLrZEgWEOE9K6szv3D_E2cPgJNgwNBWFuqZKq9OuCCh5rr5SrX_vqs-ipZbfpNUj3YvjpR5Bk6XuGrcGA&amp;amp;lib=M-zdWbhavtdZ1B_W2dnFDM0qoVt4lWzJ-"&gt;here&lt;/A&gt;.
&lt;/BODY&gt;
&lt;/HTML&gt;
</t>
  </si>
  <si>
    <t>cLlb9KgM9sjTtUOynFjS</t>
  </si>
  <si>
    <t>18493</t>
  </si>
  <si>
    <t>F P PISCINA</t>
  </si>
  <si>
    <t>8F00250526250019</t>
  </si>
  <si>
    <t>EXPRESSO SAO MIGUEL S/A / (051) 3586-2013Obs.Interna: PIX REALIZADO 12/09/25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</si>
  <si>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bKIWxxnc5h69Y9urHgeXxTOXLfd4ZGYCobFACI5gUbOt9ePS16K7uugsfij3fMuWGShFHWUIXDTBZVnAUwJ4nFwfwetxqmILYGlcwpdO-tTnVF43-tcXzjSPgGtJHWMTECYpoj257WSM7JYU1NizWv9cmjsK9Q2ZLJh1jztLjMjgFhM5hV23VAlaPeF4ivKuV5MchVjlhORuk3YYTAFe0ge9pAIQnciiTG9UxN2Ak1mgCuqHMqrG_Tqt7VPTHC4y2iCtDvTqJB3cKEA-LP0s33llgWaM2Ceydus4mGuth9xd2Yg_JF6FyYudFSg&amp;amp;lib=M-zdWbhavtdZ1B_W2dnFDM0qoVt4lWzJ-"&gt;here&lt;/A&gt;.
&lt;/BODY&gt;
&lt;/HTML&gt;
</t>
  </si>
  <si>
    <t>FUfurKwGSt67qkNp.Nj5fA</t>
  </si>
  <si>
    <t>18494</t>
  </si>
  <si>
    <t>A.S PISCINAS COMERCIO E SERVICOS</t>
  </si>
  <si>
    <t>8F00250529210003</t>
  </si>
  <si>
    <t xml:space="preserve">&lt;HTML&gt;
&lt;HEAD&gt;
&lt;TITLE&gt;Moved Temporarily&lt;/TITLE&gt;
&lt;/HEAD&gt;
&lt;BODY BGCOLOR="#FFFFFF" TEXT="#000000"&gt;
&lt;!-- GSE Default Error --&gt;
&lt;H1&gt;Moved Temporarily&lt;/H1&gt;
The document has moved &lt;A HREF="https://script.googleusercontent.com/macros/echo?user_content_key=AehSKLgQDbTo5Od-SJuqi0fs5_XlWaGhUuyEwGzWJmAoiYgviu1EDfQ9BkyGS2dPaj9o0YFvQyvNPcEoJd-fw6CM6Bl8Pn-FH-2GM02EbkiIbOjVYDCrBvjw0hi-TX0o9bgty3WuPSvW0W90ihiPXeikey_QGjddyo1GDP-gZNP6CrbntF2R9fVzgGjH346Upq9aLgZDFNhQnADXjgVZ5WbRJxvbwAf8eVKDmyEVMBrYOqhrfbzjXSzal5NrlJ_9SdaZbpkJ1S3e2nKekMqxcUf0CyseqpnoTygqUUhGFaqV_KaxBTp61uBj9wCAcAKOAA&amp;amp;lib=M-zdWbhavtdZ1B_W2dnFDM0qoVt4lWzJ-"&gt;here&lt;/A&gt;.
&lt;/BODY&gt;
&lt;/HTML&gt;
</t>
  </si>
  <si>
    <t>61rl6KYRQbqaC13WEKdTyg</t>
  </si>
  <si>
    <t>18495</t>
  </si>
  <si>
    <t>8F00250329030052</t>
  </si>
  <si>
    <t>EXPRESSO SAO MIGUEL S/A / (051) 3586-2013Informação Adicional: valor da maquina R$7,700,00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</si>
  <si>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VfiPrPDXP6waimJifItzWpT2aJxZAGzozr1xXreEdWZP1Wto96T9ntzTzUQN3Soxg-I2e85zffxRZd0MlztU5CBQVUgcpWK9RO3f5LoCyrVX77FE3urRdlE1ou_yV1CQwaqxcnlS2rMqQqmq7Q9CqETJGgTZasp6aDqL7TkywSLU4TNQUjlJ_RtoXZSNcZgTMdJ7p_zas0OwGKuF_AW-xydqWDZfEnvL7ogK5YWjp3NI25oWW6iB36mKLtlZOmGfYgu4TOsVyLl-DadcBuj_9HKSrXgyYPXLE46oTJcAvTuP2vLZu0cJaHy9kA&amp;amp;lib=M-zdWbhavtdZ1B_W2dnFDM0qoVt4lWzJ-"&gt;here&lt;/A&gt;.
&lt;/BODY&gt;
&lt;/HTML&gt;
</t>
  </si>
  <si>
    <t>D9fhb2mASEWfipm4CO53BQ</t>
  </si>
  <si>
    <t>18496</t>
  </si>
  <si>
    <t>8F00250526250016</t>
  </si>
  <si>
    <t xml:space="preserve">&lt;HTML&gt;
&lt;HEAD&gt;
&lt;TITLE&gt;Moved Temporarily&lt;/TITLE&gt;
&lt;/HEAD&gt;
&lt;BODY BGCOLOR="#FFFFFF" TEXT="#000000"&gt;
&lt;!-- GSE Default Error --&gt;
&lt;H1&gt;Moved Temporarily&lt;/H1&gt;
The document has moved &lt;A HREF="https://script.googleusercontent.com/macros/echo?user_content_key=AehSKLjuBYvui6CLCxXJh6L9s9vx0S7cIKcm4zeQ72fcsJY__rmaWx9SXTp9mRPK5B5ZqGHgGphsUogBnxi06NqYub413uqBwek0aFer3PJYeFBxkBR3-g_-meZZhkdhUO7wxjleCpsv5mERQqYUK29iUgyXnw4fAZjlNDOyEaI3Os8IiKCDnmRmkdSWYQ3EC86ToAXlncIJ_zA89GUhLdCuml0o1SmvoX-onuLtDYzVsHJKVslX9rw9DpekCcIdVsXunGCYOSTmeBw5tfQe6Fs-pOd8uLrqPq6NVLrnJ_9wLu28yizlwibMy3uy8pnqYw&amp;amp;lib=M-zdWbhavtdZ1B_W2dnFDM0qoVt4lWzJ-"&gt;here&lt;/A&gt;.
&lt;/BODY&gt;
&lt;/HTML&gt;
</t>
  </si>
  <si>
    <t>ii2nc9FtTiCAcfKZPMtXoQ</t>
  </si>
  <si>
    <t>18497</t>
  </si>
  <si>
    <t>8F00250411540018</t>
  </si>
  <si>
    <t xml:space="preserve">&lt;HTML&gt;
&lt;HEAD&gt;
&lt;TITLE&gt;Moved Temporarily&lt;/TITLE&gt;
&lt;/HEAD&gt;
&lt;BODY BGCOLOR="#FFFFFF" TEXT="#000000"&gt;
&lt;!-- GSE Default Error --&gt;
&lt;H1&gt;Moved Temporarily&lt;/H1&gt;
The document has moved &lt;A HREF="https://script.googleusercontent.com/macros/echo?user_content_key=AehSKLjpMv2cPk6gcPIlhrNXYYuI8aAosP2m4-A69qwdPpTwRF3-fKkMmea1w7ueyVCrjDxc4MTR0FvBScmvGee03leGuQ4KxPfkGmpoddlxcvQ423qK0WfgLntJmz-SeueEJpWk_elxIYV9QmSTAqDLruEPgBMxuTMLl2uonX_wRFpnl65sK0s-jOcGR1N8CRjCqPgXdlLG3pqRkQAUQ32BHzq-lG-_XKYMIy5QUwk73ssm4AeW3WOK62wmBix-q4ZMUOftS_Z2ptKjDgBXcNBWbvnFVsvfX5zbYz6_UHxvlT8X-QmwzNIeOsmXa_uj7g&amp;amp;lib=M-zdWbhavtdZ1B_W2dnFDM0qoVt4lWzJ-"&gt;here&lt;/A&gt;.
&lt;/BODY&gt;
&lt;/HTML&gt;
</t>
  </si>
  <si>
    <t>bpK5WfwAR5-OF5o0Xg.Qlw</t>
  </si>
  <si>
    <t>18498</t>
  </si>
  <si>
    <t>DSEVEN PISCINAS LTDA.</t>
  </si>
  <si>
    <t>8F00250526260008</t>
  </si>
  <si>
    <t xml:space="preserve">&lt;HTML&gt;
&lt;HEAD&gt;
&lt;TITLE&gt;Moved Temporarily&lt;/TITLE&gt;
&lt;/HEAD&gt;
&lt;BODY BGCOLOR="#FFFFFF" TEXT="#000000"&gt;
&lt;!-- GSE Default Error --&gt;
&lt;H1&gt;Moved Temporarily&lt;/H1&gt;
The document has moved &lt;A HREF="https://script.googleusercontent.com/macros/echo?user_content_key=AehSKLiDmHVTyD3F-MoKR2OOquTPxM2w_Pdg6EXMT72XQKq0pDvSSfqQ4p8cW3pm57JkAjO1m-YbmDBEolXL2X1wFtK5yE76KDIqk_OVnPP6tlPtydHqVVUCdeSlZl02dt3kD9Ghvn8HdNRwrUmC0-JB2QyItaZ0qH__yp5Fn_erywohyHBISvrDBlr61kW31RDWwuV-e3Vti5q10N1jDifW6CFwmM9msVTc_6sOZ9Sa1U7WvcJjUsN_azeJ28w84S-vtdboCxrHhgKdGAwxAhpg6Q1wQc2ET_MTi5Y_QDDTVKRD_1la-rRFSsEXC_5Nqw&amp;amp;lib=M-zdWbhavtdZ1B_W2dnFDM0qoVt4lWzJ-"&gt;here&lt;/A&gt;.
&lt;/BODY&gt;
&lt;/HTML&gt;
</t>
  </si>
  <si>
    <t>Wb1wI8V9Q4qsUchxovjVyg</t>
  </si>
  <si>
    <t>18499</t>
  </si>
  <si>
    <t>54.805.749 LUCAS DE OLIVEIRA MARTINS</t>
  </si>
  <si>
    <t>8F00250411500011</t>
  </si>
  <si>
    <t xml:space="preserve">&lt;HTML&gt;
&lt;HEAD&gt;
&lt;TITLE&gt;Moved Temporarily&lt;/TITLE&gt;
&lt;/HEAD&gt;
&lt;BODY BGCOLOR="#FFFFFF" TEXT="#000000"&gt;
&lt;!-- GSE Default Error --&gt;
&lt;H1&gt;Moved Temporarily&lt;/H1&gt;
The document has moved &lt;A HREF="https://script.googleusercontent.com/macros/echo?user_content_key=AehSKLhLSjz6PIHa5IFszMe_Rssg9QkTbmbex-j_KeOE4E3E_Tr7WCG9RhJmuhfYov_JQ3bKdQfaM813FCmUJ6Yl9Z418TeIvXDASTMyXZdaA5JOGQqHknZrDjUIM8j0xYkHKnZXXMJgW2VJ0Hiogpkx0I5ScKcJaqUFQFl3N0XElNmJxRyVR5GXhyYhzjG3S9sv-SotaXD_-DA6kiwl-hlrXAFy6aBXueQMkthR4l8L1-PKTdB5S33G7NRTvvVePl8Ing2ydT8w6ukHJK0yatLsPr0e53SIdWekbs95tM4APzSUkJ4YVIv0ofRP4kFbzA&amp;amp;lib=M-zdWbhavtdZ1B_W2dnFDM0qoVt4lWzJ-"&gt;here&lt;/A&gt;.
&lt;/BODY&gt;
&lt;/HTML&gt;
</t>
  </si>
  <si>
    <t>GqCRfTo6R8Sjrc3n.oKEFg</t>
  </si>
  <si>
    <t>18500</t>
  </si>
  <si>
    <t>8F00250529210011</t>
  </si>
  <si>
    <t>EXPRESSO SAO MIGUEL S/A / (051) 3586-2013Informação Adicional: +10% de desconto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</si>
  <si>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579cbrK8jTPm0rPq58hGTXNADrtC5twE73Da4HNukJVkJE9uLCH9DZjkllcCFOksvXbZecs5wZSlH_xxlTRajajA5fLPbHFP6KgoDJNhgADLWdSLQkRHT8y3FuoAJpR--DIyMKc4rfqBQCfq0hWFsHGe61CPDYyEKTiZCfi_16AP1LaDU7p6vsBMTjnAcs59Lyn_pJvuryJ2ke8c6DnTVB7tBfXown_GfIEVYKVq4UehPTTtl7bXMU_XWN1eN7vo2ZwPCpB87ae2Ba1au4ZRjHMRAiwait5k5SoSYhsG2rAoxd-9Ys9SWsTFghA&amp;amp;lib=M-zdWbhavtdZ1B_W2dnFDM0qoVt4lWzJ-"&gt;here&lt;/A&gt;.
&lt;/BODY&gt;
&lt;/HTML&gt;
</t>
  </si>
  <si>
    <t>6biEH.0.SVeMZ4qGJ1UJ0A</t>
  </si>
  <si>
    <t>18502</t>
  </si>
  <si>
    <t>JJ FOTOVOLTAICA</t>
  </si>
  <si>
    <t>8F00250526250013</t>
  </si>
  <si>
    <t>FITLOG / (011) 2212-5862Informação Adicional: Cotar frete para entrega no cliente pela FITLOG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</si>
  <si>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xMXLc8uqqTLT62-sjqL6d_002-zazDmbstWW7ripTG5XM0_RpS0ntCrTCiB3-GPqK1nknAQdmxxGeNLzy6NlqlEbaHLIpSs2-XhoK_ZFFpxCoNOJcY3Xbi1IK_VD5eiW4YfWzHiIPhSL9MiWe38KwJY4bSyKjAkJYJUMadPUMp1GK4O98A09YBDQYdGD69lojah7LvUsLhmfvF2ActdhlCKI007xujkMV5Mx-VI6roCbTgOEOvmFH9Tm7JG8eRj1-AQL0XV8xJpokXHk5itE3NhoJ5mfX6qdiaOWLOGVEQwKkkdLygPfrEBbW2g&amp;amp;lib=M-zdWbhavtdZ1B_W2dnFDM0qoVt4lWzJ-"&gt;here&lt;/A&gt;.
&lt;/BODY&gt;
&lt;/HTML&gt;
</t>
  </si>
  <si>
    <t>FDQKcuXIQhmUWYaLLjHZdw</t>
  </si>
  <si>
    <t>18503</t>
  </si>
  <si>
    <t>PAINEL TOUCH
FITLOG TRANSPORTES E LOGISTICA LTDA / (048) 996277956E-mail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</si>
  <si>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tvdrk-mn0Ek0AyChzSlom1W-T_84U2G2A5TMIIQbQZbr_rc10mZlRMQSPDSNOvnKEUHV9-99s1ywhKHppIdYDOJZpeTvg6l8irZFdOwoErhycQP3M2FQGpem5l9zqzzXLHZJ8JesNw7p2AOAo_dscAkvsbZUVpX3Qc5dblY0ceyrOGA8llFXS5_ipYvAWdVCMBC87T1UHW3zWmzpX2Fy_NZqnYnyNwZvzxrzL7L2fUTzb3UyM2Wy9I8k0dr9z_i1key0TIiGF2HnB0FYyBAlvjisSh8NYgzvOOujW7ymEHtmUqMF6JpRwHhWw7g&amp;amp;lib=M-zdWbhavtdZ1B_W2dnFDM0qoVt4lWzJ-"&gt;here&lt;/A&gt;.
&lt;/BODY&gt;
&lt;/HTML&gt;
</t>
  </si>
  <si>
    <t>cJIzIvSQTy2dL6SQfs73dw</t>
  </si>
  <si>
    <t>18504</t>
  </si>
  <si>
    <t>OUTUBRO
FITLOG TRANSPORTES E LOGISTICA LTDA / (048) 996277956Informação Adicional: PAGAMENTO: 50% sinal + 50% boleto para 30 dias
Frete CIF / E-mail para nota fiscal: , E-mail de cobrança: , Telefone para contato</t>
  </si>
  <si>
    <t>I-5IVbsURMCFC.Y1GJK3tQ</t>
  </si>
  <si>
    <t>18505</t>
  </si>
  <si>
    <t>8F00250208100008</t>
  </si>
  <si>
    <t>FITLOG TRANSPORTES E LOGISTICA LTDA / (048) 996277956Informação Adicional: Fazer cotação para FITLOG fazer a entrega diretamente no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</si>
  <si>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ATwkX2m-7GFbFbrT2-K-so36O7d9kIwHMfzfNgk9Kx-noSgXTHXzn1KFd9VZXrvBgXBwSktY4ElU3siUAiub8kCzGdD11VHhjhMRmERGLlk6F11_vieSdZeNBdy7B0IfB5CBzty2mgnwe2pUhOBh3ByL5diTLUuv3zbpJwRtZ1kfJxSQlOGYk2aFAUfrPhD-TdlbMrQ4_W8cECt8GuI3kVY4coOHXIAkiV-OVTN7WIQwTHIXz5VsTCY3ylCA_9wZzG7nIHzViOQTs1fPbdPTvErczylDZHL-8wTj3lZK064Zg-h2GyR6N_6BPGA&amp;amp;lib=M-zdWbhavtdZ1B_W2dnFDM0qoVt4lWzJ-"&gt;here&lt;/A&gt;.
&lt;/BODY&gt;
&lt;/HTML&gt;
</t>
  </si>
  <si>
    <t>E-0OTkt5S0iVVRQr4HO9VA</t>
  </si>
  <si>
    <t>18507</t>
  </si>
  <si>
    <t>8F00250529210004</t>
  </si>
  <si>
    <t>FITLOG TRANSPORTES E LOGISTICA LTDA / (048) 996277956E-mail para nota fiscal: , E-mail de cobrança: , Telefone para contato
O REDESP. SERA FOB TRANSPORTARDORA CARVALIMA, AV. ALEXANDRE COLARES, 340 - PQ ANHANGUERA CEP. 05106-000 -SÃO PAULO CNPJ. 33.070.814/0003-13 TEL.
(11)2141-3100</t>
  </si>
  <si>
    <t xml:space="preserve">&lt;HTML&gt;
&lt;HEAD&gt;
&lt;TITLE&gt;Moved Temporarily&lt;/TITLE&gt;
&lt;/HEAD&gt;
&lt;BODY BGCOLOR="#FFFFFF" TEXT="#000000"&gt;
&lt;!-- GSE Default Error --&gt;
&lt;H1&gt;Moved Temporarily&lt;/H1&gt;
The document has moved &lt;A HREF="https://script.googleusercontent.com/macros/echo?user_content_key=AehSKLiL6ZwE68xAP-lEKYmOJo--frNTIx8Jd07lCX6Sl0ls2YqfrKU5GtFKiprt3dcfeDh1lfBAmZ-ua7q39m0KFgYgjqaH_hKG-jHVo-Ipl37BSJLurieG7MYFSSQKtfYeri_62mpW8AOyr0xd_TgBXkEyH4jWe5LxCXXTlVvCWhkVOwJOMRY_E3agIhrSvJTkZI0udlO5xvhR9HgCPdjHUfdgNKjqBqYjtXXLdlJ1k6HAl6kBX-Y6Ay0iF-o1yy8fK1O4f1k6foxT69LispaQvpX9I5zi7qPLqSbHCOahsPxQwqzFvCIGDlaWCYOrkQ&amp;amp;lib=M-zdWbhavtdZ1B_W2dnFDM0qoVt4lWzJ-"&gt;here&lt;/A&gt;.
&lt;/BODY&gt;
&lt;/HTML&gt;
</t>
  </si>
  <si>
    <t>VPNgkWV0QEecFrR2JJIraw</t>
  </si>
  <si>
    <t>18510-A</t>
  </si>
  <si>
    <t>F09580056</t>
  </si>
  <si>
    <t>09.MC.N.31531 - BANNER FH- Qtd: 1</t>
  </si>
  <si>
    <t>QJJ1I22 - RETIRA - MATEUS ALVES - 00233566942 - IVECO / CARGA CAMINHAO / BRANCO  / 2015</t>
  </si>
  <si>
    <t>BRINDES</t>
  </si>
  <si>
    <t xml:space="preserve">&lt;HTML&gt;
&lt;HEAD&gt;
&lt;TITLE&gt;Moved Temporarily&lt;/TITLE&gt;
&lt;/HEAD&gt;
&lt;BODY BGCOLOR="#FFFFFF" TEXT="#000000"&gt;
&lt;!-- GSE Default Error --&gt;
&lt;H1&gt;Moved Temporarily&lt;/H1&gt;
The document has moved &lt;A HREF="https://script.googleusercontent.com/macros/echo?user_content_key=AehSKLjAZVIlKONLvop1W0ubPAWEoRh12Slm9t4PZlw_QxfywS0oM0REyLnm9I4QhLlVkRRgdF8mGBGWQDcj3YScGgwfLRIelGvhb3SElththlMBSz1ETwEGU89xGRd4SS-PrgrpFQ0RlHtbV-ZusE0Mzg5zqiEYNpl9WTVg_mm4kkP7gaXbF3yXR-Bv_ZHz0hybmZ2EkH4jZo97UYfc-F9g7kG7D9Q3_YIvCSfYEMYWJMuvmf3Wvn_oKFJn2P428VmfhL02WAjY6gZwqMTh3guIgqfsv5i-pQZSGhl3jibSTMvk-ziUtxUJ-dyxBCmEvA&amp;amp;lib=M-zdWbhavtdZ1B_W2dnFDM0qoVt4lWzJ-"&gt;here&lt;/A&gt;.
&lt;/BODY&gt;
&lt;/HTML&gt;
</t>
  </si>
  <si>
    <t>a.-aqKUQRQeiKpo.lLCDvhg</t>
  </si>
  <si>
    <t>18510-B</t>
  </si>
  <si>
    <t>09.MC.N.31511 - CATALOGO FT V4- Qtd: 50</t>
  </si>
  <si>
    <t xml:space="preserve">&lt;HTML&gt;
&lt;HEAD&gt;
&lt;TITLE&gt;Moved Temporarily&lt;/TITLE&gt;
&lt;/HEAD&gt;
&lt;BODY BGCOLOR="#FFFFFF" TEXT="#000000"&gt;
&lt;!-- GSE Default Error --&gt;
&lt;H1&gt;Moved Temporarily&lt;/H1&gt;
The document has moved &lt;A HREF="https://script.googleusercontent.com/macros/echo?user_content_key=AehSKLgf1a_OAVCIABa08N0KYeL8sr-I_SGKJJLhZhqnK0_GCW66Ymbm9VswpzeEdN6zYVNRXorm1TtqCEg7yd-PFcs5oUZvc-HKON69i1bMLW8bKT26iHeCnX-AcwXoBjo-Qpsy2RrzGd2Za7QxlCV1OgqXUoVT9PPpWTVhj-ztCVp_iXCMvSwCdZCCyz6lV7TVcNzbHcmaELRG0oSYBk6eu7MU6EhjKUeuDKT7TzVY7RNTpDxX7O_DEoHDSagUNgOlp-IybRG1gEX6oNAkJ8lA3mR3ukNL47j3LHNnJWh_sMeOLnSppUWNyldnIC7MBw&amp;amp;lib=M-zdWbhavtdZ1B_W2dnFDM0qoVt4lWzJ-"&gt;here&lt;/A&gt;.
&lt;/BODY&gt;
&lt;/HTML&gt;
</t>
  </si>
  <si>
    <t>xUs30j84K6hZwYFEowCa</t>
  </si>
  <si>
    <t>18511</t>
  </si>
  <si>
    <t>8F00250526260010</t>
  </si>
  <si>
    <t>FITLOG TRANSPORTES E LOGISTICA LTDA / (048) 996277956Informação Adicional: Cliente: Jorge Jesus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</si>
  <si>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X5SXYJtak_wt4A_uyalCL2dT6XO35xVtNW2Cx3l850haXTH8PeJqZEVirG4QzuTYEjkAW8bbgaGVy2uCnftdtxmcY5yhZqXKRfqHdDBlRGRt376WFXQO3KIKqjOJyX7tDS651agWBqWXZITzLUYtP1oLzC_pvfh13rQEZ12Sifpjkp3Og7tcDq5SFOCnRJa0_iZRsAkT3dJ8T2uj0cFkZoRuepH3WC_waeeWYDFWrYZLwFL_nBJ0EpUfD32AFU0P7RxNQ2rUMT88R5ct6jYZ3hysSRpwdwukcO-ftjCNsODzhWg5A3IFSf_qPdg&amp;amp;lib=M-zdWbhavtdZ1B_W2dnFDM0qoVt4lWzJ-"&gt;here&lt;/A&gt;.
&lt;/BODY&gt;
&lt;/HTML&gt;
</t>
  </si>
  <si>
    <t>iZY4XTGer3TyMzIKptFH</t>
  </si>
  <si>
    <t>18512</t>
  </si>
  <si>
    <t>8F00250526250017</t>
  </si>
  <si>
    <t xml:space="preserve">&lt;HTML&gt;
&lt;HEAD&gt;
&lt;TITLE&gt;Moved Temporarily&lt;/TITLE&gt;
&lt;/HEAD&gt;
&lt;BODY BGCOLOR="#FFFFFF" TEXT="#000000"&gt;
&lt;!-- GSE Default Error --&gt;
&lt;H1&gt;Moved Temporarily&lt;/H1&gt;
The document has moved &lt;A HREF="https://script.googleusercontent.com/macros/echo?user_content_key=AehSKLivkEzpwS3c3I4hjFcPnRTv2nnGmbFmPU-hzKnOT2q45LUR1DQGgn373eXeFBuS_4xwYGgD-MIDIEs1BYH-aO-ZvYEQS0lDSsYTBFu57Wq_ox9cD1qVHEjhFwcZkmKTwz2sWSYyj_PMoeCvvkYIdE9gW_2QceMbby9E97hDN5apjCcYJMJmIcml2934xo_2aVa7uG9Y7ZdRwS-hpXYQ9444ZdEqaPE3JXyWV8vugff9JtmxOmSofRPmxdRu1vaIL0rxWyFmHSvTJLo_Zq9-Z4tG1EqsvVO193Xb7KFT93ivW7FWJSPrRJu-EJJvtA&amp;amp;lib=M-zdWbhavtdZ1B_W2dnFDM0qoVt4lWzJ-"&gt;here&lt;/A&gt;.
&lt;/BODY&gt;
&lt;/HTML&gt;
</t>
  </si>
  <si>
    <t>w02Zf1O5QTmS4Wq-Y0jOcA</t>
  </si>
  <si>
    <t>18513</t>
  </si>
  <si>
    <t>8F00250706460001</t>
  </si>
  <si>
    <t xml:space="preserve">&lt;HTML&gt;
&lt;HEAD&gt;
&lt;TITLE&gt;Moved Temporarily&lt;/TITLE&gt;
&lt;/HEAD&gt;
&lt;BODY BGCOLOR="#FFFFFF" TEXT="#000000"&gt;
&lt;!-- GSE Default Error --&gt;
&lt;H1&gt;Moved Temporarily&lt;/H1&gt;
The document has moved &lt;A HREF="https://script.googleusercontent.com/macros/echo?user_content_key=AehSKLgjLoVduIqO2GRr9z2Kv46WofQuOIgkKf1En2qR-SuzM6MbN0H5KxGA_YcVU3DLn9_R02kNXIu5tQezkL1NhSdoZKGf-NVmRiyNbCVsPZp2IBIEH9C7vRK0y-lhYuZyXoLcTOy-DSVtoA3uNjtqITAhzMVkuMWkgNVHknlcLIplOiNmnoWYr2GXFbHCtJ1B46ur8mkrzfLlzd8W7YQak8Zv6-KimaZ5p9FjIjaN4i5IDj_aAZlBk5nq1HuBqwP-jGD7Jt1f628f-Tl4GPW8y9Tl63jGYwiyBzqpdCiuOmG_kbmJkoPYwpI0soporQ&amp;amp;lib=M-zdWbhavtdZ1B_W2dnFDM0qoVt4lWzJ-"&gt;here&lt;/A&gt;.
&lt;/BODY&gt;
&lt;/HTML&gt;
</t>
  </si>
  <si>
    <t>kkiUOyV0Qfe3qmq598scoA</t>
  </si>
  <si>
    <t>18514</t>
  </si>
  <si>
    <t>8F00250411540019</t>
  </si>
  <si>
    <t xml:space="preserve">&lt;HTML&gt;
&lt;HEAD&gt;
&lt;TITLE&gt;Moved Temporarily&lt;/TITLE&gt;
&lt;/HEAD&gt;
&lt;BODY BGCOLOR="#FFFFFF" TEXT="#000000"&gt;
&lt;!-- GSE Default Error --&gt;
&lt;H1&gt;Moved Temporarily&lt;/H1&gt;
The document has moved &lt;A HREF="https://script.googleusercontent.com/macros/echo?user_content_key=AehSKLifCZBZvQVi2ZWeCXn21lpIehQipUmpo2idI53-9rSkpwfrNUkX-3HEzG-LhPOPd3qPKVMmC85wlP3mrOWg7L5tJ_paLF-qrqywxVNOHbRuIn5ZKT2gTzlNISoiqvRCHQDVJ1o0d71LXmtwvDFRgUzzMAJ6jCchhNCL7xBiT_GZCygUfXefMcTnRBtC0yt89nieQAK0Lq0_NtCggyv7jUKcTdH5eUXxYxxB6m1f4P5eVIWBY-21hFnz4WW4o-W0a4lZs8TX3GOFbciX9n4Nyry0W2mmwPFw1XP4PSGVNopjIHZHVSgy7FgYerYClQ&amp;amp;lib=M-zdWbhavtdZ1B_W2dnFDM0qoVt4lWzJ-"&gt;here&lt;/A&gt;.
&lt;/BODY&gt;
&lt;/HTML&gt;
</t>
  </si>
  <si>
    <t>2VnPnGXcQeut9uU5RMq8DA</t>
  </si>
  <si>
    <t>18515</t>
  </si>
  <si>
    <t>8F00250411500012</t>
  </si>
  <si>
    <t>FITLOG TRANSPORTES E LOGISTICA LTDA / (048) 996277956Informação Adicional: Cliente: João Roberto Moreira Neto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</si>
  <si>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0uny_jGR_SAspNgeOhHJbFCyVj0a0pD4vXW-zVMqbrpPEC77At93YGle1oXnR7_2qEHKZGxuQBVwAU1HjiFSPxUByot9js3Wd0DztHcNilGjeJWCPupnXwZIean61tUevsDAX1PMYbLSykBYJ804_r_vhRIJOIMhG-FZxnApB0WoGyFLj2taAHkdkaoa4lzO6plpd8XEsfu7IvE8wXhmCbYFgWbytfGuUFr9hODAR_rGfSHCEMIkL_ppokjKQQVqcvANkDCmfniMlcdYGS3I6ooe9zUwNUUDfL6FvnxiJrMALmSJ7hQJn4L97Jg&amp;amp;lib=M-zdWbhavtdZ1B_W2dnFDM0qoVt4lWzJ-"&gt;here&lt;/A&gt;.
&lt;/BODY&gt;
&lt;/HTML&gt;
</t>
  </si>
  <si>
    <t>LTpNA6qVvaJIdihBcWIX</t>
  </si>
  <si>
    <t>18516</t>
  </si>
  <si>
    <t>8F00250529210007</t>
  </si>
  <si>
    <t>FITLOG TRANSPORTES E LOGISTICA LTDA / (048) 996277956Informação Adicional: Cliente: Enio Armando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</si>
  <si>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siOy-leusH0xIoDhkUNU732Gi8iLPTKBu1CpbHsuueJtC0MIU8-goe0GJe6EvHxwJWC-5V-iyTlqjMGiAT5nGfAipJc1tmbAGSgBKxWElcLSkpLKP2EiXgEltfgHeD-ce0DTwbO0Pt-RvSgPPcmdboc1MI6tudNDXxqKuMjCuQb4gWTwv3uoLmHmFw-yf_W-sNI863Ohk_eVD-AEsnJhNQPGULY7CLI7OYd5p01bsFFJspuCKpZGTOp6DQ_Z__fhBN48nM7J0lXZBEtj6qDzUFMu40w7_2HCgAkRw9uUY_XsoZ86inJppYn9NnA&amp;amp;lib=M-zdWbhavtdZ1B_W2dnFDM0qoVt4lWzJ-"&gt;here&lt;/A&gt;.
&lt;/BODY&gt;
&lt;/HTML&gt;
</t>
  </si>
  <si>
    <t>YRqqYdILTGSYAAROnjB6ow</t>
  </si>
  <si>
    <t>18517</t>
  </si>
  <si>
    <t>8F00250529210008</t>
  </si>
  <si>
    <t>FITLOG TRANSPORTES E LOGISTICA LTDA / (048) 996277956Informação Adicional: Cliente: David de Oliveira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</si>
  <si>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qWtpmRjwySaDwGHs9JQbrd-TYqrKpfc0mq02xlqovJlAIrHCd-8UjAGdNvaSJvxVO18GwoKpuj68M-zAFSs4HJyhZ64BgmK3M6V-706mFDiGm59vnLWZO5yxfvt1u25z7EM4Ky9SVes8Hlzp2wF52r80kMMl59L2GE2JFIR8PEWN3NEPoNjHSnHLodStPI78Qcq3ptifuRBoWlr8VY1EM1ZnUdbCQYclteoTScDKe0tv5V6l-FPfY3eeaKaURc-v3UHEDRN3GHyak2f_6jWLhK1Oc1rMI_bJyRSM9KQetLhukoDG82ISd2lR81w&amp;amp;lib=M-zdWbhavtdZ1B_W2dnFDM0qoVt4lWzJ-"&gt;here&lt;/A&gt;.
&lt;/BODY&gt;
&lt;/HTML&gt;
</t>
  </si>
  <si>
    <t>R5KyGM5fVMRl9GnFUi7F</t>
  </si>
  <si>
    <t>18518</t>
  </si>
  <si>
    <t>FITLOG TRANSPORTES E LOGISTICA LTDA / (048) 996277956Informação Adicional: Cliente: Paulo Cesar / Obs.Interna: entrega futura em 10/10 / E-mail para nota fiscal: , E-mail de cobrança: , Telefone para contato</t>
  </si>
  <si>
    <t>bKXFTc2WCdiScbcmQij1</t>
  </si>
  <si>
    <t>18522</t>
  </si>
  <si>
    <t>8B00240508003112</t>
  </si>
  <si>
    <t>FITLOG TRANSPORTES E LOGISTICA LTDA / (048) 996277956Informação Adicional: Pedido bonificado
Autorizado pelo Mário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</si>
  <si>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9nkCiDH6Jgs56XS2y48x9gmkRTtSqcUR47ZmiRIOKvOPaRzToSpYJ4TYuBb9ZC7PiDKUjGM9v5YKcq6FPTFXb7MM18x2O3kTMepcekS21ZCsykFwcOKooSD4xtaEaKB5aqxEGZGDOVKUq399TGXheKPN8O_VYxPghEWWLhKSjE_h1z8t8xQk1KTAK0c2P5GBfksmbNOQ6BxdsFTAFZ_AwN2pMr9QFMHJXK229StQ7OLXVvh2pk9DCkx8g5AdUaS6Ff98Xt7aLzFUKf05V9Lin6LOP-ivBeXSuJ61GlXonCkM6O3V0nhN-W4evQ&amp;amp;lib=M-zdWbhavtdZ1B_W2dnFDM0qoVt4lWzJ-"&gt;here&lt;/A&gt;.
&lt;/BODY&gt;
&lt;/HTML&gt;
</t>
  </si>
  <si>
    <t>15M44PXYT0Wlyzbn7JHWkQ</t>
  </si>
  <si>
    <t>18524-A</t>
  </si>
  <si>
    <t>EXPRESSO SAO MIGUEL S/A / (049) 3361-6627Informação Adicional: FAVOR CORRIGIR O VALOR DE CADA MAQUINA PARA R$7.939,00 / E-mail para nota fiscal: , E-mail de cobrança: , Telefone para contato</t>
  </si>
  <si>
    <t>axKfD8mdTCCoZKyGZCOHsQ</t>
  </si>
  <si>
    <t>18524-B</t>
  </si>
  <si>
    <t>RuoWWD29Wv7IGdz6pu2Z</t>
  </si>
  <si>
    <t>18525-A</t>
  </si>
  <si>
    <t>8F00250208100014</t>
  </si>
  <si>
    <t xml:space="preserve">&lt;HTML&gt;
&lt;HEAD&gt;
&lt;TITLE&gt;Moved Temporarily&lt;/TITLE&gt;
&lt;/HEAD&gt;
&lt;BODY BGCOLOR="#FFFFFF" TEXT="#000000"&gt;
&lt;!-- GSE Default Error --&gt;
&lt;H1&gt;Moved Temporarily&lt;/H1&gt;
The document has moved &lt;A HREF="https://script.googleusercontent.com/macros/echo?user_content_key=AehSKLiBgNVh-OnmkGeVL4AP1gzhyrjMYXqDy0jXdaJK5Pzqo82jgqoIKqpIBK5rKH2h5bz8e2U5DjcrNiapkL5PCNObguQP0W8XQ_oyl32pESwObI3vFUOQCwVwxho05dCV-FP9uP0YD6SadKO_dkl0J5e57O0tzCFj7mR_94fT9pdMc9H_mlrQLAELVCFKSpBlhn6l-23w4bHByYHm_PRrLWRIRifimnv15WIZ8DjZTrPHe5XUDLoQi8Q91odMzFtphLc_hhbvgBTS3NVJcKy8OWgaualPts8jChsdYD1hv8mzluYVWGy8bXvkCQEAyg&amp;amp;lib=M-zdWbhavtdZ1B_W2dnFDM0qoVt4lWzJ-"&gt;here&lt;/A&gt;.
&lt;/BODY&gt;
&lt;/HTML&gt;
</t>
  </si>
  <si>
    <t>41p1qJhdQdiRTqPaZa3iLQ</t>
  </si>
  <si>
    <t>18525-B</t>
  </si>
  <si>
    <t>8F00250208100016</t>
  </si>
  <si>
    <t xml:space="preserve">&lt;HTML&gt;
&lt;HEAD&gt;
&lt;TITLE&gt;Moved Temporarily&lt;/TITLE&gt;
&lt;/HEAD&gt;
&lt;BODY BGCOLOR="#FFFFFF" TEXT="#000000"&gt;
&lt;!-- GSE Default Error --&gt;
&lt;H1&gt;Moved Temporarily&lt;/H1&gt;
The document has moved &lt;A HREF="https://script.googleusercontent.com/macros/echo?user_content_key=AehSKLisVS7nsMJ4r8R4Av4NY4F-P43kI1q7pWkfhkCOxyz45xOIGDyjPerS3lmdobsRjaU3le4qIJIoD_Bt8nX2lm-LF5apbcY4svwOqwUl_XiSjnrx2OiQ-xAbPhJ4QHg7EsiU-tF9FPDj8CF3h-ZnC7hmdEPJWAxdBl9vttzAnpeWnX5ZGbBmO9cwATaTTO-FociOdpg4Y7At2wHtBvA9DwbwT17qBt3frEm4R8dNJlQF6xcXigtxHe10Vn48lP2m_qGWI0bC1-8RhVJp2EseOLw5L1jqbknbz_BN7_wRmB9yuPsvsvlyqeBezxESAg&amp;amp;lib=M-zdWbhavtdZ1B_W2dnFDM0qoVt4lWzJ-"&gt;here&lt;/A&gt;.
&lt;/BODY&gt;
&lt;/HTML&gt;
</t>
  </si>
  <si>
    <t>ochK10n030Aisg2QWlZf</t>
  </si>
  <si>
    <t>18526</t>
  </si>
  <si>
    <t>8F00250208100013</t>
  </si>
  <si>
    <t>EXPRESSO SAO MIGUEL S/A / (051) 3586-2013Informação Adicional: FAVOR CORRIGIR O VALOR PARA R$7.700,00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</si>
  <si>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CY8pGeZSMaOWwVnaY-7b8ddWIF3ELSbU9S0fY5Tkppri20z3PCB4XCtbQ3jhVs2eVxIX9lbmbtDbFQ02RnKkmjgcB0_biCvAGPMjWl-RWxCGAsrIMEjiGp5geOTxf6XKjlH587pEWad1tf6mdxWifsuh7zRR2ruLuKffnz_RoRHQJ6ZjVxnzAtqiWP3Il_uc-zKcWmuS7cltl1rVwxjRrtXUgkNWuAlgz4dJ4NBKVVIxmVpjIDwQrn41LhLubdayI05cSCnkGlPt3V-Y19IAUXNadA7O34ZoRO49wotZiUEAeMsRNxgZF8QN2xg&amp;amp;lib=M-zdWbhavtdZ1B_W2dnFDM0qoVt4lWzJ-"&gt;here&lt;/A&gt;.
&lt;/BODY&gt;
&lt;/HTML&gt;
</t>
  </si>
  <si>
    <t>o.fklxQFRXWmkAO3yx-LAQ</t>
  </si>
  <si>
    <t>18527</t>
  </si>
  <si>
    <t>8F00250411500013</t>
  </si>
  <si>
    <t xml:space="preserve">&lt;HTML&gt;
&lt;HEAD&gt;
&lt;TITLE&gt;Moved Temporarily&lt;/TITLE&gt;
&lt;/HEAD&gt;
&lt;BODY BGCOLOR="#FFFFFF" TEXT="#000000"&gt;
&lt;!-- GSE Default Error --&gt;
&lt;H1&gt;Moved Temporarily&lt;/H1&gt;
The document has moved &lt;A HREF="https://script.googleusercontent.com/macros/echo?user_content_key=AehSKLiCEtyjHAfDZeitGroPCLqFpobCLv5XCeAhVihozqsWR5CfydPIn2WpNJ1yPrYDJJJCWDpWguipz_V9J8oBZO-ewBw3lpITg_WzSDxQ70Bpn6_h87Vs5qHbPc7EjW4w-DYxiKA2toJushog9T_PHojeb322JixrSjtRJkMLWe7QDErvjDyMfWkQ2eB28IwqTl4LNLwn78lZZ0FMSLJ05p2c7D6dBtJrvDf5SQjT6AcpK7naS3an0oGhPaJphiP9VpdsI69Cv_MGqmryetr06sGMOqBAotvrvERYJ9RAP95WlYH6tSb9yEpB1lyZYA&amp;amp;lib=M-zdWbhavtdZ1B_W2dnFDM0qoVt4lWzJ-"&gt;here&lt;/A&gt;.
&lt;/BODY&gt;
&lt;/HTML&gt;
</t>
  </si>
  <si>
    <t>NbO5aTdlSeKGbXnQe9lBHQ</t>
  </si>
  <si>
    <t>18528</t>
  </si>
  <si>
    <t>FLG INSTALACOES MECANICAS LTDA</t>
  </si>
  <si>
    <t>fUHxhux.QceYVtTpBAQ.bQ</t>
  </si>
  <si>
    <t>18529-A</t>
  </si>
  <si>
    <t>AQUABIRD TECNOLOGIA EM AGUA</t>
  </si>
  <si>
    <t>FH80B60T</t>
  </si>
  <si>
    <t>FITLOG TRANSPORTES E LOGISTICA LTDA / (048) 996277956Informação Adicional: QUADRO DESLOCADO DE SOBREPOR. / Obs.Interna: QUADRO DESLOCADO DE SOBREPOR.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</si>
  <si>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ZEVtdv5zYTjMb8fCst3gyAcl4ijvlSsyy98jFYE9FO95LW4snLxqzbskeG-NMzJ6ig4cmaiNHIogh5DtmxsFkoZ81s3cnz3wamk7swT-K4Vt5TXb7mXxhqrkX4DXOuMySgopkZNOuVbtR9-dRp3mopuIIKmV4zRJgploq4OeE-GVJeS4SeWVLc5dPyPCpqx194toQavqGh3Wr-Eqer4aB1rB5lYbLjABeo0Lzotb_6han2DDTqvEbPllypPC4az1aiPuy1xP-ACFJF8EzK1VGy7lhq5Snu7hyWmc9z8h4P9KwMGstLas1P9dyw&amp;amp;lib=M-zdWbhavtdZ1B_W2dnFDM0qoVt4lWzJ-"&gt;here&lt;/A&gt;.
&lt;/BODY&gt;
&lt;/HTML&gt;
</t>
  </si>
  <si>
    <t>Ad-MRqVKQtq09.6ma2DMtw</t>
  </si>
  <si>
    <t>18529-B</t>
  </si>
  <si>
    <t>20319</t>
  </si>
  <si>
    <t xml:space="preserve">&lt;HTML&gt;
&lt;HEAD&gt;
&lt;TITLE&gt;Moved Temporarily&lt;/TITLE&gt;
&lt;/HEAD&gt;
&lt;BODY BGCOLOR="#FFFFFF" TEXT="#000000"&gt;
&lt;!-- GSE Default Error --&gt;
&lt;H1&gt;Moved Temporarily&lt;/H1&gt;
The document has moved &lt;A HREF="https://script.googleusercontent.com/macros/echo?user_content_key=AehSKLgXXyazLBVay-F3bqKuM5RvABJx-YmRX5iKdw9MEWRvUQkUWH1Jkf_RqjQm51nynSw4oURTGv1F6enSXSKkpaM0O-Z-_zz16_HKdAoe1lYEc0BxPRHpTq20E38VMtcJ8il7P3nnCZlVHK4BhpLr0ZOGhIjRJTLXhsZ_4bpbX8WE17Wj6nTw1EZd-q69apAO6Qk_V4UwrvaTJvkMXxCKHNBRh67YVYUG8Usw08QQQJOWL7ToElC7An_ThinGuwf--K-mBNKFfKhJXF-Ahf5wUqUFickQ1B5GTG6Y6WKAN82LKDdui-UMNZxylztLAQ&amp;amp;lib=M-zdWbhavtdZ1B_W2dnFDM0qoVt4lWzJ-"&gt;here&lt;/A&gt;.
&lt;/BODY&gt;
&lt;/HTML&gt;
</t>
  </si>
  <si>
    <t>6xmX5zbqHqlgXuGjddwP</t>
  </si>
  <si>
    <t>18530</t>
  </si>
  <si>
    <t>PISCINAS ANA PAULA LTDA</t>
  </si>
  <si>
    <t>8F00250411540016</t>
  </si>
  <si>
    <t xml:space="preserve">&lt;HTML&gt;
&lt;HEAD&gt;
&lt;TITLE&gt;Moved Temporarily&lt;/TITLE&gt;
&lt;/HEAD&gt;
&lt;BODY BGCOLOR="#FFFFFF" TEXT="#000000"&gt;
&lt;!-- GSE Default Error --&gt;
&lt;H1&gt;Moved Temporarily&lt;/H1&gt;
The document has moved &lt;A HREF="https://script.googleusercontent.com/macros/echo?user_content_key=AehSKLhu5MhpyfdlLI0F31d0Y3MuX7rBS5gOdYdgZii_wKq4gmAjNLBhfpPxFfxfn_SGkWG9SOwx9r25FyXlLaBLXRxVZA7V8xBEHhfxv3ohtKm8AAXyg7AdbyqKyQt3LMbH5i096cxI5Z6wdYySX7m6Rk09m3Cp2FfE906LlSmT7W91cM9isByK2qyZ61trXHTaW2kcB72Fn2gPKP7izwdX0w3XhMmQYRbjrMpqgqnW8Acv47qVx9BIFO5lPxDfl36F3gZa-dpQsU8bm5w4qSirdC0zYKRjDlAoklDEtQUyJ3l13NIk0OTNb71fr_38Gw&amp;amp;lib=M-zdWbhavtdZ1B_W2dnFDM0qoVt4lWzJ-"&gt;here&lt;/A&gt;.
&lt;/BODY&gt;
&lt;/HTML&gt;
</t>
  </si>
  <si>
    <t>j7Wt8hnGRGWXf2JhH0Gptg</t>
  </si>
  <si>
    <t>18531-A</t>
  </si>
  <si>
    <t>20314REPRESENTETANTE BOTOU F E ERA H</t>
  </si>
  <si>
    <t xml:space="preserve">&lt;HTML&gt;
&lt;HEAD&gt;
&lt;TITLE&gt;Moved Temporarily&lt;/TITLE&gt;
&lt;/HEAD&gt;
&lt;BODY BGCOLOR="#FFFFFF" TEXT="#000000"&gt;
&lt;!-- GSE Default Error --&gt;
&lt;H1&gt;Moved Temporarily&lt;/H1&gt;
The document has moved &lt;A HREF="https://script.googleusercontent.com/macros/echo?user_content_key=AehSKLj8pY6flUWvPczWRVNlOCmquFgSZZb9Se2YnmeZvOatnQjg5y7ECIr5a5GmHWVivPFis695JGUz0qwbqtp0jldph7h8c1YSMm_5Taf5VJFcU7k_fkIGdl_2yfg9rVmrIMps4v34iCiS4V2xcRGUWF2hI66S97_uUn1B-5tqhunTpEeDkemlTmCb4xpc2hNurgcAeWQDHisTRzrQeYQTng7_xTtHfp7wojS-tSkUSAG7OyiQtgCNNlSqlYdzSMLFKzkfHx_Zba01ptA-yjFNF2iMkob2mPIhwmPpSsgoKu7FSrVTtC_iY60qm6obAQ&amp;amp;lib=M-zdWbhavtdZ1B_W2dnFDM0qoVt4lWzJ-"&gt;here&lt;/A&gt;.
&lt;/BODY&gt;
&lt;/HTML&gt;
</t>
  </si>
  <si>
    <t>y5.VuAJrQkusHJRXatsE1g</t>
  </si>
  <si>
    <t>18531-B</t>
  </si>
  <si>
    <t>20315REPRESENTETANTE BOTOU F E ERA H</t>
  </si>
  <si>
    <t xml:space="preserve">&lt;HTML&gt;
&lt;HEAD&gt;
&lt;TITLE&gt;Moved Temporarily&lt;/TITLE&gt;
&lt;/HEAD&gt;
&lt;BODY BGCOLOR="#FFFFFF" TEXT="#000000"&gt;
&lt;!-- GSE Default Error --&gt;
&lt;H1&gt;Moved Temporarily&lt;/H1&gt;
The document has moved &lt;A HREF="https://script.googleusercontent.com/macros/echo?user_content_key=AehSKLhxl684PEnpdJvUJ-TebPasyFScO3FPbjRS6_FtWJ6wZ7kXixPtz6F18tXBYTl8XkKEValE4bd2UrZPO9GwW3-hOaklmlC1K-WwMMmhLhpV8erbrIZ78FbfujYYGxgSWICk1-ox51qtiZKHB_f6Q-BnoPkLD3PEJC-6csEPGMxROdsBK0F1dxaQC12WLSvSRUg5IaYLUyUXc36g8AFuQ7WBBiPUeG_BZsSfRxGQnSitRx59G1IkUgaAiRPgxCaem2qF_KqPv3rv348Xvg_7WCIsOVjZCtgwyNtRB8qtODhDuXxrOA1f5uDAqzU9PA&amp;amp;lib=M-zdWbhavtdZ1B_W2dnFDM0qoVt4lWzJ-"&gt;here&lt;/A&gt;.
&lt;/BODY&gt;
&lt;/HTML&gt;
</t>
  </si>
  <si>
    <t>llvcFhyGB3xOSe5c3apa</t>
  </si>
  <si>
    <t>18531-C</t>
  </si>
  <si>
    <t>20317REPRESENTETANTE BOTOU F E ERA H</t>
  </si>
  <si>
    <t xml:space="preserve">&lt;HTML&gt;
&lt;HEAD&gt;
&lt;TITLE&gt;Moved Temporarily&lt;/TITLE&gt;
&lt;/HEAD&gt;
&lt;BODY BGCOLOR="#FFFFFF" TEXT="#000000"&gt;
&lt;!-- GSE Default Error --&gt;
&lt;H1&gt;Moved Temporarily&lt;/H1&gt;
The document has moved &lt;A HREF="https://script.googleusercontent.com/macros/echo?user_content_key=AehSKLinVTBlTG3iiKJHPQvXYfBBf4ni7ADdAgU6Zq5GXrSsA0ZkfHcpHmIE1K0AxWhA8F59fbItMwfD9BNgzQRbG-zs7fjuzNaExBVNCDCqdPX-j-XgeJeizs5F1Pk-lo7c7HGOhDLEl6c_tcx1jd-9ExUAvphvqXBrrTmPinabbWZC3-4iv2rOO80fQvy-ROYmRbIe8Rtp9ZJmqYGYfxSDncjfZE0AJsN0q2GV2EizDfVmZviQ3RF3U71WFy4zzwb3fV7AgW3LpdAX1OCLikepvGWYq7nRcWVr6IyugdS3K9MsFP0pS3_wLJS5P2J8OQ&amp;amp;lib=M-zdWbhavtdZ1B_W2dnFDM0qoVt4lWzJ-"&gt;here&lt;/A&gt;.
&lt;/BODY&gt;
&lt;/HTML&gt;
</t>
  </si>
  <si>
    <t>HKYvjw8GaYsDkcl7CMTn</t>
  </si>
  <si>
    <t>18531-D</t>
  </si>
  <si>
    <t>20316REPRESENTETANTE BOTOU F E ERA H</t>
  </si>
  <si>
    <t xml:space="preserve">&lt;HTML&gt;
&lt;HEAD&gt;
&lt;TITLE&gt;Moved Temporarily&lt;/TITLE&gt;
&lt;/HEAD&gt;
&lt;BODY BGCOLOR="#FFFFFF" TEXT="#000000"&gt;
&lt;!-- GSE Default Error --&gt;
&lt;H1&gt;Moved Temporarily&lt;/H1&gt;
The document has moved &lt;A HREF="https://script.googleusercontent.com/macros/echo?user_content_key=AehSKLhEeW8B06EVfM4rOW2O7s4uN6FILbPwpXZKe1zsO7aidAy5ZohE_wZRL5fBaN2SV-4FKADM5jkA8wOUD1XGeWsH3SMXvB9wuaBs2JZuVxRPB0deaM274SS-jZeEdWJxStkI8IgQXf5hgOmJDpOu8hzTRgRFo6KyE-dK5VvrPdCOHKPc_Yl8xOPKFVAnrNdo2YSQ9awuTI_ehE98rcMTjtCWOVbEsykH5aWNy4gNhOm4Wiud3KFRpE9aRFNwpc7sgyDbVPZbsJ34RvLJouadCf3PiI7VN-1XNNWdQrHCoMpVWsYUfCgCZcEFUn9LWw&amp;amp;lib=M-zdWbhavtdZ1B_W2dnFDM0qoVt4lWzJ-"&gt;here&lt;/A&gt;.
&lt;/BODY&gt;
&lt;/HTML&gt;
</t>
  </si>
  <si>
    <t>0LsXBMjwWh2fDCHOefzB</t>
  </si>
  <si>
    <t>18532</t>
  </si>
  <si>
    <t>METANOIA PISCINAS E LAZER LTDA</t>
  </si>
  <si>
    <t>FITLOG TRANSPORTES E LOGISTICA LTDA / (048) 996277956Informação Adicional: Item para remessa futura / Obs.Interna: Item para remessa futura / E-mail para nota fiscal: , E-mail de cobrança: , Telefone para contato</t>
  </si>
  <si>
    <t>H8TAgd27RK-.nQ9aeRWjOw</t>
  </si>
  <si>
    <t>18533</t>
  </si>
  <si>
    <t>8F00250208100015</t>
  </si>
  <si>
    <t>EXPRESSO SAO MIGUEL S/A / (049) 3361-6627Informação Adicional: FAVOR CORRIGIR O VALOR PARA R$7.939,00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</si>
  <si>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RG8QEsQygd_tYnKOlwgOsTg8nyONU149KGuKoW8YeIJ3dh9HgiTM6nkQHJpXBgwzqgn1hUq5JlCa2gpes6XEJEUe8TD3xxmrHH8o56PAvAJfxe59w7koV5b1B0-UcO57p6BamizCt4PZQaNLwd3VON7reItPbxUifocLCufpiSIgEXBcyQAFebQ076rYadddbbq4kWwLf9IsBAPgPLtgIqBwceBdsCvnMDc8UOBos4AinBELU_PTNI4t-ezUtMk-rtvkHEs_dPqF2AsM_GEYBBmgyf7k7ncMSVAfkZsSlCdRs8IXzj3p_454c-g&amp;amp;lib=M-zdWbhavtdZ1B_W2dnFDM0qoVt4lWzJ-"&gt;here&lt;/A&gt;.
&lt;/BODY&gt;
&lt;/HTML&gt;
</t>
  </si>
  <si>
    <t>X587nLsMSzWjB7sCQYyFjA</t>
  </si>
  <si>
    <t>18535-A</t>
  </si>
  <si>
    <t>8F00250706340005</t>
  </si>
  <si>
    <t>Favor enviar brindes para o cliente.
EXPRESSO SAO MIGUEL S/A / (049) 3361-6627Informação Adicional: Favor enviar brindes para 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</si>
  <si>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dkd6D6wXIhjBnNZ_xX7E_edgdaoYI9PFDZBnKqhrKgZP6BM_kioKi6q3YKaMRp11xjRPWZ3A5r6_A_kivtrDOG4UgnW97sbpvxjRAbOzpq0Jmmb1Vrr6KpTHrS885Nr6TauIsKq0Znq5uN3R-ZyTKVbkdvTtaDThYe9DhtaP_MBp0yH7hZHEThh7xyF6nBSM5afArsZuTjvIgy0DGZujPnBNl1yAcVGcnv1frUv9gBEA2zIMVWSflcsLD424Fz5ikRfNdHw1Gxtv6IQ3at875NZhGMiKQiXhqmHXk8xuFWY-mVNha2QJxUIbUfA&amp;amp;lib=M-zdWbhavtdZ1B_W2dnFDM0qoVt4lWzJ-"&gt;here&lt;/A&gt;.
&lt;/BODY&gt;
&lt;/HTML&gt;
</t>
  </si>
  <si>
    <t>yaYmQSHqRHSl9Y6t2QYCsA</t>
  </si>
  <si>
    <t>18535-B</t>
  </si>
  <si>
    <t>8F00250706340006</t>
  </si>
  <si>
    <t xml:space="preserve">&lt;HTML&gt;
&lt;HEAD&gt;
&lt;TITLE&gt;Moved Temporarily&lt;/TITLE&gt;
&lt;/HEAD&gt;
&lt;BODY BGCOLOR="#FFFFFF" TEXT="#000000"&gt;
&lt;!-- GSE Default Error --&gt;
&lt;H1&gt;Moved Temporarily&lt;/H1&gt;
The document has moved &lt;A HREF="https://script.googleusercontent.com/macros/echo?user_content_key=AehSKLjCOIUqYq7mx_zXNpLnstT5ldw3epZS5W1nQC4f-CuTOZvxty5a2F4QR1ZGBjIuriJXnlJDVXHW4bAoiwIoRS9dUQK5YwZ2HeAjEBgmwog9ipXGv7-6dUJDlLEIrq3tnDjNVt2CBDrilzzFu2VdIzqFbcFrYJIaOYC_W2X1CMaRKrM58zBlX1pFoBtx7xqVSsaAiPJwxf_iARaY4UHKc2y5WyQVty1u89wfc7Fc7Iw2j1cxiXy53xqQhTEwzDENEiUFxFMKQVOIH2No2O1f4Krw9hSfsC8CRxPejiMJBP0P2XC3moMAVCWM6OEtkw&amp;amp;lib=M-zdWbhavtdZ1B_W2dnFDM0qoVt4lWzJ-"&gt;here&lt;/A&gt;.
&lt;/BODY&gt;
&lt;/HTML&gt;
</t>
  </si>
  <si>
    <t>2gUboc4Uq9sd9rpzUAMl</t>
  </si>
  <si>
    <t>18535-C</t>
  </si>
  <si>
    <t>8F00250706330008</t>
  </si>
  <si>
    <t xml:space="preserve">&lt;HTML&gt;
&lt;HEAD&gt;
&lt;TITLE&gt;Moved Temporarily&lt;/TITLE&gt;
&lt;/HEAD&gt;
&lt;BODY BGCOLOR="#FFFFFF" TEXT="#000000"&gt;
&lt;!-- GSE Default Error --&gt;
&lt;H1&gt;Moved Temporarily&lt;/H1&gt;
The document has moved &lt;A HREF="https://script.googleusercontent.com/macros/echo?user_content_key=AehSKLjEJI_9QtkCcGZzksJLEOEmlUXcppliBzUBB6mx47Ehe1V99EdxL2sFwswu_nOac6kDR_hyPJW7p6sLc-eLdfvM0nUka76q-Zc8CqoZgiYNdwnlM46kG7i5BehivGN11VR1p1vqseoDBRJJE-X7zheFlaxbbXR1Br3dU9Xg780QufjwXBvRAj9Fu7EcXZBiwaPEcBWcFgSziEtjPDJmjmNBn6mCjQSNwPuswMqB3kQM0EMAqD7EC29K0yjQALOgR5rFbM5BSlSRM_Hy77gg2I185b1oQcdv350F5v2kGkdAso_jHxlWPHv_Nmzw_w&amp;amp;lib=M-zdWbhavtdZ1B_W2dnFDM0qoVt4lWzJ-"&gt;here&lt;/A&gt;.
&lt;/BODY&gt;
&lt;/HTML&gt;
</t>
  </si>
  <si>
    <t>eyw6KYnoaicWQ5vbdIig</t>
  </si>
  <si>
    <t>18535-D</t>
  </si>
  <si>
    <t xml:space="preserve">&lt;HTML&gt;
&lt;HEAD&gt;
&lt;TITLE&gt;Moved Temporarily&lt;/TITLE&gt;
&lt;/HEAD&gt;
&lt;BODY BGCOLOR="#FFFFFF" TEXT="#000000"&gt;
&lt;!-- GSE Default Error --&gt;
&lt;H1&gt;Moved Temporarily&lt;/H1&gt;
The document has moved &lt;A HREF="https://script.googleusercontent.com/macros/echo?user_content_key=AehSKLiW3nUrlXxUGbGp54JrVPDkJKopI__h5v2cdYHV5IMNl0ZHYBEYU3P4gWAsNALbvTswVWB6LwZ3ZNbfLxDb3W79XGDnOKu6KoKdKXZTBIyRoidUCAZ0_VA5Kg9R0YyP80DGiXWeHji2kDc7UMor1LcrKHsrkExG7G_K7kq0VX-Imy0WOP5m2_FI4JakyGl2HnTxJCyxF_FghAC4L7EsWiv1DdlUNaVrwCJwQ-ej8u6oBayGHWktMKI1smHrCmRVUaPPDTJ2cekuVo95nSULyLHPT1M08g1SD1xoRROz4hMQ17Aq5yPKrzoCZtI_tw&amp;amp;lib=M-zdWbhavtdZ1B_W2dnFDM0qoVt4lWzJ-"&gt;here&lt;/A&gt;.
&lt;/BODY&gt;
&lt;/HTML&gt;
</t>
  </si>
  <si>
    <t>wq2WHgdFNseBNMpPEO8S</t>
  </si>
  <si>
    <t>18538</t>
  </si>
  <si>
    <t>20273</t>
  </si>
  <si>
    <t>DESCONTAR DO CONTRATO
FITLOG TRANSPORTES E LOGISTICA LTDA / (048) 996277956Informação Adicional: PC 1020.  Entrega Rua Almirante Guilhem 64/501 Leblon RJ cep 22440 000 ligar antes de entregar para Jorge 21 9 9512 4022  / Obs.Interna: PC 1020. Abater do saldo conta corrente. Entrega Rua Almirante Guilhem 64/501 Leblon RJ cep 22440 000 ligar antes de entregar para Jorge 21 9 9512 4022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</si>
  <si>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3OdMbzE4GuGVOb4nLjHN-RnydvEGCBRa8HV8PXSP2JLdu2n8AOTS3SKjw5o6YjEZCAtWWqDCR8RJ3Og47sp6utunHh1nHK2p52fCDaqUIbu-ETsNCyPxEh4TqjrkhWIBHQczR4dwPsHifIVsh45XKYco_PWXHvZwNObqyUwcsT_f0QWCEB3BL5XKAWKi3S79TtO2cmMwJmU0D2ZDTpWkq-qbDuuLvY8OiZV-973eDMmSPme1d_XjV7OZ6p3o8d33aSkNFYZHlB-Qti2N0exUG3k6V71lx8rFJsrKLc0nJTS76y5tosiElnnDl6A&amp;amp;lib=M-zdWbhavtdZ1B_W2dnFDM0qoVt4lWzJ-"&gt;here&lt;/A&gt;.
&lt;/BODY&gt;
&lt;/HTML&gt;
</t>
  </si>
  <si>
    <t>N3S4v4i3R6qUSAWwgv-kzw</t>
  </si>
  <si>
    <t>18539</t>
  </si>
  <si>
    <t>8F00250529210012</t>
  </si>
  <si>
    <t xml:space="preserve">&lt;HTML&gt;
&lt;HEAD&gt;
&lt;TITLE&gt;Moved Temporarily&lt;/TITLE&gt;
&lt;/HEAD&gt;
&lt;BODY BGCOLOR="#FFFFFF" TEXT="#000000"&gt;
&lt;!-- GSE Default Error --&gt;
&lt;H1&gt;Moved Temporarily&lt;/H1&gt;
The document has moved &lt;A HREF="https://script.googleusercontent.com/macros/echo?user_content_key=AehSKLi-IxgRhFMq2BE3kvZNBtANPvBC-obvUPsUC5C0xL5gsEs0VnPjFxNnKBeLNLVttl7DJqJ0eGAUEQbxPcCjl6twflo71Lec0DagRsvb5fL9k38QsEL9HVNDu8_Wq2VnQpPcicU1GUIWpQMQCapZ7cU4YvbOSDoFBHQLnj7lv8Cqr8go-PiKq2-WDDANpvUJCSMY7_vFr-cnb6I2S31Bog3VC88uAphwisLZr0XCJsSdXOkrsiVs-Yid9f6RWDoyJUsVJtsk3EV7pB0wHvNZKBkTrcWYNAnhDNoHWQXe-M6SJyGhDb7F9oHcdQeCtw&amp;amp;lib=M-zdWbhavtdZ1B_W2dnFDM0qoVt4lWzJ-"&gt;here&lt;/A&gt;.
&lt;/BODY&gt;
&lt;/HTML&gt;
</t>
  </si>
  <si>
    <t>KVAdJp8VQeOulfBfp6f1Cw</t>
  </si>
  <si>
    <t>18540</t>
  </si>
  <si>
    <t>8F00250706330001</t>
  </si>
  <si>
    <t>FITLOG TRANSPORTES E LOGISTICA LTDA / (048) 996277956Informação Adicional: +10% de desconto / cliente retira na segunda feira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</si>
  <si>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DpAAfNlaJuorqf0ogw6t2lfX-do7dxiuOyz0ukOP7uXbIlkTt2ivEhUltXcBXX-fhAQ2E_2lWc40E4nIizwKy_M9gAoYxIaOJBJcbuHAovEo-z7SByRcdhlxL3PFDpBAQTYH23hnFPVIAza6rby4h61qWnU1l7WxsNKuXW9p-329HFCGWPDHW_c_6nhRs8H2rtxp4w9pUZ9v6GBF8Eyz3X2-8MQrgba4hWwrMcXCtVwfBe8mGNDW1gYv_H4quSw2IPXr9pdEiWF-Lzy8nQgn73u03wna00yKSjKtI304NmyASfq72ca8FosB1Yg&amp;amp;lib=M-zdWbhavtdZ1B_W2dnFDM0qoVt4lWzJ-"&gt;here&lt;/A&gt;.
&lt;/BODY&gt;
&lt;/HTML&gt;
</t>
  </si>
  <si>
    <t>xtSTPNVTTPC09XUdWVOUDA</t>
  </si>
  <si>
    <t>18541-A</t>
  </si>
  <si>
    <t>EXPRESSO SAO MIGUEL S/A / (049) 3361-6627Obs.Interna: VALOR DA MAQUINA R$ 18.800,00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</si>
  <si>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BAYhS23f9U1W5sRvSuiYqi3N9AcmDOQplUWSrJ5kQC6quohRB3PQEiDQrfLJR-7weYGX3uCu_b6kRLeeFr6zSKo_sgams15aBsHKewMWdARdW2DUbPi1hNxJAgF9yNgWPQgFtHNB3Gqmv7TE62Qd_iOfGI8MRvk-Q5fX-GKOY1oXvN-Z1PRt3l01eYH1kqlKpTltVvb9nsQ1A2rBtNw16I6OFoapCDlveWedSt3Qq1blw1UCBDG_Zb4tVsm9ZJepwbAVDRSdwLJeQtTu-dzLu_XkewQIpOGEsWJMAnIt6hslg-Uw9R6CKhXWgQ&amp;amp;lib=M-zdWbhavtdZ1B_W2dnFDM0qoVt4lWzJ-"&gt;here&lt;/A&gt;.
&lt;/BODY&gt;
&lt;/HTML&gt;
</t>
  </si>
  <si>
    <t>6zYzqs4sRDyvRbFYmnVvcw</t>
  </si>
  <si>
    <t>18541-B</t>
  </si>
  <si>
    <t xml:space="preserve">&lt;HTML&gt;
&lt;HEAD&gt;
&lt;TITLE&gt;Moved Temporarily&lt;/TITLE&gt;
&lt;/HEAD&gt;
&lt;BODY BGCOLOR="#FFFFFF" TEXT="#000000"&gt;
&lt;!-- GSE Default Error --&gt;
&lt;H1&gt;Moved Temporarily&lt;/H1&gt;
The document has moved &lt;A HREF="https://script.googleusercontent.com/macros/echo?user_content_key=AehSKLhrqGrt36sr3ckhPObQNkO554gtyRpjN-VxY7asKi6xwRGP62AED7sBo3qF3hUubAHA3cdqRmOeXo7BrqpjJjNi8NIAtWsz4K2cPXuaC7BY6e_0XF_deY-yknrrAB4821MrymvGR8PDqnNSFPtPE6auhQnWzWPVG3NEu4MJ30mnc54NzSqE2ijj9ksFLftJ5fFKxdM21xE4burJcM5UwvB32Ud_23RqRVTPapM1bhuCFaReHRDtVoxwworqyZEU5IBa58qc8bF-TJmgpi8O7NsFBVVQWH4MJ3arQClo8KWFkurKpdAonrdxMCHMOQ&amp;amp;lib=M-zdWbhavtdZ1B_W2dnFDM0qoVt4lWzJ-"&gt;here&lt;/A&gt;.
&lt;/BODY&gt;
&lt;/HTML&gt;
</t>
  </si>
  <si>
    <t>15WCHbv66deuzgqR5364</t>
  </si>
  <si>
    <t>18542-A</t>
  </si>
  <si>
    <t>LEO PISCINAS E JARDINAGEM</t>
  </si>
  <si>
    <t>8F00250804020023</t>
  </si>
  <si>
    <t>SAIR EM OUTUBRO
FITLOG TRANSPORTES E LOGISTICA LTDA / (048) 996277956Informação Adicional: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</si>
  <si>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d_bLeHeBmRW-sg2QKGu05SVqg__KCLSlVrA4pWRZ3q0Eltd_1Y-EOoswFNcOUQMOAw6SxKetmXyR97hpi4PtcXEimgi3SQyLj4nfDzi2Y1CFBdewUSdOmijiBhB4fprmQBxfTtSBHKzPcuNMjs7x-wUOXPPuWQGzv3vsOfaEXG-5UUFygrERhsqestbAW5rZ0NCiRFz0d10E6PuHRIuchtzsW99DXhM8v5mQTHAGd0QBgnGUVZh9riOBPZDycmdDBSJEy_ZezJpcrTSTnzu8BRMN7DCQk756fwjrD2lywYikExbap4RgmvPOo3w&amp;amp;lib=M-zdWbhavtdZ1B_W2dnFDM0qoVt4lWzJ-"&gt;here&lt;/A&gt;.
&lt;/BODY&gt;
&lt;/HTML&gt;
</t>
  </si>
  <si>
    <t>6Ce.C739SYepePORs3690w</t>
  </si>
  <si>
    <t>18542-B</t>
  </si>
  <si>
    <t>8F00250804020020</t>
  </si>
  <si>
    <t xml:space="preserve">&lt;HTML&gt;
&lt;HEAD&gt;
&lt;TITLE&gt;Moved Temporarily&lt;/TITLE&gt;
&lt;/HEAD&gt;
&lt;BODY BGCOLOR="#FFFFFF" TEXT="#000000"&gt;
&lt;!-- GSE Default Error --&gt;
&lt;H1&gt;Moved Temporarily&lt;/H1&gt;
The document has moved &lt;A HREF="https://script.googleusercontent.com/macros/echo?user_content_key=AehSKLgNLle-1k1P45k5nEqCLzsIjBf--bIcCMxWrGefZeIaweNUmdG-pG3rkGW6udImP6-bGmkT8TFsf7zUEYOzWWZ9Y11RY3tT-gEQI_UEavjwckRjcrnaqzE-QuNTvXSTbKdaxcp6od40h1geWhnDBRMYXhmzYvz9iCDhJ9FM4s3NuLN19f-ktT4Sc7wSvab86JNcgx3JoAJMMU4v-0NHZzK03vuX8UH89I9p-o-_5bqBMciDXiL9QoWLI7CaUGizcqAYOxX88XL-lC4Heq7PCN-2B-uvaSxfx6ZANixtWBuZ18eBXE4z7gm5mGDHPA&amp;amp;lib=M-zdWbhavtdZ1B_W2dnFDM0qoVt4lWzJ-"&gt;here&lt;/A&gt;.
&lt;/BODY&gt;
&lt;/HTML&gt;
</t>
  </si>
  <si>
    <t>HpXp5eyFwg4pyUFPUDOk</t>
  </si>
  <si>
    <t>18543</t>
  </si>
  <si>
    <t>8F00250208100024</t>
  </si>
  <si>
    <t xml:space="preserve">&lt;HTML&gt;
&lt;HEAD&gt;
&lt;TITLE&gt;Moved Temporarily&lt;/TITLE&gt;
&lt;/HEAD&gt;
&lt;BODY BGCOLOR="#FFFFFF" TEXT="#000000"&gt;
&lt;!-- GSE Default Error --&gt;
&lt;H1&gt;Moved Temporarily&lt;/H1&gt;
The document has moved &lt;A HREF="https://script.googleusercontent.com/macros/echo?user_content_key=AehSKLgM-jJxRnTmDPK-djwYWKU6SgdgzPwKZtGI7HWlAYQCjZ4Ewylc2avQeFP3mw0EbnLxTtIaIeefnOGy-yG20Dcjyow2EyQsi9AGn9IjLX79uJqudOjz2yOAv0b0LBGNdIzxWUUsHQiXNlGO9sjnTJFMV9CAHWr4rnnAvkgu6GF76TISLYS07Rxcc8MgfWJCGNwFItzlwc2QlXXHd5IwnTKBqBBoLRBnbaBIyXMPwX5xM8rhxBvCP13Her9Chbj6-C2i3ADLpXAIF4eu17OA66dBjc_I5LzYoZYr-jhU8pjpwqT_SdRWTE99KF7mRA&amp;amp;lib=M-zdWbhavtdZ1B_W2dnFDM0qoVt4lWzJ-"&gt;here&lt;/A&gt;.
&lt;/BODY&gt;
&lt;/HTML&gt;
</t>
  </si>
  <si>
    <t>2-aLe3XHScuU5ZqirBdGfQ</t>
  </si>
  <si>
    <t>18544</t>
  </si>
  <si>
    <t>P. RABASSI NASCIMENTO SERVICE</t>
  </si>
  <si>
    <t>8F00250706320012</t>
  </si>
  <si>
    <t>Transportadora Bauer / (048) 9943-3665Informação Adicional: favor corrigir o valor 4.845,42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</si>
  <si>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EFucH5aoDutJXghk80mNp4KOYjyW3J26nKfhEUzdQTK4yHU2cEH_J95uco370HwVzeKC6__eN8i-BzHY-ERUfB0JL_GkYEn8o_36n90QUsBbPQ8dKELKJJkhVGX2f0ZF3LEA2u0YTHXl5V-lVcswJfQjpZP2daWTEloiRhHjcnJCn4uK4FoPyCZk99vvwXX-IuJwQA_AUFKQR-Is_YaUutW-b9uEVhU0qU0en6kE7135WXswG4Al6OF7EqTDyrzjciENS50SARXdOUQlI-ZFowcZlVUVTEYkY6Uolnp2K9B_j4n6EtUI0lmVk5g&amp;amp;lib=M-zdWbhavtdZ1B_W2dnFDM0qoVt4lWzJ-"&gt;here&lt;/A&gt;.
&lt;/BODY&gt;
&lt;/HTML&gt;
</t>
  </si>
  <si>
    <t>yhHc8bJXQbm-RCk9FUGOgQ</t>
  </si>
  <si>
    <t>18545-A</t>
  </si>
  <si>
    <t>8F00250329030001</t>
  </si>
  <si>
    <t>FITLOG TRANSPORTES E LOGISTICA LTDA / (048) 996277956Obs.Interna: REDESPACHO: RF BRA TRANSPORTES (49.515.412/0001-53) - Rua Ouro Verde de Goias, 1233. Cidade Industrial Satelite. Guarulhos - SP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</si>
  <si>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Fp7p7NhNgH5RQvVSrfakKwhrSi37YaLMw1uFRvL_pom7LN0NctNIM2_bqKtDMbhQ77dgpvz9PJnt7zd3asFRmzTiIJAy5N3PKY1K1HCAXNMahDTb7KqygG5kyZ0EzO8kUFL-NvoFNK9SLLIvCzPmOSm2_CjoeI7aJQUit7eFu_0lp8sI1nkDx1OV9ZozouhLuJJvaZewiZYYxZlh742m8w8UVlPu-LKV74uTDzI8e-gTCFqF5_TUH_Gp90KMIyDYax6KCuiWEbATPssgLpBBcjm4ZihMwAAg6Vq_59HnYgEg9MgXS8dpLQQkEdg&amp;amp;lib=M-zdWbhavtdZ1B_W2dnFDM0qoVt4lWzJ-"&gt;here&lt;/A&gt;.
&lt;/BODY&gt;
&lt;/HTML&gt;
</t>
  </si>
  <si>
    <t>l7RixlmnR6GNBbnRXpte-w</t>
  </si>
  <si>
    <t>18545-B</t>
  </si>
  <si>
    <t>8F00250329030056</t>
  </si>
  <si>
    <t xml:space="preserve">&lt;HTML&gt;
&lt;HEAD&gt;
&lt;TITLE&gt;Moved Temporarily&lt;/TITLE&gt;
&lt;/HEAD&gt;
&lt;BODY BGCOLOR="#FFFFFF" TEXT="#000000"&gt;
&lt;!-- GSE Default Error --&gt;
&lt;H1&gt;Moved Temporarily&lt;/H1&gt;
The document has moved &lt;A HREF="https://script.googleusercontent.com/macros/echo?user_content_key=AehSKLh0KJ76O_xHZRSqTbwdSd_c2KkT-VLxnv5GpOkmztlKHEV5M49APcCYGLsrb_QFS5RGCenQKdIuW1s2MKaxUkyrBrlFo0bBY_ITjsgmr8LdngmW-xHZIzs8IQC3H2i2A9n8uHaVAq-RzCax3wwxQowPpwSKyB6ICjev3Vs-6XkeJlqwh7F5Q-pmtFx2daSFthT2GTfoNDTI_eD9lRxosJimI-E82FgITH2H_0-5Jj1kfD6HOSf6IVgoqjLgOF8DAIZrItPTBV-tYwTD175Ye6G_eDt0hoxVD638MsFSzRRVkJrXzlDaxVXLKhNKWA&amp;amp;lib=M-zdWbhavtdZ1B_W2dnFDM0qoVt4lWzJ-"&gt;here&lt;/A&gt;.
&lt;/BODY&gt;
&lt;/HTML&gt;
</t>
  </si>
  <si>
    <t>uSQCYINvoRQUXIE20gS4</t>
  </si>
  <si>
    <t>18545-C</t>
  </si>
  <si>
    <t>8F00250329030057</t>
  </si>
  <si>
    <t xml:space="preserve">&lt;HTML&gt;
&lt;HEAD&gt;
&lt;TITLE&gt;Moved Temporarily&lt;/TITLE&gt;
&lt;/HEAD&gt;
&lt;BODY BGCOLOR="#FFFFFF" TEXT="#000000"&gt;
&lt;!-- GSE Default Error --&gt;
&lt;H1&gt;Moved Temporarily&lt;/H1&gt;
The document has moved &lt;A HREF="https://script.googleusercontent.com/macros/echo?user_content_key=AehSKLjAf2fYP--mTXqEiPQjwEoMuqptUmTtahQI5zq3xdmIKQqE5_AMTWxaqu9sqdbA9iKt-hI_PSf5I6kdceskJY7hoA003uqwl0UTEAih8o660ji1UGS7iRKkzqj0zI0Sw7jXy7RmYynLWfZdhQl4mLogNr8jwDaTmHlTtUaKbVjhqxMYRUGSi8oqG616m66FuteBg65ewxu6yOLgXLr1--4iP_TyHym38NJLOxVeYMATCQq5WqkEeMXWgZ9uFwPVh4R7CQLChVp2lSoM4Th3rmEwKQXE4Oi6C9YAHEcY4YMeXFL11cryd6cnwNc3dg&amp;amp;lib=M-zdWbhavtdZ1B_W2dnFDM0qoVt4lWzJ-"&gt;here&lt;/A&gt;.
&lt;/BODY&gt;
&lt;/HTML&gt;
</t>
  </si>
  <si>
    <t>d1650VBnpLPc11U5medT</t>
  </si>
  <si>
    <t>18545-D</t>
  </si>
  <si>
    <t>8F00250329030054</t>
  </si>
  <si>
    <t xml:space="preserve">&lt;HTML&gt;
&lt;HEAD&gt;
&lt;TITLE&gt;Moved Temporarily&lt;/TITLE&gt;
&lt;/HEAD&gt;
&lt;BODY BGCOLOR="#FFFFFF" TEXT="#000000"&gt;
&lt;!-- GSE Default Error --&gt;
&lt;H1&gt;Moved Temporarily&lt;/H1&gt;
The document has moved &lt;A HREF="https://script.googleusercontent.com/macros/echo?user_content_key=AehSKLh36mO56iKo4-hzGnE9tlHBDg6Mr1biwIpx9PA8IVtu8vB-hg8gfP2hu3QsU0Ak86857XDWp9Z64g5u7uBx95NChPyvk42CWLMU0w00kj1SBBGwn5_lgCeYtkpJBZYmG--ryA9F85ZIucORg0Mz0exw5HeTuLhdJEgtLBUx1PUhoXbjz9qVyMGEdZfJ2rUuayQkwVCDWtS5Hbg8sPy5oDxyxP4bi-YiODK2l_kH4Yl462Zg_CuHF9sObqppMEXOWYrk5VB1yHIepMKCdx1pg0J42HAkPgxYb5QG2zM18icfHighxo4awfpUZT4wJg&amp;amp;lib=M-zdWbhavtdZ1B_W2dnFDM0qoVt4lWzJ-"&gt;here&lt;/A&gt;.
&lt;/BODY&gt;
&lt;/HTML&gt;
</t>
  </si>
  <si>
    <t>1D3SJ9j82teswr5a2SHl</t>
  </si>
  <si>
    <t>18545-E</t>
  </si>
  <si>
    <t>8F00250329030002</t>
  </si>
  <si>
    <t xml:space="preserve">&lt;HTML&gt;
&lt;HEAD&gt;
&lt;TITLE&gt;Moved Temporarily&lt;/TITLE&gt;
&lt;/HEAD&gt;
&lt;BODY BGCOLOR="#FFFFFF" TEXT="#000000"&gt;
&lt;!-- GSE Default Error --&gt;
&lt;H1&gt;Moved Temporarily&lt;/H1&gt;
The document has moved &lt;A HREF="https://script.googleusercontent.com/macros/echo?user_content_key=AehSKLiVaUf1NQa7eEOH_1atTpQcUaC7cNlDEk8dC4aK3Uc3uB-WsyjJJVZ2soJCzgZ1PJCjb25adOjdDAaEYZO48biEA5ssqsBUwcY4BNr1ktYzBXpPjEmxttd-uTaCNRllmJK0LMccHrQUFgMq9hylpsgyaT5mP4hjDsTHt_oQBVSM3Gq4xM1H3_NxMicFvEc4_MRlWnzafrfoIclkA1_pJUuArsIj_w4RhZJt0jTkPJ9rw7Ti0PmWEiKsrzW539GCfUrxc5ylMl2U401bs8KI9YvDgDlDcHRK1OpMspviU5qpbf04mgZO4aFaMeWC6g&amp;amp;lib=M-zdWbhavtdZ1B_W2dnFDM0qoVt4lWzJ-"&gt;here&lt;/A&gt;.
&lt;/BODY&gt;
&lt;/HTML&gt;
</t>
  </si>
  <si>
    <t>HgOnCdRiQd7QZQqdCgDc</t>
  </si>
  <si>
    <t>18545-F</t>
  </si>
  <si>
    <t>8F00250329030003</t>
  </si>
  <si>
    <t xml:space="preserve">&lt;HTML&gt;
&lt;HEAD&gt;
&lt;TITLE&gt;Moved Temporarily&lt;/TITLE&gt;
&lt;/HEAD&gt;
&lt;BODY BGCOLOR="#FFFFFF" TEXT="#000000"&gt;
&lt;!-- GSE Default Error --&gt;
&lt;H1&gt;Moved Temporarily&lt;/H1&gt;
The document has moved &lt;A HREF="https://script.googleusercontent.com/macros/echo?user_content_key=AehSKLjtfXOUzGjz6B1b3s0SETi_3YOZToBSuGXM8_SIWlm-bE31R0pqDhAby6S01Dc48S4HMzX3Zl8s33sBuNXu8Nul5Gy3-kinHYqJ1AqJXv9hiLfuxh_6s2Q9lCt6MUuKD9ybuUywFC6hLCBpfacNBf9SC4zrpfjdk1JZ1Uwbs-PFTB9VPTzVQyMUy5UcJ1FiljSWo1TO4aIfWjDbXoUhGLHvQ1UjlrgXY3XiBjfBiCHLLNIsKDFjL9mkbTZc9dFisS0TT1iBpdITcdiq0BDPGF_C-FZlPtVrNVRUUk4TiXjZlcFLLPFg4Vm5sLOkEQ&amp;amp;lib=M-zdWbhavtdZ1B_W2dnFDM0qoVt4lWzJ-"&gt;here&lt;/A&gt;.
&lt;/BODY&gt;
&lt;/HTML&gt;
</t>
  </si>
  <si>
    <t>qGCajKkZ2s2PBkf3Yzpv</t>
  </si>
  <si>
    <t>18546-A</t>
  </si>
  <si>
    <t>RAFA PISCINAS</t>
  </si>
  <si>
    <t>8F00250529210010</t>
  </si>
  <si>
    <t>FITLOG TRANSPORTES E LOGISTICA LTDA / (048) 996277956Informação Adicional: Valor correto do pedido : R$ 17.831,34 - (descontos concedidos 40% + 10% + 10%)
FRETE FOB com redespacho pela Grife
CNPJ SP : 25.406.384/0005-00 - R. IRAQUARA 24 - JARDIM IV CENTENARIO, GUARULHOS - SP,  CEP 07161-550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</si>
  <si>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IYNnu0YVFxiAwmz3CKzfXMhQWZzndzLuA9vqYc9vwPsOdQa7H2Wbh2RxxP4p6QHb43jAb3ZbLxLyc_WdC3HoDTbCEM2xH_W5-tqrPVW_EbZ-8yD9ESJ4RuGGQDTNugm3dSeZw5i5bac0_9j5K-bqjeVglD_IGEJKez2wFur7m1i1BR8jjay12ih1QBw14OoxH4rD4FUvF5iJRTpARHiSMUFub_0oiPW_ZcbQhww5jDAaWFEX_toG9AzP-6RRrStxWPO2w1AfUpLwXCR5bfknfJc2UbuxIR88DHRoHuBbQfqSSrCn0jkpO61-nmw&amp;amp;lib=M-zdWbhavtdZ1B_W2dnFDM0qoVt4lWzJ-"&gt;here&lt;/A&gt;.
&lt;/BODY&gt;
&lt;/HTML&gt;
</t>
  </si>
  <si>
    <t>856-bEn6TEGtdGEi.es-hg</t>
  </si>
  <si>
    <t>18546-B</t>
  </si>
  <si>
    <t>8F00250529210009</t>
  </si>
  <si>
    <t xml:space="preserve">&lt;HTML&gt;
&lt;HEAD&gt;
&lt;TITLE&gt;Moved Temporarily&lt;/TITLE&gt;
&lt;/HEAD&gt;
&lt;BODY BGCOLOR="#FFFFFF" TEXT="#000000"&gt;
&lt;!-- GSE Default Error --&gt;
&lt;H1&gt;Moved Temporarily&lt;/H1&gt;
The document has moved &lt;A HREF="https://script.googleusercontent.com/macros/echo?user_content_key=AehSKLhieHl_NcSz_aAu_N1FM1pNyQtjZBtqQyPfT1UAqccM9lx_z-LpO2z-NGYphegjXxnz1jmzrYEEgnN0yItpaHxuhrohVnRWWkeCWSOGTDi5YVhqJe_d6SlzUhOADmz58IlWrAH9tho4hqI2Ry2_J6iIZ1CIQB0-5xGWP6YgJIF4tgsHz3vbx2bGY9MaK1HGfcVF7SPJm8yQjJsRCful6XgW9WgBT2YDR95fL5SbD2u_PMyifmVoqr2_XoLOkgSwm-KCu9aUc0V0u75wFjg2uQDbwGNNw3m4JbR-FsBrIjVGSE8-7G0CBSW86k6r0g&amp;amp;lib=M-zdWbhavtdZ1B_W2dnFDM0qoVt4lWzJ-"&gt;here&lt;/A&gt;.
&lt;/BODY&gt;
&lt;/HTML&gt;
</t>
  </si>
  <si>
    <t>mI2dPKMZC9xluqtAjn2P</t>
  </si>
  <si>
    <t>18547</t>
  </si>
  <si>
    <t>8F00250208100017</t>
  </si>
  <si>
    <t>EXPRESSO SAO MIGUEL S/A / (049) 3361-6627Informação Adicional: Favor corrigir o valor para R$R$7.939,00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</si>
  <si>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t9nUd6JWKg0MYsOBC38OfYlv3QKkG2gy3-rNi4Cr_IA61iyAUm3nx-TEh1UCNZEhN7wBdMCLw49pveA63xfzSYUPyAi9CDyqKwD_nWak_4eXNqN2FanTu0SU2XoznhYIA_6J1fofJrpBcSUqaqAft3rUD1_2Zt7SneesKuSi7roEb1E8By4cauTr3cDi2hYCrg2fKv9Oi-fm2bCp5fP7FnHDabtsZwVhlU3pdu4oF3WQ7HwW7_beUSzuucjSJEUKhDdd_vPqMkwZIUke8ls6URghhKB-DdkH9Zb5b33c3UMWa96tMePr0XN0bUw&amp;amp;lib=M-zdWbhavtdZ1B_W2dnFDM0qoVt4lWzJ-"&gt;here&lt;/A&gt;.
&lt;/BODY&gt;
&lt;/HTML&gt;
</t>
  </si>
  <si>
    <t>ITv8kufLSaSNQhUvib-..g</t>
  </si>
  <si>
    <t>18550</t>
  </si>
  <si>
    <t>8F00250529210020</t>
  </si>
  <si>
    <t>EXPRESSO SAO MIGUEL S/A / (049) 3361-6627Obs.Interna: CONCEDER DESCONTO 10 + 10 - PAGAMENTO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</si>
  <si>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cvW3wBKFVmAKpaXRKEeeCc0zz4UpTM4ANJxzYgBtkrK3X0sUffF6E0-Yo_bp_b4xseog7yj22vWvoh0Yd4mEtRc5U2eDrmNRAWbXwjvTlTHv5N6PrITiHL6sGdrFSB_tBhgzt4P9nLRh15iRENYOi8ETjSRAA4LRDoWH7Ajvx3KZ5DoHDnq58XNAeFM-wcO67KmSSA7-4lm9sozcfpk-QGwbeSIQFF3lCnKAcktn7M8eZXy2cktalpUud8nDUuDsXhFKx69iZ5FfUyFM6y69lkcFoRG67UHYrOTXL38njsP89yz37AS-Fa2EClg&amp;amp;lib=M-zdWbhavtdZ1B_W2dnFDM0qoVt4lWzJ-"&gt;here&lt;/A&gt;.
&lt;/BODY&gt;
&lt;/HTML&gt;
</t>
  </si>
  <si>
    <t>yraxAH2STge1KyKyCaUZxg</t>
  </si>
  <si>
    <t>18551</t>
  </si>
  <si>
    <t>Esse equipamento deve ser fabricado com fluído refrigerante R-22 e sair programado para resfriamento, com temperatura de 7 °C.
Maquina com quadro deslocado , temos que enviar a tampa cega. Maquina para resfriamento 7 graus.
&lt;br&gt;
FITLOG TRANSPORTES E LOGISTICA LTDA / (048) 996277956Informação Adicional: OC 1019 Entrega imediata no endereço Rua Beatriz de Larragoiti 305 Armação de Buzios RJ CEP 28950 000 lLigar antes de entregar no tel 21 9 9512 4022 Jorge./ Obs.Interna: OC 1019 -  Esse equipamento será bonificado para a Aqualar, devido a uma comissão do Fluminense que foi acordado com o Alvaro, não gerar financeiro. Autorizado pelo Carlos. Entrega imediata no endereço Rua Beatriz de Larragoiti 305 Armação de Buzios RJ CEP 28950 000.  Acrecentar 300,00 frete dedicado para entrega na região dos Lagos.   / E-mail para nota fiscal: , E-mail de cobrança: , Telefone para contato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</si>
  <si>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hUurrGI7imq3USJ6r5ZQioi7dmsfokPc3r0lhRzD-Iv4aVlk841b4-MdJAI9ly2Mw55kJB1i8MxaMNohZrs6IpX7aFyPHI8B4_HOrZMq1shQ7Uiwbqxpb3a1Ngf61YZUGZlG-yHw-djg7DVl4U4t_R2JDdnkaGFait9lPRPiKLLEnk87lA7iueSkiWUG-bcm1s-q6FORKmzM5hu_JLIoBVlNIn6L4XgD5HlR7G3AR1kyo7QqG9e0s3ytS9FLLkuJGOwH8CmeonQKbr-mKLKcBAvKxWDp6FHo5GGqRX0HYVp-OKzKV2yqMc_drJ_Q&amp;amp;lib=M-zdWbhavtdZ1B_W2dnFDM0qoVt4lWzJ-"&gt;here&lt;/A&gt;.
&lt;/BODY&gt;
&lt;/HTML&gt;
</t>
  </si>
  <si>
    <t>bkHlMdmmRvSblvWvpMe0yA</t>
  </si>
  <si>
    <t>18552</t>
  </si>
  <si>
    <t>20322</t>
  </si>
  <si>
    <t>FITLOG TRANSPORTES E LOGISTICA LTDA / (048) 996277956Informação Adicional: OC 1040 RODRIGO DE LEAO PICHETH / Obs.Interna: OC 1040 CE 1538(1536) RODRIGO DE LEAO PICHETH. Abater saldo conta corrente . Maquina com quadro deslocado sobrepor. Entrega imediata no end  :  Av PREFEITO DULCIDIO CARDOSO 370 BARRA DA TIJUCA RJ CEP 22620310 .Ligar antes de entregar 21 9 9512 4022 Jorge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</si>
  <si>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R5HPVKHWv4lwkjfeoctjzJBQIGXJ8IWp33OHVK5btvp9scFIUcTHZOu2Pt5Eo56deqBZf6E9igxPeDVYeiM7Xx5aGFtdx6bvRPUK2eGEbu13FOmMooI_E3G3ryj0m23PoQze_gPgU4u520ZG3Ix4Nothe0SVCi-vb37k7lnUGXu3dr2iqgkrs51TeXYKcfSxB5Dzch8oU2sWIdJL1x8Dj4fdTE47FnbzmvtaxDLL2hqeT9l3-CInu8IiNzO6qRZ0nTqEw_RDzhJA328R25UIf0EsX_sF7eyKMyQ-3IknOb8pRLNDuzniBjiWpnw&amp;amp;lib=M-zdWbhavtdZ1B_W2dnFDM0qoVt4lWzJ-"&gt;here&lt;/A&gt;.
&lt;/BODY&gt;
&lt;/HTML&gt;
</t>
  </si>
  <si>
    <t>6HzYTrSsTVWu48QIrblhKg</t>
  </si>
  <si>
    <t>18553</t>
  </si>
  <si>
    <t>8F00250208100019</t>
  </si>
  <si>
    <t>EXPRESSO SAO MIGUEL S/A / (049) 3361-6627Informação Adicional: Favor enviar com urgência pela Exp são miguel.
Favor considerar o valor de R$7.700,00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</si>
  <si>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VAv-Nicm8I_0LH8XCLNGAC59RWhEGB7kX4qKKP6MPb_jAsm6onVHTdCJHzUcDC7nomMlxg_-ZEbu41DXcBMXn1gXcHol50FVjsyf310EOvoGp9ilJXj1RNEkYybZgzh-XYYj1woWJBjkvK3QAZJL__NK0KFyy1ujfHBnoCYuYpaUc3Pzxa7RqRvhNNXCMHdgM0iD2hhVmr2BKHiUGeaekBRMtAUVz8uN0dBmOfyX7etkkvrboQld-aSBaS-He4EL4unLz8lQ65MkkFRDmOqpOLNqzVdfoWCRJW_vtCDL1QPn0TTClB_0s8HTNQ&amp;amp;lib=M-zdWbhavtdZ1B_W2dnFDM0qoVt4lWzJ-"&gt;here&lt;/A&gt;.
&lt;/BODY&gt;
&lt;/HTML&gt;
</t>
  </si>
  <si>
    <t>jznVL7IbRMmZ4Jnot-bjdQ</t>
  </si>
  <si>
    <t>18555</t>
  </si>
  <si>
    <t>8F00250706330002</t>
  </si>
  <si>
    <t>RETIRADA NA FABRICA / (0) Informação Adicional: +10% cliente retira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</si>
  <si>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wVjN3sISYcLQcbqv_pjM2z31Wg5sxxIvNfqP6ONOgBi4-9m_F-vJ11WtxJsPhem7HVP_0C-Gse-sh1YdlqCidDF-17xBFSrvVLGtbRuW6xJYPeBglVPp2n7zBIlPwgZaPZjJ1SvDGK59QzAdkQMNWeQ0s8aRnPh8_uqRU2uC-zxOaQ-Xd-zJw2UtA4DlTl_uUiJF0ZJiUTnUlZoT0MHzEf-VcJAkIyrn4v1fp20VVHVfwYBUWIRGLE0tsFo_I4CEcoz3JeIloMwTTCqz9dpOi6SdmunjIzLq6GWdEN1XFOV_uoV4JsxcM60WL1Q&amp;amp;lib=M-zdWbhavtdZ1B_W2dnFDM0qoVt4lWzJ-"&gt;here&lt;/A&gt;.
&lt;/BODY&gt;
&lt;/HTML&gt;
</t>
  </si>
  <si>
    <t>FP6.y-iWRYSBvg3K5oQ-gQ</t>
  </si>
  <si>
    <t>18557</t>
  </si>
  <si>
    <t>8F00250208100020</t>
  </si>
  <si>
    <t>EXPRESSO SAO MIGUEL S/A / (051) 3586-2013Informação Adicional: R. Rio Japurá, 90 - Roça Grande, Colombo - PR,83403-350    30/60/90   R$9.239,83 / Obs.Interna: R. Rio Japurá, 90 - Roça Grande, Colombo - PR,83403-350    30/60/90   R$9.239,83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</si>
  <si>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0XUL3YCoh6gSV6nfDzCzDpUe1gpupmCaXSinqVN96baALCvrhgtClQJeMMYcx_FGdqRZHjyQhjTYr1FCQp_7zH_od160k5BpgXnsPdNUeJe2tJJwW5S2kFHktXY2fpwMEikKUUmCwmv0P-_Ktbt4-l4087TYt5EOggXK3wMBrb1cpQZC40w8fgWTwvnX3ml6FrikRVVxknIbkfmIQJTUwYHz7Bf9h15Dryi_12NUbETvXI3YY_p7qsePmz_GnC4tGMDiK0Stmcrmp9ydSDyJXasFjidNlbG7-DeLgqlf2AjJHfd-pa8x3pBYoFA&amp;amp;lib=M-zdWbhavtdZ1B_W2dnFDM0qoVt4lWzJ-"&gt;here&lt;/A&gt;.
&lt;/BODY&gt;
&lt;/HTML&gt;
</t>
  </si>
  <si>
    <t>tkEGGgypQ0G.zU7a.8tQJQ</t>
  </si>
  <si>
    <t>18558</t>
  </si>
  <si>
    <t>8F00250208100021</t>
  </si>
  <si>
    <t xml:space="preserve">&lt;HTML&gt;
&lt;HEAD&gt;
&lt;TITLE&gt;Moved Temporarily&lt;/TITLE&gt;
&lt;/HEAD&gt;
&lt;BODY BGCOLOR="#FFFFFF" TEXT="#000000"&gt;
&lt;!-- GSE Default Error --&gt;
&lt;H1&gt;Moved Temporarily&lt;/H1&gt;
The document has moved &lt;A HREF="https://script.googleusercontent.com/macros/echo?user_content_key=AehSKLitR2l5GsYlE-iEDWLw0BEPJNSnaemgt-iYd_gNEBMfbRv34G1j6WlfGjCjzOWnU5T_5H6-gHnlA4Myc-caUzu_Z0OUOTVgcqN0FHZ2a2KNgoRqVKxIXrBPgA2FTwft9XturXix3s6UXTRouQ4y485sCB13xDJiY-fEdjcFJntErRBAa0NcIjkvysxHPiEvqneSG3ZP9nMAW0SJn1TvXCPD-C7NqMt7ywPVIs98F5nhIjYy81k4gC_wVXj4tDp5Lbl4Q2EAW6XzCNjhH4Kk8F2nfg2UpbmlaW3SL4eTgv2QERcGSTwmP39Pvt9mQA&amp;amp;lib=M-zdWbhavtdZ1B_W2dnFDM0qoVt4lWzJ-"&gt;here&lt;/A&gt;.
&lt;/BODY&gt;
&lt;/HTML&gt;
</t>
  </si>
  <si>
    <t>k0pVYur8THeXFu0O2pIpUw</t>
  </si>
  <si>
    <t>18559</t>
  </si>
  <si>
    <t>8F00250208100025</t>
  </si>
  <si>
    <t xml:space="preserve">&lt;HTML&gt;
&lt;HEAD&gt;
&lt;TITLE&gt;Moved Temporarily&lt;/TITLE&gt;
&lt;/HEAD&gt;
&lt;BODY BGCOLOR="#FFFFFF" TEXT="#000000"&gt;
&lt;!-- GSE Default Error --&gt;
&lt;H1&gt;Moved Temporarily&lt;/H1&gt;
The document has moved &lt;A HREF="https://script.googleusercontent.com/macros/echo?user_content_key=AehSKLgnS-uMuw9N3YrLicySsual-7tBkJ4p_ZvoQrn6Fhoxa3uxyGt4VlnzAmREuQQMR_LWV6ZVsf9RKO5KZpIBOmwr-wMwCstzJqDJX9-u7fZO1z6tFTTssyEWJC3iLNLCv6dQGNI44b3NvS4YNvwr9ztbHMrG09XXJEcfyj4S7ZM5BrHla9Kd-6JAetf6wEHKzosdrrdu_uopl3gw2lhL0oif86sEGmgfZd7Q9cGSBdABxUq0pof-GNNzK4L-t5YP0IdgxzS2yBTSY5AXRGYkB3HZT-4U4a5jypXVldTUkfiqwmJ6ILSuhUlPVWWhPg&amp;amp;lib=M-zdWbhavtdZ1B_W2dnFDM0qoVt4lWzJ-"&gt;here&lt;/A&gt;.
&lt;/BODY&gt;
&lt;/HTML&gt;
</t>
  </si>
  <si>
    <t>cWGxeLHNTcuSyI-8Y-OUrQ</t>
  </si>
  <si>
    <t>18560</t>
  </si>
  <si>
    <t>8F00250706330003</t>
  </si>
  <si>
    <t xml:space="preserve">&lt;HTML&gt;
&lt;HEAD&gt;
&lt;TITLE&gt;Moved Temporarily&lt;/TITLE&gt;
&lt;/HEAD&gt;
&lt;BODY BGCOLOR="#FFFFFF" TEXT="#000000"&gt;
&lt;!-- GSE Default Error --&gt;
&lt;H1&gt;Moved Temporarily&lt;/H1&gt;
The document has moved &lt;A HREF="https://script.googleusercontent.com/macros/echo?user_content_key=AehSKLjVvTRAAwov1Xmew0gd9Q0L7dQEQa45XtQHvl10d7GL4eA2HcO4YmjvWbCsNbLH1IAsccxTMkQjlczhvJcGzbwvsTezmNOxJNinav9vXVa0jCkuaUgrbPPi6IRR_Q8-9wiDilKGctrDWAi2Ihfhl7CSjxwYKsAMVE8B8YhqkFgvKuj_ElpZUucGTAdgvVHeBBWTivBmvJt2XxynLu0OspOHwnDY53CI7vV48e696nFHmYtxdF2OanWL4sPY0KzC0pEJ4INtFnON4RQoosUcIWhDdFDgZPVZxI8upzAAi9GIqh9ctXDa1ly2ADzq0A&amp;amp;lib=M-zdWbhavtdZ1B_W2dnFDM0qoVt4lWzJ-"&gt;here&lt;/A&gt;.
&lt;/BODY&gt;
&lt;/HTML&gt;
</t>
  </si>
  <si>
    <t>Z0w45wUpSCqjWvMkVM5RFA</t>
  </si>
  <si>
    <t>18561</t>
  </si>
  <si>
    <t>8F00250208100026</t>
  </si>
  <si>
    <t>EXPRESSO SAO MIGUEL S/A / (051) 3586-2013Informação Adicional: valor da maquina R$7.700,00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</si>
  <si>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_MNf28vmdWyxzvQ7wMLq0xAgwMwJ_TD0AZnunkVzb6E_HbXnrf5BPpQ6cl_6K-zeCsOS1iyXbd1DZNfs2DIOLAB0NxPGHiVs8R_jMbxI3-wHBVs2sivsbMR1MGyvpW6lblZ6UGjiji_l83yRUYLyTmKFpbjjwu-iJelvHuMSuHtuv0OiBthjyy-9wTCi5Nhth-3p_kewSL07-FpWVh87Yhe6I7pMqS6mjeX6wgALb0yXkqeswMR-EwXtevx2VZIBgKOT-pWhNWIx-_pO_JYOwv-MFSdMxSCoQTeb2GLljedpQvCquNF8nygX9oA&amp;amp;lib=M-zdWbhavtdZ1B_W2dnFDM0qoVt4lWzJ-"&gt;here&lt;/A&gt;.
&lt;/BODY&gt;
&lt;/HTML&gt;
</t>
  </si>
  <si>
    <t>8H9j1Vw0RHeWwkWEiVz1Yw</t>
  </si>
  <si>
    <t>18562</t>
  </si>
  <si>
    <t>JV.mXHlsRqeY4N21SE-OHQ</t>
  </si>
  <si>
    <t>18563</t>
  </si>
  <si>
    <t>8E00241225030010</t>
  </si>
  <si>
    <t>TRANSP. RISSO</t>
  </si>
  <si>
    <t>RISSO TRANSPORTES LTDA / (014) 3604-3000E-mail para nota fiscal: , E-mail de cobrança: , Telefone para contato</t>
  </si>
  <si>
    <t>w2AcR00xQGyu0dAc03i6Fw</t>
  </si>
  <si>
    <t>18564</t>
  </si>
  <si>
    <t>8F00250208100018</t>
  </si>
  <si>
    <t xml:space="preserve">&lt;HTML&gt;
&lt;HEAD&gt;
&lt;TITLE&gt;Moved Temporarily&lt;/TITLE&gt;
&lt;/HEAD&gt;
&lt;BODY BGCOLOR="#FFFFFF" TEXT="#000000"&gt;
&lt;!-- GSE Default Error --&gt;
&lt;H1&gt;Moved Temporarily&lt;/H1&gt;
The document has moved &lt;A HREF="https://script.googleusercontent.com/macros/echo?user_content_key=AehSKLhHgxopIvtmoxRRUSbcPE4nrm5BMR0KGWXQ7hsHx-n1X4xdKuAyq6Fv07cErWdFg0V_oDle2Af9IkYB3BY1_AMitonXt7uLt2xvusHoNSCNVmR_sBLPq4TKwO7yxCUpLwPcHFgV3N5-0j8nMgbynFMuelmYtr7QWFMFSmuNlpf3Y_JqjiNBmzoPBoIFp5sZoQ890mozOh5HwyB-MNBDUajKQQs4tbPuByxeD2pNpozQE9FwRwElZiFv3q866LrY7R_boiYQxroKJl8I4OOXJSuScML8gtnBIiKfj_4etIEg9h-HikAb_wTnEFr1Iw&amp;amp;lib=M-zdWbhavtdZ1B_W2dnFDM0qoVt4lWzJ-"&gt;here&lt;/A&gt;.
&lt;/BODY&gt;
&lt;/HTML&gt;
</t>
  </si>
  <si>
    <t>IYIDtsJBRT-OlF50iMaIHQ</t>
  </si>
  <si>
    <t>18565</t>
  </si>
  <si>
    <t>FITLOG TRANSPORTES E LOGISTICA LTDA / (048) 996277956Obs.Interna: faturamento urgente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</si>
  <si>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YYJzJPTf_T_hKqCo8yjtMgPndBZfC_EJUYqPnPrEt7Yf8DUh7GYOEi7AUdCrj-T9N2jxugSAsfkjeT9Sk03v94UCQcJbhGW45rYwaNCokmvb2iIcG4zW9w6GVgRwEqELS7REvOgwJyM98hf-KAvL3umACZQReqwcMBAfT1M4p6umvtA217rh1_jK1FYCU88ezwNlj76ljxI1R7GkCL2-387mPSMNMffTu9Ao9nL06s7_bOJ27-iP_Cn5E1ujflqjsXeDtW78c2bd0v7Zcrie4EmU9SFaE9Okr9yKJ01kerrLt4asZsobI-nw_lw&amp;amp;lib=M-zdWbhavtdZ1B_W2dnFDM0qoVt4lWzJ-"&gt;here&lt;/A&gt;.
&lt;/BODY&gt;
&lt;/HTML&gt;
</t>
  </si>
  <si>
    <t>yJ2KACHdQq6cYZdh6y8bLQ</t>
  </si>
  <si>
    <t>18566</t>
  </si>
  <si>
    <t>8F00250329030017</t>
  </si>
  <si>
    <t>Abater do saldo que o cliente possui de comissao ref a nf 17167 TAJ HOME RESORT
FITLOG TRANSPORTES E LOGISTICA LTDA / (048) 996277956Obs.Interna: abater credito TAJ. FTi 25 cliente vai aguardar chegar. Vai depositar a diferença deste valor.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</si>
  <si>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rkHVBHCMMHrgG_7BxXWbhmKL7FHYv3lZVP9Xt8GwR6JBXpts62hWmlwven4YbZ285lgZA9_balqEHiTKDCqpBGgS0lb6hNy-tIsShFLCet2Tt-blWlLp7RECuRdGJsXUGry2Jfx9gLpb5gpfk5X1G83OHlJggxTOFd6_Mg-pTNDFHxRPJkjUWSAejay_TXzB19Pqu-_CqvOgqaJ6etmNmZYl138p7sDya-cNg4KniaeajMOMcXfb3OfRWB8TJnS5q_3E6J5Rm2t5VKz7N235-d5lPDv6meBwZZwoa8Ppqp9e8H-H1MxQ9hjhV0g&amp;amp;lib=M-zdWbhavtdZ1B_W2dnFDM0qoVt4lWzJ-"&gt;here&lt;/A&gt;.
&lt;/BODY&gt;
&lt;/HTML&gt;
</t>
  </si>
  <si>
    <t>k04Mx1JnTnSSUcecig.NkA</t>
  </si>
  <si>
    <t>18567</t>
  </si>
  <si>
    <t>8F00250706330007</t>
  </si>
  <si>
    <t>FITLOG TRANSPORTES E LOGISTICA LTDA / (048) 996277956Informação Adicional: Frete FOB com Redespacho pela TRANSPORTADORA AREIAS BRANCAS, CNPJ - 050112170001-10,  Rua Sargento Manuel Chagas, 70 - Parque Novo Mundo, São Paulo - SP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</si>
  <si>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nw6hBm2ZBBK56mwgPP2CXl5zAfVvd65-2KPoPD4JBJTbRXfHM5GbQ4LGkXF_Gh0FyVNQwXZELIxOaBed8B0ao8GFhOI7C5duuS6roVTHKvVq8TvGjZ9cYiBWL84sWmbtfZ2EuJcGwHccTnmmuSCnAjP1_NXaSd1p3HjJS8wEOqVGfiS6rwI2E19acQZpPgBmu2lrT95Vjwyd0h3DO519x0g2aYFDCXi6l6MEjXV9yS0L8JHQx4yWnypc8kdoGCzhI5vdO-ePDeB-toy5pOkaJVpNvZpKV7_psq15NYXoBFQnEsMecluLo9RCjYw&amp;amp;lib=M-zdWbhavtdZ1B_W2dnFDM0qoVt4lWzJ-"&gt;here&lt;/A&gt;.
&lt;/BODY&gt;
&lt;/HTML&gt;
</t>
  </si>
  <si>
    <t>a.mmwd9iFTjSjO7hsvl86Tw</t>
  </si>
  <si>
    <t>18568-A</t>
  </si>
  <si>
    <t>8F00250529210016</t>
  </si>
  <si>
    <t>Transportadora Bauer / (048) 9943-3665Informação Adicional: Favor corrigir o valor 55 R$7.700,00
75 R$8.915,67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</si>
  <si>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e_Xau_R2LprebYd-IV2ZbVKTCW5Ms0lMtbtecausrC5WIF6LEnlhJbQajUKyVcQhH5e9xSPAhv4_E1uUneafeK2g5atEd0sX5W1KLoNK8AVuTyUsRWR2_Pw8yuLBCpFxRtVLlqMbOU3c3w7z2p3DGHidWvSUkRL7aJuf1mwarw8CtoSR-rmwFn3LJ8j5vXNy1o-arqABJC1N5q89hjGAjcYkzgI71Pw9k3aSgJdexQAAF_t_n8BtQNpHRHFYnShwuhbgABls2vGUMego0d2odh9h3-iVQblSZq2JoCy3SDOWrmNfu7KwLGLWq9g&amp;amp;lib=M-zdWbhavtdZ1B_W2dnFDM0qoVt4lWzJ-"&gt;here&lt;/A&gt;.
&lt;/BODY&gt;
&lt;/HTML&gt;
</t>
  </si>
  <si>
    <t>jTm.GDLqRSKl.ivkLO3eZg</t>
  </si>
  <si>
    <t>18568-B</t>
  </si>
  <si>
    <t>8F00250208100027</t>
  </si>
  <si>
    <t xml:space="preserve">&lt;HTML&gt;
&lt;HEAD&gt;
&lt;TITLE&gt;Moved Temporarily&lt;/TITLE&gt;
&lt;/HEAD&gt;
&lt;BODY BGCOLOR="#FFFFFF" TEXT="#000000"&gt;
&lt;!-- GSE Default Error --&gt;
&lt;H1&gt;Moved Temporarily&lt;/H1&gt;
The document has moved &lt;A HREF="https://script.googleusercontent.com/macros/echo?user_content_key=AehSKLjM8HObsnL2fwCNBd2ru4eJt0-oi6e0IZcIZGh4DK4hlLi6EV4_1-cwfIkLUEThF7outRalbL9WpcCScWttBrlSIT6-lat-HulazDvEdDp-hve3cbwUy9uyVm349c6QeCJQ7h-JgoSe3hyRDYzbInhM_VB_ftEsnRzOnYOsmokcjUlZZG8Ct9C9R1MSsYVnIwLAFo9M3CFQPTO2t3Nosxc24eHSFQ64iPq-wUAank7xKI_QxKQIkiiOlJqxwfH2dl4VumSBetEK-d7BDPwQqTEuM6e-VUCGAudJhS8ePA5wHAEhm2ACDfuPAcU6-Q&amp;amp;lib=M-zdWbhavtdZ1B_W2dnFDM0qoVt4lWzJ-"&gt;here&lt;/A&gt;.
&lt;/BODY&gt;
&lt;/HTML&gt;
</t>
  </si>
  <si>
    <t>2jiVmf5ryylSgxXZfB0d</t>
  </si>
  <si>
    <t>18569-A</t>
  </si>
  <si>
    <t>VINIBRAS</t>
  </si>
  <si>
    <t>8E00241225030011</t>
  </si>
  <si>
    <t>ALFA TRANSPORTES LTDA / (0) -Obs.Interna: Concedido , preço da FTI 35 a vista , ganhar cliente concorrência  .  / E-mail para nota fiscal: , E-mail de cobrança: , Telefone para contato</t>
  </si>
  <si>
    <t>F3exRZFpSgS3AcSkugwjjQ</t>
  </si>
  <si>
    <t>18569-B</t>
  </si>
  <si>
    <t>8E00241225030012</t>
  </si>
  <si>
    <t>se18zV2h2Wkp5L2O2MRR</t>
  </si>
  <si>
    <t>18569-C</t>
  </si>
  <si>
    <t>8F00241118040012</t>
  </si>
  <si>
    <t>kFNFgQsyD3tNnDvowgGM</t>
  </si>
  <si>
    <t>18569-D</t>
  </si>
  <si>
    <t>8F00241118040013</t>
  </si>
  <si>
    <t>E6Rls4itl9gud0cCHJVJ</t>
  </si>
  <si>
    <t>18570-A</t>
  </si>
  <si>
    <t>8F00250804020011</t>
  </si>
  <si>
    <t>SAIR EM OUTUBRO
FITLOG TRANSPORTES E LOGISTICA LTDA / (048) 996277956Obs.Interna: entrega em 10/10/25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</si>
  <si>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WNbMtFKIbSIQJTez-pQCAVtYsFnAzuvUI8IkrXfHBkSIKYYd0jQcR_4hRRU_36HcXnju5DXLpJd9laF9MfLOwNHF8kObK564xRqwzf4mPOoWLLOcAsgOtz56JkGdbgvFxNUEyoJJFDtebMf70n4p4qn02ZaH8zUCi65pXI1dw3AvoNweglyIEjEAPzH756V3mbdF1nz4esJa2y5j69HVmjsMTRWCx_DOGajWdSd2Qeptk1159kcRrsa0BqNSOLCiiWSLloI_WD0cSzmUWgRfwzQJsFsRxkvVoZKPlyRezCn4gea6PlG4KWzuW5Q&amp;amp;lib=M-zdWbhavtdZ1B_W2dnFDM0qoVt4lWzJ-"&gt;here&lt;/A&gt;.
&lt;/BODY&gt;
&lt;/HTML&gt;
</t>
  </si>
  <si>
    <t>PV6I5HIvQzqecIlcD6HDvw</t>
  </si>
  <si>
    <t>18570-B</t>
  </si>
  <si>
    <t>8F00250804020008</t>
  </si>
  <si>
    <t xml:space="preserve">&lt;HTML&gt;
&lt;HEAD&gt;
&lt;TITLE&gt;Moved Temporarily&lt;/TITLE&gt;
&lt;/HEAD&gt;
&lt;BODY BGCOLOR="#FFFFFF" TEXT="#000000"&gt;
&lt;!-- GSE Default Error --&gt;
&lt;H1&gt;Moved Temporarily&lt;/H1&gt;
The document has moved &lt;A HREF="https://script.googleusercontent.com/macros/echo?user_content_key=AehSKLhVg8OJW7_GQdV8Bd-66oB2abH2Du3ksWpsTNgnMc8S1CsuocuHm3BEQ9ksLMlM01J-f9cCSWqfgZqjHzh1GSPk5719sdr36EhGH67Wti5PJy4PXmRxjNNb471HiZQ6anrd1seaDJ_xZIZXuWDhDntLisdiTUw61wyBHsg4gqp9bUpUYTngw9GEYmOwV2GXOM_4pEXeMO1lz-OwXRPlRlmVW2xD3JCzI2R7X-h8FE_RfzYdOJaOddEp-GE2zbQtfwQKtU-gA2C_qluj_grlb3-vdURKsq_h18zdTBA4uRJ1U3MGzqns-In_wK7uog&amp;amp;lib=M-zdWbhavtdZ1B_W2dnFDM0qoVt4lWzJ-"&gt;here&lt;/A&gt;.
&lt;/BODY&gt;
&lt;/HTML&gt;
</t>
  </si>
  <si>
    <t>beIzdXmYxNjEg9Pv4SYX</t>
  </si>
  <si>
    <t>18571</t>
  </si>
  <si>
    <t>8F00250706330006</t>
  </si>
  <si>
    <t>EXPRESSO SAO MIGUEL S/A / (049) 3361-6627Informação Adicional: 30/60/90    6.542,26 / Obs.Interna: 30/60/90    6.542,26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</si>
  <si>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pYj07yZH2keGhC4Q9yzXIRw4kabbZPeFIEpZQcfsSJdrWivcMpnZkZJ-940fjIuvUHb7LLLIKjm-ZHuaSr6jR1YVS_XXmFDUTFfBgH_mRelYwhqkesJm_-lbmzIh5hJgQkfwtGYQ1v9jks7xlCXTPH2N7zuWs-MxivhkhT7uKJnReO762WX2rqcgUXNyKyJELi3u7ghPh8Xo6zS9It6S6-iFoPS-Dka8Rt_CVXU4QpgtVM1yKdKTZBfEqF4dIc0frbDNnYax0iTt1hfMtaoT4mWESss-TQ4gltDgOwsqPDfkxG3mwYF8vTv0hw&amp;amp;lib=M-zdWbhavtdZ1B_W2dnFDM0qoVt4lWzJ-"&gt;here&lt;/A&gt;.
&lt;/BODY&gt;
&lt;/HTML&gt;
</t>
  </si>
  <si>
    <t>a-YIT5kHJSdaiTbi4eo7LLA</t>
  </si>
  <si>
    <t>18572</t>
  </si>
  <si>
    <t>8F00250208100028</t>
  </si>
  <si>
    <t xml:space="preserve">&lt;HTML&gt;
&lt;HEAD&gt;
&lt;TITLE&gt;Moved Temporarily&lt;/TITLE&gt;
&lt;/HEAD&gt;
&lt;BODY BGCOLOR="#FFFFFF" TEXT="#000000"&gt;
&lt;!-- GSE Default Error --&gt;
&lt;H1&gt;Moved Temporarily&lt;/H1&gt;
The document has moved &lt;A HREF="https://script.googleusercontent.com/macros/echo?user_content_key=AehSKLjiD4VmPUCG_g2h8OFfdVn0pKzqkhuzf2RHyGcEl0GjoCLwLvt23dAzumITlpP9I_bkjYHXU_P0oLB3aTN3LFVFuKKBUwen76bx0ZlfoTHAV9H8wHG28VaCOyUHaD8yNUYllfAja9F8Oov8uG2IT8EJ2wB0Kp5CGTrdaAamkF4-oQUvKsVbugmqWTtTBiZJnNHmtTFv_Id9s5X1dJCAIOWjohWdBG8x5Ow-MSjfKikcjpEJhL6g5D5J_-3Qm1D-jsnoJJop5OOrNTlmrV1W1ypffQlAhjDRWE0oY4GGwyhX349PdOcEh1qa7rR8TQ&amp;amp;lib=M-zdWbhavtdZ1B_W2dnFDM0qoVt4lWzJ-"&gt;here&lt;/A&gt;.
&lt;/BODY&gt;
&lt;/HTML&gt;
</t>
  </si>
  <si>
    <t>eunbqAOLRL-piwoJzIovHw</t>
  </si>
  <si>
    <t>18573-A</t>
  </si>
  <si>
    <t>8F00250526320002</t>
  </si>
  <si>
    <t xml:space="preserve">&lt;HTML&gt;
&lt;HEAD&gt;
&lt;TITLE&gt;Moved Temporarily&lt;/TITLE&gt;
&lt;/HEAD&gt;
&lt;BODY BGCOLOR="#FFFFFF" TEXT="#000000"&gt;
&lt;!-- GSE Default Error --&gt;
&lt;H1&gt;Moved Temporarily&lt;/H1&gt;
The document has moved &lt;A HREF="https://script.googleusercontent.com/macros/echo?user_content_key=AehSKLiQkPuqvCxBCYqXcSC_Ji0rYVkxAPNMAl9kaNSLJ-rN2UUJt9jiMb8MLH0cchXcWSj_KA7Yc5ELyQdNaRRvuCPpolW4_99vBFSO3PUyj2eSWw5XDH6r6vhMajEkgxSRvwt7laPwmgHhlHg2Zr5687dCcQGHQZgQnKQudY9JY8_DHy1sEHooNd_eXay_XmWHwlp0SnsZjm2NSg2YQYdYkK93jE4JXG6MvDknoue2Uvp5gYYBOM6K0TWSoukTPgluJ95XV6X8SdbcpBeWW-RowdxfXI5DHhWRmodOVtF6QFgBYAGDcLfW4bg2mnk9Gg&amp;amp;lib=M-zdWbhavtdZ1B_W2dnFDM0qoVt4lWzJ-"&gt;here&lt;/A&gt;.
&lt;/BODY&gt;
&lt;/HTML&gt;
</t>
  </si>
  <si>
    <t>a-KW6.pkjTK6LUKYksN.FsA</t>
  </si>
  <si>
    <t>18573-B</t>
  </si>
  <si>
    <t>8F00250526320003</t>
  </si>
  <si>
    <t xml:space="preserve">&lt;HTML&gt;
&lt;HEAD&gt;
&lt;TITLE&gt;Moved Temporarily&lt;/TITLE&gt;
&lt;/HEAD&gt;
&lt;BODY BGCOLOR="#FFFFFF" TEXT="#000000"&gt;
&lt;!-- GSE Default Error --&gt;
&lt;H1&gt;Moved Temporarily&lt;/H1&gt;
The document has moved &lt;A HREF="https://script.googleusercontent.com/macros/echo?user_content_key=AehSKLil8EIPQAseJBFs3zNbnjp0zZddA4tBLl7M0f6oS_8O01MOMeUvexyUpIqR_t5GKnB5Ggj9_bQWFQx3USEibzY3-5wcdgXMg0MRrIW84v4G2_dnVtg4ccfxs_ScPgFiQqvbsMCsiVHm_56xrw6iNtU94HpuBEImebflUshWUFigWdo1MbKlXJiZrFsZz-xI2b02el0HiUTQM7jFqissNy7zPNGqWRQ0Xqft1i2lssC9YGhK6s_P-zV0eaJnvm0zMuGBDLnqIoaUlIek5e768Q21dh1UDWXeSCisyE6Xk4ltQAAOMtkkXsi8S0JFoQ&amp;amp;lib=M-zdWbhavtdZ1B_W2dnFDM0qoVt4lWzJ-"&gt;here&lt;/A&gt;.
&lt;/BODY&gt;
&lt;/HTML&gt;
</t>
  </si>
  <si>
    <t>oBJJXVIv3pnr7hsTfFyV</t>
  </si>
  <si>
    <t>18573-C</t>
  </si>
  <si>
    <t>8F00250706460013</t>
  </si>
  <si>
    <t xml:space="preserve">&lt;HTML&gt;
&lt;HEAD&gt;
&lt;TITLE&gt;Moved Temporarily&lt;/TITLE&gt;
&lt;/HEAD&gt;
&lt;BODY BGCOLOR="#FFFFFF" TEXT="#000000"&gt;
&lt;!-- GSE Default Error --&gt;
&lt;H1&gt;Moved Temporarily&lt;/H1&gt;
The document has moved &lt;A HREF="https://script.googleusercontent.com/macros/echo?user_content_key=AehSKLgMP5fQvVzxAgxc5cR0ZlqcElKRtYDKK_QiG5Z4-sM-bLTqwBo7Eb5trydiONfPyNpIFIJksu_ELlHnk-GiE_SYMUsTafaIzF6O__wwmIeKZGz7axsk5E_zfS0e2GJU9y4ysRY7wv89jxCyi0qFgcDPY62VFdWRb49wsCcJAsH8AJ0nGYwPd5PAhrIK5Nwlel-PorV-EHwZqGVY86iQcTLqt45YUb4SDjrf6PE42E-pNSoLfwYIzDcHf_INW3W3MVBkemyjjps4iSbPqHjM6QK1AI0Rdeb3b-2267efhmMetqRImhZpGukLer95qw&amp;amp;lib=M-zdWbhavtdZ1B_W2dnFDM0qoVt4lWzJ-"&gt;here&lt;/A&gt;.
&lt;/BODY&gt;
&lt;/HTML&gt;
</t>
  </si>
  <si>
    <t>zCrF3hyhIf7JGaQka6Nr</t>
  </si>
  <si>
    <t>18574</t>
  </si>
  <si>
    <t>20286</t>
  </si>
  <si>
    <t>IIY2I61 - RETIRA - JESSE DA SILVA  - 02682355030 - IVECO / CARGA CAMINHAO / PRATA / 2012</t>
  </si>
  <si>
    <t>CLIENTE RETIRA / (0) Obs.Interna: ALTERAR PAGAMENTO PARA 30/45/60/75/90/105/120 / E-mail para nota fiscal: , E-mail de cobrança: , Telefone para contato
CONDIÇÃO DE PAGAMENTO AUTORIAZADO PELO MARIO - ASS: JULIANA</t>
  </si>
  <si>
    <t xml:space="preserve">&lt;HTML&gt;
&lt;HEAD&gt;
&lt;TITLE&gt;Moved Temporarily&lt;/TITLE&gt;
&lt;/HEAD&gt;
&lt;BODY BGCOLOR="#FFFFFF" TEXT="#000000"&gt;
&lt;!-- GSE Default Error --&gt;
&lt;H1&gt;Moved Temporarily&lt;/H1&gt;
The document has moved &lt;A HREF="https://script.googleusercontent.com/macros/echo?user_content_key=AehSKLj8V7EjbkRuEEsymMEhBI8rJ9a1jXR39LtZqZz4RTEO4Sjd-mmRKR-Hi3WBacve6wZO2LNnlXDZxMr_yGloBic7iLtr67k_6H-nvQ9w5Dg-xRHecrRfYBU9e-_by2deIhc_mAR7G584JeT2CFeUXawSzrV-SgDuExxoG0W00l_2eGA8WkTMAzgSO39RLxDRFqLm2ETAsu7RzxeygbW4rk6rmC3r_IGmFCncvpalHZteK9JJ-M1PN5ZwX_zsseLuFBYWtbSDRjGJgGL1Cm2TBYeRimSBDyVe_edwph1MR-tY3gH02v6c5cNkenO2ag&amp;amp;lib=M-zdWbhavtdZ1B_W2dnFDM0qoVt4lWzJ-"&gt;here&lt;/A&gt;.
&lt;/BODY&gt;
&lt;/HTML&gt;
</t>
  </si>
  <si>
    <t>qg3iVbcBROyApyK4LV8.Eg</t>
  </si>
  <si>
    <t>18575</t>
  </si>
  <si>
    <t>PISCINAS HIDROTEC LTDA.</t>
  </si>
  <si>
    <t>EXPRESSO SAO MIGUEL S/A / (049) 3361-6627Obs.Interna: ABATER DO CREDITO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</si>
  <si>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Giut1VbhKRsxEMavsnmhR2rdoEJXRYHS3juafPA219ObJlomnRQK5B1YD3Rlmsx6Y-TNkC5369ePDY_ywSHrZ67MlpZwLDmHa99sqBjwujcaR7WFhiBGUFMS4b1bNqDP6ltTDPgF6rlP_QUiMbeAF41Q3nt_FAnzhVTj2lAqEHBHBafhNDpj52iZKiwxqfOAYNbrOy6xr5-ULPRfUBQQWmyOFDxpkvTpPUugsCCW5Gn3VMH63KSq8qzwbhpcNUJGQFISEio5rBCNiO5FeOIal0u4u7YG9jUkU2LFzZwmbhOjO2zAm9Yu9qnFGQ&amp;amp;lib=M-zdWbhavtdZ1B_W2dnFDM0qoVt4lWzJ-"&gt;here&lt;/A&gt;.
&lt;/BODY&gt;
&lt;/HTML&gt;
</t>
  </si>
  <si>
    <t>7mUuzbMhRwGb1hXnr56ejg</t>
  </si>
  <si>
    <t>18576</t>
  </si>
  <si>
    <t>CASA DO PISCINEIRO BRAGA LTDA</t>
  </si>
  <si>
    <t>8F00250804020018</t>
  </si>
  <si>
    <t>EXPRESSO SAO MIGUEL S/A / (051) 3586-2013Informação Adicional: FAVOR CORRIGIR O VALOR PARA R$4.845,42 / E-mail para nota fiscal: , E-mail de cobrança: , Telefone para contato</t>
  </si>
  <si>
    <t>uh-2LNkWQcyH7cFcgscYlQ</t>
  </si>
  <si>
    <t>18577</t>
  </si>
  <si>
    <t>8F00250329030046</t>
  </si>
  <si>
    <t>Transportadora Bauer / (048) 9943-3665E-mail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</si>
  <si>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cQhCg3d7aXAEKLcVZLf6AeMmvsZ0qj23j3_3pCRL8C-2-cQUYqCSMQPzdzrFOWYSjJ7Whr-fFdo_5YeXXe5A8xVDURpttuwUAfVMD4Cvggy6JdmbcGj1aRTs1cOEafDnXOTUBeMojr2bx_nCel1FXT_QkxsD4_Tk63lgaprFwxLt5PSAO-VNko5vZPYHc4gZvo_8lgKRG63k8uMZRhfZiM2nXmXv57F5aL6hSCSFPWBmF4sWJAKIZd6Vl7fLamO5_kt-GZpZGDHUTwD5NQnhKaV0b664o-2VRwT72q5DN78_rRcKzCi8u1iSE0g&amp;amp;lib=M-zdWbhavtdZ1B_W2dnFDM0qoVt4lWzJ-"&gt;here&lt;/A&gt;.
&lt;/BODY&gt;
&lt;/HTML&gt;
</t>
  </si>
  <si>
    <t>VT5FOLqZSXWYeuVDDisSmg</t>
  </si>
  <si>
    <t>18579</t>
  </si>
  <si>
    <t>8F00250804020009</t>
  </si>
  <si>
    <t>OUTUBRO
FITLOG TRANSPORTES E LOGISTICA LTDA / (048) 996277956Informação Adicional: Entrega futura. Abater do valor a receber referente ao TAJ / Obs.Interna: Entrega futura. Abater do valor a receber referente ao TAJ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</si>
  <si>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NsV09yNtZKaixCwAdh5SgPHsvA42jyLU9LMaNUpBruyyD6odTk1wZuw8ELGWY-uFSFjyb177yHJQDT8crnx12RXkgkzJD-vSGGF656iCak0a7tGebqoUlvNHFQp5PHVKe3t7p0-GyshyVKLLOgK8GxnQDWKxFxv_2y4GMJAgvdj6O5lFUmURJmh20fy1zs7Ab9hs43G1N8rtdFZoWMglSSrOnX6-GCa1TSvoNS3Cpj_uy5Pa4xRYuJfLl3YnaOIDtBoYjSFh_qEhdjGEvypb_vY9p8iF9ocqQGM0PEc166PRBh_sfwBk0t7uRTg&amp;amp;lib=M-zdWbhavtdZ1B_W2dnFDM0qoVt4lWzJ-"&gt;here&lt;/A&gt;.
&lt;/BODY&gt;
&lt;/HTML&gt;
</t>
  </si>
  <si>
    <t>HrgJPl6WSQuJltBUjnEJ2Q</t>
  </si>
  <si>
    <t>18580</t>
  </si>
  <si>
    <t>8F00250411500015</t>
  </si>
  <si>
    <t xml:space="preserve">&lt;HTML&gt;
&lt;HEAD&gt;
&lt;TITLE&gt;Moved Temporarily&lt;/TITLE&gt;
&lt;/HEAD&gt;
&lt;BODY BGCOLOR="#FFFFFF" TEXT="#000000"&gt;
&lt;!-- GSE Default Error --&gt;
&lt;H1&gt;Moved Temporarily&lt;/H1&gt;
The document has moved &lt;A HREF="https://script.googleusercontent.com/macros/echo?user_content_key=AehSKLhPOP35rl3JPFdjhQl4BmhGFCKg0Wf2ckfP4jDG9Le1r8-omCk_6gUyMc1UXzSgyF6DJDUtO2Bsv00iKLFD7URt5kVPxkzcY4uuVlHOU7o_TC0zWdwhBD7EhwD1KkcEcCieoXJaHCGE_wvBzFIkTQQhRsO6J4FT7URwuiYgxewKIi-8eR0IRaSrl4Xim-SXE9N3LjfU0GV_QVmWm1b53fEzfX4BkZ4DWlu73I-zW1GtpVWCow14xDEQA72TBnIldJaoDjf5o67PcJf66F_UXRVQyB_fMIr-A4Q5UEfSu6C8Yh_7OCBRXgcACzlMGA&amp;amp;lib=M-zdWbhavtdZ1B_W2dnFDM0qoVt4lWzJ-"&gt;here&lt;/A&gt;.
&lt;/BODY&gt;
&lt;/HTML&gt;
</t>
  </si>
  <si>
    <t>qqJ8fBz2RWSIALAwpAMPLg</t>
  </si>
  <si>
    <t>18581-A</t>
  </si>
  <si>
    <t xml:space="preserve">&lt;HTML&gt;
&lt;HEAD&gt;
&lt;TITLE&gt;Moved Temporarily&lt;/TITLE&gt;
&lt;/HEAD&gt;
&lt;BODY BGCOLOR="#FFFFFF" TEXT="#000000"&gt;
&lt;!-- GSE Default Error --&gt;
&lt;H1&gt;Moved Temporarily&lt;/H1&gt;
The document has moved &lt;A HREF="https://script.googleusercontent.com/macros/echo?user_content_key=AehSKLhsfu67_kTpOjKZxFxhc15A5hMeXJyPtfxnmpAVXC_ysWdOLipdF5fbIsnMMYflEkXqzIoI6Jkst3d8Ybvxu31WHgY3NeIWq__16Bv8IStiCnRkynJY2gp6Tq1mdHdeykdWL3gHOT2FqlB6T3WLcyFJS-MvG80eGsTQmN5srIaIbMsTfAsaGHHATfiOto5qmjAEYahsM-zHD7CindOBourUnEMrlVgxP-SEkfUfp9Rswenw3RNbr2U8E32ZGdrw8I-Qp31-0sUCeSGsyk2OVky_qaewBo8fvG04Kyl854ISs59K9__ZTAD18cF4iw&amp;amp;lib=M-zdWbhavtdZ1B_W2dnFDM0qoVt4lWzJ-"&gt;here&lt;/A&gt;.
&lt;/BODY&gt;
&lt;/HTML&gt;
</t>
  </si>
  <si>
    <t>PoGqYrmMQ2-hTOPvUNmarQ</t>
  </si>
  <si>
    <t>18581-B</t>
  </si>
  <si>
    <t>8F00250706330004</t>
  </si>
  <si>
    <t xml:space="preserve">&lt;HTML&gt;
&lt;HEAD&gt;
&lt;TITLE&gt;Moved Temporarily&lt;/TITLE&gt;
&lt;/HEAD&gt;
&lt;BODY BGCOLOR="#FFFFFF" TEXT="#000000"&gt;
&lt;!-- GSE Default Error --&gt;
&lt;H1&gt;Moved Temporarily&lt;/H1&gt;
The document has moved &lt;A HREF="https://script.googleusercontent.com/macros/echo?user_content_key=AehSKLgGZ_jL7ta7cTuowyhZnqJAOMzY5f3s5kQ2jV9IlpwPmkDG4xpX4iQ0ifXyVCXOYPXIYXz06mREVHZ2Us1cufbjILjDpO0NhfopWXK2L6o_6qRh0KN7KVyGEfsYlDd8dbul4r3UcCXZmjhOoLYSTGvswENqDBYmcT2XGCTAig8_eewU8OpP653nWejbAtUv7S1ZI3ZhXY3U71BqMCy8Il6ACvWejENSMbiMJOlCFlU9hCuOTTcKg7kbkJG3be_L5o1Xa1jFsJlebfS_dDltT_2aEpNu0EAo3ZSCAlODNDAh68xHZ3fjwUsYtJdiCw&amp;amp;lib=M-zdWbhavtdZ1B_W2dnFDM0qoVt4lWzJ-"&gt;here&lt;/A&gt;.
&lt;/BODY&gt;
&lt;/HTML&gt;
</t>
  </si>
  <si>
    <t>bHRl8gRDgVmzbptaZtVL</t>
  </si>
  <si>
    <t>18582</t>
  </si>
  <si>
    <t>8F00250706340001</t>
  </si>
  <si>
    <t xml:space="preserve">&lt;HTML&gt;
&lt;HEAD&gt;
&lt;TITLE&gt;Moved Temporarily&lt;/TITLE&gt;
&lt;/HEAD&gt;
&lt;BODY BGCOLOR="#FFFFFF" TEXT="#000000"&gt;
&lt;!-- GSE Default Error --&gt;
&lt;H1&gt;Moved Temporarily&lt;/H1&gt;
The document has moved &lt;A HREF="https://script.googleusercontent.com/macros/echo?user_content_key=AehSKLhp05ILx5kOmUKBWfR-RIjWT9pg8RfTbWVGm-g-RHACQA-V19glb1Hp5m4EpZPeiz5_DKdMvS6rlmcPvK6jlxM77gPdolYlaZdnrH0BvQ-2DYvMofBeZu-WKbGsU3tt449TLYHeGCv1AnkR_SCbFc3n9m-SoPP0g6mO6PsZUyj5CmQpyXkHQQNunEUbRlY-m1appDUdkfW5N04AW2nhgvgPT_RS11czsdAg_q7MZBNPj_Cr2Giszz8rG--T-0inbKfYkCLLfQRvJBt98609LBEtlyu5M3JhFcr1FO8B2DLnuVqNRbl5_1XeCz-3Sw&amp;amp;lib=M-zdWbhavtdZ1B_W2dnFDM0qoVt4lWzJ-"&gt;here&lt;/A&gt;.
&lt;/BODY&gt;
&lt;/HTML&gt;
</t>
  </si>
  <si>
    <t>l4mFcA9nQH-OaWW6dZe.gA</t>
  </si>
  <si>
    <t>18583-A</t>
  </si>
  <si>
    <t>8F00250526320004</t>
  </si>
  <si>
    <t xml:space="preserve">&lt;HTML&gt;
&lt;HEAD&gt;
&lt;TITLE&gt;Moved Temporarily&lt;/TITLE&gt;
&lt;/HEAD&gt;
&lt;BODY BGCOLOR="#FFFFFF" TEXT="#000000"&gt;
&lt;!-- GSE Default Error --&gt;
&lt;H1&gt;Moved Temporarily&lt;/H1&gt;
The document has moved &lt;A HREF="https://script.googleusercontent.com/macros/echo?user_content_key=AehSKLi6gPujViWFHqGRTsaeQa70XEZuOBGOLgI3hZoTZdLA9YLUU_rUYb44B8e9Gdgr7uMDnL6NnYMnaX03hfa9c7I7PoPWdwY3yIirY-IOQEfb89yTHfQf2_CU8bR88dP5xZxml5Cp832K3eAg1jTDEj6UYzIX4ZNumaEaM9FZUSJTC6REJ9HsH9xcjMj3Hf9bcKZ93qKxrNjAQZmVi-nfySkenc6cMBnjgocAYOeLGrS5aFVoC7cy78Jz71tI256MDsWfEcnrULga00j6qPDGFo13cfP0OMTglCAUfUfioD4A72wHvnhoUbqcDV4Ciw&amp;amp;lib=M-zdWbhavtdZ1B_W2dnFDM0qoVt4lWzJ-"&gt;here&lt;/A&gt;.
&lt;/BODY&gt;
&lt;/HTML&gt;
</t>
  </si>
  <si>
    <t>DKUosQgITbSyrziGFzxM7A</t>
  </si>
  <si>
    <t>18583-B</t>
  </si>
  <si>
    <t>8F00250526320005</t>
  </si>
  <si>
    <t xml:space="preserve">&lt;HTML&gt;
&lt;HEAD&gt;
&lt;TITLE&gt;Moved Temporarily&lt;/TITLE&gt;
&lt;/HEAD&gt;
&lt;BODY BGCOLOR="#FFFFFF" TEXT="#000000"&gt;
&lt;!-- GSE Default Error --&gt;
&lt;H1&gt;Moved Temporarily&lt;/H1&gt;
The document has moved &lt;A HREF="https://script.googleusercontent.com/macros/echo?user_content_key=AehSKLiOpHUtBPr8QiPhHjAWxx5UfYiebU3eFbTWgt9Z9T8TzLrLLUhsrTKbwJyxUqXAYoSnIhKD7dJFRpdeEgcgpCFR0XEttWOnoZq7rEnnme5OBrmpZotgO7NfRPWULCgNjBE-a9ErxvblutdBrk-ypT0iT3PMzzP-tBnXtrh5IlLAhu87TZF83xD1n8OHeImgjlOzOfTiHs9IJycjRNhODtjrNg13RvbyGZRNl_q048NWuCeGTq3WGRKBnK1KE6CmvP3qFjMcykGODNDwSuR2NroIZE1ViyIeuoCgKLLds-v7QtE-voGtblRTPW4ySA&amp;amp;lib=M-zdWbhavtdZ1B_W2dnFDM0qoVt4lWzJ-"&gt;here&lt;/A&gt;.
&lt;/BODY&gt;
&lt;/HTML&gt;
</t>
  </si>
  <si>
    <t>IMR9Dobrb85VyU8m0znD</t>
  </si>
  <si>
    <t>18584</t>
  </si>
  <si>
    <t>8F00250529210018</t>
  </si>
  <si>
    <t>FITLOG TRANSPORTES E LOGISTICA LTDA / (048) 996277956Informação Adicional: REDESPACHO FOB CNPJ 18.992.731/0002-07 - WJT TRANSPORTES LTDA - AV JOSÉ RANGEL FILHO, 234 ¿¿¿ BAIRRO JARDIM PONTE ALTA I ¿¿¿ CEP 07.179-350 ¿¿¿ GUARULHOS ¿¿¿ SP ¿¿¿ I.E. 127.320.762.117 / Obs.Interna: Autorizado pelo Mário, valor arredondado antecipado R$ 8.900,00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</si>
  <si>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lOvqI5B4pe2neRyFdeZ5XX-IhrH3HvbZMbIfbo5JFiPYOs_r0FDFXQ5JHPbFjPWB4vcEHSKvBzQmfKguxI_sUUzq9L7lRJsF6UKoj3g8QPEIXVc84FLwVCwI5E_ETmOZExZjCEOLJgUgYpNtvYpL9ZPZJz1qVvzXLpJJjrTCWhO8-S4KlPiC1yWroRDI6ku_NEKB-xIZn_zYW4Pd-YHmbB2SnCnXfwbd2zUxxACvGZc9JtVJPYTeK0HMnZ0bzAV0sf3ZMi8KFTDdCvy3U3o0wxAfLUBAD9xe37CuVlGnclsSqi4AsvmNJHoLHxw&amp;amp;lib=M-zdWbhavtdZ1B_W2dnFDM0qoVt4lWzJ-"&gt;here&lt;/A&gt;.
&lt;/BODY&gt;
&lt;/HTML&gt;
</t>
  </si>
  <si>
    <t>ht5oPlsTR0O1WHMupbAxmw</t>
  </si>
  <si>
    <t>18585-A</t>
  </si>
  <si>
    <t>8F00250102050009</t>
  </si>
  <si>
    <t>dJ0QaFd1SCSImTqk3OpWag</t>
  </si>
  <si>
    <t>18585-B</t>
  </si>
  <si>
    <t>8F00250102050010</t>
  </si>
  <si>
    <t>5UTxcITRPecuEN82lIni</t>
  </si>
  <si>
    <t>18586</t>
  </si>
  <si>
    <t>8F00250529210019</t>
  </si>
  <si>
    <t xml:space="preserve">&lt;HTML&gt;
&lt;HEAD&gt;
&lt;TITLE&gt;Moved Temporarily&lt;/TITLE&gt;
&lt;/HEAD&gt;
&lt;BODY BGCOLOR="#FFFFFF" TEXT="#000000"&gt;
&lt;!-- GSE Default Error --&gt;
&lt;H1&gt;Moved Temporarily&lt;/H1&gt;
The document has moved &lt;A HREF="https://script.googleusercontent.com/macros/echo?user_content_key=AehSKLjKMrtr2iGIbuHChQNffKneXjZZU0qxASuFy1RjiZFZNFX423WqovPRwEZ8llEOkHgbZ6Dd2XR7c0ECYq440-YpcDracvtfC-8iIfeHBM_-J3XPsFMn0pRFrr7RYeubwiyQafADvu8U7rOU1SbeqlW9jG3046dpIGLzJA0F_3rwZIewj5huKBLrrb1yqOZ8TnjwppUAByJGo-yqwZhq-gYK70MFw-bVeFqAWVPsW9jR8qszS6njm-L4laU4JGgzAwpWlOfwNioPFaL4iHKcLrlBjsEIAsWnohdYIzLSS2LoMCMGmBoojknHL_NLdw&amp;amp;lib=M-zdWbhavtdZ1B_W2dnFDM0qoVt4lWzJ-"&gt;here&lt;/A&gt;.
&lt;/BODY&gt;
&lt;/HTML&gt;
</t>
  </si>
  <si>
    <t>e7rJdseDS5ab1v99Um7G1Q</t>
  </si>
  <si>
    <t>18587-A</t>
  </si>
  <si>
    <t>8F00250526320010</t>
  </si>
  <si>
    <t>CLIENTE RETIRA / (0) Informação Adicional: PREÇO CORRETO DA FTI125 R$ 14400,00
PEDIDO CLIENTE 22215 - COND. PALAZZO DUCALE / E-mail para nota fiscal: , E-mail de cobrança: , Telefone para contato
PEDIDO A DESCONTAR DO CONTRATO - PEDIDO DAS BANDEJAS VAI SEPARADO POR CONTA DO CONTRATO.</t>
  </si>
  <si>
    <t xml:space="preserve">&lt;HTML&gt;
&lt;HEAD&gt;
&lt;TITLE&gt;Moved Temporarily&lt;/TITLE&gt;
&lt;/HEAD&gt;
&lt;BODY BGCOLOR="#FFFFFF" TEXT="#000000"&gt;
&lt;!-- GSE Default Error --&gt;
&lt;H1&gt;Moved Temporarily&lt;/H1&gt;
The document has moved &lt;A HREF="https://script.googleusercontent.com/macros/echo?user_content_key=AehSKLjiQV4CA-uZ3pqad3RTeHJ3_f3szQmMnnZ3lwMdpgZ4MHHJo8XuCCub2Xr9cD9fc8SNF6NXIY0fOAWv5yz1EZnPE35GpNexIOoK_pt95ytIdjMwry86H23Pl2lPn1rYU3F1SvcQqVfD8jQACIbaQwSLP13Zh6-igFIAqe--ockUDNGpTi-6UuAfI_IGvKwAqhVjc1cIEGKEifCaKzVaDrksCWX-2c5Co3SWoev6uSK7dUwAsvsFryAKEQ1TyZNV5oTBORULrKklbp0XVehNdAN48VIaWniRaOT1rI4VGrLbFjKmWrBx3XweMEXJcQ&amp;amp;lib=M-zdWbhavtdZ1B_W2dnFDM0qoVt4lWzJ-"&gt;here&lt;/A&gt;.
&lt;/BODY&gt;
&lt;/HTML&gt;
</t>
  </si>
  <si>
    <t>NBRsfnk0TKmJU1gbtIf.qg</t>
  </si>
  <si>
    <t>18587-B</t>
  </si>
  <si>
    <t>8F00250526320009</t>
  </si>
  <si>
    <t xml:space="preserve">&lt;HTML&gt;
&lt;HEAD&gt;
&lt;TITLE&gt;Moved Temporarily&lt;/TITLE&gt;
&lt;/HEAD&gt;
&lt;BODY BGCOLOR="#FFFFFF" TEXT="#000000"&gt;
&lt;!-- GSE Default Error --&gt;
&lt;H1&gt;Moved Temporarily&lt;/H1&gt;
The document has moved &lt;A HREF="https://script.googleusercontent.com/macros/echo?user_content_key=AehSKLh0V5IItOyfst4pPa4wjKUQsA8BBmJfOOiE3NfOGrucT8ztBdDOkRFXTFCPDLuZgm7Sa2p9Fft1zTThW1Qit2BFoO6n-gxjDm3lM3LmyfrtYjUPCLNGxLDExsD1aif8lxOZfONfRrFI7wJLVnvRef8eAUeHoSzhDW3eNsqDASV4K2b9Os1xc6kemkJiACPOQsqDY2Ym_Zt4mRxcliw5SHYw0gSW9VgydjK7lQX3sUCsiQ4Hfdu592q7iO7NO2D3YOOEGDs9W4ir7VQ4AvGhUmNE17YbfInhvnTBszbl2IZwXZrV-PLi6Y_E4ZG9Jw&amp;amp;lib=M-zdWbhavtdZ1B_W2dnFDM0qoVt4lWzJ-"&gt;here&lt;/A&gt;.
&lt;/BODY&gt;
&lt;/HTML&gt;
</t>
  </si>
  <si>
    <t>VCd3DwqwPKgQfqHVPWPy</t>
  </si>
  <si>
    <t>18588</t>
  </si>
  <si>
    <t>8F00250529210025</t>
  </si>
  <si>
    <t>Transportadora Bauer / (048) 9943-3665Informação Adicional: valor da maquina R$8915,67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</si>
  <si>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kQ_r5Yh90CPLBYwk6S4tA1UaRuwy1b4I8SwcpIDn7YUCEQU4jRl_5jH8QbtnbHgZsC3c_hnzDSePU_dZ8lSg_Cig1euRY0A32sQz_ug26Vl4vOBbG1-PwgUu7uFIlVo6vPExPH5dwAAQgHG1Brmb4tyCVkn-NbhLkVYsUxsadGDkJZIUiOQElNnHaEWfEApLUzTAED0KUKsbpzIC_PN83LhzLpuBjp3XeWHWU-BRf94cNXboZ8pGDxKbTSIiOzRez9aAezKgVzqIrYfc32OmWfiKS9zK1IZUiv-hyWIRVf8sCfdzJvdrp-i7QHA&amp;amp;lib=M-zdWbhavtdZ1B_W2dnFDM0qoVt4lWzJ-"&gt;here&lt;/A&gt;.
&lt;/BODY&gt;
&lt;/HTML&gt;
</t>
  </si>
  <si>
    <t>NQcCYiCVQ4uKgpksnow22A</t>
  </si>
  <si>
    <t>18589</t>
  </si>
  <si>
    <t>JASMIM COMERCIO DE PRODUTOS E PISCINAS LTDA -</t>
  </si>
  <si>
    <t>8F00250329030050</t>
  </si>
  <si>
    <t xml:space="preserve">&lt;HTML&gt;
&lt;HEAD&gt;
&lt;TITLE&gt;Moved Temporarily&lt;/TITLE&gt;
&lt;/HEAD&gt;
&lt;BODY BGCOLOR="#FFFFFF" TEXT="#000000"&gt;
&lt;!-- GSE Default Error --&gt;
&lt;H1&gt;Moved Temporarily&lt;/H1&gt;
The document has moved &lt;A HREF="https://script.googleusercontent.com/macros/echo?user_content_key=AehSKLj83apGRxBW5qnaRWQ_ACPsyA_LJU8c_DSDITnk9Jki4lNDEvd-SlXyXvhxL9KcuUYllCei5fn1pfc3P64XgGFQO-JppB3q4sg48NLmF397vhbCXYoPExtxZLFjkhK2a2t2bpnnIw8Py3LUeWBz0qzCdbjF14WAcTf7MggIk-z0HUepIc_2so6fKQ3iM56MMGaq0OTa8ezisuBXO73WGD_RjQraMZrpF25y64hwYNG9dWG7rnwf2gDAvh5Wr_xwMlBkd7OjZNJCjfKqLoZ7pguC0J1p1f9ucD54NbFS7Uz3XFda3ljYPxyUwfh07g&amp;amp;lib=M-zdWbhavtdZ1B_W2dnFDM0qoVt4lWzJ-"&gt;here&lt;/A&gt;.
&lt;/BODY&gt;
&lt;/HTML&gt;
</t>
  </si>
  <si>
    <t>YsJdy2P8QDCX5rGBdtRCcQ</t>
  </si>
  <si>
    <t>18590</t>
  </si>
  <si>
    <t>AGUAS QUENTES PISCINAS E AQUECEDORES</t>
  </si>
  <si>
    <t>20226</t>
  </si>
  <si>
    <t>AVE9532 - DISK &amp; TENHA - DEYORDAM ALVES - 10783027907 - FIAT / FIORINO / BRANCA / 2012</t>
  </si>
  <si>
    <t>EXPRESSO SAO MIGUEL S/A / (051) 3586-2013Informação Adicional: Seguir para entrega no município de Otacílio Costa - SC com nota do cliente. / Obs.Interna: Autorizado pelo Mário preço sem degelo R$ 20.589,40 + acréscimo de 3% para cobrir o frete até OTACÍLIO COSTA - Sc com nota fiscal do cliente valor final antecipado R$ 21.207,082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</si>
  <si>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W11ZhBi0OeHMhorsVAgnFS3ZeHw8RrNbhnDj2rpcvnBsymMVTZmag4UqtqxxatLkTA4MBKvb8UH7wc4nKvEsCWs9ItuQ4voERrlo8kUbjBXgXq_SAaMT0ZfOLsrf0aEKoFx0-rsgV5Os2EcP7Lg8o6apVxjIvjZBxzRSo27Ps0UFA0bvPf5qk3LAs1LLx3LaHa2t0TNweeolH_IyKL9NBfNI2ujD7mPaP7JnFcEku3CeleN_Ukh0sbzqdKWDlBltuvfQL_BZTU7So66aXyUL_P_7IbwGb7E3mV9PixPkX2yD74hyze-0tzscGOg&amp;amp;lib=M-zdWbhavtdZ1B_W2dnFDM0qoVt4lWzJ-"&gt;here&lt;/A&gt;.
&lt;/BODY&gt;
&lt;/HTML&gt;
</t>
  </si>
  <si>
    <t>paY7vGeYRp-UdRMrPk0zUg</t>
  </si>
  <si>
    <t>18591-A</t>
  </si>
  <si>
    <t>8F00250706330010</t>
  </si>
  <si>
    <t>EXPRESSO SAO MIGUEL S/A / (049) 3361-6627Informação Adicional: 50% antecipado +50% faturado / Obs.Interna: Mario- Autorizado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</si>
  <si>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2F5hCDBdwMI8j_81cDua8zUD5mbRAC8rMSSlF3wqkp-3c5vgJd9iJCOVZNnSm1ERqlZLx6CC1XDt_WXgixxruP98xGHWox9-065fqrc4g91A91aFYHDhZna7-PvlQAWiP9CnRGgatjFQfozqdDcLuRZaocX9l9U3V6nniPzKx6L9wZG8JL0pC2nc9qnaUSZ0zpBuA-C1qolgIqti6gTzO9ML1JX_OnxzOKB9LSiDEFqUB2aGULM6i3wpcfwMFRlme8ndrvK4QWcAd6aRBqpwvyQuFmzADKDJdN_XOWl0C78D24JkZ5EsZmUhKTA&amp;amp;lib=M-zdWbhavtdZ1B_W2dnFDM0qoVt4lWzJ-"&gt;here&lt;/A&gt;.
&lt;/BODY&gt;
&lt;/HTML&gt;
</t>
  </si>
  <si>
    <t>4FT8XWiLTeOdg3ABpgJj.Q</t>
  </si>
  <si>
    <t>18591-B</t>
  </si>
  <si>
    <t>8F00250706330009</t>
  </si>
  <si>
    <t xml:space="preserve">&lt;HTML&gt;
&lt;HEAD&gt;
&lt;TITLE&gt;Moved Temporarily&lt;/TITLE&gt;
&lt;/HEAD&gt;
&lt;BODY BGCOLOR="#FFFFFF" TEXT="#000000"&gt;
&lt;!-- GSE Default Error --&gt;
&lt;H1&gt;Moved Temporarily&lt;/H1&gt;
The document has moved &lt;A HREF="https://script.googleusercontent.com/macros/echo?user_content_key=AehSKLhxt3l9h0qKbSRHfDCRfXYqnGC9HR-95XnZgdM3_RJ_eWVrUx8H-p2LhUKJMjZ57bKJldjTAlGFt0dQyjb4GiB5kL97R3hRrlWTaOGtQl1qjaqs7hpdP4LbNxtBPvd6iAQRprejXLWRgVVlxnQYgLgonl3RhPbgElL0rN1GhNMAp3drqICdE59NesI6BBdnGmiZ7g1LWUW-uN1QMHnOc3uROej2NigC-cZq5ayht3ERy2KlpAr5db4aa8X25Q1twb8hUGLM0vVxt0n9D51k9vgpDnIJMwmkXXzfiur9k8s1nkK2pTwQ39LHtnJm7Q&amp;amp;lib=M-zdWbhavtdZ1B_W2dnFDM0qoVt4lWzJ-"&gt;here&lt;/A&gt;.
&lt;/BODY&gt;
&lt;/HTML&gt;
</t>
  </si>
  <si>
    <t>oCRVJ714RxBtjJJA2Q16</t>
  </si>
  <si>
    <t>18591-C</t>
  </si>
  <si>
    <t>zTFncs6QfACNJerF2CAq</t>
  </si>
  <si>
    <t>18593-A</t>
  </si>
  <si>
    <t>8F00250706330005</t>
  </si>
  <si>
    <t xml:space="preserve">&lt;HTML&gt;
&lt;HEAD&gt;
&lt;TITLE&gt;Moved Temporarily&lt;/TITLE&gt;
&lt;/HEAD&gt;
&lt;BODY BGCOLOR="#FFFFFF" TEXT="#000000"&gt;
&lt;!-- GSE Default Error --&gt;
&lt;H1&gt;Moved Temporarily&lt;/H1&gt;
The document has moved &lt;A HREF="https://script.googleusercontent.com/macros/echo?user_content_key=AehSKLiuLcCPnmUyBuHnOazREoI9NSkiZI3krin4I-usj7LCeqdsrXtTJxvt3VH4ica2mpVTfW2aC0Sumx2syLu5s4MEab1Eoqb6qYP5m9GFjYxTFDIbSIF-KaWoSP_EeZOmKPdzDGnaxgcfIhzycP1aW0iPWnF5vZ0XZOuM4i5q2lm_0YId8PBUkei4_sMJoTqiVNoVS84yQqqI36HEq8yR1Gk6Y_-q_2RJSQcLp5hYxuofrBuL48jqaL7MFTSLUf3PjM5wPJoPhbZWNLDpuZrI4vzgvirO4SSQjS4mHHR5RPFc02vjXNOwZg6i-0Jkjg&amp;amp;lib=M-zdWbhavtdZ1B_W2dnFDM0qoVt4lWzJ-"&gt;here&lt;/A&gt;.
&lt;/BODY&gt;
&lt;/HTML&gt;
</t>
  </si>
  <si>
    <t>7dpZDX.GTgex4OUNYkZHcg</t>
  </si>
  <si>
    <t>18593-B</t>
  </si>
  <si>
    <t>8F00250706340002</t>
  </si>
  <si>
    <t xml:space="preserve">&lt;HTML&gt;
&lt;HEAD&gt;
&lt;TITLE&gt;Moved Temporarily&lt;/TITLE&gt;
&lt;/HEAD&gt;
&lt;BODY BGCOLOR="#FFFFFF" TEXT="#000000"&gt;
&lt;!-- GSE Default Error --&gt;
&lt;H1&gt;Moved Temporarily&lt;/H1&gt;
The document has moved &lt;A HREF="https://script.googleusercontent.com/macros/echo?user_content_key=AehSKLjLHIAjlFratlroMtePIXE-TCIMZg2FvA-GrMHYwLnPzR9FvP1jTYKcoUW83FP9CmYrduv-4LuFvFKBhMnmXm_Ts-b2wyxbc6Q7sp784jaxYmkEKDv3sDE0r3LGHL3BacWoqc5f5w-5VpiGxs4wZ7XuHl3kp67FJ5UPmrLGlvWfT-aZaliWg-8kfXDJyqHKRxTqwtWdoWS4FvRk3DgYF8tlKiZo8IDkT0Jq6VZIm7DtUSyGg4Q4jjk0ws38TvM1YFlRMjHRhKb5uqmSfgv77n3Rk160cGSNAoqEFY30xawmSEkRSzUkryRllW6zIQ&amp;amp;lib=M-zdWbhavtdZ1B_W2dnFDM0qoVt4lWzJ-"&gt;here&lt;/A&gt;.
&lt;/BODY&gt;
&lt;/HTML&gt;
</t>
  </si>
  <si>
    <t>qIxEcq9yHB4Eh5zdYRwL</t>
  </si>
  <si>
    <t>18594-A</t>
  </si>
  <si>
    <t>8F00250529210023</t>
  </si>
  <si>
    <t xml:space="preserve">&lt;HTML&gt;
&lt;HEAD&gt;
&lt;TITLE&gt;Moved Temporarily&lt;/TITLE&gt;
&lt;/HEAD&gt;
&lt;BODY BGCOLOR="#FFFFFF" TEXT="#000000"&gt;
&lt;!-- GSE Default Error --&gt;
&lt;H1&gt;Moved Temporarily&lt;/H1&gt;
The document has moved &lt;A HREF="https://script.googleusercontent.com/macros/echo?user_content_key=AehSKLjKdkuCNYN1Yq0KRQ7I1OhlbBrErIgQg4KLPJRbr86pQKcAzt2mkhs9yn7PFF14ysRZ4GHnA1S-W9_7YYb02AK55hDyOepShk6sf85oYgCT5Wa4xin5pjP-BAqUpNvyPsKAJMKI6Ikt4CE0AEfZLugh8gUGGJvuC2_92Oi31DHcR92e-se7bsXxEtW4jOAVB9Xhkj7No1Mw4rNju_WIIZ5lGGJiDaA5JCY-kgRcsfTB9CTiBhLQXG9Jh4ZzHLOzXui0vmwknE4D5S-p_ur9-p0XpsUauywT4kQ6bwY9bPRgr1K0beaEdO42Tb6CiA&amp;amp;lib=M-zdWbhavtdZ1B_W2dnFDM0qoVt4lWzJ-"&gt;here&lt;/A&gt;.
&lt;/BODY&gt;
&lt;/HTML&gt;
</t>
  </si>
  <si>
    <t>RL7PGgEnRkaldp66lXPS4g</t>
  </si>
  <si>
    <t>18594-B</t>
  </si>
  <si>
    <t>8F00250529210024</t>
  </si>
  <si>
    <t xml:space="preserve">&lt;HTML&gt;
&lt;HEAD&gt;
&lt;TITLE&gt;Moved Temporarily&lt;/TITLE&gt;
&lt;/HEAD&gt;
&lt;BODY BGCOLOR="#FFFFFF" TEXT="#000000"&gt;
&lt;!-- GSE Default Error --&gt;
&lt;H1&gt;Moved Temporarily&lt;/H1&gt;
The document has moved &lt;A HREF="https://script.googleusercontent.com/macros/echo?user_content_key=AehSKLiTSsJpVlop5_sdx7BwBgKM6nirDntYkvL6yJ9IaQsvh-a8_o6hkdGU-Y4HE5B6ntfVYdG8v7xsR-MSI90dWjYqa-JmBbb0E2vZHnpc_ajK3R8-mE9XgynKDEX2c9usV-o9WueOKuhcUMgWSGL-O6vFuKCUI3xg73A3lcXJF1u0lWjWRL5eNoVXihi1JelrduQYG-B_ksPOLAwJzYscNp2BLQeDNc5FhdBnTpnM5zeXI99LF3-NDHcd_RLTwxEBRMUBp0_CHAnNeHh8oLLzAfXQFnCI1dI3AcLlsVMYB9tOq6eEfbNXgp5DLmxHcA&amp;amp;lib=M-zdWbhavtdZ1B_W2dnFDM0qoVt4lWzJ-"&gt;here&lt;/A&gt;.
&lt;/BODY&gt;
&lt;/HTML&gt;
</t>
  </si>
  <si>
    <t>9PCFdZyj4VC5G7ui9gaR</t>
  </si>
  <si>
    <t>18595</t>
  </si>
  <si>
    <t>8F00250329030047</t>
  </si>
  <si>
    <t>IVY LOGISTICA E TRANSPORTES EIRELI</t>
  </si>
  <si>
    <t>FITLOG TRANSPORTES E LOGISTICA LTDA / (048) 996277956Informação Adicional: Frete FOB com Redespacho pela transportadora IVY LOGISTICA E TRANSPORTES EIRELI, CNPJ 32.381.000.0002-56,  URUGUAIANA,197 - CID IND SATELITE DE SP - CEP 07223-230 - GUARULHOS-SP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</si>
  <si>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15EgPPFyE0zQEy3RfLLcFiMW_4V1uth36n6HM-1Xb8s0p7GS9WAF8xDl3RtGRkxgKha08Wt8GWWvPkU5d_nyK78OT7mOJHpRjs5wUdH3Hg5nEcYZ1Gm-9bzDuRefdtNvpRU0UQXT29EkTgPwRC-FUUGJfoioO8MgiuUhICL6IB4IUB2cjhRrwOIPTKJz0_ZsrGH7h2zTxXfGUTSBo50szmA4CyhTjpJa21SjjCG2YM3bBwTB8eys8UK9WqM8aTzL4Difecdffd4eWedsaHZWoGonocoIUhYGowKM8wAB4HY5oQYkNkAsVl9Ahlw&amp;amp;lib=M-zdWbhavtdZ1B_W2dnFDM0qoVt4lWzJ-"&gt;here&lt;/A&gt;.
&lt;/BODY&gt;
&lt;/HTML&gt;
</t>
  </si>
  <si>
    <t>Z6B3XepnRrOSJucW9aEYjQ</t>
  </si>
  <si>
    <t>18596-A</t>
  </si>
  <si>
    <t>FITLOG TRANSPORTES E LOGISTICA LTDA / (048) 996277956Informação Adicional: Pagamento antecipado
Frete CIF / E-mail para nota fiscal: , E-mail de cobrança: , Telefone para contato</t>
  </si>
  <si>
    <t>1usjaJ3WRKGbc4KLGeooSg</t>
  </si>
  <si>
    <t>18596-B</t>
  </si>
  <si>
    <t>6o1Bjp5x8ZD3KvtTBtCc</t>
  </si>
  <si>
    <t>18597</t>
  </si>
  <si>
    <t>TECBLUE SOLUCOES</t>
  </si>
  <si>
    <t>8F00250529210028</t>
  </si>
  <si>
    <t xml:space="preserve">&lt;HTML&gt;
&lt;HEAD&gt;
&lt;TITLE&gt;Moved Temporarily&lt;/TITLE&gt;
&lt;/HEAD&gt;
&lt;BODY BGCOLOR="#FFFFFF" TEXT="#000000"&gt;
&lt;!-- GSE Default Error --&gt;
&lt;H1&gt;Moved Temporarily&lt;/H1&gt;
The document has moved &lt;A HREF="https://script.googleusercontent.com/macros/echo?user_content_key=AehSKLh61BhfeWV8RTJMznPwUPjUXu6t4uaZxcLz5mD_nShaPvoSsDfxkFULJdfvjABLGJHrHD1X6ReFGQHuo1IyfkxKeZfbqpo0xs8OT4x4JQxRgldNeRfPmHs6_-TGeNtHQRayM1Q51tQTAk5mVlD5WBg-wpMAOz2tujst03yoRZXOTr4pT5Os5E_ZMq-u--e1vyXMquNdpCZIKUS6XRJhmsUZYneQxFEJTdSb5pLM39IlXmIvps3hMEWkF_Whxa183r-qvMKF_oAtI6BHRezTXWwHjgtz5Y2xYnS7y2d1lSOJ6zqlZ2TgK7lsxWIa5Q&amp;amp;lib=M-zdWbhavtdZ1B_W2dnFDM0qoVt4lWzJ-"&gt;here&lt;/A&gt;.
&lt;/BODY&gt;
&lt;/HTML&gt;
</t>
  </si>
  <si>
    <t>a-.YsZT.rSRyA1YgKtr66PQ</t>
  </si>
  <si>
    <t>18600-A</t>
  </si>
  <si>
    <t>FITLOG TRANSPORTES E LOGISTICA LTDA / (048) 996277956Informação Adicional: Frete CIF. / Obs.Interna: Desconto extra pagamento antecipado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</si>
  <si>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Vhk0Jm_tmyXjGBAyxahubQmYM7p8akKLZDmg_Bl2Oeub8qTG9uDPI41Wwa9a0rJRlt4Xc8xTQuf5qvim72K8LTL1GcKfQQraZfYoXY_076Gw3G6ba0S_2Cgc8Uo4huX16uK7w2d7joqpwP-VPOfq0A1AxsMHfvFzmCuyBfou0sEupZfporQGX2WTL7v5VosD8iWFZMAJI5pD11WUtc-FuE12cwwWwL1sdrwiXdFYsoMCICN2eV2OdeZ72y5BUh6GZAk2v2a2ZjtWM_islauvbQMCGO1C3EMvGMlO_SAkEWt9ic-IEaqC7-IPKpQ&amp;amp;lib=M-zdWbhavtdZ1B_W2dnFDM0qoVt4lWzJ-"&gt;here&lt;/A&gt;.
&lt;/BODY&gt;
&lt;/HTML&gt;
</t>
  </si>
  <si>
    <t>0AY2rqXtTCaApQeUpdcHrw</t>
  </si>
  <si>
    <t>18600-B</t>
  </si>
  <si>
    <t xml:space="preserve">&lt;HTML&gt;
&lt;HEAD&gt;
&lt;TITLE&gt;Moved Temporarily&lt;/TITLE&gt;
&lt;/HEAD&gt;
&lt;BODY BGCOLOR="#FFFFFF" TEXT="#000000"&gt;
&lt;!-- GSE Default Error --&gt;
&lt;H1&gt;Moved Temporarily&lt;/H1&gt;
The document has moved &lt;A HREF="https://script.googleusercontent.com/macros/echo?user_content_key=AehSKLjO7-p_pyUhWaTBbdcyGSv125p8ZmwTeYXkhssUsFUafrTUYgmvHQc0_IJQgjQSN3_s7umXDm--KxK9YWDOniCD-Z2lF4-dwpC0tCR6MV36li5bm7YY5OEmRueIEUikQ8WrKiuEmot1D0I-4HevRG_auJHs3qtiC-S59V9qXPVAEbPk53eguTfIWxRgVce0t90YnS4JtLaMR8ijbJLlP4dzIHRj852Igdi2L8vJfvFyvEJ5jBSuUR2rF4j4NvkT3EC6HiYv8l1KRhsS_LG9SSQjyT_Th-E1mz8d5S2lASM9Tj7k7M3iiU2iPYDOSQ&amp;amp;lib=M-zdWbhavtdZ1B_W2dnFDM0qoVt4lWzJ-"&gt;here&lt;/A&gt;.
&lt;/BODY&gt;
&lt;/HTML&gt;
</t>
  </si>
  <si>
    <t>hU5tuX4o7Y8XpI0wteW9</t>
  </si>
  <si>
    <t>18601-A</t>
  </si>
  <si>
    <t>8F00250706340004</t>
  </si>
  <si>
    <t>EXPRESSO SAO MIGUEL S/A / (049) 3361-6627Obs.Interna: CONCEDER DESCONTO 10 + 10 - VALOR TOTAL DAS MAQUINAS R$ 23.889,65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</si>
  <si>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KJTrcC8YlCQWXkQ1LmjHqKzMac-pHuXXttQV_vrK_jCWPc6ScK3w_yoxfmHqSydeSJYrnkrW-hNEivJEH-jo3ngKMFS6qjXfwGwv4MbhuvL0BeYaAouh_HRIVeDixKlaMpfMlFx99_QLBFu4_tTLPyHTVT98Nxed6tev5a7WMKmr97-z4YkG7HVh98ycU_4zaqUeN9xFr7cpOEaIphZdZZ-o5Wxp0YUQ082nASaiAEW3_ww-ZnTlBQpsLebeU9YAuS3tmay6x12ra_VUrU4Ti2vs_kjVWg7jVqLic6pD2r-fz-iNCyBBBcZElvA&amp;amp;lib=M-zdWbhavtdZ1B_W2dnFDM0qoVt4lWzJ-"&gt;here&lt;/A&gt;.
&lt;/BODY&gt;
&lt;/HTML&gt;
</t>
  </si>
  <si>
    <t>2Pxu26jqRYihVNbogICbXQ</t>
  </si>
  <si>
    <t>18601-B</t>
  </si>
  <si>
    <t>8F00250706340003</t>
  </si>
  <si>
    <t xml:space="preserve">&lt;HTML&gt;
&lt;HEAD&gt;
&lt;TITLE&gt;Moved Temporarily&lt;/TITLE&gt;
&lt;/HEAD&gt;
&lt;BODY BGCOLOR="#FFFFFF" TEXT="#000000"&gt;
&lt;!-- GSE Default Error --&gt;
&lt;H1&gt;Moved Temporarily&lt;/H1&gt;
The document has moved &lt;A HREF="https://script.googleusercontent.com/macros/echo?user_content_key=AehSKLiQ9VjcYkhHOx-MKCkznfM6mRlN1_Om2RTPZZ_oT3-4XGFgxr1wYfsl4w9s5YoosrNgCp6ush7-mUuz4OtWiff4wy-3PELACdBUoHrTj1V13d9uCKje-BXegDdLabzccjZsC8qOlvgz1hSV2o0RNG63y4sB4cb9TLMbPUv17qUytJy8CPhlp9SxOcWoPPAHyeUs8JcoVAIKrmkDbn4oTWid0gpMtKMN36X5gJT8ZAWWPh1v-fgoBtzLxiqg095jAdINx5dKtGp_OrsT2-lCr3IYgQ8xi4Co-F5YSR5EKrWiAkHRMScfCV5D9y4VpA&amp;amp;lib=M-zdWbhavtdZ1B_W2dnFDM0qoVt4lWzJ-"&gt;here&lt;/A&gt;.
&lt;/BODY&gt;
&lt;/HTML&gt;
</t>
  </si>
  <si>
    <t>ZjORv9vd7PZYz5dAKtwU</t>
  </si>
  <si>
    <t>18601-C</t>
  </si>
  <si>
    <t>8F00250529210021</t>
  </si>
  <si>
    <t xml:space="preserve">&lt;HTML&gt;
&lt;HEAD&gt;
&lt;TITLE&gt;Moved Temporarily&lt;/TITLE&gt;
&lt;/HEAD&gt;
&lt;BODY BGCOLOR="#FFFFFF" TEXT="#000000"&gt;
&lt;!-- GSE Default Error --&gt;
&lt;H1&gt;Moved Temporarily&lt;/H1&gt;
The document has moved &lt;A HREF="https://script.googleusercontent.com/macros/echo?user_content_key=AehSKLjWyLIVSp2fwAWY9mwcPmI3SxVBEGtlIdTIQ25cqfD5zKfyZLZR2OIPGRdUr9hfaYU2YGtONli8ryyUJYXETH-Q56KvcgTv14ZKIoi49vRliXOTYLKbzbzYQ3b6_ZHv4JV14JOlRpwW5lky8ftkBSS7byn1Jt_gKJfdx9iPS4rEM9b0PyOfdP53ekG3UPj8GcxlxKCyw-O93Xqk96HwnJhywoVvikU3joMD0DVa15PTxnhFOgKiBiRdT0pja2sVPW31jg4joGCqMWUVGi4u_EIF639ntfL0R9MrvExA5Gg8c_GQaigt6pjPT6FknQ&amp;amp;lib=M-zdWbhavtdZ1B_W2dnFDM0qoVt4lWzJ-"&gt;here&lt;/A&gt;.
&lt;/BODY&gt;
&lt;/HTML&gt;
</t>
  </si>
  <si>
    <t>68DwfwNTeEO1TvThgtc2</t>
  </si>
  <si>
    <t>18602</t>
  </si>
  <si>
    <t>8F00250706460011</t>
  </si>
  <si>
    <t>CLIENTE RETIRA / (0) Informação Adicional: PEDIDO CIRO GABOLA
ABATER VALOR DO CONTRATO DO CLIENTE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</si>
  <si>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opQJbO40olRnN1NkRQE5u_qLMVvPcK_-DjO_dOYZJCgtFgYBNaKcQrMC7pqypttXgry4pPOH2ezWTNkN-s9EaPdL7QCixA88jpz4ejjS6t26_4k-TQQCoHZDNpo8AUnMr5uAg0ReYabCX-UGXbTLm20Vc59UzHXP3CvTyR__DrJJC5ITjY8N9Bos-BCDil5L2F2IaZWNLFzVW0cf44a35f00rQ5DRTNk0LnmOx_FTUVMBD6Bwvm6re34L4MF95-rV6QTo7HtgseLALbLwD8em6kUBLMI_dihX6x3RrM9C7nO6cEgZ9eOsGt70aw&amp;amp;lib=M-zdWbhavtdZ1B_W2dnFDM0qoVt4lWzJ-"&gt;here&lt;/A&gt;.
&lt;/BODY&gt;
&lt;/HTML&gt;
</t>
  </si>
  <si>
    <t>r0kj2EPLQ.ulvHaalaRxTQ</t>
  </si>
  <si>
    <t>18603</t>
  </si>
  <si>
    <t>8F00250529210022</t>
  </si>
  <si>
    <t>OBS INTERNA: PRIORIDADE DE ENVIO HOJE 26/09/2025 - O.S 250340 - EFETUAR TROCA DO PEDIDO ANTERIOR 18408 POR UMA FTi-75 NOVA - ENVIAR COM FRETE CIF (OBS DO PEDIDO 18408 FRETE NEGOCIADO - 4X 30/60/90/120 DIAS)
pedido vai gerar financeiro, pois o pedido anterior não iniciou pagamento, logo serão cancelados os boletos da maquina antiga.
ENVIAR COM EXPRESSO SAO MIGUEL, POIS ACEVILLE IRA DEMORAR 3 DIAS UTEIS, EXPRESSO PREVÊ A ENTREGA NA SEGUNDA-FEIRA A TARDE. COTAÇÃO 370422
SOLICITAR JUNTO AO SAC A DEVOLUÇÃO DO PEDIDO 18408, O CLIENTE PODE USAR A EMBALAGEM DESTE PEDIDO PARA DEVOLVER O 18408</t>
  </si>
  <si>
    <t xml:space="preserve">&lt;HTML&gt;
&lt;HEAD&gt;
&lt;TITLE&gt;Moved Temporarily&lt;/TITLE&gt;
&lt;/HEAD&gt;
&lt;BODY BGCOLOR="#FFFFFF" TEXT="#000000"&gt;
&lt;!-- GSE Default Error --&gt;
&lt;H1&gt;Moved Temporarily&lt;/H1&gt;
The document has moved &lt;A HREF="https://script.googleusercontent.com/macros/echo?user_content_key=AehSKLjgtctSEe6EGvggf9fMcflcdb_G47Mx-Zbu0lHLJxWJGdMsJusk1xVwnNuRJC6i8ZgLVG1Zl1jJZZo_rcTcnjgwz3UiSoy396bdaQ5WwbmLKAvCB0MYVvx9e6ZvC11dK78sI0kxcGeS9xXRAI0MNJasnJdUKu2hM8vpk3KqEyzvjuqp4BMo86TJ5--JGGijd0kh25B8hS57kmaVSOic17iNOPUpsts6BzWZ2TP_veLag1gVsa64-A1lG64Irg5Eru8FaxRClb28vMJGdoRo4uAoTl1Rca44-uj42HM-Regxh3kdV4z64m4fmfOPow&amp;amp;lib=M-zdWbhavtdZ1B_W2dnFDM0qoVt4lWzJ-"&gt;here&lt;/A&gt;.
&lt;/BODY&gt;
&lt;/HTML&gt;
</t>
  </si>
  <si>
    <t>h0wd53M.SiaLTzp2cMchxA</t>
  </si>
  <si>
    <t>18604-A</t>
  </si>
  <si>
    <t>CLIENTE RETIRA / (0) Informação Adicional: RETIRA DIA 26/09
PEDIDO 22215 - COND. PALAZZO DUCALE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</si>
  <si>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7lz8YvOvM_rGnCY7xSABkFrrKD1DnjUFZtXuTx5zGnTu9QoYMHZdxN9b1AgDl1_XLcN1b6AZgWOFl9hgSEv0zZev6gepd8a9t2Y1bnN2ekNkJLkbawqw8KoiFNulzilhCnS3U4Ua612a3P_rowiMAHTmLGU18sRoLBNLPHpuv56IJGRz5-n5iBqcin5uJ9l_VBVb8XihWT1wreie4XXRixk2XOHmKpqRkc312ucxJzho9ocE5YcTJYKyCu4YcOZy06DMMBmHTmj84fPaFLXiN-g7Lx66YXlocEX9DZZCBYHxrzjO7MD6XLqsamg&amp;amp;lib=M-zdWbhavtdZ1B_W2dnFDM0qoVt4lWzJ-"&gt;here&lt;/A&gt;.
&lt;/BODY&gt;
&lt;/HTML&gt;
</t>
  </si>
  <si>
    <t>G6p.QQ-pQECMW4X1SvGJKA</t>
  </si>
  <si>
    <t>18604-B</t>
  </si>
  <si>
    <t xml:space="preserve">&lt;HTML&gt;
&lt;HEAD&gt;
&lt;TITLE&gt;Moved Temporarily&lt;/TITLE&gt;
&lt;/HEAD&gt;
&lt;BODY BGCOLOR="#FFFFFF" TEXT="#000000"&gt;
&lt;!-- GSE Default Error --&gt;
&lt;H1&gt;Moved Temporarily&lt;/H1&gt;
The document has moved &lt;A HREF="https://script.googleusercontent.com/macros/echo?user_content_key=AehSKLicqnWMqSig40gIUW6FZFabqsPHQJoN61M_JHFHDnkcJ3zGzquk4rKAyaA66-91fO0dHgyAyGYfrOtCOLJ34s58epE_Noah2MTIzpqZDRmIY46auHfwSJra4L_xIy0_DMkYWCmelR0JGI9qnmt_-sxlbD7vieO5OvfmNtDFcNTSeJjfoqNm4A1WPV1Y_nc4OkWF16VC0VnY3ObnK574VPcPiOUVTDX40jZ7QECZrKSEQHz2eQf8XAe2tOYnd4CQ1rIGoTKM05Fa9g5HpVjHwOj1HwzjM-105Yg8OTdM55E8OS7OmpAw0ShnL_d_zg&amp;amp;lib=M-zdWbhavtdZ1B_W2dnFDM0qoVt4lWzJ-"&gt;here&lt;/A&gt;.
&lt;/BODY&gt;
&lt;/HTML&gt;
</t>
  </si>
  <si>
    <t>0hEUDMtd4BjSxviZXLEJ</t>
  </si>
  <si>
    <t>18605</t>
  </si>
  <si>
    <t>20245</t>
  </si>
  <si>
    <t>RETIRADA NA FABRICA / (0) Informação Adicional: PEDIDO 27717 COND. RUBI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</si>
  <si>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bR7znKDGIjRIx-3O1yBQtGw_DsHSoS1gPPc_tMLcY0INEx5pWchKMeW9DekS4vRAWyJSermzf3OlVL7BRhoYgPKFgeo30xMNhY8qaOY-8-ncRjgOFA6h3XVgal09qU1pffabT-ONa8e3e7tYIzTZefDsTDghx0JXRXdhUU8hLIL2Hf4DKxE3w1xWAclWkY9FKGzmcdTgrNFqTOo0bQsW8hIAhXSaAFpTy0AZVaxvm80uj-V7Opw4Do1lmbWLbzINmssxRAjvZC5iTQ-Nfaf-XHWDFVU354Yr_geKqJMw2E-BAjn1gI-TrDrgPQ&amp;amp;lib=M-zdWbhavtdZ1B_W2dnFDM0qoVt4lWzJ-"&gt;here&lt;/A&gt;.
&lt;/BODY&gt;
&lt;/HTML&gt;
</t>
  </si>
  <si>
    <t>JB8c2s7BTISj2xcBDtx0UQ</t>
  </si>
  <si>
    <t>18606</t>
  </si>
  <si>
    <t>FITLOG TRANSPORTES E LOGISTICA LTDA / (048) 996277956Informação Adicional: REDESPACHO FOB  CNPJ 44.914.992/0013-71 - RODONAVES TRANSPORTES E ENCOMENDAS LTDA - AV ALEXANDRE COLARES, 500 ¿¿¿ CEP 05.106-000 ¿¿¿ BAIRRO PARQUE ANHANGUERA ¿¿¿ SÃO PAULO-SP I.E. 112.782.533.118 / Obs.Interna: Condição antecipado, pago 1 vez no cartão de crédito, enviar link.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</si>
  <si>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6xzCaJThOnNh-ydnO173-UOWap6z1Uv7AH-s3HNQkPAMbz13XG468YPZLEgRN_Wf0Dt_8LH5Sx-ktPqR0cHFedX-AswP4g6KL_F1_pG0ShaMj7YE7v4Vu3Mdua6pIiGp8xXGvL1xMjlz3JJdRrc0Dm8hLNpphgieQ-NxuU5hJP8IqMUiI3GdSsUMo2FeqF3wSSO9R1y_9zhsw1PtWEPE5E-lhoS0kb5g_fCRzWkU2SEEJYG9mv2d3I_EcvaePMRmGas-AKBbuVYOOyPye1EY2Ah2B9zEMIRdreDKovXqhb2lwd9VEq_nwjsaCwA&amp;amp;lib=M-zdWbhavtdZ1B_W2dnFDM0qoVt4lWzJ-"&gt;here&lt;/A&gt;.
&lt;/BODY&gt;
&lt;/HTML&gt;
</t>
  </si>
  <si>
    <t>1kk3KP23SNuZUNAVjMupUQ</t>
  </si>
  <si>
    <t>18607</t>
  </si>
  <si>
    <t>8F00250529210052</t>
  </si>
  <si>
    <t xml:space="preserve">&lt;HTML&gt;
&lt;HEAD&gt;
&lt;TITLE&gt;Moved Temporarily&lt;/TITLE&gt;
&lt;/HEAD&gt;
&lt;BODY BGCOLOR="#FFFFFF" TEXT="#000000"&gt;
&lt;!-- GSE Default Error --&gt;
&lt;H1&gt;Moved Temporarily&lt;/H1&gt;
The document has moved &lt;A HREF="https://script.googleusercontent.com/macros/echo?user_content_key=AehSKLiqbUIqmKMDC8Ae9-15AZ41NpqbuBPSbhy69E5yweg0KvaPN3fbHvP8QM7lBRxVvU_ovzTQzaAQWSquPZH8Ll2vUqbBvOjp5ZlKhIId8LsdyYyTj9HxZrTiGc7xblkNwi7hO8veAJ2In6JEpr3T-NDsFohJhJVPNA88PvH6B_TtzgzhgDghT_w4_k9QX_DqhOnVEBTypw8NvSyqpUjR6lJy7tnslIiVqka6cE-jrePG28VQE8qd0tZiuLq6Wi6zx5PPAW3yzmdgpL8hbOd1lQpTO1dYLovcGkJQDyuibjHqQnxasyOEZkmTf0vq0w&amp;amp;lib=M-zdWbhavtdZ1B_W2dnFDM0qoVt4lWzJ-"&gt;here&lt;/A&gt;.
&lt;/BODY&gt;
&lt;/HTML&gt;
</t>
  </si>
  <si>
    <t>XFxtVNroQ-qNjs6ofRJ7-w</t>
  </si>
  <si>
    <t>18608</t>
  </si>
  <si>
    <t>8F00250329030053</t>
  </si>
  <si>
    <t>EXPRESSO SAO MIGUEL S/A / (049) 3361-6627Obs.Interna: DESCONTO ESPECIAL A VISTA - VALOR DA MAQUINA R$ 7.700,00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</si>
  <si>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OHjSIIpycEyJtRTDBd169e3S6xIviDSHipMeje8C7BsI_YCcifvekmZhQ0bLeABLrzYzhw_XohqBV_Q4HvkRFCOLHmbVg9Qvxi1oQPFXonEZE0i9bim8JkSD9vejDkjGzZ6hDalRCWaZ0xehHZ7ravwbqDq_48T8Cu2FJ2GJkafYnGMUuGW3UNnIk5i-gL-vOPA_rWxcp5eaEHoxD1A-SCiSiFGIeCkEYoifOiXOV5LMCU_wTBFbQ3AUbR7c5a611VOzaMdxb3h4a93YhPJq9nRfDkFMGDsTTDqCpEWGu4gkR0qzJKmGyOJsIZg&amp;amp;lib=M-zdWbhavtdZ1B_W2dnFDM0qoVt4lWzJ-"&gt;here&lt;/A&gt;.
&lt;/BODY&gt;
&lt;/HTML&gt;
</t>
  </si>
  <si>
    <t>8syWr0DDTUOWPHyUZP6BqA</t>
  </si>
  <si>
    <t>18609-A</t>
  </si>
  <si>
    <t>8F00250526320007</t>
  </si>
  <si>
    <t>FITLOG TRANSPORTES E LOGISTICA LTDA / (048) 996277956Informação Adicional: Pedido de Compra Nº 7980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</si>
  <si>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y0BYVOScTXVfqHu0xSrkp1L3gF-xzkpSilenjMuWGveJYkoghvB0Qpvz0LWn1HDAt8WUDJplGZ1wE5N_0_X4WawFhH3oaZgT3NTY2rLk4h6aLAJZ3HaJajpL-rVXuJrM-Ko_eiLhqFz_n8mheXWQT_ECi2eQfqoFRVDZlzRZbMS6yeOiTB1F1ZOK_kZIxU7lGEzTQ0mr--CjsPH7CRL-388DOLNam0DrLzZWmO3eyogJ7QA06RBI8ehZWok72DGd__tQvc1BuKhqYOV3tKqB-6REvJr8HqBXSI4ThJKwaSuJekqvwGOwp_C9tuw&amp;amp;lib=M-zdWbhavtdZ1B_W2dnFDM0qoVt4lWzJ-"&gt;here&lt;/A&gt;.
&lt;/BODY&gt;
&lt;/HTML&gt;
</t>
  </si>
  <si>
    <t>4Y0DGr8ISzS1P.j5fqyO-g</t>
  </si>
  <si>
    <t>18609-B</t>
  </si>
  <si>
    <t>8F00250526320008</t>
  </si>
  <si>
    <t xml:space="preserve">&lt;HTML&gt;
&lt;HEAD&gt;
&lt;TITLE&gt;Moved Temporarily&lt;/TITLE&gt;
&lt;/HEAD&gt;
&lt;BODY BGCOLOR="#FFFFFF" TEXT="#000000"&gt;
&lt;!-- GSE Default Error --&gt;
&lt;H1&gt;Moved Temporarily&lt;/H1&gt;
The document has moved &lt;A HREF="https://script.googleusercontent.com/macros/echo?user_content_key=AehSKLifEiAnMLBrHGMFwGXUyLxFcdrR5UBDLSUaN3bu-uzPeETj6h36e28yQ_9roQCe9-95WWWOzmTmQEU1bV6eRzqvuCHrx6FtQLaLfRDJsTS97t_HJpwsK5v3PyYfvk6RhtnG8bdA5hKzA9AhuWBCodq8cDqLIouBiaHX1KPQqYHu31LC3Ox4kwVxjSwGNooGLKyBdFm2mJSvCfL1nQ5vyzjo9weAnzWQeLP-rAfPrmX8FPUX9yKDJS_3JQ3B4sDXjOs_BsVy-H96q44DuP9UMzrKQPD-HpVlkKtgc4dtbtFfAY7ap845cUWj9qob0A&amp;amp;lib=M-zdWbhavtdZ1B_W2dnFDM0qoVt4lWzJ-"&gt;here&lt;/A&gt;.
&lt;/BODY&gt;
&lt;/HTML&gt;
</t>
  </si>
  <si>
    <t>TbTXFeZYbHJwT2PUQTfy</t>
  </si>
  <si>
    <t>18610-A</t>
  </si>
  <si>
    <t>8F00250529210026</t>
  </si>
  <si>
    <t>FITLOG TRANSPORTES E LOGISTICA LTDA / (048) 996277956Informação Adicional: Condição especial acordada com o cliente, aprovada pelo Mário
Frete CIF até São Paulo Capital
Redespacho: JNR LOGÍSTICA (Travessa Manoel Preto, 92 - Vila Guilherme -São Paulo SP)
(11) 29052500 / E-mail para nota fiscal: , E-mail de cobrança: , Telefone para contato
O REDESPACHO SERA FOB - TRANSP. AMC - CNPJ:04.767.841/0002-60 - END: R SLD. MANUEL F. GOMES, 25, CEP: 02.180-070</t>
  </si>
  <si>
    <t xml:space="preserve">&lt;HTML&gt;
&lt;HEAD&gt;
&lt;TITLE&gt;Moved Temporarily&lt;/TITLE&gt;
&lt;/HEAD&gt;
&lt;BODY BGCOLOR="#FFFFFF" TEXT="#000000"&gt;
&lt;!-- GSE Default Error --&gt;
&lt;H1&gt;Moved Temporarily&lt;/H1&gt;
The document has moved &lt;A HREF="https://script.googleusercontent.com/macros/echo?user_content_key=AehSKLgnhA7W1aPozdh9MjArtZUCsgStKs1B6dibEgCZsrac8CXwl5IfG4pnGzo8lLv0Nbh7nxdD7Z1KdzsxcKwtP7-ED_QpYMHKznkYmayTzViqda9Jg5ouXGrLTZwHsFPXEyH0X1Yn8kbYYK3byIQouq7ZnHkO2TCI1YIXFsd-aJr7fUXOFBZZei6dp-iexB5PWP39f2zBBqXSgRslGREkSY-cmWyE4P-DZJSTqejN_OgrnFOueoRN7j0AqGlserSk_meWhEkw75zSVLCoIc7qzkb3yUqjlzMorOJpVz77wGsdIRbjdNfkyaREtjpngA&amp;amp;lib=M-zdWbhavtdZ1B_W2dnFDM0qoVt4lWzJ-"&gt;here&lt;/A&gt;.
&lt;/BODY&gt;
&lt;/HTML&gt;
</t>
  </si>
  <si>
    <t>a-mvSk2FfSBGckmYsPlFBvw</t>
  </si>
  <si>
    <t>18610-B</t>
  </si>
  <si>
    <t>8F00250529210027</t>
  </si>
  <si>
    <t xml:space="preserve">&lt;HTML&gt;
&lt;HEAD&gt;
&lt;TITLE&gt;Moved Temporarily&lt;/TITLE&gt;
&lt;/HEAD&gt;
&lt;BODY BGCOLOR="#FFFFFF" TEXT="#000000"&gt;
&lt;!-- GSE Default Error --&gt;
&lt;H1&gt;Moved Temporarily&lt;/H1&gt;
The document has moved &lt;A HREF="https://script.googleusercontent.com/macros/echo?user_content_key=AehSKLjLtlrmT85ztyMM6cVtckx5xdF1oFhP91XWUhIl4vpQy_t6HEORCrL_rUrnZPfSypJZSK-4V9knlDi3649PEoXEmnKesJKup26kATOcsQKcHPCAuKUnwVdYtd9z4U66jJUuP_CPCLUWSRiv2dvf9SPOfTsAguA8luIKuPI1_Unpy0tINt8GTK1JIAKxm31XlZPJjuqTB-bjb7iODLmNXOJ7wfg4fI3AgKneMOAViSlIFntyaokdOZlx0c-ynQrgcxg3cDpMqDkzlxMpqg4Jk7VxR8qWVVkLk79ZF7p6LDAowckxBknINlQt_6toYQ&amp;amp;lib=M-zdWbhavtdZ1B_W2dnFDM0qoVt4lWzJ-"&gt;here&lt;/A&gt;.
&lt;/BODY&gt;
&lt;/HTML&gt;
</t>
  </si>
  <si>
    <t>4F2bVSnNKPnzPY6V3s7O</t>
  </si>
  <si>
    <t>18613</t>
  </si>
  <si>
    <t>8F00250329030011</t>
  </si>
  <si>
    <t>EXPRESSO SAO MIGUEL S/A / (051) 3586-2013Informação Adicional: favor corrigir o valor para R$7.700,00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</si>
  <si>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pjIJh5RJveBHzEdk43Zsgo4KmpfLVi5bTWseOLYPClrbgBMquw6xyp9bKsS-UgTpbENGEf8pRIQDDw8Ek8XPBX4Mn49uLJ_p44cy3Bn1CNpa1c40Wwo0t3uchWcSg6GlldO8pLKdpUYrGgMfQTd0jFERo1JNQ76_aA7VM99uIxxzCRr4aqLPzj2OJWbTWhPqJx5wUOEI0EjFxEwJ2vHCv6rI355c5hE8sjb53AUNNpPEOhXWIpmVKD5icULQmqjBydkm6P89z6tqCcWfNunKrP68ul56PAz0iEW-yt-p4Rn91MLpH8-kdVHqRNQ&amp;amp;lib=M-zdWbhavtdZ1B_W2dnFDM0qoVt4lWzJ-"&gt;here&lt;/A&gt;.
&lt;/BODY&gt;
&lt;/HTML&gt;
</t>
  </si>
  <si>
    <t>dTNFm6wET4GQK6nGzdzKDw</t>
  </si>
  <si>
    <t>18615</t>
  </si>
  <si>
    <t xml:space="preserve">&lt;HTML&gt;
&lt;HEAD&gt;
&lt;TITLE&gt;Moved Temporarily&lt;/TITLE&gt;
&lt;/HEAD&gt;
&lt;BODY BGCOLOR="#FFFFFF" TEXT="#000000"&gt;
&lt;!-- GSE Default Error --&gt;
&lt;H1&gt;Moved Temporarily&lt;/H1&gt;
The document has moved &lt;A HREF="https://script.googleusercontent.com/macros/echo?user_content_key=AehSKLhoScpk9Sd5QWkdbYBIp4b_OXHC0LVH6HZLdQK2R6aZH3LXlVh_UWDNYEpKpI6JRAnHwVvxH4unY4nhYpUhsfNaDiv0iT4TJwSuPtnt353SYrivAIRNlKSnEzhKpszNp8e0IkPaONJjugoH1CRAjeZmoWw6mPXsfcOeXG6chS_s_K3TqpVHl14NTT36G8qOddIFuo_BJBi0cHVjIVb7BfNH7HFI8yPhY_0llVr9IWIDAQ46BhE25BLBxzqbzTpYtVXjTBeTG43xO_i-6FpsWBHpcjCavM-jRhbONQSN39xZBNfuenIvkad43zHfpg&amp;amp;lib=M-zdWbhavtdZ1B_W2dnFDM0qoVt4lWzJ-"&gt;here&lt;/A&gt;.
&lt;/BODY&gt;
&lt;/HTML&gt;
</t>
  </si>
  <si>
    <t>YxZYT7W.TQe9Fug8aCMgXw</t>
  </si>
  <si>
    <t>18616</t>
  </si>
  <si>
    <t>8F00250706460004</t>
  </si>
  <si>
    <t xml:space="preserve">&lt;HTML&gt;
&lt;HEAD&gt;
&lt;TITLE&gt;Moved Temporarily&lt;/TITLE&gt;
&lt;/HEAD&gt;
&lt;BODY BGCOLOR="#FFFFFF" TEXT="#000000"&gt;
&lt;!-- GSE Default Error --&gt;
&lt;H1&gt;Moved Temporarily&lt;/H1&gt;
The document has moved &lt;A HREF="https://script.googleusercontent.com/macros/echo?user_content_key=AehSKLirLyEVH2CE-3Hjf6cyumhZD6qOnpvFNHKNiYpuW6KHm7xCe4JdAZGVQULfnKTkRVxDg4G3o-U3Hk_NNzedYHLTlbEVsqMxIIY6yXC5bJwoFJ8aUltuCfic5xeh_aVwjXbZNm_opFQpyJ9FcosiBJFkVyPG5vHkt0QgU3k7kP6mD8WgnVveRe8a1vGscsOM1wn5vZ5_wN1FwvdkR1zdgd6QxhtthvZyWOBrC-Jt3vbIhrGqNvjieCf2DJ188_nAWIOOzSebUFuHAx91WRDlinw_3V-pqmQWGOIosrYur0JwPCReB7jNv-YEixVocg&amp;amp;lib=M-zdWbhavtdZ1B_W2dnFDM0qoVt4lWzJ-"&gt;here&lt;/A&gt;.
&lt;/BODY&gt;
&lt;/HTML&gt;
</t>
  </si>
  <si>
    <t>9WRULeSOQNSovnH-VtVdIg</t>
  </si>
  <si>
    <t>18617</t>
  </si>
  <si>
    <t>CONDOMINIO RESIDENCIAL SAINT RAFQA</t>
  </si>
  <si>
    <t>3A TRANSPORTES</t>
  </si>
  <si>
    <t>lyv4a66 - FITLOG - rodolfo gilz steffen - 05148902906 - mbenz / carga caminhao / branca  / 1997</t>
  </si>
  <si>
    <t>FITLOG TRANSPORTES E LOGISTICA LTDA / (048) 996277956Informação Adicional: REDESPACHO: 3A TRANSPORTES Rua Alexânia, 847 - Cumbica, Guarulhos - SP - CNPJ:14.898.432/0002-57 / Obs.Interna: VENDA INDICADA AGUAS E VAPORES (5%) - FT240 TRIF 380 V - COM WI-FI
Difal R$5.036,090  11%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</si>
  <si>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grtvM0xlJ7Mi9nJZ8keMpHvmCy78i-13h_GaTjP1q811-aTY_I4-aBhO_m-0rbMtOtQJBgSFHJ_e9JAjrSu2JNp5BKKfcXI5Ubd0pxjuIbtHKiALJL4TYukgQZtRZWRK21nZ_XPDBqd7l-o9o_BJJIfACERu6JLAtpuZhLytUHPtsFYO5kOLCo--xb2y6v-0P7LNSfkTqKOVhYY4E2XLcUwQueQCH3P4d5g2y1l4D2Q-Jn4pgUpHbquf_lVPLKZCYMLhEiKuk3VCu-QFFQGUwPavm-Eupyyy551UUibFq5karECE-JR9q-FTExg&amp;amp;lib=M-zdWbhavtdZ1B_W2dnFDM0qoVt4lWzJ-"&gt;here&lt;/A&gt;.
&lt;/BODY&gt;
&lt;/HTML&gt;
</t>
  </si>
  <si>
    <t>TI2WqUWhRlepXCBmumuq1g</t>
  </si>
  <si>
    <t>18619-A</t>
  </si>
  <si>
    <t>8F00250329030004</t>
  </si>
  <si>
    <t>IRH1E11 - TW - FABIO DE LIMA - 91069114987 - VW / 8.150 E DELIVERY PLUS / BRANCO / 2010</t>
  </si>
  <si>
    <t>EXPRESSO SAO MIGUEL S/A / (051) 3586-2013Obs.Interna: 30/60/90/120/150 ds .
Mario autorizado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</si>
  <si>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GqgwZE6DDLHvtjpHv7P3kTrr39Uoxd9WMri0O7FEx6SzQMEafjoPYlPyXJuGH95ZNFXwsYB19aQ1OSuA_qYwKnDbFJTlr1lzWG9nsKyboCXp0weQshLn-gUTay1VRGc7u_vO3YlYNQFkaOsODdJ72s1bZEV-8IlAnERVIYHtD8LfxLVkf1iPxKfFOUpChUWF_XLSs1IAsZvkRXesjpPX19_zGLXE9pzxGl6FGSvkMKPiYT3Qj0KC7WfQs4KwF94QnlQI3oJUgNMR1iftcXXkNNhYjyo6A482PlQ4Inv0lPLLApkWbJT3H3PQ45Q&amp;amp;lib=M-zdWbhavtdZ1B_W2dnFDM0qoVt4lWzJ-"&gt;here&lt;/A&gt;.
&lt;/BODY&gt;
&lt;/HTML&gt;
</t>
  </si>
  <si>
    <t>6aGQlN7NJCLEB1eQ0j7K</t>
  </si>
  <si>
    <t>18619-B</t>
  </si>
  <si>
    <t>8F00250329030007</t>
  </si>
  <si>
    <t xml:space="preserve">&lt;HTML&gt;
&lt;HEAD&gt;
&lt;TITLE&gt;Moved Temporarily&lt;/TITLE&gt;
&lt;/HEAD&gt;
&lt;BODY BGCOLOR="#FFFFFF" TEXT="#000000"&gt;
&lt;!-- GSE Default Error --&gt;
&lt;H1&gt;Moved Temporarily&lt;/H1&gt;
The document has moved &lt;A HREF="https://script.googleusercontent.com/macros/echo?user_content_key=AehSKLje7uuHw3ObaCFJgvAvzqWY7xhluavLp-lUK91EbKwj76SKIo9dXcspZdt71-wmlznJ1LWf1sIYNpY1FdMAdUqytXXAIKmAn_3Qkttat0-6HtcIZgdmszsduLXUOD3P35ZEVUkJxkaM8LrJEKxENKQhyjJzdaq1zOWGUhSH6cINY8FAlMwxxyMzt_nKPBJCuqWKXnv7GNsR_as-CRtfuXnkLvdGoh1DxA6O-_s-a-Ipw8SbLz88Y2gLQqGXj86Jq8Egs5pOnHo9udWY-PkSpuWEE7Apgn5I7kLchN36vEBZ9sjbU-iwXjXX9_UFpQ&amp;amp;lib=M-zdWbhavtdZ1B_W2dnFDM0qoVt4lWzJ-"&gt;here&lt;/A&gt;.
&lt;/BODY&gt;
&lt;/HTML&gt;
</t>
  </si>
  <si>
    <t>25o0PkijM5anNJSGIOlK</t>
  </si>
  <si>
    <t>18619-C</t>
  </si>
  <si>
    <t>8F00250329030005</t>
  </si>
  <si>
    <t xml:space="preserve">&lt;HTML&gt;
&lt;HEAD&gt;
&lt;TITLE&gt;Moved Temporarily&lt;/TITLE&gt;
&lt;/HEAD&gt;
&lt;BODY BGCOLOR="#FFFFFF" TEXT="#000000"&gt;
&lt;!-- GSE Default Error --&gt;
&lt;H1&gt;Moved Temporarily&lt;/H1&gt;
The document has moved &lt;A HREF="https://script.googleusercontent.com/macros/echo?user_content_key=AehSKLiZ9Xa3A6xyZ3M2F70CiPKC8xQojh2nA82YP7L5N73wFVrO-to6Ubqz61MDr9pOqDDv9bWyQZKVDgaSYYfouq4gjKt0Lw6aasj0AOpHdK-qB7lWXvjYqN0_YNHnYx23Kdso0AGhTM-BMXM3Xd8fhN9GgqhNLBPEImB3Tkon54Yb3e862i06lvo5B4DBmSyj1q7Rb671jf63OSLWXa3w6BvsZN7K5kdySZDCGMrBO-iKclgFPllBZBtR3FqFJ4P8KFYsA-iqP-efFp-FFO-PeYrYTUrZgHG0HF1c3E5Hm7Sg6aYEoJHP5Iu-LcZv6Q&amp;amp;lib=M-zdWbhavtdZ1B_W2dnFDM0qoVt4lWzJ-"&gt;here&lt;/A&gt;.
&lt;/BODY&gt;
&lt;/HTML&gt;
</t>
  </si>
  <si>
    <t>2O5.5m6wSX6EEbfM.P-z.w</t>
  </si>
  <si>
    <t>18619-D</t>
  </si>
  <si>
    <t>8F00250329030006</t>
  </si>
  <si>
    <t xml:space="preserve">&lt;HTML&gt;
&lt;HEAD&gt;
&lt;TITLE&gt;Moved Temporarily&lt;/TITLE&gt;
&lt;/HEAD&gt;
&lt;BODY BGCOLOR="#FFFFFF" TEXT="#000000"&gt;
&lt;!-- GSE Default Error --&gt;
&lt;H1&gt;Moved Temporarily&lt;/H1&gt;
The document has moved &lt;A HREF="https://script.googleusercontent.com/macros/echo?user_content_key=AehSKLgtkjs1qz4lSuSjHTiYjuS8zrF7HIm2K2iFyfehK98wGJaWDvQM9wemo9LPiuzVxJHKwAVnhReclBnHaoELm-3Hwqu5noXhpjLOnQTBa94D5V97LDQdAZVr9SWtiK6jWaai286jKN1x0Cgezvz96b8vX1FPG2FTvpz74m_I7MWcH4cuISuYoPiiX6ab0dZb2kedTZtH_GolCkw0d5KKBe6usK8tOZgg3agL9in6H5B6IPDBnA0r1guKZ_kSlXw9vqulPJk20Wv02I4vQ8QvBrcE_zT_gL9_vhpuGZJtlIDPcT0acMlbMKopq2yO4A&amp;amp;lib=M-zdWbhavtdZ1B_W2dnFDM0qoVt4lWzJ-"&gt;here&lt;/A&gt;.
&lt;/BODY&gt;
&lt;/HTML&gt;
</t>
  </si>
  <si>
    <t>Fn9U1rxGSZ5BvPsufrYR</t>
  </si>
  <si>
    <t>18619-E</t>
  </si>
  <si>
    <t>8F00250329030008</t>
  </si>
  <si>
    <t xml:space="preserve">&lt;HTML&gt;
&lt;HEAD&gt;
&lt;TITLE&gt;Moved Temporarily&lt;/TITLE&gt;
&lt;/HEAD&gt;
&lt;BODY BGCOLOR="#FFFFFF" TEXT="#000000"&gt;
&lt;!-- GSE Default Error --&gt;
&lt;H1&gt;Moved Temporarily&lt;/H1&gt;
The document has moved &lt;A HREF="https://script.googleusercontent.com/macros/echo?user_content_key=AehSKLj7f-X8r-rjs0tuD7hD7RBESgO2sWUkM3a2FsRwhnIAzdkU6YtnERPihYe-Z_ydSLZlcGwFXbTaga7BkQsXc_QbfmW-SFw_VJvULFwJddjhFao7RtaQMl8zHajHUM888fIlWbsgo4a5sjASfbTPAQLKjmcIbVHHDev4EuVuNYavml_QWwT2QJY_y8W7C5iF4HfuZbO5Vzmb7ByYNTyswQvUXjdR_2VuG3MD7Hw4EwcIH2RdHFXuwCXxa4-Grj-fwHo1OHzj8uvSRKwhbLnIPJJTbuPGsfA5790r7Bx9KUdB3tgEhnKnkww9_U1TlA&amp;amp;lib=M-zdWbhavtdZ1B_W2dnFDM0qoVt4lWzJ-"&gt;here&lt;/A&gt;.
&lt;/BODY&gt;
&lt;/HTML&gt;
</t>
  </si>
  <si>
    <t>bx91Ux9AyxR2LhmbksgI</t>
  </si>
  <si>
    <t>18619-F</t>
  </si>
  <si>
    <t>8F00250329030009</t>
  </si>
  <si>
    <t xml:space="preserve">&lt;HTML&gt;
&lt;HEAD&gt;
&lt;TITLE&gt;Moved Temporarily&lt;/TITLE&gt;
&lt;/HEAD&gt;
&lt;BODY BGCOLOR="#FFFFFF" TEXT="#000000"&gt;
&lt;!-- GSE Default Error --&gt;
&lt;H1&gt;Moved Temporarily&lt;/H1&gt;
The document has moved &lt;A HREF="https://script.googleusercontent.com/macros/echo?user_content_key=AehSKLh_0d2PZBth9o5RGWYt1MxRzUo573BWMdOJ1eslg8x1Hy5eTlK5JuOO1RxCTiir0dOxQsfJhtTDbnSRmhPf9IUXODGVLx3jf70CfAbDQZHTCSaspFs94Pe0g6Ew1mIbERLEU-meFWSIn2L4tOM20B-Td2gqn4ZqLLaV6ta1Tb7JmvwCgPJ9mV9N7I2bnCWz2LGadEad0GhBbAYEy3iKenbFHqmzZ0wmcxkG3_Z4PJmSluUgp816ANk45KJ4ogMD7KwcB31LOEmdLDegDHQx07HeHHK5r6RgtYwUE-3ZZZgmqGTkvFcMOzkGcuZoWQ&amp;amp;lib=M-zdWbhavtdZ1B_W2dnFDM0qoVt4lWzJ-"&gt;here&lt;/A&gt;.
&lt;/BODY&gt;
&lt;/HTML&gt;
</t>
  </si>
  <si>
    <t>E1GFzntjmO6m04F6pfll</t>
  </si>
  <si>
    <t>18621-A</t>
  </si>
  <si>
    <t>HIDRAULICA CATETE - INSTALACOES PREDIAIS, BOMBAS E MOTO</t>
  </si>
  <si>
    <t>FITLOG TRANSPORTES E LOGISTICA LTDA / (048) 996277956Informação Adicional: Máquinas do Sesc Nogueira Petrópolis/RJ. Valor da máquina autorizada pelo Carlos. / Obs.Interna: Máquinas do Sesc Nogueira Petrópolis/RJ. Valor da máquina autorizada pelo Carlos.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</si>
  <si>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MotUXX959tZKdPe1_ibbaM46ECFkUctt64nhmpLxgCFnZyAo5wHdpZ05pYrpKjRtoGwPWOzHTo1Qu1HxFLTYk7DYGUN1R5t4CllJIsMdR7CjzMj1rlBS_DKsnszFC_dm3hlJsw8At4pGZuyrLJFODvJD29Q0f7UrC-XGsi6dbqIGeno_XG2RVequxZHG9v89guQmpZL-_TRCErZgJLw2Sq3Wb_s8VsClSmY2mHZGRAjvGB33JxnZxPpLY4o6P2XKdXS1NzOmydylGT60Kk9qd3Kj8jiPkJVI2omaBKJpgCXxC-tsKOLi0PMAjVg&amp;amp;lib=M-zdWbhavtdZ1B_W2dnFDM0qoVt4lWzJ-"&gt;here&lt;/A&gt;.
&lt;/BODY&gt;
&lt;/HTML&gt;
</t>
  </si>
  <si>
    <t>5BNpNw9oTYOSJuFGZWHGrw</t>
  </si>
  <si>
    <t>18621-B</t>
  </si>
  <si>
    <t xml:space="preserve">&lt;HTML&gt;
&lt;HEAD&gt;
&lt;TITLE&gt;Moved Temporarily&lt;/TITLE&gt;
&lt;/HEAD&gt;
&lt;BODY BGCOLOR="#FFFFFF" TEXT="#000000"&gt;
&lt;!-- GSE Default Error --&gt;
&lt;H1&gt;Moved Temporarily&lt;/H1&gt;
The document has moved &lt;A HREF="https://script.googleusercontent.com/macros/echo?user_content_key=AehSKLjx2nVfnb9-WreeuhCwL9aQ88ArF-WeMD_pgbSulb6G2r-HP2U-rF28qKSp4N1itCSglkOxvREBGgvWL0t7HQZR2kTbgLJ72kFYnEOqjQ2uAQZRli2D4QIqUp2PM39g6hSMuOH4buSYA1Rrn8CWDRtgyDoAjBwedf_p92nZOkdsRm_wXk73O7aempXE2pN3OqkPTMc8oR8i9dtfEh6rQ_VRdj1grsXjn0NJf2XJgPTQu-YpmXq-f_gvgMV_Octd-dK7Qce7pBdg7E2P5d7kP5b6m-tjCkubtfxH2aGbQ2BP6hdLw44ROwxevEj__A&amp;amp;lib=M-zdWbhavtdZ1B_W2dnFDM0qoVt4lWzJ-"&gt;here&lt;/A&gt;.
&lt;/BODY&gt;
&lt;/HTML&gt;
</t>
  </si>
  <si>
    <t>W1doVoCbNKUNpGbq9yP9</t>
  </si>
  <si>
    <t>18621-C</t>
  </si>
  <si>
    <t xml:space="preserve">&lt;HTML&gt;
&lt;HEAD&gt;
&lt;TITLE&gt;Moved Temporarily&lt;/TITLE&gt;
&lt;/HEAD&gt;
&lt;BODY BGCOLOR="#FFFFFF" TEXT="#000000"&gt;
&lt;!-- GSE Default Error --&gt;
&lt;H1&gt;Moved Temporarily&lt;/H1&gt;
The document has moved &lt;A HREF="https://script.googleusercontent.com/macros/echo?user_content_key=AehSKLiRckwf1BKKohg8AMkvxr5vype_4eX9x5_I_F_gg6K7aA_unn2LkPU9PyEgF-jEuL0caUCDwnPywZQl7P8rTwC4hUkUxVieUCrlusI_Y4MSmjvpgJ7BEGIZDs4spX_VrnWQF8EwKLOOBttbY_xWJtLeC4flAMSS8TH2XafcUvltOOz_2VNwhB12X-oVuyUnS1xSXClse2QUqucimGliCi8dTWoCScROCqcJQyRakm6PmCwI5jmcgdPopsGfUHnZRAHICkFR7l_TBWmCp09-fGchoyc4K5Wsa9uJwV-YM5E_se-rgsxix1dRvn9tdg&amp;amp;lib=M-zdWbhavtdZ1B_W2dnFDM0qoVt4lWzJ-"&gt;here&lt;/A&gt;.
&lt;/BODY&gt;
&lt;/HTML&gt;
</t>
  </si>
  <si>
    <t>X9F4ynhVQVogAnG6CJbA</t>
  </si>
  <si>
    <t>18622</t>
  </si>
  <si>
    <t>OUTUBRO
FITLOG TRANSPORTES E LOGISTICA LTDA / (048) 996277956E-mail para nota fiscal: , E-mail de cobrança: , Telefone para contato</t>
  </si>
  <si>
    <t>8bF7brzUTae7iXQpFEYAdQ</t>
  </si>
  <si>
    <t>18623</t>
  </si>
  <si>
    <t xml:space="preserve">&lt;HTML&gt;
&lt;HEAD&gt;
&lt;TITLE&gt;Moved Temporarily&lt;/TITLE&gt;
&lt;/HEAD&gt;
&lt;BODY BGCOLOR="#FFFFFF" TEXT="#000000"&gt;
&lt;!-- GSE Default Error --&gt;
&lt;H1&gt;Moved Temporarily&lt;/H1&gt;
The document has moved &lt;A HREF="https://script.googleusercontent.com/macros/echo?user_content_key=AehSKLh6sKQz5xcdRe_-WsM-9n4Qt909FfLm4T_2tk99l2FqyNWcxSaR_VAMpYcIeJxmfYlSWqFRFmhLhjf1VKJOfYJolD6w7mXutqBf5zjYurUJPWzKdpw081XD2Hybk9mwb62Y1whg1Y8HgihnE2VGOdPCAC5YNMJ1uAHT4kKcT8NiWUXG4U8PsMdHgsfFAPqZt2Qnl7OAnmHo_c_eusfvL8vQltQpBnpRZkhT82lvgk_D-Oc4dfZTUKLXVK6R2sWizhoQC6ez9Jrh68JqDdG3Hy5lQfJ6tXyif-FNDag3O5S2oOyMZ8xwvhjl_wo1DA&amp;amp;lib=M-zdWbhavtdZ1B_W2dnFDM0qoVt4lWzJ-"&gt;here&lt;/A&gt;.
&lt;/BODY&gt;
&lt;/HTML&gt;
</t>
  </si>
  <si>
    <t>hOoVGiOsRkeAkq72FiDqYg</t>
  </si>
  <si>
    <t>18624-A</t>
  </si>
  <si>
    <t>BhwC-KFpQPStiqkikR5SQw</t>
  </si>
  <si>
    <t>18624-B</t>
  </si>
  <si>
    <t>BDqjoNnvQF0SYbtsQtwD</t>
  </si>
  <si>
    <t>18626</t>
  </si>
  <si>
    <t>ACEVILLE TRANSPORTES LTDA / (0) Informação Adicional: deposito a vista dia 01/10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</si>
  <si>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6kJluBFxEgbDb25jtuwBtKFzSl4InABpwFZHW7X5pyOD1NzkdnUOfcA4_1KAYObRE0iN5yrjYGx8-yA3HIAMl_r9leCzqa_X-GzJnksMJWceIgL_pR2XNk2QdnoMC8iSgNnZ-RANO2AfIjWk7ElRqerRO_x3lv8EILgQISzQWYOtX2MZ6no92sFIdbD5hw156XICNZUaGJaGBDmTbuD-4fGbtoedF09D6-hD_cI9pJTe9EXY2Rp6VR4D6cc_Sdukoe7qRi9miBctxRsOmVy0o40BqXP87RXiZYLnUbBKvkob4o_ZXFv7raBKuwg&amp;amp;lib=M-zdWbhavtdZ1B_W2dnFDM0qoVt4lWzJ-"&gt;here&lt;/A&gt;.
&lt;/BODY&gt;
&lt;/HTML&gt;
</t>
  </si>
  <si>
    <t>oP-GaX6HSF6gfXybaplBHA</t>
  </si>
  <si>
    <t>18627</t>
  </si>
  <si>
    <t>8F00250529210029</t>
  </si>
  <si>
    <t xml:space="preserve">&lt;HTML&gt;
&lt;HEAD&gt;
&lt;TITLE&gt;Moved Temporarily&lt;/TITLE&gt;
&lt;/HEAD&gt;
&lt;BODY BGCOLOR="#FFFFFF" TEXT="#000000"&gt;
&lt;!-- GSE Default Error --&gt;
&lt;H1&gt;Moved Temporarily&lt;/H1&gt;
The document has moved &lt;A HREF="https://script.googleusercontent.com/macros/echo?user_content_key=AehSKLgG7s7Q6rVy0f00HdG7elX94sLNGQCruWPyS84yseNAS1c-DKbSmU3eNsDq2XtlBAxeTQ7IyAMfpLjz1ueYRNQmpchnRCNkcot_FoeTzZuezaieN_ynRqc0bEqKLOg392pbYfm6HauncLAozHSNsACB-9tzbT8C7_jSU8_Ijy5xj2NJL2FQqBQx68rPD_bLrksjqx2D3nlHuJrZjJL7p6r1FDSAiz-59twEDKqu7uEVkjbsTEb9QG8DBW1tQhYAT-4IXl2Ll90ENXNx8DhIV6ye1gTT5o6RDNMtFmX0k1iqes3umSBjMy5j4efXWg&amp;amp;lib=M-zdWbhavtdZ1B_W2dnFDM0qoVt4lWzJ-"&gt;here&lt;/A&gt;.
&lt;/BODY&gt;
&lt;/HTML&gt;
</t>
  </si>
  <si>
    <t>PN3QgyyJQiKFm6J0FDbkVA</t>
  </si>
  <si>
    <t>18629</t>
  </si>
  <si>
    <t>AGUIA LAGOON</t>
  </si>
  <si>
    <t>EXPRESSO SAO MIGUEL S/A / (051) 3586-2013E-mail para nota fiscal: , E-mail de cobrança: , Telefone para contato
Redespacho FOB : DICA TRANSPORTES - CNPJ: 40.152.387/0001-16 - END: AVENIDA SERRA BRANCA - CEP: 07224050</t>
  </si>
  <si>
    <t xml:space="preserve">&lt;HTML&gt;
&lt;HEAD&gt;
&lt;TITLE&gt;Moved Temporarily&lt;/TITLE&gt;
&lt;/HEAD&gt;
&lt;BODY BGCOLOR="#FFFFFF" TEXT="#000000"&gt;
&lt;!-- GSE Default Error --&gt;
&lt;H1&gt;Moved Temporarily&lt;/H1&gt;
The document has moved &lt;A HREF="https://script.googleusercontent.com/macros/echo?user_content_key=AehSKLgldzq6IUW3Sq3ESQYb_21KvFHi6AxnKQbyyTeJmL5xcxaP6sYr7znPKArJSTBx-r_Mmplna348ckNfsCtcYSxKXgCPuwvFx04gJ9iWyIuFc6OIzZu5MJoOkRsS9T8zv2vNz4JQuMg6rdcHyiAi10zyFFYgkbV8-Go9xaUBZ6m6agY54gF4PU8jeY9Uuwhhe8Iwy8EVn7phr7mmipsxYtmtPS_-_yIxBUTtiUpa6STV_aM3oty4IEJLv9SlfyAckyMStHDH1UbiXTssv3kBrhdM48gbG2-Y7DdaSb9zgRGgO-Osj3a0h8ojYF6ZEg&amp;amp;lib=M-zdWbhavtdZ1B_W2dnFDM0qoVt4lWzJ-"&gt;here&lt;/A&gt;.
&lt;/BODY&gt;
&lt;/HTML&gt;
</t>
  </si>
  <si>
    <t>ipg.LXDER3KiDhAoe35A2w</t>
  </si>
  <si>
    <t>18630</t>
  </si>
  <si>
    <t>8F00250329030010</t>
  </si>
  <si>
    <t>FITLOG TRANSPORTES E LOGISTICA LTDA / (048) 996277956Informação Adicional: PREÇO A VISTA PROMOÇÃO ( $ 7,700 ) / Obs.Interna: PREÇO A VISTA PROMOÇÃO ( $ 7,700 )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</si>
  <si>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4Fa09E0OE0b_UQ-zfuNeWH_kzO_RybrgqYnb1sKI8zrES9hoFIxyQh2euRgUTPgzikz8rs5m8QTXlOiVZVbZcVpYIhk823RSGsa7C8fE0MhXYb6HjRbhVY7rWYr3gINjvnhMGhk6fctz1LkTmBKpLHxivfyI6tJj2VAquXCKgSzGQJh5hgtCqTcezhFmzbY8mCjlpGgH5aaL7aQc6o8ELbgPz-vxMgjnmvHFsystY8bOz1cs5FGJVpFf_EFNFIqI4uIb9LW3SSUYZCLYLlmOUXUdj3ePYshPqUUxbI03Lx_MluAktLQYalxeZCg&amp;amp;lib=M-zdWbhavtdZ1B_W2dnFDM0qoVt4lWzJ-"&gt;here&lt;/A&gt;.
&lt;/BODY&gt;
&lt;/HTML&gt;
</t>
  </si>
  <si>
    <t>s4y2EcRcSOSN1TLWtnaKNw</t>
  </si>
  <si>
    <t>18631-A</t>
  </si>
  <si>
    <t>8F00250329030025</t>
  </si>
  <si>
    <t xml:space="preserve">&lt;HTML&gt;
&lt;HEAD&gt;
&lt;TITLE&gt;Moved Temporarily&lt;/TITLE&gt;
&lt;/HEAD&gt;
&lt;BODY BGCOLOR="#FFFFFF" TEXT="#000000"&gt;
&lt;!-- GSE Default Error --&gt;
&lt;H1&gt;Moved Temporarily&lt;/H1&gt;
The document has moved &lt;A HREF="https://script.googleusercontent.com/macros/echo?user_content_key=AehSKLi_T6uced9M3IuecFSTMO31E1uwZ8Dq5VriN7GiFkGBAho7r0kQM3lAFDXfBhDQ9kG6VPRtS5pmoFc2FfqZB_p3Tsxg4sjJJ4S1VPYrT3wn9KG9r_txjFezMqG6-Iq2P-HJvsSG1eUdNVES3N0qQfy4OKs-YxwNiceQq6LS1HLH0XN5QywUtjx8zmKoRWkJ20EAvdZQ0VkNdZgl8V5vwtNK1q5MnYTkHbxzYoditHYP5OfQ6AhXxIQUAp5cjsHHeW57phcZanTZ9-dkphCcNy3V2ZzXL2tyDSVb7_gMVaGelXmbiM0oF3MZjNGspw&amp;amp;lib=M-zdWbhavtdZ1B_W2dnFDM0qoVt4lWzJ-"&gt;here&lt;/A&gt;.
&lt;/BODY&gt;
&lt;/HTML&gt;
</t>
  </si>
  <si>
    <t>2Wrsc4S4TtO0ggkr.rAeYA</t>
  </si>
  <si>
    <t>18631-B</t>
  </si>
  <si>
    <t>8F00250329030024</t>
  </si>
  <si>
    <t xml:space="preserve">&lt;HTML&gt;
&lt;HEAD&gt;
&lt;TITLE&gt;Moved Temporarily&lt;/TITLE&gt;
&lt;/HEAD&gt;
&lt;BODY BGCOLOR="#FFFFFF" TEXT="#000000"&gt;
&lt;!-- GSE Default Error --&gt;
&lt;H1&gt;Moved Temporarily&lt;/H1&gt;
The document has moved &lt;A HREF="https://script.googleusercontent.com/macros/echo?user_content_key=AehSKLh651QphvQqq95gYWCe--Uf7VjEIAuVOIMiq_hqParllt1VLju0tTQDEoe_nN-_KuZOGqmpeeLH-r5Akh8c9IR62N2MbqdmX_JiRRyECJlihyqghzxMEVmUAmLWobpTRF33Ip-8ivlwwUXaGtHddHteNc0uLDYghMxy-6tFBQfbDwAZOxZkYmo2QNbqIU2dmznyC3CHlmXdAqlSyvAJqiPmE9E6ZUdCrAsF6gmwjU-O7BGMzh3UPqDtmL5LSMpfrGrRNA6HNt7OeByZfGYNOx3wnevIZGfT53oE262pMBx3TivhgFgkEaE-vGKqEA&amp;amp;lib=M-zdWbhavtdZ1B_W2dnFDM0qoVt4lWzJ-"&gt;here&lt;/A&gt;.
&lt;/BODY&gt;
&lt;/HTML&gt;
</t>
  </si>
  <si>
    <t>3OQ1Bb71lwGcVbWjEUC2</t>
  </si>
  <si>
    <t>18632-A</t>
  </si>
  <si>
    <t>ACEVILLE TRANSPORTES LTDA / (048) 99823-5770Informação Adicional: ABATER VALOR DO CONTRATO EM VIGOR  / Obs.Interna: Guilherme -Liberar essa que está no estoque de segurança .  / E-mail para nota fiscal: , E-mail de cobrança: , Telefone para contato</t>
  </si>
  <si>
    <t>b.2PTuEDRHeg8NxjYpGvig</t>
  </si>
  <si>
    <t>18632-B</t>
  </si>
  <si>
    <t>wDDsoBNZf5UJSOxHeMvd</t>
  </si>
  <si>
    <t>18633-A</t>
  </si>
  <si>
    <t>8F00250804020019</t>
  </si>
  <si>
    <t>ACEVILLE TRANSPORTES LTDA / (048) 99823-5770Informação Adicional: ABATER DO CONTRATO DO CLIENTE EM VIGOR  / Obs.Interna: liberar em 10/10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</si>
  <si>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x2W7_Px5jRkI6523w9i1DefEbnykd9XI8vKwohZqtg_SPWfTMLiy8pMUaY7umYd63JmAjdS_rlhiwAnYcXrWpwVABeJn8p1bD1x97Vz_ROc3IluEPwGfci6MWWS-DjtnrgVKWBD-Pwx2cuZHbuvMzr4yyk853MYNyHDWhTzEKGehJEjeaka425DU3wBAk-RputOsUxUBG_y_oS-rEcyCW_cwCRy9BJ_KSCYkgz4Ka_YIuNkO54UaUaUoE_mwwezE3vbBCA3caTR0voEV-os6U9w5DhJQtiyt0gl-j9ThHYdY4EMip27oyRmwLBg&amp;amp;lib=M-zdWbhavtdZ1B_W2dnFDM0qoVt4lWzJ-"&gt;here&lt;/A&gt;.
&lt;/BODY&gt;
&lt;/HTML&gt;
</t>
  </si>
  <si>
    <t>idwZ5jgPTNWU54j3XoHIKg</t>
  </si>
  <si>
    <t>18633-B</t>
  </si>
  <si>
    <t>8F00250804020024</t>
  </si>
  <si>
    <t xml:space="preserve">&lt;HTML&gt;
&lt;HEAD&gt;
&lt;TITLE&gt;Moved Temporarily&lt;/TITLE&gt;
&lt;/HEAD&gt;
&lt;BODY BGCOLOR="#FFFFFF" TEXT="#000000"&gt;
&lt;!-- GSE Default Error --&gt;
&lt;H1&gt;Moved Temporarily&lt;/H1&gt;
The document has moved &lt;A HREF="https://script.googleusercontent.com/macros/echo?user_content_key=AehSKLjucyiP9EMEo2BsTdcytt5rrU7nMfzamMkGKxCxyeLpaH2NOLV39dB0c-xG-gP7a4OSOGiGb7NT2S6m0Hc0rLBctQ-czDLTAyAg85EF8jzF_VXS_jR5Dj1wS2LVPp4Y9pFyUVCCKdCGOybmIhc0LMPufal8EgRxFBUzNmG5hedMAehIwgSviO-f4BdXmt6VgyDXXP0uAOVUKtzA_rqSs2TMcS-V1x39e3F1aUBF0oSx8v8JCVsgUh2je4oX2K_1XvcXlbRo28llc3OruFW3f-0DnkVKzFE9B2NnHukhZWqxRNcw_tf3YQrNken4LA&amp;amp;lib=M-zdWbhavtdZ1B_W2dnFDM0qoVt4lWzJ-"&gt;here&lt;/A&gt;.
&lt;/BODY&gt;
&lt;/HTML&gt;
</t>
  </si>
  <si>
    <t>gIvZ4jfgGAN9LRTVpCJt</t>
  </si>
  <si>
    <t>18635</t>
  </si>
  <si>
    <t>8F00250526320006</t>
  </si>
  <si>
    <t xml:space="preserve">&lt;HTML&gt;
&lt;HEAD&gt;
&lt;TITLE&gt;Moved Temporarily&lt;/TITLE&gt;
&lt;/HEAD&gt;
&lt;BODY BGCOLOR="#FFFFFF" TEXT="#000000"&gt;
&lt;!-- GSE Default Error --&gt;
&lt;H1&gt;Moved Temporarily&lt;/H1&gt;
The document has moved &lt;A HREF="https://script.googleusercontent.com/macros/echo?user_content_key=AehSKLjM8WhmCQa3PewGDU0q2wEWkd12xWzugY_b6HB2R-Xro8aYqin3xSTfLL-NCDgiRiG6ajwDwDkOKfdkC99A5C9w4hj9TLQDM1AIRZiVVh_MAVucD--9vYh1oGKJPhR2g3Gqv_2UtEW5c8k7mnXuwmamPlsnvpWqOSQ7Jy91fdz_YxgQEGhl7ObwOHv0eTz8uWJt5CGv1lQSszlXXZdkftK_B04PtbybbA9ANjrCp6n9IWCCogIX0w4kijTwqijuSY4AALM2YG_Fiz0GQbuJtDK4UVIh9yAuO3XOjStr8MrFP3PSYTuwsbTjtk5Xjg&amp;amp;lib=M-zdWbhavtdZ1B_W2dnFDM0qoVt4lWzJ-"&gt;here&lt;/A&gt;.
&lt;/BODY&gt;
&lt;/HTML&gt;
</t>
  </si>
  <si>
    <t>a-2jJSRopRPKkTFUynr.Zog</t>
  </si>
  <si>
    <t>18636-A</t>
  </si>
  <si>
    <t>20154</t>
  </si>
  <si>
    <t>FITLOG TRANSPORTES E LOGISTICA LTDA / (048) 996277956Obs.Interna: Mario- PRAZO 30/60/90/120/150 DS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</si>
  <si>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QA3jkgGmO0wB7aaNI4svMb06Po4oRbBJ24vk5vmfhe-OnvEdX73lq6V9AJz5iPASZJYbujcKHr_qOa2amCLytregjMU2yIPnBVBdRkH-Wevp2BR26RVWC5Cs_tZoVQKqgte7nKDakZ-tlltoIBAsk-EMLAEI4_aMEbj5GWVkUlYY15IZhW016ToMmVlTLc4bX-YeHY6LW6F6s_DupVn_ggSC_lFFQLxlumbz01Usfa0gPZKH-sd_fnuuiB18Wrryma60ywzCuHo3aaUcRrOqUZMaWwxdNNX52IEWc-YNNT6op_DoFlRN5j493pA&amp;amp;lib=M-zdWbhavtdZ1B_W2dnFDM0qoVt4lWzJ-"&gt;here&lt;/A&gt;.
&lt;/BODY&gt;
&lt;/HTML&gt;
</t>
  </si>
  <si>
    <t>TodRhcG9R4KjM3ptzJEalQ</t>
  </si>
  <si>
    <t>18636-B</t>
  </si>
  <si>
    <t>20153</t>
  </si>
  <si>
    <t xml:space="preserve">&lt;HTML&gt;
&lt;HEAD&gt;
&lt;TITLE&gt;Moved Temporarily&lt;/TITLE&gt;
&lt;/HEAD&gt;
&lt;BODY BGCOLOR="#FFFFFF" TEXT="#000000"&gt;
&lt;!-- GSE Default Error --&gt;
&lt;H1&gt;Moved Temporarily&lt;/H1&gt;
The document has moved &lt;A HREF="https://script.googleusercontent.com/macros/echo?user_content_key=AehSKLgRiNZMzLpYIpyfYc3opcs1CfNwrNUD6bzs8Kgw6IixxgrsEWyBdMKUrGhQT6oGGt8d-FutN12oQjQsIwqsBmbr9uSb5S4ruf9HBf2upVVpjoZIbXSDx9pypNOGvCV72f8pG-IXftyf48Cuoq91bxZLKeoEw6dW5RaiMU0b0354ec1mKUV4GdJsKl9SqvwqH72umvoMn7NeNdqU1yPXX7Ml7C3M1vMkS_PlzVP8w5N1gDRHBDsqWpYtUjOLGjfasn3LV6Lohwq1Stu8ovEvo26FYfiaOHfaPq5n3u92oigi0rlx-kFejaRTUGC8lA&amp;amp;lib=M-zdWbhavtdZ1B_W2dnFDM0qoVt4lWzJ-"&gt;here&lt;/A&gt;.
&lt;/BODY&gt;
&lt;/HTML&gt;
</t>
  </si>
  <si>
    <t>WLgVCP6OmL6BRo59cx2q</t>
  </si>
  <si>
    <t>18636-C</t>
  </si>
  <si>
    <t>20328</t>
  </si>
  <si>
    <t xml:space="preserve">&lt;HTML&gt;
&lt;HEAD&gt;
&lt;TITLE&gt;Moved Temporarily&lt;/TITLE&gt;
&lt;/HEAD&gt;
&lt;BODY BGCOLOR="#FFFFFF" TEXT="#000000"&gt;
&lt;!-- GSE Default Error --&gt;
&lt;H1&gt;Moved Temporarily&lt;/H1&gt;
The document has moved &lt;A HREF="https://script.googleusercontent.com/macros/echo?user_content_key=AehSKLhH7-t_1FwyFZj61T0QxdRFNfASmMY-XC7_-S3HAq4RZZtOZMCnwdLa9ASK1n3TGSjQw3UN6bythuWIltRy6_ICsR-21kXEBkrLoyc1U3qzXYdcUopVGpze0vEPLXfPEEMdj12W4Cqb4_MHWOEjo3IL-kV6Py5D__83Giqg2no7ZSRCOS8_rnkxUEhuprBEXuNbodb_niMtddcKD0nubj22OP4Nm0oc7RE5ob8isvpvKdU665zHzRAtKLCbH1cyrLCFjES7C51nCSOFP-P41Xh9YsfA0-WTzu5A-n9_INnw9mc9Y_yFbCdVbUKv2g&amp;amp;lib=M-zdWbhavtdZ1B_W2dnFDM0qoVt4lWzJ-"&gt;here&lt;/A&gt;.
&lt;/BODY&gt;
&lt;/HTML&gt;
</t>
  </si>
  <si>
    <t>HRJ0jmqWD6ZlBBPjtYRT</t>
  </si>
  <si>
    <t>18636-D</t>
  </si>
  <si>
    <t>8F00250529210032</t>
  </si>
  <si>
    <t xml:space="preserve">&lt;HTML&gt;
&lt;HEAD&gt;
&lt;TITLE&gt;Moved Temporarily&lt;/TITLE&gt;
&lt;/HEAD&gt;
&lt;BODY BGCOLOR="#FFFFFF" TEXT="#000000"&gt;
&lt;!-- GSE Default Error --&gt;
&lt;H1&gt;Moved Temporarily&lt;/H1&gt;
The document has moved &lt;A HREF="https://script.googleusercontent.com/macros/echo?user_content_key=AehSKLhnzIPjL3YJq1etd7_pNLsjB-NqynpxXNIKEwDqoRb7nT9NmuuMHRr_PNPwKrcWgQQbgWIhhLjhQXo-roelkRlwqNCUP72KbQsvslcjzaDnptWcm9fyGq2XHiffbpsxRfb9Pf-lOGLzGWh9-1JLLSswvwnUM1Bco7vqkJKMse7rryFzmrcNoL-BhD6Umkra7GBpFcJ4qFzK-JsWRil37U4Ok4HwjAIKd2MIR5OdQ71rMn37w1dxJ4f5Q-iuLKvKivhXIY1M_5n9bzZB62kkU03Wx7CNKxO2i0Plr_j5CnOT1ai11n7lPH3QPGZuIw&amp;amp;lib=M-zdWbhavtdZ1B_W2dnFDM0qoVt4lWzJ-"&gt;here&lt;/A&gt;.
&lt;/BODY&gt;
&lt;/HTML&gt;
</t>
  </si>
  <si>
    <t>onMfeCq5AEOPqTTBSxDS</t>
  </si>
  <si>
    <t>18636-E</t>
  </si>
  <si>
    <t>8F00250529210030</t>
  </si>
  <si>
    <t xml:space="preserve">&lt;HTML&gt;
&lt;HEAD&gt;
&lt;TITLE&gt;Moved Temporarily&lt;/TITLE&gt;
&lt;/HEAD&gt;
&lt;BODY BGCOLOR="#FFFFFF" TEXT="#000000"&gt;
&lt;!-- GSE Default Error --&gt;
&lt;H1&gt;Moved Temporarily&lt;/H1&gt;
The document has moved &lt;A HREF="https://script.googleusercontent.com/macros/echo?user_content_key=AehSKLhLL1RwhgYfWEun0rPQp_4IsvvJeVxG_fwniqrAhXnqi7zFF94z_qeTbrIw4EmxcZB35JadoEJoNOSzOfdyHKZtoMeUJf-lK3MGRNk_caLITjK743xCb9gsHHgws3BGp38gZtegMCDDq3J_1FxHZoiKuTC2kpvQIjKtBWK8u_k9FZeABpZ_61AqaT61IHbxXrCYKcS8EhAQIl81KcC0gIDiiySSXG6PlddvtBQgb9YYsScuUgR5Dw7TtWLZYaue_pZgX1TbNYDYqqNXvpDQO7f_GVbE6wojvZcBOyjSYvsmTuLAu6kyE-GF3ihfqQ&amp;amp;lib=M-zdWbhavtdZ1B_W2dnFDM0qoVt4lWzJ-"&gt;here&lt;/A&gt;.
&lt;/BODY&gt;
&lt;/HTML&gt;
</t>
  </si>
  <si>
    <t>VACquGqBj6Up9JAIynEe</t>
  </si>
  <si>
    <t>18637</t>
  </si>
  <si>
    <t>20329</t>
  </si>
  <si>
    <t xml:space="preserve">&lt;HTML&gt;
&lt;HEAD&gt;
&lt;TITLE&gt;Moved Temporarily&lt;/TITLE&gt;
&lt;/HEAD&gt;
&lt;BODY BGCOLOR="#FFFFFF" TEXT="#000000"&gt;
&lt;!-- GSE Default Error --&gt;
&lt;H1&gt;Moved Temporarily&lt;/H1&gt;
The document has moved &lt;A HREF="https://script.googleusercontent.com/macros/echo?user_content_key=AehSKLg0l7WFiICM4sj0xPEEp6MMOvPtiLklXxG97mqF0HcouxdhMwRlLXpn-Cm-m4vvV6DK0gKCaB8UhD9MNZ1g5yoSOTGcBQjpnJHRHKB5C-Z4OcvC93T86-VwAbU0-dyVQ7GGGOphy1h8PvHbV6s6aw2KRZQiRXaChmPwFQusJ7zjNpSa_0pc7A_KYSV6RneXKN1jj-yolPv0WQxJI-ipWXITxtSEzlyZq8-o7X9gKUZqn2HgtFR1Uf_E_tw2IKrbKN-r6LZh-wv6jnjK9uH4r47ddxmU1OrwPv9ouTtE6XypoetzgcMu0e_gLeZunQ&amp;amp;lib=M-zdWbhavtdZ1B_W2dnFDM0qoVt4lWzJ-"&gt;here&lt;/A&gt;.
&lt;/BODY&gt;
&lt;/HTML&gt;
</t>
  </si>
  <si>
    <t>OW0uW9b8RhG607wiQRxr4g</t>
  </si>
  <si>
    <t>18639</t>
  </si>
  <si>
    <t>8F00250329030013</t>
  </si>
  <si>
    <t xml:space="preserve">&lt;HTML&gt;
&lt;HEAD&gt;
&lt;TITLE&gt;Moved Temporarily&lt;/TITLE&gt;
&lt;/HEAD&gt;
&lt;BODY BGCOLOR="#FFFFFF" TEXT="#000000"&gt;
&lt;!-- GSE Default Error --&gt;
&lt;H1&gt;Moved Temporarily&lt;/H1&gt;
The document has moved &lt;A HREF="https://script.googleusercontent.com/macros/echo?user_content_key=AehSKLjaVFb2l8cGH9oYqiQ5p32fPcR-H4QzVYblwbLVKPv8MMz9I1FWt_R8RYBSIYY0AxfrfFw12BXwURCbzoxJ3cBFiim9gx74s510C07Iq4ky5yuksbb2RD19XNlZ4XYJ0CIZVHram2VkkCDNec3Il14dwTNSl7jNpeo-FxZv1olkXIplr1lAWZ1l7WacyfIGQ0Utt5ovQk8y-NNUiqC-Fvm1gtXqrqMRSzrmgJAac7_R_hh_ixc2bPUhHus98qAblrMVlCNXawXmPEOx_i-LBnnadIATEaPK2nb02mFGZ-Edrz1oWrCN7ozNR4S7bg&amp;amp;lib=M-zdWbhavtdZ1B_W2dnFDM0qoVt4lWzJ-"&gt;here&lt;/A&gt;.
&lt;/BODY&gt;
&lt;/HTML&gt;
</t>
  </si>
  <si>
    <t>pRy3JkbeRGaYn9mxDSga8w</t>
  </si>
  <si>
    <t>18641-A</t>
  </si>
  <si>
    <t>8F00250329030014</t>
  </si>
  <si>
    <t>EXPRESSO SAO MIGUEL S/A / (049) 3361-6627Informação Adicional: PRAZO DE 30/60/90/120 / Obs.Interna: Mario-Autorizado 30/60/90/120 ds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</si>
  <si>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8jdv-uXottalidzCjggJ1QmcD3AUEvh3u8H2DixvaW30vHbvlF38sYf6cti2_Wn5lTENVixXJWuZIcaaJwXMka4tsk3W45-FKziWZbcbVXfj7-GEn1kntfVFeaRFcBQrY2O-GAqk8IWOn4xPNPSebiPa8H59nKFXj0mtt-UDoppWhGenD40xA-JrhvrnAztOkDSyA7M_N1lWP6AQSzdxpuzD5q_aer3ra_GoWkHz0vYOhKer1zzQetkXMmf_PO9mlszkp3-5WCtNWmeiJzIRAkuvt9ixYikHv60mVwBextfbBv439ywMQbIbOzA&amp;amp;lib=M-zdWbhavtdZ1B_W2dnFDM0qoVt4lWzJ-"&gt;here&lt;/A&gt;.
&lt;/BODY&gt;
&lt;/HTML&gt;
</t>
  </si>
  <si>
    <t>AdOfyyMYSAWVUMFw0LsV6Q</t>
  </si>
  <si>
    <t>18641-B</t>
  </si>
  <si>
    <t>8F00250529210033</t>
  </si>
  <si>
    <t xml:space="preserve">&lt;HTML&gt;
&lt;HEAD&gt;
&lt;TITLE&gt;Moved Temporarily&lt;/TITLE&gt;
&lt;/HEAD&gt;
&lt;BODY BGCOLOR="#FFFFFF" TEXT="#000000"&gt;
&lt;!-- GSE Default Error --&gt;
&lt;H1&gt;Moved Temporarily&lt;/H1&gt;
The document has moved &lt;A HREF="https://script.googleusercontent.com/macros/echo?user_content_key=AehSKLgthq6K5Qzi3yRXiFlypr37Ld-opl6v8oxDbPBgaZeDuuHbfv4XtczyFCO_Z_jnSGBQHvuS2visrqiOtFyNAOjmBA3NIRUmQzCpsn2f_jDl6REK1ljjp2CgttTcJioMYsTG99QJbV7-JbK0dYkWQv3BIrCMvsIDAohaEQ9qEp0-AC7tkNOH2K9aX3n2ONi6S8GmArU2UmSEwPeKOHhWrXsEKyHLeWzSV5RKiBi9aeaEzeu1YFmD8SIPxOyU25Bn0TWmDbkp6QJ8o8z7Ha4DxzKK7p5z_zXwDCAmJmV589o4PYtG_igbm0_Zh3eedA&amp;amp;lib=M-zdWbhavtdZ1B_W2dnFDM0qoVt4lWzJ-"&gt;here&lt;/A&gt;.
&lt;/BODY&gt;
&lt;/HTML&gt;
</t>
  </si>
  <si>
    <t>YmwLUU3Q1jqsM2NUplHE</t>
  </si>
  <si>
    <t>18641-C</t>
  </si>
  <si>
    <t>8F00250329030015</t>
  </si>
  <si>
    <t xml:space="preserve">&lt;HTML&gt;
&lt;HEAD&gt;
&lt;TITLE&gt;Moved Temporarily&lt;/TITLE&gt;
&lt;/HEAD&gt;
&lt;BODY BGCOLOR="#FFFFFF" TEXT="#000000"&gt;
&lt;!-- GSE Default Error --&gt;
&lt;H1&gt;Moved Temporarily&lt;/H1&gt;
The document has moved &lt;A HREF="https://script.googleusercontent.com/macros/echo?user_content_key=AehSKLimPhLXv8PHk-KurQKQ5zm1tKe9KEjuEmqtQFv2wugBOkIFYam_ykC9hW96LXb1a_ZnuQsQkQT3p_DaO4MahJ1Iyhb8dMzbqDODVMt-1OJkuawikA-8kcRpMu0_I_DNKOLE0e7yjIw64FHpVz_kG6bb4YsQ9lvcVLmQq5gZpzNmJz8KjJTpfnHbhha1PtszK3jKZjlMPx3CJyUsjpMDf6IckVelIQIWVTyD0QSu6JZfBirZHO65y5vDUFXcNIP3wC3s6tLL0vFX_WYQhvAJw1zgUdRlBoyy1mrv6Pu2IwM79MYiHmKHc7IL2ib3VQ&amp;amp;lib=M-zdWbhavtdZ1B_W2dnFDM0qoVt4lWzJ-"&gt;here&lt;/A&gt;.
&lt;/BODY&gt;
&lt;/HTML&gt;
</t>
  </si>
  <si>
    <t>2tS0I2xj0mfCUmRlEqO1</t>
  </si>
  <si>
    <t>18642</t>
  </si>
  <si>
    <t>8F00250529210031</t>
  </si>
  <si>
    <t>FITLOG TRANSPORTES E LOGISTICA LTDA / (048) 996277956Informação Adicional: Cotar com a FITLOG
Frete por conta do destinatário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</si>
  <si>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fWVABOxdFkkR6TQQJ1UydkZD1EyQF4s8hduhlXqkhILuaRSl3u-0KWH2JAvoXUYULE2Z-bqMxwh40E1OOuYU81VIX9e6JyazSQUjfAv_sqSkhorNoLvpINkc65DKI9UD9RQRcm0LRckGvHzyMuyZ6LpM-VGv-sA4Mp7VcppusPmhHZtnOnHNwfVqQs-7fvxe-eDBt9wLkyP6miICVMObyY59z5pSr0y8J_HIgLfdeXfK93bPaa_wiqOKhPWwYbTej95WHwMWNpIWt8e-k4MGGsX_sh6fh3iStuaOaCCoYPlixtvbZmidTvxZLQA&amp;amp;lib=M-zdWbhavtdZ1B_W2dnFDM0qoVt4lWzJ-"&gt;here&lt;/A&gt;.
&lt;/BODY&gt;
&lt;/HTML&gt;
</t>
  </si>
  <si>
    <t>xg0pe-Q.TUqBJ5iEiMzXFQ</t>
  </si>
  <si>
    <t>18643</t>
  </si>
  <si>
    <t>8F00250329030035</t>
  </si>
  <si>
    <t>EXPRESSO SAO MIGUEL S/A / (051) 3586-2013Informação Adicional: Pagamento via PIX
Fazer cotação pela FITLOG para entrega direta por conta do destinatário.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</si>
  <si>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qW2HX9hQY4U_OaAQCMlgh9moxOWZ87szC2mx9nbLgtyHWL_bs_GVG127xZ2SIBvm6QMtDvtJjAHQx8_4xw0rQBhvEWQn1u0ToNEjEqXNmYo9PNf1pq6jkdIqYPHtjuscQIHVM_QKQ3BznBd0sve_Q2QfSmXWd_F2DtGcuWXELCZVmFgwMh61-0MlgOb9RUFUOdr1bfajK8joCT-TTRz6q4hybQfJVAEHsS-f9qEf8HJxP6RkWWgsrfNV8a9Knb-2jGB1ugr8F0f7Yqcg2NTM6Ookc4WZzHOu315hkDn1yduaGk8dz7-jUoNJeOA&amp;amp;lib=M-zdWbhavtdZ1B_W2dnFDM0qoVt4lWzJ-"&gt;here&lt;/A&gt;.
&lt;/BODY&gt;
&lt;/HTML&gt;
</t>
  </si>
  <si>
    <t>J.8A2uiPSYGkJ1HGHn.BuA</t>
  </si>
  <si>
    <t>18644</t>
  </si>
  <si>
    <t>8F00250329030012</t>
  </si>
  <si>
    <t>CLIENTE RETIRA / (0) E-mail para nota fiscal: , E-mail de cobrança: , Telefone para contato
RETIRA COM CAIXA.</t>
  </si>
  <si>
    <t xml:space="preserve">&lt;HTML&gt;
&lt;HEAD&gt;
&lt;TITLE&gt;Moved Temporarily&lt;/TITLE&gt;
&lt;/HEAD&gt;
&lt;BODY BGCOLOR="#FFFFFF" TEXT="#000000"&gt;
&lt;!-- GSE Default Error --&gt;
&lt;H1&gt;Moved Temporarily&lt;/H1&gt;
The document has moved &lt;A HREF="https://script.googleusercontent.com/macros/echo?user_content_key=AehSKLhQILei3RU2K0r9Pz-05P0SFEhxARx80a_jk2CDsHRKdALAfJJQ8O6XYEiMS-qCNLVFtHQFO5duys-mN4sxankoW6Fki3OYXHaUd3f03Z6uD5IC4c8BnTrgveScUL0NlhhJ2d_SMaR4OXo7USXjJvdzAtyulnuBHakhEWdNIhdMtxjruH8nEV4WkyHpEyaA14sXap7dSz3tXNZ7RjOnV7jed76RcsXPUxtDxUXZKC0Nr9O95BrKUItdClwAvADauDxYeDWJzjNghsPIBgLEWwgi8KyRo3y3E9v81Ej7_YbKk-cWiYT3hC5gEx9yOw&amp;amp;lib=M-zdWbhavtdZ1B_W2dnFDM0qoVt4lWzJ-"&gt;here&lt;/A&gt;.
&lt;/BODY&gt;
&lt;/HTML&gt;
</t>
  </si>
  <si>
    <t>ZZXBfcXQTTOiG-Rl5OdY-A</t>
  </si>
  <si>
    <t>18645</t>
  </si>
  <si>
    <t>8F00250529210037</t>
  </si>
  <si>
    <t>Transportadora Bauer / (048) 9943-3665Informação Adicional: favor corrigir o valor para R$8.915,67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</si>
  <si>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RZ6SPlhSMcbp4SSLAAyZOdjvl4MJL4QSCQIY8-YlAIjqRgB8wtGEbfcflt2fVV0gmUhXrjkzLueipd7t7VHgtag01811vtAvzys1e3epijBPLhwwlsi-xfvCPMCLy80gDUcsN1s5IduVR8iYYZl9B3WQTqhefs_NdrcIfK3BLVZ9KvNSRgDUos3biSaOJZfkmuupbs0ODw60ATKC1NRPecaO4uFidqaIZnlgq9RSuu_b2KGg3nbOM_MfNjkKZs60ADH9E5dPiPg_lJWKEKie0ir6_UH77SzmyRgAS8h4ZN3bpyIr_d5Qa6NwTCw&amp;amp;lib=M-zdWbhavtdZ1B_W2dnFDM0qoVt4lWzJ-"&gt;here&lt;/A&gt;.
&lt;/BODY&gt;
&lt;/HTML&gt;
</t>
  </si>
  <si>
    <t>y5.puHXvQNmVlNCYKHVYEQ</t>
  </si>
  <si>
    <t>18646</t>
  </si>
  <si>
    <t>UDwlWU8.Qr6Eiux7hjjESg</t>
  </si>
  <si>
    <t>18648</t>
  </si>
  <si>
    <t>8F00250329030020</t>
  </si>
  <si>
    <t xml:space="preserve">&lt;HTML&gt;
&lt;HEAD&gt;
&lt;TITLE&gt;Moved Temporarily&lt;/TITLE&gt;
&lt;/HEAD&gt;
&lt;BODY BGCOLOR="#FFFFFF" TEXT="#000000"&gt;
&lt;!-- GSE Default Error --&gt;
&lt;H1&gt;Moved Temporarily&lt;/H1&gt;
The document has moved &lt;A HREF="https://script.googleusercontent.com/macros/echo?user_content_key=AehSKLjnSFFJKNTO4V3tIwWNa7HY_VxYRPjOZBP6vjfVrOh6gn_9bCxE0o4chGA19-Be3Yb385f8kausyERjJImDQHgNI3VVS10QyyEXXIHHTkN7tmrTBNnmAh08-jwXd-_-Xgl4bUva0vS07AYp1p0ibbTuzWzov07__EqyKQovm_AMZCBdXFhwkivCban8dxa8KL8TaLXznOEqZKmal17Ew26dAwjfwWzk_7vniukig95MomX9YILgvBGf-bjTD73tFWya5_Z2k_EInfenLv9VOczP7dd6PY_Jqs9uw0yyD3X86oHydjy4lSxcXvI4Mg&amp;amp;lib=M-zdWbhavtdZ1B_W2dnFDM0qoVt4lWzJ-"&gt;here&lt;/A&gt;.
&lt;/BODY&gt;
&lt;/HTML&gt;
</t>
  </si>
  <si>
    <t>zQbMOwI4R66bq.h1Kh.-Xg</t>
  </si>
  <si>
    <t>18649-A</t>
  </si>
  <si>
    <t>8F00250529210048</t>
  </si>
  <si>
    <t>FITLOG TRANSPORTES E LOGISTICA LTDA / (048) 996277956Informação Adicional: Pedido ELESOLTEC para ser abatido do saldo de conta corrente.  / Obs.Interna: Pedido ELESOLTEC para ser abatido do saldo de conta corrente.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</si>
  <si>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GIYvlsfj6fOUctOrbDdQeFSgj9NoVNb5E_De7mVR3uO7ySVDjS0H_2LPfy9jTKc8bVF6Q9wDIAB2Jtn9y0dUlfHmrJPn0H3rtcEJnRWN9zsTrjrQBcTHlBx10C-98c3hQbey66WJuOaY6Rte6KjyvmJOc4-Q8ePWJ9sMyMDPaqEez795hzawSWYHEu-LiGHndZlhLpI_5c5GtpiQHC_cNUZkY4AuejJbWDNfW7kXb8enjtnZtPXVy3xehlY4BvLzjdHQzjQq4ni9IQMxk3GvGmBz0x-Ftf9bIM09RNUzAt1NoEWcLu5z_sMszEg&amp;amp;lib=M-zdWbhavtdZ1B_W2dnFDM0qoVt4lWzJ-"&gt;here&lt;/A&gt;.
&lt;/BODY&gt;
&lt;/HTML&gt;
</t>
  </si>
  <si>
    <t>EgzouNgQSmyX7CnCu-pPmA</t>
  </si>
  <si>
    <t>18649-B</t>
  </si>
  <si>
    <t xml:space="preserve">&lt;HTML&gt;
&lt;HEAD&gt;
&lt;TITLE&gt;Moved Temporarily&lt;/TITLE&gt;
&lt;/HEAD&gt;
&lt;BODY BGCOLOR="#FFFFFF" TEXT="#000000"&gt;
&lt;!-- GSE Default Error --&gt;
&lt;H1&gt;Moved Temporarily&lt;/H1&gt;
The document has moved &lt;A HREF="https://script.googleusercontent.com/macros/echo?user_content_key=AehSKLh4vjAmLZN96Xt_LFhdITGnaPapmcgoiUCShhVj0_5_J63vfpuv4BkrOEcdsyyF3rjGt1xAzdz_eSIapEvC-6mmXNa0qyjOjbt5Pz81sKyK_sM0d3hHmvdD17Dkpk-vPq3zLkaPc0sAk9hY5u9jO946woKWEvbzSaWMKeBO5PcCusrh-LmRT_n1r3OO1Ly5QyeClRNUuvIfOjsU_6Q9Txu_WPeagajOhTCbdgUDq_iEAGVFNzOrA8o9vyodas_T1oCTcNRsuIsb8VZqX7qjHg-LPygUPSgfUcyE1WPLQUDtOb-dvwaKcZyLfBF4ww&amp;amp;lib=M-zdWbhavtdZ1B_W2dnFDM0qoVt4lWzJ-"&gt;here&lt;/A&gt;.
&lt;/BODY&gt;
&lt;/HTML&gt;
</t>
  </si>
  <si>
    <t>SXFgaUxm591wJGmgwiek</t>
  </si>
  <si>
    <t>18650</t>
  </si>
  <si>
    <t>7PPBPIcISPWcVhywP42mpg</t>
  </si>
  <si>
    <t>18654</t>
  </si>
  <si>
    <t xml:space="preserve">&lt;HTML&gt;
&lt;HEAD&gt;
&lt;TITLE&gt;Moved Temporarily&lt;/TITLE&gt;
&lt;/HEAD&gt;
&lt;BODY BGCOLOR="#FFFFFF" TEXT="#000000"&gt;
&lt;!-- GSE Default Error --&gt;
&lt;H1&gt;Moved Temporarily&lt;/H1&gt;
The document has moved &lt;A HREF="https://script.googleusercontent.com/macros/echo?user_content_key=AehSKLi8GcHzc9M9aOC21MYNPnDORKH3E09rcjLRqrF-ggTAaqYab3CwfxB3ShY5jynqrpG_4Kkij5XnkOI5mrRjYHGyM-YEyUHgkgfvQ5WlJXk6-JCFf3TS1ico5oDBHNVllEewBkNmtHazLjHVMeNgkQj5dtOipVBSOfXv4NC7_HPj38Kz4Swki3BgG_cRZTcYG1dMHMMPFzlAy2AAqAH3t-DApmZDEFYAa8U9i9z3aDI6JbFh2-XIWRcfyz_fsIa_lj4CeIYyUE4JO4tlQrxA0eL3Wd-mqGFczzQ_dzuB2I00fzYSjgAgpYON8sNDhQ&amp;amp;lib=M-zdWbhavtdZ1B_W2dnFDM0qoVt4lWzJ-"&gt;here&lt;/A&gt;.
&lt;/BODY&gt;
&lt;/HTML&gt;
</t>
  </si>
  <si>
    <t>079eOdvpQyqBJYfz084kag</t>
  </si>
  <si>
    <t>18655-A</t>
  </si>
  <si>
    <t>FITLOG TRANSPORTES E LOGISTICA LTDA / (048) 996277956Informação Adicional: Ordem de Compra N° 1489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</si>
  <si>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jlrtm1LeJvFFno4pzMyoisuV1SoigSIH3nDC1a-tix3FZzST1MiCnDHWAGzs5p6Vy7IjkMuiQPImQrLw0HlbFz9QD5ZW5Z2d4s9kOIE1zalyGk_oO8FqghZVijjvAdy84N0X9zhkhxMYFn9jYcJHQRNMimof8RpvwwZW6MMcgEK97Re7uk_v-IOch_g53K2PGmkQq8ZdNgYaErCnDkV_ioMtAD-EerF7wEvuthyjr-8DDuJIw3m-LKZiwnDP-xH96YHh_-QzvVe9ePpiHHDEVc1b113n_ojYvQPVTjCCJTYMEQG1xWej0jYkjgg&amp;amp;lib=M-zdWbhavtdZ1B_W2dnFDM0qoVt4lWzJ-"&gt;here&lt;/A&gt;.
&lt;/BODY&gt;
&lt;/HTML&gt;
</t>
  </si>
  <si>
    <t>FjTYtJeDQLawLPOTIVlgQg</t>
  </si>
  <si>
    <t>18655-B</t>
  </si>
  <si>
    <t xml:space="preserve">&lt;HTML&gt;
&lt;HEAD&gt;
&lt;TITLE&gt;Moved Temporarily&lt;/TITLE&gt;
&lt;/HEAD&gt;
&lt;BODY BGCOLOR="#FFFFFF" TEXT="#000000"&gt;
&lt;!-- GSE Default Error --&gt;
&lt;H1&gt;Moved Temporarily&lt;/H1&gt;
The document has moved &lt;A HREF="https://script.googleusercontent.com/macros/echo?user_content_key=AehSKLhOS4p7TxhySG6HJPtrhe3lL8WD3NeNKnV27gy7S1UvkiyODSDbyvraC9W3LceH8QfMiXBMfCejC2N6UjyS1P7oWr7IOQAcIVvNKGs9ZTeW1PIBKf3f5Ob4ZnhuD7Uis3MolQ70_vtdMRaPZBJIk5pWAADD537mz8fL2wgQ0IUtWDdvE7AtoPHnXure0N5A5ClkqYSpl5b3EfF4AZ1DHMjjdomX176aYcT34BBuwWmqXDe5Vf_OoPYtRdKsJtx7KXyZFTaIsWONX-ZknqLvN81WX2Oc74KJzVM7i7-_pfkeuIwNPlGKzHFpmaw-1g&amp;amp;lib=M-zdWbhavtdZ1B_W2dnFDM0qoVt4lWzJ-"&gt;here&lt;/A&gt;.
&lt;/BODY&gt;
&lt;/HTML&gt;
</t>
  </si>
  <si>
    <t>TirANkwSZeF6e3pU0lcw</t>
  </si>
  <si>
    <t>18656</t>
  </si>
  <si>
    <t>8F00250329030026</t>
  </si>
  <si>
    <t xml:space="preserve">&lt;HTML&gt;
&lt;HEAD&gt;
&lt;TITLE&gt;Moved Temporarily&lt;/TITLE&gt;
&lt;/HEAD&gt;
&lt;BODY BGCOLOR="#FFFFFF" TEXT="#000000"&gt;
&lt;!-- GSE Default Error --&gt;
&lt;H1&gt;Moved Temporarily&lt;/H1&gt;
The document has moved &lt;A HREF="https://script.googleusercontent.com/macros/echo?user_content_key=AehSKLgm-LRt68WkFIA8NAWJrwORjwApNC3HcuwWsixCa1JfYxxNkXhnTyp8YVoXbcji8ovv9XbOMjqytjlQaMo82GhI5WvbD4M2_9e1uaHlsBH5vVfADIUo9Yjp9Ypr7MtmgmaXZQ42D4fHQbGUAR8BI2MtiVOZA5fZOfVK4RPt0VM6wVz-ddBlE3qxOCXgEJB2Yi1Bz_mEzcYWxO-HjXT9qgVhdSkNN-V7hzwlwqNgtu3BvVwme-aQOPWdjtfkR6S8nCU0r4YZqNIdzuMCYTuN6_R-4d9XRLf59zSWGvOuIbIwza6Eux-RQ7R8dZGCfQ&amp;amp;lib=M-zdWbhavtdZ1B_W2dnFDM0qoVt4lWzJ-"&gt;here&lt;/A&gt;.
&lt;/BODY&gt;
&lt;/HTML&gt;
</t>
  </si>
  <si>
    <t>yBWd0j1hQSuPU.Dqd6veoQ</t>
  </si>
  <si>
    <t>18657</t>
  </si>
  <si>
    <t>8F00250526320011</t>
  </si>
  <si>
    <t xml:space="preserve">&lt;HTML&gt;
&lt;HEAD&gt;
&lt;TITLE&gt;Moved Temporarily&lt;/TITLE&gt;
&lt;/HEAD&gt;
&lt;BODY BGCOLOR="#FFFFFF" TEXT="#000000"&gt;
&lt;!-- GSE Default Error --&gt;
&lt;H1&gt;Moved Temporarily&lt;/H1&gt;
The document has moved &lt;A HREF="https://script.googleusercontent.com/macros/echo?user_content_key=AehSKLj5YSVPRIkA6iEdWDh2A_vuVQ4ihboIIK-efeLutpyN2W27VEw4o974SDExmpNdBTpwIYaA7h0NSqNzydYoqfZxDVhhqtomyHyjKW-6m-d98ZULMzwt-KMYOeoH7pWrTma8i_U-QzssF8LDlJcDRnAZCSEf_KHjm-29Ho4es7LmU-xxhhG7rRV5_C408sXvjeYmS51bfn64pyo64XFL731DurJ7af1N8mk5cwOrdRB_3AWJ96BO_fZP2hqzRZrCLXBC7uxWcmc7W-6Z30Qhn8Ik7azS0IXs_BUxO-0iLiGkNVhbCS7fMkV0zR0r_A&amp;amp;lib=M-zdWbhavtdZ1B_W2dnFDM0qoVt4lWzJ-"&gt;here&lt;/A&gt;.
&lt;/BODY&gt;
&lt;/HTML&gt;
</t>
  </si>
  <si>
    <t>0qB7dO9dSQOUMgEjK6JegA</t>
  </si>
  <si>
    <t>18659-A</t>
  </si>
  <si>
    <t>MAQUINA BRANCA
FITLOG TRANSPORTES E LOGISTICA LTDA / (048) 996277956Obs.Interna: Pedido a ser abatido do valor da comissão dos pedidos HOTEL VILA LOBOS 16829 e 16830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</si>
  <si>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932GhUHsSLW8JxPnKxYYaIzA_-0NWJOGzCtOePNNc90Xv2X_e23N5avc4G_vajPfKliHph914cQmul1SYSUfJmdQVZyZuT2iwf6UuIcQXq8_fT7-uox3PhwfP1OnpPEmvoyHKQ84IB185-bHoaQWFCZd7Hu_NUydULL5Oc671Sn2irAfBGbM-F-_I-uOcnY4AOVtvJ-0xbRLb6e6mzGqusXV3OaGEOcxLFczDI0oWaTcoZpka2X5FULjWI0Zg0mY0OnoLcC1dPPk071EdcfwMS6ZDtd5KAiNvHhcccfMtva9i9JUdaBAxKm03ng&amp;amp;lib=M-zdWbhavtdZ1B_W2dnFDM0qoVt4lWzJ-"&gt;here&lt;/A&gt;.
&lt;/BODY&gt;
&lt;/HTML&gt;
</t>
  </si>
  <si>
    <t>aONrhHZ5Q4y0BjOIKvluuQ</t>
  </si>
  <si>
    <t>18659-B</t>
  </si>
  <si>
    <t>20344</t>
  </si>
  <si>
    <t xml:space="preserve">&lt;HTML&gt;
&lt;HEAD&gt;
&lt;TITLE&gt;Moved Temporarily&lt;/TITLE&gt;
&lt;/HEAD&gt;
&lt;BODY BGCOLOR="#FFFFFF" TEXT="#000000"&gt;
&lt;!-- GSE Default Error --&gt;
&lt;H1&gt;Moved Temporarily&lt;/H1&gt;
The document has moved &lt;A HREF="https://script.googleusercontent.com/macros/echo?user_content_key=AehSKLgW7m3_u1uxNNCOiUmeMEMkagzkISbw1_qnuoBiWfEH6m3Go1FKhfgZ43ORVx9tR1gl-5ABlTBUJ8kLcKPDAcjnHO_n4ZVPJ7_pv5QNueR9jvWaUILgv-xjYFp7U7Z8QgiLHqGf4Z0sLEDnLpVNaLIs81yhRBrpLHcWFdm9V1DsKMV_gL9BOA-V6FXf74pkLnYTuGhI9gU6gx9ARLDmx-nXjj382w1GZhdlauU9BpMGWG-AKcnez3PVE4Lpy2t6VJ3P2X4r7tdO65ZaQV5flDYKBdtg4cIzyFaL2HJiSna46oxLg-hU_u1zicOGRQ&amp;amp;lib=M-zdWbhavtdZ1B_W2dnFDM0qoVt4lWzJ-"&gt;here&lt;/A&gt;.
&lt;/BODY&gt;
&lt;/HTML&gt;
</t>
  </si>
  <si>
    <t>lPCDEKmtAM4ZP7xWN84H</t>
  </si>
  <si>
    <t>18659-C</t>
  </si>
  <si>
    <t xml:space="preserve">&lt;HTML&gt;
&lt;HEAD&gt;
&lt;TITLE&gt;Moved Temporarily&lt;/TITLE&gt;
&lt;/HEAD&gt;
&lt;BODY BGCOLOR="#FFFFFF" TEXT="#000000"&gt;
&lt;!-- GSE Default Error --&gt;
&lt;H1&gt;Moved Temporarily&lt;/H1&gt;
The document has moved &lt;A HREF="https://script.googleusercontent.com/macros/echo?user_content_key=AehSKLimADw1WUdvpi-_SGeK63zW0ZBwsyPSLAkhoQ_mOZIuY9GsByGoSH91KkUzyNmhBNYKCppOMO-_tbtv1qLGlM7EhefKNJc_Oyc4lXW2iQ8_j43iH1qbCLJoLU9ue2KtINOTXvFMjL81F4BBY51cx1dc7L2Mt0eeN45tN2ONUlE5wTnQqSdLfdAEBy7U3EGdk-eBlYzvZ8VXH-cTFhGe23i3H2UciNJq7PHUbc-o6NraxNEo4_OeQ-f3NL0--KNYsdpTkgir2fsxlIRSL9pcVEbvhAhGp91beUpA3E-M814pOoNDKy_HA0xEw91qsg&amp;amp;lib=M-zdWbhavtdZ1B_W2dnFDM0qoVt4lWzJ-"&gt;here&lt;/A&gt;.
&lt;/BODY&gt;
&lt;/HTML&gt;
</t>
  </si>
  <si>
    <t>jtGlJ8ggcP0UB2MvWlpY</t>
  </si>
  <si>
    <t>18660-A</t>
  </si>
  <si>
    <t>8F00250329030027</t>
  </si>
  <si>
    <t xml:space="preserve">&lt;HTML&gt;
&lt;HEAD&gt;
&lt;TITLE&gt;Moved Temporarily&lt;/TITLE&gt;
&lt;/HEAD&gt;
&lt;BODY BGCOLOR="#FFFFFF" TEXT="#000000"&gt;
&lt;!-- GSE Default Error --&gt;
&lt;H1&gt;Moved Temporarily&lt;/H1&gt;
The document has moved &lt;A HREF="https://script.googleusercontent.com/macros/echo?user_content_key=AehSKLgRL3uYxDSv8Yy4JL5j5LbhDkhHgvcOYXdzX-vTgZRKi7cD5wJrs05kNTMokdjSOaXbA1TPJlNA_ymL4LLeRCovFTNayXEfBRDo-MSnQzbpDBlDmqtO-P1myMppezgmQwlJzLNH6f5T93SOKqcyzeC-Ion5cxKeI-asMfRtVmwaBliFbYIiNuO0FrctJge2xdfIk06F10XH0vZLbXvisegCGf5jFtTzwkeYYw1lAMyANzG8qzDSY2umKzudwloqhgb2GTQWMNlnrWx_D4iULqAJEgZrPmysUZhDNuxzbXVvXxTvUJIM_t0MlPYmtA&amp;amp;lib=M-zdWbhavtdZ1B_W2dnFDM0qoVt4lWzJ-"&gt;here&lt;/A&gt;.
&lt;/BODY&gt;
&lt;/HTML&gt;
</t>
  </si>
  <si>
    <t>D6DT7FhSSDqrvs55UaUnEA</t>
  </si>
  <si>
    <t>18660-B</t>
  </si>
  <si>
    <t>8F00250329030023</t>
  </si>
  <si>
    <t xml:space="preserve">&lt;HTML&gt;
&lt;HEAD&gt;
&lt;TITLE&gt;Moved Temporarily&lt;/TITLE&gt;
&lt;/HEAD&gt;
&lt;BODY BGCOLOR="#FFFFFF" TEXT="#000000"&gt;
&lt;!-- GSE Default Error --&gt;
&lt;H1&gt;Moved Temporarily&lt;/H1&gt;
The document has moved &lt;A HREF="https://script.googleusercontent.com/macros/echo?user_content_key=AehSKLgGS21Io_6Ir6lvbR-x5lwkphZ-vdSOlRRBz0fO9fj1QNuSXp1FxiQIU18H73oPV3jaoaN6iWvMbLBGwc-YmabbMyYLvfOi-uXWD_sVjhLOpO_zoEra-HqfyEK-MY95MmqocYAns0jYhnduHO96fFEdUwYPNFfV3tZc7JATV6a27g-VCifx5AmFcx-LvrmiBSCP2HG6OCYJraDj5-SSZIJws8CMskzdIThiNZqcS3JNJDCIR8Ara7iJSZZxNV-ROtFZsTw11-jeX1TtKluVGZz1aYBKtYqS4zQ7K51sfOItqBHeIyzEUw31KUVWzA&amp;amp;lib=M-zdWbhavtdZ1B_W2dnFDM0qoVt4lWzJ-"&gt;here&lt;/A&gt;.
&lt;/BODY&gt;
&lt;/HTML&gt;
</t>
  </si>
  <si>
    <t>xsLRKMh4pDoNwYjr3Un9</t>
  </si>
  <si>
    <t>18661-A</t>
  </si>
  <si>
    <t>FITLOG TRANSPORTES E LOGISTICA LTDA / (048) 996277956Informação Adicional: Pedido de Compra Nº 7990 / E-mail para nota fiscal: , E-mail de cobrança: , Telefone para contato</t>
  </si>
  <si>
    <t>u7jgaLupSkiW23UpJ2Uhsg</t>
  </si>
  <si>
    <t>18661-B</t>
  </si>
  <si>
    <t>494yjtpWsErXLM6arL6K</t>
  </si>
  <si>
    <t>18663</t>
  </si>
  <si>
    <t>FITLOG TRANSPORTES E LOGISTICA LTDA / (048) 996277956Obs.Interna: aguardando conteiner  / E-mail para nota fiscal: , E-mail de cobrança: , Telefone para contato</t>
  </si>
  <si>
    <t>34p2K5APQV2ATFz0uuwCDQ</t>
  </si>
  <si>
    <t>18664-A</t>
  </si>
  <si>
    <t>8F00250706370009</t>
  </si>
  <si>
    <t xml:space="preserve">&lt;HTML&gt;
&lt;HEAD&gt;
&lt;TITLE&gt;Moved Temporarily&lt;/TITLE&gt;
&lt;/HEAD&gt;
&lt;BODY BGCOLOR="#FFFFFF" TEXT="#000000"&gt;
&lt;!-- GSE Default Error --&gt;
&lt;H1&gt;Moved Temporarily&lt;/H1&gt;
The document has moved &lt;A HREF="https://script.googleusercontent.com/macros/echo?user_content_key=AehSKLjCnxUNcyWMIBi8Sx0NdsFtpcmNPsNFXJQX-Pi3dzkWRPOzJMCtLnm9bhLMa1AOrmHLGxkd4rYCvbCMtY9chAoA2g8ugby73EqEbI6JRJGvVUAouq6qcjVIf1IwMaur6e9vQVMr1ThanfKr5F1BENeMVCrh2o_CDO59OLD9sTN4pyJ8VbonMkLZBv9udHfgf9TkMpyWkeKEnjXWWvBMz7xTthwjr0e0B87FCUA8Uw2OKRxzRuzwVbvy9j-XPgbEMWG20f3hHA4DvIk1wkrzcDo0VbMlUoyNryF3gZ6WO7rrFYA2sZaXeSsMoo1Dmg&amp;amp;lib=M-zdWbhavtdZ1B_W2dnFDM0qoVt4lWzJ-"&gt;here&lt;/A&gt;.
&lt;/BODY&gt;
&lt;/HTML&gt;
</t>
  </si>
  <si>
    <t>a.xQSDFQ7QMCdgRTbaMNEhA</t>
  </si>
  <si>
    <t>18664-B</t>
  </si>
  <si>
    <t>8F00250706370008</t>
  </si>
  <si>
    <t xml:space="preserve">&lt;HTML&gt;
&lt;HEAD&gt;
&lt;TITLE&gt;Moved Temporarily&lt;/TITLE&gt;
&lt;/HEAD&gt;
&lt;BODY BGCOLOR="#FFFFFF" TEXT="#000000"&gt;
&lt;!-- GSE Default Error --&gt;
&lt;H1&gt;Moved Temporarily&lt;/H1&gt;
The document has moved &lt;A HREF="https://script.googleusercontent.com/macros/echo?user_content_key=AehSKLitmSz_NuZtZ86MTWXbQZMvKB_YEY61vB4jUjs3AqaJwA5YAC-0RpTxxCZRiCA-5OOPmzBAHtNpnfUFyL9ppJSpHo1AAAGr2CoxokKqr44Tbqnz5EoKB0roPJ80m_9yBtylxXyzsrkM4MLaghCre3k7i9S0hFIfipsCG2nf-n2IjE0uG2x9PKWfx7I5nh9Onef5GOM8BeQw1SRVxUk1H4ZlpH6eDZQ-Dw3oJnLJaXXxtSDfHHpjX7qwFZzbtglIO4uZ2Qg8JDdoXlFEvjAsibPVVfIUdsMwCiAO42FjfXKeWHISUdRcnQa3IWr5cw&amp;amp;lib=M-zdWbhavtdZ1B_W2dnFDM0qoVt4lWzJ-"&gt;here&lt;/A&gt;.
&lt;/BODY&gt;
&lt;/HTML&gt;
</t>
  </si>
  <si>
    <t>8ot6EI0gZP2anzXtVt0A</t>
  </si>
  <si>
    <t>18664-C</t>
  </si>
  <si>
    <t>8F00250529210056</t>
  </si>
  <si>
    <t xml:space="preserve">&lt;HTML&gt;
&lt;HEAD&gt;
&lt;TITLE&gt;Moved Temporarily&lt;/TITLE&gt;
&lt;/HEAD&gt;
&lt;BODY BGCOLOR="#FFFFFF" TEXT="#000000"&gt;
&lt;!-- GSE Default Error --&gt;
&lt;H1&gt;Moved Temporarily&lt;/H1&gt;
The document has moved &lt;A HREF="https://script.googleusercontent.com/macros/echo?user_content_key=AehSKLi5iYLi6dgXQqL9-UpiztGnq9EMo7WkpwP9jLc_-UMyqQ5hcARUmt-T5h-KcTpghqxdhLYlwC4_ck_5omYgZDOQwhtkRkK841JVcF7A4dsCSjHKdWrjusi5u1vdNnhwQbJCup7tfBsDg1gj5VS0gkzWjeiQpjv_WfOnKZgMY5BPdNe6S5S_-4OGEy5WnAXAfM_OruVm6mBAl1GEACteE2llmdIekUs0n5jxx3AzuApKhJpMsTHEIqaa7nnhJspRutQ-nWLXKJIeLcrxpRqdh67DkuHyANIq3U1O7FAggWyT7l-braNA5JNvHrYMhA&amp;amp;lib=M-zdWbhavtdZ1B_W2dnFDM0qoVt4lWzJ-"&gt;here&lt;/A&gt;.
&lt;/BODY&gt;
&lt;/HTML&gt;
</t>
  </si>
  <si>
    <t>tpyRN8Vpf4aSdWMkP9ph</t>
  </si>
  <si>
    <t>18665-A</t>
  </si>
  <si>
    <t>EXPRESSO SAO MIGUEL S/A / (049) 3361-6627Informação Adicional: VALOR DE CADA MAQUINA 4845,00 ENTRADA DE 50% + 50% 30/60/90 / E-mail para nota fiscal: , E-mail de cobrança: , Telefone para contato</t>
  </si>
  <si>
    <t>RQ12m6B0QpqXF-HUy2ogiA</t>
  </si>
  <si>
    <t>18665-B</t>
  </si>
  <si>
    <t>XTula8Yo7rSJ1yyz3KjB</t>
  </si>
  <si>
    <t>18667-A</t>
  </si>
  <si>
    <t>8F00250329030021</t>
  </si>
  <si>
    <t>EXPRESSO SAO MIGUEL S/A / (049) 3361-6627Obs.Interna: entrega da fti 35 , previsão novembro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</si>
  <si>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uP6BlMVeGFIqz4dSNWYEASu-s_Twqoe__6kwr8dgnR2DvLDRf7gG9A0nmGWDbmb6ynQZHmpPQmTR8QgJm9koNdKt4Q9_LsU5gynD1i4z_HHMYIY1i6d1oh6PvhGGO5RK3Vh_3rihfejMoDvGMfrs7KUnvcZs1RXXXTYoYhfVHBjhoMHDGOv5F0lEdZyL2vTqNV5JfyktkuAv3cNcORuRHH-mksRfcyndRyK3UAVvkcXt5YYyM7yyyLDC1Yqg76nfrh6oxacyWPTOIXGtkMl4cbrgsTaIR9xT-azq_z_Z_Lm5K6CC3VOES9WGzg&amp;amp;lib=M-zdWbhavtdZ1B_W2dnFDM0qoVt4lWzJ-"&gt;here&lt;/A&gt;.
&lt;/BODY&gt;
&lt;/HTML&gt;
</t>
  </si>
  <si>
    <t>mwqp2cHxQXqf.TMb4Fr70A</t>
  </si>
  <si>
    <t>18667-B</t>
  </si>
  <si>
    <t>8F00250329030022</t>
  </si>
  <si>
    <t xml:space="preserve">&lt;HTML&gt;
&lt;HEAD&gt;
&lt;TITLE&gt;Moved Temporarily&lt;/TITLE&gt;
&lt;/HEAD&gt;
&lt;BODY BGCOLOR="#FFFFFF" TEXT="#000000"&gt;
&lt;!-- GSE Default Error --&gt;
&lt;H1&gt;Moved Temporarily&lt;/H1&gt;
The document has moved &lt;A HREF="https://script.googleusercontent.com/macros/echo?user_content_key=AehSKLg4A1rl9ZsOtuHICGTD6aiIsGqp9HOsgTtn4s1yb9IYlpGVuGQcCQbjdYbAR0XfTq55ypSWnhhmgOgYPiNpnUawIe0NiVeTVat5U0zrRVYicp7UFPIB6cU8BlNm6Qtov05WzjBfqa1pJcGq12Ht-u4VeMav-MLk9gT7k2oYBJQGmIkmuccnfci0FuQfc8XiHbo3zH7I2cDCRpSKrNAypqFJcEzqpBOoKxJ1bAkzSXXKl1ic_5rZMG1NEg9zocsbbZKOl4GrqexzSXyNkg28mxtH56p6c9agfv89plli6sj-hDNhf-OG0MHHztqjBg&amp;amp;lib=M-zdWbhavtdZ1B_W2dnFDM0qoVt4lWzJ-"&gt;here&lt;/A&gt;.
&lt;/BODY&gt;
&lt;/HTML&gt;
</t>
  </si>
  <si>
    <t>FLN9qbjwpUg02TsRoIDG</t>
  </si>
  <si>
    <t>18667-C</t>
  </si>
  <si>
    <t>8F00250329030019</t>
  </si>
  <si>
    <t xml:space="preserve">&lt;HTML&gt;
&lt;HEAD&gt;
&lt;TITLE&gt;Moved Temporarily&lt;/TITLE&gt;
&lt;/HEAD&gt;
&lt;BODY BGCOLOR="#FFFFFF" TEXT="#000000"&gt;
&lt;!-- GSE Default Error --&gt;
&lt;H1&gt;Moved Temporarily&lt;/H1&gt;
The document has moved &lt;A HREF="https://script.googleusercontent.com/macros/echo?user_content_key=AehSKLhCGp79oAwA5dqUDNH0Do5ralQM6bci3v3j9m6YKGxWb3FNmJ2Pa1e4XSKIBSK2xLDJA2n06BCWKyfv5QvBYW2vNZXNw6nj62H-lgj-syZxof4ZFeWaNzHXu9tI07a0eXkt9eWebq_vMP9d5Io5OJaVgQcNOqadiJw9ag3guWZyLKMPJ_COyuknV6_Amb-J8LnhQnhE12MNbBEJWpqgTXwwDCsCdzD2ZQ0oVO3LxX20XMg9Q240P3MnvigKXtNySf-vsQUrxei-TwKrbVftr13KU5pIwmQI9qZUntleQSPqoUYYQsTgIFDWVXS5FA&amp;amp;lib=M-zdWbhavtdZ1B_W2dnFDM0qoVt4lWzJ-"&gt;here&lt;/A&gt;.
&lt;/BODY&gt;
&lt;/HTML&gt;
</t>
  </si>
  <si>
    <t>BHSxfQTLusRkcD4mq0zl</t>
  </si>
  <si>
    <t>18667-D</t>
  </si>
  <si>
    <t>Q9HemmOXaYcnLSbbpOlt</t>
  </si>
  <si>
    <t>18668</t>
  </si>
  <si>
    <t>8F00250706460006</t>
  </si>
  <si>
    <t>EXPRESSO SAO MIGUEL S/A / (051) 3586-2013Informação Adicional: valor da maquina12.145,00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</si>
  <si>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o7Ji9lfU8vftudyet_t6js61btghLehNFg3X7-_k6uA-Ho0MGCVDKiA86ft41RSCmbn1ipQkgswIWhMJ2AOkbSTiZD2Ba_e8p7swndS7x03_YDgEfJfcspCyYDsFOfpRzAFLDsDlK1ggnDEd2B7hFl0uyn3_gleCXgL2NBo6pHQx7BIyTRD9vgd0IBj2OJVyFuD99Fu7-vdgD6Dmzx_XtxwZrN7dGD7jwuqwPQDlUB4kqhz1I6jkU92Gn2z07yHuNoWlMuF8TAcKqkgneoyJcNN1L01vLwndm0lzAXJ0R-SnXk7KgylaTriGTFw&amp;amp;lib=M-zdWbhavtdZ1B_W2dnFDM0qoVt4lWzJ-"&gt;here&lt;/A&gt;.
&lt;/BODY&gt;
&lt;/HTML&gt;
</t>
  </si>
  <si>
    <t>81pH5gHcQ1SzyOqBki7OEQ</t>
  </si>
  <si>
    <t>18669-A</t>
  </si>
  <si>
    <t>8F00250706510006</t>
  </si>
  <si>
    <t>CLIENTE RETIRA / (0) Informação Adicional: ABATER VALOR DO PACOTE DO CLIENTE / Obs.Interna: ABATER VALOR DO PACOTE DO CLIENTE- cliente sem o saldo no contrato, fez o pix de R$26.333,48 para fechar o valor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</si>
  <si>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tqEEhHPiPEOTt_XnnoLb9qgfnUakKh-CKrUSX1KzozpJnifCbSAvNjc5DvjqTayb92Xn9hTVz2HFx1KuA2mXSP3iJDiio2zZyBR5x46Y6hQIvWpUrz0nPfKTU7oFshNMOD66_TIFxSC_U-Ke6kNJp9FsgUANg3Mg_SZq1hQ1J09aQqkCmNFPdIRvEivxg3kG1tWIU4j2qwplOD1gduPwvEv_PYx9EGv3q2ls1wLhPOpJGHaLSPYmWt-jJ6BYemYr5A-ipjpTCtXaCzBoC_QWu0-YK-eINJ-XTi2bpAHfRIqznyu2y8m3MqdrqtQ&amp;amp;lib=M-zdWbhavtdZ1B_W2dnFDM0qoVt4lWzJ-"&gt;here&lt;/A&gt;.
&lt;/BODY&gt;
&lt;/HTML&gt;
</t>
  </si>
  <si>
    <t>HWGSM2TxR96UiVFIKURZiQ</t>
  </si>
  <si>
    <t>18669-B</t>
  </si>
  <si>
    <t>8F00250706510007</t>
  </si>
  <si>
    <t xml:space="preserve">&lt;HTML&gt;
&lt;HEAD&gt;
&lt;TITLE&gt;Moved Temporarily&lt;/TITLE&gt;
&lt;/HEAD&gt;
&lt;BODY BGCOLOR="#FFFFFF" TEXT="#000000"&gt;
&lt;!-- GSE Default Error --&gt;
&lt;H1&gt;Moved Temporarily&lt;/H1&gt;
The document has moved &lt;A HREF="https://script.googleusercontent.com/macros/echo?user_content_key=AehSKLgnrXzWyE7lVi34R3KylEhQ-uwrVtDPOxmb8bXm0RPmqEzQ0PXJd7sALJ5P1FErTKSFFEct-kyAbQRW4hdJvj3-hoOJSs2HTM1HDY3nzyauaophq2C-LSE-2pGUqRNkyku6xmg-ifVWHZ0VmyrP9aLyUPXmxfu4UO03aqlFEHVXiBY_eVWgk1dNIhUoi0rsKQ-XuWuREFbzP_s2cEzdQ4_VYK8a1XBA4Y_FUJR_2dlW614anBskRNEnZF3RBoB511yiZQ89f6xnRjWFoPIQDODBdFyLX-YKaFEeZES7MSf4U7V8Rx7UXs5vkoufKw&amp;amp;lib=M-zdWbhavtdZ1B_W2dnFDM0qoVt4lWzJ-"&gt;here&lt;/A&gt;.
&lt;/BODY&gt;
&lt;/HTML&gt;
</t>
  </si>
  <si>
    <t>3IDlveMIlCVp9Q9ZAWQO</t>
  </si>
  <si>
    <t>18669-C</t>
  </si>
  <si>
    <t>8F00250706340007</t>
  </si>
  <si>
    <t xml:space="preserve">&lt;HTML&gt;
&lt;HEAD&gt;
&lt;TITLE&gt;Moved Temporarily&lt;/TITLE&gt;
&lt;/HEAD&gt;
&lt;BODY BGCOLOR="#FFFFFF" TEXT="#000000"&gt;
&lt;!-- GSE Default Error --&gt;
&lt;H1&gt;Moved Temporarily&lt;/H1&gt;
The document has moved &lt;A HREF="https://script.googleusercontent.com/macros/echo?user_content_key=AehSKLhXNx9fqTURREsnjGLchCpZdWU3shp2OGSAoWbv7A3HTvvWj6mWEt_ki85FMMPp4_3jDD9mYeT2wV3viup_I_zTbxC5qcD1H-bll0z7VT2kvZeR6OwGW_Pxldo6k9aw0WGoKeebyotVeZQi5xOiKBm6UNUBAWAHPVpNjdHh__tJdN8_0lBoiTRdq8LaE6BRTUTEGdLBrRdwQ8gGpGRyalx1QSPRmaQphnWphyu39Q-vNod0PU8-kOV2kOre31pugipqIscCxXvDM8CPutA-4xBGoDnVe9u4sqgVBKtyHV8am-QQU67FRWlBwe-4Lg&amp;amp;lib=M-zdWbhavtdZ1B_W2dnFDM0qoVt4lWzJ-"&gt;here&lt;/A&gt;.
&lt;/BODY&gt;
&lt;/HTML&gt;
</t>
  </si>
  <si>
    <t>WQEcd5rIWCehAbeXemnZ</t>
  </si>
  <si>
    <t>18669-D</t>
  </si>
  <si>
    <t>8F00250529210040</t>
  </si>
  <si>
    <t xml:space="preserve">&lt;HTML&gt;
&lt;HEAD&gt;
&lt;TITLE&gt;Moved Temporarily&lt;/TITLE&gt;
&lt;/HEAD&gt;
&lt;BODY BGCOLOR="#FFFFFF" TEXT="#000000"&gt;
&lt;!-- GSE Default Error --&gt;
&lt;H1&gt;Moved Temporarily&lt;/H1&gt;
The document has moved &lt;A HREF="https://script.googleusercontent.com/macros/echo?user_content_key=AehSKLhT26B7N0L27ifpa2LVLo3n1NLHg8NJlwLXgfAEfkw7MwNjIBk7m4VLofas4MVF7LSxYguDmc1_Ah_vZw90-f_z1m1SsGPC-inyBsJr8-tdKXgIPBC4d5_6aa3fMUdBYJsZRG9MacUT0UsQkJFE-phTQ1cnMJUkq9BZZMrzTK0LpSEeOeufGS1vCsDdW221k6P_74Gs1j7U7RPiDRJnxPYGwvuUKK1A8NDBwaLfwjRMGJEe-UUSNRRC9fQ6leJK8AYJfjMgCWmyW2knSjJiu_Go7N7OBBmmvbh1AgauztDk62FlmdzzgjdMQj34mw&amp;amp;lib=M-zdWbhavtdZ1B_W2dnFDM0qoVt4lWzJ-"&gt;here&lt;/A&gt;.
&lt;/BODY&gt;
&lt;/HTML&gt;
</t>
  </si>
  <si>
    <t>sUa4DDPj3UJe45gnHA4X</t>
  </si>
  <si>
    <t>18669-E</t>
  </si>
  <si>
    <t>8F00250529210039</t>
  </si>
  <si>
    <t xml:space="preserve">&lt;HTML&gt;
&lt;HEAD&gt;
&lt;TITLE&gt;Moved Temporarily&lt;/TITLE&gt;
&lt;/HEAD&gt;
&lt;BODY BGCOLOR="#FFFFFF" TEXT="#000000"&gt;
&lt;!-- GSE Default Error --&gt;
&lt;H1&gt;Moved Temporarily&lt;/H1&gt;
The document has moved &lt;A HREF="https://script.googleusercontent.com/macros/echo?user_content_key=AehSKLj-v-uxukIbSjdgh4W6IvaGZD9JDa3N3K9DyFDHBOxyX7-hiRnmgw2whVJpk8PPeoQCwFCuIgsqEh97g0ylQeXWjJAZUYSeEVFsQ9k6GgRSCBdmRSGOkbz7k49gIlf4r-jZsUdtd_d0mAZ255jzaJufezRXjYKvAtJxYqGJzcbvxd85IHvT6nA0Kf3MyGeYrjnX7LEXHSde3eKj83Gb924TMJwMZD_Mt60J9POM4LkTid9vgdx3hSc5krC0Mj-li90RVpeclBIjvGICB5aTe0STw-TCV-8kNtIgiEHNG8NhX_pTTIDI3K35m7pyhg&amp;amp;lib=M-zdWbhavtdZ1B_W2dnFDM0qoVt4lWzJ-"&gt;here&lt;/A&gt;.
&lt;/BODY&gt;
&lt;/HTML&gt;
</t>
  </si>
  <si>
    <t>xMHPRZhdzjGR5oI4vbUY</t>
  </si>
  <si>
    <t>18669-F</t>
  </si>
  <si>
    <t>8F00250529210038</t>
  </si>
  <si>
    <t xml:space="preserve">&lt;HTML&gt;
&lt;HEAD&gt;
&lt;TITLE&gt;Moved Temporarily&lt;/TITLE&gt;
&lt;/HEAD&gt;
&lt;BODY BGCOLOR="#FFFFFF" TEXT="#000000"&gt;
&lt;!-- GSE Default Error --&gt;
&lt;H1&gt;Moved Temporarily&lt;/H1&gt;
The document has moved &lt;A HREF="https://script.googleusercontent.com/macros/echo?user_content_key=AehSKLiz_3gnxNT0CmYokwCi0vDYsy8WjWjT-wsge2EfU8PQFKRomLnfHrKjccY5VwH0P1ijocLmf-iUVlPQ6jaCxzMbZOqnUmOOI0YPtb1aEUYkeaHnRNTQhSn6Y5ka6fUIuaIJSldAE8XUBNG_5EphEAy_SCoFcl01LhYJRR_CB1MBYRxiLurEO9WCPPbpmvff79B71yf1eEar4qqr4Za_HvW5BjHH8WIvoxrOoyPAyJgGSYg2_HwGihVK4t6Ph5LhxCG6HED6A8LTX2f6FrEdGaZ0lWVO-J4p5wSsB1uTpn_frvXkSXLwKuUNfk_fLQ&amp;amp;lib=M-zdWbhavtdZ1B_W2dnFDM0qoVt4lWzJ-"&gt;here&lt;/A&gt;.
&lt;/BODY&gt;
&lt;/HTML&gt;
</t>
  </si>
  <si>
    <t>Lt35nMEjzgZfuQ9Zy3YP</t>
  </si>
  <si>
    <t>18670-A</t>
  </si>
  <si>
    <t>8F00250529210035</t>
  </si>
  <si>
    <t xml:space="preserve">&lt;HTML&gt;
&lt;HEAD&gt;
&lt;TITLE&gt;Moved Temporarily&lt;/TITLE&gt;
&lt;/HEAD&gt;
&lt;BODY BGCOLOR="#FFFFFF" TEXT="#000000"&gt;
&lt;!-- GSE Default Error --&gt;
&lt;H1&gt;Moved Temporarily&lt;/H1&gt;
The document has moved &lt;A HREF="https://script.googleusercontent.com/macros/echo?user_content_key=AehSKLgmnGIlUECM_CZBtRo5i2GWyN_C_noNytSxd-d2cVjOzK9-7Z-Lot5NzK2YmsBsiJUi8gumGiAjrtSC9Ag-BwEal0fiDKTZFa2Jl17Bdw_CSymgFpw9NWkAxkzfJEFq4cBTiPIq_GPNnwUmXVatXiZ-qWAddt79u57SzxNnKz9ErVd4RhUwyIISQwhNDwRfZsb4mft_a6QwADvhrj7VdQq2aJMa5RB8H54-xuF_t7qH2ymYQsBxHokWLB4UNPJRhc78LuSplKRN3CtdYPJBOecYAIcQ4bp1dz8eRlQGnBBXc4LN_oKQ5VXPK0d_lg&amp;amp;lib=M-zdWbhavtdZ1B_W2dnFDM0qoVt4lWzJ-"&gt;here&lt;/A&gt;.
&lt;/BODY&gt;
&lt;/HTML&gt;
</t>
  </si>
  <si>
    <t>uo.xRuxBRI-Z3M0h5kPccg</t>
  </si>
  <si>
    <t>18670-B</t>
  </si>
  <si>
    <t>8F00250529210036</t>
  </si>
  <si>
    <t xml:space="preserve">&lt;HTML&gt;
&lt;HEAD&gt;
&lt;TITLE&gt;Moved Temporarily&lt;/TITLE&gt;
&lt;/HEAD&gt;
&lt;BODY BGCOLOR="#FFFFFF" TEXT="#000000"&gt;
&lt;!-- GSE Default Error --&gt;
&lt;H1&gt;Moved Temporarily&lt;/H1&gt;
The document has moved &lt;A HREF="https://script.googleusercontent.com/macros/echo?user_content_key=AehSKLgNVu8VQ13z5KPbedz3JnWHHAkwsomaBGq-FYjisHHHHKS9AaNselJ3vZKQDurcPz6e-SZRfUdYIlEuQ0wMhfwZJwZgeHfAI-qWgFHIGdx0J2_nxAUtgB-FUP6pO7MKptn7S8s6CMAFMh-7HabbSvY40ZpVz9aR07Cghj-OfMOkDVxI_gWNfljQVui_b9FZx1qN1VIxNrbfZk-RV8A436kwveL79DYby1k_9Wzttt-PJ1vTmYbJ-QNg15YWrcQ7G-XRD5nJd62aZC-0z7zjlTSu1RHrCBVLutSXwT9wAgfRRd2keSEO5-_C6X3ghg&amp;amp;lib=M-zdWbhavtdZ1B_W2dnFDM0qoVt4lWzJ-"&gt;here&lt;/A&gt;.
&lt;/BODY&gt;
&lt;/HTML&gt;
</t>
  </si>
  <si>
    <t>aWQMRMG5YMqo7F9TXVPx</t>
  </si>
  <si>
    <t>18671-A</t>
  </si>
  <si>
    <t>FITLOG TRANSPORTES E LOGISTICA LTDA / (048) 996277956E-mail para nota fiscal: , E-mail de cobrança: , Telefone para contato
O REDESPACHO SERA FOB - TRANSP. LEALDADE - CNPJ:00.564.267/0002-92 - END: R GALATEA, 1205, CEP: 02.068-000</t>
  </si>
  <si>
    <t xml:space="preserve">&lt;HTML&gt;
&lt;HEAD&gt;
&lt;TITLE&gt;Moved Temporarily&lt;/TITLE&gt;
&lt;/HEAD&gt;
&lt;BODY BGCOLOR="#FFFFFF" TEXT="#000000"&gt;
&lt;!-- GSE Default Error --&gt;
&lt;H1&gt;Moved Temporarily&lt;/H1&gt;
The document has moved &lt;A HREF="https://script.googleusercontent.com/macros/echo?user_content_key=AehSKLhWx3lxGtgVLEFOnCwYKuhW6LR7yEwOAGDD15wYzPDHEo17RahXPywokucGRtHgz6Rg2jcw1fLbbBRBDfwdbXTJLcJyYaMWlL9_HnGsIvNZjdaZNr2-WGPJmQdDxBFu0d4fWpHrFAEnyVhNXHuV-YuzqvK4lPsw0Jf39lt1yxsXAm08u0qEs-bqgJ2mQ6pjLflZaMqEz60UbwdStJCeFDdYqX2YdEH7xX4oPIiYslX5y7Atsu2OfRw2P4BD7NTmCxG0Af8ZeSJtPl_LV_VnsOAQ_muU0u6F-LuS-36V8NhPsc9gLBHDfqzjEQeGUQ&amp;amp;lib=M-zdWbhavtdZ1B_W2dnFDM0qoVt4lWzJ-"&gt;here&lt;/A&gt;.
&lt;/BODY&gt;
&lt;/HTML&gt;
</t>
  </si>
  <si>
    <t>fGNGyhkyRZ-0vj05wGlBnQ</t>
  </si>
  <si>
    <t>18671-B</t>
  </si>
  <si>
    <t xml:space="preserve">&lt;HTML&gt;
&lt;HEAD&gt;
&lt;TITLE&gt;Moved Temporarily&lt;/TITLE&gt;
&lt;/HEAD&gt;
&lt;BODY BGCOLOR="#FFFFFF" TEXT="#000000"&gt;
&lt;!-- GSE Default Error --&gt;
&lt;H1&gt;Moved Temporarily&lt;/H1&gt;
The document has moved &lt;A HREF="https://script.googleusercontent.com/macros/echo?user_content_key=AehSKLglsiYO2Qr4_WVoLixep5JJx79c_exu3iT4IlHvMynkRczam056_CK2Kg7y2xSF7dUUM8Fcl9BbckgFE77IJe4Kv46_kV3fD-oU9k1549QUf6nDM70ShoQClFr3ffjk9vYNdgL4Qiz3LFxkId8IpaW_PnB1r3bTYw93iB6WbqpRrRKDHg8SvS0C1qQwbrIMEdariCkt8ixAndg4Uchhmr9Rj8n4uvL8gGYLRxJzfhHnbPiBguoGnb4FubDx7r0271hxRtQc2ApoMDkaWG51uR9JJZ-tNkMZkOovLdnJC--4xJgTvrQIl_iC_yQ8oA&amp;amp;lib=M-zdWbhavtdZ1B_W2dnFDM0qoVt4lWzJ-"&gt;here&lt;/A&gt;.
&lt;/BODY&gt;
&lt;/HTML&gt;
</t>
  </si>
  <si>
    <t>CZfkK2UCrdq65fvybu6s</t>
  </si>
  <si>
    <t>18671-C</t>
  </si>
  <si>
    <t xml:space="preserve">&lt;HTML&gt;
&lt;HEAD&gt;
&lt;TITLE&gt;Moved Temporarily&lt;/TITLE&gt;
&lt;/HEAD&gt;
&lt;BODY BGCOLOR="#FFFFFF" TEXT="#000000"&gt;
&lt;!-- GSE Default Error --&gt;
&lt;H1&gt;Moved Temporarily&lt;/H1&gt;
The document has moved &lt;A HREF="https://script.googleusercontent.com/macros/echo?user_content_key=AehSKLgicnC1vvBtK7OyWCt-fyljvL9dBJGl747FPcOJP08aK1GXpkG-1oCHgfcK67Qa6rGoD6B44Xa6Yl4W6cZrfWIkeayKQji0PtpTu2ZFIRiRdB1Zyo3wjgUiL9Mv2WgqGWgjKnX4A17VG0ECIMHFbKQPNCZ56N3vxRIdvFizZ7XVK6fyhYTB5EhnxlQ570b92uOg9NGi9z2Dxss2pP6Zv6GbfINfKCFK3ncAd1Otcax-cNgCZNOa86aBJywYAfH6g5xT6qz28T6CQLnzAPJsGmSO1iOrHkTht8tnwMDxSra3bey5IAE5fKleD52pug&amp;amp;lib=M-zdWbhavtdZ1B_W2dnFDM0qoVt4lWzJ-"&gt;here&lt;/A&gt;.
&lt;/BODY&gt;
&lt;/HTML&gt;
</t>
  </si>
  <si>
    <t>3p1p5vqwYOzD8XZ2OQLW</t>
  </si>
  <si>
    <t>18672-A</t>
  </si>
  <si>
    <t>8F00250804020016</t>
  </si>
  <si>
    <t>FITLOG TRANSPORTES E LOGISTICA LTDA / (048) 996277956Obs.Interna: ENTREGA A PARTIR DE 10/10  / E-mail para nota fiscal: , E-mail de cobrança: , Telefone para contato
O REDESPACHO SERA FOB - TRANSP. LEALDADE - CNPJ:00.564.267/0002-92 - END: R GALATEA, 1205, CEP: 02.068-000</t>
  </si>
  <si>
    <t xml:space="preserve">&lt;HTML&gt;
&lt;HEAD&gt;
&lt;TITLE&gt;Moved Temporarily&lt;/TITLE&gt;
&lt;/HEAD&gt;
&lt;BODY BGCOLOR="#FFFFFF" TEXT="#000000"&gt;
&lt;!-- GSE Default Error --&gt;
&lt;H1&gt;Moved Temporarily&lt;/H1&gt;
The document has moved &lt;A HREF="https://script.googleusercontent.com/macros/echo?user_content_key=AehSKLh7DtJOk4aTsBdJCxVNGbA5o7KUtStacbXcoHwLFkAst2yiPppjiC3csrir9WXmE-P6dR5Ro9mBm4CaiKkb1rE3qTYJs6mFYQU7V5cZ_KfMhKyCFyXWWLFd8jXQ7DtjZyhBCJnAtMd98IbD8HJohS-DVw9u97vKCL2fYew3dpE6USOVdYH72tN0ZIZI7UfRvIUX8TH9IOE1nV_E6gMB8B7Nb9Ly6PdmRdualfQCBIZBJlApaULe4OaOeRYdkU385HQW0SL-Mjrkc1CvQs3dV4LNqklwDY-7N-R2BW2akDopcS_7zxEFAn2-CfKROw&amp;amp;lib=M-zdWbhavtdZ1B_W2dnFDM0qoVt4lWzJ-"&gt;here&lt;/A&gt;.
&lt;/BODY&gt;
&lt;/HTML&gt;
</t>
  </si>
  <si>
    <t>H1U1U.4nSsSdas.mS3jMBA</t>
  </si>
  <si>
    <t>18672-B</t>
  </si>
  <si>
    <t>8F00250804020017</t>
  </si>
  <si>
    <t xml:space="preserve">&lt;HTML&gt;
&lt;HEAD&gt;
&lt;TITLE&gt;Moved Temporarily&lt;/TITLE&gt;
&lt;/HEAD&gt;
&lt;BODY BGCOLOR="#FFFFFF" TEXT="#000000"&gt;
&lt;!-- GSE Default Error --&gt;
&lt;H1&gt;Moved Temporarily&lt;/H1&gt;
The document has moved &lt;A HREF="https://script.googleusercontent.com/macros/echo?user_content_key=AehSKLhbhcMwOJ06CjToeHrswnG62GC6FXnHJGtPZWRnNQHE2fzdN3MgRte9MGem5Z1FZTHg80UbbjSHvfpZIXm2KtQeJT2rBKb_s73JqldQyhuAq8kz2p2djwIWj25nIv_Q46GJZmwC-TrGUzU1Mb-HLkyE1qYIXPNCVTVfTUthLqc7HC7NbBiWXWkmRtfdArwCnvhSY4I9f_V5Un0R-XqnunMADXOfA0b8N279FL6yp_i2GqlLUKhYYLw-jb7inihiMzIV_zOp00Mxny_EL5B8Lsu5rYdF5dOlakvFKmEe-WTJElxbJTS3K4nbe3VywA&amp;amp;lib=M-zdWbhavtdZ1B_W2dnFDM0qoVt4lWzJ-"&gt;here&lt;/A&gt;.
&lt;/BODY&gt;
&lt;/HTML&gt;
</t>
  </si>
  <si>
    <t>uZzMLJA0hgQofXnRHYnf</t>
  </si>
  <si>
    <t>18673-A</t>
  </si>
  <si>
    <t>8F00250706370014</t>
  </si>
  <si>
    <t xml:space="preserve">FITLOG TRANSPORTES E LOGISTICA LTDA / (048) 996277956E-mail para nota fiscal: , E-mail de cobrança: , Telefone para contato
O REDESPACHO SERA FOB - Redespacho pela Transportadora Rodonaves
Entrega em endereço Av. Alexandre Colares , 500 - Vila Jaguara - São Paulo - SP - 05106-000
</t>
  </si>
  <si>
    <t xml:space="preserve">&lt;HTML&gt;
&lt;HEAD&gt;
&lt;TITLE&gt;Moved Temporarily&lt;/TITLE&gt;
&lt;/HEAD&gt;
&lt;BODY BGCOLOR="#FFFFFF" TEXT="#000000"&gt;
&lt;!-- GSE Default Error --&gt;
&lt;H1&gt;Moved Temporarily&lt;/H1&gt;
The document has moved &lt;A HREF="https://script.googleusercontent.com/macros/echo?user_content_key=AehSKLh3mAH2bksEnO1TnAVJxpx_Hw5S5BCkUwI4X1QQwSCAA3I3kq783_fIkkoM5I4oBjVJHm5pfRKRrp7ZM7-pA18noWxcCcfmow1Jk4q_cA8GgAOI_UqkvMk-PMEiVkVnHLjQZHuRquzEkBWbVi7Jz5RV0IlTy_wBoaELTjc8FBp9MECyAvNN6Y_AS2vWKq-io-fGgd64zBm5SXQ6NGCOda_7zzC7bT5MHUAb8XTXTp1eYqOX1KaQg5RxeBEVrE3ApJoVXtxaJwT6E2JU4KOW2E2Odn2z9kGhGiBE87n5jyVEKoh7G26lUBmP4XCzWA&amp;amp;lib=M-zdWbhavtdZ1B_W2dnFDM0qoVt4lWzJ-"&gt;here&lt;/A&gt;.
&lt;/BODY&gt;
&lt;/HTML&gt;
</t>
  </si>
  <si>
    <t>2WnjxCOvOicfqQYNiIdQ</t>
  </si>
  <si>
    <t>18673-B</t>
  </si>
  <si>
    <t>8F00250706370012</t>
  </si>
  <si>
    <t>FITLOG TRANSPORTES E LOGISTICA LTDA / (048) 996277956E-mail para nota fiscal: , E-mail de cobrança: , Telefone para contato
O REDESPACHO SERA FOB - Redespacho pela Transportadora Rodonaves
Entrega em endereço Av. Alexandre Colares , 500 - Vila Jaguara - São Paulo - SP - 05106-000</t>
  </si>
  <si>
    <t xml:space="preserve">&lt;HTML&gt;
&lt;HEAD&gt;
&lt;TITLE&gt;Moved Temporarily&lt;/TITLE&gt;
&lt;/HEAD&gt;
&lt;BODY BGCOLOR="#FFFFFF" TEXT="#000000"&gt;
&lt;!-- GSE Default Error --&gt;
&lt;H1&gt;Moved Temporarily&lt;/H1&gt;
The document has moved &lt;A HREF="https://script.googleusercontent.com/macros/echo?user_content_key=AehSKLhAqzoOSDHUzeEE8ZWuF6rKvzdoPLsr8a-5b4Lh4g3W9M_Y9Y22dXHKAeRY9W90y9WDTOCLLRTvEOsMrVor8lhPeRrYguLA6X3g5fNTFmciR6tKvBXdnTGsd7ax6jf6bZDW3tnEU8Y17PrH1Ym6abKU4XxH6osRZx-11zpMMvl4xyRpuQaNtM0IO5yx5NVJmgsMHtR341_zZmajrtPE_F0YG5HWZLK62lUK4sisAFhWs50tvdJA49O20vOX3GwTLowzv791cz6u5i5DkG3AW13s7gd27H2OZguA-RVcqa4GIYiDMUQqtzFRv7QtfQ&amp;amp;lib=M-zdWbhavtdZ1B_W2dnFDM0qoVt4lWzJ-"&gt;here&lt;/A&gt;.
&lt;/BODY&gt;
&lt;/HTML&gt;
</t>
  </si>
  <si>
    <t>l7jMzhycReKWnAuL1.e-Xg</t>
  </si>
  <si>
    <t>18674-A</t>
  </si>
  <si>
    <t>8F00250329030034</t>
  </si>
  <si>
    <t xml:space="preserve">&lt;HTML&gt;
&lt;HEAD&gt;
&lt;TITLE&gt;Moved Temporarily&lt;/TITLE&gt;
&lt;/HEAD&gt;
&lt;BODY BGCOLOR="#FFFFFF" TEXT="#000000"&gt;
&lt;!-- GSE Default Error --&gt;
&lt;H1&gt;Moved Temporarily&lt;/H1&gt;
The document has moved &lt;A HREF="https://script.googleusercontent.com/macros/echo?user_content_key=AehSKLj7qLWkPmx-V2leti1LFu2sqkHHPVSazmrVkqOfsLU0iF2anmIKkc59qOdv_lvIQYgXRkjehV7Bg9k6pHWe7z4cVCp2OD0te-po8n9QqeN0kMcRh3cEyp9y6eeCF9MaVWMXrgWiR5z5AGjd45jFqLCuy9BLlwk4vgf6S8uUWv1G60QCBNdzcqjaQM5w4fe6LSUc0iBtAxsyQ9wg5VGx0x5wN59X1YaS-499x0WQCJPq1Y3Df0nll6BTd8Cjrvi1QaGklJHncVGrYpnznnwi09NhLKtNhMvMrdtJpkoSVsiVqLhznreQr-22gL93sw&amp;amp;lib=M-zdWbhavtdZ1B_W2dnFDM0qoVt4lWzJ-"&gt;here&lt;/A&gt;.
&lt;/BODY&gt;
&lt;/HTML&gt;
</t>
  </si>
  <si>
    <t>tIKy46mpQ1KujzVRIhzfHw</t>
  </si>
  <si>
    <t>18674-B</t>
  </si>
  <si>
    <t>8F00250329030033</t>
  </si>
  <si>
    <t xml:space="preserve">&lt;HTML&gt;
&lt;HEAD&gt;
&lt;TITLE&gt;Moved Temporarily&lt;/TITLE&gt;
&lt;/HEAD&gt;
&lt;BODY BGCOLOR="#FFFFFF" TEXT="#000000"&gt;
&lt;!-- GSE Default Error --&gt;
&lt;H1&gt;Moved Temporarily&lt;/H1&gt;
The document has moved &lt;A HREF="https://script.googleusercontent.com/macros/echo?user_content_key=AehSKLhuLVdC_IGWtJPsS6IZ3u6-W4DycycJzjbYuZsMccrAwXRH0jv3y5pJmKPkSTTFH7umharPQbr28osGTvkllXCyv1zkl0KJm3VnnJgw29JrjKBhmPEOgkgFhwyowbpcs0hF4IgwDXoj0pQgLs-wZ9X2mjmvftNKcWS2t8FFyWDFzb42X2k03aRQNaZM_VfpcgMd7Ezdy-WqkSAyEMRAjEGjMnLUQsQQpTaghi9qZI8LMJRGNKoXLo2XTYrC1BZ7AVYy5TmQXw85ZyyamEmenkCRERKJXG0obf2BHvGoMT5QPYlrM_jarlShTlhQ-g&amp;amp;lib=M-zdWbhavtdZ1B_W2dnFDM0qoVt4lWzJ-"&gt;here&lt;/A&gt;.
&lt;/BODY&gt;
&lt;/HTML&gt;
</t>
  </si>
  <si>
    <t>pRvsdXgAVftsDrbclqek</t>
  </si>
  <si>
    <t>18675-A</t>
  </si>
  <si>
    <t>FITLOG TRANSPORTES E LOGISTICA LTDA / (048) 996277956Informação Adicional: OC 1033 CE 1445  TORRE NIEMEYER  
Entregar imediatamente : AV DAS AMERICAS 1685 RIO DE JANEIRO RJ CEP 22631 000 Ligar antes de entregar 21 9 9512 4022 Jorge / Obs.Interna: OC 1033 CE 1445  TORRE NIEMEYER  Entregar imediatamente : AV DAS AMERICAS 1685 RIO DE JANEIRO RJ CEP 22631 000 Ligar antes de entregar 21 9 9512 4022 Jorge.
Pedido faturado fora do pacote. Maquinas com degelo resfriamento, quadro deslocado sobrepor / E-mail para nota fiscal: , E-mail de cobrança: , Telefone para contato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</si>
  <si>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j-Ua2oH6SFPaLh2sLC6dcHIbyScWuDPHtTPljWRt9FmeQFnIRu94r_CGCdBSaoav8Ng6AzKARiI2BadE8mkfJMIhL5ilQkbEMnpmxAHYFzQjDY024BbcTmHQsTmqqK3Xwm9h4EgowrCmJHAUNTwIpdTyIWtqbvfCVEw2bIknNjYWVxw6pKuYEFWTdUIB9gbzDDTmr-D00Hsd2HA417gDv3lqqdAC5fAM_ic6oCAapxpge6xW49IbzVlnM9EQDbZazb6hHoCCeiw-0ZPWB73kcQKgyoBIfUIrjSZj_Og2EO-_mNjDuKGuEKpOtQEQ&amp;amp;lib=M-zdWbhavtdZ1B_W2dnFDM0qoVt4lWzJ-"&gt;here&lt;/A&gt;.
&lt;/BODY&gt;
&lt;/HTML&gt;
</t>
  </si>
  <si>
    <t>0pQbVIdmTSC.R8NT2JYr.A</t>
  </si>
  <si>
    <t>18675-B</t>
  </si>
  <si>
    <t xml:space="preserve">&lt;HTML&gt;
&lt;HEAD&gt;
&lt;TITLE&gt;Moved Temporarily&lt;/TITLE&gt;
&lt;/HEAD&gt;
&lt;BODY BGCOLOR="#FFFFFF" TEXT="#000000"&gt;
&lt;!-- GSE Default Error --&gt;
&lt;H1&gt;Moved Temporarily&lt;/H1&gt;
The document has moved &lt;A HREF="https://script.googleusercontent.com/macros/echo?user_content_key=AehSKLjMlno2S8W8y3eRdm1TuJPWZMs2osnY2Vq1uwkQRt0wdFPEhbiRGc2laYCQYwqn9kX66CT2x-2ZGJVNzJz8uWc5iIcwoWKbli2o4zbz_-Y8lGIRar_I2OyohNsJDAhHF9GF3jBaNPY6DT2YQJFIk_7Hb-SbMnUsMVnqzDQ0s9kgS9-14v9y2NhM6zCBw8Pd6tEDiywwYFJbdXQY7A1G_Cq7yl_Nimn8ibnsAE3sArk061pY-s_DajJbAvEpgQoxY7H55U-Jvx3HS0m1QqFHvhc1IYrWPWT4T6wKyPtFow8TgH7sne5_wYY7bdompQ&amp;amp;lib=M-zdWbhavtdZ1B_W2dnFDM0qoVt4lWzJ-"&gt;here&lt;/A&gt;.
&lt;/BODY&gt;
&lt;/HTML&gt;
</t>
  </si>
  <si>
    <t>ZuPJcrWslLTSLZKJCAQv</t>
  </si>
  <si>
    <t>18675-C</t>
  </si>
  <si>
    <t>20341</t>
  </si>
  <si>
    <t xml:space="preserve">&lt;HTML&gt;
&lt;HEAD&gt;
&lt;TITLE&gt;Moved Temporarily&lt;/TITLE&gt;
&lt;/HEAD&gt;
&lt;BODY BGCOLOR="#FFFFFF" TEXT="#000000"&gt;
&lt;!-- GSE Default Error --&gt;
&lt;H1&gt;Moved Temporarily&lt;/H1&gt;
The document has moved &lt;A HREF="https://script.googleusercontent.com/macros/echo?user_content_key=AehSKLjLxMd8nlVDCahRZojmVpYSHtTjM2ZivKFZWvx1XJxExgIZivQw-MFqd8FYbOBGcnuWhsOBg0yJ9k7jp08wfGBPksYCy__NLe1R8CLSPRJr1JY0wDDJYP9zLEvMkpx05q7254RnQucfrVTdOIqkapZstwoz6Bxci88mT9VNCEE-Z61Aa2eNhC7uEctLXyHKg6SMz9nTcMP3_FFSR-Sb71UjoJkUwWj9gzo0wHqorE6GTg3rKGxuWPXNxFfwsfS8ncuzNc380zVYhJS4Frt8utB-btZ-qXtU3mI_UhQRNBv27iY_nY3FEJG0YU_5wA&amp;amp;lib=M-zdWbhavtdZ1B_W2dnFDM0qoVt4lWzJ-"&gt;here&lt;/A&gt;.
&lt;/BODY&gt;
&lt;/HTML&gt;
</t>
  </si>
  <si>
    <t>V2wHNn6VsxASMe0iVBuf</t>
  </si>
  <si>
    <t>18675-D</t>
  </si>
  <si>
    <t>20339</t>
  </si>
  <si>
    <t xml:space="preserve">&lt;HTML&gt;
&lt;HEAD&gt;
&lt;TITLE&gt;Moved Temporarily&lt;/TITLE&gt;
&lt;/HEAD&gt;
&lt;BODY BGCOLOR="#FFFFFF" TEXT="#000000"&gt;
&lt;!-- GSE Default Error --&gt;
&lt;H1&gt;Moved Temporarily&lt;/H1&gt;
The document has moved &lt;A HREF="https://script.googleusercontent.com/macros/echo?user_content_key=AehSKLiuMbf1JN03Bzflv8JYJH_YgKCk1zijkcEofJAG9W7qGsirQqskgL4prTBAcSuWVHx_9P3vEAn_uXngxjPG72HcnODn7ja7x0Xu4G1nnf-jebed8H9QhlUFccbiONVXpM9M25d3-vyKYPiGGJHup-BR0G5qopFu6bLUKIXRvlHUopASebVE8b4qmgr4oUnQlabBHs6OyYPhy_OtEat3te45LIWjvfwsX_cWgGROP_FSRGvsNXgMTftwZQUSJkE2Iu91R8qszDkABhqu4Y5z-jWgGRqEKxIzcK1DvYD-OhjumG8NbPEJ5UHLADpOvg&amp;amp;lib=M-zdWbhavtdZ1B_W2dnFDM0qoVt4lWzJ-"&gt;here&lt;/A&gt;.
&lt;/BODY&gt;
&lt;/HTML&gt;
</t>
  </si>
  <si>
    <t>4hM30ZYcrXKQb0wnsaye</t>
  </si>
  <si>
    <t>18676-A</t>
  </si>
  <si>
    <t>8F00250329030028</t>
  </si>
  <si>
    <t>CLIENTE RETIRA / (0) Informação Adicional: ABATER VALOR DO CONTRATO EM VIGOR
PEDIDO: ESTOQUE LOJA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</si>
  <si>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FZHBfvsoljL0nvoqUZuuWLDDoHpzSqWXb3njaFtRg8_Kk8MDM4eMl89-VUXDshpznbPkHaq1fZ_UkYJfXSXG8rTjU2BITcs4Ya-JjQEGx9ujmV2bJrQdzQHFgrNz81l-tuMws3L_re_Gfivl7f_h7C_svRFtAKsr0vMF-tTN1jxZH3LyCt7pdJ6-awN3CY6dWgC7owFAYIExvAUSDrC095obQruUFPbvgSM6cPd2eR3MM70F1oeublb_skpJXgrwHn7x1oft_9yhecA0ibogRHY0HWyBkqKO1G0_-X5je2GROkEC7sz_yDZjepA&amp;amp;lib=M-zdWbhavtdZ1B_W2dnFDM0qoVt4lWzJ-"&gt;here&lt;/A&gt;.
&lt;/BODY&gt;
&lt;/HTML&gt;
</t>
  </si>
  <si>
    <t>K2CKMF7xRG6EFSJdpOZf.Q</t>
  </si>
  <si>
    <t>18676-B</t>
  </si>
  <si>
    <t>8F00250329030031</t>
  </si>
  <si>
    <t xml:space="preserve">&lt;HTML&gt;
&lt;HEAD&gt;
&lt;TITLE&gt;Moved Temporarily&lt;/TITLE&gt;
&lt;/HEAD&gt;
&lt;BODY BGCOLOR="#FFFFFF" TEXT="#000000"&gt;
&lt;!-- GSE Default Error --&gt;
&lt;H1&gt;Moved Temporarily&lt;/H1&gt;
The document has moved &lt;A HREF="https://script.googleusercontent.com/macros/echo?user_content_key=AehSKLgLaU1Zj87w2JKNWZOxkq3OMdKSaAN01SH177uwQxKDhzSHDgxSjI9yH-KLSyOumbIAWywfWMH286_VpQjp6ZKvVRKdZSb6H1V1Xbog34-tBdmpszELd157prlkOINzqNg9JWS-MYFgROnmN3g2DB_DIfRnvAMYDs9KNtFzuz15w3Fw12o5eLgkhLtr9yAmbS1ibhP1m7ECItf_j6eNQouDfp6GlTdKeWK6VBy8tRY7NzLuWST3wCkElAYUmNamWve87p2QTmnrEV2IVljbO6lnpbhH6iZVJUFQnSigH_SDTMfeC3USiSvU8Hyqew&amp;amp;lib=M-zdWbhavtdZ1B_W2dnFDM0qoVt4lWzJ-"&gt;here&lt;/A&gt;.
&lt;/BODY&gt;
&lt;/HTML&gt;
</t>
  </si>
  <si>
    <t>D31swfxXZOiIONLMwgrw</t>
  </si>
  <si>
    <t>18676-C</t>
  </si>
  <si>
    <t>8F00250329030029</t>
  </si>
  <si>
    <t xml:space="preserve">&lt;HTML&gt;
&lt;HEAD&gt;
&lt;TITLE&gt;Moved Temporarily&lt;/TITLE&gt;
&lt;/HEAD&gt;
&lt;BODY BGCOLOR="#FFFFFF" TEXT="#000000"&gt;
&lt;!-- GSE Default Error --&gt;
&lt;H1&gt;Moved Temporarily&lt;/H1&gt;
The document has moved &lt;A HREF="https://script.googleusercontent.com/macros/echo?user_content_key=AehSKLjRFxTeHFX6PHiVtiegM5LAvi3cLzaw97Adw8_6IjpxI3dvVkE4lbCyF-0dBg6bfRnQk480FsWaTGGBXRl0S9QlpQzkcBEQrxyuJIL41VyULIjWtUGz_fml-uT2kJ926NWhd0cHrn5zTh9GfgbZ3Om6GGGvxd7zu1WEn5j52sMV29YTKAw3E_rVLx-lMEVoGqZ9ZivBdIY0FsxfV4IBJk1qRHJjMU6uvQui2kofE8qZEG89j4U0u7tSDdXiEzc8rnTgx7Yiqe8hQ5zKdzUiIZ0z_y3QJqfKVcy_RaswnuufSX-0RWeRj4R_80urMw&amp;amp;lib=M-zdWbhavtdZ1B_W2dnFDM0qoVt4lWzJ-"&gt;here&lt;/A&gt;.
&lt;/BODY&gt;
&lt;/HTML&gt;
</t>
  </si>
  <si>
    <t>RAv9aNrlbZVA2QaODNPO</t>
  </si>
  <si>
    <t>18677</t>
  </si>
  <si>
    <t>8F00250706460014</t>
  </si>
  <si>
    <t>CLIENTE RETIRA / (0) Informação Adicional: ABATER VALOR DO CONTRATO EM VIGOR
PEDIDO JOAO BATISTA LOHN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</si>
  <si>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sD-YmxLH8PuLPYA_L-sHduWzIUc_fx-a2kkWOiBig_6vLyTDNRBH_b_TxaZMjh4slV23v9np3iIuEmF_C0u9azLiM1hYFNBIneTA6L2wGyI8Ua4mQMY-9sbTHhpPU8ZbokyvjMP3pwOnfAiN3co7Fa-yJGhZR47Oo8soG_FQnThmocmDBst0M5AwSWbnUxJRTIqJY8KeTxdLCdBa_A_A_8tYkaYfxAX44wTpYhYfPLR4jxyNvpq6TapQnSfshp5ldWOKy3g2Mcb76u5ZfRTxrlEGflYvPvReM8ZKAM9P6P-ad4ybNjde84VVYnA&amp;amp;lib=M-zdWbhavtdZ1B_W2dnFDM0qoVt4lWzJ-"&gt;here&lt;/A&gt;.
&lt;/BODY&gt;
&lt;/HTML&gt;
</t>
  </si>
  <si>
    <t>41oaeWUIQoK4rGL3mXGKbA</t>
  </si>
  <si>
    <t>18678</t>
  </si>
  <si>
    <t>8F00250804020015</t>
  </si>
  <si>
    <t>mJKvVWbTRtO8o8rRbGz0fA</t>
  </si>
  <si>
    <t>18679</t>
  </si>
  <si>
    <t>8F00250329030030</t>
  </si>
  <si>
    <t>CLIENTE RETIRA / (0) Informação Adicional: ABATER VALOR DO CONTRATO EM VIGOR
CLIENTE: JOAO BATISTA LOHN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</si>
  <si>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XRPklTetANIxSX7PVBWTtoshiDl344VRVbi9Kkt3xeV7QACVEOuBgZDVD4Toaar2scKkmOPwI95VDiWBa4f5DTKL7Mwzhdtya7AJ5gRbolyXDZqCyci2RqoOyzic4I-A3aw6eOj81EPkinUr_bdaRzwr7YLZgW2x9AsoNrRHSm_HHlJVUyb-VKWphd09Mze3aVIev2hHBDIuu39B3--Ngx5cV1umLv04wVcje9mI693P6bbyxUZmJMDZroPYXnpct68H_-reGVmtwwzPyknL4hSIgu26wieo_QStbOjVQoHgkjlGC4lY6onLfug&amp;amp;lib=M-zdWbhavtdZ1B_W2dnFDM0qoVt4lWzJ-"&gt;here&lt;/A&gt;.
&lt;/BODY&gt;
&lt;/HTML&gt;
</t>
  </si>
  <si>
    <t>60iznFEiQ9O90kxMxGHkGg</t>
  </si>
  <si>
    <t>18680</t>
  </si>
  <si>
    <t>SAIR QUANDO CHEGAR AS PRÓXIMAS 25
EXPRESSO SAO MIGUEL S/A / (051) 3586-2013Informação Adicional: Favor corrigir o valor para R$4.845,42.
Ednilson Henrique / Obs.Interna: ENTREGA EM 10/10  / E-mail para nota fiscal: , E-mail de cobrança: , Telefone para contato</t>
  </si>
  <si>
    <t>I6hzbmfGR26WEbr.KWRoNg</t>
  </si>
  <si>
    <t>18683</t>
  </si>
  <si>
    <t>8F00250529210043</t>
  </si>
  <si>
    <t>Pedido gerado através do PedidoEletronico.com - Transportadora / telefone:  / (0) Informação Adicional: TROCAR A TRANSPORTADORA:  CWLOG Endereço: BR-470, 3045 - Itoupavazinha, Blumenau - SC, 89066-000
Telefone: (47) 2111-2500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</si>
  <si>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zl9Ahokz7ASE2l0V19lC3twUjsyDhfvKu3gIVkPkJga7wTJYFBw8l2MJjf5PGMs4PCfDkX5zWnhxZegzMNyE10If6eIygUgENPtfL5wjiWzliqvSYeDUvmR0Y417YTtuHDZzaB6XYaK1YHBiB6xeZpmWuB7ie33MEG_IRyd7_SNln7AsU0Lsu8X5OvqZaBzIzRPGB4Zm_V_3OuHbwSa8culHBAMSAl4v8Rumdt3FIy_xLB3esPCo1Vo5eaVeYScepLBdM8XOTKpHiby7rQZYwjqwu5gHzNAzqjfiuJ9wWzd183IJFsKHJk2qyw&amp;amp;lib=M-zdWbhavtdZ1B_W2dnFDM0qoVt4lWzJ-"&gt;here&lt;/A&gt;.
&lt;/BODY&gt;
&lt;/HTML&gt;
</t>
  </si>
  <si>
    <t>5HjHtq9QRvawYcTotmtyQA</t>
  </si>
  <si>
    <t>18685</t>
  </si>
  <si>
    <t>Abater do valor a receber referente ao TAJ - Entrega futura.
FITLOG TRANSPORTES E LOGISTICA LTDA / (048) 996277956Informação Adicional: Entrega futura. Abater do valor a receber referente ao TAJ / Obs.Interna: Entrega futura. Abater do valor a receber referente ao TAJ / E-mail para nota fiscal: , E-mail de cobrança: , Telefone para contato</t>
  </si>
  <si>
    <t>fT0bpnv.RIq05TBPwnAPhQ</t>
  </si>
  <si>
    <t>18687</t>
  </si>
  <si>
    <t>ECO SOLAR E PISCINA</t>
  </si>
  <si>
    <t>8F00250706460010</t>
  </si>
  <si>
    <t>INOVAR TRANSPORTES</t>
  </si>
  <si>
    <t>EXPRESSO SAO MIGUEL S/A / (051) 3586-2013Informação Adicional: REDESPACHO: INOVAR TRANSPORTES E LOGISTICA LTDA-CNPJ: 04.989.756/0007-51 -Rua Carlópolis , 181, Parque São Luiz, Guarulhos- SP  CEP 07170-540 - (11) 2467 5631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</si>
  <si>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8Io2zTmKof3ZTfq4BTGECoc0OMkaA2Ng87Wv4VMzviM5-0z0wb_cpmE9DbGO28R9mYX8SNgdFWA6aBaW2lTYsFVfwRTbelN_RsEFhtQVM6JF62NFX2EXZxsqh8J-6SPnSdcsR3Y7XXLhnJsvaH3MVJIl1Jz1sYdGSoTKsBN0P0PE8nzRGJy51oahw5xpPg_Pe1c5ZlqLZK0lPaRbiFHajnL1iK1LrLmbf96bW5M1pfIqTKRetdBdVNEefXNrwhz9pYFaCCVJUZGjEYj64zm1HQrn0hlgAk8-UGBTpjb-ilN2yRn7r6u_t2xsm0Q&amp;amp;lib=M-zdWbhavtdZ1B_W2dnFDM0qoVt4lWzJ-"&gt;here&lt;/A&gt;.
&lt;/BODY&gt;
&lt;/HTML&gt;
</t>
  </si>
  <si>
    <t>h0q4sdogQy6nU6c5bxGVww</t>
  </si>
  <si>
    <t>18688-A</t>
  </si>
  <si>
    <t>8F00250329030032</t>
  </si>
  <si>
    <t xml:space="preserve">&lt;HTML&gt;
&lt;HEAD&gt;
&lt;TITLE&gt;Moved Temporarily&lt;/TITLE&gt;
&lt;/HEAD&gt;
&lt;BODY BGCOLOR="#FFFFFF" TEXT="#000000"&gt;
&lt;!-- GSE Default Error --&gt;
&lt;H1&gt;Moved Temporarily&lt;/H1&gt;
The document has moved &lt;A HREF="https://script.googleusercontent.com/macros/echo?user_content_key=AehSKLj85H4mki71A8U0uvPEPAgVSfiqO7q9KeQXMjCBUgAY01YOwiPiObfTt0BHXThUdOo8yDgJaBHle7xCd_vW95-Zsyq4_CAN5H0KnS6UUvF3I8kGTl2x7If9xLilV8MLo7g-ANJ5x_hiY1Id0qJE7G59W3_cv4lKM4M_LaThxucmRgmTmOpYZTBf3VcJlbADXTN9tMpVMBqe5Xwla7LCH5NiUASrFPc7QwoCT_-IWeUBFrVH0pp3-CyFsmWHAaU31scYv1-difuVQwZHoYi5oI_oqKDs849xmdexaAun9zW5SbgzZEh80dt4cJiiRw&amp;amp;lib=M-zdWbhavtdZ1B_W2dnFDM0qoVt4lWzJ-"&gt;here&lt;/A&gt;.
&lt;/BODY&gt;
&lt;/HTML&gt;
</t>
  </si>
  <si>
    <t>B.rfP8U6S-esj9bapMbTIw</t>
  </si>
  <si>
    <t>18688-B</t>
  </si>
  <si>
    <t>8F00250529210041</t>
  </si>
  <si>
    <t>FITLOG TRANSPORTES E LOGISTICA LTDA / (048) 996277956Informação Adicional: Frete FOB com redespacho pela IVY LOGISTICA E TRANSPORTES EIRELI, CNPJ 32.381.000.0002-56 - RUA: URUGUAIANA,197 - CID IND SATELITE DE SP - CEP 07223-230 - GUARULHOS-SP / Obs.Interna: Mario-PRAZO 30/60/90/120 DS .Autorizado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</si>
  <si>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aiv4W3gusImBefWSuIXTCZtcscci1xivfCtTP2PdbvqK6gyvft_4gliPbzpprenCMQfNmk4QKZqHL9D57TsN4C5V0TplFdPVb9TWG5QPwobdshSAq1XYXrIOVWeUyIfuaAloCyXY8IOW3DR4H7X5Q1I4uubxBd35EwQl_xwNQ71CyBwfRehQCGNuhDoKy265pQGhDxmgGNYKFXBKU1ZY_bC216zIzWCboAS8difDIzMCa_JMZSioCICA3NB-at4mTwmV71W5lmbfEqcOR9cv6wgSbotcYI2Az34G5UN_E5wIQN-E1egSijlU0sQ&amp;amp;lib=M-zdWbhavtdZ1B_W2dnFDM0qoVt4lWzJ-"&gt;here&lt;/A&gt;.
&lt;/BODY&gt;
&lt;/HTML&gt;
</t>
  </si>
  <si>
    <t>O1e.ffcBQbCylATkC1XelQ</t>
  </si>
  <si>
    <t>18689-A</t>
  </si>
  <si>
    <t>8F00250208100001</t>
  </si>
  <si>
    <t>RETIRADA NA FABRICA / (0) Informação Adicional: cliente retira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</si>
  <si>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x8ZPQGR9ZsRWHXXCW3f0m93kpJ2tKzSH-PPJvL9IFSesEMrNZoRf5SSVXPNC8kNZMAYEjqes6lwFMzFaZolsvyYZu_PCQMnxtEhyI0sZu_4ETcjOr1dB6huB_DHNWoYRvBj2V1k1k7c811QehqalgBbrAIFkfRi5xD4AwWt7O6FN3QjlbZhw8l4ZybAs6dAtTantsDGJncaciftzkxX4j6WPA3pl0e8naJ7hI47xzgRIR7pmba4T-FwwRWPbrSMzglMRfXUxBlDrXQhl4mj_jRwOjgFB3qRWET0Lr3LAG-DEze5gLmKEzBxsosg&amp;amp;lib=M-zdWbhavtdZ1B_W2dnFDM0qoVt4lWzJ-"&gt;here&lt;/A&gt;.
&lt;/BODY&gt;
&lt;/HTML&gt;
</t>
  </si>
  <si>
    <t>S7Go.iIGSfaXqNrlTKS4ig</t>
  </si>
  <si>
    <t>18689-B</t>
  </si>
  <si>
    <t>8F00250329030016</t>
  </si>
  <si>
    <t xml:space="preserve">&lt;HTML&gt;
&lt;HEAD&gt;
&lt;TITLE&gt;Moved Temporarily&lt;/TITLE&gt;
&lt;/HEAD&gt;
&lt;BODY BGCOLOR="#FFFFFF" TEXT="#000000"&gt;
&lt;!-- GSE Default Error --&gt;
&lt;H1&gt;Moved Temporarily&lt;/H1&gt;
The document has moved &lt;A HREF="https://script.googleusercontent.com/macros/echo?user_content_key=AehSKLj4Y7HpvSpbjFfKee7vaC6Jw-KeDQ5yXfSL5mKhVOCQ6_0J1rvRMXkUuKErnbgPJir3kJR6pvM46uchL5ey_tTg_PHZWstuPa2cw0Wib6chEimnbZ8iXMI-lcpN-O3NTbKZgsAHz-FuVXhbnELnH1ynfW8636jnMwpV0p2s5rIW__exzELl4xWPkrq5ylge8R79b8u_LUNJ3GF87Q1UOHUdpURjU2sabrhX8HGuz1Wx06f7WM_5an-PpxFzihpFveLRCWm7pt2XsbVFTcOHDwgeXrc53Zr9jyrJOvsh20I517_Hcguoad8xO24gCg&amp;amp;lib=M-zdWbhavtdZ1B_W2dnFDM0qoVt4lWzJ-"&gt;here&lt;/A&gt;.
&lt;/BODY&gt;
&lt;/HTML&gt;
</t>
  </si>
  <si>
    <t>iT2O0fGmlP3T2TDiLKI3</t>
  </si>
  <si>
    <t>18689-C</t>
  </si>
  <si>
    <t>8F00250329030018</t>
  </si>
  <si>
    <t xml:space="preserve">&lt;HTML&gt;
&lt;HEAD&gt;
&lt;TITLE&gt;Moved Temporarily&lt;/TITLE&gt;
&lt;/HEAD&gt;
&lt;BODY BGCOLOR="#FFFFFF" TEXT="#000000"&gt;
&lt;!-- GSE Default Error --&gt;
&lt;H1&gt;Moved Temporarily&lt;/H1&gt;
The document has moved &lt;A HREF="https://script.googleusercontent.com/macros/echo?user_content_key=AehSKLggiq8PrCWHNZDjzyKMcHNaM8qTc8MucLoIoen7rk-sw1_Re6Pkpy4mmGiHU74ivSmE2es_IbygIIYdMT_zUMuqcWZYYjlPdzGG_vDXOj6JoJ3JWPja62e3VN8E-ldIOShBPFb_I_AgINQb2zYrZe1mPI_1gYZXDts1zIRYoGas3lTxUB5_vMJFonEhvfJO4mdunkzmhqnO2HBvhaKjJ0p_fvBdJK4W-MqsEtHYlx16vyb-bUWSQXT1KajGMjAhTlHe0hUg_Y4Ey5nfOs_ESi453CqNvREhrTAdDycd4DDx6qhBOewnJDhtRzuGWw&amp;amp;lib=M-zdWbhavtdZ1B_W2dnFDM0qoVt4lWzJ-"&gt;here&lt;/A&gt;.
&lt;/BODY&gt;
&lt;/HTML&gt;
</t>
  </si>
  <si>
    <t>FHzcBe8Yw7vvX2JwOu63</t>
  </si>
  <si>
    <t>18690-A</t>
  </si>
  <si>
    <t>8F00250329030038</t>
  </si>
  <si>
    <t>EXPRESSO SAO MIGUEL S/A / (049) 3361-6627Informação Adicional: VALOR DE CADA MAQUINA R$  7939,00 CADA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</si>
  <si>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QJG1_yO5mqNhBpdizeh69c-4crqh0JWNaejQB5LgSf9hHGkH9mFaHXgY-osPHLG1zO2Hby2h8nPsBrP_a-Y57ag8qs58hv2IyOM3B7fRJPrZ9dWQ8ge6GwY9ctExG0Y6faRpeyMlVK7oY7xbSP2Qe1Y_bjNP-2by5t2CTqjwd59pegZtJqRlu-b4NuXdkAOCKxQfyO96rO0II5J5VRhpuOc7cxlYCOgmrZYk0O2WgRTgpwyw0tiKk19YgGyrcHq_PhaUGKdkHcouaVjx0rIJpgEHhNQaBOVGjCDE87FhFVBX-WnlKNtpG29_1Q&amp;amp;lib=M-zdWbhavtdZ1B_W2dnFDM0qoVt4lWzJ-"&gt;here&lt;/A&gt;.
&lt;/BODY&gt;
&lt;/HTML&gt;
</t>
  </si>
  <si>
    <t>KL0PCJ9aT.y0u.fq0kcyFA</t>
  </si>
  <si>
    <t>18690-B</t>
  </si>
  <si>
    <t>8F00250329030040</t>
  </si>
  <si>
    <t xml:space="preserve">&lt;HTML&gt;
&lt;HEAD&gt;
&lt;TITLE&gt;Moved Temporarily&lt;/TITLE&gt;
&lt;/HEAD&gt;
&lt;BODY BGCOLOR="#FFFFFF" TEXT="#000000"&gt;
&lt;!-- GSE Default Error --&gt;
&lt;H1&gt;Moved Temporarily&lt;/H1&gt;
The document has moved &lt;A HREF="https://script.googleusercontent.com/macros/echo?user_content_key=AehSKLiEEQ3BTBUhiqpRLCZkMhQJTwXpddpTTnTbVxt6YW4g_WkXCJv9CmpXcHZgmsGEEEym2EQbOK4uxm86ylwLYezsx6Mk9UdvlH4aggYZPTzbPaLKFgPm4ibNoF7CciWFYRYcBvWsRcbP9gnQ0IJeMKTAprwKcYkSBttTyn-qfIm191jf0JGTVymjiW3ICd0YORLNw1zIaQge68n9h3_aRuSGFcP6eLSOPJLiZbKr1345UUKK9mKyWn2DhCkwtqR5hedNQEox3g3j9lTP6G6o7N0Ss7mFZyx8sxwTAONXncz3jzK2MNo1wRrV3QJ37w&amp;amp;lib=M-zdWbhavtdZ1B_W2dnFDM0qoVt4lWzJ-"&gt;here&lt;/A&gt;.
&lt;/BODY&gt;
&lt;/HTML&gt;
</t>
  </si>
  <si>
    <t>6PBLtkNohZTsUeddCXud</t>
  </si>
  <si>
    <t>18690-C</t>
  </si>
  <si>
    <t>8F00250329030039</t>
  </si>
  <si>
    <t xml:space="preserve">&lt;HTML&gt;
&lt;HEAD&gt;
&lt;TITLE&gt;Moved Temporarily&lt;/TITLE&gt;
&lt;/HEAD&gt;
&lt;BODY BGCOLOR="#FFFFFF" TEXT="#000000"&gt;
&lt;!-- GSE Default Error --&gt;
&lt;H1&gt;Moved Temporarily&lt;/H1&gt;
The document has moved &lt;A HREF="https://script.googleusercontent.com/macros/echo?user_content_key=AehSKLiAMkyCQ8BEE4K0sD30Mn42ymY2ujBX1TmIt4GJc78YTFuGhgMy0DfuU6VaYQAvRbJlu-uvdiGf0ZBt3jvkGVMXqge7RA-0SjQQughRzs18spm65wZp70IHJ4vhN1tDAz6dh5DPKWvC_Wfc9P5Ej1K48B9s94Uo3eEI8jssUv_s-h-q910QHphZHoK-kCHIyEvunGyWu5O5rcIDGpfBXC6nCvjggoCc2CwevLfIqwOb9eU1Q27wgH7yMz2S_XKu9f5_KgDjZznjqENmkUx9iJyf2u7I7euXgni0thOFs4QCR7PhABZxid5oZj7HaQ&amp;amp;lib=M-zdWbhavtdZ1B_W2dnFDM0qoVt4lWzJ-"&gt;here&lt;/A&gt;.
&lt;/BODY&gt;
&lt;/HTML&gt;
</t>
  </si>
  <si>
    <t>siVXfcQwOexyaVejk5g7</t>
  </si>
  <si>
    <t>18691</t>
  </si>
  <si>
    <t>8F00250526320012</t>
  </si>
  <si>
    <t xml:space="preserve">&lt;HTML&gt;
&lt;HEAD&gt;
&lt;TITLE&gt;Moved Temporarily&lt;/TITLE&gt;
&lt;/HEAD&gt;
&lt;BODY BGCOLOR="#FFFFFF" TEXT="#000000"&gt;
&lt;!-- GSE Default Error --&gt;
&lt;H1&gt;Moved Temporarily&lt;/H1&gt;
The document has moved &lt;A HREF="https://script.googleusercontent.com/macros/echo?user_content_key=AehSKLjNpTAHsc2R9eR0ot_ygZWG-9Q9i8gjYNeiV1bUzruKPLK61QXzSnYKpfoDBgpLUy8u6sBiVZvuii8PLkC_ekbUxUyDjBy6JA-8JgetljzEm-hrEPMCUAwSj1YlQwwtQOkhbVEjBZhRcS0tl51unX-3n1Re16phJbuhTWIZZq4krgdy-7hhzK7mEfAGVOuHfnTLPoJI-LChZIj19xAdEOF2rZcZj3Up3gkhFpfI8vrUpNSlbqWze-t86OUC0AzlDwpDnEn47t3Nl4ReFYPEsfqLosbmNqsb-zZs7XzORlRWyNdMXOWYZS3awResNw&amp;amp;lib=M-zdWbhavtdZ1B_W2dnFDM0qoVt4lWzJ-"&gt;here&lt;/A&gt;.
&lt;/BODY&gt;
&lt;/HTML&gt;
</t>
  </si>
  <si>
    <t>LX7ZSKOvSMyFpYRE5ZL0kw</t>
  </si>
  <si>
    <t>18693-A</t>
  </si>
  <si>
    <t>8F00250804170001</t>
  </si>
  <si>
    <t>THEIAR Transportadora e Logística</t>
  </si>
  <si>
    <t>FITLOG TRANSPORTES E LOGISTICA LTDA / (048) 996277956Informação Adicional: Frete FOB com redespacho pela IVY LOGISTICA E TRANSPORTES EIRELI, CNPJ 32.381.000.0002-56 - RUA: URUGUAIANA,197 - CID IND SATELITE DE SP - CEP 07223-230 - GUARULHOS-SP
30% de entrada, e o restante em 30/60.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</si>
  <si>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AtLtBxNJii-QJNX8VKvBFKOYgtfHdj0h6w_QPwt6hMdJtmWMVhsz17A-3bUzi7ZGI4X03yOAVoTxi00Q1xFruCWWEaBnGn9KpPKUnGOFhy19Duf7pPTZ362U1u490bBB6EZcm89g_IORZUlbRQ17uK0R3YWTc8FRI5yJxmwTGyarKesqKmyrUiRis1oF4aUy-gIAlquKm4CMWonZG2ANQh8mgsqa49wL5XE9TIzbDdFsuaik6MboQ2vQeqLMh_a6tYAxGKO5hjhSNzg4lQRg_5zapaJaUwVKR6AspuDKh60cu8RiVyDlRdad0Qg&amp;amp;lib=M-zdWbhavtdZ1B_W2dnFDM0qoVt4lWzJ-"&gt;here&lt;/A&gt;.
&lt;/BODY&gt;
&lt;/HTML&gt;
</t>
  </si>
  <si>
    <t>c-WqVq6UT.GnLSyXFOa1Eg</t>
  </si>
  <si>
    <t>18693-B</t>
  </si>
  <si>
    <t>8F00250804170002</t>
  </si>
  <si>
    <t xml:space="preserve">&lt;HTML&gt;
&lt;HEAD&gt;
&lt;TITLE&gt;Moved Temporarily&lt;/TITLE&gt;
&lt;/HEAD&gt;
&lt;BODY BGCOLOR="#FFFFFF" TEXT="#000000"&gt;
&lt;!-- GSE Default Error --&gt;
&lt;H1&gt;Moved Temporarily&lt;/H1&gt;
The document has moved &lt;A HREF="https://script.googleusercontent.com/macros/echo?user_content_key=AehSKLiRfW48eqyUeGVrHGsVyIlTIRKNQKHMPCcTCyQSCrHn0oXALhIJYDZNlvWuWzKqM0mzow0FpIIglNebNZRxkoFt9jy5QLg8FQQwNiysDj_B3q_3FKhWxl2-L2OQIzsmWhgK_MBjiMsnjboE994lRC_bGZbPDH7tE1ocv9pSPrlJ30E526fuWaHuH1GOBMK9dxfj1wQnWzWow4O5eCSiKf0eEViTLanE92r5x1blPEl5AxCCww1K3X02KLWoaf5AFqposaUN7BnHLJ_1fst-8BFSmuRlCYDFBYYZ6z5qc1Kzg9t636vMitbWooO4zg&amp;amp;lib=M-zdWbhavtdZ1B_W2dnFDM0qoVt4lWzJ-"&gt;here&lt;/A&gt;.
&lt;/BODY&gt;
&lt;/HTML&gt;
</t>
  </si>
  <si>
    <t>8jeOzonFBB6Ghj2vDLdm</t>
  </si>
  <si>
    <t>18693-C</t>
  </si>
  <si>
    <t>8F00250804170004</t>
  </si>
  <si>
    <t xml:space="preserve">&lt;HTML&gt;
&lt;HEAD&gt;
&lt;TITLE&gt;Moved Temporarily&lt;/TITLE&gt;
&lt;/HEAD&gt;
&lt;BODY BGCOLOR="#FFFFFF" TEXT="#000000"&gt;
&lt;!-- GSE Default Error --&gt;
&lt;H1&gt;Moved Temporarily&lt;/H1&gt;
The document has moved &lt;A HREF="https://script.googleusercontent.com/macros/echo?user_content_key=AehSKLhmWj3BW3I4LcPvuHwkVh_TZmtYW94c-o2X6lbdyR7jzUzeQ5_1DbNB614Sm5HYqYdbz8M9_6THe9ZO-VMi-CAOgyH-ig4AAkVYFfn4axPqST_erah3oNv1YL2ZtelsxJXhCrpPNUUmB89RgflZ6CV6FQwcB21RUCi2ecDrhZs4MNZX9g3O-Zg1L0DzWVgTWXphOEwobJaKRVr4hMCEWS9wMnuSmNCtB8gTymk7RJHxc6rqXDef-xsXxBiLc2DZUPGzNwtx7oXnwfiyrRhUNIY32T86wvIoXYO153ZjeLmuLnGza54Z-4d_ud-h3A&amp;amp;lib=M-zdWbhavtdZ1B_W2dnFDM0qoVt4lWzJ-"&gt;here&lt;/A&gt;.
&lt;/BODY&gt;
&lt;/HTML&gt;
</t>
  </si>
  <si>
    <t>UueDqB5lXOP8qinnMVMf</t>
  </si>
  <si>
    <t>18693-D</t>
  </si>
  <si>
    <t>8F00250804170003</t>
  </si>
  <si>
    <t xml:space="preserve">&lt;HTML&gt;
&lt;HEAD&gt;
&lt;TITLE&gt;Moved Temporarily&lt;/TITLE&gt;
&lt;/HEAD&gt;
&lt;BODY BGCOLOR="#FFFFFF" TEXT="#000000"&gt;
&lt;!-- GSE Default Error --&gt;
&lt;H1&gt;Moved Temporarily&lt;/H1&gt;
The document has moved &lt;A HREF="https://script.googleusercontent.com/macros/echo?user_content_key=AehSKLi7oFfc9GtWUOUIVDCDEF6XJUpPhVSavxs3rYSPjM2eq0yy8DMPaCmpLvtaJaQji2Gea3W90P5VSFLJTjwHAiNISUMJptOWYQZDAKb0mSsCSPqEm0IeZL1f1VmB283lUfuTRkYJ3zqdP3mO_qH8Sz7hun8u55_w45YxiW-TNMt89ewYv2sNdEf1XSLyjd-vC6JEB0L8kLo2qllpXacqL18KzO94RLChoZHzz4hboNio05965ziypYm0pE0oPhDf-8aa2QroH7-rmKzxRcp-13icAiRC9ovabXDeAySrGZcG77lYnfby0QvcG_bSeA&amp;amp;lib=M-zdWbhavtdZ1B_W2dnFDM0qoVt4lWzJ-"&gt;here&lt;/A&gt;.
&lt;/BODY&gt;
&lt;/HTML&gt;
</t>
  </si>
  <si>
    <t>sJgXm8xh0XzXm6teU1eQ</t>
  </si>
  <si>
    <t>18693-E</t>
  </si>
  <si>
    <t>8F00250706370020</t>
  </si>
  <si>
    <t>FITLOG TRANSPORTES E LOGISTICA LTDA / (048) 996277956Informação Adicional: Frete FOB com redespacho pela IVY LOGISTICA E TRANSPORTES EIRELI, CNPJ 32.381.000.0002-56 - RUA: URUGUAIANA,197 - CID IND SATELITE DE SP - CEP 07223-230 - GUARULHOS-SP
30% de entrada, e o restante em 30/60.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</si>
  <si>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vIKoO5GusXGsuQujLUYXJohbONTE4asKP_epNrcDdCQiA7TamxcRu4uOg7Ik7s-wf5qxI_wdhl0G2RVs6qUDywEJnLUJ9BtT9wt-fJQOm9ie1Yi0jgo3W7e74vJMykjBpOf0l98gjwgSh6GH2WhuE8vaPP-aWAfTTQyqrhxD6laR00p7CNE0WUlyV0twcRSlsK3PuExnTRVEyUN1XLX0wV4zABqlMxo7r-SxgQIxPN32L0_0xLszdkrcUH735cB7r9hNQuKiFXRAdKGMZRJQcy_6blh5FiKL_2vBsNtGrCJ76tOZd7IFEsoTGhg&amp;amp;lib=M-zdWbhavtdZ1B_W2dnFDM0qoVt4lWzJ-"&gt;here&lt;/A&gt;.
&lt;/BODY&gt;
&lt;/HTML&gt;
</t>
  </si>
  <si>
    <t>6gJTHRn1Qc2MvkpT3HMUAQ</t>
  </si>
  <si>
    <t>18694</t>
  </si>
  <si>
    <t>SOLARTEC COMERCIO E SERVICOS</t>
  </si>
  <si>
    <t>8F00250329030036</t>
  </si>
  <si>
    <t>RODONASA</t>
  </si>
  <si>
    <t>FITLOG TRANSPORTES E LOGISTICA LTDA / (048) 996277956Informação Adicional: Frete Fob com redespacho pela  / E-mail para nota fiscal: , E-mail de cobrança: , Telefone para contato
Frete Fob com redespacho pela RODONASA
CNPJ 10.386.287/0002-74
R ALEXANIA , 157 -  CIDADE INDUSTRIAL SATÉLITE DE SÃO PAULO  - GUARULHOS
TELEFONE : (11) 3843-3378</t>
  </si>
  <si>
    <t xml:space="preserve">&lt;HTML&gt;
&lt;HEAD&gt;
&lt;TITLE&gt;Moved Temporarily&lt;/TITLE&gt;
&lt;/HEAD&gt;
&lt;BODY BGCOLOR="#FFFFFF" TEXT="#000000"&gt;
&lt;!-- GSE Default Error --&gt;
&lt;H1&gt;Moved Temporarily&lt;/H1&gt;
The document has moved &lt;A HREF="https://script.googleusercontent.com/macros/echo?user_content_key=AehSKLjodA4OWHxVWHvptu7aKTfyXc5V7B5yDiGanvnQ2gypWArrGMDCjLg6xVXq5tAJE9lLIRndcvDVXjUsxBec-U3jmJCXctCIVC15N4Bpfvu57P6EIJ-OCWP72haYH4lWYuZlPctdvE8QXNribHqROniw5T1Q9z7dbaoNapzbTS8qEXIrFhxeELtNzPAmUP8IYTSvBzh9TFb7Bwlj9C5btVA7UJPTkxJ7HjWHf9Nw0t4h6XdTIp1bP3jKUTIHkAxscroCtjA7o0Qc-2BFntS7jHRT286-W2cGL6uw7SCthu0zEehpihmZPDZRyZ43DQ&amp;amp;lib=M-zdWbhavtdZ1B_W2dnFDM0qoVt4lWzJ-"&gt;here&lt;/A&gt;.
&lt;/BODY&gt;
&lt;/HTML&gt;
</t>
  </si>
  <si>
    <t>s0j75-x.Sv-FZhHNaoFTfw</t>
  </si>
  <si>
    <t>18695</t>
  </si>
  <si>
    <t>8F00250329030037</t>
  </si>
  <si>
    <t xml:space="preserve">&lt;HTML&gt;
&lt;HEAD&gt;
&lt;TITLE&gt;Moved Temporarily&lt;/TITLE&gt;
&lt;/HEAD&gt;
&lt;BODY BGCOLOR="#FFFFFF" TEXT="#000000"&gt;
&lt;!-- GSE Default Error --&gt;
&lt;H1&gt;Moved Temporarily&lt;/H1&gt;
The document has moved &lt;A HREF="https://script.googleusercontent.com/macros/echo?user_content_key=AehSKLg4zvpLG7GX-vzf0Qv45kzpBlH1-ohe5Bkz-o4wqCVsBxH_diXKFkICA3QLBqkgTvuQRGQoHpKM1sMVd0QgWN4OK4F6TLYzm5Qo-mHN3zVJH-IY8uOKQT7ZZQlliR63YPRt22UQQHxWWrzO5xELG-bIx8B2xJCpr8XvrnLIm5csSIfPpb3gTwjLo6tZcCCs9-fbPwLx2TUAXzpWGBRNsOVK5uK7XasdtBu2g7gC_zgdmCTwLNTmFTwmuzHqcD5HxlzdcBrJi_BxPExSN-qv1hRtFMeBqZUTo3XXzUsPoQlAqsSQW97N4lCgJlqiNg&amp;amp;lib=M-zdWbhavtdZ1B_W2dnFDM0qoVt4lWzJ-"&gt;here&lt;/A&gt;.
&lt;/BODY&gt;
&lt;/HTML&gt;
</t>
  </si>
  <si>
    <t>EgMIqM.KTPOjMYoUa1SozA</t>
  </si>
  <si>
    <t>18696-A</t>
  </si>
  <si>
    <t>LIDER &amp; CIA MULT SERVICOS</t>
  </si>
  <si>
    <t>EXPRESSO SAO MIGUEL S/A / (051) 3586-2013Obs.Interna: cliente aguardará chegada da fti35  / E-mail para nota fiscal: , E-mail de cobrança: , Telefone para contato</t>
  </si>
  <si>
    <t>tCfUmfTjQH2LvNQe.BLF2Q</t>
  </si>
  <si>
    <t>18696-B</t>
  </si>
  <si>
    <t>gaX66ZrCoEKHzjpm2sIE</t>
  </si>
  <si>
    <t>18698-A</t>
  </si>
  <si>
    <t>8F00250329030045</t>
  </si>
  <si>
    <t>EXPRESSO SAO MIGUEL S/A / (049) 3361-6627Informação Adicional: FTI 75 VALOR DE R$9609,11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</si>
  <si>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LCNFMHMnndYtcVTkjN1p_6lA7Xx2ZaEco8-38u0nV1Ipas_g01nctVrHXaKWyn6ReP8euiE23d8m73OYrIOD3XRQFDSBPIj7yLHQ6fj0i5f3XzKfbZ9vPiwdK_CjvuTZUdLLlmZeGeKxk8399eHqCrD4irnSF_SW_tRdCVz1d2ev0vP6x-ftwc0rbvBsdUefIBq2CqTGOQzJ9TLxB0fsEZJ9Pa4-1fwvgKhoN7EAu6-WDiZOi_exWCYzW38wZQAkKtMSu0wh9j-ntLF0O14op6T20osc_3dJxuQtgzVLzQfwayN_gdgGzvRY3rg&amp;amp;lib=M-zdWbhavtdZ1B_W2dnFDM0qoVt4lWzJ-"&gt;here&lt;/A&gt;.
&lt;/BODY&gt;
&lt;/HTML&gt;
</t>
  </si>
  <si>
    <t>mQ-d7NSmRV2Mt5CYgD0dAw</t>
  </si>
  <si>
    <t>18698-B</t>
  </si>
  <si>
    <t xml:space="preserve">&lt;HTML&gt;
&lt;HEAD&gt;
&lt;TITLE&gt;Moved Temporarily&lt;/TITLE&gt;
&lt;/HEAD&gt;
&lt;BODY BGCOLOR="#FFFFFF" TEXT="#000000"&gt;
&lt;!-- GSE Default Error --&gt;
&lt;H1&gt;Moved Temporarily&lt;/H1&gt;
The document has moved &lt;A HREF="https://script.googleusercontent.com/macros/echo?user_content_key=AehSKLiJ1mrxiRt8JajyXUZPoC0kt4q_CnypDZ9YVh2Hb0p-5adwvZsCf5sKJz2AE84XT8GhE5IZbWqZmdmY9Rzxoz88w6Y22P0a8tX485gMbpjZ3iSxtezMMpFHv-wrm_S3wXvdKbKTnJ_wJjGmqZ1daUpTKeLZEbeRJmi-_FRblJOsDrK1eu_Bt4-zj_IosvuCzl3cP3LGrfGHObPPnBckXyt8HY3bjKVxE9MJ0KD6MQn3VcnJq0LdF0HKpjeiX6jmDZhJ-X8Kn1WG4xBSlLuuO2cjKCJEQI5gtFwSTPikxDdsukAgYqAvuFmqk0wRnQ&amp;amp;lib=M-zdWbhavtdZ1B_W2dnFDM0qoVt4lWzJ-"&gt;here&lt;/A&gt;.
&lt;/BODY&gt;
&lt;/HTML&gt;
</t>
  </si>
  <si>
    <t>1JEpMVCFtUjXVFNYrgDe</t>
  </si>
  <si>
    <t>18698-C</t>
  </si>
  <si>
    <t>8F00250706370004</t>
  </si>
  <si>
    <t xml:space="preserve">&lt;HTML&gt;
&lt;HEAD&gt;
&lt;TITLE&gt;Moved Temporarily&lt;/TITLE&gt;
&lt;/HEAD&gt;
&lt;BODY BGCOLOR="#FFFFFF" TEXT="#000000"&gt;
&lt;!-- GSE Default Error --&gt;
&lt;H1&gt;Moved Temporarily&lt;/H1&gt;
The document has moved &lt;A HREF="https://script.googleusercontent.com/macros/echo?user_content_key=AehSKLjmKsSeZsqA1tHCM4FmgZQPMiATKiTC0WagKPDU2cDBRe6dMHRN23QtYlNL8YLZa_dOzv5eU2r6izX52RrUHm7k_8wXBkQkOweYdhBhFl2XPEw0UvW_h48sSb-k9yUVUoSp2cMkpREUbP9gYfBL_x6_ijJt9Bw5SznFT8hie5wesNNAyrlf8Yq0sypammCXkLckav9UWgkpTVoUjEFOE5xeKUKfY22OKwPDlVF3ZJ2eAE1sn5inmd3bb6d0vWp53qDm58vVYRU5FapGusSP9bsrrVkjSxxC9rwMdkFUEnh8OdQx_2-7phFYVa19ew&amp;amp;lib=M-zdWbhavtdZ1B_W2dnFDM0qoVt4lWzJ-"&gt;here&lt;/A&gt;.
&lt;/BODY&gt;
&lt;/HTML&gt;
</t>
  </si>
  <si>
    <t>IDET7mIR78CdoS31UAWF</t>
  </si>
  <si>
    <t>18698-D</t>
  </si>
  <si>
    <t>8F00250706370005</t>
  </si>
  <si>
    <t xml:space="preserve">&lt;HTML&gt;
&lt;HEAD&gt;
&lt;TITLE&gt;Moved Temporarily&lt;/TITLE&gt;
&lt;/HEAD&gt;
&lt;BODY BGCOLOR="#FFFFFF" TEXT="#000000"&gt;
&lt;!-- GSE Default Error --&gt;
&lt;H1&gt;Moved Temporarily&lt;/H1&gt;
The document has moved &lt;A HREF="https://script.googleusercontent.com/macros/echo?user_content_key=AehSKLgfQSTg5AwxglGRQqEAgnhnRWf4GeOQdRc2dPc9m9zmCm29rIdhlA53C8f7FdP6P1ikjo-LxS8b4onux9Srvwdz4l7UsN_R5T5F92-T-R38ZCL9ggSDKsNk3MsA-zjKGmLo-M3U9VSwUdHTl8UmU18Vkt81PwX22rq4HvFTiAvwJEsz8KUtDdu7gM4Bxm4frdFdMTSpXcxqoPtODszRjtZJLjIfdrNXzSwILCICqyj8EGlNM0l2Q8LLNNl5N0pwxBCjeGLvxHl6sax5AbtaHctp-1u8kvevYrjdicnL6HZemFxjJHYWSuSQJmlJ7A&amp;amp;lib=M-zdWbhavtdZ1B_W2dnFDM0qoVt4lWzJ-"&gt;here&lt;/A&gt;.
&lt;/BODY&gt;
&lt;/HTML&gt;
</t>
  </si>
  <si>
    <t>bF9z1OsAyPhJZbK4H1i0</t>
  </si>
  <si>
    <t>18698-E</t>
  </si>
  <si>
    <t>8F00250529210051</t>
  </si>
  <si>
    <t xml:space="preserve">&lt;HTML&gt;
&lt;HEAD&gt;
&lt;TITLE&gt;Moved Temporarily&lt;/TITLE&gt;
&lt;/HEAD&gt;
&lt;BODY BGCOLOR="#FFFFFF" TEXT="#000000"&gt;
&lt;!-- GSE Default Error --&gt;
&lt;H1&gt;Moved Temporarily&lt;/H1&gt;
The document has moved &lt;A HREF="https://script.googleusercontent.com/macros/echo?user_content_key=AehSKLj846HVWJRqU1sKANV0NXSGZ0QuUbPlwWIteXibFrQA6tPbjWpFYgLM7Oysq8M9e4NfER5DtDtTskfT0nW5x5KP6idMhmeA6rf5mlZhDZC1RHRKAx_O9Qnxoz6tRot_wTf0PD9AlalyVsBRMqtiqd8DSV88IQBPBVquHCei_ENcryXG7eTbIAu4uEXX10-wDt-TdlrZnqyhWRWQedUJKkREWnGs5xZK33RN2W-AEiU7KkZVVWqfO_G5-4RDL7DXrexfPliiCebGsM-4PmNgh1xc38d_skcDaa9r3G-KfqdMSek85Vva5qdHwDivmg&amp;amp;lib=M-zdWbhavtdZ1B_W2dnFDM0qoVt4lWzJ-"&gt;here&lt;/A&gt;.
&lt;/BODY&gt;
&lt;/HTML&gt;
</t>
  </si>
  <si>
    <t>XMe1E13fT6n7IL89X8p6</t>
  </si>
  <si>
    <t>18699</t>
  </si>
  <si>
    <t>ROYAL BLUE COMERCIO DE PISCINAS</t>
  </si>
  <si>
    <t>EXPRESSO SAO MIGUEL S/A / (049) 3361-6627Informação Adicional: valor da maquina R$ 4845,42 / E-mail para nota fiscal: , E-mail de cobrança: , Telefone para contato</t>
  </si>
  <si>
    <t>HgTRqCZ7TUiXbNPyQjbC5w</t>
  </si>
  <si>
    <t>18702-A</t>
  </si>
  <si>
    <t>SOLARTEC SOLUCOES TECNOLOGICAS EM ENERGIA SUSTENTAVEL LTDA</t>
  </si>
  <si>
    <t>8F00250706320009</t>
  </si>
  <si>
    <t>FITLOG TRANSPORTES E LOGISTICA LTDA / (048) 996277956Informação Adicional: Entrada de 33% para garantir as maquinas, e os prazos dos boletos serão contados após a saida das maquinas da Fromtherm, autorizado pelo Mario.
Frete Fob com redespacho pela Prontlog CNPJ SP - 44.781.745/0001-00 - RUA SOLDADO AMERICO RODRIGUES, 131 - GALPÃO B - PARQUE NOVO MUNDO CEP 02.186-020.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</si>
  <si>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jsTTQWtXo8BkR4leH6UAD3WPcgG5p06e2DFj8U4z4JNrAeVwxCqT4Zv1sx6Z4xCLShPVe2jALCV-JH0Kj62GpFnIfrCcJpCFw5_f1qzwtNoGwQNBMchKLj9dtRmesXYreI7bZKbEmaA7cHDuJ_creZolxjc8mcgZmFU88oxMxqtKELmr0bkHpgY1OT7a1Ju8IDqTGUnVI7y51cCMYZNin1xOahGnJpiIXWIvhGg9cFc9viSR2sZECFTX9RtJMya-IkOSbdVdmdohYm0hLB_X6qBx0N_ODBCng2Udcsip_JeeIHEdR4hCTbVJAg&amp;amp;lib=M-zdWbhavtdZ1B_W2dnFDM0qoVt4lWzJ-"&gt;here&lt;/A&gt;.
&lt;/BODY&gt;
&lt;/HTML&gt;
</t>
  </si>
  <si>
    <t>G8ZdiYYoS2eSyFORuDJB4A</t>
  </si>
  <si>
    <t>18702-B</t>
  </si>
  <si>
    <t>8F00250706320014</t>
  </si>
  <si>
    <t xml:space="preserve">&lt;HTML&gt;
&lt;HEAD&gt;
&lt;TITLE&gt;Moved Temporarily&lt;/TITLE&gt;
&lt;/HEAD&gt;
&lt;BODY BGCOLOR="#FFFFFF" TEXT="#000000"&gt;
&lt;!-- GSE Default Error --&gt;
&lt;H1&gt;Moved Temporarily&lt;/H1&gt;
The document has moved &lt;A HREF="https://script.googleusercontent.com/macros/echo?user_content_key=AehSKLil5y2BWd8EoRnGQSzyutaD1GZSGLgtiQBsLZI7NcvalNRx5Wq_tYoIflGJAFnKgIxqnnh1x6dmqur8OyZlLRl_uQt1TeX817eQ9TYEQ3h92_dLsAKTk-wTKT46Uj6WZHsNfxH_5Yl825SwS2EnNw3-0ZrtfqBzSKUJwBPzu3GBywVQGi9lxXC-Usm5DwHZeIWJLnrK2YwTkPflO1e3ujVZuIhxqK15ne8R3xxUyGKRQmkvBTrcJRAzNUravBH2p4QDdz6iNIb_1XLbdZbji_ZhlpoN2aHhOYDrJy07AzVSC8Fg6DM_RD_J6qfWgw&amp;amp;lib=M-zdWbhavtdZ1B_W2dnFDM0qoVt4lWzJ-"&gt;here&lt;/A&gt;.
&lt;/BODY&gt;
&lt;/HTML&gt;
</t>
  </si>
  <si>
    <t>Y7QRQJBThZ7QqgGUVxfS</t>
  </si>
  <si>
    <t>18705</t>
  </si>
  <si>
    <t>8F00250329030042</t>
  </si>
  <si>
    <t>Pedido integrado hj, devido ao aguardo de resposta do YAN-que está na IRLANDA DO NORTE .
FITLOG TRANSPORTES E LOGISTICA LTDA / (048) 996277956Informação Adicional: Pedido de Compra Nº 8000 / E-mail para nota fiscal: , E-mail de cobrança: , Telefone para contat</t>
  </si>
  <si>
    <t xml:space="preserve">&lt;HTML&gt;
&lt;HEAD&gt;
&lt;TITLE&gt;Moved Temporarily&lt;/TITLE&gt;
&lt;/HEAD&gt;
&lt;BODY BGCOLOR="#FFFFFF" TEXT="#000000"&gt;
&lt;!-- GSE Default Error --&gt;
&lt;H1&gt;Moved Temporarily&lt;/H1&gt;
The document has moved &lt;A HREF="https://script.googleusercontent.com/macros/echo?user_content_key=AehSKLh0yo2qZ2uFgtVaK2z5GyANVPjiB76JLtxqxVDY-glQTjGqJ2jA2-nqwWwSLkeV8EJDJc7KXRYoIyaS5dyp5AcyslrE4_XQJxUoljov3JV_hRUVYaaOXlFVhZVJrE5_tzDy-qytKwvJUvmCba1la7AnCO8FVauFYP33Boyvp4TwOjTF08FqhgvHWf2_bTLmeGGRdzPNMOva7VFAptQQLFxUUv1GrDNoWF8sZOcjB-1cd1ymRwpVfkpZIpjwwk3Qphp0ukkwrRvPBLx4U9fhLl6P1TBP8wEC1LE0V4XXoA6llGHHBnWqETtqttuX5A&amp;amp;lib=M-zdWbhavtdZ1B_W2dnFDM0qoVt4lWzJ-"&gt;here&lt;/A&gt;.
&lt;/BODY&gt;
&lt;/HTML&gt;
</t>
  </si>
  <si>
    <t>cY-WBnH6RUeZk8xWCAwEKA</t>
  </si>
  <si>
    <t>18706-A</t>
  </si>
  <si>
    <t>8F00250526320015</t>
  </si>
  <si>
    <t>FITLOG TRANSPORTES E LOGISTICA LTDA / (048) 996277956Informação Adicional: Pedido de Compra Nº 8000 / Obs.Interna: Pedido integrado hj, devido ao aguardo de resposta do YAN-que está na IRLANDA DO NORTE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</si>
  <si>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4px7UCFZQn5rmEsK8LE0XmDfyt-U96LiYngNfwJ_Y4dYUusvaNmEwiMMiMJOhZ35r15ZAZIt20g96jw64ZC03iHrjJFPBa8RTMcEbh0reEgoacVlVWE14eVh1evwjRlXuHdMoDftrsLgwQ-SCmIhKXRP0hJf5mc4Wcy4eSc6EWMUsFYm4CYIcR7c7p3dS-sr_e__KLOe3CWATevgnzyAmllAlcShI8pwhMq_G_DUUoECvwnoaw0ZALbaRn8YJt0WJZ7f5iD87sh6wi4O5hJTk1TyrymhNfjcbxHJyAqYtmoC942iYyTVFV5U9CQ&amp;amp;lib=M-zdWbhavtdZ1B_W2dnFDM0qoVt4lWzJ-"&gt;here&lt;/A&gt;.
&lt;/BODY&gt;
&lt;/HTML&gt;
</t>
  </si>
  <si>
    <t>bCasIetfQv-zfuYI6j96rg</t>
  </si>
  <si>
    <t>18706-B</t>
  </si>
  <si>
    <t>8F00250526320014</t>
  </si>
  <si>
    <t xml:space="preserve">&lt;HTML&gt;
&lt;HEAD&gt;
&lt;TITLE&gt;Moved Temporarily&lt;/TITLE&gt;
&lt;/HEAD&gt;
&lt;BODY BGCOLOR="#FFFFFF" TEXT="#000000"&gt;
&lt;!-- GSE Default Error --&gt;
&lt;H1&gt;Moved Temporarily&lt;/H1&gt;
The document has moved &lt;A HREF="https://script.googleusercontent.com/macros/echo?user_content_key=AehSKLhSP4zw39Y5ThYIhoKwLC_fPTu9F1kS-4oM7XAFYnNR6QSoz0219y5q_EY4b6vLI1-rCCOrG-2hFOEMRWQbuoKZDZkhi1bdNMtukDXxQ0EbTBy_sn2nQijEJ2ev-NdQ5SyeFiWUI9CnthzBuNCZVqb-wk7VaNKMF-buysk6qaEvk8NT0mwYGiBSOxRadB9DS30frovuGSj7NlsTzmbQwvSQ3ugFjszOjDuG9oCve09NQWRosD2aHnQrXZOH1VHN5wM5qLljWUGiR4qrgOaFWv_TGxNKoQvdsuiTZr4Cl9DJXpyRSziujaEN1l0NgQ&amp;amp;lib=M-zdWbhavtdZ1B_W2dnFDM0qoVt4lWzJ-"&gt;here&lt;/A&gt;.
&lt;/BODY&gt;
&lt;/HTML&gt;
</t>
  </si>
  <si>
    <t>7yCiHYnFQywFVl33UnpQ</t>
  </si>
  <si>
    <t>18706-C</t>
  </si>
  <si>
    <t>8F00250526320013</t>
  </si>
  <si>
    <t xml:space="preserve">&lt;HTML&gt;
&lt;HEAD&gt;
&lt;TITLE&gt;Moved Temporarily&lt;/TITLE&gt;
&lt;/HEAD&gt;
&lt;BODY BGCOLOR="#FFFFFF" TEXT="#000000"&gt;
&lt;!-- GSE Default Error --&gt;
&lt;H1&gt;Moved Temporarily&lt;/H1&gt;
The document has moved &lt;A HREF="https://script.googleusercontent.com/macros/echo?user_content_key=AehSKLiybwTQvUTpK6Q68_YgV4eacneFueofjdiSUPnHjHm4syeGoJpQhh4ZLCHIvGk_Fg0xs82ojwY-xa2wPtiScvFA3KiHfm3Hqkuzj8e5kJFBtaKj5IPSmcg_UAXDA8em_vDBKubdfCWg9glg0SEgPhIIxQ76vKT8vFtWYKJFqbgKd-S4ir6Tvg1v01mR6k3RLptbDKyqCPROhB9Mzpmao2LcjDmHpkJO6SHrv_IPwpPBl39Z9iLcrW_BAtEhfV3c4NVJHTkgAn5NB4FK-pSrumyx6A4bvwgRYOKwjJn0ICMbgmXCXPY3r3J1rozFXw&amp;amp;lib=M-zdWbhavtdZ1B_W2dnFDM0qoVt4lWzJ-"&gt;here&lt;/A&gt;.
&lt;/BODY&gt;
&lt;/HTML&gt;
</t>
  </si>
  <si>
    <t>DtX51qVMFFYHTBng65Q6</t>
  </si>
  <si>
    <t>18706-D</t>
  </si>
  <si>
    <t>8F00250329030041</t>
  </si>
  <si>
    <t xml:space="preserve">&lt;HTML&gt;
&lt;HEAD&gt;
&lt;TITLE&gt;Moved Temporarily&lt;/TITLE&gt;
&lt;/HEAD&gt;
&lt;BODY BGCOLOR="#FFFFFF" TEXT="#000000"&gt;
&lt;!-- GSE Default Error --&gt;
&lt;H1&gt;Moved Temporarily&lt;/H1&gt;
The document has moved &lt;A HREF="https://script.googleusercontent.com/macros/echo?user_content_key=AehSKLi_A0q9hAPmu6J4f4VvLeN0PHHTY7A9xXdXgcHEwqIziJOAyBrNVQXKw-DfpdvUrd3ewv7jKa3G16zjsC0niB4j8nQdDB-HqmhaIHEa9at1Yah-IaqtM9G0b8-jrXBwt2V9aT08wYPMFlWeGwm7n7suMxkrehASFnMiTOpvWIyTJzYgGYgoUTFB8Ymwj2z6C20HZWfOgXT6JgFumRybTSCbMy6GK0B5ZL1ctLJ1J0PdAUa-Q1T2TEs1G3NVmFFKw-Vk90Niwc_1I3qTOmVxQaJFUe4wiDu20-5LpYJuYR8N6C3vVW60CpQEIOaVsQ&amp;amp;lib=M-zdWbhavtdZ1B_W2dnFDM0qoVt4lWzJ-"&gt;here&lt;/A&gt;.
&lt;/BODY&gt;
&lt;/HTML&gt;
</t>
  </si>
  <si>
    <t>aQxJTcKj8HemsBEWKexF</t>
  </si>
  <si>
    <t>18706-E</t>
  </si>
  <si>
    <t>8F00250329030043</t>
  </si>
  <si>
    <t xml:space="preserve">&lt;HTML&gt;
&lt;HEAD&gt;
&lt;TITLE&gt;Moved Temporarily&lt;/TITLE&gt;
&lt;/HEAD&gt;
&lt;BODY BGCOLOR="#FFFFFF" TEXT="#000000"&gt;
&lt;!-- GSE Default Error --&gt;
&lt;H1&gt;Moved Temporarily&lt;/H1&gt;
The document has moved &lt;A HREF="https://script.googleusercontent.com/macros/echo?user_content_key=AehSKLgJoiypnmqDUG8nBTWjHK7LXxRCFscQ6A09-AnerYUN1pIYpKclSGBi04pvnQFcDYvntUU5kO4HMZ0DpbYgHifc__mHC1NXJ1y8Gr5cG1rOFg4Qz6kUxpdIXZKwKUQ5W7nymJH5E-p0nVU5FOSVLUIOU9aD9aXleF8yAg_3wI7JeRe57yDhQ9nc_sh3j8QAuujRDBI_e2uRzJOXTFewyXlZT74p6NNQUAYtaqZey1yS5EzyHHowplkBF0Ac5eEAeYgfnybk3je7RVfiHRkXUt8Ghh3s2sTwpz-b4IcCRa8NCq58730buft98OQ6lg&amp;amp;lib=M-zdWbhavtdZ1B_W2dnFDM0qoVt4lWzJ-"&gt;here&lt;/A&gt;.
&lt;/BODY&gt;
&lt;/HTML&gt;
</t>
  </si>
  <si>
    <t>GSIDZ6fQclElhieq5Orz</t>
  </si>
  <si>
    <t>18708</t>
  </si>
  <si>
    <t>ACEVILLE TRANSPORTES LTDA / (0) Informação Adicional: DEPÓSITO SERÁ FEITO NA SEXTA DIA 03/10  / E-mail para nota fiscal: , E-mail de cobrança: , Telefone para contato</t>
  </si>
  <si>
    <t>gYoW6eXuTLaiz12-IfIbwg</t>
  </si>
  <si>
    <t>18709</t>
  </si>
  <si>
    <t>AGROMELO</t>
  </si>
  <si>
    <t>8F00250804170009</t>
  </si>
  <si>
    <t>PAGO 14/10
FITLOG TRANSPORTES E LOGISTICA LTDA / (048) 996277956E-mail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</si>
  <si>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jF7B3UeCRRpWHyGkxuuisZtLPlwyqijakpR7nx8jMFqoT9mGpuj69OZ3stkOBt4xdRgR1glWecFiWuEBLzn7wFS4Ekbj4Mh6ebdDwVfpf_azmVD9v3SdGYC_ttrRLKvKyVp3gAk8fz5hLlompts7gTHv6BBO3nv7p4yS1Mrd8eKUEN5iYW67lU5GakwrXmQccsxD-IxufP9tLtKUihGJJH4qDyEwqhTIjoub_BePgBbp7B-s223vGGog424RTh-Rc5BXJN0lOzh6zr_e8uK9_ABO8lvO83AGzyUHlnjNWvKEug0KrP22mdIjgpQ&amp;amp;lib=M-zdWbhavtdZ1B_W2dnFDM0qoVt4lWzJ-"&gt;here&lt;/A&gt;.
&lt;/BODY&gt;
&lt;/HTML&gt;
</t>
  </si>
  <si>
    <t>9ifAzR-xTrq9MFeNDCAprA</t>
  </si>
  <si>
    <t>18711</t>
  </si>
  <si>
    <t>8F00250526320016</t>
  </si>
  <si>
    <t>ACEVILLE TRANSPORTES LTDA / (0) Informação Adicional: PEDIDO CLIENTE 24260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</si>
  <si>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24mSoLc_STULAflaD0a2POu_hSaPnu12FPcrOtB7htli5aDQwFls__uSARO2PO2pnp3RwZSThpbjeJwBv-U4qbddL89IPp4-VxC7p0tt0CiCZr_RkYTNIRXLcKSeCfCYTNHPeT7P9PuGz-3F2DIVsv5ZOXWtwA-Y_AhVxUYJJPBbjXEqR7MAOQ7NqjCwEBeoyHQaAUj96DTpH1L8E9-EtbP-vT0wE6Rw1SrbgPTONiGglLLvSTcMeL5XttP49wXJFximkz479jse9ssvmXm9TSBjvtdvg4f5T2MXdW5iUZiZZHZvS23xrPgip4g&amp;amp;lib=M-zdWbhavtdZ1B_W2dnFDM0qoVt4lWzJ-"&gt;here&lt;/A&gt;.
&lt;/BODY&gt;
&lt;/HTML&gt;
</t>
  </si>
  <si>
    <t>UuCFDE8fQ02Ru1B0oA1aEw</t>
  </si>
  <si>
    <t>18712</t>
  </si>
  <si>
    <t>8F00250706500005</t>
  </si>
  <si>
    <t xml:space="preserve">&lt;HTML&gt;
&lt;HEAD&gt;
&lt;TITLE&gt;Moved Temporarily&lt;/TITLE&gt;
&lt;/HEAD&gt;
&lt;BODY BGCOLOR="#FFFFFF" TEXT="#000000"&gt;
&lt;!-- GSE Default Error --&gt;
&lt;H1&gt;Moved Temporarily&lt;/H1&gt;
The document has moved &lt;A HREF="https://script.googleusercontent.com/macros/echo?user_content_key=AehSKLhDizTvvwE5FeJMaLhPVyWprETxRsXQDbR9EcneZ0UjI5SHM8vX9DrbtoQIkvLa3WZVJ3w3BoNK91Tv61LlKsXkliqKhgNKPvxcAgMV1BH5KXL0zITR1RwKVldRpuqoYFkj-K43AGMBdwxCjIFRv3yMU8-qZ4f2T_HX97wmA5x_K0rB1BGJ8rYxNX-kk1lWloMqBfAQMZeBGjNNzUxi2IqBH1I-LEo6TP0ccubp_uZSB4PssPUaB4ztJv8zMhJT1U56VLpOIccOtvKoNMzNvrVPIPrE23yAlHbREov4x-CHBpDD5Fqn55Uow8KFNw&amp;amp;lib=M-zdWbhavtdZ1B_W2dnFDM0qoVt4lWzJ-"&gt;here&lt;/A&gt;.
&lt;/BODY&gt;
&lt;/HTML&gt;
</t>
  </si>
  <si>
    <t>XXE69LD4R3aYbLZeR2J3lQ</t>
  </si>
  <si>
    <t>18713</t>
  </si>
  <si>
    <t>EXPRESSO SAO MIGUEL S/A / (051) 3586-2013Informação Adicional: valor da maquina R$5383,80 / Obs.Interna: inicio de novembro entrega  / E-mail para nota fiscal: , E-mail de cobrança: , Telefone para contato</t>
  </si>
  <si>
    <t>f.B00-wbRNSPgv2kex8ADA</t>
  </si>
  <si>
    <t>18714-A</t>
  </si>
  <si>
    <t>SETE LAGOS</t>
  </si>
  <si>
    <t>FITLOG TRANSPORTES E LOGISTICA LTDA / (048) 996277956Informação Adicional: Valor correto do total pedido : R$ 13.770,14 (FTI55 - 7.700,00) aprovado pelo Mário Dick
Frete Fob com redespacho pela Sete Lagos SP - CNPJ : 03.098.929/0005-17 - End. : RUA PEDRO DE TOLEDO, 407 - JARDIM SANTA LIDIA - GUARULHOS - SP - CEP 07140-000 / Obs.Interna: PEDIDO DE LIBERAÇÃO , POIS NO DIA 30/08 CLIENTE ESTAVA COM LOJA DESTELHADA.CONFIRMADO PELO REPRESENTANTE DA REGIÃO -MINAS  / E-mail para nota fiscal: , E-mail de cobrança: , Telefone para contato
O REDESPACHO SERA FOB - TRANSP. SETE LAGOS - CNPJ:03.098.929/0005-17 - END: R PEDRO TOLEDO, 407, CEP: 07.140-000</t>
  </si>
  <si>
    <t>wgNyM0lqTb6j3ZAqBn1j-g</t>
  </si>
  <si>
    <t>18714-B</t>
  </si>
  <si>
    <t>8F00250329030044</t>
  </si>
  <si>
    <t xml:space="preserve">&lt;HTML&gt;
&lt;HEAD&gt;
&lt;TITLE&gt;Moved Temporarily&lt;/TITLE&gt;
&lt;/HEAD&gt;
&lt;BODY BGCOLOR="#FFFFFF" TEXT="#000000"&gt;
&lt;!-- GSE Default Error --&gt;
&lt;H1&gt;Moved Temporarily&lt;/H1&gt;
The document has moved &lt;A HREF="https://script.googleusercontent.com/macros/echo?user_content_key=AehSKLgJ3DpcHyKV1kAVJ_4tGDNswQJC4Ldixo0HVpk_g4eQeoz8Cjbv7OThFoudvbR41uaaf0jbmUp5VC2X-6C6zGzweEezldPJuXnZZuVY6d4gq4dm8SIZSsU4Zn2T9BtLGc5QBAms4ul-tTXphcmlsZTOtNQV8zqAWESSud9OrvBXyt0dU8p2X42fmQMFOwzdFjeVZOUSBt9eKV2JguVNlFpIHae0vZUAOupHajHh0VKQSDgHNG8cdpFIsc0c-yhwdCHjZcCbF_a8-LTtY8PIt9Xy9QyZFQj0m9vuzpLtYZvV6nBqaHNXcUcANUH-5Q&amp;amp;lib=M-zdWbhavtdZ1B_W2dnFDM0qoVt4lWzJ-"&gt;here&lt;/A&gt;.
&lt;/BODY&gt;
&lt;/HTML&gt;
</t>
  </si>
  <si>
    <t>rQJ20WD3mtGAGUO2RzSr</t>
  </si>
  <si>
    <t>18715</t>
  </si>
  <si>
    <t>8F00250529210034</t>
  </si>
  <si>
    <t xml:space="preserve">&lt;HTML&gt;
&lt;HEAD&gt;
&lt;TITLE&gt;Moved Temporarily&lt;/TITLE&gt;
&lt;/HEAD&gt;
&lt;BODY BGCOLOR="#FFFFFF" TEXT="#000000"&gt;
&lt;!-- GSE Default Error --&gt;
&lt;H1&gt;Moved Temporarily&lt;/H1&gt;
The document has moved &lt;A HREF="https://script.googleusercontent.com/macros/echo?user_content_key=AehSKLgQdBY2lTNYXb0-g7yt8ekWIkDE6AK3BwTzdQTOZ1y51dNXFGoXarpSAOr5tuE5bPnF7ZYXp0WaYsv7lSv12QGwHhV61QwdbzdnSbbFEs-a5fJ6dilSOyOkQMn4-NkMhllS2BO4TPiKKocygPN9eFMhy7-cfv4GuQPfn1-3MghAB7mewpBRq2Uh8it82tLK9u9OPcHFDw1ypGqpcJYbHNwOZEFuZsOjKwUItlebw7dsSiEqy51fMjoGcQLwuDF6CSFfy1Hts6IlwV0wKWfB-AuVMDvR5LBiTnKwR-b-ClWV6TPZAl0RaZCorvZ9Fg&amp;amp;lib=M-zdWbhavtdZ1B_W2dnFDM0qoVt4lWzJ-"&gt;here&lt;/A&gt;.
&lt;/BODY&gt;
&lt;/HTML&gt;
</t>
  </si>
  <si>
    <t>zLlLFl.-TMWuBKMWr9iVZQ</t>
  </si>
  <si>
    <t>18717</t>
  </si>
  <si>
    <t>FITLOG TRANSPORTES E LOGISTICA LTDA / (048) 996277956Obs.Interna: Equipamento em substituição a nota fiscal n° 13300 de 26/06/2025, por motivo de vazamento de fluído refrigerante, autorizado pelo Abel e Carlos Kubitza, conforme O.S 250348.
Endereço de entrega: Estrada do Matosinho, cond Membeca Lagos, RJ-131 Rancho 25. Bairro Werneck, Paraíba do Sul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</si>
  <si>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gV0VEmVQgdDs3xYfFv8P0hT0uhkwnuwBo3wVWA2Q35kTGeqwmfRMQGgEV9XuXIKVvACRrXBiouKKNeSHQxMtO24xHCBp0hMZgbmFLse0Ek12zxNx5UHFjrbJvj2QdhxTIsdtCVUluBEi1BTLe2tlYTXgkkI2CtN4Jir7dqf2pkCCjcS0QzRZ3rkWetThaSPXIDU-q6I84lZB86bHBFufh0E9_Xq1wnquioWRgZZGk_n0R49jHeypfPAjCwF_BzHWBL2PbygqP8KFQxXQen9tw4nYheoDX1FsfJ-MdnIKdzmQEMAFzw5uLGV6O9A&amp;amp;lib=M-zdWbhavtdZ1B_W2dnFDM0qoVt4lWzJ-"&gt;here&lt;/A&gt;.
&lt;/BODY&gt;
&lt;/HTML&gt;
</t>
  </si>
  <si>
    <t>Gz7z91k6QMy1ENrMJfRtbA</t>
  </si>
  <si>
    <t>18719</t>
  </si>
  <si>
    <t>CONDOMINIO DO EDIFICIO JOSE EUSTACIO VIEIRA</t>
  </si>
  <si>
    <t>8F00240812220290</t>
  </si>
  <si>
    <t>FITLOG TRANSPORTES E LOGISTICA LTDA / (048) 996277956Informação Adicional: VENDA INDICADA CAXANGÁ PISCINAS(40/10/DIFAL) REDESPACHO: RF BRA TRANSPORTES LTDA. CNPJ:49.515.412/0001-53. Rua Ouro Verde de Goiás, 1233. Guarulhos - SP - ENDEREÇO DE ENTREGA: Av Caxangá 1562 - Cordeiro - Recife-PE. 50.711-000 / Obs.Interna: VENDA INDICADA CAXANGÁ PISCINAS(40/10/DIFAL) REDESPACHO: RF BRA TRANSPORTES LTDA. CNPJ:49.515.412/0001-53. Rua Ouro Verde de Goiás, 1233. Guarulhos - SP - ENDEREÇO DE ENTREGA: Av Caxangá 1562 - Cordeiro - Recife-PE. 50.711-000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</si>
  <si>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YTg6pAk_4uskleEbQUSsAKduf1Lrs-JX4UtS0jvdvrzJ1FqBSWwENP5jcAr3Mg8tp1BrUiKc7rolFi6zxdrhdfYwnnIiTRRjvT4CwGgnV57pQ827DNg6fp8WTh1vgNsnuX6tKeWv3qoih86-6QfWY9H6SZ8ck2LcpG7C2ZtijYDhSLODNbCR2AlctIoPJb8qLayVt_nMt5M1TSIM-vhiYPkAQA3PfsM_4fOWED2oNyShfWOs2XEjaARd9iAakhW9S3QMLXRMOVri0gG75NZWPkJZ1t_zxHh4JGTR1p9OKy-AeRyTwUflgqtKHaw&amp;amp;lib=M-zdWbhavtdZ1B_W2dnFDM0qoVt4lWzJ-"&gt;here&lt;/A&gt;.
&lt;/BODY&gt;
&lt;/HTML&gt;
</t>
  </si>
  <si>
    <t>xxC-8iXnRn6byEzkhYZEoQ</t>
  </si>
  <si>
    <t>18720</t>
  </si>
  <si>
    <t>8F00250526320017</t>
  </si>
  <si>
    <t xml:space="preserve">&lt;HTML&gt;
&lt;HEAD&gt;
&lt;TITLE&gt;Moved Temporarily&lt;/TITLE&gt;
&lt;/HEAD&gt;
&lt;BODY BGCOLOR="#FFFFFF" TEXT="#000000"&gt;
&lt;!-- GSE Default Error --&gt;
&lt;H1&gt;Moved Temporarily&lt;/H1&gt;
The document has moved &lt;A HREF="https://script.googleusercontent.com/macros/echo?user_content_key=AehSKLiNd7H-HrnervR295j9qcz5157skgIWVzujERz2VtsoHVCrHNQ1nHl9kDx5_FMJ6bna67-UaHzoX9f__boBJftqlJgjW9pqFrrvrhku5-bVWmYGdpAM1OiR5lMYFa-U3zxnPV1V-Fam6kEstAIo9jHTVtU5b3OSHbokAPoH319gkE1XKQWDZ7w5hYaoNzeoKWB4hUa6721GUdRt4WZQYzLcKnygZISENhzmfoXdVGchsPPbDX-mMeZmaIyUJlscnjj_P860aBExw-yW8mxCdpM84I4CgGCChHkVvw0lMRMb2eNFFlEshLw82vy91Q&amp;amp;lib=M-zdWbhavtdZ1B_W2dnFDM0qoVt4lWzJ-"&gt;here&lt;/A&gt;.
&lt;/BODY&gt;
&lt;/HTML&gt;
</t>
  </si>
  <si>
    <t>Eg0-UOalQ.e2pKqTcTYdVw</t>
  </si>
  <si>
    <t>18722</t>
  </si>
  <si>
    <t>8F00250706340008</t>
  </si>
  <si>
    <t>CARLOS</t>
  </si>
  <si>
    <t xml:space="preserve">&lt;HTML&gt;
&lt;HEAD&gt;
&lt;TITLE&gt;Moved Temporarily&lt;/TITLE&gt;
&lt;/HEAD&gt;
&lt;BODY BGCOLOR="#FFFFFF" TEXT="#000000"&gt;
&lt;!-- GSE Default Error --&gt;
&lt;H1&gt;Moved Temporarily&lt;/H1&gt;
The document has moved &lt;A HREF="https://script.googleusercontent.com/macros/echo?user_content_key=AehSKLgBCz42uKU7wTC0jX7CgGZzp3PR5IM_B69KQFNdAkYJ6D6UzslaHqf5mrdY67jJHB20BWb8juNOIDHqSww02y4K32CqOopMs6dHIddogxSJv7DH2XSs0RBFZW0WdZ8OZMPVb7dMTHQp7gyGZeJZ07X6_X7j20V00DlTQP7QCDGyjxrOtlnGyiW-FA1n7SjdqLNPE4LV2BeJW5bYKExLejb-BJRftofCH_RImNllxSf8-Fq3gX6BqeUJhBtlr77ExDpkmbfO3HxpjeEgipJ9S4dkYvuHl1FBfmjlFEhQvagmhSjqhOGhthzTSYQ7EQ&amp;amp;lib=M-zdWbhavtdZ1B_W2dnFDM0qoVt4lWzJ-"&gt;here&lt;/A&gt;.
&lt;/BODY&gt;
&lt;/HTML&gt;
</t>
  </si>
  <si>
    <t>lbJsrYKVSGmFjjCQ2kJlWg</t>
  </si>
  <si>
    <t>18724</t>
  </si>
  <si>
    <t>8F00250529210042</t>
  </si>
  <si>
    <t xml:space="preserve">&lt;HTML&gt;
&lt;HEAD&gt;
&lt;TITLE&gt;Moved Temporarily&lt;/TITLE&gt;
&lt;/HEAD&gt;
&lt;BODY BGCOLOR="#FFFFFF" TEXT="#000000"&gt;
&lt;!-- GSE Default Error --&gt;
&lt;H1&gt;Moved Temporarily&lt;/H1&gt;
The document has moved &lt;A HREF="https://script.googleusercontent.com/macros/echo?user_content_key=AehSKLibODZa4jWBfGy4w_yNqlGWinKilWcRrRkacLLmEHkzbI91ISbaOVHbnDdgIHBKv_jwl6ZC64VOx9FZgcEM3pPulFHhppOlDwTtVeuXmTxlNeIEIO6oh2nBa60A4YH704jTh2b45nU9qOtGI8VlSzt4njhKGr-WOpyzPO7QLPYdopkcF90kmXVqQcnq86hfT1by8ns9JB8n8IJmIeIdf8fb1ASemA4-9KQjfHpdNlQYCztwLD4eVkvJ7bSQXm4cTmUfYerum9HEH5tMMJfZ6p8EJcqvCQThLlVzFGgTG1KNSzTy7A1Fs6z9YhDw6w&amp;amp;lib=M-zdWbhavtdZ1B_W2dnFDM0qoVt4lWzJ-"&gt;here&lt;/A&gt;.
&lt;/BODY&gt;
&lt;/HTML&gt;
</t>
  </si>
  <si>
    <t>QekpiVhlTwm6emNjc-DSeA</t>
  </si>
  <si>
    <t>18725</t>
  </si>
  <si>
    <t>8F00250706460002</t>
  </si>
  <si>
    <t>CLIENTE RETIRA / (0) Informação Adicional: ABATER VALOR DO CONTRATO EM VIGOR
CLIENTE LEILA STRINGHINI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</si>
  <si>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PisL_HG5PDiV8aCN5O5Pkj5TupaOtjTaJHo79JctN5mi9BSbW9iWkocyOarTc9XCIwu1VSuaeog5_kMgs_pYvkXLYoX0tBpY34xA_SPLXWLiYPolKHa_3e9ct4m-NYiSGtNWvsfPt2jtaekfXQdTtpTstPFpa0B_zdPv0GrCtPU5ib-GOI0uM9MRQNZU-h2aoGnePCn806xFj8dfFyCfFK2XrQhd1zhZXWM4rk0GajhjSggao9CHobhm8KvYXcoDDb2CsIitaCm75NLt_Q08DzFH0jP3c_bE61E8EyPvtjl8ZK92zpHgTDNMWCA&amp;amp;lib=M-zdWbhavtdZ1B_W2dnFDM0qoVt4lWzJ-"&gt;here&lt;/A&gt;.
&lt;/BODY&gt;
&lt;/HTML&gt;
</t>
  </si>
  <si>
    <t>w9pyTKmBTMWgyGSxYxHmRw</t>
  </si>
  <si>
    <t>18726</t>
  </si>
  <si>
    <t>8F00250529210049</t>
  </si>
  <si>
    <t>EXPRESSO SAO MIGUEL S/A / (049) 3361-6627Obs.Interna: CONCEDER DESCONTO 10 +10 - VALOR DA MAQUINA   R$ 8.916,00
/ E-mail para nota fiscal: , E-mail de cobrança: , Telefone para contato</t>
  </si>
  <si>
    <t>&lt;!DOCTYPE html&gt;&lt;html&gt;&lt;head&gt;&lt;link rel="shortcut icon" href="//ssl.gstatic.com/docs/script/images/favicon.ico"&gt;&lt;title&gt;Error&lt;/title&gt;&lt;style type="text/css" nonce="ebYLx8uK1JwfiZ3lBWqkgw"&gt;body {background-color: #fff; margin: 0; padding: 0;}.errorMessage {font-family: Arial,sans-serif; font-size: 12pt; font-weight: bold; line-height: 150%; padding-top: 25px;}&lt;/style&gt;&lt;/head&gt;&lt;body style="margin:20px"&gt;&lt;div&gt;&lt;img alt="Google Apps Script" src="//ssl.gstatic.com/docs/script/images/logo.png"&gt;&lt;/div&gt;&lt;div style="text-align:center;font-family:monospace;margin:50px auto 0;max-width:600px"&gt;Exception: Lock timeout: another process was holding the lock for too long. (line 49, file &amp;quot;Código&amp;quot;)&lt;/div&gt;&lt;/body&gt;&lt;/html&gt;</t>
  </si>
  <si>
    <t>vam1g15FSXWg5oqRJDE.mw</t>
  </si>
  <si>
    <t>18727-A</t>
  </si>
  <si>
    <t>PZYvzKglTlKuHFRejBv7DQ</t>
  </si>
  <si>
    <t>18727-B</t>
  </si>
  <si>
    <t>pyYAjOnceHBQ26QHFC5g</t>
  </si>
  <si>
    <t>18728-A</t>
  </si>
  <si>
    <t>EXPRESSO SAO MIGUEL S/A / (049) 3361-6627Obs.Interna: entrega próximo lote outubro  / E-mail para nota fiscal: , E-mail de cobrança: , Telefone para contato</t>
  </si>
  <si>
    <t>06GbOagiRjuSX11BYwo1pw</t>
  </si>
  <si>
    <t>18728-B</t>
  </si>
  <si>
    <t>naqtNHrM8BODhmvsV5mi</t>
  </si>
  <si>
    <t>18729</t>
  </si>
  <si>
    <t>8F00250706500002</t>
  </si>
  <si>
    <t xml:space="preserve">&lt;HTML&gt;
&lt;HEAD&gt;
&lt;TITLE&gt;Moved Temporarily&lt;/TITLE&gt;
&lt;/HEAD&gt;
&lt;BODY BGCOLOR="#FFFFFF" TEXT="#000000"&gt;
&lt;!-- GSE Default Error --&gt;
&lt;H1&gt;Moved Temporarily&lt;/H1&gt;
The document has moved &lt;A HREF="https://script.googleusercontent.com/macros/echo?user_content_key=AehSKLjfXAXYX54s08yiIAy7HJZ5cmEFxbwI1cKGgkFMOmdeZEaG3ENT2Dna5a_7MfYiT7psL4dR47v-lWH48ogbdf3Q2LNsnSK4GYPBosKowh6UgF5CckBANB_YM9yTvMhH2CsWIoBKRfhLlg4gV4MbuEue5ZRZyFo9oiKtTv9TP7ztKawsIQ9YO0H7jKS7GbR5Lsv7Ry1R5uwEMzpRpxq-LICk5NQNl4spRuomW6L1gs7GFv6AOVbalCq6TMSyRLoN6w57LcTGYa4Cc2PdnCw4z4jjucupfNHf-AZF1yc8s5QRGZHZX_sQIOWijP4Izw&amp;amp;lib=M-zdWbhavtdZ1B_W2dnFDM0qoVt4lWzJ-"&gt;here&lt;/A&gt;.
&lt;/BODY&gt;
&lt;/HTML&gt;
</t>
  </si>
  <si>
    <t>KkZL9v.4T36kPCBrjXUEFA</t>
  </si>
  <si>
    <t>18730</t>
  </si>
  <si>
    <t>iH2jm8RNQ9asss4auD5epQ</t>
  </si>
  <si>
    <t>18731</t>
  </si>
  <si>
    <t>8F00250706450003</t>
  </si>
  <si>
    <t>FITLOG TRANSPORTES E LOGISTICA LTDA / (048) 996277956Informação Adicional: Cliente: Marcio Leandro Alencar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</si>
  <si>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rb67ml7119GqMWeoMgHQJp4-lhIQwhdgbANFjZfFbZwjYlwzjRKmog5Q6x75NllkfcZejDVG0Y9w7b_zjg5THa2Q829gCK7nTXEbVQC5LOcez0ieMgNhHQHMr7t12x_hXekeIrDsNwynfX0xGztktlOB3QsaD8lzQPQIBWKukIdRtyDY8jE926zHuZWLAUTF6DYbYUYerhzK-fY3F9T6GXjXc2OL1uuCdaGBfRevpwLyd8QyaUN63sOj9KlLXpDx11HCWeQZ70ktp3xKJIt8HDmLvIzAL64iUZox3I-83eyxOu2nb7ht1n8I4kA&amp;amp;lib=M-zdWbhavtdZ1B_W2dnFDM0qoVt4lWzJ-"&gt;here&lt;/A&gt;.
&lt;/BODY&gt;
&lt;/HTML&gt;
</t>
  </si>
  <si>
    <t>Mgsm1WQVTYK.wAoBR50d9w</t>
  </si>
  <si>
    <t>18732-A</t>
  </si>
  <si>
    <t>8F00250706460009</t>
  </si>
  <si>
    <t>FITLOG TRANSPORTES E LOGISTICA LTDA / (048) 996277956Informação Adicional: Cliente: Condominio Residencial Villa Romana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</si>
  <si>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38l8G-kHuOvZl5gpKLj541CYhzPTzptFeYd3fnF9q7Q30kB7rcu68o4bGRHyjBbQIfThc9hj6SkTKQr-fwnd-Zyr7eOdTjegxujbk3MGSmDlfVeNab-8BZbjC-pyF7lTCNQnLPWDyp4SU8BR74eCuWtFQQzIGKmdLdNQo4o36hDAZ74NNeFfBeQL-BHkRaWTDLxCahqZpCCaK-eJ_Lk8Rxf2lUkrooa24oUzhcyO3Sj7VFeGCWZY97Z1oQ8BtpdyO3h0nKawAUup7Z4LFpkEWmmxB1t7oXMBWvwYAw49TOxBbpVmfhodIAFWfDQ&amp;amp;lib=M-zdWbhavtdZ1B_W2dnFDM0qoVt4lWzJ-"&gt;here&lt;/A&gt;.
&lt;/BODY&gt;
&lt;/HTML&gt;
</t>
  </si>
  <si>
    <t>QcuMLrmtQ8-LU-Qi4lwudQ</t>
  </si>
  <si>
    <t>18732-B</t>
  </si>
  <si>
    <t>8F00250706460005</t>
  </si>
  <si>
    <t xml:space="preserve">&lt;HTML&gt;
&lt;HEAD&gt;
&lt;TITLE&gt;Moved Temporarily&lt;/TITLE&gt;
&lt;/HEAD&gt;
&lt;BODY BGCOLOR="#FFFFFF" TEXT="#000000"&gt;
&lt;!-- GSE Default Error --&gt;
&lt;H1&gt;Moved Temporarily&lt;/H1&gt;
The document has moved &lt;A HREF="https://script.googleusercontent.com/macros/echo?user_content_key=AehSKLhzWGxqEgCbpQsqAWMBRzYc8ZFW2jdAVLqtJI0gRdSLvsgLIXuQwdoYSm6AlKn_NnKMbVB7tL7fTs3vZv9xtxCx5hzBO7Rqu_itpV8eYDK2G_uZVjVMcUHkt1I7V9yzq2osvBPFjFpIpCbq19yKA_JhotxJy3KC5tBTUL86zXFDR2NPfBk2tzf22vVu0rq2F9HPn6EzMHCt7Xtv1MktCrPoZ7Ex-7-WgrqfTePwRERu6M0Uyo3YGMJCSJT1bD6X3KV8A7OgG2qH9P8CIKnhEkY8umNG3941zATFd66P3vKXBuSRzzgylrcZEfxXIQ&amp;amp;lib=M-zdWbhavtdZ1B_W2dnFDM0qoVt4lWzJ-"&gt;here&lt;/A&gt;.
&lt;/BODY&gt;
&lt;/HTML&gt;
</t>
  </si>
  <si>
    <t>pIWVoaprzeA4bxFoOtdA</t>
  </si>
  <si>
    <t>18733</t>
  </si>
  <si>
    <t>8F00250706460008</t>
  </si>
  <si>
    <t>FITLOG TRANSPORTES E LOGISTICA LTDA / (048) 996277956Informação Adicional: Cliente: Douglas de Araújo Gomes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</si>
  <si>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t69L-Kro9brvnauNgEQlTF5xjJ8cgM9Go3DHFe6bWYomv3i7W8BALW5mRbIfUzeEpdORXY54qYjuj8fbS6ZUn3K4snVEBbmdA_bvOshx-qhN0ERDwMKcbS1xepDe9v-HBtcAVrdn3jszMrBiiorcNNRRqjEfNt3kF-4-EqdteVN6-HZ0sAcBZez7r4eNDWOi9WR7C29VL4VBChhLMcaEfVqbSrnyugqP9XCX15C7SpmfN3CT9Wa2bRAUodHxlGwAUayunlXizLcZETCF6ToZxpYucrTWroMzT4w8hSAV0W81mKF_kM0aRUa-IhQ&amp;amp;lib=M-zdWbhavtdZ1B_W2dnFDM0qoVt4lWzJ-"&gt;here&lt;/A&gt;.
&lt;/BODY&gt;
&lt;/HTML&gt;
</t>
  </si>
  <si>
    <t>EbQcoCtZRqiryyDhG71svg</t>
  </si>
  <si>
    <t>18734</t>
  </si>
  <si>
    <t>8F00250804170008</t>
  </si>
  <si>
    <t>FITLOG TRANSPORTES E LOGISTICA LTDA / (048) 996277956Informação Adicional: Cliente: Paulo Raul de Araújo Trindade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</si>
  <si>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zRLeyAKojjUGmWwxPdlLvAoJH7jiHXpT-CBm1TzVZvJumnMY6Idz5EyzcFUjpVjIEew1gg0Swky9K8QXSluMIPfWCE1PPJYoQ4LeGYEQFwrvwsmIML4pphNOkpbmPIb3MT7oNdkSTiXCm4vPqXe0Cw00eZxWnxMjlSinERy8k9tQq5lpw8BUEhuG7rNQANI2Bg1gOX0lcjozK6STR6fhTMoIinw9XdBSMykj_ngQiNkp_cjShO7LkpDUIs5rSN1BRo12QQWJ2rhKDdV54veqar4ToPvLufdBQxYUfJfmyEI50l_1IwbV4DPs13A&amp;amp;lib=M-zdWbhavtdZ1B_W2dnFDM0qoVt4lWzJ-"&gt;here&lt;/A&gt;.
&lt;/BODY&gt;
&lt;/HTML&gt;
</t>
  </si>
  <si>
    <t>3pkDSz0deyU0zzsCoXku</t>
  </si>
  <si>
    <t>18735</t>
  </si>
  <si>
    <t>8F00250804170007</t>
  </si>
  <si>
    <t>FITLOG TRANSPORTES E LOGISTICA LTDA / (048) 996277956Informação Adicional: Cliente: Fabio Augusto Damiani Cruz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</si>
  <si>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BzjB23LFs6qlHHC4kc4naXyNRhm8YRncq9lmpIqYp9XFfesrlHg1JtJQNhhryYEqddMX5cbC-TaQBu2cPEQ2wA2fM_hFS0MQZFO5uuqwAhc-CWr7VVownDtT_hVeAJW4DYkrQmmqYwyvAJ85A6_0JE9BhbzYVplcOysuntJTq9JI3XMZ9OpzfFGDBRR4MQQkwbaZDtKqXcC95GWonCorwENTqCH9vD398Ge9nCJ6HwMAnIdweKQdXC1aIkaLzj01qn-wAzUs0XALCqSadP2QIod9pjrvzUSGtoC9RV0Y2u0kDy1LgdpfEDG_1tw&amp;amp;lib=M-zdWbhavtdZ1B_W2dnFDM0qoVt4lWzJ-"&gt;here&lt;/A&gt;.
&lt;/BODY&gt;
&lt;/HTML&gt;
</t>
  </si>
  <si>
    <t>Ir32FZWpNhvuPA40PV0t</t>
  </si>
  <si>
    <t>18736</t>
  </si>
  <si>
    <t>8F00250804170006</t>
  </si>
  <si>
    <t>FITLOG TRANSPORTES E LOGISTICA LTDA / (048) 996277956Informação Adicional: Cliente: Jorge Jesus Conceição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</si>
  <si>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n8RQFhwMoVObTc_EaNSECge1NzOZg4Tx1a0Z1USIs-GNGIvSpryzfFeIg514GTvibW98Kn7-GHxVyNl1Zyp5DBWgXiEkDRxDL4OvByKAF02nLtFKlvJYflswl0GY-fGP5u7EQ900pEpXFOuP2ulJeyPPinUZZ2bLk6TcnEZV9WbgLVyYlgbs5vY0N0SHygpK5XIGL2o_Qc8xM3d3VRtwNkJOZJaJ4xcWnejRjgQJ-zRsqhFMxhkxioq-MZ2e8sBl0wrLNOMRPRLBPSd7xyAJj7cZN_Lg01AuODYtey57HmlbSO0up_wm_4ECbaQ&amp;amp;lib=M-zdWbhavtdZ1B_W2dnFDM0qoVt4lWzJ-"&gt;here&lt;/A&gt;.
&lt;/BODY&gt;
&lt;/HTML&gt;
</t>
  </si>
  <si>
    <t>fD9-bV6ISpySoXfsq0IPYw</t>
  </si>
  <si>
    <t>18737</t>
  </si>
  <si>
    <t>8F00250706460007</t>
  </si>
  <si>
    <t>EXPRESSO SAO MIGUEL S/A / (049) 3361-6627Informação Adicional: VALOR DA MAQUINA 12145,00 - PRAZO DE 14 DIAS / Obs.Interna: Mario-Autorizado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</si>
  <si>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uk1Qd7buqagrz5xKbNQWU9BTSPCckq7-EuJrNcxfQM6BVzROrwxyiH5wBJtlzCQVVg_m5YPcr7N-5YlpUs8Dgg2znRMbzCwUJJoXjsfnMbKUWJVUBvJKPjuUfu1aglGc06MSJduoNwq1ohqSkvjl_g98FSixBJ-X9soSl3YCgsEqRW-_9TAjbc_a6cp6cqOcEoB60rJjqNyPgsMAi3cJHavCEocmMG3X_BDv69vM2Z3eKpwr-qNEQRdpp2rpV74nFkuDQdsyNugOiEjVCaU9XKrGXshMogY98VjdC1m6Y8WWKsWbqW8Z7W2s_og&amp;amp;lib=M-zdWbhavtdZ1B_W2dnFDM0qoVt4lWzJ-"&gt;here&lt;/A&gt;.
&lt;/BODY&gt;
&lt;/HTML&gt;
</t>
  </si>
  <si>
    <t>IwCw5CG1DN1naCmq5Fo4</t>
  </si>
  <si>
    <t>18739-A</t>
  </si>
  <si>
    <t>LSP PISCINAS</t>
  </si>
  <si>
    <t>8F00250804170013</t>
  </si>
  <si>
    <t>FITLOG TRANSPORTES E LOGISTICA LTDA / (048) 996277956Informação Adicional: Entregar em: Prime Piscinas - ST SPLM CONJUNTO 9 LOTE 22 - CEP 71.732-090 - SETOR PLACA DA MERCEDES (NUCLEO BANDEIRANTE) - BRASÍLIA - DF
REDESPACHO FOB CNPJ 02.592.421/0001-84 - RG OSASCO TRANSPORTES RODOVIARIOS LTDA - Avenida Leonil Cre Bortolosso, 945, Galpão 14, Quitauna, Osasco SP, CEP: 06186-260 - I.E. 492.350.967.113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</si>
  <si>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dWB09ZpKooNaLH6hhcGnP65uE8BShGpQt6KxYW0qA98EYrMXQxfiQiY1yHiaSwa3XiUCUlrwgB4hBLWnm-BMEY1C1svrguXpmIx6XlvCDNDQh3F-M4NGa6Zk-0TMAROU5uWLQrG7h_Jcz3znCtvIiBeuI2512FKvrgGJnRuWjncbS2ettioyfqmxoUUDmU8knEY4rhujsXXoMBMYu1jWpMgLstspiWWFkZeO_Lu_6MQDkK_hAdtoLvTDK4Pq0zD6UO1BV5PLqIxsRQSmlijAG9PAWQYmHH-0YCnklmVYwVzczyPVCi7oKKtMBQg&amp;amp;lib=M-zdWbhavtdZ1B_W2dnFDM0qoVt4lWzJ-"&gt;here&lt;/A&gt;.
&lt;/BODY&gt;
&lt;/HTML&gt;
</t>
  </si>
  <si>
    <t>OTTtNjU9RwCsuzIU9I32KQ</t>
  </si>
  <si>
    <t>18739-B</t>
  </si>
  <si>
    <t>8F00240812220294</t>
  </si>
  <si>
    <t xml:space="preserve">&lt;HTML&gt;
&lt;HEAD&gt;
&lt;TITLE&gt;Moved Temporarily&lt;/TITLE&gt;
&lt;/HEAD&gt;
&lt;BODY BGCOLOR="#FFFFFF" TEXT="#000000"&gt;
&lt;!-- GSE Default Error --&gt;
&lt;H1&gt;Moved Temporarily&lt;/H1&gt;
The document has moved &lt;A HREF="https://script.googleusercontent.com/macros/echo?user_content_key=AehSKLjqg_QP4_SPhhRmNafPbSHVtf9omJ-VrNORofAWs75MXYDujxlYAZG1YuwoZ2MxcgBm0q_xMgriCsG1J-yggZvE1FioW5ZSHcq3GwCv7BzB1WCnwkEor8ppNXyjkDVXpK8yvU9j5cu3xxybMWM3Ou6XSOE8shfQE_q0p6OIURW0Ek8OcLzR6S07oudQqXb6onVYXN3VgRSPwkGfgwF7wEAR3ZnXic6JZ23RsR17QNhiaxUMTwaBwxtXvKTR2wUVbXnFFaWCAqL3kDLBEv2vfISHfAHbiSHMGjiV4PSxLD0ZMMdn1oB4LlsOJpuS5g&amp;amp;lib=M-zdWbhavtdZ1B_W2dnFDM0qoVt4lWzJ-"&gt;here&lt;/A&gt;.
&lt;/BODY&gt;
&lt;/HTML&gt;
</t>
  </si>
  <si>
    <t>8uKQvbH39m2bi2ElF59D</t>
  </si>
  <si>
    <t>18739-C</t>
  </si>
  <si>
    <t>8F00250706500003</t>
  </si>
  <si>
    <t xml:space="preserve">&lt;HTML&gt;
&lt;HEAD&gt;
&lt;TITLE&gt;Moved Temporarily&lt;/TITLE&gt;
&lt;/HEAD&gt;
&lt;BODY BGCOLOR="#FFFFFF" TEXT="#000000"&gt;
&lt;!-- GSE Default Error --&gt;
&lt;H1&gt;Moved Temporarily&lt;/H1&gt;
The document has moved &lt;A HREF="https://script.googleusercontent.com/macros/echo?user_content_key=AehSKLhbRnkEcSrtfu29z3N27mPJ5Vdy1ZnjBY7zm0hIo41T9kmpCE4ZTo1S0TkZhQIC3AGpOocMWAXP6MuohNLTlKqL_nC4Hi4AyVIC02TYJdJPftCL_PdDATx-ziqZgEEScvH_uASbMzKSLhxtKWEpWWgsq1r77-LMAycFwpSPRIQk6E5d8SCSfxjDmcJUm-ITngrqe7ySua783YcGu2cNh5gYsLsjXIzxB7rOTzLMJWy8w4H7c-ob-BI7mhjFOziru1uLN9V_VtquhsPS-7F-AHpoJh5btD_huVfvFjyeJo4zUrcH5b7FS5o61oOKaw&amp;amp;lib=M-zdWbhavtdZ1B_W2dnFDM0qoVt4lWzJ-"&gt;here&lt;/A&gt;.
&lt;/BODY&gt;
&lt;/HTML&gt;
</t>
  </si>
  <si>
    <t>VfGU77qKc1Dqlcoyr9yR</t>
  </si>
  <si>
    <t>18740</t>
  </si>
  <si>
    <t>8F00250529210045</t>
  </si>
  <si>
    <t xml:space="preserve">&lt;HTML&gt;
&lt;HEAD&gt;
&lt;TITLE&gt;Moved Temporarily&lt;/TITLE&gt;
&lt;/HEAD&gt;
&lt;BODY BGCOLOR="#FFFFFF" TEXT="#000000"&gt;
&lt;!-- GSE Default Error --&gt;
&lt;H1&gt;Moved Temporarily&lt;/H1&gt;
The document has moved &lt;A HREF="https://script.googleusercontent.com/macros/echo?user_content_key=AehSKLhjzBXLzXIfe56x0NfbmoMSJULKE5shBQRVdBnwrQiPOADo1L9iDof1Ce6n3DkkRab2-tOcJnzhMIqGbBiKgFNbN_AKBw10PgocHLy0YMpaD6aRfDIIsIPXAz4TwiIa57diHiVz0nA_aO-tLaFdq5uxTwG62Ac32UuuPtWe8-njDVmX-RqYtkQNQ8s6ILhaKwhZ45NhpZ7TF6X2rQ1PmuolUupoEzGAeZYFgswZs9aarBxycftB5-Badl3v4Y_G4ORuo0ISFkKPG4nc0TlurJjCPHxP5jQ3J2ck57iICpEhij0Rv8r_yODRPaAu9Q&amp;amp;lib=M-zdWbhavtdZ1B_W2dnFDM0qoVt4lWzJ-"&gt;here&lt;/A&gt;.
&lt;/BODY&gt;
&lt;/HTML&gt;
</t>
  </si>
  <si>
    <t>AxEIhMEXRR6TRD33j1T2zQ</t>
  </si>
  <si>
    <t>18741</t>
  </si>
  <si>
    <t>EXPRESSO SAO MIGUEL S/A / (049) 3361-6666Informação Adicional: PEDIDO COMPRA 24267 / E-mail para nota fiscal: , E-mail de cobrança: , Telefone para contato</t>
  </si>
  <si>
    <t>cChqZLPTTjurymvuycY.eQ</t>
  </si>
  <si>
    <t>18742</t>
  </si>
  <si>
    <t>VINICIUS GARCIA DOS SANTOS</t>
  </si>
  <si>
    <t>8F00250529210044</t>
  </si>
  <si>
    <t>EXPRESSO SAO MIGUEL S/A / (051) 3586-2013Informação Adicional: VALOR DO PEDIDO COM PAGAMENTO 6X NO CARTÃO - R$ 10.768,82 (JÁ COM JUROS)
Descontos concedidos - 40% + 10% - acréscimo de 6% (DIFAL) - R$ 10.500,68 s/ juros . DIFAL R$646,12
FRETE FOB sem redespacho - RODONAVES - CNPJ: 44.914.992/0036-68 - IE. 260.650.455 - CONTATO (48) 32027150 ENDEREÇO : ROD BR 101 , 7725 - SÃO VICENTE - ITAJAI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</si>
  <si>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ZLu_keNa5rl4o0I41uKNIauM3GO0IgRvqrE8FgdSmt9U6yPE4zAyZ8donfsfy42V9PvP-UMgKcLTmSzFvkr42UeVzopAwRs3FbkXBfQg4gAioDIyX4Bj5M1C5LjAlmIsa2gN-Ub7TPk8qtMjZqtDQnrARN4j_EFYA4ei2REfPIlKHYjm9rcmXl8wWQX6CAZWTWL9Aa538LPd5D15D-EOMyyMHPr48jjU-pliw7TtgpEYA_0u2Os4X0SaRvFjPrM938RZitgdmcqQUooXHYV0dmZx1DRkrRIu0-mr5aIIMEbTM-fS5_sw7oumjXQ&amp;amp;lib=M-zdWbhavtdZ1B_W2dnFDM0qoVt4lWzJ-"&gt;here&lt;/A&gt;.
&lt;/BODY&gt;
&lt;/HTML&gt;
</t>
  </si>
  <si>
    <t>scsv0tVrRWmPuNdoHYW0Rw</t>
  </si>
  <si>
    <t>18743-A</t>
  </si>
  <si>
    <t>FT160J35W</t>
  </si>
  <si>
    <t>EXPRESSO SAO MIGUEL S/A / (051) 3586-2013Informação Adicional: Entregar em: Prime Piscinas - ST SPLM CONJUNTO 9 LOTE 22 - CEP 71.732-090 - SETOR PLACA DA MERCEDES (NUCLEO BANDEIRANTE) - BRASÍLIA - DF
REDESPACHO FOB CNPJ 02.592.421/0001-84 - RG OSASCO TRANSPORTES RODOVIARIOS LTDA - Avenida Leonil Cre Bortolosso, 945, Galpão 14,
Quitauna, Osasco SP, CEP: 06186-260 - I.E. 492.350.967.113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</si>
  <si>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L4fRyTA5YLGjLbGxGImYL4vRESsPdojXRQM4V9BlB5gcWSbSpXM_2x8sRestOV3OrPGOG-WeekspL9vtedeRkagvuFKwDcwYfY0Lzq_F-MGN7BRzuAafpHw4ha6L0d9_mH1_9U9bxK7iMlYsQltXZ_wpH5dW2jxjpEELciXEVFkdO-nGZb6z7n_LXjtLMYjqz-uM3enFFOZr9GSM3P4XjbMFeCmTMZOdEfyMJU-ffgl6kfadvZt74bshWNuYoqL7m4GXC2bMhNaCu7etOD-esQhAM7j94ig0EU6J9UNiFZ20jMwB4tIqT3WdinA&amp;amp;lib=M-zdWbhavtdZ1B_W2dnFDM0qoVt4lWzJ-"&gt;here&lt;/A&gt;.
&lt;/BODY&gt;
&lt;/HTML&gt;
</t>
  </si>
  <si>
    <t>CYM7ZcqbQrCNdtpZz7FR0Q</t>
  </si>
  <si>
    <t>18743-B</t>
  </si>
  <si>
    <t xml:space="preserve">&lt;HTML&gt;
&lt;HEAD&gt;
&lt;TITLE&gt;Moved Temporarily&lt;/TITLE&gt;
&lt;/HEAD&gt;
&lt;BODY BGCOLOR="#FFFFFF" TEXT="#000000"&gt;
&lt;!-- GSE Default Error --&gt;
&lt;H1&gt;Moved Temporarily&lt;/H1&gt;
The document has moved &lt;A HREF="https://script.googleusercontent.com/macros/echo?user_content_key=AehSKLgCVNLMppsd04gEj8N9FC_R-K4RdU6noQAdsw5skx1HjOt4qB--mYCYZ80VbDc0cuqqZX3RIrOPRmqFDoPFdKvATen4xSn8TUJ5JNAQ9-idP4OkJ4l9zzM_z8YPFbjW1fWxbgRmmvLkIIBNHNm7tpqhUpUg7cVKaZlbtXkqzXjnAORzD0eXIs9fnbTRrvIcZb_WzLoh0gm7na9Wi1alc22TjfE7wyuQ3amOUd3BKILfds1QQSjVE5pBvTt5QgcMsKVBDX42rw8CcKgS8swu7wywxUBDy5v2O3I-BGl0RcPV9Rs4oRo72M23jBlabQ&amp;amp;lib=M-zdWbhavtdZ1B_W2dnFDM0qoVt4lWzJ-"&gt;here&lt;/A&gt;.
&lt;/BODY&gt;
&lt;/HTML&gt;
</t>
  </si>
  <si>
    <t>E0QdHbjFBl5ykbFDWKRT</t>
  </si>
  <si>
    <t>18743-C</t>
  </si>
  <si>
    <t xml:space="preserve">&lt;HTML&gt;
&lt;HEAD&gt;
&lt;TITLE&gt;Moved Temporarily&lt;/TITLE&gt;
&lt;/HEAD&gt;
&lt;BODY BGCOLOR="#FFFFFF" TEXT="#000000"&gt;
&lt;!-- GSE Default Error --&gt;
&lt;H1&gt;Moved Temporarily&lt;/H1&gt;
The document has moved &lt;A HREF="https://script.googleusercontent.com/macros/echo?user_content_key=AehSKLgTYPiN6BYYUIsgRwPdErtdn6OQOIMZ6BxCnMc-YSpR-e5qyJNbpf6Ta60SpYVo4-BJashny3OxEv-KNlB__54ReRZxksmg8KFbF6cNJ0S0jfeJJdqGfxYe5tCJu0y9m62M6A2rV20gTZgYvFUxBFmWiF8pfXVEbXPsFlQ-Rb4zZKZp5GAiNET38AJf0o69fnV1_DqAopAjJDZbVcAx16cSH6cUKvC5Dgx0h3sXCh_PIegeYQqZOEwmN_uvV0HMDNVLoGjqtj8OFZCjg2KzMvZGu4rynVLN4JmJcxjVM7_Tl1HoDDXYT69UFwGjcw&amp;amp;lib=M-zdWbhavtdZ1B_W2dnFDM0qoVt4lWzJ-"&gt;here&lt;/A&gt;.
&lt;/BODY&gt;
&lt;/HTML&gt;
</t>
  </si>
  <si>
    <t>bcuemyzNeHR9EEv0uts8</t>
  </si>
  <si>
    <t>18745-A</t>
  </si>
  <si>
    <t>GT AQUECEDORES</t>
  </si>
  <si>
    <t>Transportadora Bauer / (048) 9943-3665Obs.Interna: Parte no cartão em 3x R$5.428,13(Comprovante com a Bruna )e restante pix.  / E-mail para nota fiscal: , E-mail de cobrança: , Telefone para contato</t>
  </si>
  <si>
    <t>Y9ZIc67gQtCLQm1suRtQfw</t>
  </si>
  <si>
    <t>18745-B</t>
  </si>
  <si>
    <t>8F00250706370021</t>
  </si>
  <si>
    <t xml:space="preserve">&lt;HTML&gt;
&lt;HEAD&gt;
&lt;TITLE&gt;Moved Temporarily&lt;/TITLE&gt;
&lt;/HEAD&gt;
&lt;BODY BGCOLOR="#FFFFFF" TEXT="#000000"&gt;
&lt;!-- GSE Default Error --&gt;
&lt;H1&gt;Moved Temporarily&lt;/H1&gt;
The document has moved &lt;A HREF="https://script.googleusercontent.com/macros/echo?user_content_key=AehSKLjDPRphFc453UpNRoZnD_EZHmrcyotOsSpYevXyyMGGBzix6NseU5DmFvC8Cter5f-R6ADyNl2KJIZWIjkYYs-5wyXcTuMZ6sM2nmnEAUhOzDmebJhw4FDaFWE-NXH8woJKvWCo8g1OJHvXQMIyfDhQzHwU1Y36m831OVEJuRRZ9CJus4f2ddM8fKfMdezTICHBn8YznsjCNDvTHLfPPWzK-GSn9sXKDZo0BlWz7upxGKQUg0oEuVFlS-1TOX8FougbBbVUAZsHO4dnJCoit3xypibb_lUn1o0Ogr7IZmAeTxSbYWZmsvyiGT9HaQ&amp;amp;lib=M-zdWbhavtdZ1B_W2dnFDM0qoVt4lWzJ-"&gt;here&lt;/A&gt;.
&lt;/BODY&gt;
&lt;/HTML&gt;
</t>
  </si>
  <si>
    <t>Umfy3ikJeWBE3BqE4UCa</t>
  </si>
  <si>
    <t>18746</t>
  </si>
  <si>
    <t>INOVA TECNICA</t>
  </si>
  <si>
    <t>8F00250529210047</t>
  </si>
  <si>
    <t>EXPRESSO SAO MIGUEL S/A / (051) 3586-2013Informação Adicional: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</si>
  <si>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kvWElYTZeVBjRO_7OIbYZkXAByJHQeSPiuHUokJrPQZ1HeMkrcnpv-n0hqDkTzWPJZ4n-1fLRllxBLmvun-MPAJLKNaJq0hBySCnhHlo1lMokIhBcuc8pdYRkqPJY_xTiziX-HqSnqiX8ecYdIEGlmc7w3X1CmePGW70vaWhtIh9KSnsyXeWu2jiNKJHA7bZ_IwXNzOJ0cl80Ebw6kt0FIZ05cbNSx6vWF9fxD7_gUR0Koqd7OmsG79AoCSYHco-cgk1DNoTqGw8w4mJnzaSCYMYtoJBKPXrx7GYe8NiepSV2P4SQ4uJMz8Mwuw&amp;amp;lib=M-zdWbhavtdZ1B_W2dnFDM0qoVt4lWzJ-"&gt;here&lt;/A&gt;.
&lt;/BODY&gt;
&lt;/HTML&gt;
</t>
  </si>
  <si>
    <t>RGlYVD7vQq-1layiVDza8Q</t>
  </si>
  <si>
    <t>18747</t>
  </si>
  <si>
    <t>EXPRESSO SAO MIGUEL S/A / (051) 3586-2013Informação Adicional: VALOR DA MAQUINA r$ 8573,04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</si>
  <si>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tSnHXTsRmFldmNK2RvOyFFVAWcV8lu37ybpB-wDdV2yMDzfroqxR8KnX0s9UGmuFamUejILZEMhQRGGfoNNoucp7stdp6-YUlrX1GaRQNAH8Ke65Oj-eGAuJsM8Myal2CwJxWC5eXhBPoFjp1L9DwxvN3b1j1juhHDrqOM-nFUYoNhGFRVbOEztLf9EjIYxr6qovszfDB1rQ9U2lnHvLNHwZMkN0Hw7LQRr8YjZMRRgkiSi8K_mht-7LELoQtNDJE3yNKXGJVw2SNqR7UrhyJvSXAOoXbMu_LDfEUGtVjwXQFdCukpn9iw2DK_A&amp;amp;lib=M-zdWbhavtdZ1B_W2dnFDM0qoVt4lWzJ-"&gt;here&lt;/A&gt;.
&lt;/BODY&gt;
&lt;/HTML&gt;
</t>
  </si>
  <si>
    <t>52USgxyJTLe4fJmeDmFSJw</t>
  </si>
  <si>
    <t>18748-A</t>
  </si>
  <si>
    <t>8F00250526320020</t>
  </si>
  <si>
    <t xml:space="preserve">&lt;HTML&gt;
&lt;HEAD&gt;
&lt;TITLE&gt;Moved Temporarily&lt;/TITLE&gt;
&lt;/HEAD&gt;
&lt;BODY BGCOLOR="#FFFFFF" TEXT="#000000"&gt;
&lt;!-- GSE Default Error --&gt;
&lt;H1&gt;Moved Temporarily&lt;/H1&gt;
The document has moved &lt;A HREF="https://script.googleusercontent.com/macros/echo?user_content_key=AehSKLjzN4vM4q4ZWblyXDRRnyE3i_SFt9ZFsJ0aW6a9bj6F1_28T3qQfMN_CCcpkqswFsntlYg1mc41Ma--dyfvRu4YnBY31UW_4QL42MiT3vbUkT8X9j_0kFyJeUnMUQMbfyFVex3lGbzrnPScwjHgSzrk4BpXuq-MuIvMfwwJedeav2E0GOX6Usu8q10atbCpWFREHM9Fq8FUBFfVZ6hQPxHC1rngUX8y6evnCsgOcOtLJSxWWz0w79Ng_OhVcEWUGE242X4IwYlWBijkOhsEb8o7-vxR-Gy4rgFE4UlclPh21BkP95RetXDTKfZAdg&amp;amp;lib=M-zdWbhavtdZ1B_W2dnFDM0qoVt4lWzJ-"&gt;here&lt;/A&gt;.
&lt;/BODY&gt;
&lt;/HTML&gt;
</t>
  </si>
  <si>
    <t>a-hbeWiDWSSif4BWHCHVA6g</t>
  </si>
  <si>
    <t>18748-B</t>
  </si>
  <si>
    <t>8F00250706500001</t>
  </si>
  <si>
    <t xml:space="preserve">&lt;HTML&gt;
&lt;HEAD&gt;
&lt;TITLE&gt;Moved Temporarily&lt;/TITLE&gt;
&lt;/HEAD&gt;
&lt;BODY BGCOLOR="#FFFFFF" TEXT="#000000"&gt;
&lt;!-- GSE Default Error --&gt;
&lt;H1&gt;Moved Temporarily&lt;/H1&gt;
The document has moved &lt;A HREF="https://script.googleusercontent.com/macros/echo?user_content_key=AehSKLhy-KQlPo9Rk2whxqttLc11NtEq7f292_EXYgwJ0Vhro9_YhFiWW7d-0cVKHvCHNQv-d77tksaHbW-Q5bS-Xts-s_42kAwud9SKI_K66YNEQjOi00ofzSPJuavxfY4WY7yug5iOOTMmvjT-S145N0bbxLe9Gx8yt4m5ir7u41PYzdRrXHPaGYIuvXuUmXuCkvkGsws-7OYt0mBVlJJC11JdZY-jsLwl6mBjxe5EjDGrmjtPvEm-3N8HFqI26Xr7YBoCZmVPEFRXv4fBA-8gBYMQ6AAt896Yigjiawe6byiDMZ0yzmU81BytY2dpEw&amp;amp;lib=M-zdWbhavtdZ1B_W2dnFDM0qoVt4lWzJ-"&gt;here&lt;/A&gt;.
&lt;/BODY&gt;
&lt;/HTML&gt;
</t>
  </si>
  <si>
    <t>8vQ4QK5e9zmxr7K61iWU</t>
  </si>
  <si>
    <t>18749</t>
  </si>
  <si>
    <t>20183</t>
  </si>
  <si>
    <t>EXPRESSO SAO MIGUEL S/A / (049) 3361-6627Informação Adicional: Em substituição ao pedido 18721, cancelar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</si>
  <si>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pJ_-xDKToN3fbbk6vD--1BJEir21PhwW3Ms7gC4SVhVOvhyCh1lhR3Dsi8H6WsT57RH6ctWSoOIbXGMj7HRNi5q7dRhoHFv-Y8WLEb-2aooPIdvJ9Ss5KcnqPi8gtlsQL3lUrgqlUfhRbjhgYBd6QzmO9hlZx3V-8Mn6tO9BMdtNH8y5NUB_R-lEBCDuz8nnIjw3RiCVKPIDfAwDEqgDtUFhg2YC1eDkPNgYra4kz_VVn7jvkvkil8Af7mA-BKQarhpNbRABg3bJJr07wFuhj5jg6yR9RCHGHdrusTTaNPHslWzdTcaCcBBqILw&amp;amp;lib=M-zdWbhavtdZ1B_W2dnFDM0qoVt4lWzJ-"&gt;here&lt;/A&gt;.
&lt;/BODY&gt;
&lt;/HTML&gt;
</t>
  </si>
  <si>
    <t>OdvNKRIJQGiJrQO4rbYr-Q</t>
  </si>
  <si>
    <t>18750</t>
  </si>
  <si>
    <t>8F00250706460003</t>
  </si>
  <si>
    <t>EXPRESSO SAO MIGUEL S/A / (051) 3586-2013Informação Adicional: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</si>
  <si>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9Nk0U-MQL3xxbq-waZ1TJodbMK2OC4cO58GHRs1rUkb9DXb-iMRHT_OgohKFDuHL5EUYV96vxIW3e0NY-7eXBzUUN9be8b3445VT-Nq0IT9vT1biwaRdT64q95xXX6QYlLjZGd3fzJbOnV5c1tP842L1fK5y7e-7Xiiw1KPK6P5x7LCyX7ZqnXMMl6pY6CRyRJSRUOdctKbRl2L-EVT7rK964R7lr9ssj7Nsj_2S8SX-dASswhp-KLdxvFpG-svdcldEMbUE9H_nwskAelyfQ0Z2AyyLyTduOZE7smXpGjh7eIeWwA4K3c5evSw&amp;amp;lib=M-zdWbhavtdZ1B_W2dnFDM0qoVt4lWzJ-"&gt;here&lt;/A&gt;.
&lt;/BODY&gt;
&lt;/HTML&gt;
</t>
  </si>
  <si>
    <t>85dr1pgaTMaBEV6TISzVyw</t>
  </si>
  <si>
    <t>18751</t>
  </si>
  <si>
    <t>8F00250706450007</t>
  </si>
  <si>
    <t>FITLOG TRANSPORTES E LOGISTICA LTDA / (048) 996277956Informação Adicional: Condição especial 28 / 56 / 84 / 112 dias acordada com o cliente e aprovada pelo Mário
Frete CIF até São Paulo Capital
Redespacho: JNR LOGÍSTICA (Travessa Manoel Preto, 92 - Vila Guilherme -São Paulo SP)
(11) 29052500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</si>
  <si>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uaUYRUPMbBIckgzyng1VRNCXfk8koy5zy1a80CagFZ-1citWIIyBd1wUEFUpq1ganQRGZzIWm7NIknN787bAwgjzwCKK1e4-t4ZQQ4BpsrQXhcQkArOac4YM4SPVAVl0wnPlTNTF8M-Tz1BlSpURJBp2ca53xAmmGB9uFn4WfXt4fowqaZbv3V3AqNdIqsnLjWdfZieCT604EeKLVIE82-Gx0sDevry6Tfpxsu6t-yTIL_-MlvjkmxFomqCZ_pdO0WCIXih6fPN1DeEa8oNZLwZ5XI8W3OZXnS0_CAqStfiDtWtAP9hE4lp9t1w&amp;amp;lib=M-zdWbhavtdZ1B_W2dnFDM0qoVt4lWzJ-"&gt;here&lt;/A&gt;.
&lt;/BODY&gt;
&lt;/HTML&gt;
</t>
  </si>
  <si>
    <t>8zfMnI71R.C.QmeSft.bSA</t>
  </si>
  <si>
    <t>18752</t>
  </si>
  <si>
    <t>8F00250526320019</t>
  </si>
  <si>
    <t>CLIENTE RETIRA / (0) Informação Adicional: RETIRA JUNTO COM O PEDIDO 18644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</si>
  <si>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lVXLja9CFnRrLvCnrB1MpjrgU0ADaq1ZkCXl7LJpixixSxNh2H1gF5sPQ4B9fBHB5xTy5m30UTe3qm5hU--YM9MxkejlxyZ8a3lXM1ks35YBAkgxsmWnWV8l_Faa_8Xm77MBqArTZjF4Cn3FTZB7ESunAzm-GvAmHk87Cn3P6sczK-iU8F16znvQNyOPMgemVz9j86Zq57jCS_AF2x7uFon2biBpPyGi7m7_AMRApFzka1dezq31Fbk9nVb3SISTHsy-rA97FJhqp8jAut2awh7UBo_Y6w0JpjOn0uwjtHrYOanV0a26EJpUFkg&amp;amp;lib=M-zdWbhavtdZ1B_W2dnFDM0qoVt4lWzJ-"&gt;here&lt;/A&gt;.
&lt;/BODY&gt;
&lt;/HTML&gt;
</t>
  </si>
  <si>
    <t>PsxREg5ERBW1qClc2yFW4Q</t>
  </si>
  <si>
    <t>18753</t>
  </si>
  <si>
    <t>ACEVILLE TRANSPORTES LTDA / (048) 99823-5770Informação Adicional: ENTREGA EM INICIO DE NOVEMBRO  / E-mail para nota fiscal: , E-mail de cobrança: , Telefone para contato</t>
  </si>
  <si>
    <t>zgvbKPDjSzek4eX9gW4Fow</t>
  </si>
  <si>
    <t>18754</t>
  </si>
  <si>
    <t>8F00250529210050</t>
  </si>
  <si>
    <t>RAJ2738 - RETIRA - MARILDO DE SOUZA - 56072155987 - MITSUBISH / L200 / BRANCA / 0000</t>
  </si>
  <si>
    <t xml:space="preserve">&lt;HTML&gt;
&lt;HEAD&gt;
&lt;TITLE&gt;Moved Temporarily&lt;/TITLE&gt;
&lt;/HEAD&gt;
&lt;BODY BGCOLOR="#FFFFFF" TEXT="#000000"&gt;
&lt;!-- GSE Default Error --&gt;
&lt;H1&gt;Moved Temporarily&lt;/H1&gt;
The document has moved &lt;A HREF="https://script.googleusercontent.com/macros/echo?user_content_key=AehSKLjON0GnENSMlYejZHcAMT4nSOnNlotz59fXy75-8VbtC9j_iMGKlWJ5EQ5Q5r1WMJJU_c9MjCf8DTvTiSE7LMxo4aYEipeV0lZAiWhESoKltO1PcS1XHnxPgl9Y5MCQwn8DSM1y8dIa6JLvUAFlqTq5x7CdvNIHd4FzaJQKkDS96cH6fM3WmMpkq2iMpi-SLxIAm_zlicNsLF47wKQmi5XN2TgIN4FGSjShaAdQhCwoi9YCXQhc9x0s5STM8emSF9W2ukru00WdqtMVEyivTNPygcMx9UHuRZplVnKeZJMwVLoX0ty4a-_EQH5qAg&amp;amp;lib=M-zdWbhavtdZ1B_W2dnFDM0qoVt4lWzJ-"&gt;here&lt;/A&gt;.
&lt;/BODY&gt;
&lt;/HTML&gt;
</t>
  </si>
  <si>
    <t>BZbXzKu2QaqoSo5NloqQXw</t>
  </si>
  <si>
    <t>18755-A</t>
  </si>
  <si>
    <t xml:space="preserve">&lt;HTML&gt;
&lt;HEAD&gt;
&lt;TITLE&gt;Moved Temporarily&lt;/TITLE&gt;
&lt;/HEAD&gt;
&lt;BODY BGCOLOR="#FFFFFF" TEXT="#000000"&gt;
&lt;!-- GSE Default Error --&gt;
&lt;H1&gt;Moved Temporarily&lt;/H1&gt;
The document has moved &lt;A HREF="https://script.googleusercontent.com/macros/echo?user_content_key=AehSKLhjUpzGg_cfX3PUmTbJ4O73ErM8I7bETXZ6z_IwKXqeee-pJEf5o-yBbtDU1WFrK3LQxA36ijEzWkfMVTArCvtYTAA0b3eb1ptW20U3DEqJDxdt4o2ZbjeSU4bC6zEpDG6NOuVhZUHn-TsUOHH-Ip5TszpvuLGd1hT3yrAitWXchG3_7OwIS1ePggatayzOJQVeoNpEv2rNezhKge_YG-CgUXBXUons8KY4WF8MYRJ29rJDO7gBlc_qoEO2k9XJ14lNzfKkdYpxo33Q7glIdyvwctvJW7IHUBL2pKxAxv3gCyDy5BH3CnYE9ycG1w&amp;amp;lib=M-zdWbhavtdZ1B_W2dnFDM0qoVt4lWzJ-"&gt;here&lt;/A&gt;.
&lt;/BODY&gt;
&lt;/HTML&gt;
</t>
  </si>
  <si>
    <t>8HPc8DUVSR2Fh-BnWaU-pA</t>
  </si>
  <si>
    <t>18755-B</t>
  </si>
  <si>
    <t xml:space="preserve">&lt;HTML&gt;
&lt;HEAD&gt;
&lt;TITLE&gt;Moved Temporarily&lt;/TITLE&gt;
&lt;/HEAD&gt;
&lt;BODY BGCOLOR="#FFFFFF" TEXT="#000000"&gt;
&lt;!-- GSE Default Error --&gt;
&lt;H1&gt;Moved Temporarily&lt;/H1&gt;
The document has moved &lt;A HREF="https://script.googleusercontent.com/macros/echo?user_content_key=AehSKLhMCjU3CMWwj-nRzJyJAMo0XxNsESLoMZOc0g5EvZw3ZCtw_ZOaLMPbVVbNX0XymUEJbHO9OnWfuLxqmd05v7OwrhHWVRwJjR276J-FHeYHBYMtHDwVKQjPCaKXTTQz5u-kUjJ7ycGXLGiyWlksttUavide9ZBJt4oQUioL3ygfj7kwgHZ5ozw-u_Vks2v8fNES0LsQixi2OoDkq1ckFF5JNNIOho-hplvcWCqAEkQIl8pIbKpE7sgOSVTJzlAqPI9c3VnP9HR_CLz2_yj8G6a846QNO1sOxLYenJJ_O4D_ew9oJBhwroGKNHsWcg&amp;amp;lib=M-zdWbhavtdZ1B_W2dnFDM0qoVt4lWzJ-"&gt;here&lt;/A&gt;.
&lt;/BODY&gt;
&lt;/HTML&gt;
</t>
  </si>
  <si>
    <t>75POwaoDbhkCtciOSwa4</t>
  </si>
  <si>
    <t>18755-C</t>
  </si>
  <si>
    <t xml:space="preserve">&lt;HTML&gt;
&lt;HEAD&gt;
&lt;TITLE&gt;Moved Temporarily&lt;/TITLE&gt;
&lt;/HEAD&gt;
&lt;BODY BGCOLOR="#FFFFFF" TEXT="#000000"&gt;
&lt;!-- GSE Default Error --&gt;
&lt;H1&gt;Moved Temporarily&lt;/H1&gt;
The document has moved &lt;A HREF="https://script.googleusercontent.com/macros/echo?user_content_key=AehSKLiNKjQSFMq_UWWi2aBTiSe1iGf4VLeE4HS1DSK3t_K7tfBQmbmseDZATq2Y_bdf2pQUvzBefJEECe3n0iBm2X1quL1m4s-MnjBuVmF6tSUOeFrbdpubgd-51H11xsKk_Y4Lqu49rWzqWe1CcEUld9q0qN9DD9RgnDSV1bT27LA49Ci0tFh6sBuIlTD2OIM-pL7ysAGet6nOE3mB4pqeUwabbxKyBOXMNu0VAP-qsJcFzpNK3kdNXqUpCvKEBejTFfCVMUTIAlEA0LXE9sq73Vee1OzB8MGijykOCeobfBRM_0m2BIyfHjldFsjOuQ&amp;amp;lib=M-zdWbhavtdZ1B_W2dnFDM0qoVt4lWzJ-"&gt;here&lt;/A&gt;.
&lt;/BODY&gt;
&lt;/HTML&gt;
</t>
  </si>
  <si>
    <t>xAUueyXGfpCSbMPPjR0s</t>
  </si>
  <si>
    <t>18755-D</t>
  </si>
  <si>
    <t xml:space="preserve">&lt;HTML&gt;
&lt;HEAD&gt;
&lt;TITLE&gt;Moved Temporarily&lt;/TITLE&gt;
&lt;/HEAD&gt;
&lt;BODY BGCOLOR="#FFFFFF" TEXT="#000000"&gt;
&lt;!-- GSE Default Error --&gt;
&lt;H1&gt;Moved Temporarily&lt;/H1&gt;
The document has moved &lt;A HREF="https://script.googleusercontent.com/macros/echo?user_content_key=AehSKLifA024yfUpDFkTjLPz18p2-V2Sa38AVRnwZ-kz1AuJjEjCMt6xsQz4WJhfaF6cmwKHYr_omlZVYZiYMJg0-oVD3HabrJnF9iABxlz0l3_In8LjwB6a-RflyfSSgW0SNWJqEejRsAY9rajrbd6QAspAMV0GEEyT-Iltk7-qxi7rUUvpeTO_NARRYf-CnBvzS9bo3anshb1IeovGMHti9iGNO_qVncXrM78hMgqjc6w7dNnRSCAPct3-DduQHme7g9_EvLVvMvFqKYqapJmM3gxuGKOdmkcELjOqffb9eD6LekdcOzfcEV16jIxobA&amp;amp;lib=M-zdWbhavtdZ1B_W2dnFDM0qoVt4lWzJ-"&gt;here&lt;/A&gt;.
&lt;/BODY&gt;
&lt;/HTML&gt;
</t>
  </si>
  <si>
    <t>floOaq6XdD6O78M5d2Ub</t>
  </si>
  <si>
    <t>18755-E</t>
  </si>
  <si>
    <t xml:space="preserve">&lt;HTML&gt;
&lt;HEAD&gt;
&lt;TITLE&gt;Moved Temporarily&lt;/TITLE&gt;
&lt;/HEAD&gt;
&lt;BODY BGCOLOR="#FFFFFF" TEXT="#000000"&gt;
&lt;!-- GSE Default Error --&gt;
&lt;H1&gt;Moved Temporarily&lt;/H1&gt;
The document has moved &lt;A HREF="https://script.googleusercontent.com/macros/echo?user_content_key=AehSKLg0zJfnUNdjoiJWSFLs1SpNW4ZtwciiZhrzs6NsN2MXm_aYbYSXbExQEOAzvEKigozeS4nQaLsuQoTm6_Z2LEFdPMsZywR17k0ACKIQGGYbgkDe33h7ABSLHoUYfz_M2BSlIkG2clPUHSyE6QRVpGQ1b1OwaxZLHLkUveQUlsR2trWt3Unwy-Mcd_HmEcWSJhAzZbDc8ZmACJUNko8VLDz2rzTsviHgdDmBgEBJpF8H_zPdBZ2y6buieiBrGMpXIPAiWfTHFy5CTdKW_h1MTuGqvOeUhT6iMK5IFA0lT4cTBweRVQD5VyvlJxxs5g&amp;amp;lib=M-zdWbhavtdZ1B_W2dnFDM0qoVt4lWzJ-"&gt;here&lt;/A&gt;.
&lt;/BODY&gt;
&lt;/HTML&gt;
</t>
  </si>
  <si>
    <t>L0gBeCzvQbInLj3mtMNW</t>
  </si>
  <si>
    <t>18755-F</t>
  </si>
  <si>
    <t xml:space="preserve">&lt;HTML&gt;
&lt;HEAD&gt;
&lt;TITLE&gt;Moved Temporarily&lt;/TITLE&gt;
&lt;/HEAD&gt;
&lt;BODY BGCOLOR="#FFFFFF" TEXT="#000000"&gt;
&lt;!-- GSE Default Error --&gt;
&lt;H1&gt;Moved Temporarily&lt;/H1&gt;
The document has moved &lt;A HREF="https://script.googleusercontent.com/macros/echo?user_content_key=AehSKLjdhWI6ASfd2OXUCB6flNcy78nqc0x6c6vu0tpwZEl0DGu7n3FD7wLnjzMcSFkBr5yhzPScIeI60_i9dPBvTaoWeN76k3pgqavVKal8DhX50QsIvrYhjPWnEMV1uK5m98ZB4ZpZYXbUVBIiqthBcApWli1j3mGATAJyYl2xbABdPG6tC60pCiJubc35RRLopXeKsV2lfhmnEzV4CZgULrYaJ5NraxMpaLhRAzyrm3_wyCVW6wwFrU_BTgVaRxwoP1WPH4ss877AE5iTbUUYyrHU3aXCpBgzetgz8SMSjNriLCxoPp1RMTO2UpqaMQ&amp;amp;lib=M-zdWbhavtdZ1B_W2dnFDM0qoVt4lWzJ-"&gt;here&lt;/A&gt;.
&lt;/BODY&gt;
&lt;/HTML&gt;
</t>
  </si>
  <si>
    <t>DQZIuOFSSWh9TDiQgFGa</t>
  </si>
  <si>
    <t>18755-G</t>
  </si>
  <si>
    <t xml:space="preserve">&lt;HTML&gt;
&lt;HEAD&gt;
&lt;TITLE&gt;Moved Temporarily&lt;/TITLE&gt;
&lt;/HEAD&gt;
&lt;BODY BGCOLOR="#FFFFFF" TEXT="#000000"&gt;
&lt;!-- GSE Default Error --&gt;
&lt;H1&gt;Moved Temporarily&lt;/H1&gt;
The document has moved &lt;A HREF="https://script.googleusercontent.com/macros/echo?user_content_key=AehSKLir4P8GbhvaBB3I-7fVbzpbW3sMCjDtqwTyKaIr2CIqY6idVnq5bQimrtCv54JAAAQdJeeJSxA65SgZqNtZDUdgFEZx4z5wAdySo9u9UAn9EzC1lQYuI1rktsWfJOZ4dWpxptbgXj2Snc9q1Bat886Zzu0p-0-pWqE_6atk02hXcvhJDY7S0VUqmLK2w0ecNpW4Hfx-3jV5pL5jZtdVGOl0TNs52FDxdYbeUxNb5fIEOWU1B14XEeMRoY8qKF46Y_AnbW90oBsJm3PfSqRgE0TSCMGcFUUz8F3dCmMZ6n34AnVMl8Puw6qBzgJNHw&amp;amp;lib=M-zdWbhavtdZ1B_W2dnFDM0qoVt4lWzJ-"&gt;here&lt;/A&gt;.
&lt;/BODY&gt;
&lt;/HTML&gt;
</t>
  </si>
  <si>
    <t>Wu4QeOY7fZEZdcoCiqgJ</t>
  </si>
  <si>
    <t>18755-H</t>
  </si>
  <si>
    <t xml:space="preserve">&lt;HTML&gt;
&lt;HEAD&gt;
&lt;TITLE&gt;Moved Temporarily&lt;/TITLE&gt;
&lt;/HEAD&gt;
&lt;BODY BGCOLOR="#FFFFFF" TEXT="#000000"&gt;
&lt;!-- GSE Default Error --&gt;
&lt;H1&gt;Moved Temporarily&lt;/H1&gt;
The document has moved &lt;A HREF="https://script.googleusercontent.com/macros/echo?user_content_key=AehSKLiRLhIm9xY08jd9pyVhoS71ythKzBAA7nlR39HyuhUBEo5BJFVSSjmzuP5EeEgQYli4dx3b5p5GxVv1rWAlynEvvQuDk_0pTVPLzOE8fO6sn-Alj2-3k4CyzfnUBHLEX42ihq0ESzAHXJeaGphehPa1c13jcU0AHNkutPbc8v9h2n5dCctQyGogkBTz19q_zCSBud-7ocf9e99Aj2Uev_usf7Ewz3nVjfTz2Q-A1dNi7Lopu3BJYtsiYmuItfJ25v_pWrkOTpGnf4-EKT2Kq92NuxBR_Ab7iNOnFbv826csxOfQd0X5OpLlETpQhQ&amp;amp;lib=M-zdWbhavtdZ1B_W2dnFDM0qoVt4lWzJ-"&gt;here&lt;/A&gt;.
&lt;/BODY&gt;
&lt;/HTML&gt;
</t>
  </si>
  <si>
    <t>2dgdGowlW6TESPD6ljTO</t>
  </si>
  <si>
    <t>18755-I</t>
  </si>
  <si>
    <t xml:space="preserve">&lt;HTML&gt;
&lt;HEAD&gt;
&lt;TITLE&gt;Moved Temporarily&lt;/TITLE&gt;
&lt;/HEAD&gt;
&lt;BODY BGCOLOR="#FFFFFF" TEXT="#000000"&gt;
&lt;!-- GSE Default Error --&gt;
&lt;H1&gt;Moved Temporarily&lt;/H1&gt;
The document has moved &lt;A HREF="https://script.googleusercontent.com/macros/echo?user_content_key=AehSKLjgitANby6hSP9TypWrjH8fMEqSGPNKRzpEcQcDQmrX2Zl9pE4iJPVZNRnC_lrg6N_YQlygeeuLvHJO-LgMHKO6BRJt34VMMXXjcviiVY2OFMc2ZlQOXbntS-TO7TCdZLUTmeUcwMysrWGDxsuQdVBDjNVnLp20XRSgOWuyMAMbrj64Na3xXYVMg1rEZPdv6PV_YGBz-3UXogpESP46ISUF37lNTSRCSAciGY1epDa7m6BGtn0gOlP3y5RwvYdFjc4cww36StCFZ9eKL5uGjDsCtyMUcefIKkumjaWvMRQpREv3A5xaXHWQd-ri3g&amp;amp;lib=M-zdWbhavtdZ1B_W2dnFDM0qoVt4lWzJ-"&gt;here&lt;/A&gt;.
&lt;/BODY&gt;
&lt;/HTML&gt;
</t>
  </si>
  <si>
    <t>cyKpVgWpf77hXeplqT2P</t>
  </si>
  <si>
    <t>18756</t>
  </si>
  <si>
    <t>EXPRESSO SAO MIGUEL S/A / (049) 3361-6627Informação Adicional: ENTREGA EM INICIO DE NOVEMBRO  / E-mail para nota fiscal: , E-mail de cobrança: , Telefone para contato</t>
  </si>
  <si>
    <t>Ck.P2sVmQ76htnWox-an3w</t>
  </si>
  <si>
    <t>18757</t>
  </si>
  <si>
    <t>13.717.133 VALCIR PINTO BOZOLA</t>
  </si>
  <si>
    <t>EXPRESSO SAO MIGUEL S/A / (051) 3586-2013Informação Adicional: ENETREGA EM INICIO DE NOVEMBRO  / E-mail para nota fiscal: , E-mail de cobrança: , Telefone para contato</t>
  </si>
  <si>
    <t>P-i7TmeaTX-BsDijfxPJnA</t>
  </si>
  <si>
    <t>18758-A</t>
  </si>
  <si>
    <t>EXPRESSO SAO MIGUEL S/A / (049) 3361-6627Obs.Interna: 35 = R$ 6544 * 75 = R$ 8.915,67 * 125 = R$ 14.400,18 = entrada depósito fromtherm + saldo nubank 30 dias deposito agendado para 06/11 / E-mail para nota fiscal: , E-mail de cobrança: , Telefone para contato</t>
  </si>
  <si>
    <t>Xdp0XckyQUi27fNR6w.rVQ</t>
  </si>
  <si>
    <t>18758-B</t>
  </si>
  <si>
    <t>MnDMHEenEqUWu5l9hM2S</t>
  </si>
  <si>
    <t>18758-C</t>
  </si>
  <si>
    <t>8F00250529210055</t>
  </si>
  <si>
    <t xml:space="preserve">&lt;HTML&gt;
&lt;HEAD&gt;
&lt;TITLE&gt;Moved Temporarily&lt;/TITLE&gt;
&lt;/HEAD&gt;
&lt;BODY BGCOLOR="#FFFFFF" TEXT="#000000"&gt;
&lt;!-- GSE Default Error --&gt;
&lt;H1&gt;Moved Temporarily&lt;/H1&gt;
The document has moved &lt;A HREF="https://script.googleusercontent.com/macros/echo?user_content_key=AehSKLjGZM9yb3J1O2Hsk_lcnNWvULxDK-8k8zZCYxC1Mt6KrzakVv8PtK60xHqlYNZgEx6iBFejRMCYrLUL1aV4nbkpn_lOM4_xGRdSWxXP9SDVWM8u17SyFdQj7nnSTykfJDlkpoMr9i9xlGoB9XuioZ0gLBM9ED3ocTo5WoZtKVOBoGLLvwbfrBAxNWEc6Io2wMr_s5SrfJ2XgaIMUICvgDBQ7PU3MFtatl0pyJWHyDFrKyyk0bCf_vWR2TAnnOruHv7nccyl30GsEhZzYQAlPpv4Nl0_tJbMpPFf9qc1fPzb1hwL3O0WILE0IGWiRA&amp;amp;lib=M-zdWbhavtdZ1B_W2dnFDM0qoVt4lWzJ-"&gt;here&lt;/A&gt;.
&lt;/BODY&gt;
&lt;/HTML&gt;
</t>
  </si>
  <si>
    <t>dRZSLky4vo8vfJHcsist</t>
  </si>
  <si>
    <t>18758-D</t>
  </si>
  <si>
    <t>8F00250529210054</t>
  </si>
  <si>
    <t xml:space="preserve">&lt;HTML&gt;
&lt;HEAD&gt;
&lt;TITLE&gt;Moved Temporarily&lt;/TITLE&gt;
&lt;/HEAD&gt;
&lt;BODY BGCOLOR="#FFFFFF" TEXT="#000000"&gt;
&lt;!-- GSE Default Error --&gt;
&lt;H1&gt;Moved Temporarily&lt;/H1&gt;
The document has moved &lt;A HREF="https://script.googleusercontent.com/macros/echo?user_content_key=AehSKLhdiSCDVJeN74-ekGWJF1-E7D-MDXOvJ5GmtEZ_qDUVLeUiWOij41vH15tpJb0aWV8kCURaCND3EfJEc9liVfYy3BLA7CmHnwhAANtxE5jka-z5JabKUVDAKkcpASrGxm4ZWqPNmr738wfCXRK662X2h3oUvMQJZpm8lP5LxrEVq_p2XyK2Bnn6m7Z946HZx5XA_AQmUJ0JVUe-amDEuf_WC_Tefv6fbny2CWR8RwQH6CfLFqhb_MqTemRho5caVj3TSAmYWJ8dDbpyFAAeokrj1oVHtLNuCENa1FF_kak1tWbUmhHHhGU0LZj_eA&amp;amp;lib=M-zdWbhavtdZ1B_W2dnFDM0qoVt4lWzJ-"&gt;here&lt;/A&gt;.
&lt;/BODY&gt;
&lt;/HTML&gt;
</t>
  </si>
  <si>
    <t>tvXkyT2WotRUBA2JBpPc</t>
  </si>
  <si>
    <t>18758-E</t>
  </si>
  <si>
    <t>8F00250706500006</t>
  </si>
  <si>
    <t xml:space="preserve">&lt;HTML&gt;
&lt;HEAD&gt;
&lt;TITLE&gt;Moved Temporarily&lt;/TITLE&gt;
&lt;/HEAD&gt;
&lt;BODY BGCOLOR="#FFFFFF" TEXT="#000000"&gt;
&lt;!-- GSE Default Error --&gt;
&lt;H1&gt;Moved Temporarily&lt;/H1&gt;
The document has moved &lt;A HREF="https://script.googleusercontent.com/macros/echo?user_content_key=AehSKLhFQFozQZKek_GHH_XBJGfQw80M7l-UQg-oxfHhXPUu2TEoDoTwWF691NQ9Ps3mA0y4BZSSHpyHT9x7JOIeabiryH7tMERcvWWJV-tgeGFbNCrcDaKdobjd7T1WVRFIquMGWDKWYzzivh9Olb3T8RSue5mq-XmoONJI5v7PVbOQUZqrhsZ2ktKN9X-zRNnicM3Dr3pvPy7QeqvXzwVlVMfSzhheuQH5KwQhV3_9cd5w_Qldk2_0eqWWfyignY2bcPlnbLWCUWa6y8bXr_egtunWHVl-5fkn-FeYWGh67nxoPNM-VKDPhjfrqkerhg&amp;amp;lib=M-zdWbhavtdZ1B_W2dnFDM0qoVt4lWzJ-"&gt;here&lt;/A&gt;.
&lt;/BODY&gt;
&lt;/HTML&gt;
</t>
  </si>
  <si>
    <t>Dp4iVj9dXrp1t1mRyLSh</t>
  </si>
  <si>
    <t>18759</t>
  </si>
  <si>
    <t>I02VKyceSY2obIaYa6VEWw</t>
  </si>
  <si>
    <t>18760</t>
  </si>
  <si>
    <t>FITLOG TRANSPORTES E LOGISTICA LTDA / (048) 996277956Informação Adicional: ENTREGA EM INICIO DE NOVEMBRO  / E-mail para nota fiscal: , E-mail de cobrança: , Telefone para contato
&lt;br&gt;</t>
  </si>
  <si>
    <t>2ro5BWiPTZWdgOuX5MXJxA</t>
  </si>
  <si>
    <t>18761</t>
  </si>
  <si>
    <t>LIDERSOL AQUECEDORES</t>
  </si>
  <si>
    <t>8F00250706510008</t>
  </si>
  <si>
    <t>FITLOG TRANSPORTES E LOGISTICA LTDA / (048) 996277956Informação Adicional: REDESPACHO FOB  CNPJ 24.882.886/0002-93 - RADLOG TRANSPORTES LTDA Rua UMBUZEIRO, 123 - Cep 07.224-010 - BAIRRO CIDADE INDUSTRIAL SATELITE DE SAO PAULO - GUARULHOS - SP I.E. 796.514.930.111 - Cotação: 040992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</si>
  <si>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S9ZQaS01gLH1Wq_QzXCSj8MjUdbKJ_LfzdyN9Ryf-zZi7lynhYAU4VivMZvwvjzKBAE60pyPk7VWgwTi5VZTPN5619gHEmIp7Ez2DKhQQXx6E8WJPBHLrgEjH8B-4_6GfqKnqlnr7Hs0yLbg0QSyhjaYov-gnos9pVMWeC5zwnyRS_7nNRw2It9cISZtcIyzrVoKl4dqQIOzBBNPw250wmaBQvejw2sXHxBFOMxPBpkkuxS55Nkgrn-ll3qNsiVwqlBQYVwOpmTkWQAO-8V3w6u2rl83HsBLd_jea25zLc7Cvrtt9VNklkmEueQ&amp;amp;lib=M-zdWbhavtdZ1B_W2dnFDM0qoVt4lWzJ-"&gt;here&lt;/A&gt;.
&lt;/BODY&gt;
&lt;/HTML&gt;
</t>
  </si>
  <si>
    <t>uMuFPeYLS2-nmqVO4As4qw</t>
  </si>
  <si>
    <t>18762</t>
  </si>
  <si>
    <t>8F00241118040014</t>
  </si>
  <si>
    <t>CLIENTE RETIRA / (0) Informação Adicional: CLIENTE RETIRA EM SÃO PAULO:
Marco antonio Rossoni - RG 21598438-9
Fiorino GBU1838 / E-mail para nota fiscal: , E-mail de cobrança: , Telefone para contato
CONFIRMAR COM CLIENTE SE IRA RETIRAR NA UNIDADE DA TRANSPORTADORA CONTATO 11 96408-5677, SOLICITAR CPF NOME, PLACA E MODELO DO VEICULO</t>
  </si>
  <si>
    <t>OHUKKXFaRpqtchb07-RwBw</t>
  </si>
  <si>
    <t>18763</t>
  </si>
  <si>
    <t>8F00250804170011</t>
  </si>
  <si>
    <t xml:space="preserve">&lt;HTML&gt;
&lt;HEAD&gt;
&lt;TITLE&gt;Moved Temporarily&lt;/TITLE&gt;
&lt;/HEAD&gt;
&lt;BODY BGCOLOR="#FFFFFF" TEXT="#000000"&gt;
&lt;!-- GSE Default Error --&gt;
&lt;H1&gt;Moved Temporarily&lt;/H1&gt;
The document has moved &lt;A HREF="https://script.googleusercontent.com/macros/echo?user_content_key=AehSKLi7vOrOwA8n9lNbTCqiHaiWeo1rYJ0o1g3SB0mx9DcLr8BXd1O5RpbggRztYERSHjKYNB59FLbNoR9Hv9M3n4EL-xkY_rNkgibMtAVpldThI0977Be4aUMA6yMn_q5pm6-LnPz7I_kDsxVS9LH4k_IJN2jJEFRjKrjMg1NDZP0ad8JxdSVNkIMFgSE45MK6pmsFtnCLxKWRrnnSYnx5DrVQVz_7ZDYJlzIfOhsVigrXPvCm0PTcciyWN_2enzTyxgYaGjjDTq23vUfangvkokAZib8HvRZ_Is68Rp-z7zyPuEF_uVn5ybdYsbzqCg&amp;amp;lib=M-zdWbhavtdZ1B_W2dnFDM0qoVt4lWzJ-"&gt;here&lt;/A&gt;.
&lt;/BODY&gt;
&lt;/HTML&gt;
</t>
  </si>
  <si>
    <t>pgqGE0N9RTuZNt53lE154g</t>
  </si>
  <si>
    <t>18764</t>
  </si>
  <si>
    <t>Luciano Vasquez Mendes</t>
  </si>
  <si>
    <t>8F00250529210046</t>
  </si>
  <si>
    <t>FITLOG TRANSPORTES E LOGISTICA LTDA / (048) 996277956Informação Adicional: VENDA INDICADA CAXANGÁ PISCINAS(40/10/DIFAL) REDESPACHO: RF BRA TRANSPORTES LTDA. CNPJ:49.515.412/0001-53. Rua Ouro Verde de Goiás,
1233\. Guarulhos - SP - ENDEREÇO DE ENTREGA: Av Caxangá 1562 - Cordeiro - Recife-PE. 50.711-000 / Obs.Interna: VENDA INDICADA CAXANGÁ PISCINAS(40/10/DIFAL) REDESPACHO: RF BRA TRANSPORTES LTDA. CNPJ:49.515.412/0001-53. Rua Ouro Verde de Goiás,
1233\. Guarulhos - SP - ENDEREÇO DE ENTREGA: Av Caxangá 1562 - Cordeiro - Recife-PE. 50.711-000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</si>
  <si>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bemhN_qvZhDNKJ4dJBwcT093HKMSzssR1OjT__dx4-56XJOTtLdUfbshpPdeJrA4uJAUem51PiDeIljOx2e5w1tTfK05XfI0KAKU6GVSCY_GUb-8yDeFPUKDyPt607v5xiGNwADUoPdnbDQeSGxx8-YAKHps4sxVwepvP8sOlJdNdDAOjhrIJ3HfnmvT7UBwy-SXybZWSq1YgWhfTYGe6LlCFgCwcMXO1LKb9u_bHCHsthritc31s4crEOutid_IiFcLq1Jo8_g9UJvW_lKxwcux1F8evFazRVzSS0vnzWdphZTZCP2YosjlL6A&amp;amp;lib=M-zdWbhavtdZ1B_W2dnFDM0qoVt4lWzJ-"&gt;here&lt;/A&gt;.
&lt;/BODY&gt;
&lt;/HTML&gt;
</t>
  </si>
  <si>
    <t>NPmYzCZCRiqxkhIY0FfidQ</t>
  </si>
  <si>
    <t>18766-A</t>
  </si>
  <si>
    <t>MSR ENGENHARIA</t>
  </si>
  <si>
    <t>8F00250529210063</t>
  </si>
  <si>
    <t>EXPRESSO SAO MIGUEL S/A / (051) 3586-2013Informação Adicional: Frete FOB com redespacho pela IVY LOGISTICA
CNPJ 32.381.000.0002-56 - RUA: URUGUAIANA,197 - CID IND SATELITE DE SP - CEP 07223-230 - GUARULHOS-SP - IE - 1515169831-19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</si>
  <si>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IfI4uvS04lYttuwpo25T0OaUn5yDjK1Bc-ZfNLSsYyjvLHYbxUkspbv4Mt6Ldku3hHli68OaQQt6rxeZO5Vaj5RUwNZ3NbQcuo01s1k1CxhtRgQhWqqccKSedGf_00EpQbqrTNMu-eiVHqlwGrVzLCbzsPfn1eh-krXhrW61C7DsFMZKG32wWzZ7qp-2oz-GDzZ0vP331v_2kvu3PQtUG0vf_rjc_lGNQ7hhjr-wjCZXAqRusFdjRCFjNOfzI1pZwmLDGczQBapSfSun2NiLESb9uaxae4-vZuJiNbFmlG8ELU0wPYK26y7NkTQ&amp;amp;lib=M-zdWbhavtdZ1B_W2dnFDM0qoVt4lWzJ-"&gt;here&lt;/A&gt;.
&lt;/BODY&gt;
&lt;/HTML&gt;
</t>
  </si>
  <si>
    <t>oL7grsVERc20HDDX3cyHDg</t>
  </si>
  <si>
    <t>18766-B</t>
  </si>
  <si>
    <t>WtCjRYEvNAHWLIIGKwJu</t>
  </si>
  <si>
    <t>18766-C</t>
  </si>
  <si>
    <t>Rjly088NqcIUUWr8AIrG</t>
  </si>
  <si>
    <t>18766-D</t>
  </si>
  <si>
    <t>8F00250706370011</t>
  </si>
  <si>
    <t xml:space="preserve">&lt;HTML&gt;
&lt;HEAD&gt;
&lt;TITLE&gt;Moved Temporarily&lt;/TITLE&gt;
&lt;/HEAD&gt;
&lt;BODY BGCOLOR="#FFFFFF" TEXT="#000000"&gt;
&lt;!-- GSE Default Error --&gt;
&lt;H1&gt;Moved Temporarily&lt;/H1&gt;
The document has moved &lt;A HREF="https://script.googleusercontent.com/macros/echo?user_content_key=AehSKLi0jmDhjoZOTrZ-g96MQ7GycI0eXLolkMaJeBQIP1EjxOKsLk3Q1D7w2jgNxBTskrsWqq70gslKY_VPrFyRvpLrB0SHfslrCupAoV_Np-unb2vMQqwsQsu0LVeGBKndtf7vhjNPJI80Qa26Ax0L8d9Dx3GH8jXXx1WP24C-ssX4HPCIMl-bnDCxviqHK-BUxKa9gqGtL3VCxjQBLAQb0Tg2fTXAyXdaVkONGzTWBRnfZRORO_AfuCVqFbjXAKuR7gRg4HJyNdIfsgDM5vSa866xRligbZkNu-GJbL_RRBe54qu3U7Y13xQze0dFZA&amp;amp;lib=M-zdWbhavtdZ1B_W2dnFDM0qoVt4lWzJ-"&gt;here&lt;/A&gt;.
&lt;/BODY&gt;
&lt;/HTML&gt;
</t>
  </si>
  <si>
    <t>82RYcsErZiTetSvNbSMh</t>
  </si>
  <si>
    <t>18767</t>
  </si>
  <si>
    <t>EXPRESSO SAO MIGUEL S/A / (051) 3586-2013Informação Adicional: Frete FOB com redespacho pela IVY Logistica
CNPJ 32.381.000.0002-56 - RUA: URUGUAIANA,197 - CID IND SATELITE DE SP - CEP 07223-230 - GUARULHOS-SP - IE - 1515169831-19 / Obs.Interna: ENTREGA INICIO DE NOVEMBRO / E-mail para nota fiscal: , E-mail de cobrança: , Telefone para contato</t>
  </si>
  <si>
    <t>3uYU35-DQVCfmdNuzXtEcQ</t>
  </si>
  <si>
    <t>18768</t>
  </si>
  <si>
    <t>FITLOG TRANSPORTES E LOGISTICA LTDA / (048) 996277956Informação Adicional: Cliente: Cibele Miranda Galindo Rodrigues / E-mail para nota fiscal: , E-mail de cobrança: , Telefone para contato</t>
  </si>
  <si>
    <t>QVLOzAF5T.mesLIJ17zzdw</t>
  </si>
  <si>
    <t>18769</t>
  </si>
  <si>
    <t>FITLOG TRANSPORTES E LOGISTICA LTDA / (048) 996277956Informação Adicional: Cliente: Edvaldo da Silva Moreira / E-mail para nota fiscal: , E-mail de cobrança: , Telefone para contato</t>
  </si>
  <si>
    <t>bi2RynKCURPpRzsDh1Fc</t>
  </si>
  <si>
    <t>18771</t>
  </si>
  <si>
    <t>FITLOG TRANSPORTES E LOGISTICA LTDA / (048) 996277956Informação Adicional: OC 1056 CE 1554 Quadro deslocado sobrepor. EMERSON SILVA DE OLIVEIRA . Entregar av Prefeito Dulcidio Cardoso 300 cep 22793 012 Ligar antes de entregar 21 9 512 4022 Jorge / Obs.Interna: OC 1056 CE 1554 . Abater do credito CONTA CORRENTE. Quadro deslocado sobrepor. Entregar AV Prefeito Dulcidio Cardoso 300 Barra da Tijuca RJ cep 22793 012 Ligar antes de entregar 21 9 9512 4022 / E-mail para nota fiscal: , E-mail de cobrança: , Telefone para contato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</si>
  <si>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h-GN91r0OzDEyJg3i593wUAAS7KWhGo7czDBrHTexAZhsIqfnEvkxCSFW3fWgBJnKVA7jdbtgDRoztU8x969Jy7CauHsEswW2kPI5h6p85pwdINpia4-TXo_V06mo0HkkzfBuyycQovqk7gDkE5omT5uN3MdhW7XWmwdJJSj4VT-LT0N2G2b6-49YFa4q-dCK8knAKMCo7BOVteuItSmpF3X5K7tud2vglY8JGKLeTZdHtPOGOCkm2EEkhAvJFkOxRq5LLGfklu9sCwMHv-IXUO3FYdkfSuRRV5j-uZMWjHmMKn49cSd7hOogjzw&amp;amp;lib=M-zdWbhavtdZ1B_W2dnFDM0qoVt4lWzJ-"&gt;here&lt;/A&gt;.
&lt;/BODY&gt;
&lt;/HTML&gt;
</t>
  </si>
  <si>
    <t>rpGiV4jIQCKt3iHafsRuwg</t>
  </si>
  <si>
    <t>18772</t>
  </si>
  <si>
    <t>FITLOG TRANSPORTES E LOGISTICA LTDA / (048) 996277956Informação Adicional: OC 1056  CE 1554 Quadro deslocado sobrepor. EMERSON SILVA DE OLIVEIRA . Entregar: av Prefeito Dulcidio Cardoso 300 Barra da Tijuca RJ cep 22793 012 . Ligar antes de entregar 21 9 9512 4022 Jorge / Obs.Interna: OC 1056 CE 1554 Emerson Silva de Oliveira . Maquina devera ser abatida do credito ref nf 12665 ( que foi faturado 3 maquinas ). Quadro deslocado sobrepor. / E-mail para nota fiscal: , E-mail de cobrança: , Telefone para contato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</si>
  <si>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hyRFDkCCBLKgC9LPjtEUIJkOZXhjgG-FTWHdBUaOIm-kTgQf1OP6gmqxkvcFcfR_rX-Em4YIXmx1uDoDgFIm72agP6FGLxOfflLrRbFSxnbWFm8ZK7b61VmBKT09B50S3sutJ8EgVeD4_X73c2_otCORnCVRTDJIDhB-9p4OfcJwuqiUekCIIxNFTCAptH9-dVvdBY2I9k2AX28ag9Gn7Zqmqu66WmNqAgDivDRINIadL4EErOxpqsd9TJsuyamKWhBQAzkfHD-LrTiXZpWa1fUhOVQWREBjENtbNzWHpD2CqTUMUI26EWK0YbqQ&amp;amp;lib=M-zdWbhavtdZ1B_W2dnFDM0qoVt4lWzJ-"&gt;here&lt;/A&gt;.
&lt;/BODY&gt;
&lt;/HTML&gt;
</t>
  </si>
  <si>
    <t>EJoV6XXWB4qKtbD3ifgn</t>
  </si>
  <si>
    <t>18773</t>
  </si>
  <si>
    <t>8F00250526320018</t>
  </si>
  <si>
    <t>FITLOG TRANSPORTES E LOGISTICA LTDA / (048) 996277956Informação Adicional: FRETE FOB com redespacho pela GRIFE
CNPJ: 25.406.384/0005-00 - GUARULHOS - R. IRAQUARA 24 - JARDIM IV CENTENARIO, GUARULHOS - SP, 07161-550 / E-mail para nota fiscal: , E-mail de cobrança: , Telefone para contato
O REDESPACHO SERA FOB - TRANSP. GRIFE - CNPJ:25.406.384/0005-00 - END: R IRAQUARA, 24, CEP: 07.161-550</t>
  </si>
  <si>
    <t xml:space="preserve">&lt;HTML&gt;
&lt;HEAD&gt;
&lt;TITLE&gt;Moved Temporarily&lt;/TITLE&gt;
&lt;/HEAD&gt;
&lt;BODY BGCOLOR="#FFFFFF" TEXT="#000000"&gt;
&lt;!-- GSE Default Error --&gt;
&lt;H1&gt;Moved Temporarily&lt;/H1&gt;
The document has moved &lt;A HREF="https://script.googleusercontent.com/macros/echo?user_content_key=AehSKLjsFzJ3fpJ0gGJvQu5sm4oTNDM1Oy9K_AR2cI3RGznhDsFQtFPYDOUv2bUr7nFhOSFaPP8zBCJLMV2a-g8s92iIGzQaSNc_AmI1_oKQ0ZZ_u-rQd-bALxxrpPahJ6BRgTPrPBq__ELhgCwDxRh233eVdotrCoWzP1z4vtKLmgzOfZCieu9yEkkj6o9OSJMaEabwikwX_NRFbnFSH5IhHVv1A3vxdk6_PxFW5DV_5_Efx4JiXsNsaEPA_BSc7ioVx3xELHeZ4IMzRqCPwnQUhcaz-ZHkGdWQ-kHPwki5rnq_4SU_u0Kryf2L7Whwcw&amp;amp;lib=M-zdWbhavtdZ1B_W2dnFDM0qoVt4lWzJ-"&gt;here&lt;/A&gt;.
&lt;/BODY&gt;
&lt;/HTML&gt;
</t>
  </si>
  <si>
    <t>GJfdKN-uT8KgWKg96D3zUg</t>
  </si>
  <si>
    <t>18774</t>
  </si>
  <si>
    <t>NOVEMBRO
Transportadora Bauer / (048) 9943-3665Informação Adicional: ENTREGA EM NOVEMBRO .  / E-mail para nota fiscal: , E-mail de cobrança: , Telefone para contato</t>
  </si>
  <si>
    <t>HjPScJ8KR3-Gfp.jhDKCTA</t>
  </si>
  <si>
    <t>18775</t>
  </si>
  <si>
    <t xml:space="preserve">&lt;HTML&gt;
&lt;HEAD&gt;
&lt;TITLE&gt;Moved Temporarily&lt;/TITLE&gt;
&lt;/HEAD&gt;
&lt;BODY BGCOLOR="#FFFFFF" TEXT="#000000"&gt;
&lt;!-- GSE Default Error --&gt;
&lt;H1&gt;Moved Temporarily&lt;/H1&gt;
The document has moved &lt;A HREF="https://script.googleusercontent.com/macros/echo?user_content_key=AehSKLjoBwWEL_UlND14STu8jJhcn7ecVQWEWVOPDBK8KQB-C3cMn1htcEyQOF-w1b33p7jJ2MDKZeiLRDbxike3D2NcLi3nRdca3B4eXqXaCuOkfS1_bGGLJ7O6DceXymskKTLPyPxq3jiu2TeebyDDeMLYpKxWJSI7i8Fwumd7eJYlzdIcbhcpE7cwqX-lc9fbeG6eWG7ILe3KqG7bfRUM4ldHYG2zR_w7ZBFwSIh5McKqA5R_YRu-smF20zTjZel9-hQfEMqRu4d69BZO4gVPd41-PME9zNM9jIsm1x0YhvvXLvIu4CuZZzHrnDU9dA&amp;amp;lib=M-zdWbhavtdZ1B_W2dnFDM0qoVt4lWzJ-"&gt;here&lt;/A&gt;.
&lt;/BODY&gt;
&lt;/HTML&gt;
</t>
  </si>
  <si>
    <t>sKdcpX5xT6e4w.Nf6.74kA</t>
  </si>
  <si>
    <t>18776</t>
  </si>
  <si>
    <t xml:space="preserve">&lt;HTML&gt;
&lt;HEAD&gt;
&lt;TITLE&gt;Moved Temporarily&lt;/TITLE&gt;
&lt;/HEAD&gt;
&lt;BODY BGCOLOR="#FFFFFF" TEXT="#000000"&gt;
&lt;!-- GSE Default Error --&gt;
&lt;H1&gt;Moved Temporarily&lt;/H1&gt;
The document has moved &lt;A HREF="https://script.googleusercontent.com/macros/echo?user_content_key=AehSKLjkWk3u1hGAC2tj90OyiGRwEnyHM8SuZ1D541kIU2ZOpDunHTU3GdIc9xu5JJQhRkQx-Uypt_QnK43lWnMkYsvUuA2rPuq7lINgWLI1oiKtOvEaOEYpz6qRD68ujlD-VJ3MWRynL45chBkOPSCNv9KVaC5ftN8AkXtfoBloTQJRlHdr8zuQI9vrNXxdDj2fJm2vXptRBNiwnzORwkjlvKmzVExjZN5xQi9Dp_F1WAfUU4vj7_TU7JEX6JsmXqjCGqZ685Q27V0iiJq8cWHxEq_9O7NIuJPeFclsPrJqrWZtBAQTwsupEatU-wcm_A&amp;amp;lib=M-zdWbhavtdZ1B_W2dnFDM0qoVt4lWzJ-"&gt;here&lt;/A&gt;.
&lt;/BODY&gt;
&lt;/HTML&gt;
</t>
  </si>
  <si>
    <t>jzgSEpanSiWIJegiaPIHAA</t>
  </si>
  <si>
    <t>18785</t>
  </si>
  <si>
    <t>Transportadora Bauer / (048) 9943-3665Informação Adicional: valor da maquina R$8072,00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</si>
  <si>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ILG2kBK9HVLdY0ipm592qJj0I-0Y5GJAntPa3-7EV9_MmyeXNFVzix_KOfxJvUofqz5bxLmM182h1bSpCfhZLvUXGed6ULikhC9_6z5e-nNKjObX0gTInXaqXRAwbNZYDJ05b0Ale4yS4AVjO5yfGyMlF0B8h4XlfSb0diFOjvzTIDoCTiFuznizraDbLoLAONm65jwtyBQKwAbJ5y0M8oZnIckQ6wy9T8b1jzH9TVpaEndDfUipeXigfMgZetAfg4rDaqU8w0ZUCbitPdMOXginz6lOCdIxUFcykoKGhC04l3Hlsqv0WuAlcBA&amp;amp;lib=M-zdWbhavtdZ1B_W2dnFDM0qoVt4lWzJ-"&gt;here&lt;/A&gt;.
&lt;/BODY&gt;
&lt;/HTML&gt;
</t>
  </si>
  <si>
    <t>4ozFYY17TpiBtuFxhcophQ</t>
  </si>
  <si>
    <t>18788-A</t>
  </si>
  <si>
    <t>EXPRESSO SAO MIGUEL S/A / (049) 3361-6627Obs.Interna: Prazo de acordo com Mario via wats app. 
aguardar cliente confirmar transportadora.
informar prazo de entrega/ fabricação das máquinas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</si>
  <si>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QULelD0tsIUnhLItuJA-F6e1KmjZ8xaQagwah8eTl3l053UvZ13m-Vl2L1e9ZPxEUV3oGr4-P-Nx5Aacn3WO91cEaju6uYCx3WT7jwOs5ukWFI_BXrCnwvkxjEuCEinHOP4rZQ3x85zDRBtSidc5p4nsf9Mfot4_cCshMnBaHzxIEy2NPYQ9Du1bvoRqt30E0fmLaAmuHM83qUaME1I9QVU-VKYUHtLMnaJhO9WKLlCShrIjQtEtLeE6S31LJxEDm7lhiUZ5HJ-ZQvRP2M3_adHnBTkjvK-QLLPr9r4m54TLNnS6tT-rrAp58eQ&amp;amp;lib=M-zdWbhavtdZ1B_W2dnFDM0qoVt4lWzJ-"&gt;here&lt;/A&gt;.
&lt;/BODY&gt;
&lt;/HTML&gt;
</t>
  </si>
  <si>
    <t>a8qWi4SRQKiZV6Mr-RFYSg</t>
  </si>
  <si>
    <t>18788-B</t>
  </si>
  <si>
    <t>20374</t>
  </si>
  <si>
    <t>EM ABERTO</t>
  </si>
  <si>
    <t>bXpMfPRJ33mvO8n4ntHg</t>
  </si>
  <si>
    <t>18789</t>
  </si>
  <si>
    <t>8F00250706500004</t>
  </si>
  <si>
    <t>FITLOG TRANSPORTES E LOGISTICA LTDA / (048) 996277956Informação Adicional: REDESPACHO FOB  CNPJ 24.882.886/0002-93 - RADLOG TRANSPORTES LTDA Rua UMBUZEIRO, 123 - Cep 07.224-010 - BAIRRO CIDADE INDUSTRIAL SATELITE DE SAO PAULO - GUARULHOS - SP I.E. 796.514.930.111 / E-mail para nota fiscal: , E-mail de cobrança: , Telefone para contato
O REDESPACHO SERA FOB - TRANSP. RADLOG - CNPJ : 24.882.886/0002-93 - END: R UMBUZEIRO, 123, CEP: 07.224-010</t>
  </si>
  <si>
    <t xml:space="preserve">&lt;HTML&gt;
&lt;HEAD&gt;
&lt;TITLE&gt;Moved Temporarily&lt;/TITLE&gt;
&lt;/HEAD&gt;
&lt;BODY BGCOLOR="#FFFFFF" TEXT="#000000"&gt;
&lt;!-- GSE Default Error --&gt;
&lt;H1&gt;Moved Temporarily&lt;/H1&gt;
The document has moved &lt;A HREF="https://script.googleusercontent.com/macros/echo?user_content_key=AehSKLhZkQFV9aHrO_aOEeDKr44R6WqYNouhd5aVOO_-V1cr6Ima7dDaUJLmcm-3kutVXtPkIjc4JHg2cfLSIA5dpirZtx5NE5B_cwoJBWTiN9MvMTZEp_0JvzF4oD-qS4HvFBiCHw0GI_3UqFll8gPxvQoa5kCROH9U7Rp3zBK41U_smS8yNnb8lHeYXfgLPZTOxjiqwXPQ2-Gv_LUYEQOaNtHvMQ4zX04ZB4W1dPQJZMPdvKCF-ZxqNPCoevk1rsTL9K7RGbO1pMI9nXpENNYsvmKLVoAcWnd0Nw4wsemlRL1hxyeNgvHgd4rssvtl0A&amp;amp;lib=M-zdWbhavtdZ1B_W2dnFDM0qoVt4lWzJ-"&gt;here&lt;/A&gt;.
&lt;/BODY&gt;
&lt;/HTML&gt;
</t>
  </si>
  <si>
    <t>Wis.6CPVTVaGaN4LhO6rug</t>
  </si>
  <si>
    <t>18790</t>
  </si>
  <si>
    <t>8F00250102050011</t>
  </si>
  <si>
    <t>0epIjnKDS26njtGr-jiELA</t>
  </si>
  <si>
    <t>18791</t>
  </si>
  <si>
    <t>8F00250706340009</t>
  </si>
  <si>
    <t>Carlos</t>
  </si>
  <si>
    <t xml:space="preserve">&lt;HTML&gt;
&lt;HEAD&gt;
&lt;TITLE&gt;Moved Temporarily&lt;/TITLE&gt;
&lt;/HEAD&gt;
&lt;BODY BGCOLOR="#FFFFFF" TEXT="#000000"&gt;
&lt;!-- GSE Default Error --&gt;
&lt;H1&gt;Moved Temporarily&lt;/H1&gt;
The document has moved &lt;A HREF="https://script.googleusercontent.com/macros/echo?user_content_key=AehSKLhNcU2kmc3Aa5YjAt4uIm-PGT8-g_o-UxHd6Frz_MNca-eVxvF5MJfRV7juS9vg_gSImN8RxlSpDSvcKHeA_ZKaVu7gDDkrs4Xd4U-wwwCfegLsbOQajz1gjdUf8XXVzBj6HZ7Fc8ept3SEuCj_Rug7SRepnTkXC6o_-5efDcuEABbtTNg--mx7VRZjBeY1AUbmCTqpYig54Q9-DBvsqK8DU8amFmN53iJXf3tC9RP8K96AIK6mAr-lHd-5EKGqm7oSSYvwsJU0-287b1LFUZlh1ObIIp_Ig3LU4B44wQXdpeBJ5bhMvA-O0bAmoQ&amp;amp;lib=M-zdWbhavtdZ1B_W2dnFDM0qoVt4lWzJ-"&gt;here&lt;/A&gt;.
&lt;/BODY&gt;
&lt;/HTML&gt;
</t>
  </si>
  <si>
    <t>ndunbKpYTrmn4B3GxWS5EA</t>
  </si>
  <si>
    <t>18792</t>
  </si>
  <si>
    <t>DESJOYAUX ES</t>
  </si>
  <si>
    <t>FITLOG TRANSPORTES E LOGISTICA LTDA / (048) 996277956Informação Adicional: MARCOS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</si>
  <si>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DUWje4ERaZ4h6644THNEMOW9qTz0NlyyvaRxiamxAdqsnJQUDEGcgq8VmqcLTmugLl0LK3MirI34G1FQPlTmFlibSw_wS2NjID4SqsWGOTRlXN9kcwp7T4TWLvSJaS9uqARabmHzetpxHIKg51VYHvK-zsAPraAsosQjbo-4ARFu3IaBmkyd_1_Dh_9brh7p0Jm814nb7OTW-I8yzORDtSWon7itPu-DfQJERoN9ngN-e3SbW29qaqpN3Hxf7yr_srD1keE1XMImY-pbUQV6YgG8_88Yn03Q71w9dDIFzqq9t_mYdRob7hoDrw&amp;amp;lib=M-zdWbhavtdZ1B_W2dnFDM0qoVt4lWzJ-"&gt;here&lt;/A&gt;.
&lt;/BODY&gt;
&lt;/HTML&gt;
</t>
  </si>
  <si>
    <t>9gQB2dyIRnKagKfIVE9AGQ</t>
  </si>
  <si>
    <t>18793</t>
  </si>
  <si>
    <t>PRODUÇÃO</t>
  </si>
  <si>
    <t>FITLOG TRANSPORTES E LOGISTICA LTDA / (048) 996277956Informação Adicional: CAROLINA  / E-mail para nota fiscal: , E-mail de cobrança: , Telefone para contato</t>
  </si>
  <si>
    <t>wlhzzlPIMzgBRfXjKln2</t>
  </si>
  <si>
    <t>18794</t>
  </si>
  <si>
    <t>8F00250706370006</t>
  </si>
  <si>
    <t xml:space="preserve">&lt;HTML&gt;
&lt;HEAD&gt;
&lt;TITLE&gt;Moved Temporarily&lt;/TITLE&gt;
&lt;/HEAD&gt;
&lt;BODY BGCOLOR="#FFFFFF" TEXT="#000000"&gt;
&lt;!-- GSE Default Error --&gt;
&lt;H1&gt;Moved Temporarily&lt;/H1&gt;
The document has moved &lt;A HREF="https://script.googleusercontent.com/macros/echo?user_content_key=AehSKLgxi-yMcBosHwqi_16PN7UArFCpl88jPp7KZVYUXVjOaFOiES-KRyha8T0kiL0OTBTSrA7PXi23OQQfCJJPNlKQrTIkhj4hV6m-bFWPBqPUYycmhAyLq9C5px-8HaCcpbYlTSKQ2fQJR1k5SMyzCNWSpUW_VtvsDh7H3FYyv-X2GeBcpOzRdBjSCsR83Hf02-PwXC243Y8XYThmPx5LSE5n550laGhUnzO-7gdwHh2W_-rRm7Qf-reuqRg69_iI67h9TP9xRZUboStacr0kXPo6v7Nr7yfdfeMvmT01F_thhh77jBSv8FgwcpmCiA&amp;amp;lib=M-zdWbhavtdZ1B_W2dnFDM0qoVt4lWzJ-"&gt;here&lt;/A&gt;.
&lt;/BODY&gt;
&lt;/HTML&gt;
</t>
  </si>
  <si>
    <t>KMLrHPsOSEaciqB.sXh8kw</t>
  </si>
  <si>
    <t>18795</t>
  </si>
  <si>
    <t>8F00250804170005</t>
  </si>
  <si>
    <t>SAIR EM OUTUBRO
FITLOG TRANSPORTES E LOGISTICA LTDA / (048) 996277956Informação Adicional: Condição de pagamento: 28/56/84/112/140 dias autorizada pelo Mário.
Frete CIF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</si>
  <si>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l9aF2sqxpXueL4JzOu7dhLU7qHegvnxLkDh4sh38XeGgTiq4rcxQH1f77IbC9wF2fg2l2ZwpObq2AYLRoLurIKsc5FSEu2R6Ab2OKPcOOm7knkxhC8duypuQOImmBHIfOi_ylNZ-XA6gTuOgUepFxG7kTptMzFxh-Lb_raHYqXliuvLRg9mB3cAgy0nQ71qL5g2zHCC-AnqLM7ZJQkAI_yXp2MI2CTlW4D9elP5Rq10y3IqgIsh6Xr5UON7cTfvLO_ShMOfxeJgAq5JqeNHqLBxh9XfGHbGE8hQa1F8ZH7e2mOt29fY0OsGtpAA&amp;amp;lib=M-zdWbhavtdZ1B_W2dnFDM0qoVt4lWzJ-"&gt;here&lt;/A&gt;.
&lt;/BODY&gt;
&lt;/HTML&gt;
</t>
  </si>
  <si>
    <t>IDjw4HtXxhkSfdaXOwF0</t>
  </si>
  <si>
    <t>18797</t>
  </si>
  <si>
    <t>8F00250804170012</t>
  </si>
  <si>
    <t>CLIENTE RETIRA / (0) Informação Adicional: FATURAMENTO NORMAL - FORA DO PACOTE 
CLIENTE: PAULO SAULO RAMOS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</si>
  <si>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Dhty31H_06TY_6Fad5ny9Kz1mtH0semed1XKVX_KM8qk1VoraaCcqltK7gVuh7A3LPhoElMFljXp38e7OnCTHyD6C0Qhwca8HC-3NQWidJHtwWC6ib9-NGjxQeCtUIpIgYbYYZn27sTk9Xq0Vj2QWJV9EP1zp2WADHOV8RsIX3pw2b2ngysXpbwpQ7_IlkTqIoMnlbbv03o3D7jcJAJccNSOrE2mTHNmNYEljytgP_gXTIL57_MzkfQOnrbkH3TNfWcDHRL9r4q7TwTRD9pMhMPDauGc6u0OtoR1W5tRM4VGXTYA4U0wHluTQXw&amp;amp;lib=M-zdWbhavtdZ1B_W2dnFDM0qoVt4lWzJ-"&gt;here&lt;/A&gt;.
&lt;/BODY&gt;
&lt;/HTML&gt;
</t>
  </si>
  <si>
    <t>fryjfn.RSFigWFWx9e0m9w</t>
  </si>
  <si>
    <t>18798</t>
  </si>
  <si>
    <t>AOSStSXZRs-lZPUKHywCVg</t>
  </si>
  <si>
    <t>18799</t>
  </si>
  <si>
    <t>CLIENTE RETIRA / (0) Informação Adicional: ABATER VALOR DO CONTRATO EM VIGOR
PEDIDO 20942 - ONE/ NUMBER ONE  / E-mail para nota fiscal: , E-mail de cobrança: , Telefone para contato</t>
  </si>
  <si>
    <t>QYmZ2q64Q9WKi8M8ftqf-g</t>
  </si>
  <si>
    <t>18800-A</t>
  </si>
  <si>
    <t>8F00250529210065</t>
  </si>
  <si>
    <t xml:space="preserve">&lt;HTML&gt;
&lt;HEAD&gt;
&lt;TITLE&gt;Moved Temporarily&lt;/TITLE&gt;
&lt;/HEAD&gt;
&lt;BODY BGCOLOR="#FFFFFF" TEXT="#000000"&gt;
&lt;!-- GSE Default Error --&gt;
&lt;H1&gt;Moved Temporarily&lt;/H1&gt;
The document has moved &lt;A HREF="https://script.googleusercontent.com/macros/echo?user_content_key=AehSKLjeUjYwWTiE6aBC87-82sw-tFzq9LKxKzTmXCXORtMWbVCXcXEQHhkocXpAXKAmjdcFDEz3Dw05BvcKs5O0udFs_g8ei93faJy3eG5kdEIwJEVEeL6XqM9xNPYrqY2u6LUZKpt4nYwy_WzbtuAn3caxRP1lX4SO_7i_EcyDjN_mLGNvoNIWP1nn9zVUjfBF4KQlBszIIeZdKSk7_BE2JpzxVea3JWdzM06E3gn0Ea6opMSByuZFfHULN3mt7VUn4cHI2d4cEUHfqb7_rkgHum2yIm1vzvkvRqZDY_yPV1XtJ0C7XoXe87hvN7NgPw&amp;amp;lib=M-zdWbhavtdZ1B_W2dnFDM0qoVt4lWzJ-"&gt;here&lt;/A&gt;.
&lt;/BODY&gt;
&lt;/HTML&gt;
</t>
  </si>
  <si>
    <t>6zspDWSmTg-Ab.uOGaveWA</t>
  </si>
  <si>
    <t>18800-B</t>
  </si>
  <si>
    <t>8F00250529210064</t>
  </si>
  <si>
    <t xml:space="preserve">&lt;HTML&gt;
&lt;HEAD&gt;
&lt;TITLE&gt;Moved Temporarily&lt;/TITLE&gt;
&lt;/HEAD&gt;
&lt;BODY BGCOLOR="#FFFFFF" TEXT="#000000"&gt;
&lt;!-- GSE Default Error --&gt;
&lt;H1&gt;Moved Temporarily&lt;/H1&gt;
The document has moved &lt;A HREF="https://script.googleusercontent.com/macros/echo?user_content_key=AehSKLicaIfpth0ou8fGTW5pzm65J3tJWWUdZJVTU77ykORrklIkqlyfJzH2FaM8V3d13zdSt0wPEAflONj6RK0I5UUQtBxImcVt2ulaVKfAq4nNeLQ3cqlXV-d6rQNvVQLJgVV40U9XoSmzCKFityKPcIO8LzM3qs1gz1Qv6XFaLgMGtIbe_nV6-2iwBLBKghGuunPiAG6ybosZwFArGaLbGDI1AA0lokPIO3aGZeLQMBbEeV5XwWxnQN3lteAgk3HQMksAN32Yx1P3nN8jJJxdTGV80k4LVKFowoJw1LRJwZxvfD3kbJsjmT0-akyI0A&amp;amp;lib=M-zdWbhavtdZ1B_W2dnFDM0qoVt4lWzJ-"&gt;here&lt;/A&gt;.
&lt;/BODY&gt;
&lt;/HTML&gt;
</t>
  </si>
  <si>
    <t>te1LZ4g6KAlkP6xEb7nD</t>
  </si>
  <si>
    <t>18800-C</t>
  </si>
  <si>
    <t>axr2DPgTjkW41zb9vSJ0</t>
  </si>
  <si>
    <t>18801</t>
  </si>
  <si>
    <t>Ubirajara Fernandes Valladares</t>
  </si>
  <si>
    <t>8F00250706370010</t>
  </si>
  <si>
    <t>EXPRESSO SAO MIGUEL S/A / (051) 3586-2013Informação Adicional: descontos concedidos : 40% + 10% + 10% - R$ 8.573,04 , 
acréscimo de 6% do DIFAL  = R$ 9.087,42
FRETE FOB SEM REDESPACHO  - RODONAVES  
 CNPJ: 44.914.992/0036-68 - IE. 260.650.455 - CONTATO (48) 32027150 ENDEREÇO : ROD BR 101 , 7725 - SÃO VICENTE - ITAJAI - SC
 / E-mail para nota fiscal: , E-mail de cobrança: , Telefone para contato</t>
  </si>
  <si>
    <t>ghTsUAv6TmaO4g5CkCDL6w</t>
  </si>
  <si>
    <t>18803</t>
  </si>
  <si>
    <t>20356</t>
  </si>
  <si>
    <t xml:space="preserve">&lt;HTML&gt;
&lt;HEAD&gt;
&lt;TITLE&gt;Moved Temporarily&lt;/TITLE&gt;
&lt;/HEAD&gt;
&lt;BODY BGCOLOR="#FFFFFF" TEXT="#000000"&gt;
&lt;!-- GSE Default Error --&gt;
&lt;H1&gt;Moved Temporarily&lt;/H1&gt;
The document has moved &lt;A HREF="https://script.googleusercontent.com/macros/echo?user_content_key=AehSKLgC8t9ns-qZTaAdPQEQu616SbMtmuxEhcKK-9VMIPMRB4PXkLrmsOPBIChT3KmtMW6TC7IbGxz9UpG-D4gyF6LZfY_U3C3SvDhjt_tZDuOV86_EvljyjmZ0C8W0x6u5EgqUd3CHto3RPWhIAd0n8NPMk-r_VPysv2WY5VoU9eH4-_bwFEc2dfuE-WCQrAbFHf73pA7Avs5dMnZwBuibPAjj9m-ZQXJl5FCC79dlkPi1pDVJup9VDYRwqqDtXBNUo4b_yGOTiQFVkR8KJxbSeryL_mKJEINB8RZF-19H_x0L71kWePtcOPNS5GTlZQ&amp;amp;lib=M-zdWbhavtdZ1B_W2dnFDM0qoVt4lWzJ-"&gt;here&lt;/A&gt;.
&lt;/BODY&gt;
&lt;/HTML&gt;
</t>
  </si>
  <si>
    <t>DOuVk8I1SwOpjqTDvnnGUQ</t>
  </si>
  <si>
    <t>18804</t>
  </si>
  <si>
    <t>MSI</t>
  </si>
  <si>
    <t>8F00250706460012</t>
  </si>
  <si>
    <t xml:space="preserve">&lt;HTML&gt;
&lt;HEAD&gt;
&lt;TITLE&gt;Moved Temporarily&lt;/TITLE&gt;
&lt;/HEAD&gt;
&lt;BODY BGCOLOR="#FFFFFF" TEXT="#000000"&gt;
&lt;!-- GSE Default Error --&gt;
&lt;H1&gt;Moved Temporarily&lt;/H1&gt;
The document has moved &lt;A HREF="https://script.googleusercontent.com/macros/echo?user_content_key=AehSKLjj142Zxg98kpD2JM0-Xi53P_KYB0tv9RdbZrMNZdqbFJKU234okiahsQZcCZ40668X1konbVY9s-lhkfjJJ6RInwF_mLyM7759o5XG6dHFlWcujOs_aenR3nqcFrCIgvTP5_UgCJ1hDitAxVCWAyehULtmr_l78YOZKWeFKq2wkDD9-3NMxSOje9BPtKqLfkNInBsbbJ3MEVdzwKQQ-OlEzoHIkh7X6meW4fR2LtwKiiTWOj7NNHRaYeykLe58n4CP6CcKVDnfQUExGw0PjySk8Jljp5fC8rH7_uKopf26Oo2Ov8HWyLQq1kDX8A&amp;amp;lib=M-zdWbhavtdZ1B_W2dnFDM0qoVt4lWzJ-"&gt;here&lt;/A&gt;.
&lt;/BODY&gt;
&lt;/HTML&gt;
</t>
  </si>
  <si>
    <t>jGYsVMPuTuKU.EjroYRJ8g</t>
  </si>
  <si>
    <t>18808-A</t>
  </si>
  <si>
    <t xml:space="preserve"> ECO SOLAR E PISCINA</t>
  </si>
  <si>
    <t>FITLOG TRANSPORTES E LOGISTICA LTDA / (048) 996277956Informação Adicional: REDESPACHO: INOVAR TRANSPORTES E LOGISTICA LTDA-CNPJ: 04.989.756/0007-51 -Rua Carlópolis , 181, Parque São Luiz, Guarulhos- SP  CEP 07170-540 - (11) 2467 5631  / Obs.Interna: entrega para inicio de novembro  / E-mail para nota fiscal: , E-mail de cobrança: , Telefone para contato</t>
  </si>
  <si>
    <t>62cKDH2BRgKFhMaffdvP8Q</t>
  </si>
  <si>
    <t>18808-B</t>
  </si>
  <si>
    <t>REyjpXpk9kXbS9AneJ8d</t>
  </si>
  <si>
    <t>18808-C</t>
  </si>
  <si>
    <t>fEHRdqAr3J2rx8MyhWDM</t>
  </si>
  <si>
    <t>18810</t>
  </si>
  <si>
    <t>8F00250706370007</t>
  </si>
  <si>
    <t>EXPRESSO SAO MIGUEL S/A / (051) 3586-2013Informação Adicional: VALOR DA MAQUINA R$ 8573,04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</si>
  <si>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QNi2DgZRNddetglz2ElYWcpumAsRT9-inym00SUCkKUFuuLiXtCfcAS6tGGN20I5QZJc69I3coVPKOGyhBNug93HwXl0HKiDzB97fVdifNxQKG8qHZTSyLM2Kja7oYF2DaTAnQjvLn1nShP0ZfIsRzyAKp9xiAJFs8WB0OTTgPsSVANBSRrjp9BGLGmy_iXA1BZYrIfRKhFpp2xDwbDhZExtl6UaHDpf5Y03lLmsukAQjMJKwAx_jmFDYEBjWNqxxA3sl0edD9bpLN1ZnBgOgmzqJ7jIWxkTo9984B1bCg_l2Dr8QnLi1GZz-lg&amp;amp;lib=M-zdWbhavtdZ1B_W2dnFDM0qoVt4lWzJ-"&gt;here&lt;/A&gt;.
&lt;/BODY&gt;
&lt;/HTML&gt;
</t>
  </si>
  <si>
    <t>LGpITBfOTOGHWle0txqhYQ</t>
  </si>
  <si>
    <t>18812</t>
  </si>
  <si>
    <t>Dfx4ePSSQXW4PDUsqM0Gmw</t>
  </si>
  <si>
    <t>18813</t>
  </si>
  <si>
    <t>8F00250706450009</t>
  </si>
  <si>
    <t xml:space="preserve">&lt;HTML&gt;
&lt;HEAD&gt;
&lt;TITLE&gt;Moved Temporarily&lt;/TITLE&gt;
&lt;/HEAD&gt;
&lt;BODY BGCOLOR="#FFFFFF" TEXT="#000000"&gt;
&lt;!-- GSE Default Error --&gt;
&lt;H1&gt;Moved Temporarily&lt;/H1&gt;
The document has moved &lt;A HREF="https://script.googleusercontent.com/macros/echo?user_content_key=AehSKLj69B5-8V03vsJ0W3avQpScehVH8cDzX6ea5S3inbNv93VjK8KAdx5Rw7Mr_9A-7CtCmM6nSWXwnrQ5kT08MSIMeteo2SgW6VP453Q3cW8yWzV6O8QCvPAMF4F6PsmzrYZAqwmzDseKcmHNRmRMOHiaoqN6GWpCa4TbNyGNz4l9JJpn8a0_aJ6pZRxFTVk8fuPid48vhX9yPsokcEXVEqDgbwrZia6OZj1kEL--4Xaxxjr2yGy87m6sQv5QIFOIxv68HVydNmifHiiYEy2VY0DthjOvyixIdjrpilfN1C3306XjzeuC95_gxo6L3Q&amp;amp;lib=M-zdWbhavtdZ1B_W2dnFDM0qoVt4lWzJ-"&gt;here&lt;/A&gt;.
&lt;/BODY&gt;
&lt;/HTML&gt;
</t>
  </si>
  <si>
    <t>ZGVeQ1R9Tle90IkTrFP-Yw</t>
  </si>
  <si>
    <t>18814-A</t>
  </si>
  <si>
    <t>CLIENTE RETIRA / (0) Obs.Interna: valor da maquina R$ 4.845,42
CLIENTE RETIRA - Entrega em DEZEMBRO
PAGAMENTO EM 16/10/25 .  / E-mail para nota fiscal: , E-mail de cobrança: , Telefone para contato</t>
  </si>
  <si>
    <t>u4zMXyM6TtKhHICWu-nCnQ</t>
  </si>
  <si>
    <t>18814-A1</t>
  </si>
  <si>
    <t>cqpSFGdmE6dJtI6FRqG3</t>
  </si>
  <si>
    <t>18814-A10</t>
  </si>
  <si>
    <t>0INq7VUIOihGQ44G3oxM</t>
  </si>
  <si>
    <t>18814-A11</t>
  </si>
  <si>
    <t>ZgwbgtfTTiTO04kOCsdA</t>
  </si>
  <si>
    <t>18814-A12</t>
  </si>
  <si>
    <t>KAjlqAJOVg0gsAAr4M52</t>
  </si>
  <si>
    <t>18814-A13</t>
  </si>
  <si>
    <t>ji0J99wvmKLhMrwRBdtz</t>
  </si>
  <si>
    <t>18814-A14</t>
  </si>
  <si>
    <t>ZMf7GTpbAzUC461314in</t>
  </si>
  <si>
    <t>18814-A15</t>
  </si>
  <si>
    <t>3RBMV2va4b47YtZbyAcd</t>
  </si>
  <si>
    <t>18814-A16</t>
  </si>
  <si>
    <t>qVCnqVYvmtXlGwZGZZfs</t>
  </si>
  <si>
    <t>18814-A2</t>
  </si>
  <si>
    <t>Q3WVHbS1yGxtMt8967f2</t>
  </si>
  <si>
    <t>18814-A3</t>
  </si>
  <si>
    <t>02JU4iJ4pBZAiDkwbL9M</t>
  </si>
  <si>
    <t>18814-A4</t>
  </si>
  <si>
    <t>S8OGG6cp9OITLwnAvBf2</t>
  </si>
  <si>
    <t>18814-A5</t>
  </si>
  <si>
    <t>fnZw8tp01XEikJEbIMaF</t>
  </si>
  <si>
    <t>18814-A6</t>
  </si>
  <si>
    <t>ljL5etoMUYyhPNrtIHhI</t>
  </si>
  <si>
    <t>18814-A7</t>
  </si>
  <si>
    <t>IYKs2hwJQWesIc5kvbj4</t>
  </si>
  <si>
    <t>18814-A8</t>
  </si>
  <si>
    <t>Aa1xfx9Kho6QxaxEPO01</t>
  </si>
  <si>
    <t>18814-A9</t>
  </si>
  <si>
    <t>kNQNteOT9VfDHXjH66Je</t>
  </si>
  <si>
    <t>18814-B</t>
  </si>
  <si>
    <t>BjOltMJ1luHTV5ADJUFI</t>
  </si>
  <si>
    <t>18814-C</t>
  </si>
  <si>
    <t>rB9UiKZR0wTAtNaO8tXS</t>
  </si>
  <si>
    <t>18814-D</t>
  </si>
  <si>
    <t>mpGkJqlCFTyiQDvrIuKq</t>
  </si>
  <si>
    <t>18814-E</t>
  </si>
  <si>
    <t>CkCCZU1Sk6CjBU1chm3a</t>
  </si>
  <si>
    <t>18814-F</t>
  </si>
  <si>
    <t>uW9OmPq7erK5lC7wijVR</t>
  </si>
  <si>
    <t>18814-G</t>
  </si>
  <si>
    <t>QZOjZfFbabiDTfYlrqtZ</t>
  </si>
  <si>
    <t>18814-H</t>
  </si>
  <si>
    <t>0aQS7Z2dDq7sJm7igc6y</t>
  </si>
  <si>
    <t>18814-I</t>
  </si>
  <si>
    <t>0KW9wwypRps7IO6u47Cj</t>
  </si>
  <si>
    <t>18814-J</t>
  </si>
  <si>
    <t>xigW5aDVGlQ7ac49Kldg</t>
  </si>
  <si>
    <t>18814-K</t>
  </si>
  <si>
    <t>NQfwhq5xwRO9GdQL6Pgm</t>
  </si>
  <si>
    <t>18814-L</t>
  </si>
  <si>
    <t>wsvq1LMUTU0pykNYIWma</t>
  </si>
  <si>
    <t>18814-M</t>
  </si>
  <si>
    <t>WLPI4XtTJ31adDvhGrTb</t>
  </si>
  <si>
    <t>18814-N</t>
  </si>
  <si>
    <t>O647Gsjg1ZD9sZqRnoCC</t>
  </si>
  <si>
    <t>18814-O</t>
  </si>
  <si>
    <t>zg5XxqYXinlj8ut27jw6</t>
  </si>
  <si>
    <t>18814-P</t>
  </si>
  <si>
    <t>47sl6gyP1CuXFl88tg5g</t>
  </si>
  <si>
    <t>18814-Q</t>
  </si>
  <si>
    <t>jlbAl7hELc9aWYE02X0f</t>
  </si>
  <si>
    <t>18814-R</t>
  </si>
  <si>
    <t>VR56igonlVJPbLmm48s3</t>
  </si>
  <si>
    <t>18814-S</t>
  </si>
  <si>
    <t>nyGmmokHLk7d8gPS63rx</t>
  </si>
  <si>
    <t>18814-T</t>
  </si>
  <si>
    <t>WXUCc61LWGwB2XR3UoKg</t>
  </si>
  <si>
    <t>18814-U</t>
  </si>
  <si>
    <t>XkQ3qxgrJNIo1AejYUq3</t>
  </si>
  <si>
    <t>18814-V</t>
  </si>
  <si>
    <t>GH2QWwo0VtwikiYt58bA</t>
  </si>
  <si>
    <t>18814-X</t>
  </si>
  <si>
    <t>kyKQTfFg0SxS4z19LLSb</t>
  </si>
  <si>
    <t>18814-Z</t>
  </si>
  <si>
    <t>7LK48eLUjXrLr9P0HGQC</t>
  </si>
  <si>
    <t>18815</t>
  </si>
  <si>
    <t>8F00250529210061</t>
  </si>
  <si>
    <t xml:space="preserve">&lt;HTML&gt;
&lt;HEAD&gt;
&lt;TITLE&gt;Moved Temporarily&lt;/TITLE&gt;
&lt;/HEAD&gt;
&lt;BODY BGCOLOR="#FFFFFF" TEXT="#000000"&gt;
&lt;!-- GSE Default Error --&gt;
&lt;H1&gt;Moved Temporarily&lt;/H1&gt;
The document has moved &lt;A HREF="https://script.googleusercontent.com/macros/echo?user_content_key=AehSKLhZT9ZtvvMlh6D85VnadYNrlOGyEZfdqaa2kHvURucJehZXSg-oWO7KL4Vf_a9FXmF2r0OzgL7FvrBVvOVtSh_yDeojRtCwrsKeTAIfQG_WsW9tJiMXSPwOGboe-Tp1gTVqrI3C6WDPY4qqITwX1NLrLIEOLTHQ4uTwQyFvIV3a4DNseed8IdtKp0U6K84RbpjOzVI8FHudYP0Li7dFOHRygrv6wJ9A_ea6n3XZKSiMbXhAOX5D47vcTjpz9NK5ChjZYE5L0fUhbk_-iAl6RYYSYnVMlPw1JDTCQtMN9ZXmxKK9bEC-LOwwc4fZ-A&amp;amp;lib=M-zdWbhavtdZ1B_W2dnFDM0qoVt4lWzJ-"&gt;here&lt;/A&gt;.
&lt;/BODY&gt;
&lt;/HTML&gt;
</t>
  </si>
  <si>
    <t>tiv8TpTPRYGZ6qWc3B8Cxw</t>
  </si>
  <si>
    <t>18816-A</t>
  </si>
  <si>
    <t>8F00241005160054</t>
  </si>
  <si>
    <t>FITLOG TRANSPORTES E LOGISTICA LTDA / (048) 996277956Informação Adicional: ATENÇÃO - ALTERAR A COND. PAGAMENTO PARA 40/60/90/120 DD (autorizado pelo GV Mário) / Obs.Interna: SUBSTIUTIR A BASE QUE DEVERA SAIR DE FABRICA, COM A BASE EM ABS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</si>
  <si>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D1iL2HeuocbQTHUFuufdCM-BB7Ml26k2XdROQXiIvCJ3EDSJvkJU79BWaioWtHXwBKSYHgBcstXiBS6ruQCGzMp7b-34fHe3vRLEjkQxql27CAyggItCy_cWmMRWi5UDcaZV8AcVcJB0ihE_kfzz4Iq1YtLMj42yHLU2dZyaWRaQdf-F0FzZwoaj6eGD35sskqNAhBxY3rDgjwR44yZo83xzL-b5m9A7aGJVU_zvD6cQKbZFnQA7tLTzQRj2dBo9vTROofJKPx8BHn9rP1r8mGMWlOcheNJpqzI5WlYuA47iJ2dVCEBdkc3fQGw&amp;amp;lib=M-zdWbhavtdZ1B_W2dnFDM0qoVt4lWzJ-"&gt;here&lt;/A&gt;.
&lt;/BODY&gt;
&lt;/HTML&gt;
</t>
  </si>
  <si>
    <t>A4PgApzJQ9ORVjRPPsKHsg</t>
  </si>
  <si>
    <t>18816-B</t>
  </si>
  <si>
    <t>03.MP.N.50009 - BASE DE ABS FTI 45/55/75 POLIETILENO PRETO</t>
  </si>
  <si>
    <t xml:space="preserve">&lt;HTML&gt;
&lt;HEAD&gt;
&lt;TITLE&gt;Moved Temporarily&lt;/TITLE&gt;
&lt;/HEAD&gt;
&lt;BODY BGCOLOR="#FFFFFF" TEXT="#000000"&gt;
&lt;!-- GSE Default Error --&gt;
&lt;H1&gt;Moved Temporarily&lt;/H1&gt;
The document has moved &lt;A HREF="https://script.googleusercontent.com/macros/echo?user_content_key=AehSKLiolFldbqkry3TtZ0nuVhEtHg45fae7CrmS192GBWVHJwMQl2a7weFd2mEjcsLiT3DkCugIVGZFM_ZN5KCdM8rogk5-8II54vMxdMpk9fTuzgVBj_iy2n2tvmt7r4RTP8Jtg4D7yUJXeZhsRwmmwiX29ZuttOGBNBuxwVrLDesWM7xDicMAsEYQ4Q32jfXWbEana6btQJmvE3EsvfFDwV3U9F6tvgE6WZT44Pmq8FLxWc_lZCJjQlPcBZ0ly2KCxqQ-CJ8F1XZmooGa8UZ3qR5zwpQGpsw4IwpJlaFfwDA3RVHtqVgq9Ljgm_FRjQ&amp;amp;lib=M-zdWbhavtdZ1B_W2dnFDM0qoVt4lWzJ-"&gt;here&lt;/A&gt;.
&lt;/BODY&gt;
&lt;/HTML&gt;
</t>
  </si>
  <si>
    <t>kq57P5z8rbfuQiaURny7</t>
  </si>
  <si>
    <t>18817</t>
  </si>
  <si>
    <t>FITLOG TRANSPORTES E LOGISTICA LTDA / (048) 996277956Informação Adicional: PROGRAMAR ENTREGA SOMENTE APÓS 27/10
ATENÇÃO - ALTERAR A COND. PAGTO PARA 40/60/90/120 DD (autorizado pelo GV Mário) / E-mail para nota fiscal: , E-mail de cobrança: , Telefone para contato</t>
  </si>
  <si>
    <t>xGh83AruPhn8pKGOmcVw</t>
  </si>
  <si>
    <t>18818-A</t>
  </si>
  <si>
    <t>FITLOG TRANSPORTES E LOGISTICA LTDA / (048) 996277956Informação Adicional: ENDEREÇO DE ENTREGA - Rua Macacauba, 376 / Condomínio Vila Rica / Bragança Paulista - CEP 12914-710 (No condomínio entrega: Rua Luis Nobrega de Oliveira/ Pinheirais/ Bragança Paulista)
ALTERAR CONDIÇÃO DE PAGTO PARA 40/60/90/120 DD (autorizado pelo GV Mário) / E-mail para nota fiscal: , E-mail de cobrança: , Telefone para contato</t>
  </si>
  <si>
    <t>tNnBfazLeAxrDakM1K1g</t>
  </si>
  <si>
    <t>18818-B</t>
  </si>
  <si>
    <t>ViwbmGFMTzT1KdYrbEYN</t>
  </si>
  <si>
    <t>18818-C</t>
  </si>
  <si>
    <t>hH7xWQ5ehcPCwxQYKBU8</t>
  </si>
  <si>
    <t>18819</t>
  </si>
  <si>
    <t>Marcelli Bione Machado</t>
  </si>
  <si>
    <t>8F00250529210060</t>
  </si>
  <si>
    <t>FITLOG TRANSPORTES E LOGISTICA LTDA / (048) 996277956Informação Adicional: VENDA INDICADA CAXANGÁ PISCINAS(40/10 - DIFAL) REDESPACHO: RF BRA TRANSPORTES LTDA. CNPJ:49.515.412/0001-53. Rua Ouro Verde de Goiás,
1233\. Guarulhos - SP - ENDEREÇO DE ENTREGA: Av Caxangá 1562 - Cordeiro - Recife-PE. 50.711-000 / Obs.Interna: VENDA INDICADA CAXANGÁ PISCINAS(40/10 - DIFAL) REDESPACHO: RF BRA TRANSPORTES LTDA. CNPJ:49.515.412/0001-53. Rua Ouro Verde de Goiás,
1233\. Guarulhos - SP - ENDEREÇO DE ENTREGA: Av Caxangá 1562 - Cordeiro - Recife-PE. 50.711-000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</si>
  <si>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wB2DVV2rYVM1-WvtaMrnkyOVpkrhvmI7_6WwMVZSJWZWPmf6hKDAaTD9oclJ5LV1JRuD7LNRQ1BdtKVhHzp5XwxOCwTy-a8UIDhA_MWnr-oIhEAauiVnSOB_d3cacWjXj_2nGyfCR9SP820Au2lny9e5Tto8b1s_TmKuVcyib9rNoTjnQh1BERD7FpDdIlOR46C4JObNZR2ZovuAiIOh0QT-Y7fAAZ2oZydoyLhHLJ8zDCxhGuZ-TXRvEMPWlEpLoaFSo5VBUaHUw6VwF8zPTHXsBcq9rp7HzQW9sOMJS725hdCa9RDJ4GCsjDg&amp;amp;lib=M-zdWbhavtdZ1B_W2dnFDM0qoVt4lWzJ-"&gt;here&lt;/A&gt;.
&lt;/BODY&gt;
&lt;/HTML&gt;
</t>
  </si>
  <si>
    <t>N-jWlAn4TkuJwJIp7gpW4w</t>
  </si>
  <si>
    <t>18820-A</t>
  </si>
  <si>
    <t>ROLAND BOMBAS E PISCINAS</t>
  </si>
  <si>
    <t>8F00250529210058</t>
  </si>
  <si>
    <t xml:space="preserve">&lt;HTML&gt;
&lt;HEAD&gt;
&lt;TITLE&gt;Moved Temporarily&lt;/TITLE&gt;
&lt;/HEAD&gt;
&lt;BODY BGCOLOR="#FFFFFF" TEXT="#000000"&gt;
&lt;!-- GSE Default Error --&gt;
&lt;H1&gt;Moved Temporarily&lt;/H1&gt;
The document has moved &lt;A HREF="https://script.googleusercontent.com/macros/echo?user_content_key=AehSKLhWzpf47DU-b9B3E1aCmpGs4dYIeyCgM8E_12K1M6sR7-9dhwS3pZrm7H4tmYPmg_-18Z6o_-OrtnAKEtAKoBerMR25hRwPSZOJENU5JAIqqGeWGt-p_-j1zUwO2rY43-vc2e7ZkziJMur-NSy_PqPn-vW_Qqm5iM_nYOVj2aARvRPYT5Av3XyNqnMPdLWb04EHkKv4Fr_u5FQb1iwWRBpuskWU7uDH7lAQxThptDAERfGRj20M_EoPqetb9eDNUa4p2fDSSjwYje96ta49Y2o0AYBJal_tMiyweAANIN7OPuZxPiB1wf0K7Dtc0w&amp;amp;lib=M-zdWbhavtdZ1B_W2dnFDM0qoVt4lWzJ-"&gt;here&lt;/A&gt;.
&lt;/BODY&gt;
&lt;/HTML&gt;
</t>
  </si>
  <si>
    <t>GzIDLBVPQb-CoY63JX6bvQ</t>
  </si>
  <si>
    <t>18820-B</t>
  </si>
  <si>
    <t>8F00250529210059</t>
  </si>
  <si>
    <t xml:space="preserve">&lt;HTML&gt;
&lt;HEAD&gt;
&lt;TITLE&gt;Moved Temporarily&lt;/TITLE&gt;
&lt;/HEAD&gt;
&lt;BODY BGCOLOR="#FFFFFF" TEXT="#000000"&gt;
&lt;!-- GSE Default Error --&gt;
&lt;H1&gt;Moved Temporarily&lt;/H1&gt;
The document has moved &lt;A HREF="https://script.googleusercontent.com/macros/echo?user_content_key=AehSKLj8Y7mZ5i_8QiEnD-nBB88FP2xfe-QsZQekIn-V_HUKPWTMvSepdT9cLosOz37rEIpGGhvvkNC-sR90zxLjh9mr6WUJSDdavxwmBu8KffurRq035zgXwa2yzOtV2bpBh-vkx3SQVgdfEK75FGM68jenPB-DQBqkZJWH4Rv1cBulGxdf5GQAAeNAwgTOOR8UyiqG9xMl98UrmFGDNPkIc9mg78kAj7JZsQTrGDtF4UGME-Gcrq2zchhJesRtoj1t9rOsAHtQu3E1oUCAatTxo4Y3h2fjRAb2GfNmjiA6TH1jf0eZB8z_7yxNWJAAjQ&amp;amp;lib=M-zdWbhavtdZ1B_W2dnFDM0qoVt4lWzJ-"&gt;here&lt;/A&gt;.
&lt;/BODY&gt;
&lt;/HTML&gt;
</t>
  </si>
  <si>
    <t>ixlg2wjNnUUdMbRi6Nqm</t>
  </si>
  <si>
    <t>18820-C</t>
  </si>
  <si>
    <t>8F00250529210057</t>
  </si>
  <si>
    <t xml:space="preserve">&lt;HTML&gt;
&lt;HEAD&gt;
&lt;TITLE&gt;Moved Temporarily&lt;/TITLE&gt;
&lt;/HEAD&gt;
&lt;BODY BGCOLOR="#FFFFFF" TEXT="#000000"&gt;
&lt;!-- GSE Default Error --&gt;
&lt;H1&gt;Moved Temporarily&lt;/H1&gt;
The document has moved &lt;A HREF="https://script.googleusercontent.com/macros/echo?user_content_key=AehSKLgZBlj0bpqyobmBc6BtDzLfS9C1DsmpQtshBbtaBymKGLH8Hd8ds9Cz3YQ-ebrV8NlIO4Tg_KQ1TwT4K7dgOqmeO6T03blP6LLUxmwofshAAjn1tgyHOTLH3H3Ir7Ug95lh5TwWvPu_CLENNoYNK62sYDNCae6t1W7xMGQz6ckGeGOOovYSyOTc6RpeYHS8ovLgjC5cKfA1uhvb-4bTLY0fshrfFKIJnjfPxucooE1WAGHXEGmGPduA9GXpgAME7ckNuhcrNhoTdOgSf52hVTLsD4YLibEsihQMCjgkVkEQCRs7kKlNZ0dU86TkQQ&amp;amp;lib=M-zdWbhavtdZ1B_W2dnFDM0qoVt4lWzJ-"&gt;here&lt;/A&gt;.
&lt;/BODY&gt;
&lt;/HTML&gt;
</t>
  </si>
  <si>
    <t>ZSCQ5sDWIfNWrNKiHHqC</t>
  </si>
  <si>
    <t>18822</t>
  </si>
  <si>
    <t>20358</t>
  </si>
  <si>
    <t>FITLOG TRANSPORTES E LOGISTICA LTDA / (048) 996277956Obs.Interna: Autorizado pelo Carlos em conversa com a Priscilla.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</si>
  <si>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Phdwn0xuLaweWlqj99apGpHHCffIi8-F-gNn8vmo-QisbFwshCHa2UXwyFxvKO37kUnTsdVKKo7gARVmPwbGDddFomzSU5rO418aYYtE2j6fVuUBUA9ArKLnNPOYuX6FoQUrpESUbm-iRzGbhEUUcXBbKeZZKcBxG6aQh7twegkKq4Sjah7bRApXWhoNrNEs-RTyfAfwCNBDbJcNjw4SPoBDe1QQUdFkOSMyVyS4rdAP438TPmJd_FTgzafdO-jRGDpRD7mrDhertf1rpZw7R7k-I60akjs6lcz8lx6s-2kcdjT7LZif5FYe31w&amp;amp;lib=M-zdWbhavtdZ1B_W2dnFDM0qoVt4lWzJ-"&gt;here&lt;/A&gt;.
&lt;/BODY&gt;
&lt;/HTML&gt;
</t>
  </si>
  <si>
    <t>a-7GOFDibQkOTav741cwp6Q</t>
  </si>
  <si>
    <t>18824</t>
  </si>
  <si>
    <t>8F00250529210062</t>
  </si>
  <si>
    <t xml:space="preserve">&lt;HTML&gt;
&lt;HEAD&gt;
&lt;TITLE&gt;Moved Temporarily&lt;/TITLE&gt;
&lt;/HEAD&gt;
&lt;BODY BGCOLOR="#FFFFFF" TEXT="#000000"&gt;
&lt;!-- GSE Default Error --&gt;
&lt;H1&gt;Moved Temporarily&lt;/H1&gt;
The document has moved &lt;A HREF="https://script.googleusercontent.com/macros/echo?user_content_key=AehSKLjghlHsNlnJ_F73lC7z1O2kSD3DRDMs7kVD4X0nt9I8nLFTozVuvtdlVspkz1iJ5FC0lmf6paMAdDVU-tkF4_8BPookSO8IIOd5w7e0nEIhQlEsevzm1eSV6sO4LxSflw0kobb3Stjhdx9D5bnBUZwpL54x0BUvEBBOQUyG0P8ZOrIzRLP1IVCduCVCeAM9Pj0MxlDp5ozomJbRxTrz06xVgoIxhWs894laXOqF7A4W0vrIgNlqIoWcEYlS3nbPXsj9O0_4MgI_kyd7OKtTc7TzRsEIiku5dWWSYDgvJMUpcEUGIYHq-LWnTFCNbQ&amp;amp;lib=M-zdWbhavtdZ1B_W2dnFDM0qoVt4lWzJ-"&gt;here&lt;/A&gt;.
&lt;/BODY&gt;
&lt;/HTML&gt;
</t>
  </si>
  <si>
    <t>mTxaSBZnTrm8HfN6foGr7A</t>
  </si>
  <si>
    <t>18825</t>
  </si>
  <si>
    <t>EXPRESSO SAO MIGUEL S/A / (049) 3361-6627Obs.Interna: AJUSTAR PARA VALOR A VISTA R$ 8.573,04 / E-mail para nota fiscal: , E-mail de cobrança: , Telefone para contato</t>
  </si>
  <si>
    <t>MGRZ-er3SNGZ6h.lzm6Yvg</t>
  </si>
  <si>
    <t>18826</t>
  </si>
  <si>
    <t>20354</t>
  </si>
  <si>
    <t>.</t>
  </si>
  <si>
    <t xml:space="preserve">&lt;HTML&gt;
&lt;HEAD&gt;
&lt;TITLE&gt;Moved Temporarily&lt;/TITLE&gt;
&lt;/HEAD&gt;
&lt;BODY BGCOLOR="#FFFFFF" TEXT="#000000"&gt;
&lt;!-- GSE Default Error --&gt;
&lt;H1&gt;Moved Temporarily&lt;/H1&gt;
The document has moved &lt;A HREF="https://script.googleusercontent.com/macros/echo?user_content_key=AehSKLjV6Drx9BXI3yujXeFo23Qodk8KDrFwhoRJLGrWbrgR6A9u-MoysHiofMK0WQIA3XWwU8f1LdR-9xRECNTNhp2azYOZj8tnQNzPFgrGoM8e6IA2H86dVZNIXBUqekXs9pbItDm98fp9qf_MGqJbcN8icDxQ7XLWc0BSfaEK_QSEUfAtN7EU2yI_YJVlaCLadKTpnPG62R4418UUCu6UQjfQPVYUcy6etc70G9apkuahY1WxBIr69QVZopAXK2w3qqMftYS5iuHMESc218vf0ycvtKFmMKcDc3fmVdedCQnHBIKB3mExa6xW9tHmzQ&amp;amp;lib=M-zdWbhavtdZ1B_W2dnFDM0qoVt4lWzJ-"&gt;here&lt;/A&gt;.
&lt;/BODY&gt;
&lt;/HTML&gt;
</t>
  </si>
  <si>
    <t>U8tVVNV8ReOOr8DQYssPSg</t>
  </si>
  <si>
    <t>18827</t>
  </si>
  <si>
    <t>20294</t>
  </si>
  <si>
    <t>EXPRESSO SAO MIGUEL S/A / (051) 3586-2013Informação Adicional: Endereço: Rua Siqueira Campos,1749 - Uvaranas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</si>
  <si>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ocxVDSKnDSheBW2K7y0N_HQMDuI5q3YvtfNXagGZFV0d2LFnsNOkFw-nFYsGsnUoQHZ3BMvu0b6WiIMQUh519h7zZMhoUSEe-ZsRV5Z9OPqRy0eD8oj0MFDhEMWwGxyzKUnWskzSyprQmUXGpjFYbKpKOnJZFcKwPlOQbrOtfGKGWsENYxNmafGOY85OEcGuXFChBIoNkFLDyC4UtUy8T7LbncQRi8dgHZ34_nIsymLvvXDynELjIeCkcU6HYqWw0lHr2pVgYUHqF05kCAQN_lFy9Aj4sLx1bFjWUT3naZ0dLKR0mquO0_vNg2w&amp;amp;lib=M-zdWbhavtdZ1B_W2dnFDM0qoVt4lWzJ-"&gt;here&lt;/A&gt;.
&lt;/BODY&gt;
&lt;/HTML&gt;
</t>
  </si>
  <si>
    <t>qtjbiZbIT2WZRtghOg24.Q</t>
  </si>
  <si>
    <t>18828</t>
  </si>
  <si>
    <t>Adilson César Melo de Paula</t>
  </si>
  <si>
    <t>L&amp;FILHOS LOGISTICA EXPRESS SÃO PAULO</t>
  </si>
  <si>
    <t>FITLOG TRANSPORTES E LOGISTICA LTDA / (048) 996277956Informação Adicional: Maquina faturada para CPF. Preço da maquina:R$ 8.072,54. Valor do difal(6%): 484,36. Valor final: R$ 8.556,90.
Frete FOB com redespacho pela L&amp;FILHOS LOGISTICA EXPRESS SÃO PAULO cnpj 29.306.746/0001-00, Endereço:  RUA PAULO EMÍLIO S/NR, QUADRA 6 BLOCO 5 JARDIM JULIETA - TERMINAL DE CARGAS FERNÃO DIAS.
Endereço de entrega: Rua Noé Soares, 420, Chanadour, Divinópolis, MG, Cep 35501293, Tel contato 37984132482Flávio / E-mail para nota fiscal: , E-mail de cobrança: , Telefone para contato</t>
  </si>
  <si>
    <t>eygm-CffT.mo1M7Bd3pvhA</t>
  </si>
  <si>
    <t>18829</t>
  </si>
  <si>
    <t>Flavio Martins Pires.</t>
  </si>
  <si>
    <t>20365</t>
  </si>
  <si>
    <t>EXPRESSO SAO MIGUEL S/A / (051) 3586-2013Informação Adicional: FORMA DE PAGTO :  6x no cartão
descontos concedidos : 40% + 10% - acréscimo de 6% (DIFAL) - R$ 8.821,54 com juros do cartão de credito - R$ 9046,81
FRETE FOB sem redespacho pela RODONAVES
CNPJ: 44.914.992/0036-68 - IE. 260.650.455 - CONTATO (48) 32027150 ENDEREÇO : ROD BR 101 , 7725 - SÃO VICENTE - ITAJAI - SC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</si>
  <si>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uYKs0ucifZZxVBhxaN4oIPxrBTaGvDKhkgPB0vc5bzZp8NbmyZ7vjwlkcBLe-_eZOxpeXQGtv7IKXsW3DGIh6ACre0Spj9pDD1j8LgYMlAyVvAsY_6vwD_COp8D8GMH-eQs_uzZ-Y3D5eAIZh-HQp1epdMSPPwsu_-rbZ6edr27gSZQnU5bhgFu6qGuruYknegnXDYEeYWogkiS6AQMvkebM_QR7hvxxLRucZ8DLhXBVCmfby8f_49_3SdfyO2G2JYvjBr35jV3ZZb1bPOGOeQcctV9Nztl-IEXWBbIPPBnVhtXUwbSsEx8BEoA&amp;amp;lib=M-zdWbhavtdZ1B_W2dnFDM0qoVt4lWzJ-"&gt;here&lt;/A&gt;.
&lt;/BODY&gt;
&lt;/HTML&gt;
</t>
  </si>
  <si>
    <t>vQNA6..MTDSwHYa8YBcvlg</t>
  </si>
  <si>
    <t>18830</t>
  </si>
  <si>
    <t xml:space="preserve">&lt;HTML&gt;
&lt;HEAD&gt;
&lt;TITLE&gt;Moved Temporarily&lt;/TITLE&gt;
&lt;/HEAD&gt;
&lt;BODY BGCOLOR="#FFFFFF" TEXT="#000000"&gt;
&lt;!-- GSE Default Error --&gt;
&lt;H1&gt;Moved Temporarily&lt;/H1&gt;
The document has moved &lt;A HREF="https://script.googleusercontent.com/macros/echo?user_content_key=AehSKLhQhgZ_3NZgF4mE0iWfVHvHkSHSDN1gR08v5lyhOxAHGtmGCxoseFFcpRX4lhHFS2mfda9h4jWaC0Isr3gLzduRjVhv81y0kiTinWWNKxad_AlGcm16kNqcga-NU3VweVtLSQA_jAaXfEFnLNFm0i4R0GxOZcPtGvDM7gJeo7iWy4jzyuwY2g-Mx9z_eoe0POzYE6Xs9-5eEbIFq1_eE0wSLD-hgNTbrj30xP2a0ScPAg4kG_0yvmfvmDlr9L7ddNwyIYSa4KCyYPiVAeE6FtuhfcLnXXE-XPXcqfFBpxKTCju_romdCmHerZxFUA&amp;amp;lib=M-zdWbhavtdZ1B_W2dnFDM0qoVt4lWzJ-"&gt;here&lt;/A&gt;.
&lt;/BODY&gt;
&lt;/HTML&gt;
</t>
  </si>
  <si>
    <t>H3XmeqS0Qj6CEXnyGGMn7g</t>
  </si>
  <si>
    <t>18833</t>
  </si>
  <si>
    <t>D.K. SOLUÇÕES</t>
  </si>
  <si>
    <t>8F00250706450008</t>
  </si>
  <si>
    <t>SXQ6A57 - RETIRA - SANDRO NOGUEIRA DA CRUZ JUNIOR  - 09037204937 - FIAT/STRADA  / CARGA CAMINHONETE  / BRANCA  / 2026</t>
  </si>
  <si>
    <t>AVISAR QUANDO FICAR PRONTA
EXPRESSO SAO MIGUEL S/A / (051) 3586-2013Informação Adicional: VALOR DA MAQUINA R$8915,67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</si>
  <si>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bPUz6Ww1U9AcH37zzAnKF3wa-jkNaOrDhX_gOGJvI7o3wChv0UAp4AB9u9S-3J-P49vsEnl-XwhoP67c2EWNqFwIF5le3idnkGPKj2Hw-Y9fcJm39RIBXW8QqsZrgZtv-y10pNoZ7IiM79saanMTZbC9Ura1FWAZmXhFf715bL2I-aYZEwdpquZdl5UwuQH6bBNlWLqjeYtMLoPRx6XJ_zkhkhbhRDaiYYjhB4AbrQe5qYM-Hse_oFX9q_XDhCzG1nzAkmBF8bKxv40WJ3nQaHdtNE54c0c6LSK8pz2YV6EQvseEgXCLJaFpogg&amp;amp;lib=M-zdWbhavtdZ1B_W2dnFDM0qoVt4lWzJ-"&gt;here&lt;/A&gt;.
&lt;/BODY&gt;
&lt;/HTML&gt;
</t>
  </si>
  <si>
    <t>lU0wZu6eRxavgOJgKrhp5g</t>
  </si>
  <si>
    <t>18834</t>
  </si>
  <si>
    <t>PREDIAL SERVICE</t>
  </si>
  <si>
    <t>8F00250529210066</t>
  </si>
  <si>
    <t>CLIENTE RETIRA / (0) Informação Adicional: URGÊNCIA, RETIRA HOJE A TARDE / Obs.Interna: URGÊNCIA, RETIRA HOJE A TARDE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</si>
  <si>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E5I8Ga4s5_sJGGVdQ9UsjEPeRIZv7KvWlHZJJi7gn_wMvJMBEgh1l9W48mwwi3qBvcCqzHZZPY4KfPLO-b2CvebMa1Vxy8LQgs-S_pngngEpARlmapmTOiTgrh2Zcb6pAXNAoyGbJuO2utlOry1UMl8Wp32iFBPgaZBq8P8kbIRGD0ZSc5yHuTtKBRHDvZocp8J0rwfJTo_ueYjiiTtwLmFo09zN9DPJZTCa9xPhIZ6yOv7htymwbW0xlAbnhulHp2g7HRlq2AOFnzdOdaNvRPwewsQ2MsgXZwmJUFbI5-6Uri8tuNTKay0qyBg&amp;amp;lib=M-zdWbhavtdZ1B_W2dnFDM0qoVt4lWzJ-"&gt;here&lt;/A&gt;.
&lt;/BODY&gt;
&lt;/HTML&gt;
</t>
  </si>
  <si>
    <t>oh.XBKDvQFSveu1k29z-Gg</t>
  </si>
  <si>
    <t>18835</t>
  </si>
  <si>
    <t>SELENT GV CONSTRUTORA E INCORPORADORA LTDA</t>
  </si>
  <si>
    <t>CLIENTE RETIRA / (0) Obs.Interna: CLIENTE SOLTEC PISCINAS, AO RETRIAR ACERTA OS PAGAMENTOS / E-mail para nota fiscal: , E-mail de cobrança: , Telefone para contato</t>
  </si>
  <si>
    <t>RScrxQjDQjmjqpqqoim8eA</t>
  </si>
  <si>
    <t>18836</t>
  </si>
  <si>
    <t>8F00250706450002</t>
  </si>
  <si>
    <t xml:space="preserve">&lt;HTML&gt;
&lt;HEAD&gt;
&lt;TITLE&gt;Moved Temporarily&lt;/TITLE&gt;
&lt;/HEAD&gt;
&lt;BODY BGCOLOR="#FFFFFF" TEXT="#000000"&gt;
&lt;!-- GSE Default Error --&gt;
&lt;H1&gt;Moved Temporarily&lt;/H1&gt;
The document has moved &lt;A HREF="https://script.googleusercontent.com/macros/echo?user_content_key=AehSKLjvyAIlbsUAH5sO4PrEpWNjlFbGn2x_8pWlD_KcDvKysWCTUyy9mTNQCCe3hKzvdb0l-JpW3JtmgbcFtowovVfmpw-EZjF396Jn_Wnghnxy8BRFKg9FsVKz_c_q4V2eUk5c8jv4dCQAZjx6mAhKB-9lwQ6vww_4qOainXidDpAqL8nEXeT8IT8LNxwRZHxQR1f3hIu_Wnoa80i75k_doAl4yLot9GbItNO49mvR82OvVniNRfOY3GDHbGT6Vy0xnlj6oxZuaXT7WGiaWnQ9G0Pc3kuGp7WzW8R0iR85o52RqHjQx15ZQ71DP2s2BA&amp;amp;lib=M-zdWbhavtdZ1B_W2dnFDM0qoVt4lWzJ-"&gt;here&lt;/A&gt;.
&lt;/BODY&gt;
&lt;/HTML&gt;
</t>
  </si>
  <si>
    <t>A3mQdWfYR2KA6c3ESxBZpg</t>
  </si>
  <si>
    <t>18838</t>
  </si>
  <si>
    <t>8F00250706500009</t>
  </si>
  <si>
    <t>EXPRESSO SAO MIGUEL S/A / (049) 3361-6627Obs.Interna: VALOR A VISTA R$ 14.400,18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</si>
  <si>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cG4OMS7jTCTNT2cHLbj_yhJIjG43jAbTtSo-xCWehPbXlrF8pKvvM_OiZpnECADzy5q94If8hnai1IPXUujVBsJs0BDGpEgctxrQ4ujc_uwN_XyijDBuVh9ajH93ZXN-GAo5zvFSR9cpI1FPJEp3aDCmJiXhk8z-Gass_OdGfI3AEoc9RGWmrdZtbhNLm289wT5ZAr1a6h6DN5_9vr_HvHwOA7X3JgBv4k74xqzpCeYPVuP52NTI9rg1o7d4RWiePCEOXtz2cCfiyMC6aG_DHeaIX1BjQSDx43Od1MsozTqtc0deOzUbNtVaMCQ&amp;amp;lib=M-zdWbhavtdZ1B_W2dnFDM0qoVt4lWzJ-"&gt;here&lt;/A&gt;.
&lt;/BODY&gt;
&lt;/HTML&gt;
</t>
  </si>
  <si>
    <t>p11IcX7rQ76c8gNGmpyU8g</t>
  </si>
  <si>
    <t>18839-A</t>
  </si>
  <si>
    <t>8F00250706500010</t>
  </si>
  <si>
    <t xml:space="preserve">&lt;HTML&gt;
&lt;HEAD&gt;
&lt;TITLE&gt;Moved Temporarily&lt;/TITLE&gt;
&lt;/HEAD&gt;
&lt;BODY BGCOLOR="#FFFFFF" TEXT="#000000"&gt;
&lt;!-- GSE Default Error --&gt;
&lt;H1&gt;Moved Temporarily&lt;/H1&gt;
The document has moved &lt;A HREF="https://script.googleusercontent.com/macros/echo?user_content_key=AehSKLipkeb68cRDj6hB-mnlxWeARa_aqy68J2mhHb7dOqZhzRnPfgL5BaBJ5elZCojt2sy3gsPdkItelOZyOAq7Cvp-CYE4HSg0g7hkuxPiUebvBanHSCRYNuPFaEb2rw65wej-h4nFRNnXssWMhLH0MGiWllzVHUoiJ0Y1kaPOt0dz6SIpkT6cRr5f5t1szAP_-lOYBYW91JpU_HIBoJG9rqM2s1INJ-8vsA1RBqmdznCC3JJpo2hqog5mIWsTm93zo4fBDuV2UEdvuXXGQw3dBOrs-wKEFQ4MV_u0U4T0YE1xaiZjInwwFWX54vbWTg&amp;amp;lib=M-zdWbhavtdZ1B_W2dnFDM0qoVt4lWzJ-"&gt;here&lt;/A&gt;.
&lt;/BODY&gt;
&lt;/HTML&gt;
</t>
  </si>
  <si>
    <t>mSQplx8VQoOfEFI8N3fl6Q</t>
  </si>
  <si>
    <t>18839-B</t>
  </si>
  <si>
    <t>8F00250706500011</t>
  </si>
  <si>
    <t xml:space="preserve">&lt;HTML&gt;
&lt;HEAD&gt;
&lt;TITLE&gt;Moved Temporarily&lt;/TITLE&gt;
&lt;/HEAD&gt;
&lt;BODY BGCOLOR="#FFFFFF" TEXT="#000000"&gt;
&lt;!-- GSE Default Error --&gt;
&lt;H1&gt;Moved Temporarily&lt;/H1&gt;
The document has moved &lt;A HREF="https://script.googleusercontent.com/macros/echo?user_content_key=AehSKLgKpMj2gQz1pb0Tq2YanRb8yqCc0LHW2MVpLvjPIQuRcisxe3G_EtwSZ57UG1BpX2D2vtMO6VzO2ta6hszjkg5sUVov1sZtTUwgg5bAyxhPsz9-iJd2cS62-UBdD844YsqlSsjrWHSf9frlCWo998iIjeItOKLUHg49YHjM42Junlldt1W5RZsCVgV6g4YNKbHTRfnJZQeG2i1tl7i0qnk4AQCX0yLBdUTF4eJ2hZelnkn-4LNdTD3pH01mkd974r3EbQob7Zjr6fHv3Uawt8V2KmBhYrfdDwIRQHPat_TLbRiLY1re3Hz6a81NQg&amp;amp;lib=M-zdWbhavtdZ1B_W2dnFDM0qoVt4lWzJ-"&gt;here&lt;/A&gt;.
&lt;/BODY&gt;
&lt;/HTML&gt;
</t>
  </si>
  <si>
    <t>elTpZAiJDQsWoFHfwwRZ</t>
  </si>
  <si>
    <t>18840</t>
  </si>
  <si>
    <t>8F00250706450001</t>
  </si>
  <si>
    <t>EXPRESSO SAO MIGUEL S/A / (049) 3361-6627Informação Adicional: VALOR DA MAQUINA R$8915,67  DESPACHAR URGENTE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</si>
  <si>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1_CAbf0VX8oO0fSzAbNT2WmXdG76zrR36GvpjID4OKhbgLkQyftSQ3ts2UY5JPK3Qihg6oIxG7JJRQ027QK2dItQvSZg0K-Ah--XUHhquXzOTQwVF_Vbd2BH_p9U4roZysS0GEiS1zfMpPrSov-cyNf92QIYGzyA7HA0K33VVhmBDdyYLGn96vhxyzh3CLvfH6VROKCd17a54IdHlcoUgYCg8AOBXpx0cZZ5ciA5fvI2KedDdEaOu89suzneRWpWh6_51feGJIF3pAaplAXvIISI3u-Bvr6MfaNF7fqAR7O2nT1VSftQX3WmTrg&amp;amp;lib=M-zdWbhavtdZ1B_W2dnFDM0qoVt4lWzJ-"&gt;here&lt;/A&gt;.
&lt;/BODY&gt;
&lt;/HTML&gt;
</t>
  </si>
  <si>
    <t>BmibkeRPQdaEctygTFrHZQ</t>
  </si>
  <si>
    <t>18841</t>
  </si>
  <si>
    <t>SANTA MONICA MATERIAIS DE CONSTRUCAO</t>
  </si>
  <si>
    <t>8F00250706450006</t>
  </si>
  <si>
    <t>EXPRESSO SAO MIGUEL S/A / (051) 3586-2013Informação Adicional: 8.915,67 R$ CARTÃO DE CREDITO 3X / Obs.Interna: 8.915,67 R$ CARTÃO DE CREDITO 3X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</si>
  <si>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4cw0UeJie8bhC3frrpZ0n_sc9VwH11iTKlF4IrVZdLIBewR1Ri30EHIGgBNdXM16c6pMWQuTHH9yyrOQbhWsngrBB4srOXo-uWEA4EjEbyhQSFFOk3lxwNwMpkT1eRV2TkC84J_qLRZfqosPnTtDgAwQ-wb9hmTPSgsw2IdSFfRECU_KosbvX9ogVg8WJOGVELkcfBTbjvgni9sPy_aXEHZhue3jBg5_0XjudWa6omjs0RhOSmqKhl6_9_wu7Fq1y_TKTdZVvR8TtMZ1qGUggpPolhJqfOLdssmI_kZVyJ_lbYJTmlKiYnWJgqQ&amp;amp;lib=M-zdWbhavtdZ1B_W2dnFDM0qoVt4lWzJ-"&gt;here&lt;/A&gt;.
&lt;/BODY&gt;
&lt;/HTML&gt;
</t>
  </si>
  <si>
    <t>4AgUTB7EQAagrzI.UpwNwQ</t>
  </si>
  <si>
    <t>18842-A</t>
  </si>
  <si>
    <t>14/10
EXPRESSO SAO MIGUEL S/A / (049) 3361-6627Obs.Interna: entrega em inicio de novembro  / E-mail para nota fiscal: , E-mail de cobrança: , Telefone para contato</t>
  </si>
  <si>
    <t>0lyeYcfcTnyQZ9b0GNOoPw</t>
  </si>
  <si>
    <t>18842-B</t>
  </si>
  <si>
    <t>14/10
EXPRESSO SAO MIGUEL S/A / (049) 3361-6627Obs.Interna: entrega em inicio de novembro  / E-mail para nota fiscal: , E-mail de cobrança: , Telefone para contato</t>
  </si>
  <si>
    <t>bJVqZv5SmQ3qA8YYY5pn</t>
  </si>
  <si>
    <t>18843</t>
  </si>
  <si>
    <t>8F00250706370015</t>
  </si>
  <si>
    <t>EXPRESSO SAO MIGUEL S/A / (051) 3586-2013Informação Adicional: valor da maquina R$8573,04 a vista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</si>
  <si>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5xzhVS8sD-3uKOpKJwKDlkLzgOAnFRkcZLIjN6c37I2fBluV-KMBUct4cg2152tSb-uO8OCsThF-xEZytlA56SyKY_qKQDKGqC70cFWyB8SCPr1lehTBLitVUIyO01eDWKUiSOeliJjOKKJLwqZKyD_lXJYPSMGTImnVXgIdm5mBqhL7khJWn8DJ6YKpc5VtutJG49liCx6LTbseDBA3YyGUU9x8hxR581GTRUEZN9UCmNJ4b_-__RltBOIN__H50RCtSiQjYIlFkeB0LeWoVBy5v0q8rU4MJ07xYAITLvFLEJ0Z804oJ0tRAPQ&amp;amp;lib=M-zdWbhavtdZ1B_W2dnFDM0qoVt4lWzJ-"&gt;here&lt;/A&gt;.
&lt;/BODY&gt;
&lt;/HTML&gt;
</t>
  </si>
  <si>
    <t>3Bu.mZAtToCuWcNOq7-SFw</t>
  </si>
  <si>
    <t>18844</t>
  </si>
  <si>
    <t>8F00250706370013</t>
  </si>
  <si>
    <t>FITLOG TRANSPORTES E LOGISTICA LTDA / (048) 996277956Informação Adicional: Cliente: Wanderley Silva Guimarães Squilace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</si>
  <si>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eLgWNhLqMgouDwhjykoQj1UEnd_ALp_XGS9jk-PO9r1QmeJpTXScppyMlOCeuHa-a4wzM3ggJFSiECPKrc6HTOLk7GMbOEm6wMEAkZq4uVuSA4NnICfscvTSq-7COoY_8o_mg_WS87eCrY4Km924mBKnsRBZmzGOoujh1YjMkyH7CXvuLYo1m0M5QOODMW94GbYRNuyPwZdCRxdNwtacQbcr42Mf4SE3TaFetnc5Md_IGI4rMgVv3yV8RANiHlrqQhzQEHBByu0HhlRVKINP24_4YFYmYAj-p_2HMg5e1B0GQb4jayoEHcdVCjg&amp;amp;lib=M-zdWbhavtdZ1B_W2dnFDM0qoVt4lWzJ-"&gt;here&lt;/A&gt;.
&lt;/BODY&gt;
&lt;/HTML&gt;
</t>
  </si>
  <si>
    <t>B6f9K4yrS5SIEvW3rQFXZA</t>
  </si>
  <si>
    <t>18845</t>
  </si>
  <si>
    <t>SSD COMERCIO E SERVICOS</t>
  </si>
  <si>
    <t>8F00250706500012</t>
  </si>
  <si>
    <t xml:space="preserve">&lt;HTML&gt;
&lt;HEAD&gt;
&lt;TITLE&gt;Moved Temporarily&lt;/TITLE&gt;
&lt;/HEAD&gt;
&lt;BODY BGCOLOR="#FFFFFF" TEXT="#000000"&gt;
&lt;!-- GSE Default Error --&gt;
&lt;H1&gt;Moved Temporarily&lt;/H1&gt;
The document has moved &lt;A HREF="https://script.googleusercontent.com/macros/echo?user_content_key=AehSKLhNX4BZXPlUEJBvlkuHb_XnOQX5ejgUzJjxcDHNrnrEB1b_2oQMUKMkpMG12VfmaTOAEZHD3v1v8XTFXMW5bwd_NNvj05EoUMnjmjmFQ2v2j9Zk9cZwSWlbgWayLiPvxMhbPT8gHXdM8ZKh8nA6GZ1Be4Wf9FuCixc9bSB99T6eMaY89mzqylwoNuWXV-4q0WH3hTZbKUWysVlVzKv80xi2VzHkWpAsIAg10V_EU-ZmZdWIM0zwn28b97Krg9s9jJiLF5tmt59FUoLimBt4beQjelXguSdQNO4w_KyeX3OpQPV2m0B32cddNsyqCw&amp;amp;lib=M-zdWbhavtdZ1B_W2dnFDM0qoVt4lWzJ-"&gt;here&lt;/A&gt;.
&lt;/BODY&gt;
&lt;/HTML&gt;
</t>
  </si>
  <si>
    <t>ilZLRPmYRCGaqSwu1r7OBA</t>
  </si>
  <si>
    <t>18847</t>
  </si>
  <si>
    <t>EM APROVAÇÃO - CD SAO PAULO</t>
  </si>
  <si>
    <t>CLIENTE RETIRA / (0) Informação Adicional: R$8.573
Desconto 10% +10%
Cliente retira na Keppers
Eric Matsunaga
064.026.769-69
ERA6205
Saveiro / E-mail para nota fiscal: , E-mail de cobrança: , Telefone para contato</t>
  </si>
  <si>
    <t>XwYNk825TfCDx4CaLwkcTw</t>
  </si>
  <si>
    <t>18848</t>
  </si>
  <si>
    <t>FITLOG TRANSPORTES E LOGISTICA LTDA / (048) 996277956Obs.Interna: entrega em inicio de novembro .  / E-mail para nota fiscal: , E-mail de cobrança: , Telefone para contato</t>
  </si>
  <si>
    <t>zCswyhebQzuMp-E4UqM2hQ</t>
  </si>
  <si>
    <t>18849</t>
  </si>
  <si>
    <t>8F00250706450005</t>
  </si>
  <si>
    <t>EXPRESSO SAO MIGUEL S/A / (049) 3361-6666E-mail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</si>
  <si>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C0yufHt1hrZg3brQUErG9oD8aJP2GdHjTagBI_zGRS7WKERIZk5dDJKs1lhEJQwXy5wvlX0rchPiim5Hg6WQgZ6lSY7hUV3o3y3iGYJm6WWR6Xcf6NWYU54cLviOtb-L4iFUn2xl801vmeSL9gUItW-3Q4vF4_wUI56SwewwmUMiqy1mxbfIr-uiIMLRMdcHhPYqMQq1zxImily2gMP5VGfaCtMFCZPCut_xv_8AO1TmRBsU4qzRvqonKmc_4Im0LAsBgiqcH5k6gH4RbLCEI-OyEojxCwNt6SG03XYU49WTb3CVA-6qX57jZNg&amp;amp;lib=M-zdWbhavtdZ1B_W2dnFDM0qoVt4lWzJ-"&gt;here&lt;/A&gt;.
&lt;/BODY&gt;
&lt;/HTML&gt;
</t>
  </si>
  <si>
    <t>dukRF1.dRueI2ypzBYQtlA</t>
  </si>
  <si>
    <t>18850</t>
  </si>
  <si>
    <t>ACEVILLE TRANSPORTES LTDA / (048) 99823-5770Obs.Interna: ENTREGA EM INICIO DE NOVEMBRO .  / E-mail para nota fiscal: , E-mail de cobrança: , Telefone para contato</t>
  </si>
  <si>
    <t>iCMkPnUNSL-ShUjYyqZXTg</t>
  </si>
  <si>
    <t>18851</t>
  </si>
  <si>
    <t>8F00250706450004</t>
  </si>
  <si>
    <t xml:space="preserve">&lt;HTML&gt;
&lt;HEAD&gt;
&lt;TITLE&gt;Moved Temporarily&lt;/TITLE&gt;
&lt;/HEAD&gt;
&lt;BODY BGCOLOR="#FFFFFF" TEXT="#000000"&gt;
&lt;!-- GSE Default Error --&gt;
&lt;H1&gt;Moved Temporarily&lt;/H1&gt;
The document has moved &lt;A HREF="https://script.googleusercontent.com/macros/echo?user_content_key=AehSKLgGTo9L3v-XIZhqBbKdDB7UtfBt6GVWOvu3JUX48-r_n0aFCTXfKSSmzJFnIBrCbZtF-RrhLX0UyS57V5HmXKimFBPZGw7OTl7OpW_fVT-OoBsb5knTUGQuAWcM3hFD51nJi-C_mfz-f5MKlx5-BfDOcUgrn2N6xexaLoB3GvswSg7tiqRNzbkXgdT8aMwqAKok10EIJ-Z5wUl6pYGm_Xl3CA-TqSpNp5jzVvruencnFCB7vt1ORY5jyB1xbqJFSVdJRLPvysTuL_gXGvH89DorGk-_v9WKGaOMMS-XCcSJuTozcBoYzfc3HSbRLw&amp;amp;lib=M-zdWbhavtdZ1B_W2dnFDM0qoVt4lWzJ-"&gt;here&lt;/A&gt;.
&lt;/BODY&gt;
&lt;/HTML&gt;
</t>
  </si>
  <si>
    <t>TlPy8GEyH16tZEGydoRS</t>
  </si>
  <si>
    <t>18852</t>
  </si>
  <si>
    <t>PAGO 14/10
EXPRESSO SAO MIGUEL S/A / (051) 3586-2013Obs.Interna: ENTREGA EM NOVEMBRO  / E-mail para nota fiscal: , E-mail de cobrança: , Telefone para contato</t>
  </si>
  <si>
    <t>VrEihicmeDWz8vqGfaUq</t>
  </si>
  <si>
    <t>18853</t>
  </si>
  <si>
    <t>8F00250706370016</t>
  </si>
  <si>
    <t>EXPRESSO SAO MIGUEL S/A / (051) 3586-2013Informação Adicional: valor da maquina R$ 8573,04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</si>
  <si>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HU6S99a3FQXX8qKvg4DnaV357nCtsvkmUr9n0-VL9djkIGUnlmaQsbbMTJn_HKZNVooIEWkT-c7aQiyOSU7kANMi4UqzN5rmenR5xewitBn2nhmEAVrA0SZ5-hmYUGAYDUdo5sdNiOyPH0wVUkKjwaA8LeIoObuqou4fZDkZS2TOwYo3BXSiOPrWGQlk16yssblb-jJfY1QPE3-wapo3InoptjkCYRTisNXP8fY-GIfNzxVEQgxnnlHqIqIViugv-9v_eq4Tux9zAWjDYICZuXybTlI0ar0oN9BPVHowt-KZ_l1IZzCX6mfl8mA&amp;amp;lib=M-zdWbhavtdZ1B_W2dnFDM0qoVt4lWzJ-"&gt;here&lt;/A&gt;.
&lt;/BODY&gt;
&lt;/HTML&gt;
</t>
  </si>
  <si>
    <t>qwgPhLP4T02nR82KwpvJzA</t>
  </si>
  <si>
    <t>18854</t>
  </si>
  <si>
    <t>8F00250706500015</t>
  </si>
  <si>
    <t>EXPRESSO SAO MIGUEL S/A / (049) 3361-6627Obs.Interna: CONCEDER DESCONTO A VISTA 10 + 10 - VALOR DA MAQUINA R$ 14.400,18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</si>
  <si>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Q7ueIH_k3BeAJJqaqwr9gJQuBhawm1TMUvBXCL0wx2DQ99USqXwHo9L-RaK0Ztpsx_31lvYMAHS52wK11oNOyyByCNBh4nuSbQH2dr2rJ94eLITybcCpibvKwcS8LWS0A1k1fLLtg7L_FPA01KeUy6h18bQiD_dc5YURIbwnpI9JPAeUF4vPinA1qs1ZkJryCwpRPja0s7FjG3btt_lIHX21Q81u8MhoGTljdBybyIn9IX6nZN4LRQt3b9N-gI6PrqNkB7h9XzXqnwJrpp8l4BjMRc9U9n3e_2V-LcmDzvKrkS9erJsbthG8wOQ&amp;amp;lib=M-zdWbhavtdZ1B_W2dnFDM0qoVt4lWzJ-"&gt;here&lt;/A&gt;.
&lt;/BODY&gt;
&lt;/HTML&gt;
</t>
  </si>
  <si>
    <t>CDZHzy8zSFGFExslp2iIxQ</t>
  </si>
  <si>
    <t>18857-A</t>
  </si>
  <si>
    <t>CASA DA PISCINA MATO GROSSO</t>
  </si>
  <si>
    <t>EXPRESSO SAO MIGUEL S/A / (051) 3586-2013Informação Adicional: TRANSPORTADORA: PICCOLI TRANSPORTES- CNPJ 01.496.359/0002-45 - Rua Viela Urga-nº557 -Bairro Vila Nova Bonsucesso- Guarulhos -cep 07175-332 SP - 1139880170  / Obs.Interna: AVISAR PRODUÇÃO- QUADRO DESLOCADO .  / E-mail para nota fiscal: , E-mail de cobrança: , Telefone para contato</t>
  </si>
  <si>
    <t>5b--llJ5SginBIm6t23uEQ</t>
  </si>
  <si>
    <t>18857-B</t>
  </si>
  <si>
    <t>meFUdt1qeoOEZgQhZ8tz</t>
  </si>
  <si>
    <t>18858</t>
  </si>
  <si>
    <t>8F00250706370017</t>
  </si>
  <si>
    <t xml:space="preserve">&lt;HTML&gt;
&lt;HEAD&gt;
&lt;TITLE&gt;Moved Temporarily&lt;/TITLE&gt;
&lt;/HEAD&gt;
&lt;BODY BGCOLOR="#FFFFFF" TEXT="#000000"&gt;
&lt;!-- GSE Default Error --&gt;
&lt;H1&gt;Moved Temporarily&lt;/H1&gt;
The document has moved &lt;A HREF="https://script.googleusercontent.com/macros/echo?user_content_key=AehSKLhURs3SEpVdIMzDC5GDjBHFkINf4QAb1g31-OSSAWcWYyxPv9pR6uZrBWGbi0oCToPHAplGcKxNzLZ6dssQrgOrDASHrsFo8rygwnhFMSEq6cNgwUXFR5_vASY2QiC4VF3dcj00hK7hyCvQngshvI5B6Tc6bPxxUp30p3W59jfnb8c7eDuiSnZnoYwj3aNXcPuW0Z_o08ELBflqWlFNGcbzfQ16mqIdyd8PQhhQqyXB3TQnu2fFH0Z3NADhEyP1GJQrLbR0MulFP31X3BHCV2BYiifnxaPkKMhiX-dL2gVcdv5osyzKLKOTtIg68w&amp;amp;lib=M-zdWbhavtdZ1B_W2dnFDM0qoVt4lWzJ-"&gt;here&lt;/A&gt;.
&lt;/BODY&gt;
&lt;/HTML&gt;
</t>
  </si>
  <si>
    <t>AhbV.a65R8GhEdw5CyPbrQ</t>
  </si>
  <si>
    <t>18859</t>
  </si>
  <si>
    <t>20373</t>
  </si>
  <si>
    <t>S5Y.OJvpS5O9SVB-GrFVlw</t>
  </si>
  <si>
    <t>18860</t>
  </si>
  <si>
    <t>FITLOG TRANSPORTES E LOGISTICA LTDA / (048) 996277956Obs.Interna: OC 1055 CE 1552(1553) Condominio Cyano Exclusive Residences . Entrega: Av Lucio Costa 4260 Barra da Tijuca RJ Cep 22630 011. Quadro deslocado sobrepor . ABATER CONTRATO. Ligar antes de entregar 21 9 99512 4022 / E-mail para nota fiscal: , E-mail de cobrança: , Telefone para contato
NÃO ENTREGAR S/ENTRAR EM CONTATO COM O TELEFONE: JORGE (21) 99512-4022 AO MENOS C/ 24H</t>
  </si>
  <si>
    <t xml:space="preserve">&lt;HTML&gt;
&lt;HEAD&gt;
&lt;TITLE&gt;Moved Temporarily&lt;/TITLE&gt;
&lt;/HEAD&gt;
&lt;BODY BGCOLOR="#FFFFFF" TEXT="#000000"&gt;
&lt;!-- GSE Default Error --&gt;
&lt;H1&gt;Moved Temporarily&lt;/H1&gt;
The document has moved &lt;A HREF="https://script.googleusercontent.com/macros/echo?user_content_key=AehSKLjymTpfgBCEhufXCBL314eHjMpX_-oh7QkibNyD2ib5cSlrY33aensHp3wit92jzFtxrEJb9e0a_8MkGq4DsfPDlBvV16J_co5bIVfSrI_lQSOfyf3JxhslGy_MmfurYaPKTv0wh4TAkHIjWi5WeSQDMvZu4driWXVIj8dLRmK_uNNaG9kxfb57xxnOSZNpM09FFQQU-lmd4N9GuEnqZaJgCchE4polETRSkXWTkgUJLxahpuJXPXzmi6b0WHtrm_uorjcAwcheyf4tHI9caB1KA8p8DPPHR5U5n-dU10GkqJW1pXPyHa2NZr8EGA&amp;amp;lib=M-zdWbhavtdZ1B_W2dnFDM0qoVt4lWzJ-"&gt;here&lt;/A&gt;.
&lt;/BODY&gt;
&lt;/HTML&gt;
</t>
  </si>
  <si>
    <t>2l43cNCeS4Ck2rv7wf4QDg</t>
  </si>
  <si>
    <t>18861-A</t>
  </si>
  <si>
    <t>vHLztLv0nGWz4W1knDeX</t>
  </si>
  <si>
    <t>18861-B</t>
  </si>
  <si>
    <t>J2auckZyg8ojuozUj8ac</t>
  </si>
  <si>
    <t>18861-C</t>
  </si>
  <si>
    <t>IFV-2CV</t>
  </si>
  <si>
    <t>p7svhQqRS4ufGvyQilT0xg</t>
  </si>
  <si>
    <t>18861-D</t>
  </si>
  <si>
    <t>nfJeY5KTVHUHZWnYfCbB</t>
  </si>
  <si>
    <t>18862</t>
  </si>
  <si>
    <t>2 CORACOES PISCINAS E DECORACOES</t>
  </si>
  <si>
    <t>ytaP-Fc2REmMjQNOI59ymA</t>
  </si>
  <si>
    <t>18863</t>
  </si>
  <si>
    <t>CLIENTE RETIRA / (0) Informação Adicional: CLIENTE RETIRA NA FABRICA / E-mail para nota fiscal: , E-mail de cobrança: , Telefone para contato</t>
  </si>
  <si>
    <t>2hBfyLhZQS2IF9wDEOprqg</t>
  </si>
  <si>
    <t>18864</t>
  </si>
  <si>
    <t>RIO LUX PISCINAS &amp; MARMORES</t>
  </si>
  <si>
    <t>8F00250706450010</t>
  </si>
  <si>
    <t>TRANSPRESS TRANSP. EXPRESSO LTDA</t>
  </si>
  <si>
    <t>EXPRESSO SAO MIGUEL S/A / (051) 3586-2013Informação Adicional: REDESPACHO POR CONTA DO CLIENTE-GARANTIA COBERTA EM FABRICA- TODO E QUALQUER DEFEITO DE FABRICAÇAO QUE VIR A OCORRER O EQUIPAMENTO DEVERA SER ENVIADO A FABRICA PARA COBERTURA DA GARANTIA DE 01 ANO . NAO SERA DESLOCADO ASSIATENTE TECNICO PARA ATENDIMENTO DOMICILIAR .  / Obs.Interna: GARANTIA COBERTA EM FABRICA- TODO E QUALQUER DEFEITO DE FABRICAÇAO QUE VIR A OCORRER O EQUIPAMENTO DEVERA SER ENVIADO A FABRICA PARA COBERTURA DA GARANTIA DE 01 ANO . NAO SERA DESLOCADO ASSIATENTE TECNICO PARA ATENDIMENTO DOMICILIAR .  / E-mail para nota fiscal: , E-mail de cobrança: , Telefone para contato
REDESPACHO FOB: TRANSPRESS TRANSP. EXPRESSO LTDA -CNPJ 22.980.155/0003-36 -Rua Artur Ferreira dos Santos-280- Jardim Santa Lidia - cep 07140-003- (11 20884250</t>
  </si>
  <si>
    <t xml:space="preserve">&lt;HTML&gt;
&lt;HEAD&gt;
&lt;TITLE&gt;Moved Temporarily&lt;/TITLE&gt;
&lt;/HEAD&gt;
&lt;BODY BGCOLOR="#FFFFFF" TEXT="#000000"&gt;
&lt;!-- GSE Default Error --&gt;
&lt;H1&gt;Moved Temporarily&lt;/H1&gt;
The document has moved &lt;A HREF="https://script.googleusercontent.com/macros/echo?user_content_key=AehSKLg1epPDWUDlKocSxHq16sCEpOedG6EF0tCsjeOLw7lq0y5rUNPEFR_-Uh_yW2uREtCSWLmaOQR5-NxieVexPBVE0ulghZwF1XhEnK5ZLiPiM2i6KyJe7th30Y0R51kxMnfmwd22HLxloeJrbdsx3v5B28rzGvJLMJr7aJkLApx2VdmUEatOGqR3lq_ZS1zeH5BuKRQQKMskpLuHjqhrvsg5o5FfeAysn9TrJOpLk6XaVDjPUqTlGeS4hHMaUn6I0kX1QXtfQjEPTaaqrnZcnuGuRJqVR0yKp_c94whr83TpjpYHyy6LSszxFcBRuw&amp;amp;lib=M-zdWbhavtdZ1B_W2dnFDM0qoVt4lWzJ-"&gt;here&lt;/A&gt;.
&lt;/BODY&gt;
&lt;/HTML&gt;
</t>
  </si>
  <si>
    <t>a.39NMqAPQNeEss7h8CmvwQ</t>
  </si>
  <si>
    <t>18865</t>
  </si>
  <si>
    <t>8F00250706340010</t>
  </si>
  <si>
    <t xml:space="preserve">&lt;HTML&gt;
&lt;HEAD&gt;
&lt;TITLE&gt;Moved Temporarily&lt;/TITLE&gt;
&lt;/HEAD&gt;
&lt;BODY BGCOLOR="#FFFFFF" TEXT="#000000"&gt;
&lt;!-- GSE Default Error --&gt;
&lt;H1&gt;Moved Temporarily&lt;/H1&gt;
The document has moved &lt;A HREF="https://script.googleusercontent.com/macros/echo?user_content_key=AehSKLhH0RAsAw8t0QUp0Au-x1eYJwAYloH8zRCYAQT9VEbyeVYO44c8p4p0tUbyDZa4LjszTa-HXj17QLqMZ0iVskTUhn655THHACrZGwAHygugR0fC9nyqLw7UzWWIlSD6EQjxOCrGfsiNAUbrIJs4gNjfLQWdoL77e3SU3BCzQ29VbEzv4dtKlr_h42D4FqOzA7It9s9pxnsMWGu43aq7mlgzV4Rtb3tm6YW9c9PpoZGCYp5Ou75As52Tly4C19VWegqtSxU_e1JM6b_qauUjjKc1dBbaH_H3R1oPUmMcEcNyn8GPbZ5eBWrryRO1kA&amp;amp;lib=M-zdWbhavtdZ1B_W2dnFDM0qoVt4lWzJ-"&gt;here&lt;/A&gt;.
&lt;/BODY&gt;
&lt;/HTML&gt;
</t>
  </si>
  <si>
    <t>YeglVZCdR34RUUaGEIcU</t>
  </si>
  <si>
    <t>18866</t>
  </si>
  <si>
    <t>8F00250706500013</t>
  </si>
  <si>
    <t>CLIENTE RETIRA / (0) Informação Adicional: ABATER DO CONTRATO EM VIGOR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</si>
  <si>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83K98CNShjbhGMmPN86B1KS1zdZpaPGODKKJMW-RrrJXzU6JKeagJWvyrH7vmFehCuBs-p_UcpMf4YDb_SCrldwsgwIsZdtb2-hiAdgNHmzshcd7g1YVwb2PIRKoG_L9lrI6m0QKZyqiJ7JZszEW33pEefVzSv5bov5L0H-LvuaWW-RHGm9SAhObOXz1BsVbQNEAz2qcR6Ctx6YpEesg97xuXSFRFpRRKLMOguS3OfqIo-hGU4Tx_udvTHdfgnUpvKMFgJgfWeqYIMFWO7RI_wyRUB7mnC3pieI9kPOYos9zcp5bzbbB8QLS9iA&amp;amp;lib=M-zdWbhavtdZ1B_W2dnFDM0qoVt4lWzJ-"&gt;here&lt;/A&gt;.
&lt;/BODY&gt;
&lt;/HTML&gt;
</t>
  </si>
  <si>
    <t>d8zMRN8XRnqKIwHU-4trLg</t>
  </si>
  <si>
    <t>18867-A</t>
  </si>
  <si>
    <t>gyyyLdlHRPyWnLuk6MXlGg</t>
  </si>
  <si>
    <t>18867-B</t>
  </si>
  <si>
    <t>Hif2TQR8tFnrcZSzz3pE</t>
  </si>
  <si>
    <t>18868</t>
  </si>
  <si>
    <t>PAGO 16/10/2025
EXPRESSO SAO MIGUEL S/A / (049) 3361-6627Obs.Interna: entrega em novembro  / E-mail para nota fiscal: , E-mail de cobrança: , Telefone para contato</t>
  </si>
  <si>
    <t>g-XMx9OLTSSUgLF-0522Yw</t>
  </si>
  <si>
    <t>18869</t>
  </si>
  <si>
    <t>xCeLKmLPScOL8B8NlyDnPg</t>
  </si>
  <si>
    <t>18870</t>
  </si>
  <si>
    <t>8F00250804170010</t>
  </si>
  <si>
    <t xml:space="preserve">&lt;HTML&gt;
&lt;HEAD&gt;
&lt;TITLE&gt;Moved Temporarily&lt;/TITLE&gt;
&lt;/HEAD&gt;
&lt;BODY BGCOLOR="#FFFFFF" TEXT="#000000"&gt;
&lt;!-- GSE Default Error --&gt;
&lt;H1&gt;Moved Temporarily&lt;/H1&gt;
The document has moved &lt;A HREF="https://script.googleusercontent.com/macros/echo?user_content_key=AehSKLjxdlJyI_UMZTP8QZ2rjGHoMZFWcPY5fJ_vOtItHtte05V3Mk-rxY5XPsKNa6dTc50MU4d0-2LZBTjvhMkDJ4XXNV5Jl-f8PPn-7qbiOOQ3e6AHdPgZkaUtCEyo50cvAW3yKfc4qs2D1HupUBM0vHx4-TPg6LHXfXuW1KMJSgNsPZMYyjtdB-TfXm4kCRqY7Vvd2nFiwBPLhJU4QyTEt9VTEssqo58veDnpa92JgatgJ3AF4KgbzbwPgyXUPxlDC5h9xtzm4ruOVZcDVsEnOgCUK44I3jbDPpoO09l5erwYG_JCsjqcANY86O9g-A&amp;amp;lib=M-zdWbhavtdZ1B_W2dnFDM0qoVt4lWzJ-"&gt;here&lt;/A&gt;.
&lt;/BODY&gt;
&lt;/HTML&gt;
</t>
  </si>
  <si>
    <t>uCry8ukuQ-KdE28PT8CeUQ</t>
  </si>
  <si>
    <t>18871-A</t>
  </si>
  <si>
    <t>CLIENTE RETIRA / (0) Informação Adicional: PREÇO NEGOCIADO R$ 18.600,00 - ALTERAR NO PEDIDO   - AUTORIZADO POR PRISCILLA
ENTREGA: 01 MÁQUINA DIA 20/10 E AS OUTRAS 06 MAXIMO DIA 05/11 / E-mail para nota fiscal: , E-mail de cobrança: , Telefone para contato</t>
  </si>
  <si>
    <t>wMGP8q-NQdOqYosROKdSgQ</t>
  </si>
  <si>
    <t>18871-B</t>
  </si>
  <si>
    <t>DIMkh5aWY3tT1OKfk0Ot</t>
  </si>
  <si>
    <t>18871-C</t>
  </si>
  <si>
    <t>m5eIFndz2kPHjgogZejH</t>
  </si>
  <si>
    <t>18871-D</t>
  </si>
  <si>
    <t>0OK7DI999MVJoFC6TSGq</t>
  </si>
  <si>
    <t>18871-E</t>
  </si>
  <si>
    <t>mQPlHLs6QVjpfJkZxTR3</t>
  </si>
  <si>
    <t>18871-F</t>
  </si>
  <si>
    <t>iiJDrlf4Sk5YuO47mFYV</t>
  </si>
  <si>
    <t>18871-G</t>
  </si>
  <si>
    <t>x8cu8E7DOWRuO94jpu2o</t>
  </si>
  <si>
    <t>18872</t>
  </si>
  <si>
    <t>20371</t>
  </si>
  <si>
    <t>EXPRESSO SAO MIGUEL S/A / (049) 3361-6666Informação Adicional: DEPÓSITO DE R$ 5.000,00 FEITO DIA 15/10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</si>
  <si>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j3q-bndvoBf76daaTkQQOtnVwc04lFh_PbwfXLlDu0JDfUfMV79J12zIAXBQ-hTKJauYFkIExXU7z2a10UdWfz6gSKYTvbaWpHpwrwHccVsWeyp0WIaMbs75y2TlJ9zL64VhApMvvQ3mXYOAst_DV4d8DxgxrVAQAut-OwDmYIcR-AGOtE8sBUYhf43qhRFrmizHK0Q2Rsy25MMNtZsaAUxQCqcN6YN3T9YkM1E9BiM5XnCjKC0QgkTqDnbpsrSi3I8aAyW1fqM9de1_WHO33TBWYUOy09CVhpHPFfTrx4buY_AD4Gdt3IkiBxw&amp;amp;lib=M-zdWbhavtdZ1B_W2dnFDM0qoVt4lWzJ-"&gt;here&lt;/A&gt;.
&lt;/BODY&gt;
&lt;/HTML&gt;
</t>
  </si>
  <si>
    <t>vh.FcNWcQiq3GlurxVNc1Q</t>
  </si>
  <si>
    <t>18873</t>
  </si>
  <si>
    <t>EXPRESSO SAO MIGUEL S/A / (051) 3586-2013Informação Adicional: CARTÃO DE CREDITO 2X VALOR R$ 15,000 / Obs.Interna: CARTÃO DE CREDITO 2X VALOR R$ 15,000 / E-mail para nota fiscal: , E-mail de cobrança: , Telefone para contato</t>
  </si>
  <si>
    <t>Jqxh-nGYTz25x1IMHbBfdQ</t>
  </si>
  <si>
    <t>18874</t>
  </si>
  <si>
    <t>OBxQVB.SS8Wi5aK-iBzxJQ</t>
  </si>
  <si>
    <t>18875</t>
  </si>
  <si>
    <t>RODONAVES TRANSPORTES E ENCOMENDAS LTDA / (016) 3965-3955Informação Adicional: valor maquina R$12145,03 / E-mail para nota fiscal: , E-mail de cobrança: , Telefone para contato</t>
  </si>
  <si>
    <t>5yTMTXPGQii-Mozl6FEoWg</t>
  </si>
  <si>
    <t>18878-A</t>
  </si>
  <si>
    <t>EXPRESSO SAO MIGUEL S/A / (049) 3361-6666Informação Adicional: ABATER DO VALOR DO CONTRATO EM VIGOR
VALOR NEGOCIADO R$ 4.845,90
/ E-mail para nota fiscal: , E-mail de cobrança: , Telefone para contato</t>
  </si>
  <si>
    <t>26lOwcT1SUmUSuSHj8P2Zg</t>
  </si>
  <si>
    <t>18878-B</t>
  </si>
  <si>
    <t>cBDMl2nNO7Wha4p2B9nC</t>
  </si>
  <si>
    <t>18879-A</t>
  </si>
  <si>
    <t>EXPRESSO SAO MIGUEL S/A / (049) 3361-6666Informação Adicional: ABATER DO VALOR DO CONTRATO EM VIGOR  / E-mail para nota fiscal: , E-mail de cobrança: , Telefone para contato</t>
  </si>
  <si>
    <t>TcfDq2B3Rsi0t8GqPxuMWQ</t>
  </si>
  <si>
    <t>18879-B</t>
  </si>
  <si>
    <t>eWxf2Ml406isRvjNGyF3</t>
  </si>
  <si>
    <t>18880</t>
  </si>
  <si>
    <t>DBH SUL REPRESENTACOES COMERCIAIS</t>
  </si>
  <si>
    <t>8E00250214240049</t>
  </si>
  <si>
    <t>EXPRESSO SAO MIGUEL S/A / (051) 3586-2013Obs.Interna: liberar para saida dia 16 -10 -25 sem cobrança - para uso na OKTOBERFEST RS . (Ricardo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</si>
  <si>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96DyxFDCu7zeKW9sQOV_xbQEi1gf_KYZd2rs1laxXEybxo__YmLneBE_XXFk1xSYf58k1ZEGlC8T0pfpOwW3FEU0SSwTrTjHTdax0xaMs3CRyQeGC5dhqXCAxK_0-JTagGlLl-G_rw7YQmDw0tuJOz02xLSiBLF-D1Grzo1Jn7gAVIhTz6CVQtg0Dm1HxnhqsfsGNCCNGC86cQH0ATeuGp7DnBzNyNKhn6uV085CRHl5QyblPsN4KSOV_04qvxcGfoc0RZWVwgeWS8bo-B67RKFRDpO7YEEQjtEGkpb5Ipe3k9LhH5umGv8h1Kw&amp;amp;lib=M-zdWbhavtdZ1B_W2dnFDM0qoVt4lWzJ-"&gt;here&lt;/A&gt;.
&lt;/BODY&gt;
&lt;/HTML&gt;
</t>
  </si>
  <si>
    <t>a-T3dWrd9SkmU7u7sGSzu8g</t>
  </si>
  <si>
    <t>18881</t>
  </si>
  <si>
    <t>CLIENTE RETIRA / (0) Informação Adicional: PEDIDO 22479
CLIENTE QUER RETIRAR AMANHA DIA 17/10 / Obs.Interna: PEDIDO 22479
CLIENTE QUER RETIRAR AMANHA DIA 17/10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</si>
  <si>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Zlj5bl0lwn0nzq9oiEO1SZLKi3gxJpJzWNGGqSqnZwAR21qP38QdgsV5R2fJ0HrS34z5260woFOln46cLiV2xPJW83tjL9vDZVy8EfmQsvphekEtX2Ng_k1NI-nF03217ORFCkvnJTU57iQC-_0c_EVqDPtsDzx1JYDRe5o-bRCfccuXiufWO5zGcLHEbQio1D5i_eqbduPje6tMh-34W1g_MxR6FdTIf38fZqomyaE-WHhBAwAYYdOAvc6t0_13a14LANxnACaX0a6QUd9ZOwVNwsp6lEHpjyyZh56NNknAvu2ZBPmLYIPBq0A&amp;amp;lib=M-zdWbhavtdZ1B_W2dnFDM0qoVt4lWzJ-"&gt;here&lt;/A&gt;.
&lt;/BODY&gt;
&lt;/HTML&gt;
</t>
  </si>
  <si>
    <t>ECpaVMQQQzSy5yMvFsVMEw</t>
  </si>
  <si>
    <t>18882</t>
  </si>
  <si>
    <t>8F00250706370019</t>
  </si>
  <si>
    <t>CLIENTE RETIRA / (0) Informação Adicional: PEDIDO 22479
ABATER DO PACOTE DO CLIENTE
CLIENTE QUER RETIRAR AMANHA DIA 17/10 / Obs.Interna: PEDIDO 22479
ABATER DO PACOTE DO CLIENTE
CLIENTE QUER RETIRAR AMANHA DIA 17/10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</si>
  <si>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v5-tzG0Brgev0d7Isf_Ky1CLsiG2ACj7FBGOVAJ3DeAFXP77KJpFLfMSrkWJpRTvcOD_IesQBUxv8Wy96FOkHVGTbA5qeWqLQJudFigSJh0ComGSqM3gHHzpsEzJY1dZ0BwY_7dB1xslq4TzIR2WF71j_fCWrZy06ORC5pZB-dm406LQB0L6URkLrdj1N5O_94pcfs1m5ch0PvrjZZ-Dell-5HZhsNTGxYUoFjZ1tJykXmr5xBuz9xfR1scOZgW5kYh2j0dAehg462TJVrD6Me5GJJ1ZdkrDsbZ-oKKE0eb2Ec_pDStRwbvnUTQ&amp;amp;lib=M-zdWbhavtdZ1B_W2dnFDM0qoVt4lWzJ-"&gt;here&lt;/A&gt;.
&lt;/BODY&gt;
&lt;/HTML&gt;
</t>
  </si>
  <si>
    <t>YOLG6VfdQ5GIfSyREuRsRA</t>
  </si>
  <si>
    <t>18883</t>
  </si>
  <si>
    <t>8F00250706450011</t>
  </si>
  <si>
    <t xml:space="preserve">&lt;HTML&gt;
&lt;HEAD&gt;
&lt;TITLE&gt;Moved Temporarily&lt;/TITLE&gt;
&lt;/HEAD&gt;
&lt;BODY BGCOLOR="#FFFFFF" TEXT="#000000"&gt;
&lt;!-- GSE Default Error --&gt;
&lt;H1&gt;Moved Temporarily&lt;/H1&gt;
The document has moved &lt;A HREF="https://script.googleusercontent.com/macros/echo?user_content_key=AehSKLj31XtXcKchOnPMoU2OgbfFvRyF42EGFGBbCDRY3aEbPLWxQ8oacaVvTuFpyggtWP5_8ZLe3LWtv-wnK5lMbodV_-pXDTdA_zo3nlbOIzstwddf2fbLXd8QV7TrisQB5xSLFwUIjN2CqI4A7whiweZWm-G0ZwUpr-6l8VhiYd9iKXHrSMfGFzkeMHKxqj6_bTGBHTN5sRm48f8GhBStc51onOswsognTrSHrjDj2MDYTJjYLt9_UgrzkAlszRJS55_nYqlra8vngWAMSDiDnHIci9NrTuSRictVUT_Y5vvcPkNycpKH7iYy_hMSUw&amp;amp;lib=M-zdWbhavtdZ1B_W2dnFDM0qoVt4lWzJ-"&gt;here&lt;/A&gt;.
&lt;/BODY&gt;
&lt;/HTML&gt;
</t>
  </si>
  <si>
    <t>sFxRLBHaSTeWtvR0mqpiaQ</t>
  </si>
  <si>
    <t>18884</t>
  </si>
  <si>
    <t>8F00250706450013</t>
  </si>
  <si>
    <t xml:space="preserve">&lt;HTML&gt;
&lt;HEAD&gt;
&lt;TITLE&gt;Moved Temporarily&lt;/TITLE&gt;
&lt;/HEAD&gt;
&lt;BODY BGCOLOR="#FFFFFF" TEXT="#000000"&gt;
&lt;!-- GSE Default Error --&gt;
&lt;H1&gt;Moved Temporarily&lt;/H1&gt;
The document has moved &lt;A HREF="https://script.googleusercontent.com/macros/echo?user_content_key=AehSKLi233tjNa0kBSSrhaIujKwzIXk0dvvWAsUjBp-LSlOcM-K0vpghU0dTiUmNa6TWtR9mn39jV2eJj_CA--m9ALaYIMuvxjql797L7iNxH4_vcTKh3k8rqgkDPc8GIokRNEpFMIT532_Kujs023HZaXMzdfYdqEQSeXj6_NlBepqGQWJdI5O9EwY2uk3HJJGOsEpQA6LWNcfeql0lFE5qSClZGUquNDtQZHraqmMfGC0E-c96E1WXfu_e9uO-0wc1AIET-VevpDfE_oNigRKgkR199EjL1Q_jOn_PGmkUMDw7wm6c9aI78tyc8DK0HA&amp;amp;lib=M-zdWbhavtdZ1B_W2dnFDM0qoVt4lWzJ-"&gt;here&lt;/A&gt;.
&lt;/BODY&gt;
&lt;/HTML&gt;
</t>
  </si>
  <si>
    <t>foqZt0zZQ96I52x7CT-yPA</t>
  </si>
  <si>
    <t>18885</t>
  </si>
  <si>
    <t>8F00250706500014</t>
  </si>
  <si>
    <t xml:space="preserve">&lt;HTML&gt;
&lt;HEAD&gt;
&lt;TITLE&gt;Moved Temporarily&lt;/TITLE&gt;
&lt;/HEAD&gt;
&lt;BODY BGCOLOR="#FFFFFF" TEXT="#000000"&gt;
&lt;!-- GSE Default Error --&gt;
&lt;H1&gt;Moved Temporarily&lt;/H1&gt;
The document has moved &lt;A HREF="https://script.googleusercontent.com/macros/echo?user_content_key=AehSKLhnRfZqFcL4CbI6ZKigvysjQjPUfYsUeYeamGLYmDke5EIqqZJcL3IR3Ctpj7zDuFdg3LO29sS_Qb8dSFa5bLjfNgJrZrFskr8T7WLGYRlYpVzQRrTme17VH9G0gcoTYB4VG0sB4g8rYJDjFPNP7Q8HwhhsCjCjcmjpYrlKq_vMIVNtsN8rVdD_v0SP2IBjohdNfQSc4mdTt3zi051V-mpBIEHJ2Kj7HwoGlKFVCkC8EGdit0I1a1F62z9FXGELBSVv8ObwL4GkjZg5qyIJtVJTh8M2LFhtDt-CEAVXAC6OFg88Aq6zhnpc0L3TAg&amp;amp;lib=M-zdWbhavtdZ1B_W2dnFDM0qoVt4lWzJ-"&gt;here&lt;/A&gt;.
&lt;/BODY&gt;
&lt;/HTML&gt;
</t>
  </si>
  <si>
    <t>Y7SOSkOGRqeCV6MkHP6Mhg</t>
  </si>
  <si>
    <t>18886</t>
  </si>
  <si>
    <t>a.5zQIIMKQVGRJ1O-djf.xA</t>
  </si>
  <si>
    <t>18887-A</t>
  </si>
  <si>
    <t>Transportadora Bauer / (048) 9943-3665Obs.Interna: esse pedido, foi esquecido de integrar até o dia 30.  / E-mail para nota fiscal: , E-mail de cobrança: , Telefone para contato</t>
  </si>
  <si>
    <t>b41UwE71RfeUAN9x.Eic2Q</t>
  </si>
  <si>
    <t>18887-B</t>
  </si>
  <si>
    <t>65Qwnp8w9O8A0OCS7512</t>
  </si>
  <si>
    <t>18887-C</t>
  </si>
  <si>
    <t>BCswchZd3YaoZviT32t5</t>
  </si>
  <si>
    <t>18888-A</t>
  </si>
  <si>
    <t>Transportadora Bauer / (048) 9943-3665Informação Adicional: valor de cada maquina R$9609,00 prazo de 30/60/90/120/ ENTREGAR NO DAN pISCINAS / E-mail para nota fiscal: , E-mail de cobrança: , Telefone para contato</t>
  </si>
  <si>
    <t>R3TWeLEUS7iNlYbejvJKGQ</t>
  </si>
  <si>
    <t>18888-B</t>
  </si>
  <si>
    <t>cWVkHBLfMlwtnGZfgcpz</t>
  </si>
  <si>
    <t>18890</t>
  </si>
  <si>
    <t>4nuvTroQSqGuzTO7WmBrDQ</t>
  </si>
  <si>
    <t>18891</t>
  </si>
  <si>
    <t>TESTAR</t>
  </si>
  <si>
    <t>vzJhSDjXQ6ywGE0hhPV9XQ</t>
  </si>
  <si>
    <t>18893</t>
  </si>
  <si>
    <t>EXPRESSO SAO MIGUEL S/A / (051) 3586-2013Informação Adicional: valor da maquina R$ 8573,00 / E-mail para nota fiscal: , E-mail de cobrança: , Telefone para contato</t>
  </si>
  <si>
    <t>RMVBK2dWTUG-UWgEjmMtGA</t>
  </si>
  <si>
    <t>18894-A</t>
  </si>
  <si>
    <t>BOMBASHOPPING COMERCIO E MANUTENCAO DE BOMBAS</t>
  </si>
  <si>
    <t>Pedido gerado através do PedidoEletronico.com - Transportadora / telefone: EXPRESSO SAO MIGUEL S/A / (051) 3586-2013E-mail para nota fiscal: , E-mail de cobrança: , Telefone para contato</t>
  </si>
  <si>
    <t>tuMQVzf.SMyAgNW6Pak6mQ</t>
  </si>
  <si>
    <t>18894-B</t>
  </si>
  <si>
    <t>ceXNd9QiNVLvuzeiCz8h</t>
  </si>
  <si>
    <t>18894-C</t>
  </si>
  <si>
    <t>mpYnj2IRTAwTYVysGPvZ</t>
  </si>
  <si>
    <t>18894-D</t>
  </si>
  <si>
    <t>TPWlMPKaMAYVSLMYpfvq</t>
  </si>
  <si>
    <t>18895</t>
  </si>
  <si>
    <t>8F00250706370022</t>
  </si>
  <si>
    <t>CLIENTE RETIRA / (0) Informação Adicional: DEPOSITO JÁ FEITO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</si>
  <si>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iJqpLv2BLWANvVxpNftZLBBH1thZ417dMD40kFhmE-8spbGjN1OS5V2qx7V5wMxQVsl2feWlbu3WG4AN6TE4CgqM1wo97so2Ye8Ly5rt0NTN3RQn7U4PMOIF8Np7HuJ7lgQfEDXZ-l_3jOG8z-SrIlyzXZWm5-L94saqbNe3zB7OlPkJBaNYRyFzZ_1cnmiFu7RXMmsCEpf474Qv0vwDxPsTvb7jjbTFhTnCWVotNYDU-vFNYZgFT1Eg1ysgNOrp4X9YE7GKPlOP7ULkUomVJ_zd57en9-Mxgn5N8gUSbHNbi8TkVwvxnWK8AXgg&amp;amp;lib=M-zdWbhavtdZ1B_W2dnFDM0qoVt4lWzJ-"&gt;here&lt;/A&gt;.
&lt;/BODY&gt;
&lt;/HTML&gt;
</t>
  </si>
  <si>
    <t>jY8sIe.CSxSpOBf0TyVVVA</t>
  </si>
  <si>
    <t>18896</t>
  </si>
  <si>
    <t>8F00250706450012</t>
  </si>
  <si>
    <t>EXPRESSO SAO MIGUEL S/A / (049) 3361-6666Informação Adicional: ABTATER VALOR DO CONTRATO EM VIGOR
ENTREGAR ATÉ O DIA 17/10 JUNTO COM OS PEDIDOS 18632 E18633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</si>
  <si>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9-M3T4UGInHfDneG358XpNFsGG3-_ZuPSgLXG73xrhODJNFiH51OocpTf0Co9W1CvAQy5NTEQbiXWxz__L6k3bVL9qRdH-GXvhiJh8f3Fn48l1HidzkTFU8HV-PbbV-1-ffWHkSQYBupC-Q1GhbKgpMKKOTrIJ_4990aFVtxSQ--tK_fGRLvDU6ff8FTiWi2L6RMuHZeYKzAvchBsiKS_nxMX0tS50_0zOU1Ls8rg5oVgepL7IAfBwT03XYlnqY6U7beP2zj994teihpLeJ3Pa1RJ2jZ586gqBpG7FQYQJCftqkmsskoptHJcfw&amp;amp;lib=M-zdWbhavtdZ1B_W2dnFDM0qoVt4lWzJ-"&gt;here&lt;/A&gt;.
&lt;/BODY&gt;
&lt;/HTML&gt;
</t>
  </si>
  <si>
    <t>HMLnTFstRLz3fqfWABeB</t>
  </si>
  <si>
    <t>18898-A</t>
  </si>
  <si>
    <t>8F00250411500006</t>
  </si>
  <si>
    <t>ANTIGO 18433 - ELES NAO CONSEGUIRAM LEVAR TODAS</t>
  </si>
  <si>
    <t xml:space="preserve">&lt;HTML&gt;
&lt;HEAD&gt;
&lt;TITLE&gt;Moved Temporarily&lt;/TITLE&gt;
&lt;/HEAD&gt;
&lt;BODY BGCOLOR="#FFFFFF" TEXT="#000000"&gt;
&lt;!-- GSE Default Error --&gt;
&lt;H1&gt;Moved Temporarily&lt;/H1&gt;
The document has moved &lt;A HREF="https://script.googleusercontent.com/macros/echo?user_content_key=AehSKLjR8q88ye829_9zsitRXVH_L0Z1eLwULZzcCp9E6aCKL4F_jgwUtwUzgLyNd9mjGifBbycqiOyDk7UQnBZchfxs6wbZXdONN68rN9YZjladwCO6NYtywlfy5U5wdxfUmV6Zpk6P7bkgTObCI67EOAERaHu2ymZjeTk2x4kqKokWZ9SbGbtWf9BSF9hs2DYT8xKRfIoOSMYH0SQNufwGOUguGVrxdOJ9NKMUlnqtAtK9LolYIrq9QLtVT_SvE7o7VemwDPM3lbQQwFNdjLUne7mqVnT3LF3wGwhQizHYwiRJ8qy4bgYfgkwoGiy7hw&amp;amp;lib=M-zdWbhavtdZ1B_W2dnFDM0qoVt4lWzJ-"&gt;here&lt;/A&gt;.
&lt;/BODY&gt;
&lt;/HTML&gt;
</t>
  </si>
  <si>
    <t>Zd8VG4d4r8FYI59ikwtX</t>
  </si>
  <si>
    <t>18898-B</t>
  </si>
  <si>
    <t>8F00250411500009</t>
  </si>
  <si>
    <t xml:space="preserve">&lt;HTML&gt;
&lt;HEAD&gt;
&lt;TITLE&gt;Moved Temporarily&lt;/TITLE&gt;
&lt;/HEAD&gt;
&lt;BODY BGCOLOR="#FFFFFF" TEXT="#000000"&gt;
&lt;!-- GSE Default Error --&gt;
&lt;H1&gt;Moved Temporarily&lt;/H1&gt;
The document has moved &lt;A HREF="https://script.googleusercontent.com/macros/echo?user_content_key=AehSKLhtzR7l708Z0bodLfDqh7tjs-jYM09fdqTfIhk6vX5L223ZkNT0Z7r4rvIZZ2q8O0UBvZg-Z_KmIB4ba4ToylIWEX3qgi8qsQrJLTls7sz6OvbvKmvakOXw9IEHu4ePIh02KuH2c0wOlPTeHlhQq6kfY41LmeKMgeHECDee2pWx8higEoXe3B2cWdMaeIiraM0bfbkP1lg11-ztg0ibJboRT1mgZFwCdLizjLo3MDv9-VNoEz9cUTD772Se0mAvlrhffKuaP1sBOuISUezdpFSK96HWhNCjdEVunyj75-fMUyzoV02DMP5DTUmiWg&amp;amp;lib=M-zdWbhavtdZ1B_W2dnFDM0qoVt4lWzJ-"&gt;here&lt;/A&gt;.
&lt;/BODY&gt;
&lt;/HTML&gt;
</t>
  </si>
  <si>
    <t>mwnplE9oEkmCmnksOUP6</t>
  </si>
  <si>
    <t>18898-C</t>
  </si>
  <si>
    <t>8F00250411500007</t>
  </si>
  <si>
    <t xml:space="preserve">&lt;HTML&gt;
&lt;HEAD&gt;
&lt;TITLE&gt;Moved Temporarily&lt;/TITLE&gt;
&lt;/HEAD&gt;
&lt;BODY BGCOLOR="#FFFFFF" TEXT="#000000"&gt;
&lt;!-- GSE Default Error --&gt;
&lt;H1&gt;Moved Temporarily&lt;/H1&gt;
The document has moved &lt;A HREF="https://script.googleusercontent.com/macros/echo?user_content_key=AehSKLjvbDGzqophUSs9sTXZRxL98wVEn0oJrK0bUyeoWb_UBC4SN6pVCu3uBHe3QOsfJMr36Oz-PuSpcDv4GEvegsC1t4Ec5Pc6_7Wlejm7VMl3nQOXkkkm5u8Lan68hJ1Ce6WYrEO_VbCH5Bgms9FFKnd0z2tE6kHDqIzIi65pejHx9RWA-EXdIPFb8YPPNCEBcePg7iTuQWSqrijAR8ZxyOsDdFiVPtxTd82NxA3hUFixJ_KofYFWOSrMbXm8Ath53ZMKS_LEYRfGvKcDrfHut3rtz8iXNgyc8m42WkaVopWmu9GVLFA6Y2xFyAThIA&amp;amp;lib=M-zdWbhavtdZ1B_W2dnFDM0qoVt4lWzJ-"&gt;here&lt;/A&gt;.
&lt;/BODY&gt;
&lt;/HTML&gt;
</t>
  </si>
  <si>
    <t>rvuu0YEGYZqdaqyowuR0</t>
  </si>
  <si>
    <t>18898-D</t>
  </si>
  <si>
    <t>8F00250208100003</t>
  </si>
  <si>
    <t xml:space="preserve">&lt;HTML&gt;
&lt;HEAD&gt;
&lt;TITLE&gt;Moved Temporarily&lt;/TITLE&gt;
&lt;/HEAD&gt;
&lt;BODY BGCOLOR="#FFFFFF" TEXT="#000000"&gt;
&lt;!-- GSE Default Error --&gt;
&lt;H1&gt;Moved Temporarily&lt;/H1&gt;
The document has moved &lt;A HREF="https://script.googleusercontent.com/macros/echo?user_content_key=AehSKLja3Jl_72HiT8fCg5hR3fAcnQ-ejYMvdgkEl9SpoELkvdvpcxU6FdCms4ZnXeOWNWc2diaLYc3-rDLlYtgZDizKa_AEfShc9haz5DtEK7mVabLEBTu7DpmE5rwDucyprkQ39TH3s0ljmF_XK2Ni8aFjIGo2ubZfRxdrSsERCHCJb_pXl__OQXXYQsFEax56x5PY319vp70iKatgluMmYon-H500kvi9PQYLexy-e2dg8GYHWSD4s5JuyoINea-OJ6x5BDzXSbQp3SIW4Gmups4h1UKkC3vkRGpiG75Aq2kgxzi07BPOb7bNDrdGDg&amp;amp;lib=M-zdWbhavtdZ1B_W2dnFDM0qoVt4lWzJ-"&gt;here&lt;/A&gt;.
&lt;/BODY&gt;
&lt;/HTML&gt;
</t>
  </si>
  <si>
    <t>1V5pVQMsUzvOJznbf9nv</t>
  </si>
  <si>
    <t>18901</t>
  </si>
  <si>
    <t>8F00250706500016</t>
  </si>
  <si>
    <t>Pedido gerado através do PedidoEletronico.com - Transportadora / telefone: FITLOG TRANSPORTES E LOGISTICA LTDA / (048) 996277956E-mail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</si>
  <si>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h3W3EFtTceLtupVMF0J5OXz2TVkx2wRANLWP3jfccPWwKkTFd6b9y7_wmUtJ-SISAUMJ60lxYrNeGwvDJLiQHIiHpGgwe_J-1ZiRqcsoqkG-m6dU2C-R1_ALd0KDmvhPRMgtTi8axlb_pHS-I9Ss7JUvuavwAOzlNGeudlRf5CMYhFtIxOLY1AhkhtR3UyO97QAUGQ51lYh8RkSqRwIErGOe1nRlcOw3SzzcrrVSB_w17_UQhERkzU3PZUNZdqPjunCe02cEwMXG7AitBoxcToGjuNJswovc3_h0xGsOGKnt2xT9dcP3P7HU3cwg&amp;amp;lib=M-zdWbhavtdZ1B_W2dnFDM0qoVt4lWzJ-"&gt;here&lt;/A&gt;.
&lt;/BODY&gt;
&lt;/HTML&gt;
</t>
  </si>
  <si>
    <t>ncTpYNKZQKS6h51fzmvzIg</t>
  </si>
  <si>
    <t>18902</t>
  </si>
  <si>
    <t>Pedido gerado através do PedidoEletronico.com - Transportadora / telefone: FITLOG TRANSPORTES E LOGISTICA LTDA / (048) 996277956Informação Adicional: REMESSA DE EQUIPAMENTO PARA ANÁLISE EM LABORATÓRIO, EM ATENDIMENTO AO PROCESSO DE CERTIFICAÇÃO DE PRODUTO JUNTO AO INMETRO - ORÇAMENTO N° 13934/2025 - A/C: LUAN FRANCISCO. / E-mail para nota fiscal: , E-mail de cobrança: , Telefone para contato</t>
  </si>
  <si>
    <t>Ms8c78Q1QHOs7s6lcd7dMw</t>
  </si>
  <si>
    <t>18903-A</t>
  </si>
  <si>
    <t>TECHLAB</t>
  </si>
  <si>
    <t>Pedido gerado através do PedidoEletronico.com - Transportadora / telefone: FITLOG TRANSPORTES E LOGISTICA LTDA / (048) 996277956Informação Adicional: REMESSA DE EQUIPAMENTO PARA ANÁLISE EM LABORATÓRIO, EM ATENDIMENTO AO PROCESSO DE CERTIFICAÇÃO DE PRODUTO JUNTO AO INMETRO - ORÇAMENTO N° 16620/25. / E-mail para nota fiscal: , E-mail de cobrança: , Telefone para contato</t>
  </si>
  <si>
    <t>3OAs8mpNReeFtzXbHT.KiA</t>
  </si>
  <si>
    <t>18903-B</t>
  </si>
  <si>
    <t>3Jb7RJgNblZFMMFHGm9F</t>
  </si>
  <si>
    <t>18904</t>
  </si>
  <si>
    <t>Pedido gerado através do PedidoEletronico.com - Transportadora / telefone: EXPRESSO SAO MIGUEL S/A / (051) 3586-2013Informação Adicional: ENTRADA R$ 3000 / Obs.Interna: ENTRADA R$ 3000 / E-mail para nota fiscal: , E-mail de cobrança: , Telefone para contato</t>
  </si>
  <si>
    <t>OoB4BUEaSQOw241.Lkeo6g</t>
  </si>
  <si>
    <t>18905-A</t>
  </si>
  <si>
    <t>20367</t>
  </si>
  <si>
    <t>Pedido gerado através do PedidoEletronico.com - Transportadora / telefone: EXPRESSO SAO MIGUEL S/A / (049) 3361-6627Obs.Interna: CONCEDER DESCONTO MAXIMO 45 BR R$ 8.072,54 E 55 R$ 8.573,04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</si>
  <si>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9WYqkv_FzvlcAOqtgfty74Bp94AcdSKbH3UDQK0dbA1q5Ksb5V7HN-Pmvtx1dDVvnMO9ceYZPFo236Zl6D8A1GeSHUoOCT4wmPourr1xI81Ss5ZPKj9629zqlgzORdcJSEkAHVLdQ3PSH5sXF1b6wuxWAMaURuHelemiIYdRu3LInGUXgaajERk08Lnpz4ZVS4QBuGU8kkqxqnB4uPPK8dmYslbNMmgExVb8r1Qw6qf60hRDxuHTcO2qh-_hHByq-wIc9fSUSTOtwSlRCysBKBhUDhe4CNbY0N4ul5AoSriFF4Y5KjgMBnjopow&amp;amp;lib=M-zdWbhavtdZ1B_W2dnFDM0qoVt4lWzJ-"&gt;here&lt;/A&gt;.
&lt;/BODY&gt;
&lt;/HTML&gt;
</t>
  </si>
  <si>
    <t>BbrqL2lfTYG2onJN.BvVjA</t>
  </si>
  <si>
    <t>18905-B</t>
  </si>
  <si>
    <t>8F00250706370023</t>
  </si>
  <si>
    <t xml:space="preserve">&lt;HTML&gt;
&lt;HEAD&gt;
&lt;TITLE&gt;Moved Temporarily&lt;/TITLE&gt;
&lt;/HEAD&gt;
&lt;BODY BGCOLOR="#FFFFFF" TEXT="#000000"&gt;
&lt;!-- GSE Default Error --&gt;
&lt;H1&gt;Moved Temporarily&lt;/H1&gt;
The document has moved &lt;A HREF="https://script.googleusercontent.com/macros/echo?user_content_key=AehSKLjo3T3PGjE5IrN4blmQa1h6ul_IoyJuliKE8JVHoIhctqWfRL_0lOe335eOqrNcmfSN8BH1Lc-meWmZO2jrez99EunXgVc08ssO-a9nFUX6h0Mgn9Tp6SEssITtkKNusEJ5riUg2ujqBrOF6eUibDlK56fA8TqEZ2jrcUFWPqkt3JzQfTNZCYkJVRlPhZKEf7nYopTRFUh8TU3HmVkflDJykvUj3ern7ScP8XTY-zeDSPZFsHFt02WIXCVFlwLaWw6zkomyEriprE1rMsOKXrDpnLOlCDX-PmgyLT2SSdSHl8Nljz6bDOaacLZcJA&amp;amp;lib=M-zdWbhavtdZ1B_W2dnFDM0qoVt4lWzJ-"&gt;here&lt;/A&gt;.
&lt;/BODY&gt;
&lt;/HTML&gt;
</t>
  </si>
  <si>
    <t>pnY4oYWO93CZkesJHSae</t>
  </si>
  <si>
    <t>18906-A</t>
  </si>
  <si>
    <t>8F00250804020014</t>
  </si>
  <si>
    <t>Pedido gerado através do PedidoEletronico.com - Transportadora / telefone: EXPRESSO SAO MIGUEL S/A / (049) 3361-6627Obs.Interna: LIBERADO PARA ENTREGA EM 20/10/25 , NESSE LOTE- QUESTÃO COMERCIAL .  / E-mail para nota fiscal: , E-mail de cobrança: , Telefone para contato</t>
  </si>
  <si>
    <t>FXI08yNSTbW.PcFeQW6YDA</t>
  </si>
  <si>
    <t>18906-B</t>
  </si>
  <si>
    <t>8F00250804020013</t>
  </si>
  <si>
    <t>NIrdtdDiLdmoczUYQbKf</t>
  </si>
  <si>
    <t>18908</t>
  </si>
  <si>
    <t>8F00250706450014</t>
  </si>
  <si>
    <t>Pedido gerado através do PedidoEletronico.com - Transportadora / telefone: EXPRESSO SAO MIGUEL S/A / (049) 3361-6627E-mail para nota fiscal: , E-mail de cobrança: ,</t>
  </si>
  <si>
    <t xml:space="preserve">&lt;HTML&gt;
&lt;HEAD&gt;
&lt;TITLE&gt;Moved Temporarily&lt;/TITLE&gt;
&lt;/HEAD&gt;
&lt;BODY BGCOLOR="#FFFFFF" TEXT="#000000"&gt;
&lt;!-- GSE Default Error --&gt;
&lt;H1&gt;Moved Temporarily&lt;/H1&gt;
The document has moved &lt;A HREF="https://script.googleusercontent.com/macros/echo?user_content_key=AehSKLjSFlJO929IpznipRBYSPxUB0TBOHMG_xzKqDg75lDoUepoII4n_AfBpSGrYZQvF0q79TjuASLhr3N5IrLyjJYXNYQrnwAP5E9WtJGerBz7MdzPvpR97WU5jrXLF77c2-qf1T347kJiTBmqNf_zEzZzrHnSwi7P0sXgijIWpPn5R6Zt2hyXV0C6qGMoWBsoP6_CxTI0sGGj5rsKGo9dh7xNuL_MAoO4tgiOyBvTGj7pqJuJBaRZo7NUE1ejCsMLsqxbjt78-xIbQtQVzUVRvViAlT-NsJg7SqkZXZ6x19kpGx70h16zcYLiW5iG3w&amp;amp;lib=M-zdWbhavtdZ1B_W2dnFDM0qoVt4lWzJ-"&gt;here&lt;/A&gt;.
&lt;/BODY&gt;
&lt;/HTML&gt;
</t>
  </si>
  <si>
    <t>1OBXZEU4QI63MvH6vGHYrg</t>
  </si>
  <si>
    <t>18910</t>
  </si>
  <si>
    <t>Pedido gerado através do PedidoEletronico.com - Transportadora / telefone: EXPRESSO SAO MIGUEL S/A / (049) 3361-6627Obs.Interna: Bruna- vamos retomar com esse cliente. Com entrada .  / E-mail para nota fiscal: , E-mail de cobrança: , Telefone para contato</t>
  </si>
  <si>
    <t>RPfhmd8mTbmfTstyEk-tSQ</t>
  </si>
  <si>
    <t>18916</t>
  </si>
  <si>
    <t>ACQUA CLEANING</t>
  </si>
  <si>
    <t>FALTA DADOS DE QUEM VAI RETIRAR A MAQUINA NA FITLOG, MARIO VAI PASSAR
Pedido gerado através do PedidoEletronico.com - Transportadora / telefone: FITLOG TRANSPORTES E LOGISTICA LTDA / (048) 996277956Obs.Interna: entrega em final de novembro . pix
CLIENTE IRÁ RETIRAR NA FIT LOG . DIFAL R$313,00 / E-mail para nota fiscal: , E-mail de cobrança: , Telefone para contato</t>
  </si>
  <si>
    <t>ilY5S5u1T5SnYnJxF04LnQ</t>
  </si>
  <si>
    <t>18909</t>
  </si>
  <si>
    <t>SOL A SOL PISCINAS</t>
  </si>
  <si>
    <t>APROVADO 21/10
Pedido gerado através do PedidoEletronico.com - Transportadora / telefone: EXPRESSO SAO MIGUEL S/A / (051) 3586-2013Informação Adicional: entrada de R$5.000,00 +30/60/90 / E-mail para nota fiscal: , E-mail de cobrança: , Telefone para contato</t>
  </si>
  <si>
    <t>RC.BFEBTQo6xCK7COYTRNA</t>
  </si>
  <si>
    <t>18911</t>
  </si>
  <si>
    <t>Pedido gerado através do PedidoEletronico.com - Transportadora / telefone: RODONAVES TRANSPORTES E ENCOMENDAS LTDA / (016) 3965-2141E-mail para nota fiscal: , E-mail de cobrança: , Telefone para contato</t>
  </si>
  <si>
    <t>Z9uRpS4YT0qEQAj6WjqzzA</t>
  </si>
  <si>
    <t>18912</t>
  </si>
  <si>
    <t>Pedido gerado através do PedidoEletronico.com - Transportadora / telefone: CLIENTE RETIRA / (0) Informação Adicional: cliente retira / E-mail para nota fiscal: , E-mail de cobrança: , Telefone para contato</t>
  </si>
  <si>
    <t>GENhXxsJRYaGuNq8bPdF4A</t>
  </si>
  <si>
    <t>18913</t>
  </si>
  <si>
    <t>Pedido gerado através do PedidoEletronico.com - Transportadora / telefone: FITLOG TRANSPORTES E LOGISTICA LTDA / (048) 996277956Obs.Interna: Entrega para inicio de dezembro .  / E-mail para nota fiscal: , E-mail de cobrança: , Telefone para contato</t>
  </si>
  <si>
    <t>hTDKcqXiTRaiWE0krN2zDw</t>
  </si>
  <si>
    <t>18914</t>
  </si>
  <si>
    <t>APROVADO 21/10
Pedido gerado através do PedidoEletronico.com - Transportadora / telefone: EXPRESSO SAO MIGUEL S/A / (051) 3586-2013Informação Adicional: ENDEREÇO DE ENTREGA :AV SIQUEIRA CAMPOS, 1749 - UVARANAS - CEP 84033000 / E-mail para nota fiscal: , E-mail de cobrança: , Telefone para contato</t>
  </si>
  <si>
    <t>Pf5K7k0wTg-yP5Izg3KTbQ</t>
  </si>
  <si>
    <t>18915</t>
  </si>
  <si>
    <t>8F00250706450015</t>
  </si>
  <si>
    <t>Pedido gerado através do PedidoEletronico.com - Transportadora / telefone: FITLOG TRANSPORTES E LOGISTICA LTDA / (048) 996277956Informação Adicional: Frete CIF.
Amanhã serão despachadas outras máquinas para esse cliente. Se possível, podemos aproveitar o mesmo frete para esse pedido também.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</si>
  <si>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L77Tdk47Yg00_t99tzM2LWry92G8yhMtocvQHRVb2IvFlfOuPh4VloFdiknXSOSPdKXrr_Nq1UDL4XmtP53sTqwhRpowg7zXWtzSm4jrS4EaHkMwmQFlp9cK5PZgSZdABT6bo-7pJ3gZHauAps729W5FIW4uDR9SZZgvH2rPQU2RGPenzeAGMsHzMR-nKqwrp1e6UiAppWQTTa_UWYdIl98fbGuPDlfT1ofPs5XuqQ3e70Q8w3ies-6G5_WhUVuoDFGvdeixNvVjApti7mjSjociwMW-3VXsLqAr0fL3ELkyHRKhO0up8A9NsxQ&amp;amp;lib=M-zdWbhavtdZ1B_W2dnFDM0qoVt4lWzJ-"&gt;here&lt;/A&gt;.
&lt;/BODY&gt;
&lt;/HTML&gt;
</t>
  </si>
  <si>
    <t>tIYpCtXvTue49u1FmLaHFw</t>
  </si>
  <si>
    <t>18919</t>
  </si>
  <si>
    <t>SERVICE PISCINAS</t>
  </si>
  <si>
    <t>8F00250706450016</t>
  </si>
  <si>
    <t>Pedido gerado através do PedidoEletronico.com - Transportadora / telefone: CLIENTE RETIRA / (0)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</si>
  <si>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QfV7GsLZYgGeF9MPoHb4bX01Q4XWbNx40XUkuV_OiJwrLghyOzu9jqqS35C59qxdyxlbdj4Z-i7a5rsDOvDapn6_yFYuDLHJXGLMekmVSWLiIl0SQVUs-yivS072QojOW4-p7j791zP1uUUE68pPbhpKydTTOwb_boSI_gewTxDMEtmek8_TEJXcMJ-hW_TOnmYSOva5MjbsRA-R6yFXbrIs4yOSjEOZoW3sr10G2it6ZZ-Fhox9u99PKp6WBFyGMUzwsBIhmiQAckFub-MLeKtN71arutVqG3Iof7EeEbxuvCe8i3jcfpPajYw&amp;amp;lib=M-zdWbhavtdZ1B_W2dnFDM0qoVt4lWzJ-"&gt;here&lt;/A&gt;.
&lt;/BODY&gt;
&lt;/HTML&gt;
</t>
  </si>
  <si>
    <t>96xkRcDCQ8CeqERnurTS1g</t>
  </si>
  <si>
    <t>18918</t>
  </si>
  <si>
    <t>APROVADO 21/10
Pedido gerado através do PedidoEletronico.com - Transportadora / telefone: ACEVILLE TRANSPORTES LTDA / (048) 99823-5770Informação Adicional: valor autorizado pelo Mario / E-mail para nota fiscal: , E-mail de cobrança: , Telefone para contato</t>
  </si>
  <si>
    <t>eYqBQBpLQYalYi89WOWhtw</t>
  </si>
  <si>
    <t>18922</t>
  </si>
  <si>
    <t>8F00250706450017</t>
  </si>
  <si>
    <t>Pedido gerado através do PedidoEletronico.com - Transportadora / telefone: EXPRESSO SAO MIGUEL S/A / (051) 3586-2013Informação Adicional: O.C 5387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</si>
  <si>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jfW0RuZ1aTC5KwAwTTYI-D5yfgWCNs0jf5aiDMK1XNkYBq--PH2Fb2CNt3Xu0uzecRWMMilgMHSlcxt-sbsHEl-cLDDsh8liYtV6Pur_2l5k32XkmjxaxhrW0IT3LC76KCHHj91HBH6LBDYJoUwvsjXVI7r-nuXlw8LzGaDf9wTc89dVm6PrI5ioeOapnoU4G-h-fQmKyLzfKR0Vn-k-xBeiLnC2z8zmB7Vkz40MSkAoeKpKMv1hivron_4vWs72VYqFYFc-X7smdVzcyREAIvpzy34sM8U2T9cjL2s91gDGRBGl2luRLKWFUCjQ&amp;amp;lib=M-zdWbhavtdZ1B_W2dnFDM0qoVt4lWzJ-"&gt;here&lt;/A&gt;.
&lt;/BODY&gt;
&lt;/HTML&gt;
</t>
  </si>
  <si>
    <t>4j3Xj.heSAe5PzHpfEppBA</t>
  </si>
  <si>
    <t>18924-A</t>
  </si>
  <si>
    <t>Mario- FRETE CIF - AUTORIZADO NESSA NEGOCIAÇÃO
Pedido gerado através do PedidoEletronico.com - Transportadora / telefone: EXPRESSO SAO MIGUEL S/A / (049) 3361-6627Informação Adicional: Mario- FRETE CIF - AUTORIZADO NESSA NEGOCIAÇÃO .  / E-mail para nota fiscal: , E-mail de cobrança: , Telefone para contato</t>
  </si>
  <si>
    <t>5fu2X3OLS26cHk02zgZVQg</t>
  </si>
  <si>
    <t>18924-B</t>
  </si>
  <si>
    <t>un5QmKGXUgzw6rx70yBc</t>
  </si>
  <si>
    <t>18924-C</t>
  </si>
  <si>
    <t>1Uxf1XfTcysHfqeD8l9u</t>
  </si>
  <si>
    <t>18923-A</t>
  </si>
  <si>
    <t>FH80F60W</t>
  </si>
  <si>
    <t>Pedido gerado através do PedidoEletronico.com - Transportadora / telefone: FITLOG TRANSPORTES E LOGISTICA LTDA / (048) 996277956Obs.Interna: entrega futura. Entregar  hotel BIARRITZ COPACABANA Rua Aires Saldanha 54  Copacabana cep 22440 032 RJ . Maquinas ja implantadas anteriormente. Pedido para correção de endereço de entrega . Ligar para o Luiz antes de entregar 21 9 6518 9999 / E-mail para nota fiscal: , E-mail de cobrança: , Telefone para contato</t>
  </si>
  <si>
    <t>rsqMuuZqSaeuLAoGrzamEA</t>
  </si>
  <si>
    <t>18925-A</t>
  </si>
  <si>
    <t>Pedido gerado através do PedidoEletronico.com - Transportadora / telefone: EXPRESSO SAO MIGUEL S/A / (049) 3361-6627Obs.Interna: CONCEDER DESCONTO MAXIMO A VISTA  AJUSTAR DESCONTO REFERENTE PEDIDO 18697 / E-mail para nota fiscal: , E-mail de cobrança: , Telefone para contato</t>
  </si>
  <si>
    <t>Z7ABGcWWSJWKI4Jzsj51bw</t>
  </si>
  <si>
    <t>18925-B</t>
  </si>
  <si>
    <t>mYNbvtTXpYcmvQXcrCts</t>
  </si>
  <si>
    <t>18925-C</t>
  </si>
  <si>
    <t>vdncRipEHNQ4S4Jw7mGF</t>
  </si>
  <si>
    <t>18925-E</t>
  </si>
  <si>
    <t>xNMLEaB0p8KYTWt8sMgK</t>
  </si>
  <si>
    <t>18925-D</t>
  </si>
  <si>
    <t>6eg0BeVIXECymTrgKvmc</t>
  </si>
  <si>
    <t>18926</t>
  </si>
  <si>
    <t>SO PISCINAS COMERCIO E PRESTACAO DE SERVICOS LTDA</t>
  </si>
  <si>
    <t>Pedido gerado através do PedidoEletronico.com - Transportadora / telefone: FITLOG TRANSPORTES E LOGISTICA LTDA / (048) 996277956Informação Adicional: Frete FOB com redespacho pela THEIAR
CNPJ SP - 04.607.157/0001-30 INSCR. ESTADUAL : 116.224.163.114 RUA SOLDADO JOSE VIVANCO SOLANO, 01 - BAIRRO PARQUE NOVO MUNDO - SAO PAULO - SP - CEP 02144-040  / Obs.Interna: Mario- Priorizar o envio, quando chegar próxima lote .  / E-mail para nota fiscal: , E-mail de cobrança: , Telefone para contato</t>
  </si>
  <si>
    <t>sBOVDTfKTFuRKNhbhwXHVw</t>
  </si>
  <si>
    <t>18927-1</t>
  </si>
  <si>
    <t>Pedido gerado através do PedidoEletronico.com - Transportadora / telefone: CLIENTE RETIRA / (0) Obs.Interna: Compra realizada de metade de um contêiner vindo diretamente da CHINA, cliente retira na fabrica . Previsão de chegada no Brasil janeiro/fevereiro . Forma de pag. 30% de entrada + 70% quando navio chegar Brasil .   / E-mail para nota fiscal: , E-mail de cobrança: , Telefone para contato</t>
  </si>
  <si>
    <t>a.6oaHF66TOu0k41p6LjFrw</t>
  </si>
  <si>
    <t>18927-2</t>
  </si>
  <si>
    <t>SjSntsKSfHZLrhvJsNnB</t>
  </si>
  <si>
    <t>18927-3</t>
  </si>
  <si>
    <t>QX3VdpQnyWYgcZliXlRS</t>
  </si>
  <si>
    <t>18927-4</t>
  </si>
  <si>
    <t>juD7juNPyhuyPgvc4LUn</t>
  </si>
  <si>
    <t>18927-5</t>
  </si>
  <si>
    <t>1bZqsBeT05dXx44RV9ni</t>
  </si>
  <si>
    <t>18927-6</t>
  </si>
  <si>
    <t>kxmDckfX2kLa78fegeCL</t>
  </si>
  <si>
    <t>18927-7</t>
  </si>
  <si>
    <t>AWrr6kXQC9zb4p6uIjNT</t>
  </si>
  <si>
    <t>18927-8</t>
  </si>
  <si>
    <t>6mbNUPDJyzEmfEaUKrPh</t>
  </si>
  <si>
    <t>18927-9</t>
  </si>
  <si>
    <t>itDgmlXJDJFVdzTjwjwN</t>
  </si>
  <si>
    <t>18927-10</t>
  </si>
  <si>
    <t>EcvHNfhSNSmnLiPuMe8Y</t>
  </si>
  <si>
    <t>18927-11</t>
  </si>
  <si>
    <t>JMQ2YnFyf0MKayg9Z9gi</t>
  </si>
  <si>
    <t>18927-12</t>
  </si>
  <si>
    <t>NYsU32IX6JL44jvHAzZp</t>
  </si>
  <si>
    <t>18927-13</t>
  </si>
  <si>
    <t>MhQA3EtydSyQUkcyEMNW</t>
  </si>
  <si>
    <t>18927-14</t>
  </si>
  <si>
    <t>6A3xTfY5f9mUHQDRkL7S</t>
  </si>
  <si>
    <t>18927-15</t>
  </si>
  <si>
    <t>0xEgddxNipdYCRyqepIH</t>
  </si>
  <si>
    <t>18927-16</t>
  </si>
  <si>
    <t>2Vx5Zcm9UpfKLOjzcN5t</t>
  </si>
  <si>
    <t>18927-17</t>
  </si>
  <si>
    <t>fVMX4HPc4kqOp6xPBZFW</t>
  </si>
  <si>
    <t>18927-18</t>
  </si>
  <si>
    <t>HBljHh16op05ZOrAIuTr</t>
  </si>
  <si>
    <t>18927-19</t>
  </si>
  <si>
    <t>edLSqJeb6a4zJKDC9H6a</t>
  </si>
  <si>
    <t>18927-20</t>
  </si>
  <si>
    <t>DiCOxlQz9NkdvBKcLQ6Y</t>
  </si>
  <si>
    <t>18927-21</t>
  </si>
  <si>
    <t>mwjIQGRW3ijizEOWHmmM</t>
  </si>
  <si>
    <t>18927-22</t>
  </si>
  <si>
    <t>M7Vk2xbQjPbAaIaw1I0n</t>
  </si>
  <si>
    <t>18927-23</t>
  </si>
  <si>
    <t>dNAajku8R4fy1aMMomJd</t>
  </si>
  <si>
    <t>18927-24</t>
  </si>
  <si>
    <t>BfHgwGiL260rpRTK0qDd</t>
  </si>
  <si>
    <t>18927-25</t>
  </si>
  <si>
    <t>r1LXZoWVFlU1w2qA1tEg</t>
  </si>
  <si>
    <t>18927-26</t>
  </si>
  <si>
    <t>Qj3TDDgndayDZfZUecyi</t>
  </si>
  <si>
    <t>18927-27</t>
  </si>
  <si>
    <t>V14nBzrxhxVy0u9nUGbY</t>
  </si>
  <si>
    <t>18927-28</t>
  </si>
  <si>
    <t>iz03EeVheCaUVG6f74mv</t>
  </si>
  <si>
    <t>18927-29</t>
  </si>
  <si>
    <t>ZHrmOiYWSqkc0zH3Oylk</t>
  </si>
  <si>
    <t>18927-30</t>
  </si>
  <si>
    <t>ScyQRV6aATUPWecXwpXk</t>
  </si>
  <si>
    <t>18927-31</t>
  </si>
  <si>
    <t>QwmAm0acuPBAiHO1inan</t>
  </si>
  <si>
    <t>18927-32</t>
  </si>
  <si>
    <t>YluA8iRF9Kn6RgRT7rnc</t>
  </si>
  <si>
    <t>18927-33</t>
  </si>
  <si>
    <t>ibCfcETxRxVTM3B1rUaB</t>
  </si>
  <si>
    <t>18927-34</t>
  </si>
  <si>
    <t>qL0LmoKnOh6RNjpW4THQ</t>
  </si>
  <si>
    <t>18927-35</t>
  </si>
  <si>
    <t>PoHtJFv9OA0SpUx0ihoJ</t>
  </si>
  <si>
    <t>18927-36</t>
  </si>
  <si>
    <t>LLxVALmpmJ39FQ7Lr8TH</t>
  </si>
  <si>
    <t>18927-37</t>
  </si>
  <si>
    <t>dezMQbIo1JUCZzV4eJfI</t>
  </si>
  <si>
    <t>18927-38</t>
  </si>
  <si>
    <t>dOmJmd9zDQNoPAaj4hSn</t>
  </si>
  <si>
    <t>18927-39</t>
  </si>
  <si>
    <t>hHvMgOQySFTAKy4PasFt</t>
  </si>
  <si>
    <t>18927-40</t>
  </si>
  <si>
    <t>DitswTjv5jn8Rlwo7SXU</t>
  </si>
  <si>
    <t>18927-41</t>
  </si>
  <si>
    <t>f6QUSCCVE9PyJJBVK8z3</t>
  </si>
  <si>
    <t>18927-42</t>
  </si>
  <si>
    <t>1LPOwrYb904EDlx9xi99</t>
  </si>
  <si>
    <t>18927-43</t>
  </si>
  <si>
    <t>fLHNv2ViKmYwdk5tIVcz</t>
  </si>
  <si>
    <t>18927-44</t>
  </si>
  <si>
    <t>SzsHtWAHhlBeBNiTnx7k</t>
  </si>
  <si>
    <t>18927-45</t>
  </si>
  <si>
    <t>ui8Uk0KsiEFIBuVP6uBz</t>
  </si>
  <si>
    <t>18927-46</t>
  </si>
  <si>
    <t>PcxWfOqojNSJbX8Wizl7</t>
  </si>
  <si>
    <t>18927-47</t>
  </si>
  <si>
    <t>9bvDijbHCjnbqAFRyJpM</t>
  </si>
  <si>
    <t>18927-48</t>
  </si>
  <si>
    <t>Tbj1hM0yJTwRF7Zarvku</t>
  </si>
  <si>
    <t>18927-49</t>
  </si>
  <si>
    <t>lf368cEydheAYh8OuVni</t>
  </si>
  <si>
    <t>18927-50</t>
  </si>
  <si>
    <t>yT3idsXL6m2xAQy6Rc7q</t>
  </si>
  <si>
    <t>18927-51</t>
  </si>
  <si>
    <t>d0CxA4U36z8xBtwv3NLH</t>
  </si>
  <si>
    <t>18927-52</t>
  </si>
  <si>
    <t>tyapymmQEFbYL4Amcwvm</t>
  </si>
  <si>
    <t>18927-53</t>
  </si>
  <si>
    <t>WkLLTlrZJbzowCUNTfun</t>
  </si>
  <si>
    <t>18927-54</t>
  </si>
  <si>
    <t>rMVqBYipzz7OliSLjMHS</t>
  </si>
  <si>
    <t>18927-55</t>
  </si>
  <si>
    <t>sQESrGeEJhRvaJFqkndP</t>
  </si>
  <si>
    <t>18927-56</t>
  </si>
  <si>
    <t>84xzTAsezbZ3s0EMI0PP</t>
  </si>
  <si>
    <t>18927-57</t>
  </si>
  <si>
    <t>WXmjpKkr5b42Vind677Z</t>
  </si>
  <si>
    <t>18927-58</t>
  </si>
  <si>
    <t>kQTguIU80FYwliEb9Gc4</t>
  </si>
  <si>
    <t>18927-59</t>
  </si>
  <si>
    <t>BrtRtY2V5kxSSAWPAcmo</t>
  </si>
  <si>
    <t>18927-60</t>
  </si>
  <si>
    <t>eItYfpz4MeZW7qlY3ab0</t>
  </si>
  <si>
    <t>18927-61</t>
  </si>
  <si>
    <t>i8JuDZBqMwNKe3DKUabP</t>
  </si>
  <si>
    <t>18927-62</t>
  </si>
  <si>
    <t>eWcYxnns6R9789uRJxaU</t>
  </si>
  <si>
    <t>18927-63</t>
  </si>
  <si>
    <t>GJIvnG60mUbc77dFwxlh</t>
  </si>
  <si>
    <t>18927-64</t>
  </si>
  <si>
    <t>7BAgmrydxisWqnDY17We</t>
  </si>
  <si>
    <t>18927-65</t>
  </si>
  <si>
    <t>s81MPc28kl84x12ajtL9</t>
  </si>
  <si>
    <t>18927-66</t>
  </si>
  <si>
    <t>SY5BwMlMUlVoNt8NXBdh</t>
  </si>
  <si>
    <t>18927-67</t>
  </si>
  <si>
    <t>aUrptybPSxyXIaFnIfST</t>
  </si>
  <si>
    <t>18927-68</t>
  </si>
  <si>
    <t>ObpJQ8GIrTztX44lRsEu</t>
  </si>
  <si>
    <t>18927-69</t>
  </si>
  <si>
    <t>3BxmawmXIQwedYaUXowU</t>
  </si>
  <si>
    <t>18927-70</t>
  </si>
  <si>
    <t>KB8MyPyN8z22yp4SlGGv</t>
  </si>
  <si>
    <t>18927-71</t>
  </si>
  <si>
    <t>M1yhZZhiEA5QdRsjeZfe</t>
  </si>
  <si>
    <t>18927-72</t>
  </si>
  <si>
    <t>5QYqo3lZWi2Zn3WtM4DZ</t>
  </si>
  <si>
    <t>18927-73</t>
  </si>
  <si>
    <t>Vr1sByKo4hsBNbslBFhb</t>
  </si>
  <si>
    <t>18927-74</t>
  </si>
  <si>
    <t>o2mu1sOd8OBJ1ixwC9MH</t>
  </si>
  <si>
    <t>18927-75</t>
  </si>
  <si>
    <t>oUKybJDQRCDCjhi4asTo</t>
  </si>
  <si>
    <t>18927-76</t>
  </si>
  <si>
    <t>u9bmDXPIPOgg1wiPopTe</t>
  </si>
  <si>
    <t>18927-77</t>
  </si>
  <si>
    <t>eEDcGZpXcBu5RvVZ4V4N</t>
  </si>
  <si>
    <t>18927-78</t>
  </si>
  <si>
    <t>jTypMSZPAbU8D1TYrotT</t>
  </si>
  <si>
    <t>18927-79</t>
  </si>
  <si>
    <t>BLjSvE8OOlt2rD3di9l2</t>
  </si>
  <si>
    <t>18927-80</t>
  </si>
  <si>
    <t>m1KZv6H9JVtc0UzxKDLr</t>
  </si>
  <si>
    <t>18927-81</t>
  </si>
  <si>
    <t>Jhzl528hbRHQaMaDHGid</t>
  </si>
  <si>
    <t>18927-82</t>
  </si>
  <si>
    <t>lj1hcoZRZU0oNTvyKa99</t>
  </si>
  <si>
    <t>18927-83</t>
  </si>
  <si>
    <t>ynLL7jDyKQ0TzaJKCOYz</t>
  </si>
  <si>
    <t>18927-84</t>
  </si>
  <si>
    <t>FYEkUeNsjJKD5B4ymt03</t>
  </si>
  <si>
    <t>18927-85</t>
  </si>
  <si>
    <t>EOUMSFrI10EZYzVZavmr</t>
  </si>
  <si>
    <t>18927-86</t>
  </si>
  <si>
    <t>kNyOK8ZwPCr8j3NiIUBK</t>
  </si>
  <si>
    <t>18927-87</t>
  </si>
  <si>
    <t>oCzR6RCT4x6IaLKFYWBK</t>
  </si>
  <si>
    <t>18927-88</t>
  </si>
  <si>
    <t>RBS6oUhMrKZ6FnWBu33X</t>
  </si>
  <si>
    <t>18927-89</t>
  </si>
  <si>
    <t>xcgQTf5ecfUmCSGJahmC</t>
  </si>
  <si>
    <t>18927-90</t>
  </si>
  <si>
    <t>TmrF0tLaWQi2DotSikcU</t>
  </si>
  <si>
    <t>18927-91</t>
  </si>
  <si>
    <t>vLVPmuEicoWIV4yQQKVg</t>
  </si>
  <si>
    <t>18927-92</t>
  </si>
  <si>
    <t>2QMKWCPxRH4vAC4SmgiE</t>
  </si>
  <si>
    <t>18927-93</t>
  </si>
  <si>
    <t>pxSddMjGjG9Qyu6YUAk6</t>
  </si>
  <si>
    <t>18927-94</t>
  </si>
  <si>
    <t>QXghHPEKug5KHIMEsmBm</t>
  </si>
  <si>
    <t>18927-95</t>
  </si>
  <si>
    <t>1TgyRl42g8O0JCf5a4Re</t>
  </si>
  <si>
    <t>18927-96</t>
  </si>
  <si>
    <t>4CNtujdO5qHLsVfedhWc</t>
  </si>
  <si>
    <t>18927-97</t>
  </si>
  <si>
    <t>a6Xm4hbUicCatPn411ZJ</t>
  </si>
  <si>
    <t>18927-98</t>
  </si>
  <si>
    <t>3CpIld0dn4tLVu0gtmfP</t>
  </si>
  <si>
    <t>18927-99</t>
  </si>
  <si>
    <t>L5uAtsFx8puFSnDvlkH5</t>
  </si>
  <si>
    <t>18927-100</t>
  </si>
  <si>
    <t>uG4cy2KCJ8rdgkLXY890</t>
  </si>
  <si>
    <t>18927-101</t>
  </si>
  <si>
    <t>aMx9R6HriOIHpuFvaDUg</t>
  </si>
  <si>
    <t>18927-102</t>
  </si>
  <si>
    <t>oIWhlk15q8cOaTPByAMT</t>
  </si>
  <si>
    <t>18927-103</t>
  </si>
  <si>
    <t>IgVO1aqZQsquDgUgw3iw</t>
  </si>
  <si>
    <t>18927-104</t>
  </si>
  <si>
    <t>ffMkPriQUXKOdj8N4Meu</t>
  </si>
  <si>
    <t>18927-105</t>
  </si>
  <si>
    <t>l6phtjctXmvCg9s7Sxmf</t>
  </si>
  <si>
    <t>18927-106</t>
  </si>
  <si>
    <t>9SKPtFYNAYWoD8nuQiKg</t>
  </si>
  <si>
    <t>18927-107</t>
  </si>
  <si>
    <t>0bTnGFGe6Tb7iSYlNGoM</t>
  </si>
  <si>
    <t>18927-108</t>
  </si>
  <si>
    <t>Wjfd23pLLs5rVgUMQmJY</t>
  </si>
  <si>
    <t>18927-109</t>
  </si>
  <si>
    <t>jBrbD7GdYHQbeouq2CF1</t>
  </si>
  <si>
    <t>18927-110</t>
  </si>
  <si>
    <t>aTFVHnYsOde7HO3fdamC</t>
  </si>
  <si>
    <t>18927-111</t>
  </si>
  <si>
    <t>NEfTwwGXwfafdAITpDRi</t>
  </si>
  <si>
    <t>18927-112</t>
  </si>
  <si>
    <t>DFpiiy0uK9rVCCmxHhRU</t>
  </si>
  <si>
    <t>18927-113</t>
  </si>
  <si>
    <t>5y9hR0D9mMuGQewJgTwk</t>
  </si>
  <si>
    <t>18927-114</t>
  </si>
  <si>
    <t>6xjfx9fuUDpQvkjJmDUc</t>
  </si>
  <si>
    <t>18927-115</t>
  </si>
  <si>
    <t>slK9YUPjYgra0oZx63bD</t>
  </si>
  <si>
    <t>18927-116</t>
  </si>
  <si>
    <t>E3f4kw1fX7vGRACalyM8</t>
  </si>
  <si>
    <t>18927-117</t>
  </si>
  <si>
    <t>YrjmEc7WDLRYVLXzq2kk</t>
  </si>
  <si>
    <t>18929</t>
  </si>
  <si>
    <t>8F00240812220295</t>
  </si>
  <si>
    <t>Pedido gerado através do PedidoEletronico.com - Transportadora / telefone: EXPRESSO SAO MIGUEL S/A / (051) 3586-2013Informação Adicional: Entregar em: Prime Piscinas - ST SPLM CONJUNTO 9 LOTE 22 - CEP 71.732-090 - SETOR PLACA DA MERCEDES (NUCLEO BANDEIRANTE) - BRASÍLIA - DF
REDESPACHO FOB CNPJ 02.592.421/0001-84 - RG OSASCO TRANSPORTES RODOVIARIOS LTDA - Avenida Leonil Cre Bortolosso, 945, Galpão 14, Quitauna, Osasco SP, CEP: 06186-260 - I.E. 492.350.967.113 / Obs.Interna: MÁQUINA REFERENTE A SUBSTITUIÇÃO DE UMA 105D - NÃO DEVE GERAR FINANCEIRO POIS JÁ FOI PAGA NO PEDIDO 18739 - ELINE CIENTE DA DEVOLUÇÃO INTERNA . / E-mail para nota fiscal: , E-mail de cobrança: , Telefone para contato</t>
  </si>
  <si>
    <t xml:space="preserve">&lt;HTML&gt;
&lt;HEAD&gt;
&lt;TITLE&gt;Moved Temporarily&lt;/TITLE&gt;
&lt;/HEAD&gt;
&lt;BODY BGCOLOR="#FFFFFF" TEXT="#000000"&gt;
&lt;!-- GSE Default Error --&gt;
&lt;H1&gt;Moved Temporarily&lt;/H1&gt;
The document has moved &lt;A HREF="https://script.googleusercontent.com/macros/echo?user_content_key=AehSKLg8ww0rTaW7pkQiQbjiP3VLuohgA7jLTAY_gNZyHhM7VfOzoK9XqMLys-3jLT4a4eI-N_EprZKxxgiBvJyTMn9zT9yPw3nLuCpr7GBa5HXgz3vEMD6J8fIYUJAzeOSUAPv45yxvJghITDTGzUwhAsnU4wmYjygtEVHy9JqRSo6-yGIBaMCYNwQZVag9KssqRqKPZIXpjSvCSMXlOuuvHyjZFWJdp-kSJH93A2SqFvX3Wmj90LE3QtkjjiI6oQjtwAFht5vL91H4Sd9dvoVZF3NFfRVBc_Y77ynHmpKJPdcmnYCah1jDmO0kcBZMQQ&amp;amp;lib=M-zdWbhavtdZ1B_W2dnFDM0qoVt4lWzJ-"&gt;here&lt;/A&gt;.
&lt;/BODY&gt;
&lt;/HTML&gt;
</t>
  </si>
  <si>
    <t>yQfDY94LR66NDFJXDU02mw</t>
  </si>
  <si>
    <t>18930</t>
  </si>
  <si>
    <t>52.540.567 DARLENE BATISTA DE JESUS</t>
  </si>
  <si>
    <t>Pedido reprocessado ao alterar dados do cliente 21/10/2025 11:52:24 usuário: JULIANA VIEIRA DA SILVA
Pedido gerado através do PedidoEletronico.com - Transportadora / telefone: EXPRESSO SAO MIGUEL S/A / (049) 3361-6627E-mail para nota fiscal: , E-mail de cobrança: , Telefone para contato</t>
  </si>
  <si>
    <t>A5ojsqZyR0Kfitbp9JS6aA</t>
  </si>
  <si>
    <t>18928-A</t>
  </si>
  <si>
    <t>C NUNES &amp; CIA LTDA</t>
  </si>
  <si>
    <t>Pedido gerado através do PedidoEletronico.com - Transportadora / telefone: EXPRESSO SAO MIGUEL S/A / (051) 3586-2013Informação Adicional: FAVOR CORRIGIR O VALOR DA MAQUINA 75 R$8.915,67 E 125 R$14.400,18
AUTORIZADO PELO MARIO DICK / Obs.Interna: Mario-Eline autorizado para esse cliente .  / E-mail para nota fiscal: , E-mail de cobrança: , Telefone para contato</t>
  </si>
  <si>
    <t>JLjRdr1EQCOkc75m-nA3RQ</t>
  </si>
  <si>
    <t>18928-B</t>
  </si>
  <si>
    <t>JfpNfXGHd9xjPjuRZV3b</t>
  </si>
  <si>
    <t>18932-A</t>
  </si>
  <si>
    <t>Pedido reprocessado ao alterar dados do cliente 21/10/2025 14:08:08 usuário: P000697112
ABATER O VALOR DE R$ 60.000,00 DA COMISSÃO QUE A INFRAH TEM A RECEBER DO HOTEL VILLA LOBOS E PARCELAR O RESTANTE. CONVERSAR COM A PRISCILLA, POIS ESSE PEDIDO SAIRÁ COM UM VALOR DE NF. MENOR.
Pedido gerado através do PedidoEletronico.com - Transportadora / telefone: FITLOG TRANSPORTES E LOGISTICA LTDA / (048) 996277956Informação Adicional: ENDEREÇO DE ENTREGA: HOTEL ÍBIS BUDGET PAULISTA - RUA DA CONSOLAÇÃO, 2.303 - CONSOLAÇÃO - SÃO PAULO - SP - CEP: 01301-100, LIGAR PARA O ALISSON ANTES DE ENTREGAR - (11) 9 9473 5150. / E-mail para nota fiscal: , E-mail de cobrança: , Telefone para contato</t>
  </si>
  <si>
    <t>Q605lci7SOy-RezQBlxV6g</t>
  </si>
  <si>
    <t>18932-B</t>
  </si>
  <si>
    <t>LJytLm2RLdJeQ4KpeRa9</t>
  </si>
  <si>
    <t>18932-C</t>
  </si>
  <si>
    <t>xh5RBLxk3GoGWEJNXDi8</t>
  </si>
  <si>
    <t>18932-D</t>
  </si>
  <si>
    <t>Bfv1KPbMm4JLR9HJ2m4O</t>
  </si>
  <si>
    <t>18933</t>
  </si>
  <si>
    <t>Pedido gerado através do PedidoEletronico.com - Transportadora / telefone: CLIENTE RETIRA / (0) Informação Adicional: VALOR NEGOCIADO R$ 4,845,42 - ABATER VALOR DO CONTRATO EM VIGOR
PEDIDO 20380 - LG ATHENAS  / E-mail para nota fiscal: , E-mail de cobrança: , Telefone para contato</t>
  </si>
  <si>
    <t>a.0awzf5LSbiZAY5aL.ckZA</t>
  </si>
  <si>
    <t>18934</t>
  </si>
  <si>
    <t>Ruap.vnlSyaEA5YbHVFtjA</t>
  </si>
  <si>
    <t>18936</t>
  </si>
  <si>
    <t>fBujC8mETgWy4WmFL579oA</t>
  </si>
  <si>
    <t>18935</t>
  </si>
  <si>
    <t>oAHs7N4gQq-Qo3icM5YOPw</t>
  </si>
  <si>
    <t>18937-A</t>
  </si>
  <si>
    <t>Pedido gerado através do PedidoEletronico.com - Transportadora / telefone: CLIENTE RETIRA / (0) Informação Adicional: PEDIDO CLIENTE 20380 - LG ATHENAS  / E-mail para nota fiscal: , E-mail de cobrança: , Telefone para contato</t>
  </si>
  <si>
    <t>CKjndMvDTpaC-1ml3EqLcg</t>
  </si>
  <si>
    <t>18937-B</t>
  </si>
  <si>
    <t>EdRBqkO1pcQ9bGsvvHdO</t>
  </si>
  <si>
    <t>18938</t>
  </si>
  <si>
    <t>Pedido gerado através do PedidoEletronico.com - Transportadora / telefone: CLIENTE RETIRA / (0) Informação Adicional: PEDIDO LEO CITRATUS  / E-mail para nota fiscal: , E-mail de cobrança: , Telefone para contato</t>
  </si>
  <si>
    <t>FcIS8WlNRGKgP4il2eH2PQ</t>
  </si>
  <si>
    <t>18923-B</t>
  </si>
  <si>
    <t>Ga5vbtPq9n8S2XuvLyQ4</t>
  </si>
  <si>
    <t>18940-A</t>
  </si>
  <si>
    <t>Pedido gerado através do PedidoEletronico.com - Transportadora / telefone: CLIENTE RETIRA / (0) Obs.Interna: CONCEDER DESCONTO  10 +10 - CLIENTE RETIRA / E-mail para nota fiscal: , E-mail de cobrança: , Telefone para contato</t>
  </si>
  <si>
    <t>EkhH2.fMQY2.qN1RlrAdPw</t>
  </si>
  <si>
    <t>18940-B</t>
  </si>
  <si>
    <t>nVLNbpiaJ7nkMIdR9EJ2</t>
  </si>
  <si>
    <t>18941</t>
  </si>
  <si>
    <t>Pedido gerado através do PedidoEletronico.com - Transportadora / telefone: FITLOG TRANSPORTES E LOGISTICA LTDA / (048) 996277956Informação Adicional: cliente BRUNO PADOVEZI  / E-mail para nota fiscal: , E-mail de cobrança: , Telefone para contato</t>
  </si>
  <si>
    <t>ycjBkhqXQXmgE6H176kZjA</t>
  </si>
  <si>
    <t>C18933</t>
  </si>
  <si>
    <t>uOCbeUT9RM-aIqznjZTifA</t>
  </si>
  <si>
    <t>18931</t>
  </si>
  <si>
    <t>Pedido gerado através do PedidoEletronico.com - Transportadora / telefone: RODONAVES TRANSPORTES E ENCOMENDAS LTDA / (016) 3965-2141Obs.Interna: ENTREGA EM NOVEMBRO . / E-mail para nota fiscal: , E-mail de cobrança: , Telefone para contato</t>
  </si>
  <si>
    <t>e5OILU26QXCWdiDqBJcuyQ</t>
  </si>
  <si>
    <t>18942</t>
  </si>
  <si>
    <t>aprovado 21/10
Pedido gerado através do PedidoEletronico.com - Transportadora / telefone: EXPRESSO SAO MIGUEL S/A / (049) 3361-6627Obs.Interna: ENTREGA EM NOVEMBRO  / E-mail para nota fiscal: , E-mail de cobrança: , Telefone para contato</t>
  </si>
  <si>
    <t>OqMz8FBlQ2G4WZ6I4aVhxw</t>
  </si>
  <si>
    <t>18943</t>
  </si>
  <si>
    <t>Pedido gerado através do PedidoEletronico.com - Transportadora / telefone: FITLOG TRANSPORTES E LOGISTICA LTDA / (048) 996277956Informação Adicional: Frete CIF / E-mail para nota fiscal: , E-mail de cobrança: , Telefone para contato</t>
  </si>
  <si>
    <t>E4rfSDh.Qbq0VcbLE1RmXA</t>
  </si>
  <si>
    <t>18944-A</t>
  </si>
  <si>
    <t xml:space="preserve">DOM PISCINAS
</t>
  </si>
  <si>
    <t>xt24-X1dS5Kt5XVbjNMlOQ</t>
  </si>
  <si>
    <t>18944-B</t>
  </si>
  <si>
    <t>vAqGfsy2cglNXKBpbdnN</t>
  </si>
  <si>
    <t>18944-C</t>
  </si>
  <si>
    <t>qPjatIrjWo04zUMpwesK</t>
  </si>
  <si>
    <t xml:space="preserve">   </t>
  </si>
  <si>
    <t>CLIENTE/NOME FANTASIA</t>
  </si>
  <si>
    <t>ORDEM DE PROD
INFOR. DE PROD.</t>
  </si>
  <si>
    <t>TIPO DE 
QUADRO</t>
  </si>
  <si>
    <t>SITUAÇÃO</t>
  </si>
  <si>
    <t>NUMERO DA NOTA FISCAL</t>
  </si>
  <si>
    <t>DATA DE
ENTREGA</t>
  </si>
  <si>
    <t>INSERIDO POR</t>
  </si>
  <si>
    <t>INTEGRAÇÃO DO PEDIDO</t>
  </si>
  <si>
    <t>APROVAÇÃO PEDIDO</t>
  </si>
  <si>
    <t>FINALIZAÇÃO
DA IDENTIFICAÇÃO</t>
  </si>
  <si>
    <t>FORMA PGTO</t>
  </si>
  <si>
    <t>DATA_PAGTO</t>
  </si>
  <si>
    <t>VALOR</t>
  </si>
  <si>
    <t>UF</t>
  </si>
  <si>
    <t>REP</t>
  </si>
  <si>
    <t>OBS GERAIS</t>
  </si>
  <si>
    <t>RG</t>
  </si>
  <si>
    <t>QUADRO</t>
  </si>
  <si>
    <t>FORMULA</t>
  </si>
  <si>
    <t>LOTE</t>
  </si>
  <si>
    <t>STATUS</t>
  </si>
  <si>
    <t>RESERVA</t>
  </si>
  <si>
    <t>ETAPA</t>
  </si>
  <si>
    <t>CONTROLADOR</t>
  </si>
  <si>
    <t>OBS²</t>
  </si>
  <si>
    <t>8B00230924003094</t>
  </si>
  <si>
    <t>8B00230924003158</t>
  </si>
  <si>
    <t>8B00230927003056</t>
  </si>
  <si>
    <t>DESMONTADA</t>
  </si>
  <si>
    <t>8B00230927003127</t>
  </si>
  <si>
    <t>8B00230927003131</t>
  </si>
  <si>
    <t>DESMONTADO</t>
  </si>
  <si>
    <t>8B00230927003179</t>
  </si>
  <si>
    <t>SEM CASE</t>
  </si>
  <si>
    <t>8B00240106003138</t>
  </si>
  <si>
    <t>8B00240106003145</t>
  </si>
  <si>
    <t>8B00240106003146</t>
  </si>
  <si>
    <t>RESERVADO</t>
  </si>
  <si>
    <t>8B00240106003149</t>
  </si>
  <si>
    <t>8B00240106003161</t>
  </si>
  <si>
    <t>8B00240106003167</t>
  </si>
  <si>
    <t>8B00240122003401</t>
  </si>
  <si>
    <t>EXTRAVIADA, ERROO COM PEDIDO DUPLICADO, SAIU PELO PARANA E SAIU PELA FROMTHERM</t>
  </si>
  <si>
    <t>8B00240322003113</t>
  </si>
  <si>
    <t>DESMONTADA P FABRICAÇÃO</t>
  </si>
  <si>
    <t>8B00240322003117</t>
  </si>
  <si>
    <t>8B00240322003128</t>
  </si>
  <si>
    <t>8B00240322003129</t>
  </si>
  <si>
    <t>8B00240322003132</t>
  </si>
  <si>
    <t>8B00240322003134</t>
  </si>
  <si>
    <t>8B00240322003143</t>
  </si>
  <si>
    <t>8B00240322003144</t>
  </si>
  <si>
    <t>8B00240322003145</t>
  </si>
  <si>
    <t>8B00240322003147</t>
  </si>
  <si>
    <t>8B00240322003153</t>
  </si>
  <si>
    <t>8B00240322003223</t>
  </si>
  <si>
    <t>N/E</t>
  </si>
  <si>
    <t>8B00240322003264</t>
  </si>
  <si>
    <t>8B00240322003267</t>
  </si>
  <si>
    <t>8B00240322003268</t>
  </si>
  <si>
    <t>8B00240322003269</t>
  </si>
  <si>
    <t>8B00240322003270</t>
  </si>
  <si>
    <t>f</t>
  </si>
  <si>
    <t>8B00240322003275</t>
  </si>
  <si>
    <t>8B00240322003279</t>
  </si>
  <si>
    <t>8B00240322003282</t>
  </si>
  <si>
    <t>8B00240322003283</t>
  </si>
  <si>
    <t>8A00240411003150</t>
  </si>
  <si>
    <t>8A00240514003107</t>
  </si>
  <si>
    <t>8A00240514003111</t>
  </si>
  <si>
    <t>8A00240514003120</t>
  </si>
  <si>
    <t>8A00240514003122</t>
  </si>
  <si>
    <t>8A00240514003123</t>
  </si>
  <si>
    <t>8F00240723280521</t>
  </si>
  <si>
    <t>8F00240812170085</t>
  </si>
  <si>
    <t>8F00240812180120</t>
  </si>
  <si>
    <t>8F00240812220278</t>
  </si>
  <si>
    <t>8F00240812220289</t>
  </si>
  <si>
    <t>8F00240812220297</t>
  </si>
  <si>
    <t>8F00240812220298</t>
  </si>
  <si>
    <t>8F00240812220299</t>
  </si>
  <si>
    <t>8F00240812230317</t>
  </si>
  <si>
    <t>8F00240812230320</t>
  </si>
  <si>
    <t>8F00240812230321</t>
  </si>
  <si>
    <t>8F00240812230335</t>
  </si>
  <si>
    <t>8F00241005190001</t>
  </si>
  <si>
    <t>8F00241005190002</t>
  </si>
  <si>
    <t>8F00241005190003</t>
  </si>
  <si>
    <t>8F00241005190004</t>
  </si>
  <si>
    <t>8F00241005190005</t>
  </si>
  <si>
    <t>8F00241005190006</t>
  </si>
  <si>
    <t>8F00241005190007</t>
  </si>
  <si>
    <t>8F00241005190008</t>
  </si>
  <si>
    <t>8F00241005190009</t>
  </si>
  <si>
    <t>8F00241005190010</t>
  </si>
  <si>
    <t>8F00241005190011</t>
  </si>
  <si>
    <t>8F00241005190012</t>
  </si>
  <si>
    <t>8F00241005190013</t>
  </si>
  <si>
    <t>8F00241005190014</t>
  </si>
  <si>
    <t>8F00241005190015</t>
  </si>
  <si>
    <t>8F00241005190016</t>
  </si>
  <si>
    <t>8F00241005190017</t>
  </si>
  <si>
    <t>8F00241005190018</t>
  </si>
  <si>
    <t>8F00241005190019</t>
  </si>
  <si>
    <t>8F00241005190020</t>
  </si>
  <si>
    <t>8F00241005190021</t>
  </si>
  <si>
    <t>8F00241005190022</t>
  </si>
  <si>
    <t>8F00241005190023</t>
  </si>
  <si>
    <t>8F00241005190024</t>
  </si>
  <si>
    <t>8F00241005190025</t>
  </si>
  <si>
    <t>8F00241005190026</t>
  </si>
  <si>
    <t>8F00241005190027</t>
  </si>
  <si>
    <t>8F00241005190028</t>
  </si>
  <si>
    <t>8F00241005190030</t>
  </si>
  <si>
    <t>8F00241005200003</t>
  </si>
  <si>
    <t>8F00241005200004</t>
  </si>
  <si>
    <t>8F00241005200006</t>
  </si>
  <si>
    <t>8F00241005200008</t>
  </si>
  <si>
    <t xml:space="preserve">ONDE SE ENCONTRA? DEVOLVIDA DO PEDIDO DA BSB PISCINAS 17227, POREM NAO SE ENCONTRA FISICAMENTE
Mario- Esse caso foi enviado 02 controladores para esse equipamento e não resolveu, vamos autorizar a devolução e enviar outro equipamento- SEM COBRANÇA . O.S 250058 </t>
  </si>
  <si>
    <t>8F00241021270004</t>
  </si>
  <si>
    <t>8F00241021270010</t>
  </si>
  <si>
    <t>8F00241118040015</t>
  </si>
  <si>
    <t>8F00241118040061</t>
  </si>
  <si>
    <t>NÃO VEIO CONTAINER</t>
  </si>
  <si>
    <t>8F00250102050014</t>
  </si>
  <si>
    <t>8F00250102050015</t>
  </si>
  <si>
    <t>8F00250102050016</t>
  </si>
  <si>
    <t>8F00250102050017</t>
  </si>
  <si>
    <t>8F00250102050018</t>
  </si>
  <si>
    <t>8F00250102050019</t>
  </si>
  <si>
    <t>8F00250102140001</t>
  </si>
  <si>
    <t>8F00250102140016</t>
  </si>
  <si>
    <t>8F00250102140020</t>
  </si>
  <si>
    <t>8F00250102140030</t>
  </si>
  <si>
    <t>8F00241225080008</t>
  </si>
  <si>
    <t>8F00241225080013</t>
  </si>
  <si>
    <t>8F00250104120015</t>
  </si>
  <si>
    <t>8F00250104150015</t>
  </si>
  <si>
    <t>8F00250104150016</t>
  </si>
  <si>
    <t>8F00250104150023</t>
  </si>
  <si>
    <t>8F00250104150029</t>
  </si>
  <si>
    <t>8F00250104150030</t>
  </si>
  <si>
    <t>8F00250104150031</t>
  </si>
  <si>
    <t>8F00250104150035</t>
  </si>
  <si>
    <t>8F00250104150037</t>
  </si>
  <si>
    <t>8F00250104150039</t>
  </si>
  <si>
    <t>8F00250110310005</t>
  </si>
  <si>
    <t>8F00250110310016</t>
  </si>
  <si>
    <t>8F00250208120001</t>
  </si>
  <si>
    <t>8F00250208120009</t>
  </si>
  <si>
    <t>8F00250208120015</t>
  </si>
  <si>
    <t>8F00250208120019</t>
  </si>
  <si>
    <t>8F00250329050018</t>
  </si>
  <si>
    <t>8F00250329070001</t>
  </si>
  <si>
    <t>8F00250329070002</t>
  </si>
  <si>
    <t>8F00250329070003</t>
  </si>
  <si>
    <t>8F00250329070004</t>
  </si>
  <si>
    <t>8F00250329070006</t>
  </si>
  <si>
    <t>LOTE 19</t>
  </si>
  <si>
    <t>8F00250411500016</t>
  </si>
  <si>
    <t>ESTAVA NO SERIAL NUMBER MAS NA PI CONSTAVA APENAS 15</t>
  </si>
  <si>
    <t>8F00250411510001</t>
  </si>
  <si>
    <t>8F00250411510002</t>
  </si>
  <si>
    <t>8F00250411510003</t>
  </si>
  <si>
    <t>8F00250411510004</t>
  </si>
  <si>
    <t>8F00250411510005</t>
  </si>
  <si>
    <t>8F00250411510006</t>
  </si>
  <si>
    <t>8F00250411510007</t>
  </si>
  <si>
    <t>8F00250411510008</t>
  </si>
  <si>
    <t>8F00250411510009</t>
  </si>
  <si>
    <t>8F00250411510010</t>
  </si>
  <si>
    <t>8F00250411510011</t>
  </si>
  <si>
    <t>8F00250411510012</t>
  </si>
  <si>
    <t>8F00250411510013</t>
  </si>
  <si>
    <t>8F00250411510014</t>
  </si>
  <si>
    <t>8F00250411510015</t>
  </si>
  <si>
    <t>8F00250411510016</t>
  </si>
  <si>
    <t>8F00250411510017</t>
  </si>
  <si>
    <t>8F00250411510018</t>
  </si>
  <si>
    <t>8F00250411510019</t>
  </si>
  <si>
    <t>8F00250411510020</t>
  </si>
  <si>
    <t>8F00250411510021</t>
  </si>
  <si>
    <t>8F00250411510022</t>
  </si>
  <si>
    <t>8F00250411510023</t>
  </si>
  <si>
    <t>8F00250411510024</t>
  </si>
  <si>
    <t>8F00250411510025</t>
  </si>
  <si>
    <t>8F00250411510026</t>
  </si>
  <si>
    <t>8F00250411510027</t>
  </si>
  <si>
    <t>8F00250411510028</t>
  </si>
  <si>
    <t>8F00250411510029</t>
  </si>
  <si>
    <t>8F00250411510030</t>
  </si>
  <si>
    <t>8F00250411510031</t>
  </si>
  <si>
    <t>8F00250411510032</t>
  </si>
  <si>
    <t>8F00250411510033</t>
  </si>
  <si>
    <t>8F00250411510034</t>
  </si>
  <si>
    <t>8F00250411510035</t>
  </si>
  <si>
    <t>8F00250411510036</t>
  </si>
  <si>
    <t>8F00250411510037</t>
  </si>
  <si>
    <t>8F00250411510038</t>
  </si>
  <si>
    <t>8F00250411510039</t>
  </si>
  <si>
    <t>8F00250411510040</t>
  </si>
  <si>
    <t>WL-2024072510001</t>
  </si>
  <si>
    <t>WL-2024072510002</t>
  </si>
  <si>
    <t>WL-2024072510004</t>
  </si>
  <si>
    <t>WL-2024072510005</t>
  </si>
  <si>
    <t>WL-2024072510006</t>
  </si>
  <si>
    <t>WL-2024072510007</t>
  </si>
  <si>
    <t>WL-2024072510008</t>
  </si>
  <si>
    <t>WL-2024072510009</t>
  </si>
  <si>
    <t>WL-2024072510010</t>
  </si>
  <si>
    <t>WL-2024072510011</t>
  </si>
  <si>
    <t>WL-2024072510012</t>
  </si>
  <si>
    <t>BLOQUEADA - GUILHERME</t>
  </si>
  <si>
    <t>WL-2024072510013</t>
  </si>
  <si>
    <t>WL-2024072510015</t>
  </si>
  <si>
    <t>WL-2024072510016</t>
  </si>
  <si>
    <t>WL-2024072510017</t>
  </si>
  <si>
    <t>WL-2024072510018</t>
  </si>
  <si>
    <t>WL-2024072510019</t>
  </si>
  <si>
    <t>WL-2024072510020</t>
  </si>
  <si>
    <t>WL-2024072510021</t>
  </si>
  <si>
    <t>WL-2024072510022</t>
  </si>
  <si>
    <t>WL-2024072510023</t>
  </si>
  <si>
    <t>WL-2024072510024</t>
  </si>
  <si>
    <t>WL-2024072510025</t>
  </si>
  <si>
    <t>WL-2024072510026</t>
  </si>
  <si>
    <t>WL-2024072510027</t>
  </si>
  <si>
    <t>WL-2024072510028</t>
  </si>
  <si>
    <t>WL-2024072510029</t>
  </si>
  <si>
    <t>WL-2024072510030</t>
  </si>
  <si>
    <t>WL-2024072510031</t>
  </si>
  <si>
    <t>WL-2024072510032</t>
  </si>
  <si>
    <t>WL-2024072510033</t>
  </si>
  <si>
    <t>WL-2024072510034</t>
  </si>
  <si>
    <t>WL-2024072510035</t>
  </si>
  <si>
    <t>WL-2024072510036</t>
  </si>
  <si>
    <t>WL-2024072510037</t>
  </si>
  <si>
    <t>WL-2024072510038</t>
  </si>
  <si>
    <t>WL-2024072510039</t>
  </si>
  <si>
    <t>WL-2024072510040</t>
  </si>
  <si>
    <t>WL-2024072510043</t>
  </si>
  <si>
    <t>WL-2024072510044</t>
  </si>
  <si>
    <t>WL-2024072510045</t>
  </si>
  <si>
    <t>WL-2024072510046</t>
  </si>
  <si>
    <t>WL-2024072510047</t>
  </si>
  <si>
    <t>WL-2024072510048</t>
  </si>
  <si>
    <t>WL-2024072510049</t>
  </si>
  <si>
    <t>WL-2024072510050</t>
  </si>
  <si>
    <t>WL-2024072510051</t>
  </si>
  <si>
    <t>WL-2024072510052</t>
  </si>
  <si>
    <t>WL-2024072510053</t>
  </si>
  <si>
    <t>WL-2024072510054</t>
  </si>
  <si>
    <t>WL-2024072510055</t>
  </si>
  <si>
    <t>WL-2024072510056</t>
  </si>
  <si>
    <t>WL-2024072510057</t>
  </si>
  <si>
    <t>WL-2024072510058</t>
  </si>
  <si>
    <t>WL-2024072510059</t>
  </si>
  <si>
    <t>WL-2024072510060</t>
  </si>
  <si>
    <t>WL-2024072510061</t>
  </si>
  <si>
    <t>WL-2024072510062</t>
  </si>
  <si>
    <t>WL-2024072510063</t>
  </si>
  <si>
    <t>WL-2024072510065</t>
  </si>
  <si>
    <t>WL-2024072510064</t>
  </si>
  <si>
    <t>WL-2024072510066</t>
  </si>
  <si>
    <t>WL-2024072510067</t>
  </si>
  <si>
    <t>WL-2024072510069</t>
  </si>
  <si>
    <t>WL-2024072510070</t>
  </si>
  <si>
    <t>WL-2024072510071</t>
  </si>
  <si>
    <t>WL-2024072510072</t>
  </si>
  <si>
    <t>WL-2024072510073</t>
  </si>
  <si>
    <t>WL-2024072510074</t>
  </si>
  <si>
    <t>WL-2024072510075</t>
  </si>
  <si>
    <t>WL-2024072510076</t>
  </si>
  <si>
    <t>WL-2024072510077</t>
  </si>
  <si>
    <t>WL-2024072510078</t>
  </si>
  <si>
    <t>WL-2024072510079</t>
  </si>
  <si>
    <t>WL-2024072510080</t>
  </si>
  <si>
    <t>WL-2024072510081</t>
  </si>
  <si>
    <t>WL-2024072510082</t>
  </si>
  <si>
    <t>WL-2024072510083</t>
  </si>
  <si>
    <t>WL-2024072510084</t>
  </si>
  <si>
    <t>WL-2024072510085</t>
  </si>
  <si>
    <t>WL-2024072510086</t>
  </si>
  <si>
    <t>WL-2024072510087</t>
  </si>
  <si>
    <t>WL-2024072510088</t>
  </si>
  <si>
    <t>WL-2024072510089</t>
  </si>
  <si>
    <t>WL-2024072510090</t>
  </si>
  <si>
    <t>WL-2024072510091</t>
  </si>
  <si>
    <t>WL-2024072510092</t>
  </si>
  <si>
    <t>WL-2024072510093</t>
  </si>
  <si>
    <t>WL-2024072510094</t>
  </si>
  <si>
    <t>WL-2024072510095</t>
  </si>
  <si>
    <t>WL-2024072510097</t>
  </si>
  <si>
    <t>WL-2024072510098</t>
  </si>
  <si>
    <t>WL-2024072510099</t>
  </si>
  <si>
    <t>WL-2024072510100</t>
  </si>
  <si>
    <t>WL-2024072510003</t>
  </si>
  <si>
    <t>COM BRUNO OU GUILHERME OU DEFEITO</t>
  </si>
  <si>
    <t>WL-2024072510014</t>
  </si>
  <si>
    <t>WL-2024072510042</t>
  </si>
  <si>
    <t>WL-2024072510068</t>
  </si>
  <si>
    <t>WL-2024072510096</t>
  </si>
  <si>
    <t>LOTE 20</t>
  </si>
  <si>
    <t>8F00250529200001</t>
  </si>
  <si>
    <t>8F00250529200002</t>
  </si>
  <si>
    <t>8F00250529200003</t>
  </si>
  <si>
    <t>8F00250529200004</t>
  </si>
  <si>
    <t>8F00250529200005</t>
  </si>
  <si>
    <t>8F00250529200006</t>
  </si>
  <si>
    <t>8F00250529200007</t>
  </si>
  <si>
    <t>8F00250529200008</t>
  </si>
  <si>
    <t>8F00250529200009</t>
  </si>
  <si>
    <t>8F00250529200010</t>
  </si>
  <si>
    <t>8F00250529200011</t>
  </si>
  <si>
    <t>8F00250529200012</t>
  </si>
  <si>
    <t>8F00250529200013</t>
  </si>
  <si>
    <t>8F00250529200014</t>
  </si>
  <si>
    <t>8F00250529200015</t>
  </si>
  <si>
    <t>8F00250529200016</t>
  </si>
  <si>
    <t>8F00250529200017</t>
  </si>
  <si>
    <t>8F00250529200018</t>
  </si>
  <si>
    <t>8F00250529200019</t>
  </si>
  <si>
    <t>8F00250529200020</t>
  </si>
  <si>
    <t>8F00250529200021</t>
  </si>
  <si>
    <t>8F00250529200022</t>
  </si>
  <si>
    <t>8F00250529200023</t>
  </si>
  <si>
    <t>8F00250529200024</t>
  </si>
  <si>
    <t>8F00250529200025</t>
  </si>
  <si>
    <t>8F00250529200026</t>
  </si>
  <si>
    <t>8F00250529200027</t>
  </si>
  <si>
    <t>8F00250529200028</t>
  </si>
  <si>
    <t>8F00250529200029</t>
  </si>
  <si>
    <t>8F00250529200030</t>
  </si>
  <si>
    <t>8F00250529200031</t>
  </si>
  <si>
    <t>8F00250529200032</t>
  </si>
  <si>
    <t>8F00250529200033</t>
  </si>
  <si>
    <t>8F00250529200034</t>
  </si>
  <si>
    <t>8F00250529200035</t>
  </si>
  <si>
    <t>8F00250529200036</t>
  </si>
  <si>
    <t>8F00250529200037</t>
  </si>
  <si>
    <t>8F00250529200038</t>
  </si>
  <si>
    <t>8F00250529200039</t>
  </si>
  <si>
    <t>8F00250529200040</t>
  </si>
  <si>
    <t>8F00250529200041</t>
  </si>
  <si>
    <t>8F00250529200042</t>
  </si>
  <si>
    <t>8F00250529200043</t>
  </si>
  <si>
    <t>8F00250529200044</t>
  </si>
  <si>
    <t>8F00250529200045</t>
  </si>
  <si>
    <t>8F00250529200046</t>
  </si>
  <si>
    <t>8F00250529200047</t>
  </si>
  <si>
    <t>8F00250529200048</t>
  </si>
  <si>
    <t>8F00250529200049</t>
  </si>
  <si>
    <t>8F00250529200050</t>
  </si>
  <si>
    <t>8F00250529200051</t>
  </si>
  <si>
    <t>8F00250529200052</t>
  </si>
  <si>
    <t>8F00250529200053</t>
  </si>
  <si>
    <t>8F00250529200054</t>
  </si>
  <si>
    <t>8F00250529200055</t>
  </si>
  <si>
    <t>8F00250529200056</t>
  </si>
  <si>
    <t>8F00250529200057</t>
  </si>
  <si>
    <t>8F00250529200058</t>
  </si>
  <si>
    <t>8F00250529200059</t>
  </si>
  <si>
    <t>8F00250529200060</t>
  </si>
  <si>
    <t>8F00250529200061</t>
  </si>
  <si>
    <t>8F00250529200062</t>
  </si>
  <si>
    <t>8F00250529200063</t>
  </si>
  <si>
    <t>8F00250529210005</t>
  </si>
  <si>
    <t>LOTE 21</t>
  </si>
  <si>
    <t>8F00250706330011</t>
  </si>
  <si>
    <t>BLOQUEAD P/ AUDITORIA</t>
  </si>
  <si>
    <t>8F00250706330012</t>
  </si>
  <si>
    <t>8F00250706330013</t>
  </si>
  <si>
    <t>8F00250706330014</t>
  </si>
  <si>
    <t>8F00250706370001</t>
  </si>
  <si>
    <t>8F00250706370002</t>
  </si>
  <si>
    <t>8F00250706370003</t>
  </si>
  <si>
    <t>8F00250706370024</t>
  </si>
  <si>
    <t>8F00250706370025</t>
  </si>
  <si>
    <t>8F00250706370026</t>
  </si>
  <si>
    <t>8F00250706370027</t>
  </si>
  <si>
    <t>8F00250706370028</t>
  </si>
  <si>
    <t>8F00250706370029</t>
  </si>
  <si>
    <t>8F00250706370030</t>
  </si>
  <si>
    <t>8F00250706370031</t>
  </si>
  <si>
    <t>8F00250706370032</t>
  </si>
  <si>
    <t>8F00250706370033</t>
  </si>
  <si>
    <t>8F00250706370034</t>
  </si>
  <si>
    <t>8F00250706370035</t>
  </si>
  <si>
    <t>8F00250706450018</t>
  </si>
  <si>
    <t>8F00250706450019</t>
  </si>
  <si>
    <t>8F00250706450020</t>
  </si>
  <si>
    <t>8F00250706450021</t>
  </si>
  <si>
    <t>8F00250706450022</t>
  </si>
  <si>
    <t>8F00250706450023</t>
  </si>
  <si>
    <t>8F00250706450024</t>
  </si>
  <si>
    <t>8F00250706450025</t>
  </si>
  <si>
    <t>8F00250706450026</t>
  </si>
  <si>
    <t>8F00250706450027</t>
  </si>
  <si>
    <t>8F00250706450028</t>
  </si>
  <si>
    <t>8F00250706450029</t>
  </si>
  <si>
    <t>8F00250706450030</t>
  </si>
  <si>
    <t>8F00250706450031</t>
  </si>
  <si>
    <t>8F00250706450032</t>
  </si>
  <si>
    <t>8F00250706450033</t>
  </si>
  <si>
    <t>8F00250706450034</t>
  </si>
  <si>
    <t>8F00250706450035</t>
  </si>
  <si>
    <t>8F00250706450036</t>
  </si>
  <si>
    <t>8F00250706450037</t>
  </si>
  <si>
    <t>8F00250706450038</t>
  </si>
  <si>
    <t>8F00250706450039</t>
  </si>
  <si>
    <t>8F00250706450040</t>
  </si>
  <si>
    <t>8F00250706450041</t>
  </si>
  <si>
    <t>8F00250706450042</t>
  </si>
  <si>
    <t>8F00250706450043</t>
  </si>
  <si>
    <t>8F00250706450044</t>
  </si>
  <si>
    <t>8F00250706450045</t>
  </si>
  <si>
    <t>8F00250706450046</t>
  </si>
  <si>
    <t>8F00250706450047</t>
  </si>
  <si>
    <t>8F00250706450048</t>
  </si>
  <si>
    <t>8F00250706450049</t>
  </si>
  <si>
    <t>8F00250706450050</t>
  </si>
  <si>
    <t>8F00250706450051</t>
  </si>
  <si>
    <t>8F00250706450052</t>
  </si>
  <si>
    <t>8F00250706450053</t>
  </si>
  <si>
    <t>8F00250706450054</t>
  </si>
  <si>
    <t>8F00250706450055</t>
  </si>
  <si>
    <t>8F00250706450056</t>
  </si>
  <si>
    <t>8F00250706450057</t>
  </si>
  <si>
    <t>8F00250706450058</t>
  </si>
  <si>
    <t>8F00250706450059</t>
  </si>
  <si>
    <t>8F00250706450060</t>
  </si>
  <si>
    <t>8F00250706500017</t>
  </si>
  <si>
    <t>8F00250706500018</t>
  </si>
  <si>
    <t>8F00250706500019</t>
  </si>
  <si>
    <t>8F00250706500020</t>
  </si>
  <si>
    <t>8F00250706510001</t>
  </si>
  <si>
    <t>BLOQUEADA - MARIO</t>
  </si>
  <si>
    <t>8F00250706510002</t>
  </si>
  <si>
    <t>8F00250706510003</t>
  </si>
  <si>
    <t>8F00250706510005</t>
  </si>
  <si>
    <t>8F00250706510009</t>
  </si>
  <si>
    <t>8F00250706510010</t>
  </si>
  <si>
    <t>8E00250214240001</t>
  </si>
  <si>
    <t>CARCAÇA</t>
  </si>
  <si>
    <t>8E00250214240002</t>
  </si>
  <si>
    <t>8E00250214240003</t>
  </si>
  <si>
    <t>8E00250214240004</t>
  </si>
  <si>
    <t>8E00250214240005</t>
  </si>
  <si>
    <t>8E00250214240006</t>
  </si>
  <si>
    <t>8E00250214240007</t>
  </si>
  <si>
    <t>8E00250214240010</t>
  </si>
  <si>
    <t>8E00250214240011</t>
  </si>
  <si>
    <t>8E00250214240012</t>
  </si>
  <si>
    <t>8E00250214240013</t>
  </si>
  <si>
    <t>8E00250214240014</t>
  </si>
  <si>
    <t>8E00250214240015</t>
  </si>
  <si>
    <t>8E00250214240016</t>
  </si>
  <si>
    <t>8E00250214240017</t>
  </si>
  <si>
    <t>8E00250214240018</t>
  </si>
  <si>
    <t>8E00250214240020</t>
  </si>
  <si>
    <t>8E00250214240021</t>
  </si>
  <si>
    <t>8E00250214240022</t>
  </si>
  <si>
    <t>8E00250214240023</t>
  </si>
  <si>
    <t>8E00250214240025</t>
  </si>
  <si>
    <t>8E00250214240026</t>
  </si>
  <si>
    <t>8E00250214240027</t>
  </si>
  <si>
    <t>8E00250214240028</t>
  </si>
  <si>
    <t>8E00250214240030</t>
  </si>
  <si>
    <t>8E00250214240031</t>
  </si>
  <si>
    <t>8E00250214240032</t>
  </si>
  <si>
    <t>8E00250214240033</t>
  </si>
  <si>
    <t>8E00250214240034</t>
  </si>
  <si>
    <t>8E00250214240035</t>
  </si>
  <si>
    <t>8E00250214240036</t>
  </si>
  <si>
    <t>8E00250214240037</t>
  </si>
  <si>
    <t>8E00250214240038</t>
  </si>
  <si>
    <t>8E00250214240039</t>
  </si>
  <si>
    <t>8E00250214240040</t>
  </si>
  <si>
    <t>8E00250214240041</t>
  </si>
  <si>
    <t>8E00250214240042</t>
  </si>
  <si>
    <t>8E00250214240043</t>
  </si>
  <si>
    <t>8E00250214240044</t>
  </si>
  <si>
    <t>8E00250214240045</t>
  </si>
  <si>
    <t>8E00250214240047</t>
  </si>
  <si>
    <t>8E00250214240048</t>
  </si>
  <si>
    <t>8E00250214240050</t>
  </si>
  <si>
    <t>ENGENHARIA</t>
  </si>
  <si>
    <t>LOTE 22</t>
  </si>
  <si>
    <t>8F00250804020027</t>
  </si>
  <si>
    <t>8F00250804020029</t>
  </si>
  <si>
    <t>8F00250804020030</t>
  </si>
  <si>
    <t>8F00250804050002</t>
  </si>
  <si>
    <t>8F00250804050003</t>
  </si>
  <si>
    <t>8F00250804050004</t>
  </si>
  <si>
    <t>8F00250804050005</t>
  </si>
  <si>
    <t>8F00250804050006</t>
  </si>
  <si>
    <t>8F00250804050007</t>
  </si>
  <si>
    <t>8F00250804050008</t>
  </si>
  <si>
    <t>8F00250804050009</t>
  </si>
  <si>
    <t>8F00250804050010</t>
  </si>
  <si>
    <t>8F00250804050011</t>
  </si>
  <si>
    <t>8F00250804050012</t>
  </si>
  <si>
    <t>8F00250804050013</t>
  </si>
  <si>
    <t>8F00250804050014</t>
  </si>
  <si>
    <t>8F00250804050015</t>
  </si>
  <si>
    <t>8F00250804050016</t>
  </si>
  <si>
    <t>8F00250804050017</t>
  </si>
  <si>
    <t>8F00250804050018</t>
  </si>
  <si>
    <t>8F00250804050019</t>
  </si>
  <si>
    <t>8F00250804050020</t>
  </si>
  <si>
    <t>8F00250804050021</t>
  </si>
  <si>
    <t>8F00250804050022</t>
  </si>
  <si>
    <t>8F00250804050023</t>
  </si>
  <si>
    <t>8F00250804050024</t>
  </si>
  <si>
    <t>8F00250804050025</t>
  </si>
  <si>
    <t>8F00250804050026</t>
  </si>
  <si>
    <t>8F00250804050027</t>
  </si>
  <si>
    <t>8F00250804050028</t>
  </si>
  <si>
    <t>8F00250804050029</t>
  </si>
  <si>
    <t>8F00250804050030</t>
  </si>
  <si>
    <t>8F00250804150001</t>
  </si>
  <si>
    <t>8F00250804150002</t>
  </si>
  <si>
    <t>8F00250804150003</t>
  </si>
  <si>
    <t>8F00250804150004</t>
  </si>
  <si>
    <t>8F00250804150005</t>
  </si>
  <si>
    <t>8F00250804150006</t>
  </si>
  <si>
    <t>8F00250804150007</t>
  </si>
  <si>
    <t>8F00250804150008</t>
  </si>
  <si>
    <t>8F00250804150009</t>
  </si>
  <si>
    <t>8F00250804150010</t>
  </si>
  <si>
    <t>8F00250804150011</t>
  </si>
  <si>
    <t>8F00250804150012</t>
  </si>
  <si>
    <t>8F00250804150013</t>
  </si>
  <si>
    <t>8F00250804150014</t>
  </si>
  <si>
    <t>8F00250804150015</t>
  </si>
  <si>
    <t>8F00250804150016</t>
  </si>
  <si>
    <t>8F00250804150017</t>
  </si>
  <si>
    <t>8F00250804150018</t>
  </si>
  <si>
    <t>8F00250804160001</t>
  </si>
  <si>
    <t>8F00250804160002</t>
  </si>
  <si>
    <t>8F00250804160003</t>
  </si>
  <si>
    <t>8F00250804160004</t>
  </si>
  <si>
    <t>8F00250804160005</t>
  </si>
  <si>
    <t>8F00250804160006</t>
  </si>
  <si>
    <t>8F00250804160007</t>
  </si>
  <si>
    <t>8F00250804160008</t>
  </si>
  <si>
    <t>8F00250804160009</t>
  </si>
  <si>
    <t>8F00250804160010</t>
  </si>
  <si>
    <t>8F00250804160011</t>
  </si>
  <si>
    <t>8F00250804160012</t>
  </si>
  <si>
    <t>8F00250804160013</t>
  </si>
  <si>
    <t>8F00250804160014</t>
  </si>
  <si>
    <t>8F00250804160015</t>
  </si>
  <si>
    <t>8F00250804160016</t>
  </si>
  <si>
    <t>8F00250804160017</t>
  </si>
  <si>
    <t>8F00250804160018</t>
  </si>
  <si>
    <t>8F00250804160019</t>
  </si>
  <si>
    <t>8F00250804160020</t>
  </si>
  <si>
    <t>8F00250804160021</t>
  </si>
  <si>
    <t>8F00250804160022</t>
  </si>
  <si>
    <t>8F00250804160023</t>
  </si>
  <si>
    <t>8F00250804160024</t>
  </si>
  <si>
    <t>8F00250804160025</t>
  </si>
  <si>
    <t>8F00250804160026</t>
  </si>
  <si>
    <t>8F00250804160027</t>
  </si>
  <si>
    <t>8F00250804160028</t>
  </si>
  <si>
    <t>8F00250804160029</t>
  </si>
  <si>
    <t>8F00250804160030</t>
  </si>
  <si>
    <t>8F00250804160031</t>
  </si>
  <si>
    <t>8F00250804160032</t>
  </si>
  <si>
    <t>8F00250804160033</t>
  </si>
  <si>
    <t>8F00250804160034</t>
  </si>
  <si>
    <t>8F00250804160035</t>
  </si>
  <si>
    <t>8F00250804160036</t>
  </si>
  <si>
    <t>8F00250804160037</t>
  </si>
  <si>
    <t>8F00250804160038</t>
  </si>
  <si>
    <t>8F00250804160039</t>
  </si>
  <si>
    <t>8F00250804160040</t>
  </si>
  <si>
    <t>8F00250804170014</t>
  </si>
  <si>
    <t>8F00250804170015</t>
  </si>
  <si>
    <t>8F00250804170016</t>
  </si>
  <si>
    <t>8F00250804170017</t>
  </si>
  <si>
    <t>8F00250804170018</t>
  </si>
  <si>
    <t>8F00250804170019</t>
  </si>
  <si>
    <t>8F00250804170020</t>
  </si>
  <si>
    <t>8F00250804170021</t>
  </si>
  <si>
    <t>8F00250804170022</t>
  </si>
  <si>
    <t>8F00250804170023</t>
  </si>
  <si>
    <t>8F00250804170024</t>
  </si>
  <si>
    <t>8F00250804170025</t>
  </si>
  <si>
    <t>8F00250804190001</t>
  </si>
  <si>
    <t>8F00250804190002</t>
  </si>
  <si>
    <t>8F00250804190003</t>
  </si>
  <si>
    <t>8F00250804190004</t>
  </si>
  <si>
    <t>8F00250804190005</t>
  </si>
  <si>
    <t>8F00250804190006</t>
  </si>
  <si>
    <t>8F00250804190007</t>
  </si>
  <si>
    <t>8F00250804190008</t>
  </si>
  <si>
    <t>8F00250804190009</t>
  </si>
  <si>
    <t>8F00250804190010</t>
  </si>
  <si>
    <t>8F00250804190011</t>
  </si>
  <si>
    <t>8F00250804190012</t>
  </si>
  <si>
    <t>8F00250804190013</t>
  </si>
  <si>
    <t>8F00250804190014</t>
  </si>
  <si>
    <t>8F00250804190015</t>
  </si>
  <si>
    <t>8F00250804190016</t>
  </si>
  <si>
    <t>8F00250804190017</t>
  </si>
  <si>
    <t>8F00250804190018</t>
  </si>
  <si>
    <t>8F00250804190019</t>
  </si>
  <si>
    <t>8F00250804190020</t>
  </si>
  <si>
    <t>8F00250804190021</t>
  </si>
  <si>
    <t>8F00250804190022</t>
  </si>
  <si>
    <t>8F00250804190023</t>
  </si>
  <si>
    <t>8F00250804190024</t>
  </si>
  <si>
    <t>8F00250804190025</t>
  </si>
  <si>
    <t>8F00250804190026</t>
  </si>
  <si>
    <t>8F00250804190027</t>
  </si>
  <si>
    <t>8F00250804190028</t>
  </si>
  <si>
    <t>8F00250819130001</t>
  </si>
  <si>
    <t>LOTE 23</t>
  </si>
  <si>
    <t>NÃO CHEGOU</t>
  </si>
  <si>
    <t>8F00250819130002</t>
  </si>
  <si>
    <t>8F00250819130003</t>
  </si>
  <si>
    <t>8F00250819130004</t>
  </si>
  <si>
    <t>8F00250819130005</t>
  </si>
  <si>
    <t>8F00250819130006</t>
  </si>
  <si>
    <t>8F00250819130007</t>
  </si>
  <si>
    <t>8F00250819130008</t>
  </si>
  <si>
    <t>8F00250819130009</t>
  </si>
  <si>
    <t>8F00250819130010</t>
  </si>
  <si>
    <t>8F00250819140001</t>
  </si>
  <si>
    <t>8F00250819140002</t>
  </si>
  <si>
    <t>8F00250819140003</t>
  </si>
  <si>
    <t>8F00250819140004</t>
  </si>
  <si>
    <t>8F00250819140005</t>
  </si>
  <si>
    <t>8F00250819140006</t>
  </si>
  <si>
    <t>8F00250819140007</t>
  </si>
  <si>
    <t>8F00250819140008</t>
  </si>
  <si>
    <t>8F00250819140009</t>
  </si>
  <si>
    <t>8F00250819140010</t>
  </si>
  <si>
    <t>8F00250819140011</t>
  </si>
  <si>
    <t>8F00250819140012</t>
  </si>
  <si>
    <t>8F00250819140013</t>
  </si>
  <si>
    <t>8F00250819140014</t>
  </si>
  <si>
    <t>8F00250819150001</t>
  </si>
  <si>
    <t>8F00250819150002</t>
  </si>
  <si>
    <t>8F00250819150003</t>
  </si>
  <si>
    <t>8F00250819150004</t>
  </si>
  <si>
    <t>8F00250819150005</t>
  </si>
  <si>
    <t>8F00250819150006</t>
  </si>
  <si>
    <t>8F00250819150007</t>
  </si>
  <si>
    <t>8F00250819150008</t>
  </si>
  <si>
    <t>8F00250819150009</t>
  </si>
  <si>
    <t>8F00250819150010</t>
  </si>
  <si>
    <t>8F00250819150011</t>
  </si>
  <si>
    <t>8F00250819150012</t>
  </si>
  <si>
    <t>8F00250819150013</t>
  </si>
  <si>
    <t>8F00250819150014</t>
  </si>
  <si>
    <t>8F00250819150015</t>
  </si>
  <si>
    <t>8F00250819160001</t>
  </si>
  <si>
    <t>8F00250819160002</t>
  </si>
  <si>
    <t>8F00250819160003</t>
  </si>
  <si>
    <t>8F00250819160004</t>
  </si>
  <si>
    <t>8F00250819160005</t>
  </si>
  <si>
    <t>8F00250819160006</t>
  </si>
  <si>
    <t>8F00250819160007</t>
  </si>
  <si>
    <t>8F00250819160008</t>
  </si>
  <si>
    <t>8F00250819160009</t>
  </si>
  <si>
    <t>8F00250819160010</t>
  </si>
  <si>
    <t>8F00250819160011</t>
  </si>
  <si>
    <t>8F00250819160012</t>
  </si>
  <si>
    <t>8F00250819160013</t>
  </si>
  <si>
    <t>8F00250819160014</t>
  </si>
  <si>
    <t>8F00250819160015</t>
  </si>
  <si>
    <t>8F00250819160016</t>
  </si>
  <si>
    <t>8F00250819160017</t>
  </si>
  <si>
    <t>8F00250819160018</t>
  </si>
  <si>
    <t>8F00250819160019</t>
  </si>
  <si>
    <t>8F00250819160020</t>
  </si>
  <si>
    <t>8F00250819160021</t>
  </si>
  <si>
    <t>8F00250819160022</t>
  </si>
  <si>
    <t>8F00250819160023</t>
  </si>
  <si>
    <t>8F00250819160024</t>
  </si>
  <si>
    <t>8F00250819160025</t>
  </si>
  <si>
    <t>8F00250819160026</t>
  </si>
  <si>
    <t>8F00250819160027</t>
  </si>
  <si>
    <t>8F00250819160028</t>
  </si>
  <si>
    <t>8F00250819160029</t>
  </si>
  <si>
    <t>8F00250819160030</t>
  </si>
  <si>
    <t>8F00250819160031</t>
  </si>
  <si>
    <t>8F00250819160032</t>
  </si>
  <si>
    <t>8F00250819160033</t>
  </si>
  <si>
    <t>8F00250819160034</t>
  </si>
  <si>
    <t>8F00250819160035</t>
  </si>
  <si>
    <t>8F00250819160036</t>
  </si>
  <si>
    <t>8F00250819160037</t>
  </si>
  <si>
    <t>8F00250819160038</t>
  </si>
  <si>
    <t>8F00250819160039</t>
  </si>
  <si>
    <t>8F00250819160040</t>
  </si>
  <si>
    <t>8F00250819160041</t>
  </si>
  <si>
    <t>8F00250819160042</t>
  </si>
  <si>
    <t>8F00250819160043</t>
  </si>
  <si>
    <t>8F00250819170001</t>
  </si>
  <si>
    <t>8F00250819170002</t>
  </si>
  <si>
    <t>8F00250819170003</t>
  </si>
  <si>
    <t>8F00250819170004</t>
  </si>
  <si>
    <t>8F00250819170005</t>
  </si>
  <si>
    <t>8F00250819170006</t>
  </si>
  <si>
    <t>8F00250819170007</t>
  </si>
  <si>
    <t>8F00250819170008</t>
  </si>
  <si>
    <t>8F00250819170009</t>
  </si>
  <si>
    <t>8F00250819170010</t>
  </si>
  <si>
    <t>8F00250819170011</t>
  </si>
  <si>
    <t>8F00250819170012</t>
  </si>
  <si>
    <t>8F00250819170013</t>
  </si>
  <si>
    <t>8F00250819170014</t>
  </si>
  <si>
    <t>8F00250819170015</t>
  </si>
  <si>
    <t>8F00250819170016</t>
  </si>
  <si>
    <t>8F00250819170017</t>
  </si>
  <si>
    <t>8F00250819170018</t>
  </si>
  <si>
    <t>8F00250819170019</t>
  </si>
  <si>
    <t>8F00250819170020</t>
  </si>
  <si>
    <t>8F00250819170021</t>
  </si>
  <si>
    <t>8F00250819170022</t>
  </si>
  <si>
    <t>8F00250819170023</t>
  </si>
  <si>
    <t>8F00250819170024</t>
  </si>
  <si>
    <t>8F00250819170025</t>
  </si>
  <si>
    <t>8F00250819170026</t>
  </si>
  <si>
    <t>8F00250819170027</t>
  </si>
  <si>
    <t>8F00250819170028</t>
  </si>
  <si>
    <t>8F00250819170029</t>
  </si>
  <si>
    <t>8F00250819170030</t>
  </si>
  <si>
    <t>8F00250819170031</t>
  </si>
  <si>
    <t>8F00250819170032</t>
  </si>
  <si>
    <t>8F00250819170033</t>
  </si>
  <si>
    <t>8F00250819170034</t>
  </si>
  <si>
    <t>8F00250819170035</t>
  </si>
  <si>
    <t>8F00250819170036</t>
  </si>
  <si>
    <t>8F00250819170037</t>
  </si>
  <si>
    <t>8F00250819170038</t>
  </si>
  <si>
    <t>8F00250819170039</t>
  </si>
  <si>
    <t>8F00250819170040</t>
  </si>
  <si>
    <t>8F00250819170041</t>
  </si>
  <si>
    <t>8F00250819170042</t>
  </si>
  <si>
    <t>8F00250819170043</t>
  </si>
  <si>
    <t>8F00250819170044</t>
  </si>
  <si>
    <t>8F00250819170045</t>
  </si>
  <si>
    <t>8F00250819170046</t>
  </si>
  <si>
    <t>8F00250819170047</t>
  </si>
  <si>
    <t>8F00250819170048</t>
  </si>
  <si>
    <t>8F00250819170049</t>
  </si>
  <si>
    <t>8F00250819170050</t>
  </si>
  <si>
    <t>8F00250819170051</t>
  </si>
  <si>
    <t>8F00250819170052</t>
  </si>
  <si>
    <t>8F00250819170053</t>
  </si>
  <si>
    <t>8F00250819170054</t>
  </si>
  <si>
    <t>8F00250819170055</t>
  </si>
  <si>
    <t>8F00250819180001</t>
  </si>
  <si>
    <t>8F00250819180002</t>
  </si>
  <si>
    <t>8F00250819180003</t>
  </si>
  <si>
    <t>8F00250819180004</t>
  </si>
  <si>
    <t>8F00250819180005</t>
  </si>
  <si>
    <t>8F00250819180006</t>
  </si>
  <si>
    <t>8F00250819180007</t>
  </si>
  <si>
    <t>8F00250819180008</t>
  </si>
  <si>
    <t>8F00250819180009</t>
  </si>
  <si>
    <t>8F00250819180010</t>
  </si>
  <si>
    <t>8F00250819180011</t>
  </si>
  <si>
    <t>8F00250819180012</t>
  </si>
  <si>
    <t>8F00250819180013</t>
  </si>
  <si>
    <t>8F00250819180014</t>
  </si>
  <si>
    <t>8F00250819180015</t>
  </si>
  <si>
    <t>8F00250819180016</t>
  </si>
  <si>
    <t>8F00250819180017</t>
  </si>
  <si>
    <t>8F00250819180018</t>
  </si>
  <si>
    <t>8F00250819180019</t>
  </si>
  <si>
    <t>8F00250819180020</t>
  </si>
  <si>
    <t>8F00250819190001</t>
  </si>
  <si>
    <t>8F00250819190002</t>
  </si>
  <si>
    <t>8F00250819190003</t>
  </si>
  <si>
    <t>8F00250819190004</t>
  </si>
  <si>
    <t>8F00250819190005</t>
  </si>
  <si>
    <t>8F00250819190006</t>
  </si>
  <si>
    <t>8F00250819190007</t>
  </si>
  <si>
    <t>8F00250819190008</t>
  </si>
  <si>
    <t>8F00250819190009</t>
  </si>
  <si>
    <t>8F00250819190010</t>
  </si>
  <si>
    <t>8F00250819200001</t>
  </si>
  <si>
    <t>8F00250819200002</t>
  </si>
  <si>
    <t>8F00250819200003</t>
  </si>
  <si>
    <t>8F00250819200004</t>
  </si>
  <si>
    <t>8F00250819200005</t>
  </si>
  <si>
    <t>8F00250819200006</t>
  </si>
  <si>
    <t>8F00250819200007</t>
  </si>
  <si>
    <t>8F00250819200008</t>
  </si>
  <si>
    <t>8F00250819200009</t>
  </si>
  <si>
    <t>8F00250819200010</t>
  </si>
  <si>
    <t>8F00250826160001</t>
  </si>
  <si>
    <t>LOTE 24</t>
  </si>
  <si>
    <t>8F00250826160002</t>
  </si>
  <si>
    <t>8F00250826160003</t>
  </si>
  <si>
    <t>8F00250826160004</t>
  </si>
  <si>
    <t>8F00250826160005</t>
  </si>
  <si>
    <t>8F00250826160006</t>
  </si>
  <si>
    <t>8F00250826160007</t>
  </si>
  <si>
    <t>8F00250826160008</t>
  </si>
  <si>
    <t>8F00250826160009</t>
  </si>
  <si>
    <t>8F00250826160010</t>
  </si>
  <si>
    <t>8F00250826160011</t>
  </si>
  <si>
    <t>8F00250826160012</t>
  </si>
  <si>
    <t>8F00250826160013</t>
  </si>
  <si>
    <t>8F00250826160014</t>
  </si>
  <si>
    <t>8F00250826160015</t>
  </si>
  <si>
    <t>8F00250826160016</t>
  </si>
  <si>
    <t>8F00250826160017</t>
  </si>
  <si>
    <t>8F00250826160018</t>
  </si>
  <si>
    <t>8F00250826180001</t>
  </si>
  <si>
    <t>8F00250826180002</t>
  </si>
  <si>
    <t>8F00250826180003</t>
  </si>
  <si>
    <t>8F00250826180004</t>
  </si>
  <si>
    <t>8F00250826180005</t>
  </si>
  <si>
    <t>8F00250826180006</t>
  </si>
  <si>
    <t>8F00250826180007</t>
  </si>
  <si>
    <t>8F00250826180008</t>
  </si>
  <si>
    <t>8F00250826180009</t>
  </si>
  <si>
    <t>8F00250826180010</t>
  </si>
  <si>
    <t>8F00250826180011</t>
  </si>
  <si>
    <t>8F00250826180012</t>
  </si>
  <si>
    <t>8F00250826180013</t>
  </si>
  <si>
    <t>8F00250826180014</t>
  </si>
  <si>
    <t>8F00250826180015</t>
  </si>
  <si>
    <t>8F00250826180016</t>
  </si>
  <si>
    <t>8F00250826180017</t>
  </si>
  <si>
    <t>8F00250826180018</t>
  </si>
  <si>
    <t>8F00250826180019</t>
  </si>
  <si>
    <t>8F00250826180020</t>
  </si>
  <si>
    <t>8F00250826180021</t>
  </si>
  <si>
    <t>8F00250826180022</t>
  </si>
  <si>
    <t>8F00250826180023</t>
  </si>
  <si>
    <t>8F00250826180024</t>
  </si>
  <si>
    <t>8F00250826180025</t>
  </si>
  <si>
    <t>8F00250826060001</t>
  </si>
  <si>
    <t>8F00250826060002</t>
  </si>
  <si>
    <t>8F00250826060003</t>
  </si>
  <si>
    <t>8F00250826060004</t>
  </si>
  <si>
    <t>8F00250826060005</t>
  </si>
  <si>
    <t>8F00250826060006</t>
  </si>
  <si>
    <t>8F00250826060007</t>
  </si>
  <si>
    <t>8F00250826060008</t>
  </si>
  <si>
    <t>8F00250826060009</t>
  </si>
  <si>
    <t>8F00250826060010</t>
  </si>
  <si>
    <t>8F00250826290001</t>
  </si>
  <si>
    <t>8F00250826290002</t>
  </si>
  <si>
    <t>8F00250826290003</t>
  </si>
  <si>
    <t>8F00250826290004</t>
  </si>
  <si>
    <t>8F00250826290005</t>
  </si>
  <si>
    <t>8F00250826290006</t>
  </si>
  <si>
    <t>8F00250826290007</t>
  </si>
  <si>
    <t>8F00250826290008</t>
  </si>
  <si>
    <t>8F00250826290009</t>
  </si>
  <si>
    <t>8F00250826290010</t>
  </si>
  <si>
    <t>8F00250826290011</t>
  </si>
  <si>
    <t>8F00250826290012</t>
  </si>
  <si>
    <t>8F00250826290013</t>
  </si>
  <si>
    <t>8F00250826290014</t>
  </si>
  <si>
    <t>8F00250826290015</t>
  </si>
  <si>
    <t>8F00250826290016</t>
  </si>
  <si>
    <t>8F00250826290017</t>
  </si>
  <si>
    <t>8F00250826290018</t>
  </si>
  <si>
    <t>8F00250826290019</t>
  </si>
  <si>
    <t>8F00250826290020</t>
  </si>
  <si>
    <t>8F00250826290021</t>
  </si>
  <si>
    <t>8F00250826290022</t>
  </si>
  <si>
    <t>8F00250826290023</t>
  </si>
  <si>
    <t>8F00250826290024</t>
  </si>
  <si>
    <t>8F00250826290025</t>
  </si>
  <si>
    <t>8F00250826130001</t>
  </si>
  <si>
    <t>8F00250826130002</t>
  </si>
  <si>
    <t>8F00250826130003</t>
  </si>
  <si>
    <t>8F00250826130004</t>
  </si>
  <si>
    <t>8F00250826130005</t>
  </si>
  <si>
    <t>8F00250826130006</t>
  </si>
  <si>
    <t>8F00250826130007</t>
  </si>
  <si>
    <t>8F00250826130008</t>
  </si>
  <si>
    <t>8F00250826130009</t>
  </si>
  <si>
    <t>8F00250826130010</t>
  </si>
  <si>
    <t>8F00250826130011</t>
  </si>
  <si>
    <t>8F00250826130012</t>
  </si>
  <si>
    <t>8F00250826130013</t>
  </si>
  <si>
    <t>8F00250826130014</t>
  </si>
  <si>
    <t>8F00250826130015</t>
  </si>
  <si>
    <t>8F00250826130016</t>
  </si>
  <si>
    <t>8F00250826130017</t>
  </si>
  <si>
    <t>8F00250826130018</t>
  </si>
  <si>
    <t>8F00250826130019</t>
  </si>
  <si>
    <t>8F00250826130020</t>
  </si>
  <si>
    <t>8F00250826130021</t>
  </si>
  <si>
    <t>8F00250826130022</t>
  </si>
  <si>
    <t>8F00250826130023</t>
  </si>
  <si>
    <t>8F00250826130024</t>
  </si>
  <si>
    <t>8F00250826130025</t>
  </si>
  <si>
    <t>8F00250826130026</t>
  </si>
  <si>
    <t>8F00250826130027</t>
  </si>
  <si>
    <t>8F00250826130028</t>
  </si>
  <si>
    <t>8F00250826130029</t>
  </si>
  <si>
    <t>8F00250826130030</t>
  </si>
  <si>
    <t>8F00250826130031</t>
  </si>
  <si>
    <t>8F00250826130032</t>
  </si>
  <si>
    <t>8F00250826130033</t>
  </si>
  <si>
    <t>8F00250826130034</t>
  </si>
  <si>
    <t>8F00250826130035</t>
  </si>
  <si>
    <t>8F00250826130036</t>
  </si>
  <si>
    <t>8F00250826130037</t>
  </si>
  <si>
    <t>8F00250826130038</t>
  </si>
  <si>
    <t>8F00250826190001</t>
  </si>
  <si>
    <t>8F00250826190002</t>
  </si>
  <si>
    <t>8F00250826190003</t>
  </si>
  <si>
    <t>8F00250826190004</t>
  </si>
  <si>
    <t>8F00250826190005</t>
  </si>
  <si>
    <t>8F00250826190006</t>
  </si>
  <si>
    <t>8F00250826190007</t>
  </si>
  <si>
    <t>8F00250826190008</t>
  </si>
  <si>
    <t>8F00250826190009</t>
  </si>
  <si>
    <t>8F00250826190010</t>
  </si>
  <si>
    <t>8F00250826190011</t>
  </si>
  <si>
    <t>8F00250826190012</t>
  </si>
  <si>
    <t>8F00250826190013</t>
  </si>
  <si>
    <t>8F00250826190014</t>
  </si>
  <si>
    <t>8F00250826190015</t>
  </si>
  <si>
    <t>8F00250826190016</t>
  </si>
  <si>
    <t>8F00250826190017</t>
  </si>
  <si>
    <t>8F00250826190018</t>
  </si>
  <si>
    <t>8F00250826190019</t>
  </si>
  <si>
    <t>8F00250826190020</t>
  </si>
  <si>
    <t>8F00250826190021</t>
  </si>
  <si>
    <t>8F00250826190022</t>
  </si>
  <si>
    <t>8F00250826190023</t>
  </si>
  <si>
    <t>8F00250826190024</t>
  </si>
  <si>
    <t>8F00250826190025</t>
  </si>
  <si>
    <t>8F00250826230001</t>
  </si>
  <si>
    <t>8F00250826230002</t>
  </si>
  <si>
    <t>8F00250826230003</t>
  </si>
  <si>
    <t>8F00250826230004</t>
  </si>
  <si>
    <t>8F00250826230005</t>
  </si>
  <si>
    <t>8F00250826230006</t>
  </si>
  <si>
    <t>8F00250826230007</t>
  </si>
  <si>
    <t>8F00250826230008</t>
  </si>
  <si>
    <t>8F00250826230009</t>
  </si>
  <si>
    <t>8F00250826230010</t>
  </si>
  <si>
    <t>8F00250826230011</t>
  </si>
  <si>
    <t>8F00250826230012</t>
  </si>
  <si>
    <t>8F00250826230013</t>
  </si>
  <si>
    <t>8F00250826230014</t>
  </si>
  <si>
    <t>8F00250826230015</t>
  </si>
  <si>
    <t>8F00250826230016</t>
  </si>
  <si>
    <t>8F00250826230017</t>
  </si>
  <si>
    <t>8F00250826230018</t>
  </si>
  <si>
    <t>8F00250826230019</t>
  </si>
  <si>
    <t>8F00250826230020</t>
  </si>
  <si>
    <t>8F00250826240001</t>
  </si>
  <si>
    <t>8F00250826240002</t>
  </si>
  <si>
    <t>8F00250826240003</t>
  </si>
  <si>
    <t>8F00250826240004</t>
  </si>
  <si>
    <t>8F00250826240005</t>
  </si>
  <si>
    <t>8F00250826240006</t>
  </si>
  <si>
    <t>8F00250826240007</t>
  </si>
  <si>
    <t>8F00250826240008</t>
  </si>
  <si>
    <t>8F00250826240009</t>
  </si>
  <si>
    <t>8F00250826240010</t>
  </si>
  <si>
    <t>8F00250826240011</t>
  </si>
  <si>
    <t>8F00250826240012</t>
  </si>
  <si>
    <t>8F00250826240013</t>
  </si>
  <si>
    <t>8F00250826240014</t>
  </si>
  <si>
    <t>8F00250826240015</t>
  </si>
  <si>
    <t>8F00250915740001</t>
  </si>
  <si>
    <t>LOTE 25</t>
  </si>
  <si>
    <t>8F00250915740002</t>
  </si>
  <si>
    <t>8F00250915740003</t>
  </si>
  <si>
    <t>8F00250915740004</t>
  </si>
  <si>
    <t>8F00250915740005</t>
  </si>
  <si>
    <t>8F00250915740006</t>
  </si>
  <si>
    <t>8F00250915740007</t>
  </si>
  <si>
    <t>8F00250915740008</t>
  </si>
  <si>
    <t>8F00250915740009</t>
  </si>
  <si>
    <t>8F00250915740010</t>
  </si>
  <si>
    <t>8F00250915740011</t>
  </si>
  <si>
    <t>8F00250915740012</t>
  </si>
  <si>
    <t>8F00250915740013</t>
  </si>
  <si>
    <t>8F00250915740014</t>
  </si>
  <si>
    <t>8F00250915740015</t>
  </si>
  <si>
    <t>8F00250915740016</t>
  </si>
  <si>
    <t>8F00250915740017</t>
  </si>
  <si>
    <t>8F00250915740018</t>
  </si>
  <si>
    <t>8F00250915740019</t>
  </si>
  <si>
    <t>8F00250915740020</t>
  </si>
  <si>
    <t>8F00250915860001</t>
  </si>
  <si>
    <t>8F00250915860002</t>
  </si>
  <si>
    <t>8F00250915860003</t>
  </si>
  <si>
    <t>8F00250915860004</t>
  </si>
  <si>
    <t>8F00250915860005</t>
  </si>
  <si>
    <t>8F00250915860006</t>
  </si>
  <si>
    <t>8F00250915860007</t>
  </si>
  <si>
    <t>8F00250915860008</t>
  </si>
  <si>
    <t>8F00250915860009</t>
  </si>
  <si>
    <t>8F00250915860010</t>
  </si>
  <si>
    <t>8F00250915860011</t>
  </si>
  <si>
    <t>8F00250915860012</t>
  </si>
  <si>
    <t>8F00250915860013</t>
  </si>
  <si>
    <t>8F00250915860014</t>
  </si>
  <si>
    <t>8F00250915860015</t>
  </si>
  <si>
    <t>8F00250915860016</t>
  </si>
  <si>
    <t>8F00250915860017</t>
  </si>
  <si>
    <t>8F00250915860018</t>
  </si>
  <si>
    <t>8F00250915860019</t>
  </si>
  <si>
    <t>8F00250915860020</t>
  </si>
  <si>
    <t>8F00250915860021</t>
  </si>
  <si>
    <t>8F00250915860022</t>
  </si>
  <si>
    <t>8F00250915860023</t>
  </si>
  <si>
    <t>8F00250915860024</t>
  </si>
  <si>
    <t>8F00250915860025</t>
  </si>
  <si>
    <t>8F00250915860026</t>
  </si>
  <si>
    <t>8F00250915860027</t>
  </si>
  <si>
    <t>8F00250915860028</t>
  </si>
  <si>
    <t>8F00250915860029</t>
  </si>
  <si>
    <t>8F00250915860030</t>
  </si>
  <si>
    <t>8F00250915860031</t>
  </si>
  <si>
    <t>8F00250915860032</t>
  </si>
  <si>
    <t>8F00250915860033</t>
  </si>
  <si>
    <t>8F00250915860034</t>
  </si>
  <si>
    <t>8F00250915860035</t>
  </si>
  <si>
    <t>8F00250915860036</t>
  </si>
  <si>
    <t>8F00250915860037</t>
  </si>
  <si>
    <t>8F00250915860038</t>
  </si>
  <si>
    <t>8F00250915860039</t>
  </si>
  <si>
    <t>8F00250915860040</t>
  </si>
  <si>
    <t>8F00250915860041</t>
  </si>
  <si>
    <t>8F00250915860042</t>
  </si>
  <si>
    <t>8F00250915860043</t>
  </si>
  <si>
    <t>8F00250915860044</t>
  </si>
  <si>
    <t>8F00250915880001</t>
  </si>
  <si>
    <t>8F00250915880002</t>
  </si>
  <si>
    <t>8F00250915880003</t>
  </si>
  <si>
    <t>8F00250915880004</t>
  </si>
  <si>
    <t>8F00250915880005</t>
  </si>
  <si>
    <t>8F00250915880006</t>
  </si>
  <si>
    <t>8F00250915880007</t>
  </si>
  <si>
    <t>8F00250915880008</t>
  </si>
  <si>
    <t>8F00250915880009</t>
  </si>
  <si>
    <t>8F00250915880010</t>
  </si>
  <si>
    <t>8F00250915880011</t>
  </si>
  <si>
    <t>8F00250915880012</t>
  </si>
  <si>
    <t>8F00250915880013</t>
  </si>
  <si>
    <t>8F00250915880014</t>
  </si>
  <si>
    <t>8F00250915880015</t>
  </si>
  <si>
    <t>8F00250915880016</t>
  </si>
  <si>
    <t>8F00250915880017</t>
  </si>
  <si>
    <t>8F00250915880018</t>
  </si>
  <si>
    <t>8F00250915880019</t>
  </si>
  <si>
    <t>8F00250915880020</t>
  </si>
  <si>
    <t>8F00250915880021</t>
  </si>
  <si>
    <t>8F00250915880022</t>
  </si>
  <si>
    <t>8F00250915880023</t>
  </si>
  <si>
    <t>8F00250915880024</t>
  </si>
  <si>
    <t>8F00250915880025</t>
  </si>
  <si>
    <t>8F00250915880026</t>
  </si>
  <si>
    <t>8F00250915880027</t>
  </si>
  <si>
    <t>8F00250915880028</t>
  </si>
  <si>
    <t>8F00250915880029</t>
  </si>
  <si>
    <t>8F00250915880030</t>
  </si>
  <si>
    <t>8F00250915880031</t>
  </si>
  <si>
    <t>8F00250915880032</t>
  </si>
  <si>
    <t>8F00250915880033</t>
  </si>
  <si>
    <t>8F00250915880034</t>
  </si>
  <si>
    <t>8F00250915880035</t>
  </si>
  <si>
    <t>8F00250915880036</t>
  </si>
  <si>
    <t>8F00250915880037</t>
  </si>
  <si>
    <t>8F00250915880038</t>
  </si>
  <si>
    <t>8F00250915500001</t>
  </si>
  <si>
    <t>8F00250915500002</t>
  </si>
  <si>
    <t>8F00250915500003</t>
  </si>
  <si>
    <t>8F00250915500004</t>
  </si>
  <si>
    <t>8F00250915500005</t>
  </si>
  <si>
    <t>8F00250915500006</t>
  </si>
  <si>
    <t>8F00250915500007</t>
  </si>
  <si>
    <t>8F00250915500008</t>
  </si>
  <si>
    <t>8F00250915500009</t>
  </si>
  <si>
    <t>8F00250915500010</t>
  </si>
  <si>
    <t>8F00250915590001</t>
  </si>
  <si>
    <t>8F00250915590002</t>
  </si>
  <si>
    <t>8F00250915590003</t>
  </si>
  <si>
    <t>8F00250915590004</t>
  </si>
  <si>
    <t>8F00250915590005</t>
  </si>
  <si>
    <t>8F00250915590006</t>
  </si>
  <si>
    <t>8F00250915590007</t>
  </si>
  <si>
    <t>8F00250915590008</t>
  </si>
  <si>
    <t>8F00250915590009</t>
  </si>
  <si>
    <t>8F00250915590010</t>
  </si>
  <si>
    <t>8F00250915590011</t>
  </si>
  <si>
    <t>8F00250915590012</t>
  </si>
  <si>
    <t>8F00250915850001</t>
  </si>
  <si>
    <t>8F00250915850002</t>
  </si>
  <si>
    <t>8F00250915850003</t>
  </si>
  <si>
    <t>8F00250915850004</t>
  </si>
  <si>
    <t>8F00250915850005</t>
  </si>
  <si>
    <t>8F00250915850006</t>
  </si>
  <si>
    <t>8F00250915850007</t>
  </si>
  <si>
    <t>8F00250915850008</t>
  </si>
  <si>
    <t>8F00250915850009</t>
  </si>
  <si>
    <t>8F00250915850010</t>
  </si>
  <si>
    <t>8F00250915850011</t>
  </si>
  <si>
    <t>8F00250915850012</t>
  </si>
  <si>
    <t>8F00250915850013</t>
  </si>
  <si>
    <t>8F00250915850014</t>
  </si>
  <si>
    <t>8F00250915850015</t>
  </si>
  <si>
    <t>8F00250915850016</t>
  </si>
  <si>
    <t>8F00250915850017</t>
  </si>
  <si>
    <t>8F00250915850018</t>
  </si>
  <si>
    <t>8F00250915850019</t>
  </si>
  <si>
    <t>8F00250915850020</t>
  </si>
  <si>
    <t>8F00250915850021</t>
  </si>
  <si>
    <t>8F00250915850022</t>
  </si>
  <si>
    <t>8F00250915850023</t>
  </si>
  <si>
    <t>8F00250915850024</t>
  </si>
  <si>
    <t>8F00250915850025</t>
  </si>
  <si>
    <t>8F00250915850026</t>
  </si>
  <si>
    <t>8F00250915850027</t>
  </si>
  <si>
    <t>8F00250915850028</t>
  </si>
  <si>
    <t>8F00250915850029</t>
  </si>
  <si>
    <t>8F00250915850030</t>
  </si>
  <si>
    <t>8F00250915850031</t>
  </si>
  <si>
    <t>8F00250915850032</t>
  </si>
  <si>
    <t>8F00250915620001</t>
  </si>
  <si>
    <t>8F00250915620002</t>
  </si>
  <si>
    <t>8F00250915620003</t>
  </si>
  <si>
    <t>8F00250915620004</t>
  </si>
  <si>
    <t>8F00250915620005</t>
  </si>
  <si>
    <t>8F00250915620006</t>
  </si>
  <si>
    <t>8F00250915620007</t>
  </si>
  <si>
    <t>8F00250915620008</t>
  </si>
  <si>
    <t>8F00250915620009</t>
  </si>
  <si>
    <t>8F00250915620010</t>
  </si>
  <si>
    <t>8F00250915630001</t>
  </si>
  <si>
    <t>8F00250915630002</t>
  </si>
  <si>
    <t>8F00250915630003</t>
  </si>
  <si>
    <t>8F00250915630004</t>
  </si>
  <si>
    <t>8F00250915630005</t>
  </si>
  <si>
    <t>8F00250915630006</t>
  </si>
  <si>
    <t>8F00250915630007</t>
  </si>
  <si>
    <t>8F00250915630008</t>
  </si>
  <si>
    <t>8F00250915630009</t>
  </si>
  <si>
    <t>8F00250915630010</t>
  </si>
  <si>
    <t>8F00250915630011</t>
  </si>
  <si>
    <t>8F00250915630012</t>
  </si>
  <si>
    <t>8F00250915630013</t>
  </si>
  <si>
    <t>8F00250915630014</t>
  </si>
  <si>
    <t>8F00250915630015</t>
  </si>
  <si>
    <t>8F00250915630016</t>
  </si>
  <si>
    <t>8F00250915630017</t>
  </si>
  <si>
    <t>8F00250915630018</t>
  </si>
  <si>
    <t>8F00251004110001</t>
  </si>
  <si>
    <t>LOTE 26</t>
  </si>
  <si>
    <t>8F00251004110002</t>
  </si>
  <si>
    <t>8F00251004110003</t>
  </si>
  <si>
    <t>8F00251004110004</t>
  </si>
  <si>
    <t>8F00251004110005</t>
  </si>
  <si>
    <t>8F00251004110006</t>
  </si>
  <si>
    <t>8F00251004110007</t>
  </si>
  <si>
    <t>8F00251004110008</t>
  </si>
  <si>
    <t>8F00251004110009</t>
  </si>
  <si>
    <t>8F00251004110010</t>
  </si>
  <si>
    <t>8F00251004110011</t>
  </si>
  <si>
    <t>8F00251004110012</t>
  </si>
  <si>
    <t>8F00251004110013</t>
  </si>
  <si>
    <t>8F00251004110014</t>
  </si>
  <si>
    <t>8F00251004110015</t>
  </si>
  <si>
    <t>8F00251004110016</t>
  </si>
  <si>
    <t>8F00251004110017</t>
  </si>
  <si>
    <t>8F00251004110018</t>
  </si>
  <si>
    <t>8F00251004110019</t>
  </si>
  <si>
    <t>8F00251004110020</t>
  </si>
  <si>
    <t>8F00251004110021</t>
  </si>
  <si>
    <t>8F00251004110022</t>
  </si>
  <si>
    <t>8F00251004110023</t>
  </si>
  <si>
    <t>8F00251004110024</t>
  </si>
  <si>
    <t>8F00251004110025</t>
  </si>
  <si>
    <t>8F00251004110026</t>
  </si>
  <si>
    <t>8F00251004110027</t>
  </si>
  <si>
    <t>8F00251004110028</t>
  </si>
  <si>
    <t>8F00251004110029</t>
  </si>
  <si>
    <t>8F00251004110030</t>
  </si>
  <si>
    <t>8F00251004110031</t>
  </si>
  <si>
    <t>8F00251004110032</t>
  </si>
  <si>
    <t>8F00251004110033</t>
  </si>
  <si>
    <t>8F00251004110034</t>
  </si>
  <si>
    <t>8F00251004110035</t>
  </si>
  <si>
    <t>8F00251004110036</t>
  </si>
  <si>
    <t>8F00251004110037</t>
  </si>
  <si>
    <t>8F00251004110038</t>
  </si>
  <si>
    <t>8F00251004110039</t>
  </si>
  <si>
    <t>8F00251004110040</t>
  </si>
  <si>
    <t>8F00251004110041</t>
  </si>
  <si>
    <t>8F00251004110042</t>
  </si>
  <si>
    <t>8F00251004110043</t>
  </si>
  <si>
    <t>8F00251004110044</t>
  </si>
  <si>
    <t>8F00251004110045</t>
  </si>
  <si>
    <t>8F00251004110046</t>
  </si>
  <si>
    <t>8F00251004110047</t>
  </si>
  <si>
    <t>8F00251004110048</t>
  </si>
  <si>
    <t>8F00251004110049</t>
  </si>
  <si>
    <t>8F00251004110050</t>
  </si>
  <si>
    <t>8F00251004110051</t>
  </si>
  <si>
    <t>8F00251004110052</t>
  </si>
  <si>
    <t>8F00251004110053</t>
  </si>
  <si>
    <t>8F00251004110054</t>
  </si>
  <si>
    <t>8F00251004110055</t>
  </si>
  <si>
    <t>8F00251004110056</t>
  </si>
  <si>
    <t>8F00251004110057</t>
  </si>
  <si>
    <t>8F00251004110058</t>
  </si>
  <si>
    <t>8F00251004110059</t>
  </si>
  <si>
    <t>8F00251004110060</t>
  </si>
  <si>
    <t>8F00251004110061</t>
  </si>
  <si>
    <t>8F00251004110062</t>
  </si>
  <si>
    <t>8F00251004110063</t>
  </si>
  <si>
    <t>8F00251004110064</t>
  </si>
  <si>
    <t>8F00251004110065</t>
  </si>
  <si>
    <t>8F00251004110066</t>
  </si>
  <si>
    <t>8F00251004110067</t>
  </si>
  <si>
    <t>8F00251004110068</t>
  </si>
  <si>
    <t>8F00251004110069</t>
  </si>
  <si>
    <t>8F00251004110070</t>
  </si>
  <si>
    <t>8F00251004110071</t>
  </si>
  <si>
    <t>8F00251004110072</t>
  </si>
  <si>
    <t>8F00251004110073</t>
  </si>
  <si>
    <t>8F00251004110074</t>
  </si>
  <si>
    <t>8F00251004110075</t>
  </si>
  <si>
    <t>8F00251004110076</t>
  </si>
  <si>
    <t>8F00251004110077</t>
  </si>
  <si>
    <t>8F00251004110078</t>
  </si>
  <si>
    <t>8F00251004110079</t>
  </si>
  <si>
    <t>8F00251004110080</t>
  </si>
  <si>
    <t>8F00251004110081</t>
  </si>
  <si>
    <t>8F00251004110082</t>
  </si>
  <si>
    <t>8F00251004110083</t>
  </si>
  <si>
    <t>8F00251004110084</t>
  </si>
  <si>
    <t>8F00251004110085</t>
  </si>
  <si>
    <t>8F00251004110086</t>
  </si>
  <si>
    <t>8F00251004110087</t>
  </si>
  <si>
    <t>8F00251004110088</t>
  </si>
  <si>
    <t>8F00251004110089</t>
  </si>
  <si>
    <t>8F00251004110090</t>
  </si>
  <si>
    <t>8F00251004110091</t>
  </si>
  <si>
    <t>8F00251004110092</t>
  </si>
  <si>
    <t>8F00251004110093</t>
  </si>
  <si>
    <t>8F00251004110094</t>
  </si>
  <si>
    <t>8F00251004110095</t>
  </si>
  <si>
    <t>8F00251004110096</t>
  </si>
  <si>
    <t>8F00251004110097</t>
  </si>
  <si>
    <t>8F00251004110098</t>
  </si>
  <si>
    <t>8F00251004110099</t>
  </si>
  <si>
    <t>8F00251004110100</t>
  </si>
  <si>
    <t>8F00251004260001</t>
  </si>
  <si>
    <t>8F00251004260002</t>
  </si>
  <si>
    <t>8F00251004260003</t>
  </si>
  <si>
    <t>8F00251004260004</t>
  </si>
  <si>
    <t>8F00251004260005</t>
  </si>
  <si>
    <t>8F00251004260006</t>
  </si>
  <si>
    <t>8F00251004260007</t>
  </si>
  <si>
    <t>8F00251004260008</t>
  </si>
  <si>
    <t>8F00251004260009</t>
  </si>
  <si>
    <t>8F00251004260010</t>
  </si>
  <si>
    <t>8F00251004260011</t>
  </si>
  <si>
    <t>8F00251004260012</t>
  </si>
  <si>
    <t>8F00251004260013</t>
  </si>
  <si>
    <t>8F00251004260014</t>
  </si>
  <si>
    <t>8F00251004260015</t>
  </si>
  <si>
    <t>8F00251004260016</t>
  </si>
  <si>
    <t>8F00251004260017</t>
  </si>
  <si>
    <t>8F00251004260018</t>
  </si>
  <si>
    <t>8F00251004260019</t>
  </si>
  <si>
    <t>8F00251004260020</t>
  </si>
  <si>
    <t>8F00251004260021</t>
  </si>
  <si>
    <t>8F00251004260022</t>
  </si>
  <si>
    <t>8F00251004260023</t>
  </si>
  <si>
    <t>8F00251004260024</t>
  </si>
  <si>
    <t>8F00251004260025</t>
  </si>
  <si>
    <t>8F00251004260026</t>
  </si>
  <si>
    <t>8F00251004260027</t>
  </si>
  <si>
    <t>8F00251004260028</t>
  </si>
  <si>
    <t>8F00251004260029</t>
  </si>
  <si>
    <t>8F00251004260030</t>
  </si>
  <si>
    <t>8F00251004260031</t>
  </si>
  <si>
    <t>8F00251004260032</t>
  </si>
  <si>
    <t>8F00251004260033</t>
  </si>
  <si>
    <t>8F00251004260034</t>
  </si>
  <si>
    <t>8F00251004260035</t>
  </si>
  <si>
    <t>8F00251004260036</t>
  </si>
  <si>
    <t>8F00251004260037</t>
  </si>
  <si>
    <t>8F00251004260038</t>
  </si>
  <si>
    <t>8F00251004270001</t>
  </si>
  <si>
    <t>8F00251004270002</t>
  </si>
  <si>
    <t>8F00251004270003</t>
  </si>
  <si>
    <t>8F00251004270004</t>
  </si>
  <si>
    <t>8F00251004270005</t>
  </si>
  <si>
    <t>8F00251004270006</t>
  </si>
  <si>
    <t>8F00251004270007</t>
  </si>
  <si>
    <t>8F00251004270008</t>
  </si>
  <si>
    <t>8F00251004270009</t>
  </si>
  <si>
    <t>8F00251004270010</t>
  </si>
  <si>
    <t>8F00251004270011</t>
  </si>
  <si>
    <t>8F00251004270012</t>
  </si>
  <si>
    <t>8F00251004270013</t>
  </si>
  <si>
    <t>8F00251004270014</t>
  </si>
  <si>
    <t>8F00251004270015</t>
  </si>
  <si>
    <t>8F00251004270016</t>
  </si>
  <si>
    <t>8F00251004270017</t>
  </si>
  <si>
    <t>8F00251004270018</t>
  </si>
  <si>
    <t>8F00251004270019</t>
  </si>
  <si>
    <t>8F00251004270020</t>
  </si>
  <si>
    <t>8F00251004270021</t>
  </si>
  <si>
    <t>8F00251004270022</t>
  </si>
  <si>
    <t>8F00251004270023</t>
  </si>
  <si>
    <t>8F00251004270024</t>
  </si>
  <si>
    <t>8F00251004270025</t>
  </si>
  <si>
    <t>8F00251004270026</t>
  </si>
  <si>
    <t>8F00251004270027</t>
  </si>
  <si>
    <t>8F00251004280001</t>
  </si>
  <si>
    <t>8F00251004280002</t>
  </si>
  <si>
    <t>8F00251004280003</t>
  </si>
  <si>
    <t>8F00251004280004</t>
  </si>
  <si>
    <t>8F00251004280005</t>
  </si>
  <si>
    <t>8F00251004280006</t>
  </si>
  <si>
    <t>8F00251004280007</t>
  </si>
  <si>
    <t>8F00251004280008</t>
  </si>
  <si>
    <t>8F00251004280009</t>
  </si>
  <si>
    <t>8F00251004280010</t>
  </si>
  <si>
    <t>8F00251004280011</t>
  </si>
  <si>
    <t>8F00251004280012</t>
  </si>
  <si>
    <t>8F00251004280013</t>
  </si>
  <si>
    <t>8F00251004280014</t>
  </si>
  <si>
    <t>8F00251004280015</t>
  </si>
  <si>
    <t>8F00251004280016</t>
  </si>
  <si>
    <t>8F00251004280017</t>
  </si>
  <si>
    <t>8F00251004280018</t>
  </si>
  <si>
    <t>8F00251004280019</t>
  </si>
  <si>
    <t>8F00251004280020</t>
  </si>
  <si>
    <t>8F00251004280021</t>
  </si>
  <si>
    <t>8F00251004280022</t>
  </si>
  <si>
    <t>8F00251004280023</t>
  </si>
  <si>
    <t>8F00251004280024</t>
  </si>
  <si>
    <t>8F00251004280025</t>
  </si>
  <si>
    <t>8F00251004280026</t>
  </si>
  <si>
    <t>8F00251004280027</t>
  </si>
  <si>
    <t>8F00251004280028</t>
  </si>
  <si>
    <t>8F00251004280029</t>
  </si>
  <si>
    <t>8F00251004280030</t>
  </si>
  <si>
    <t>8F00251004280031</t>
  </si>
  <si>
    <t>8F00251004280032</t>
  </si>
  <si>
    <t>8F00251004280033</t>
  </si>
  <si>
    <t>8F00251004280034</t>
  </si>
  <si>
    <t>8F00251004280035</t>
  </si>
  <si>
    <t>8F00251004280036</t>
  </si>
  <si>
    <t>8F00251004280037</t>
  </si>
  <si>
    <t>8F00251004280038</t>
  </si>
  <si>
    <t>8F00251004290001</t>
  </si>
  <si>
    <t>8F00251004290002</t>
  </si>
  <si>
    <t>8F00251004290003</t>
  </si>
  <si>
    <t>8F00251004290004</t>
  </si>
  <si>
    <t>8F00251004290005</t>
  </si>
  <si>
    <t>8F00251004290006</t>
  </si>
  <si>
    <t>8F00251004290007</t>
  </si>
  <si>
    <t>8F00251004290008</t>
  </si>
  <si>
    <t>8F00251004290009</t>
  </si>
  <si>
    <t>8F00251004290010</t>
  </si>
  <si>
    <t>8F00251004300001</t>
  </si>
  <si>
    <t>8F00251004300002</t>
  </si>
  <si>
    <t>8F00251004300003</t>
  </si>
  <si>
    <t>8F00251004300004</t>
  </si>
  <si>
    <t>8F00251004300005</t>
  </si>
  <si>
    <t>8F00251004300006</t>
  </si>
  <si>
    <t>8F00251004300007</t>
  </si>
  <si>
    <t>8F00251004300008</t>
  </si>
  <si>
    <t>8F00251004300009</t>
  </si>
  <si>
    <t>8F00251004300010</t>
  </si>
  <si>
    <t>CÓDIGO</t>
  </si>
  <si>
    <t>QUANTIDADE</t>
  </si>
  <si>
    <t>DATA CHEGADA PORTO</t>
  </si>
  <si>
    <t>situação glide</t>
  </si>
  <si>
    <t>COR</t>
  </si>
  <si>
    <t>DESCRIÇÃO</t>
  </si>
  <si>
    <t>MODELOS</t>
  </si>
  <si>
    <t>CINZA</t>
  </si>
  <si>
    <t>SEM COMISSÃO</t>
  </si>
  <si>
    <t>001</t>
  </si>
  <si>
    <t>BOLETO 30/60/90</t>
  </si>
  <si>
    <t>IMPORTADA WIFI</t>
  </si>
  <si>
    <t>LARANJA</t>
  </si>
  <si>
    <t>SEM DADOS</t>
  </si>
  <si>
    <t>A VISTA ANTECIPADO</t>
  </si>
  <si>
    <t>AMARELO</t>
  </si>
  <si>
    <t>FROMTHERM</t>
  </si>
  <si>
    <t>003</t>
  </si>
  <si>
    <t>ENT + BOL 8X</t>
  </si>
  <si>
    <t>AZUL</t>
  </si>
  <si>
    <t>ALEXANDRE</t>
  </si>
  <si>
    <t>004</t>
  </si>
  <si>
    <t>BOLETO 30</t>
  </si>
  <si>
    <t>DISKTENHA</t>
  </si>
  <si>
    <t>PRÉ-EMBALAGEM</t>
  </si>
  <si>
    <t>ROXO CLARO</t>
  </si>
  <si>
    <t>ANDERSON</t>
  </si>
  <si>
    <t>005</t>
  </si>
  <si>
    <t>NAO UTILIZAR2</t>
  </si>
  <si>
    <t>VERDE</t>
  </si>
  <si>
    <t>CLAUDIO</t>
  </si>
  <si>
    <t>006</t>
  </si>
  <si>
    <t>BOL30/60/90/120 C/ AUTORIZAÇA</t>
  </si>
  <si>
    <t>BRANCO</t>
  </si>
  <si>
    <t>CRISTIANO</t>
  </si>
  <si>
    <t>007</t>
  </si>
  <si>
    <t>BOLETO 15/30/45/60/75/90</t>
  </si>
  <si>
    <t>EXPRESSO M LOG</t>
  </si>
  <si>
    <t>VERMELHO NEGRITO</t>
  </si>
  <si>
    <t>008</t>
  </si>
  <si>
    <t>BOLETO 30/45/60/75/90</t>
  </si>
  <si>
    <t>ROXO</t>
  </si>
  <si>
    <t>FERNANDO</t>
  </si>
  <si>
    <t>009</t>
  </si>
  <si>
    <t>ENTRADA30/60/90</t>
  </si>
  <si>
    <t>TEXTO VERMELHO SUB</t>
  </si>
  <si>
    <t>JUCELINO</t>
  </si>
  <si>
    <t>010</t>
  </si>
  <si>
    <t>BOLETO 30/45/60</t>
  </si>
  <si>
    <t>TEXTO ROXO SUB</t>
  </si>
  <si>
    <t>LEONARDO</t>
  </si>
  <si>
    <t>011</t>
  </si>
  <si>
    <t>NAO UTILIZAR3</t>
  </si>
  <si>
    <t>EM ABERTO IGUI</t>
  </si>
  <si>
    <t>LARANJA NEGRITO</t>
  </si>
  <si>
    <t>LUIZ BUENO</t>
  </si>
  <si>
    <t>012</t>
  </si>
  <si>
    <t>BOLETO 30/45</t>
  </si>
  <si>
    <t>LUIZ CLAUDIO</t>
  </si>
  <si>
    <t>013</t>
  </si>
  <si>
    <t>RETORNO DE CONSERTO</t>
  </si>
  <si>
    <t>MARCELO DIAS</t>
  </si>
  <si>
    <t>014</t>
  </si>
  <si>
    <t>NAO UTILIZAR4</t>
  </si>
  <si>
    <t>VIA VERDE</t>
  </si>
  <si>
    <t>OUTROS</t>
  </si>
  <si>
    <t>MARCO TÚLIO</t>
  </si>
  <si>
    <t>015</t>
  </si>
  <si>
    <t>NAO UTILIZAR5</t>
  </si>
  <si>
    <t>CONSIGNADO FINALIZADO</t>
  </si>
  <si>
    <t>MARCUS</t>
  </si>
  <si>
    <t>016</t>
  </si>
  <si>
    <t>BOLETO 15/45/75</t>
  </si>
  <si>
    <t>RESERVA IMPORTADA</t>
  </si>
  <si>
    <t>ORSO</t>
  </si>
  <si>
    <t>017</t>
  </si>
  <si>
    <t>BOLETO 10 DIAS</t>
  </si>
  <si>
    <t>BRAUM</t>
  </si>
  <si>
    <t>EXP PETROLINA/TRANSP. ROD WILSON</t>
  </si>
  <si>
    <t>018</t>
  </si>
  <si>
    <t>BOLETO 28/56/84/112</t>
  </si>
  <si>
    <t>PEDID BLOQUEADO</t>
  </si>
  <si>
    <t>RENATO/BUENO</t>
  </si>
  <si>
    <t>019</t>
  </si>
  <si>
    <t>90D CARENCIA PARA TESTE 5X</t>
  </si>
  <si>
    <t>09.MC.N.10930 - SACOLA FT</t>
  </si>
  <si>
    <t>BRINDE</t>
  </si>
  <si>
    <t>L FILHOS</t>
  </si>
  <si>
    <t>RICARDO</t>
  </si>
  <si>
    <t>020</t>
  </si>
  <si>
    <t>SEM PAGAMENTO</t>
  </si>
  <si>
    <t>BOMBA DE AGUA</t>
  </si>
  <si>
    <t>ROBERTO</t>
  </si>
  <si>
    <t>021</t>
  </si>
  <si>
    <t>ENTRADA 20% + 5X BOLETO</t>
  </si>
  <si>
    <t>A DEFINIR</t>
  </si>
  <si>
    <t>ROBSON</t>
  </si>
  <si>
    <t>022</t>
  </si>
  <si>
    <t>20% ENTRADA + 5X</t>
  </si>
  <si>
    <t>MOCKUP-FTi25 - CARCAÇA</t>
  </si>
  <si>
    <t>JADIMO TRANSPORTES</t>
  </si>
  <si>
    <t>SADI</t>
  </si>
  <si>
    <t>ANTECIPADO COM RA</t>
  </si>
  <si>
    <t>SUBSTITUI BASE DE FERRO</t>
  </si>
  <si>
    <t>BOLETO 28 DIAS</t>
  </si>
  <si>
    <t>03.MP.N.50010 - BASE DE ABS FTI 105/125 POLIETILENO PRETO</t>
  </si>
  <si>
    <t>TRANSPORTADORA FABRIS</t>
  </si>
  <si>
    <t>THIAGO</t>
  </si>
  <si>
    <t>ENTRADA 30% 30DIAS</t>
  </si>
  <si>
    <t>09.MC.N.31511 - CATALOGO FT V4</t>
  </si>
  <si>
    <t>RETIRA C/ CAIXA</t>
  </si>
  <si>
    <t>WANDERLEI</t>
  </si>
  <si>
    <t>PARC MANUAL %</t>
  </si>
  <si>
    <t>09.MC.N.10907 - TOALHA DE BANHO</t>
  </si>
  <si>
    <t>MARIO</t>
  </si>
  <si>
    <t>BOLETO 14DIAS</t>
  </si>
  <si>
    <t>09.MC.N.10925 - MOUSEPAD FT</t>
  </si>
  <si>
    <t>TRANS WELL</t>
  </si>
  <si>
    <t>ANDRE MELO</t>
  </si>
  <si>
    <t>BOLETO 07 DIAS</t>
  </si>
  <si>
    <t>09.MC.N.10926 - CANETA FT</t>
  </si>
  <si>
    <t>VENC DIA 15</t>
  </si>
  <si>
    <t>09.MC.N.31530 - WINDBANNER FT</t>
  </si>
  <si>
    <t>BOLETO 60/90/120 C AUTORIZAÇAO</t>
  </si>
  <si>
    <t>09.MC.N.31531 - BANNER FH</t>
  </si>
  <si>
    <t>CHEQUES</t>
  </si>
  <si>
    <t>09.MC.N.31532 - BANNER FTi</t>
  </si>
  <si>
    <t>EXPRESSO RAQUEL LTDA</t>
  </si>
  <si>
    <t>4X VENC DIA 30</t>
  </si>
  <si>
    <t>AMOSTRA FH40</t>
  </si>
  <si>
    <t>BOLETO 15/30/45/60/75</t>
  </si>
  <si>
    <t>AMOSTRA FT20</t>
  </si>
  <si>
    <t>BOLETO 14,28,42,56</t>
  </si>
  <si>
    <t>AMOSTRA FT25/40</t>
  </si>
  <si>
    <t>BOLETO 30/45/60/75</t>
  </si>
  <si>
    <t>AMOSTRA FT50</t>
  </si>
  <si>
    <t>BOLETO 30/60</t>
  </si>
  <si>
    <t>BANDEJA DO DRENO</t>
  </si>
  <si>
    <t>BOLETO 45</t>
  </si>
  <si>
    <t>BOLETO 21D</t>
  </si>
  <si>
    <t>ENTRADA + 30/60</t>
  </si>
  <si>
    <t>CONDIÇ ESPECIAL C/ AUTORIZAÇAO</t>
  </si>
  <si>
    <t>FH100B45T</t>
  </si>
  <si>
    <t>ENTRADA RA/30,60,90</t>
  </si>
  <si>
    <t>FH100D45T</t>
  </si>
  <si>
    <t>MANUAL VALOR R$</t>
  </si>
  <si>
    <t>FH100D60T</t>
  </si>
  <si>
    <t>COND C/ AUTOR ATE 98DIAS</t>
  </si>
  <si>
    <t>ENTRADA+60,90</t>
  </si>
  <si>
    <t>COM AUTORIZAÇAO 7X</t>
  </si>
  <si>
    <t>FH100H45T</t>
  </si>
  <si>
    <t>COM AUTORIZAÇAO 45/60/75</t>
  </si>
  <si>
    <t>BOLETO ANTECIPADO</t>
  </si>
  <si>
    <t>BOLETO 28/56/84</t>
  </si>
  <si>
    <t>ENTRADA 25% BOL 15,45,75</t>
  </si>
  <si>
    <t>ENTRADA + BOLETO 30D</t>
  </si>
  <si>
    <t>FH100L45T</t>
  </si>
  <si>
    <t>BOLETO 120D COM AUTORIZACAO</t>
  </si>
  <si>
    <t>COM AUTORIZAÇÃO</t>
  </si>
  <si>
    <t>FH160F45</t>
  </si>
  <si>
    <t>30,45,60,75,90,105,120</t>
  </si>
  <si>
    <t>FH160F45T</t>
  </si>
  <si>
    <t>BOLETO 14 DIAS</t>
  </si>
  <si>
    <t>APENAS COM AUTORIZAÇÃO</t>
  </si>
  <si>
    <t xml:space="preserve">ACEVILLE </t>
  </si>
  <si>
    <t>15,30,60,90,120 C/ AAUTORIZAÇÃ</t>
  </si>
  <si>
    <t>A VISTA</t>
  </si>
  <si>
    <t>FH160H45T</t>
  </si>
  <si>
    <t>30,60,90,120,150 C/AUTORIZAÇÃO</t>
  </si>
  <si>
    <t>EXPRESSO SANTA LUZIA</t>
  </si>
  <si>
    <t>ENTRADA + 30/60/90/120</t>
  </si>
  <si>
    <t>15/30/45/60/75/90/105/120</t>
  </si>
  <si>
    <t>FH160L45T</t>
  </si>
  <si>
    <t>FH240F45</t>
  </si>
  <si>
    <t>FH240F45T</t>
  </si>
  <si>
    <t>FH240H45T</t>
  </si>
  <si>
    <t>FH240H60T</t>
  </si>
  <si>
    <t>FH240J45</t>
  </si>
  <si>
    <t>FH240J45T</t>
  </si>
  <si>
    <t>FH240L45T</t>
  </si>
  <si>
    <t>FH40B45T</t>
  </si>
  <si>
    <t>FH40D45T</t>
  </si>
  <si>
    <t>FH50D60T</t>
  </si>
  <si>
    <t>FH80B45T</t>
  </si>
  <si>
    <t>FH80D45T</t>
  </si>
  <si>
    <t>FH80H45T</t>
  </si>
  <si>
    <t>FH80J60</t>
  </si>
  <si>
    <t>FH80L45T</t>
  </si>
  <si>
    <t>FH80L60</t>
  </si>
  <si>
    <t>FT100B35</t>
  </si>
  <si>
    <t>FT100H45T</t>
  </si>
  <si>
    <t>FT100L35T</t>
  </si>
  <si>
    <t>FT160H35W</t>
  </si>
  <si>
    <t>FT180J35W</t>
  </si>
  <si>
    <t>FT240F35W</t>
  </si>
  <si>
    <t>FT240H35W</t>
  </si>
  <si>
    <t>FT240L35W</t>
  </si>
  <si>
    <t>FT240M40T</t>
  </si>
  <si>
    <t>FT240N40T</t>
  </si>
  <si>
    <t>FT25D35T</t>
  </si>
  <si>
    <t>FT80D35W</t>
  </si>
  <si>
    <t>CWLOG TRANSPORTES</t>
  </si>
  <si>
    <t>SP MINAS</t>
  </si>
  <si>
    <t>PICCOLI TRANSPORTES</t>
  </si>
  <si>
    <t>Coluna 1</t>
  </si>
  <si>
    <t>Coluna 2</t>
  </si>
  <si>
    <t>Coluna 3</t>
  </si>
  <si>
    <t>Coluna 4</t>
  </si>
  <si>
    <t>Coluna 5</t>
  </si>
  <si>
    <t>Coluna 6</t>
  </si>
  <si>
    <t>Coluna 7</t>
  </si>
  <si>
    <t>Coluna 8</t>
  </si>
  <si>
    <t>Coluna 9</t>
  </si>
  <si>
    <t>Coluna 10</t>
  </si>
  <si>
    <t>Coluna 11</t>
  </si>
  <si>
    <t>17783-A</t>
  </si>
  <si>
    <t>17783-B</t>
  </si>
  <si>
    <t>17739-A</t>
  </si>
  <si>
    <t>17739-B</t>
  </si>
  <si>
    <t>17739-C</t>
  </si>
  <si>
    <t>17739-F</t>
  </si>
  <si>
    <t>17739-D</t>
  </si>
  <si>
    <t>17739-G</t>
  </si>
  <si>
    <t>17739-I</t>
  </si>
  <si>
    <t>17739-J</t>
  </si>
  <si>
    <t>17739-H</t>
  </si>
  <si>
    <t>17739-E</t>
  </si>
  <si>
    <t>HEATER SOLUCOES EM AQUECIMENTO</t>
  </si>
  <si>
    <t>17981-C</t>
  </si>
  <si>
    <t>17981-D</t>
  </si>
  <si>
    <t>17981-B</t>
  </si>
  <si>
    <t>17981-A</t>
  </si>
  <si>
    <t>CASE-FTi25</t>
  </si>
  <si>
    <t>18073-A</t>
  </si>
  <si>
    <t>18073-B</t>
  </si>
  <si>
    <t>18073-C</t>
  </si>
  <si>
    <t>18073-E</t>
  </si>
  <si>
    <t>18073-D</t>
  </si>
  <si>
    <t>18159-30</t>
  </si>
  <si>
    <t>18159-29</t>
  </si>
  <si>
    <t>18159-28</t>
  </si>
  <si>
    <t>18159-27</t>
  </si>
  <si>
    <t>18313-B</t>
  </si>
  <si>
    <t>18313-A</t>
  </si>
  <si>
    <t>18433-J</t>
  </si>
  <si>
    <t>18433-F</t>
  </si>
  <si>
    <t>18433-G</t>
  </si>
  <si>
    <t>18433-E</t>
  </si>
  <si>
    <t>18364-A</t>
  </si>
  <si>
    <t>18364-B</t>
  </si>
  <si>
    <t>18647-A</t>
  </si>
  <si>
    <t>18647-B</t>
  </si>
  <si>
    <t>18647-D</t>
  </si>
  <si>
    <t>18647-C</t>
  </si>
  <si>
    <t>Time</t>
  </si>
  <si>
    <t>Email</t>
  </si>
  <si>
    <t>Agreed</t>
  </si>
  <si>
    <t>2024-03-26T10:57:02.691Z</t>
  </si>
  <si>
    <t>2024-03-28T19:16:51.881Z</t>
  </si>
  <si>
    <t>jairevilasio@gmail.com</t>
  </si>
  <si>
    <t>2024-04-05T10:48:35.658Z</t>
  </si>
  <si>
    <t>2024-04-09T14:29:50.049Z</t>
  </si>
  <si>
    <t>2024-04-17T10:49:58.677Z</t>
  </si>
  <si>
    <t>2024-04-17T11:43:49.697Z</t>
  </si>
  <si>
    <t>2024-04-18T03:42:04.009Z</t>
  </si>
  <si>
    <t>2024-05-07T19:47:12.678Z</t>
  </si>
  <si>
    <t>2024-05-10T14:47:04.149Z</t>
  </si>
  <si>
    <t>2024-05-28T13:30:20.557Z</t>
  </si>
  <si>
    <t>compras.fromtherm@gmail.com</t>
  </si>
  <si>
    <t>2024-06-06T17:12:38.269Z</t>
  </si>
  <si>
    <t>2024-06-07T15:30:56.015Z</t>
  </si>
  <si>
    <t>2024-07-09T16:12:16.808Z</t>
  </si>
  <si>
    <t>2024-07-15T20:55:19.931Z</t>
  </si>
  <si>
    <t>2024-07-17T11:35:31.127Z</t>
  </si>
  <si>
    <t>2024-07-17T16:51:04.748Z</t>
  </si>
  <si>
    <t>2024-07-18T13:27:46.679Z</t>
  </si>
  <si>
    <t>2024-07-19T16:56:14.542Z</t>
  </si>
  <si>
    <t>fromthermproducao@gmail.com</t>
  </si>
  <si>
    <t>2024-07-19T16:58:07.646Z</t>
  </si>
  <si>
    <t>2024-07-19T17:14:18.945Z</t>
  </si>
  <si>
    <t>2024-08-01T19:04:01.672Z</t>
  </si>
  <si>
    <t>2024-08-16T18:16:03.808Z</t>
  </si>
  <si>
    <t>2024-08-27T17:16:37.841Z</t>
  </si>
  <si>
    <t>2024-09-26T12:04:51.508Z</t>
  </si>
  <si>
    <t>2024-09-26T12:14:37.776Z</t>
  </si>
  <si>
    <t>2024-10-07T20:14:13.491Z</t>
  </si>
  <si>
    <t>2024-11-01T17:21:21.465Z</t>
  </si>
  <si>
    <t>2024-11-28T15:12:51.027Z</t>
  </si>
  <si>
    <t>2024-11-28T15:24:07.305Z</t>
  </si>
  <si>
    <t>2024-12-06T17:22:13.013Z</t>
  </si>
  <si>
    <t>eline.velho@fromtherm.com.br</t>
  </si>
  <si>
    <t>2024-12-13T14:36:06.894Z</t>
  </si>
  <si>
    <t>qualidadefromtherm2@gmail.com</t>
  </si>
  <si>
    <t>2024-12-16T17:48:52.277Z</t>
  </si>
  <si>
    <t>bruna.correa@fromtherm.com.br</t>
  </si>
  <si>
    <t>2024-12-19T01:39:00.120Z</t>
  </si>
  <si>
    <t>2024-12-26T15:13:28.510Z</t>
  </si>
  <si>
    <t>2025-01-03T15:58:38.863Z</t>
  </si>
  <si>
    <t>2025-02-06T11:03:54.113Z</t>
  </si>
  <si>
    <t>2025-02-13T12:52:51.186Z</t>
  </si>
  <si>
    <t>2025-02-19T11:31:07.665Z</t>
  </si>
  <si>
    <t>2025-03-10T16:58:33.083Z</t>
  </si>
  <si>
    <t>2025-03-17T14:03:25.138Z</t>
  </si>
  <si>
    <t>2025-03-27T14:20:12.295Z</t>
  </si>
  <si>
    <t>2025-03-27T18:47:07.937Z</t>
  </si>
  <si>
    <t>2025-04-02T12:13:18.087Z</t>
  </si>
  <si>
    <t>2025-04-15T16:01:21.652Z</t>
  </si>
  <si>
    <t>2025-04-25T15:50:35.974Z</t>
  </si>
  <si>
    <t>2025-05-08T19:11:00.781Z</t>
  </si>
  <si>
    <t>2025-05-09T11:30:19.963Z</t>
  </si>
  <si>
    <t>2025-05-09T11:45:55.867Z</t>
  </si>
  <si>
    <t>2025-05-13T12:55:41.290Z</t>
  </si>
  <si>
    <t>leandrobittencourt07@gmail.com</t>
  </si>
  <si>
    <t>2025-05-23T17:05:11.115Z</t>
  </si>
  <si>
    <t>2025-06-12T19:03:02.766Z</t>
  </si>
  <si>
    <t>2025-06-12T19:16:19.836Z</t>
  </si>
  <si>
    <t>2025-06-12T20:44:41.294Z</t>
  </si>
  <si>
    <t>2025-07-14T12:06:23.795Z</t>
  </si>
  <si>
    <t>2025-07-23T20:44:44.645Z</t>
  </si>
  <si>
    <t>2025-08-01T14:28:39.986Z</t>
  </si>
  <si>
    <t>2025-08-04T11:37:11.261Z</t>
  </si>
  <si>
    <t>2025-08-22T14:47:38.322Z</t>
  </si>
  <si>
    <t>2025-08-26T11:45:40.857Z</t>
  </si>
  <si>
    <t>2025-09-11T20:55:44.224Z</t>
  </si>
  <si>
    <t>2025-09-16T15:58:32.217Z</t>
  </si>
  <si>
    <t>2025-10-01T14:50:39.660Z</t>
  </si>
  <si>
    <t>jujubahhvieira@gmail.com</t>
  </si>
  <si>
    <t>2025-10-01T14:51:39.395Z</t>
  </si>
  <si>
    <t>contasfromtherm@gmail.com</t>
  </si>
  <si>
    <t>2025-10-16T12:19:00.614Z</t>
  </si>
  <si>
    <t>Last Automatic Refresh Initiated</t>
  </si>
  <si>
    <t>Last Manual Refresh Requested</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</si>
</sst>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quot;R$ &quot;* #,##0.00_);_(&quot;R$ &quot;* \(#,##0.00\);_(&quot;R$ &quot;* &quot;-&quot;??_);_(@_)"/>
    <numFmt numFmtId="165" formatCode="dd/MM/yyyy"/>
    <numFmt numFmtId="166" formatCode="dd/MM/yyyy HH:mm:ss"/>
    <numFmt numFmtId="167" formatCode="dd/mm/yyyy"/>
    <numFmt numFmtId="168" formatCode="m/d/yyyy h:mm:ss"/>
    <numFmt numFmtId="169" formatCode="dd/mm/yyyy hh:mm:ss"/>
    <numFmt numFmtId="170" formatCode="d/m/yyyy hh:mm:ss"/>
    <numFmt numFmtId="171" formatCode="mmm&quot;-&quot;yy"/>
    <numFmt numFmtId="172" formatCode="yyy-mm-ddThh:mm:ss.000Z"/>
    <numFmt numFmtId="173" formatCode="dd/MM/yy HH:mm"/>
    <numFmt numFmtId="174" formatCode="[$R$ -416]#,##0.00"/>
  </numFmts>
  <fonts count="58">
    <font>
      <sz val="10.0"/>
      <color rgb="FF000000"/>
      <name val="Calibri"/>
      <scheme val="minor"/>
    </font>
    <font>
      <b/>
      <sz val="10.0"/>
      <color rgb="FFFFFFFF"/>
      <name val="Roboto"/>
    </font>
    <font>
      <b/>
      <sz val="10.0"/>
      <color theme="1"/>
      <name val="Roboto"/>
    </font>
    <font>
      <color theme="1"/>
      <name val="Calibri"/>
      <scheme val="minor"/>
    </font>
    <font>
      <b/>
      <sz val="10.0"/>
      <color theme="1"/>
      <name val="Calibri"/>
      <scheme val="minor"/>
    </font>
    <font>
      <sz val="10.0"/>
      <color rgb="FF000000"/>
      <name val="Roboto"/>
    </font>
    <font>
      <sz val="10.0"/>
      <color theme="1"/>
      <name val="Roboto"/>
    </font>
    <font>
      <color rgb="FFB7B7B7"/>
      <name val="Calibri"/>
      <scheme val="minor"/>
    </font>
    <font>
      <b/>
      <sz val="12.0"/>
      <color theme="1"/>
      <name val="Calibri"/>
      <scheme val="minor"/>
    </font>
    <font>
      <b/>
      <sz val="9.0"/>
      <color theme="1"/>
      <name val="Roboto"/>
    </font>
    <font>
      <color theme="1"/>
      <name val="Roboto"/>
    </font>
    <font>
      <b/>
      <color theme="1"/>
      <name val="Roboto"/>
    </font>
    <font>
      <b/>
      <sz val="10.0"/>
      <color rgb="FF000000"/>
      <name val="Roboto"/>
    </font>
    <font>
      <b/>
      <sz val="10.0"/>
      <color rgb="FF1F1F1F"/>
      <name val="Roboto"/>
    </font>
    <font>
      <u/>
      <color rgb="FFB7B7B7"/>
    </font>
    <font>
      <b/>
      <u/>
      <sz val="10.0"/>
      <color theme="1"/>
      <name val="Roboto"/>
    </font>
    <font>
      <sz val="10.0"/>
      <color theme="1"/>
      <name val="Calibri"/>
    </font>
    <font>
      <i/>
      <sz val="11.0"/>
      <color rgb="FF3C4043"/>
      <name val="Roboto"/>
    </font>
    <font>
      <b/>
      <sz val="10.0"/>
      <color rgb="FF3C4043"/>
      <name val="Roboto"/>
    </font>
    <font>
      <b/>
      <color rgb="FF3C4043"/>
      <name val="Docs-Roboto"/>
    </font>
    <font>
      <b/>
      <u/>
      <color theme="1"/>
      <name val="Roboto"/>
    </font>
    <font>
      <u/>
      <sz val="10.0"/>
      <color theme="1"/>
      <name val="Roboto"/>
    </font>
    <font>
      <u/>
      <color rgb="FFB7B7B7"/>
    </font>
    <font>
      <b/>
      <color rgb="FF000000"/>
      <name val="Roboto"/>
    </font>
    <font>
      <u/>
      <color rgb="FFB7B7B7"/>
    </font>
    <font>
      <b/>
      <sz val="13.0"/>
      <color theme="1"/>
      <name val="Roboto"/>
    </font>
    <font>
      <b/>
      <sz val="9.0"/>
      <color theme="1"/>
      <name val="Calibri"/>
      <scheme val="minor"/>
    </font>
    <font>
      <sz val="11.0"/>
      <color rgb="FF677788"/>
      <name val="Poppins"/>
    </font>
    <font>
      <b/>
      <u/>
      <sz val="9.0"/>
      <color rgb="FF9900FF"/>
      <name val="Roboto"/>
    </font>
    <font>
      <sz val="12.0"/>
      <color rgb="FFFFFFFF"/>
      <name val="Calibri"/>
      <scheme val="minor"/>
    </font>
    <font>
      <b/>
      <sz val="12.0"/>
      <color rgb="FFFFFFFF"/>
      <name val="Calibri"/>
      <scheme val="minor"/>
    </font>
    <font>
      <sz val="12.0"/>
      <color theme="1"/>
      <name val="Calibri"/>
      <scheme val="minor"/>
    </font>
    <font>
      <sz val="9.0"/>
      <color theme="1"/>
      <name val="Roboto"/>
    </font>
    <font>
      <sz val="10.0"/>
      <color rgb="FF052848"/>
      <name val="Roboto"/>
    </font>
    <font>
      <b/>
      <sz val="9.0"/>
      <color rgb="FFFFFFFF"/>
      <name val="Roboto"/>
    </font>
    <font>
      <b/>
      <sz val="9.0"/>
      <color theme="0"/>
      <name val="Roboto"/>
    </font>
    <font>
      <b/>
      <sz val="9.0"/>
      <color rgb="FF000000"/>
      <name val="Roboto"/>
    </font>
    <font>
      <b/>
      <sz val="12.0"/>
      <color theme="1"/>
      <name val="Roboto"/>
    </font>
    <font>
      <sz val="12.0"/>
      <color rgb="FF000000"/>
      <name val="Roboto"/>
    </font>
    <font>
      <sz val="12.0"/>
      <color theme="1"/>
      <name val="Roboto"/>
    </font>
    <font>
      <sz val="12.0"/>
      <color rgb="FFB7B7B7"/>
      <name val="Calibri"/>
      <scheme val="minor"/>
    </font>
    <font>
      <b/>
      <sz val="14.0"/>
      <color rgb="FFFFFFFF"/>
      <name val="Calibri"/>
    </font>
    <font>
      <b/>
      <sz val="16.0"/>
      <color rgb="FFFFFFFF"/>
      <name val="Calibri"/>
    </font>
    <font>
      <sz val="14.0"/>
      <color rgb="FF202124"/>
      <name val="Roboto"/>
    </font>
    <font>
      <sz val="16.0"/>
      <color rgb="FF000000"/>
      <name val="Calibri"/>
    </font>
    <font>
      <sz val="14.0"/>
      <color rgb="FF000000"/>
      <name val="Calibri"/>
    </font>
    <font>
      <sz val="14.0"/>
      <color theme="1"/>
      <name val="Arial"/>
    </font>
    <font>
      <sz val="14.0"/>
      <color theme="1"/>
      <name val="Calibri"/>
      <scheme val="minor"/>
    </font>
    <font>
      <b/>
      <sz val="18.0"/>
      <color rgb="FFFFFFFF"/>
      <name val="Roboto"/>
    </font>
    <font>
      <b/>
      <sz val="12.0"/>
      <color rgb="FFFFFFFF"/>
      <name val="Roboto"/>
    </font>
    <font>
      <b/>
      <sz val="12.0"/>
      <color rgb="FFFF0000"/>
      <name val="Roboto"/>
    </font>
    <font>
      <b/>
      <sz val="12.0"/>
      <color theme="0"/>
      <name val="Roboto"/>
    </font>
    <font>
      <sz val="12.0"/>
      <color rgb="FFFFFFFF"/>
      <name val="Roboto"/>
    </font>
    <font>
      <u/>
      <sz val="12.0"/>
      <color rgb="FFFF0000"/>
      <name val="Roboto"/>
    </font>
    <font>
      <u/>
      <sz val="12.0"/>
      <color rgb="FF9900FF"/>
      <name val="Roboto"/>
    </font>
    <font>
      <b/>
      <sz val="12.0"/>
      <color rgb="FF000000"/>
      <name val="Roboto"/>
    </font>
    <font>
      <color rgb="FFFFFFFF"/>
      <name val="Calibri"/>
      <scheme val="minor"/>
    </font>
    <font>
      <color theme="1"/>
      <name val="Arial"/>
    </font>
  </fonts>
  <fills count="34">
    <fill>
      <patternFill patternType="none"/>
    </fill>
    <fill>
      <patternFill patternType="lightGray"/>
    </fill>
    <fill>
      <patternFill patternType="solid">
        <fgColor rgb="FFE72D34"/>
        <bgColor rgb="FFE72D34"/>
      </patternFill>
    </fill>
    <fill>
      <patternFill patternType="solid">
        <fgColor rgb="FFB6D7A8"/>
        <bgColor rgb="FFB6D7A8"/>
      </patternFill>
    </fill>
    <fill>
      <patternFill patternType="solid">
        <fgColor theme="0"/>
        <bgColor theme="0"/>
      </patternFill>
    </fill>
    <fill>
      <patternFill patternType="solid">
        <fgColor rgb="FFFFFFFF"/>
        <bgColor rgb="FFFFFFFF"/>
      </patternFill>
    </fill>
    <fill>
      <patternFill patternType="solid">
        <fgColor rgb="FFFF00FF"/>
        <bgColor rgb="FFFF00FF"/>
      </patternFill>
    </fill>
    <fill>
      <patternFill patternType="solid">
        <fgColor rgb="FFF3F3F3"/>
        <bgColor rgb="FFF3F3F3"/>
      </patternFill>
    </fill>
    <fill>
      <patternFill patternType="solid">
        <fgColor rgb="FFFFC000"/>
        <bgColor rgb="FFFFC000"/>
      </patternFill>
    </fill>
    <fill>
      <patternFill patternType="solid">
        <fgColor rgb="FFBDBDBD"/>
        <bgColor rgb="FFBDBDBD"/>
      </patternFill>
    </fill>
    <fill>
      <patternFill patternType="solid">
        <fgColor rgb="FFFF0000"/>
        <bgColor rgb="FFFF0000"/>
      </patternFill>
    </fill>
    <fill>
      <patternFill patternType="solid">
        <fgColor rgb="FFFFFF00"/>
        <bgColor rgb="FFFFFF00"/>
      </patternFill>
    </fill>
    <fill>
      <patternFill patternType="solid">
        <fgColor rgb="FFA5A5A5"/>
        <bgColor rgb="FFA5A5A5"/>
      </patternFill>
    </fill>
    <fill>
      <patternFill patternType="solid">
        <fgColor rgb="FF00B050"/>
        <bgColor rgb="FF00B050"/>
      </patternFill>
    </fill>
    <fill>
      <patternFill patternType="solid">
        <fgColor rgb="FFFCE8B2"/>
        <bgColor rgb="FFFCE8B2"/>
      </patternFill>
    </fill>
    <fill>
      <patternFill patternType="solid">
        <fgColor rgb="FFFFFFA4"/>
        <bgColor rgb="FFFFFFA4"/>
      </patternFill>
    </fill>
    <fill>
      <patternFill patternType="solid">
        <fgColor rgb="FF00FFFF"/>
        <bgColor rgb="FF00FFFF"/>
      </patternFill>
    </fill>
    <fill>
      <patternFill patternType="solid">
        <fgColor rgb="FFB7B7B7"/>
        <bgColor rgb="FFB7B7B7"/>
      </patternFill>
    </fill>
    <fill>
      <patternFill patternType="solid">
        <fgColor rgb="FFFF9900"/>
        <bgColor rgb="FFFF9900"/>
      </patternFill>
    </fill>
    <fill>
      <patternFill patternType="solid">
        <fgColor rgb="FFD1E7DD"/>
        <bgColor rgb="FFD1E7DD"/>
      </patternFill>
    </fill>
    <fill>
      <patternFill patternType="solid">
        <fgColor rgb="FF999999"/>
        <bgColor rgb="FF999999"/>
      </patternFill>
    </fill>
    <fill>
      <patternFill patternType="solid">
        <fgColor rgb="FFF1C232"/>
        <bgColor rgb="FFF1C232"/>
      </patternFill>
    </fill>
    <fill>
      <patternFill patternType="solid">
        <fgColor theme="1"/>
        <bgColor theme="1"/>
      </patternFill>
    </fill>
    <fill>
      <patternFill patternType="solid">
        <fgColor rgb="FFD9D9D9"/>
        <bgColor rgb="FFD9D9D9"/>
      </patternFill>
    </fill>
    <fill>
      <patternFill patternType="solid">
        <fgColor rgb="FF4472C4"/>
        <bgColor rgb="FF4472C4"/>
      </patternFill>
    </fill>
    <fill>
      <patternFill patternType="solid">
        <fgColor rgb="FF9900FF"/>
        <bgColor rgb="FF9900FF"/>
      </patternFill>
    </fill>
    <fill>
      <patternFill patternType="solid">
        <fgColor rgb="FF00B0F0"/>
        <bgColor rgb="FF00B0F0"/>
      </patternFill>
    </fill>
    <fill>
      <patternFill patternType="solid">
        <fgColor rgb="FF6D9EEB"/>
        <bgColor rgb="FF6D9EEB"/>
      </patternFill>
    </fill>
    <fill>
      <patternFill patternType="solid">
        <fgColor rgb="FFA64D79"/>
        <bgColor rgb="FFA64D79"/>
      </patternFill>
    </fill>
    <fill>
      <patternFill patternType="solid">
        <fgColor rgb="FFF4CCCC"/>
        <bgColor rgb="FFF4CCCC"/>
      </patternFill>
    </fill>
    <fill>
      <patternFill patternType="solid">
        <fgColor theme="6"/>
        <bgColor theme="6"/>
      </patternFill>
    </fill>
    <fill>
      <patternFill patternType="solid">
        <fgColor rgb="FF660000"/>
        <bgColor rgb="FF660000"/>
      </patternFill>
    </fill>
    <fill>
      <patternFill patternType="solid">
        <fgColor rgb="FF052848"/>
        <bgColor rgb="FF052848"/>
      </patternFill>
    </fill>
    <fill>
      <patternFill patternType="solid">
        <fgColor rgb="FF002446"/>
        <bgColor rgb="FF002446"/>
      </patternFill>
    </fill>
  </fills>
  <borders count="21">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bottom style="thin">
        <color rgb="FF000000"/>
      </bottom>
    </border>
    <border>
      <left style="thin">
        <color rgb="FFFFFFFF"/>
      </left>
      <right style="thin">
        <color rgb="FFFFFFFF"/>
      </right>
      <bottom style="thin">
        <color rgb="FFFFFFFF"/>
      </bottom>
    </border>
    <border>
      <left style="thin">
        <color rgb="FFFFFFFF"/>
      </left>
      <right style="thin">
        <color rgb="FFFFFFFF"/>
      </right>
    </border>
    <border>
      <left style="thin">
        <color rgb="FFFFFFFF"/>
      </left>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s>
  <cellStyleXfs count="1">
    <xf borderId="0" fillId="0" fontId="0" numFmtId="0" applyAlignment="1" applyFont="1"/>
  </cellStyleXfs>
  <cellXfs count="45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0" xfId="0" applyAlignment="1" applyFont="1">
      <alignment horizontal="center" readingOrder="0" shrinkToFit="0" vertical="center" wrapText="1"/>
    </xf>
    <xf borderId="0" fillId="2" fontId="1" numFmtId="49" xfId="0" applyAlignment="1" applyFont="1" applyNumberFormat="1">
      <alignment horizontal="center" readingOrder="0" shrinkToFit="0" vertical="center" wrapText="1"/>
    </xf>
    <xf borderId="0" fillId="2" fontId="1" numFmtId="49" xfId="0" applyAlignment="1" applyFont="1" applyNumberFormat="1">
      <alignment horizontal="left" readingOrder="0" shrinkToFit="0" vertical="center" wrapText="1"/>
    </xf>
    <xf borderId="0" fillId="2" fontId="1" numFmtId="164" xfId="0" applyAlignment="1" applyFont="1" applyNumberFormat="1">
      <alignment horizontal="center" readingOrder="0" shrinkToFit="0" vertical="center" wrapText="1"/>
    </xf>
    <xf borderId="0" fillId="2" fontId="1" numFmtId="164" xfId="0" applyAlignment="1" applyFont="1" applyNumberFormat="1">
      <alignment horizontal="left" readingOrder="0" shrinkToFit="0" vertical="center" wrapText="1"/>
    </xf>
    <xf borderId="0" fillId="3" fontId="2" numFmtId="49" xfId="0" applyAlignment="1" applyFill="1" applyFont="1" applyNumberFormat="1">
      <alignment horizontal="left" readingOrder="0" shrinkToFit="0" vertical="center" wrapText="1"/>
    </xf>
    <xf borderId="0" fillId="3" fontId="2" numFmtId="1" xfId="0" applyAlignment="1" applyFont="1" applyNumberFormat="1">
      <alignment horizontal="left" readingOrder="0" shrinkToFit="0" vertical="center" wrapText="1"/>
    </xf>
    <xf borderId="0" fillId="3" fontId="2" numFmtId="0" xfId="0" applyAlignment="1" applyFont="1">
      <alignment horizontal="left" readingOrder="0" shrinkToFit="0" vertical="center" wrapText="1"/>
    </xf>
    <xf borderId="0" fillId="2" fontId="1" numFmtId="164" xfId="0" applyAlignment="1" applyFont="1" applyNumberFormat="1">
      <alignment horizontal="left" readingOrder="0" shrinkToFit="0" vertical="center" wrapText="0"/>
    </xf>
    <xf borderId="0" fillId="0" fontId="3"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165" xfId="0" applyAlignment="1" applyFont="1" applyNumberFormat="1">
      <alignment horizontal="center" readingOrder="0" vertical="center"/>
    </xf>
    <xf borderId="0" fillId="2" fontId="1" numFmtId="0" xfId="0" applyAlignment="1" applyFont="1">
      <alignment horizontal="center" readingOrder="0" shrinkToFit="0" vertical="center" wrapText="0"/>
    </xf>
    <xf borderId="0" fillId="2" fontId="1" numFmtId="0" xfId="0" applyAlignment="1" applyFont="1">
      <alignment horizontal="center" readingOrder="0" shrinkToFit="0" vertical="center" wrapText="0"/>
    </xf>
    <xf borderId="0" fillId="0" fontId="2" numFmtId="0" xfId="0" applyAlignment="1" applyFont="1">
      <alignment horizontal="center" readingOrder="0" vertical="center"/>
    </xf>
    <xf borderId="0" fillId="0" fontId="4"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4" fontId="2" numFmtId="49" xfId="0" applyAlignment="1" applyFill="1" applyFont="1" applyNumberFormat="1">
      <alignment horizontal="center" readingOrder="0" shrinkToFit="0" vertical="center" wrapText="0"/>
    </xf>
    <xf borderId="0" fillId="0" fontId="2" numFmtId="0" xfId="0" applyAlignment="1" applyFont="1">
      <alignment horizontal="left" readingOrder="0" vertical="center"/>
    </xf>
    <xf borderId="0" fillId="5" fontId="5" numFmtId="0" xfId="0" applyAlignment="1" applyFill="1" applyFont="1">
      <alignment horizontal="center" readingOrder="0" vertical="center"/>
    </xf>
    <xf borderId="0" fillId="6" fontId="6" numFmtId="0" xfId="0" applyAlignment="1" applyFill="1" applyFont="1">
      <alignment horizontal="center" readingOrder="0" shrinkToFit="0" vertical="center" wrapText="0"/>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0"/>
    </xf>
    <xf borderId="0" fillId="0" fontId="2" numFmtId="0" xfId="0" applyAlignment="1" applyFont="1">
      <alignment horizontal="left" readingOrder="0" vertical="center"/>
    </xf>
    <xf borderId="0" fillId="0" fontId="6" numFmtId="166" xfId="0" applyAlignment="1" applyFont="1" applyNumberFormat="1">
      <alignment horizontal="left" readingOrder="0" vertical="center"/>
    </xf>
    <xf borderId="0" fillId="0" fontId="3" numFmtId="166" xfId="0" applyAlignment="1" applyFont="1" applyNumberFormat="1">
      <alignment horizontal="center" vertical="center"/>
    </xf>
    <xf borderId="0" fillId="0" fontId="3" numFmtId="165" xfId="0" applyAlignment="1" applyFont="1" applyNumberFormat="1">
      <alignment horizontal="center" vertical="center"/>
    </xf>
    <xf borderId="0" fillId="7" fontId="7" numFmtId="0" xfId="0" applyAlignment="1" applyFill="1" applyFont="1">
      <alignment horizontal="center" readingOrder="0" shrinkToFit="0" wrapText="0"/>
    </xf>
    <xf borderId="0" fillId="0" fontId="2" numFmtId="0" xfId="0" applyAlignment="1" applyFont="1">
      <alignment horizontal="center" readingOrder="0" vertical="center"/>
    </xf>
    <xf borderId="0" fillId="5" fontId="8" numFmtId="0" xfId="0" applyAlignment="1" applyFont="1">
      <alignment horizontal="left" readingOrder="0" shrinkToFit="0" vertical="center" wrapText="0"/>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0"/>
    </xf>
    <xf borderId="0" fillId="0" fontId="6" numFmtId="166" xfId="0" applyAlignment="1" applyFont="1" applyNumberFormat="1">
      <alignment horizontal="center" readingOrder="0" vertical="center"/>
    </xf>
    <xf borderId="0" fillId="6" fontId="6" numFmtId="0" xfId="0" applyAlignment="1" applyFont="1">
      <alignment horizontal="center" readingOrder="0" shrinkToFit="0" vertical="center" wrapText="0"/>
    </xf>
    <xf borderId="0" fillId="0" fontId="3" numFmtId="165" xfId="0" applyAlignment="1" applyFont="1" applyNumberFormat="1">
      <alignment horizontal="center" vertical="center"/>
    </xf>
    <xf borderId="0" fillId="0" fontId="9" numFmtId="0" xfId="0" applyAlignment="1" applyFont="1">
      <alignment horizontal="center" readingOrder="0" vertical="center"/>
    </xf>
    <xf borderId="0" fillId="5" fontId="5" numFmtId="0" xfId="0" applyAlignment="1" applyFont="1">
      <alignment horizontal="center" readingOrder="0" vertical="center"/>
    </xf>
    <xf borderId="0" fillId="0" fontId="3" numFmtId="0" xfId="0" applyAlignment="1" applyFont="1">
      <alignment horizontal="left" readingOrder="0" vertical="center"/>
    </xf>
    <xf borderId="0" fillId="5" fontId="10" numFmtId="0" xfId="0" applyAlignment="1" applyFont="1">
      <alignment horizontal="left" shrinkToFit="0" wrapText="0"/>
    </xf>
    <xf borderId="0" fillId="5" fontId="10" numFmtId="167" xfId="0" applyAlignment="1" applyFont="1" applyNumberFormat="1">
      <alignment horizontal="left" readingOrder="0"/>
    </xf>
    <xf borderId="0" fillId="0" fontId="3" numFmtId="166" xfId="0" applyAlignment="1" applyFont="1" applyNumberFormat="1">
      <alignment horizontal="center" readingOrder="0" vertical="center"/>
    </xf>
    <xf borderId="0" fillId="7" fontId="7" numFmtId="0" xfId="0" applyAlignment="1" applyFont="1">
      <alignment readingOrder="0" shrinkToFit="0" wrapText="0"/>
    </xf>
    <xf borderId="0" fillId="0" fontId="4"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vertical="center"/>
    </xf>
    <xf borderId="0" fillId="5" fontId="11" numFmtId="0" xfId="0" applyAlignment="1" applyFont="1">
      <alignment horizontal="left" readingOrder="0"/>
    </xf>
    <xf borderId="0" fillId="5" fontId="10" numFmtId="166" xfId="0" applyAlignment="1" applyFont="1" applyNumberFormat="1">
      <alignment horizontal="left" readingOrder="0"/>
    </xf>
    <xf borderId="0" fillId="5" fontId="10" numFmtId="166" xfId="0" applyAlignment="1" applyFont="1" applyNumberFormat="1">
      <alignment horizontal="center" readingOrder="0"/>
    </xf>
    <xf borderId="0" fillId="0" fontId="3" numFmtId="166" xfId="0" applyAlignment="1" applyFont="1" applyNumberFormat="1">
      <alignment horizontal="center" readingOrder="0" vertical="center"/>
    </xf>
    <xf borderId="0" fillId="0" fontId="2" numFmtId="0" xfId="0" applyAlignment="1" applyFont="1">
      <alignment horizontal="left" readingOrder="0" shrinkToFit="0" vertical="center" wrapText="0"/>
    </xf>
    <xf borderId="0" fillId="0" fontId="2" numFmtId="165" xfId="0" applyAlignment="1" applyFont="1" applyNumberFormat="1">
      <alignment horizontal="center" readingOrder="0" shrinkToFit="0" vertical="center" wrapText="0"/>
    </xf>
    <xf borderId="0" fillId="0" fontId="2" numFmtId="49" xfId="0" applyAlignment="1" applyFont="1" applyNumberFormat="1">
      <alignment horizontal="left" readingOrder="0" vertical="center"/>
    </xf>
    <xf borderId="0" fillId="0" fontId="6" numFmtId="164" xfId="0" applyAlignment="1" applyFont="1" applyNumberFormat="1">
      <alignment horizontal="center" readingOrder="0" vertical="center"/>
    </xf>
    <xf borderId="0" fillId="0" fontId="6" numFmtId="1" xfId="0" applyAlignment="1" applyFont="1" applyNumberFormat="1">
      <alignment horizontal="left" readingOrder="0" shrinkToFit="0" vertical="center" wrapText="0"/>
    </xf>
    <xf borderId="0" fillId="0" fontId="6" numFmtId="49" xfId="0" applyAlignment="1" applyFont="1" applyNumberFormat="1">
      <alignment horizontal="left" readingOrder="0" vertical="center"/>
    </xf>
    <xf borderId="0" fillId="0" fontId="3" numFmtId="49" xfId="0" applyAlignment="1" applyFont="1" applyNumberFormat="1">
      <alignment horizontal="center" vertical="center"/>
    </xf>
    <xf borderId="0" fillId="0" fontId="3" numFmtId="14" xfId="0" applyAlignment="1" applyFont="1" applyNumberFormat="1">
      <alignment horizontal="center" vertical="center"/>
    </xf>
    <xf borderId="0" fillId="8" fontId="12" numFmtId="49" xfId="0" applyAlignment="1" applyFill="1" applyFont="1" applyNumberFormat="1">
      <alignment horizontal="center" readingOrder="0" shrinkToFit="0" vertical="center" wrapText="0"/>
    </xf>
    <xf borderId="0" fillId="5" fontId="11" numFmtId="0" xfId="0" applyAlignment="1" applyFont="1">
      <alignment horizontal="left"/>
    </xf>
    <xf borderId="0" fillId="5" fontId="10" numFmtId="166" xfId="0" applyAlignment="1" applyFont="1" applyNumberFormat="1">
      <alignment horizontal="left"/>
    </xf>
    <xf borderId="0" fillId="0" fontId="6" numFmtId="49" xfId="0" applyAlignment="1" applyFont="1" applyNumberFormat="1">
      <alignment horizontal="left" readingOrder="0" vertical="center"/>
    </xf>
    <xf borderId="0" fillId="5" fontId="10" numFmtId="0" xfId="0" applyAlignment="1" applyFont="1">
      <alignment horizontal="left" readingOrder="0" shrinkToFit="0" wrapText="0"/>
    </xf>
    <xf borderId="0" fillId="0" fontId="6" numFmtId="0" xfId="0" applyAlignment="1" applyFont="1">
      <alignment horizontal="center" readingOrder="0" vertical="center"/>
    </xf>
    <xf borderId="0" fillId="5" fontId="10" numFmtId="166" xfId="0" applyAlignment="1" applyFont="1" applyNumberFormat="1">
      <alignment horizontal="left" readingOrder="0"/>
    </xf>
    <xf borderId="0" fillId="5" fontId="10" numFmtId="0" xfId="0" applyAlignment="1" applyFont="1">
      <alignment horizontal="left" readingOrder="0"/>
    </xf>
    <xf borderId="0" fillId="0" fontId="3" numFmtId="168" xfId="0" applyAlignment="1" applyFont="1" applyNumberFormat="1">
      <alignment horizontal="center" readingOrder="0" vertical="center"/>
    </xf>
    <xf borderId="0" fillId="5" fontId="13" numFmtId="49" xfId="0" applyAlignment="1" applyFont="1" applyNumberFormat="1">
      <alignment horizontal="center" readingOrder="0" vertical="center"/>
    </xf>
    <xf borderId="0" fillId="0" fontId="6" numFmtId="0" xfId="0" applyAlignment="1" applyFont="1">
      <alignment horizontal="center" readingOrder="0" vertical="center"/>
    </xf>
    <xf borderId="0" fillId="0" fontId="6" numFmtId="1" xfId="0" applyAlignment="1" applyFont="1" applyNumberFormat="1">
      <alignment horizontal="left" readingOrder="0" vertical="center"/>
    </xf>
    <xf borderId="0" fillId="0" fontId="6" numFmtId="169" xfId="0" applyAlignment="1" applyFont="1" applyNumberFormat="1">
      <alignment horizontal="left" readingOrder="0" shrinkToFit="0" vertical="center" wrapText="0"/>
    </xf>
    <xf borderId="0" fillId="7" fontId="7" numFmtId="0" xfId="0" applyAlignment="1" applyFont="1">
      <alignment readingOrder="0" shrinkToFit="0" wrapText="0"/>
    </xf>
    <xf borderId="0" fillId="0" fontId="6" numFmtId="0" xfId="0" applyAlignment="1" applyFont="1">
      <alignment horizontal="center" readingOrder="0" shrinkToFit="0" vertical="center" wrapText="0"/>
    </xf>
    <xf borderId="0" fillId="0" fontId="6" numFmtId="170" xfId="0" applyAlignment="1" applyFont="1" applyNumberFormat="1">
      <alignment horizontal="left" readingOrder="0" shrinkToFit="0" vertical="center" wrapText="0"/>
    </xf>
    <xf borderId="0" fillId="7" fontId="14" numFmtId="0" xfId="0" applyAlignment="1" applyFont="1">
      <alignment readingOrder="0" shrinkToFit="0" wrapText="0"/>
    </xf>
    <xf borderId="0" fillId="7" fontId="7" numFmtId="0" xfId="0" applyAlignment="1" applyFont="1">
      <alignment horizontal="center" readingOrder="0" shrinkToFit="0" wrapText="0"/>
    </xf>
    <xf quotePrefix="1" borderId="0" fillId="0" fontId="6" numFmtId="0" xfId="0" applyAlignment="1" applyFont="1">
      <alignment horizontal="left" readingOrder="0" vertical="center"/>
    </xf>
    <xf borderId="0" fillId="5" fontId="2" numFmtId="49" xfId="0" applyAlignment="1" applyFont="1" applyNumberFormat="1">
      <alignment horizontal="center" readingOrder="0" shrinkToFit="0" vertical="center" wrapText="0"/>
    </xf>
    <xf borderId="0" fillId="5" fontId="12" numFmtId="49" xfId="0" applyAlignment="1" applyFont="1" applyNumberFormat="1">
      <alignment horizontal="center" readingOrder="0" vertical="center"/>
    </xf>
    <xf borderId="0" fillId="0" fontId="2" numFmtId="0" xfId="0" applyAlignment="1" applyFont="1">
      <alignment horizontal="left" vertical="center"/>
    </xf>
    <xf borderId="0" fillId="5" fontId="15" numFmtId="49" xfId="0" applyAlignment="1" applyFont="1" applyNumberFormat="1">
      <alignment horizontal="center" readingOrder="0" shrinkToFit="0" vertical="center" wrapText="0"/>
    </xf>
    <xf borderId="0" fillId="9" fontId="6" numFmtId="0" xfId="0" applyAlignment="1" applyFill="1" applyFont="1">
      <alignment horizontal="center" readingOrder="0" vertical="center"/>
    </xf>
    <xf borderId="0" fillId="9" fontId="2" numFmtId="49" xfId="0" applyAlignment="1" applyFont="1" applyNumberFormat="1">
      <alignment horizontal="center" readingOrder="0" vertical="center"/>
    </xf>
    <xf borderId="0" fillId="9" fontId="2" numFmtId="0" xfId="0" applyAlignment="1" applyFont="1">
      <alignment horizontal="left" readingOrder="0" shrinkToFit="0" vertical="center" wrapText="0"/>
    </xf>
    <xf borderId="0" fillId="9" fontId="2" numFmtId="0" xfId="0" applyAlignment="1" applyFont="1">
      <alignment horizontal="center" readingOrder="0" shrinkToFit="0" vertical="center" wrapText="0"/>
    </xf>
    <xf borderId="0" fillId="9" fontId="2" numFmtId="49" xfId="0" applyAlignment="1" applyFont="1" applyNumberFormat="1">
      <alignment horizontal="center" readingOrder="0" shrinkToFit="0" vertical="center" wrapText="0"/>
    </xf>
    <xf borderId="0" fillId="9" fontId="2" numFmtId="49" xfId="0" applyAlignment="1" applyFont="1" applyNumberFormat="1">
      <alignment horizontal="left" readingOrder="0" vertical="center"/>
    </xf>
    <xf borderId="0" fillId="9" fontId="2" numFmtId="0" xfId="0" applyAlignment="1" applyFont="1">
      <alignment horizontal="center" readingOrder="0" vertical="center"/>
    </xf>
    <xf borderId="0" fillId="9" fontId="16" numFmtId="1" xfId="0" applyAlignment="1" applyFont="1" applyNumberFormat="1">
      <alignment horizontal="left" readingOrder="0" vertical="center"/>
    </xf>
    <xf borderId="0" fillId="9" fontId="16" numFmtId="49" xfId="0" applyAlignment="1" applyFont="1" applyNumberFormat="1">
      <alignment horizontal="left" vertical="center"/>
    </xf>
    <xf borderId="0" fillId="9" fontId="16" numFmtId="0" xfId="0" applyAlignment="1" applyFont="1">
      <alignment horizontal="left" shrinkToFit="0" vertical="center" wrapText="0"/>
    </xf>
    <xf borderId="0" fillId="10" fontId="2" numFmtId="49" xfId="0" applyAlignment="1" applyFill="1" applyFont="1" applyNumberFormat="1">
      <alignment horizontal="center" readingOrder="0" vertical="center"/>
    </xf>
    <xf borderId="0" fillId="10" fontId="2" numFmtId="0" xfId="0" applyAlignment="1" applyFont="1">
      <alignment horizontal="left" readingOrder="0" shrinkToFit="0" vertical="center" wrapText="0"/>
    </xf>
    <xf borderId="0" fillId="10" fontId="2" numFmtId="165" xfId="0" applyAlignment="1" applyFont="1" applyNumberFormat="1">
      <alignment horizontal="center" readingOrder="0" shrinkToFit="0" vertical="center" wrapText="0"/>
    </xf>
    <xf borderId="0" fillId="10" fontId="13" numFmtId="49" xfId="0" applyAlignment="1" applyFont="1" applyNumberFormat="1">
      <alignment horizontal="center" readingOrder="0" vertical="center"/>
    </xf>
    <xf borderId="0" fillId="10" fontId="2" numFmtId="49" xfId="0" applyAlignment="1" applyFont="1" applyNumberFormat="1">
      <alignment horizontal="left" readingOrder="0" vertical="center"/>
    </xf>
    <xf borderId="0" fillId="10" fontId="2" numFmtId="0" xfId="0" applyAlignment="1" applyFont="1">
      <alignment horizontal="center" readingOrder="0" vertical="center"/>
    </xf>
    <xf borderId="0" fillId="10" fontId="5" numFmtId="0" xfId="0" applyAlignment="1" applyFont="1">
      <alignment horizontal="center" readingOrder="0" vertical="center"/>
    </xf>
    <xf borderId="0" fillId="10" fontId="6" numFmtId="0" xfId="0" applyAlignment="1" applyFont="1">
      <alignment horizontal="center" readingOrder="0" vertical="center"/>
    </xf>
    <xf borderId="0" fillId="10" fontId="6" numFmtId="0" xfId="0" applyAlignment="1" applyFont="1">
      <alignment horizontal="left" readingOrder="0" vertical="center"/>
    </xf>
    <xf borderId="0" fillId="10" fontId="6" numFmtId="1" xfId="0" applyAlignment="1" applyFont="1" applyNumberFormat="1">
      <alignment horizontal="left" readingOrder="0" shrinkToFit="0" vertical="center" wrapText="0"/>
    </xf>
    <xf borderId="0" fillId="10" fontId="6" numFmtId="0" xfId="0" applyAlignment="1" applyFont="1">
      <alignment horizontal="left" readingOrder="0" vertical="center"/>
    </xf>
    <xf borderId="0" fillId="10" fontId="2" numFmtId="0" xfId="0" applyAlignment="1" applyFont="1">
      <alignment horizontal="left" readingOrder="0" vertical="center"/>
    </xf>
    <xf borderId="0" fillId="10" fontId="6" numFmtId="0" xfId="0" applyAlignment="1" applyFont="1">
      <alignment horizontal="left" readingOrder="0" shrinkToFit="0" vertical="center" wrapText="0"/>
    </xf>
    <xf borderId="0" fillId="10" fontId="6" numFmtId="0" xfId="0" applyAlignment="1" applyFont="1">
      <alignment horizontal="left" readingOrder="0" shrinkToFit="0" vertical="center" wrapText="0"/>
    </xf>
    <xf borderId="0" fillId="10" fontId="7" numFmtId="0" xfId="0" applyAlignment="1" applyFont="1">
      <alignment horizontal="center" readingOrder="0" shrinkToFit="0" wrapText="0"/>
    </xf>
    <xf borderId="0" fillId="9" fontId="2" numFmtId="165" xfId="0" applyAlignment="1" applyFont="1" applyNumberFormat="1">
      <alignment horizontal="center" readingOrder="0" shrinkToFit="0" vertical="center" wrapText="0"/>
    </xf>
    <xf borderId="0" fillId="9" fontId="2" numFmtId="49" xfId="0" applyAlignment="1" applyFont="1" applyNumberFormat="1">
      <alignment horizontal="left" vertical="center"/>
    </xf>
    <xf borderId="0" fillId="9" fontId="2" numFmtId="0" xfId="0" applyAlignment="1" applyFont="1">
      <alignment horizontal="center" vertical="center"/>
    </xf>
    <xf borderId="0" fillId="9" fontId="6" numFmtId="0" xfId="0" applyAlignment="1" applyFont="1">
      <alignment horizontal="center" readingOrder="0" vertical="center"/>
    </xf>
    <xf borderId="0" fillId="9" fontId="16" numFmtId="0" xfId="0" applyAlignment="1" applyFont="1">
      <alignment horizontal="left" readingOrder="0" vertical="center"/>
    </xf>
    <xf borderId="0" fillId="11" fontId="12" numFmtId="49" xfId="0" applyAlignment="1" applyFill="1" applyFont="1" applyNumberFormat="1">
      <alignment horizontal="center" readingOrder="0" vertical="center"/>
    </xf>
    <xf borderId="0" fillId="12" fontId="12" numFmtId="49" xfId="0" applyAlignment="1" applyFill="1" applyFont="1" applyNumberFormat="1">
      <alignment horizontal="center" readingOrder="0" shrinkToFit="0" vertical="center" wrapText="0"/>
    </xf>
    <xf borderId="0" fillId="13" fontId="6" numFmtId="0" xfId="0" applyAlignment="1" applyFill="1" applyFont="1">
      <alignment horizontal="left" shrinkToFit="0" vertical="center" wrapText="0"/>
    </xf>
    <xf borderId="0" fillId="9" fontId="6" numFmtId="1" xfId="0" applyAlignment="1" applyFont="1" applyNumberFormat="1">
      <alignment horizontal="left" shrinkToFit="0" vertical="center" wrapText="0"/>
    </xf>
    <xf borderId="0" fillId="0" fontId="6" numFmtId="0" xfId="0" applyAlignment="1" applyFont="1">
      <alignment horizontal="left" vertical="center"/>
    </xf>
    <xf borderId="0" fillId="0" fontId="2" numFmtId="0" xfId="0" applyAlignment="1" applyFont="1">
      <alignment horizontal="left" readingOrder="0" shrinkToFit="0" vertical="center" wrapText="0"/>
    </xf>
    <xf borderId="0" fillId="9" fontId="2" numFmtId="0" xfId="0" applyAlignment="1" applyFont="1">
      <alignment horizontal="left" shrinkToFit="0" vertical="center" wrapText="0"/>
    </xf>
    <xf borderId="0" fillId="9" fontId="2" numFmtId="0" xfId="0" applyAlignment="1" applyFont="1">
      <alignment horizontal="center" shrinkToFit="0" vertical="center" wrapText="0"/>
    </xf>
    <xf borderId="0" fillId="14" fontId="2" numFmtId="49" xfId="0" applyAlignment="1" applyFill="1" applyFont="1" applyNumberFormat="1">
      <alignment horizontal="center" readingOrder="0" shrinkToFit="0" vertical="center" wrapText="0"/>
    </xf>
    <xf borderId="0" fillId="9" fontId="16" numFmtId="0" xfId="0" applyAlignment="1" applyFont="1">
      <alignment horizontal="left" vertical="center"/>
    </xf>
    <xf borderId="0" fillId="0" fontId="6" numFmtId="171" xfId="0" applyAlignment="1" applyFont="1" applyNumberFormat="1">
      <alignment horizontal="left" readingOrder="0" shrinkToFit="0" vertical="center" wrapText="0"/>
    </xf>
    <xf borderId="0" fillId="5" fontId="2" numFmtId="49" xfId="0" applyAlignment="1" applyFont="1" applyNumberFormat="1">
      <alignment horizontal="center" readingOrder="0" vertical="center"/>
    </xf>
    <xf borderId="0" fillId="0" fontId="2" numFmtId="0" xfId="0" applyAlignment="1" applyFont="1">
      <alignment horizontal="left" vertical="center"/>
    </xf>
    <xf borderId="0" fillId="9" fontId="6" numFmtId="1" xfId="0" applyAlignment="1" applyFont="1" applyNumberFormat="1">
      <alignment horizontal="left" readingOrder="0" shrinkToFit="0" vertical="center" wrapText="0"/>
    </xf>
    <xf borderId="0" fillId="5" fontId="17" numFmtId="49" xfId="0" applyAlignment="1" applyFont="1" applyNumberFormat="1">
      <alignment horizontal="center" readingOrder="0"/>
    </xf>
    <xf borderId="0" fillId="0" fontId="2" numFmtId="165" xfId="0" applyAlignment="1" applyFont="1" applyNumberFormat="1">
      <alignment horizontal="center" shrinkToFit="0" vertical="center" wrapText="0"/>
    </xf>
    <xf borderId="0" fillId="0" fontId="2" numFmtId="0" xfId="0" applyAlignment="1" applyFont="1">
      <alignment horizontal="center" shrinkToFit="0" vertical="center" wrapText="0"/>
    </xf>
    <xf borderId="0" fillId="4" fontId="2" numFmtId="49" xfId="0" applyAlignment="1" applyFont="1" applyNumberFormat="1">
      <alignment horizontal="left" readingOrder="0" shrinkToFit="0" vertical="center" wrapText="0"/>
    </xf>
    <xf borderId="0" fillId="15" fontId="2" numFmtId="49" xfId="0" applyAlignment="1" applyFill="1" applyFont="1" applyNumberFormat="1">
      <alignment horizontal="center" vertical="center"/>
    </xf>
    <xf borderId="0" fillId="15" fontId="2" numFmtId="0" xfId="0" applyAlignment="1" applyFont="1">
      <alignment horizontal="left" shrinkToFit="0" vertical="center" wrapText="0"/>
    </xf>
    <xf borderId="0" fillId="15" fontId="2" numFmtId="49" xfId="0" applyAlignment="1" applyFont="1" applyNumberFormat="1">
      <alignment horizontal="center" readingOrder="0" vertical="center"/>
    </xf>
    <xf quotePrefix="1" borderId="0" fillId="4" fontId="2" numFmtId="49" xfId="0" applyAlignment="1" applyFont="1" applyNumberFormat="1">
      <alignment horizontal="center" readingOrder="0" shrinkToFit="0" vertical="center" wrapText="0"/>
    </xf>
    <xf borderId="0" fillId="5" fontId="18" numFmtId="49" xfId="0" applyAlignment="1" applyFont="1" applyNumberFormat="1">
      <alignment horizontal="center" readingOrder="0" shrinkToFit="0" vertical="center" wrapText="0"/>
    </xf>
    <xf quotePrefix="1" borderId="0" fillId="8" fontId="19" numFmtId="49" xfId="0" applyAlignment="1" applyFont="1" applyNumberFormat="1">
      <alignment horizontal="center" readingOrder="0" shrinkToFit="0" vertical="center" wrapText="0"/>
    </xf>
    <xf borderId="0" fillId="0" fontId="3" numFmtId="166" xfId="0" applyAlignment="1" applyFont="1" applyNumberFormat="1">
      <alignment horizontal="left" readingOrder="0"/>
    </xf>
    <xf borderId="0" fillId="0" fontId="3" numFmtId="166" xfId="0" applyAlignment="1" applyFont="1" applyNumberFormat="1">
      <alignment readingOrder="0"/>
    </xf>
    <xf borderId="0" fillId="0" fontId="6" numFmtId="166" xfId="0" applyAlignment="1" applyFont="1" applyNumberFormat="1">
      <alignment horizontal="left" readingOrder="0" vertical="center"/>
    </xf>
    <xf borderId="0" fillId="0" fontId="3" numFmtId="166" xfId="0" applyAlignment="1" applyFont="1" applyNumberFormat="1">
      <alignment horizontal="center" vertical="center"/>
    </xf>
    <xf quotePrefix="1" borderId="0" fillId="0" fontId="2" numFmtId="0" xfId="0" applyAlignment="1" applyFont="1">
      <alignment horizontal="center" readingOrder="0" vertical="center"/>
    </xf>
    <xf borderId="0" fillId="5" fontId="11" numFmtId="0" xfId="0" applyAlignment="1" applyFont="1">
      <alignment horizontal="left" shrinkToFit="0" wrapText="0"/>
    </xf>
    <xf borderId="0" fillId="16" fontId="20" numFmtId="0" xfId="0" applyAlignment="1" applyFill="1" applyFont="1">
      <alignment horizontal="left" shrinkToFit="0" wrapText="0"/>
    </xf>
    <xf borderId="0" fillId="0" fontId="6" numFmtId="3" xfId="0" applyAlignment="1" applyFont="1" applyNumberFormat="1">
      <alignment horizontal="left" readingOrder="0" vertical="center"/>
    </xf>
    <xf borderId="0" fillId="0" fontId="6" numFmtId="0" xfId="0" applyAlignment="1" applyFont="1">
      <alignment horizontal="left" readingOrder="0" vertical="center"/>
    </xf>
    <xf quotePrefix="1" borderId="0" fillId="0" fontId="6" numFmtId="0" xfId="0" applyAlignment="1" applyFont="1">
      <alignment horizontal="left" readingOrder="0" shrinkToFit="0" vertical="center" wrapText="0"/>
    </xf>
    <xf borderId="0" fillId="0" fontId="3" numFmtId="172" xfId="0" applyAlignment="1" applyFont="1" applyNumberFormat="1">
      <alignment horizontal="center" vertical="center"/>
    </xf>
    <xf borderId="0" fillId="0" fontId="3" numFmtId="172" xfId="0" applyAlignment="1" applyFont="1" applyNumberFormat="1">
      <alignment horizontal="center" readingOrder="0" vertical="center"/>
    </xf>
    <xf borderId="0" fillId="6" fontId="5" numFmtId="0" xfId="0" applyAlignment="1" applyFont="1">
      <alignment horizontal="center" readingOrder="0" shrinkToFit="0" vertical="center" wrapText="0"/>
    </xf>
    <xf quotePrefix="1" borderId="0" fillId="0" fontId="2" numFmtId="0" xfId="0" applyAlignment="1" applyFont="1">
      <alignment horizontal="center" readingOrder="0" vertical="center"/>
    </xf>
    <xf borderId="0" fillId="5" fontId="11" numFmtId="0" xfId="0" applyAlignment="1" applyFont="1">
      <alignment horizontal="left" readingOrder="0"/>
    </xf>
    <xf borderId="0" fillId="0" fontId="21" numFmtId="0" xfId="0" applyAlignment="1" applyFont="1">
      <alignment horizontal="left" readingOrder="0" shrinkToFit="0" vertical="center" wrapText="0"/>
    </xf>
    <xf borderId="0" fillId="0" fontId="6" numFmtId="49" xfId="0" applyAlignment="1" applyFont="1" applyNumberFormat="1">
      <alignment horizontal="center" readingOrder="0" vertical="center"/>
    </xf>
    <xf borderId="0" fillId="17" fontId="11" numFmtId="49" xfId="0" applyAlignment="1" applyFill="1" applyFont="1" applyNumberFormat="1">
      <alignment horizontal="center" shrinkToFit="0" wrapText="0"/>
    </xf>
    <xf borderId="0" fillId="0" fontId="6" numFmtId="0" xfId="0" applyAlignment="1" applyFont="1">
      <alignment horizontal="left" readingOrder="0" vertical="center"/>
    </xf>
    <xf borderId="0" fillId="0" fontId="3" numFmtId="165" xfId="0" applyAlignment="1" applyFont="1" applyNumberFormat="1">
      <alignment horizontal="center" readingOrder="0" vertical="center"/>
    </xf>
    <xf borderId="0" fillId="4" fontId="2" numFmtId="0" xfId="0" applyAlignment="1" applyFont="1">
      <alignment horizontal="center" readingOrder="0" shrinkToFit="0" vertical="center" wrapText="0"/>
    </xf>
    <xf borderId="0" fillId="0" fontId="3" numFmtId="167" xfId="0" applyAlignment="1" applyFont="1" applyNumberFormat="1">
      <alignment horizontal="center" readingOrder="0" vertical="center"/>
    </xf>
    <xf borderId="0" fillId="7" fontId="22" numFmtId="0" xfId="0" applyAlignment="1" applyFont="1">
      <alignment horizontal="center" readingOrder="0" shrinkToFit="0" wrapText="0"/>
    </xf>
    <xf borderId="0" fillId="11" fontId="12" numFmtId="49" xfId="0" applyAlignment="1" applyFont="1" applyNumberFormat="1">
      <alignment horizontal="center" readingOrder="0" shrinkToFit="0" vertical="center" wrapText="0"/>
    </xf>
    <xf borderId="0" fillId="5" fontId="12" numFmtId="49" xfId="0" applyAlignment="1" applyFont="1" applyNumberFormat="1">
      <alignment horizontal="center" readingOrder="0" shrinkToFit="0" vertical="center" wrapText="0"/>
    </xf>
    <xf borderId="0" fillId="0" fontId="6" numFmtId="0" xfId="0" applyAlignment="1" applyFont="1">
      <alignment horizontal="left" vertical="center"/>
    </xf>
    <xf borderId="0" fillId="12" fontId="12" numFmtId="49" xfId="0" applyAlignment="1" applyFont="1" applyNumberFormat="1">
      <alignment horizontal="center" readingOrder="0" vertical="center"/>
    </xf>
    <xf borderId="0" fillId="18" fontId="12" numFmtId="49" xfId="0" applyAlignment="1" applyFill="1" applyFont="1" applyNumberFormat="1">
      <alignment horizontal="center" readingOrder="0" shrinkToFit="0" vertical="center" wrapText="0"/>
    </xf>
    <xf borderId="0" fillId="5" fontId="11" numFmtId="49" xfId="0" applyAlignment="1" applyFont="1" applyNumberFormat="1">
      <alignment horizontal="center"/>
    </xf>
    <xf borderId="0" fillId="0" fontId="4" numFmtId="14" xfId="0" applyAlignment="1" applyFont="1" applyNumberFormat="1">
      <alignment horizontal="left" readingOrder="0" shrinkToFit="0" vertical="center" wrapText="0"/>
    </xf>
    <xf borderId="0" fillId="11" fontId="2" numFmtId="49" xfId="0" applyAlignment="1" applyFont="1" applyNumberFormat="1">
      <alignment horizontal="center" vertical="center"/>
    </xf>
    <xf borderId="0" fillId="5" fontId="10" numFmtId="166" xfId="0" applyAlignment="1" applyFont="1" applyNumberFormat="1">
      <alignment horizontal="left"/>
    </xf>
    <xf borderId="0" fillId="5" fontId="11" numFmtId="0" xfId="0" applyAlignment="1" applyFont="1">
      <alignment horizontal="left"/>
    </xf>
    <xf quotePrefix="1" borderId="0" fillId="8" fontId="12" numFmtId="49" xfId="0" applyAlignment="1" applyFont="1" applyNumberFormat="1">
      <alignment horizontal="center" readingOrder="0" shrinkToFit="0" vertical="center" wrapText="0"/>
    </xf>
    <xf borderId="0" fillId="11" fontId="23" numFmtId="49" xfId="0" applyAlignment="1" applyFont="1" applyNumberFormat="1">
      <alignment horizontal="center" readingOrder="0" vertical="center"/>
    </xf>
    <xf borderId="0" fillId="8" fontId="12" numFmtId="49" xfId="0" applyAlignment="1" applyFont="1" applyNumberFormat="1">
      <alignment horizontal="center" readingOrder="0" shrinkToFit="0" vertical="center" wrapText="0"/>
    </xf>
    <xf borderId="0" fillId="0" fontId="6" numFmtId="1" xfId="0" applyAlignment="1" applyFont="1" applyNumberFormat="1">
      <alignment horizontal="center" readingOrder="0" vertical="center"/>
    </xf>
    <xf borderId="1" fillId="0" fontId="2" numFmtId="49" xfId="0" applyAlignment="1" applyBorder="1" applyFont="1" applyNumberFormat="1">
      <alignment horizontal="center" readingOrder="0" vertical="center"/>
    </xf>
    <xf borderId="0" fillId="0" fontId="2" numFmtId="49" xfId="0" applyAlignment="1" applyFont="1" applyNumberFormat="1">
      <alignment horizontal="center" readingOrder="0" shrinkToFit="0" vertical="center" wrapText="0"/>
    </xf>
    <xf quotePrefix="1" borderId="0" fillId="0" fontId="2" numFmtId="49" xfId="0" applyAlignment="1" applyFont="1" applyNumberFormat="1">
      <alignment horizontal="center" readingOrder="0" vertical="center"/>
    </xf>
    <xf borderId="0" fillId="0" fontId="9" numFmtId="49" xfId="0" applyAlignment="1" applyFont="1" applyNumberFormat="1">
      <alignment horizontal="center" readingOrder="0" vertical="center"/>
    </xf>
    <xf borderId="0" fillId="0" fontId="9" numFmtId="0" xfId="0" applyAlignment="1" applyFont="1">
      <alignment horizontal="center" readingOrder="0" vertical="center"/>
    </xf>
    <xf quotePrefix="1" borderId="0" fillId="19" fontId="2" numFmtId="0" xfId="0" applyAlignment="1" applyFill="1" applyFont="1">
      <alignment horizontal="center" readingOrder="0" vertical="center"/>
    </xf>
    <xf borderId="0" fillId="19" fontId="4" numFmtId="0" xfId="0" applyAlignment="1" applyFont="1">
      <alignment horizontal="left" readingOrder="0" shrinkToFit="0" vertical="center" wrapText="0"/>
    </xf>
    <xf borderId="0" fillId="19" fontId="2" numFmtId="0" xfId="0" applyAlignment="1" applyFont="1">
      <alignment horizontal="center" readingOrder="0" shrinkToFit="0" vertical="center" wrapText="0"/>
    </xf>
    <xf borderId="0" fillId="19" fontId="2" numFmtId="49" xfId="0" applyAlignment="1" applyFont="1" applyNumberFormat="1">
      <alignment horizontal="center" readingOrder="0" vertical="center"/>
    </xf>
    <xf borderId="0" fillId="19" fontId="2" numFmtId="0" xfId="0" applyAlignment="1" applyFont="1">
      <alignment horizontal="left" readingOrder="0" vertical="center"/>
    </xf>
    <xf borderId="0" fillId="19" fontId="2" numFmtId="0" xfId="0" applyAlignment="1" applyFont="1">
      <alignment horizontal="center" readingOrder="0" vertical="center"/>
    </xf>
    <xf borderId="0" fillId="19" fontId="5" numFmtId="0" xfId="0" applyAlignment="1" applyFont="1">
      <alignment horizontal="center" readingOrder="0" vertical="center"/>
    </xf>
    <xf borderId="0" fillId="19" fontId="6" numFmtId="0" xfId="0" applyAlignment="1" applyFont="1">
      <alignment horizontal="center" readingOrder="0" shrinkToFit="0" vertical="center" wrapText="0"/>
    </xf>
    <xf borderId="0" fillId="19" fontId="6" numFmtId="0" xfId="0" applyAlignment="1" applyFont="1">
      <alignment horizontal="left" readingOrder="0" vertical="center"/>
    </xf>
    <xf borderId="0" fillId="19" fontId="6" numFmtId="0" xfId="0" applyAlignment="1" applyFont="1">
      <alignment horizontal="left" readingOrder="0" shrinkToFit="0" vertical="center" wrapText="0"/>
    </xf>
    <xf borderId="0" fillId="19" fontId="11" numFmtId="0" xfId="0" applyAlignment="1" applyFont="1">
      <alignment horizontal="left" readingOrder="0"/>
    </xf>
    <xf borderId="0" fillId="19" fontId="10" numFmtId="0" xfId="0" applyAlignment="1" applyFont="1">
      <alignment horizontal="left" shrinkToFit="0" wrapText="0"/>
    </xf>
    <xf borderId="0" fillId="19" fontId="10" numFmtId="166" xfId="0" applyAlignment="1" applyFont="1" applyNumberFormat="1">
      <alignment horizontal="left" readingOrder="0"/>
    </xf>
    <xf borderId="0" fillId="19" fontId="6" numFmtId="0" xfId="0" applyAlignment="1" applyFont="1">
      <alignment horizontal="left" readingOrder="0" shrinkToFit="0" vertical="center" wrapText="0"/>
    </xf>
    <xf borderId="0" fillId="19" fontId="3" numFmtId="0" xfId="0" applyAlignment="1" applyFont="1">
      <alignment horizontal="center" readingOrder="0" vertical="center"/>
    </xf>
    <xf borderId="0" fillId="19" fontId="3" numFmtId="166" xfId="0" applyAlignment="1" applyFont="1" applyNumberFormat="1">
      <alignment horizontal="center" readingOrder="0" vertical="center"/>
    </xf>
    <xf borderId="0" fillId="19" fontId="3" numFmtId="0" xfId="0" applyAlignment="1" applyFont="1">
      <alignment horizontal="center" vertical="center"/>
    </xf>
    <xf borderId="0" fillId="19" fontId="7" numFmtId="0" xfId="0" applyAlignment="1" applyFont="1">
      <alignment readingOrder="0" shrinkToFit="0" wrapText="0"/>
    </xf>
    <xf borderId="0" fillId="0" fontId="3" numFmtId="166" xfId="0" applyAlignment="1" applyFont="1" applyNumberFormat="1">
      <alignment readingOrder="0"/>
    </xf>
    <xf borderId="0" fillId="0" fontId="3" numFmtId="168" xfId="0" applyAlignment="1" applyFont="1" applyNumberFormat="1">
      <alignment horizontal="left" readingOrder="0"/>
    </xf>
    <xf borderId="0" fillId="5" fontId="10" numFmtId="166" xfId="0" applyAlignment="1" applyFont="1" applyNumberFormat="1">
      <alignment horizontal="center" readingOrder="0"/>
    </xf>
    <xf borderId="0" fillId="0" fontId="3" numFmtId="0" xfId="0" applyAlignment="1" applyFont="1">
      <alignment horizontal="left"/>
    </xf>
    <xf borderId="0" fillId="0" fontId="3" numFmtId="168" xfId="0" applyAlignment="1" applyFont="1" applyNumberFormat="1">
      <alignment readingOrder="0"/>
    </xf>
    <xf borderId="0" fillId="0" fontId="3" numFmtId="0" xfId="0" applyAlignment="1" applyFont="1">
      <alignment readingOrder="0"/>
    </xf>
    <xf borderId="0" fillId="20" fontId="2" numFmtId="49" xfId="0" applyAlignment="1" applyFill="1" applyFont="1" applyNumberFormat="1">
      <alignment horizontal="center" readingOrder="0" vertical="center"/>
    </xf>
    <xf borderId="0" fillId="0" fontId="2" numFmtId="49" xfId="0" applyAlignment="1" applyFont="1" applyNumberFormat="1">
      <alignment horizontal="center" vertical="center"/>
    </xf>
    <xf borderId="2" fillId="0" fontId="2" numFmtId="49" xfId="0" applyAlignment="1" applyBorder="1" applyFont="1" applyNumberFormat="1">
      <alignment horizontal="center" readingOrder="0" vertical="center"/>
    </xf>
    <xf borderId="0" fillId="7" fontId="7" numFmtId="1" xfId="0" applyAlignment="1" applyFont="1" applyNumberFormat="1">
      <alignment readingOrder="0" shrinkToFit="0" wrapText="0"/>
    </xf>
    <xf borderId="0" fillId="5" fontId="10" numFmtId="169" xfId="0" applyAlignment="1" applyFont="1" applyNumberFormat="1">
      <alignment horizontal="left" readingOrder="0"/>
    </xf>
    <xf borderId="0" fillId="5" fontId="10" numFmtId="168" xfId="0" applyAlignment="1" applyFont="1" applyNumberFormat="1">
      <alignment horizontal="left" readingOrder="0"/>
    </xf>
    <xf borderId="0" fillId="5" fontId="9" numFmtId="49" xfId="0" applyAlignment="1" applyFont="1" applyNumberFormat="1">
      <alignment horizontal="center" readingOrder="0" vertical="center"/>
    </xf>
    <xf borderId="0" fillId="5" fontId="9" numFmtId="0" xfId="0" applyAlignment="1" applyFont="1">
      <alignment horizontal="center" readingOrder="0" vertical="center"/>
    </xf>
    <xf quotePrefix="1" borderId="0" fillId="5" fontId="9" numFmtId="49" xfId="0" applyAlignment="1" applyFont="1" applyNumberFormat="1">
      <alignment horizontal="center" readingOrder="0" vertical="center"/>
    </xf>
    <xf borderId="0" fillId="5" fontId="11" numFmtId="0" xfId="0" applyAlignment="1" applyFont="1">
      <alignment horizontal="left" vertical="bottom"/>
    </xf>
    <xf borderId="0" fillId="5" fontId="10" numFmtId="0" xfId="0" applyAlignment="1" applyFont="1">
      <alignment horizontal="left" shrinkToFit="0" vertical="bottom" wrapText="0"/>
    </xf>
    <xf borderId="0" fillId="5" fontId="10" numFmtId="167" xfId="0" applyAlignment="1" applyFont="1" applyNumberFormat="1">
      <alignment horizontal="left" vertical="bottom"/>
    </xf>
    <xf borderId="0" fillId="5" fontId="9" numFmtId="49" xfId="0" applyAlignment="1" applyFont="1" applyNumberFormat="1">
      <alignment horizontal="center" vertical="center"/>
    </xf>
    <xf borderId="0" fillId="5" fontId="9" numFmtId="0" xfId="0" applyAlignment="1" applyFont="1">
      <alignment horizontal="center" readingOrder="0" vertical="center"/>
    </xf>
    <xf borderId="0" fillId="7" fontId="24" numFmtId="0" xfId="0" applyAlignment="1" applyFont="1">
      <alignment readingOrder="0" shrinkToFit="0" wrapText="0"/>
    </xf>
    <xf borderId="2" fillId="5" fontId="2" numFmtId="49" xfId="0" applyAlignment="1" applyBorder="1" applyFont="1" applyNumberFormat="1">
      <alignment horizontal="center" readingOrder="0" vertical="center"/>
    </xf>
    <xf quotePrefix="1" borderId="0" fillId="0" fontId="9" numFmtId="0" xfId="0" applyAlignment="1" applyFont="1">
      <alignment horizontal="center" readingOrder="0" vertical="center"/>
    </xf>
    <xf borderId="0" fillId="12" fontId="9" numFmtId="49" xfId="0" applyAlignment="1" applyFont="1" applyNumberFormat="1">
      <alignment horizontal="center"/>
    </xf>
    <xf borderId="0" fillId="0" fontId="2" numFmtId="49" xfId="0" applyAlignment="1" applyFont="1" applyNumberFormat="1">
      <alignment horizontal="left" vertical="center"/>
    </xf>
    <xf quotePrefix="1" borderId="0" fillId="0" fontId="25" numFmtId="0" xfId="0" applyAlignment="1" applyFont="1">
      <alignment horizontal="center" readingOrder="0" vertical="center"/>
    </xf>
    <xf borderId="0" fillId="5" fontId="10" numFmtId="14" xfId="0" applyAlignment="1" applyFont="1" applyNumberFormat="1">
      <alignment horizontal="left" readingOrder="0"/>
    </xf>
    <xf borderId="0" fillId="5" fontId="26" numFmtId="0" xfId="0" applyAlignment="1" applyFont="1">
      <alignment horizontal="center" readingOrder="0" vertical="center"/>
    </xf>
    <xf borderId="0" fillId="5" fontId="11" numFmtId="0" xfId="0" applyAlignment="1" applyFont="1">
      <alignment horizontal="left" readingOrder="0" vertical="bottom"/>
    </xf>
    <xf borderId="0" fillId="5" fontId="10" numFmtId="167" xfId="0" applyAlignment="1" applyFont="1" applyNumberFormat="1">
      <alignment horizontal="left" readingOrder="0" vertical="bottom"/>
    </xf>
    <xf borderId="2" fillId="0" fontId="9" numFmtId="0" xfId="0" applyAlignment="1" applyBorder="1" applyFont="1">
      <alignment horizontal="center" readingOrder="0" vertical="center"/>
    </xf>
    <xf borderId="0" fillId="5" fontId="8" numFmtId="0" xfId="0" applyAlignment="1" applyFont="1">
      <alignment horizontal="left" readingOrder="0" shrinkToFit="0" vertical="center" wrapText="0"/>
    </xf>
    <xf borderId="0" fillId="0" fontId="9" numFmtId="0" xfId="0" applyAlignment="1" applyFont="1">
      <alignment horizontal="left" readingOrder="0" vertical="center"/>
    </xf>
    <xf borderId="0" fillId="5" fontId="27" numFmtId="0" xfId="0" applyAlignment="1" applyFont="1">
      <alignment horizontal="left"/>
    </xf>
    <xf borderId="0" fillId="5" fontId="28" numFmtId="0" xfId="0" applyAlignment="1" applyFont="1">
      <alignment horizontal="center"/>
    </xf>
    <xf borderId="0" fillId="2" fontId="29" numFmtId="0" xfId="0" applyAlignment="1" applyFont="1">
      <alignment horizontal="left" readingOrder="0" shrinkToFit="0" vertical="center" wrapText="1"/>
    </xf>
    <xf borderId="0" fillId="2" fontId="29" numFmtId="0" xfId="0" applyAlignment="1" applyFont="1">
      <alignment horizontal="left" readingOrder="0" shrinkToFit="0" vertical="center" wrapText="0"/>
    </xf>
    <xf borderId="0" fillId="2" fontId="29" numFmtId="49" xfId="0" applyAlignment="1" applyFont="1" applyNumberFormat="1">
      <alignment horizontal="left" readingOrder="0" shrinkToFit="0" vertical="center" wrapText="1"/>
    </xf>
    <xf borderId="0" fillId="2" fontId="30" numFmtId="0" xfId="0" applyAlignment="1" applyFont="1">
      <alignment horizontal="left" readingOrder="0" shrinkToFit="0" vertical="center" wrapText="1"/>
    </xf>
    <xf borderId="0" fillId="2" fontId="30" numFmtId="164" xfId="0" applyAlignment="1" applyFont="1" applyNumberFormat="1">
      <alignment horizontal="left" readingOrder="0" shrinkToFit="0" vertical="center" wrapText="1"/>
    </xf>
    <xf borderId="0" fillId="2" fontId="30" numFmtId="49" xfId="0" applyAlignment="1" applyFont="1" applyNumberFormat="1">
      <alignment horizontal="left" readingOrder="0" shrinkToFit="0" vertical="center" wrapText="1"/>
    </xf>
    <xf borderId="0" fillId="2" fontId="30" numFmtId="1" xfId="0" applyAlignment="1" applyFont="1" applyNumberFormat="1">
      <alignment horizontal="left" readingOrder="0" shrinkToFit="0" vertical="center" wrapText="1"/>
    </xf>
    <xf borderId="0" fillId="2" fontId="30" numFmtId="166" xfId="0" applyAlignment="1" applyFont="1" applyNumberFormat="1">
      <alignment horizontal="left" readingOrder="0" shrinkToFit="0" vertical="center" wrapText="1"/>
    </xf>
    <xf borderId="0" fillId="2" fontId="30" numFmtId="0" xfId="0" applyAlignment="1" applyFont="1">
      <alignment horizontal="left" shrinkToFit="0" vertical="center" wrapText="1"/>
    </xf>
    <xf borderId="0" fillId="15" fontId="8" numFmtId="173" xfId="0" applyAlignment="1" applyFont="1" applyNumberFormat="1">
      <alignment horizontal="left" shrinkToFit="0" vertical="center" wrapText="1"/>
    </xf>
    <xf borderId="0" fillId="15" fontId="8" numFmtId="166" xfId="0" applyAlignment="1" applyFont="1" applyNumberFormat="1">
      <alignment horizontal="left" shrinkToFit="0" vertical="center" wrapText="1"/>
    </xf>
    <xf borderId="0" fillId="15" fontId="8" numFmtId="165" xfId="0" applyAlignment="1" applyFont="1" applyNumberFormat="1">
      <alignment horizontal="left" shrinkToFit="0" vertical="center" wrapText="1"/>
    </xf>
    <xf borderId="0" fillId="15" fontId="8" numFmtId="0" xfId="0" applyAlignment="1" applyFont="1">
      <alignment horizontal="left" readingOrder="0" shrinkToFit="0" vertical="center" wrapText="1"/>
    </xf>
    <xf borderId="0" fillId="15" fontId="8" numFmtId="1" xfId="0" applyAlignment="1" applyFont="1" applyNumberFormat="1">
      <alignment horizontal="left" readingOrder="0" shrinkToFit="0" vertical="center" wrapText="1"/>
    </xf>
    <xf borderId="0" fillId="15" fontId="8" numFmtId="1" xfId="0" applyAlignment="1" applyFont="1" applyNumberFormat="1">
      <alignment horizontal="left" shrinkToFit="0" vertical="center" wrapText="1"/>
    </xf>
    <xf borderId="0" fillId="15" fontId="8" numFmtId="174" xfId="0" applyAlignment="1" applyFont="1" applyNumberFormat="1">
      <alignment horizontal="left" shrinkToFit="0" vertical="center" wrapText="1"/>
    </xf>
    <xf borderId="0" fillId="15" fontId="8" numFmtId="0" xfId="0" applyAlignment="1" applyFont="1">
      <alignment horizontal="left" readingOrder="0" shrinkToFit="0" vertical="center" wrapText="1"/>
    </xf>
    <xf borderId="0" fillId="15" fontId="31" numFmtId="0" xfId="0" applyAlignment="1" applyFont="1">
      <alignment horizontal="left" readingOrder="0" shrinkToFit="0" vertical="center" wrapText="1"/>
    </xf>
    <xf borderId="0" fillId="5" fontId="8" numFmtId="49" xfId="0" applyAlignment="1" applyFont="1" applyNumberFormat="1">
      <alignment horizontal="left" readingOrder="0" vertical="center"/>
    </xf>
    <xf borderId="0" fillId="5" fontId="31" numFmtId="0" xfId="0" applyAlignment="1" applyFont="1">
      <alignment horizontal="left" shrinkToFit="0" vertical="center" wrapText="0"/>
    </xf>
    <xf borderId="0" fillId="5" fontId="8" numFmtId="0" xfId="0" applyAlignment="1" applyFont="1">
      <alignment horizontal="left" shrinkToFit="0" vertical="center" wrapText="0"/>
    </xf>
    <xf borderId="0" fillId="5" fontId="31" numFmtId="14" xfId="0" applyAlignment="1" applyFont="1" applyNumberFormat="1">
      <alignment horizontal="left" vertical="center"/>
    </xf>
    <xf borderId="0" fillId="5" fontId="31" numFmtId="166" xfId="0" applyAlignment="1" applyFont="1" applyNumberFormat="1">
      <alignment horizontal="left" readingOrder="0" vertical="center"/>
    </xf>
    <xf borderId="0" fillId="5" fontId="8" numFmtId="49" xfId="0" applyAlignment="1" applyFont="1" applyNumberFormat="1">
      <alignment horizontal="left" readingOrder="0" shrinkToFit="0" vertical="center" wrapText="0"/>
    </xf>
    <xf borderId="0" fillId="5" fontId="31" numFmtId="165" xfId="0" applyAlignment="1" applyFont="1" applyNumberFormat="1">
      <alignment horizontal="left" readingOrder="0" vertical="center"/>
    </xf>
    <xf borderId="0" fillId="5" fontId="31" numFmtId="165" xfId="0" applyAlignment="1" applyFont="1" applyNumberFormat="1">
      <alignment horizontal="left" vertical="center"/>
    </xf>
    <xf borderId="0" fillId="5" fontId="31" numFmtId="1" xfId="0" applyAlignment="1" applyFont="1" applyNumberFormat="1">
      <alignment horizontal="left" vertical="center"/>
    </xf>
    <xf borderId="0" fillId="5" fontId="8" numFmtId="0" xfId="0" applyAlignment="1" applyFont="1">
      <alignment horizontal="left" vertical="center"/>
    </xf>
    <xf borderId="0" fillId="5" fontId="31" numFmtId="0" xfId="0" applyAlignment="1" applyFont="1">
      <alignment horizontal="left" vertical="center"/>
    </xf>
    <xf borderId="0" fillId="5" fontId="31" numFmtId="164" xfId="0" applyAlignment="1" applyFont="1" applyNumberFormat="1">
      <alignment horizontal="left" readingOrder="0" vertical="center"/>
    </xf>
    <xf borderId="0" fillId="5" fontId="31" numFmtId="1" xfId="0" applyAlignment="1" applyFont="1" applyNumberFormat="1">
      <alignment horizontal="left" shrinkToFit="0" vertical="center" wrapText="0"/>
    </xf>
    <xf borderId="0" fillId="5" fontId="31" numFmtId="49" xfId="0" applyAlignment="1" applyFont="1" applyNumberFormat="1">
      <alignment horizontal="left" vertical="center"/>
    </xf>
    <xf borderId="0" fillId="0" fontId="31" numFmtId="171" xfId="0" applyAlignment="1" applyFont="1" applyNumberFormat="1">
      <alignment horizontal="left" vertical="center"/>
    </xf>
    <xf borderId="0" fillId="0" fontId="31" numFmtId="166" xfId="0" applyAlignment="1" applyFont="1" applyNumberFormat="1">
      <alignment horizontal="left" vertical="center"/>
    </xf>
    <xf borderId="0" fillId="0" fontId="31" numFmtId="0" xfId="0" applyAlignment="1" applyFont="1">
      <alignment horizontal="left" vertical="center"/>
    </xf>
    <xf borderId="0" fillId="0" fontId="31" numFmtId="174" xfId="0" applyAlignment="1" applyFont="1" applyNumberFormat="1">
      <alignment horizontal="left" readingOrder="0" vertical="center"/>
    </xf>
    <xf borderId="0" fillId="0" fontId="5" numFmtId="0" xfId="0" applyAlignment="1" applyFont="1">
      <alignment horizontal="left" readingOrder="0" shrinkToFit="0" vertical="center" wrapText="0"/>
    </xf>
    <xf borderId="0" fillId="5" fontId="31" numFmtId="0" xfId="0" applyAlignment="1" applyFont="1">
      <alignment horizontal="left" readingOrder="0" shrinkToFit="0" vertical="center" wrapText="0"/>
    </xf>
    <xf borderId="0" fillId="0" fontId="8" numFmtId="0" xfId="0" applyAlignment="1" applyFont="1">
      <alignment horizontal="left" vertical="center"/>
    </xf>
    <xf borderId="0" fillId="5" fontId="8" numFmtId="0" xfId="0" applyAlignment="1" applyFont="1">
      <alignment horizontal="left"/>
    </xf>
    <xf borderId="0" fillId="0" fontId="8" numFmtId="0" xfId="0" applyFont="1"/>
    <xf borderId="0" fillId="0" fontId="8" numFmtId="49" xfId="0" applyAlignment="1" applyFont="1" applyNumberFormat="1">
      <alignment horizontal="left" readingOrder="0" vertical="center"/>
    </xf>
    <xf borderId="0" fillId="0" fontId="31" numFmtId="0" xfId="0" applyAlignment="1" applyFont="1">
      <alignment horizontal="left" shrinkToFit="0" vertical="center" wrapText="0"/>
    </xf>
    <xf borderId="0" fillId="0" fontId="8" numFmtId="0" xfId="0" applyAlignment="1" applyFont="1">
      <alignment horizontal="left" shrinkToFit="0" vertical="center" wrapText="0"/>
    </xf>
    <xf borderId="0" fillId="0" fontId="31" numFmtId="14" xfId="0" applyAlignment="1" applyFont="1" applyNumberFormat="1">
      <alignment horizontal="left" vertical="center"/>
    </xf>
    <xf borderId="0" fillId="0" fontId="31" numFmtId="166" xfId="0" applyAlignment="1" applyFont="1" applyNumberFormat="1">
      <alignment horizontal="left" readingOrder="0" vertical="center"/>
    </xf>
    <xf borderId="0" fillId="0" fontId="8" numFmtId="49" xfId="0" applyAlignment="1" applyFont="1" applyNumberFormat="1">
      <alignment horizontal="left" readingOrder="0" shrinkToFit="0" vertical="center" wrapText="0"/>
    </xf>
    <xf borderId="0" fillId="0" fontId="31" numFmtId="165" xfId="0" applyAlignment="1" applyFont="1" applyNumberFormat="1">
      <alignment horizontal="left" readingOrder="0" vertical="center"/>
    </xf>
    <xf borderId="0" fillId="0" fontId="31" numFmtId="165" xfId="0" applyAlignment="1" applyFont="1" applyNumberFormat="1">
      <alignment horizontal="left" vertical="center"/>
    </xf>
    <xf borderId="0" fillId="0" fontId="31" numFmtId="1" xfId="0" applyAlignment="1" applyFont="1" applyNumberFormat="1">
      <alignment horizontal="left" vertical="center"/>
    </xf>
    <xf borderId="0" fillId="0" fontId="8" numFmtId="0" xfId="0" applyAlignment="1" applyFont="1">
      <alignment horizontal="left" vertical="center"/>
    </xf>
    <xf borderId="0" fillId="0" fontId="31" numFmtId="164" xfId="0" applyAlignment="1" applyFont="1" applyNumberFormat="1">
      <alignment horizontal="left" readingOrder="0" vertical="center"/>
    </xf>
    <xf borderId="0" fillId="0" fontId="31" numFmtId="1" xfId="0" applyAlignment="1" applyFont="1" applyNumberFormat="1">
      <alignment horizontal="left" shrinkToFit="0" vertical="center" wrapText="0"/>
    </xf>
    <xf borderId="0" fillId="0" fontId="31" numFmtId="49" xfId="0" applyAlignment="1" applyFont="1" applyNumberFormat="1">
      <alignment horizontal="left" vertical="center"/>
    </xf>
    <xf borderId="0" fillId="21" fontId="12" numFmtId="0" xfId="0" applyAlignment="1" applyFill="1" applyFont="1">
      <alignment horizontal="center" readingOrder="0" textRotation="0" vertical="center"/>
    </xf>
    <xf borderId="0" fillId="21" fontId="12" numFmtId="0" xfId="0" applyAlignment="1" applyFont="1">
      <alignment horizontal="left" readingOrder="0" textRotation="0" vertical="center"/>
    </xf>
    <xf borderId="0" fillId="21" fontId="12" numFmtId="0" xfId="0" applyAlignment="1" applyFont="1">
      <alignment horizontal="center" readingOrder="0" shrinkToFit="0" textRotation="0" vertical="center" wrapText="0"/>
    </xf>
    <xf borderId="3" fillId="5" fontId="32" numFmtId="49" xfId="0" applyAlignment="1" applyBorder="1" applyFont="1" applyNumberFormat="1">
      <alignment horizontal="center" readingOrder="0" vertical="bottom"/>
    </xf>
    <xf borderId="2" fillId="5" fontId="32" numFmtId="49" xfId="0" applyAlignment="1" applyBorder="1" applyFont="1" applyNumberFormat="1">
      <alignment horizontal="center" readingOrder="0" vertical="bottom"/>
    </xf>
    <xf borderId="2" fillId="5" fontId="32" numFmtId="0" xfId="0" applyAlignment="1" applyBorder="1" applyFont="1">
      <alignment horizontal="center" readingOrder="0" vertical="bottom"/>
    </xf>
    <xf borderId="4" fillId="18" fontId="33" numFmtId="0" xfId="0" applyAlignment="1" applyBorder="1" applyFont="1">
      <alignment horizontal="center" readingOrder="0" shrinkToFit="0" vertical="center" wrapText="0"/>
    </xf>
    <xf borderId="4" fillId="15" fontId="33" numFmtId="49" xfId="0" applyAlignment="1" applyBorder="1" applyFont="1" applyNumberFormat="1">
      <alignment horizontal="center" readingOrder="0" shrinkToFit="0" vertical="center" wrapText="0"/>
    </xf>
    <xf borderId="5" fillId="15" fontId="33" numFmtId="49" xfId="0" applyAlignment="1" applyBorder="1" applyFont="1" applyNumberFormat="1">
      <alignment horizontal="left" readingOrder="0" shrinkToFit="0" vertical="center" wrapText="0"/>
    </xf>
    <xf borderId="6" fillId="22" fontId="34" numFmtId="165" xfId="0" applyAlignment="1" applyBorder="1" applyFill="1" applyFont="1" applyNumberFormat="1">
      <alignment horizontal="center" readingOrder="0" shrinkToFit="0" vertical="center" wrapText="0"/>
    </xf>
    <xf borderId="4" fillId="18" fontId="33" numFmtId="49" xfId="0" applyAlignment="1" applyBorder="1" applyFont="1" applyNumberFormat="1">
      <alignment horizontal="center" readingOrder="0" shrinkToFit="0" vertical="center" wrapText="0"/>
    </xf>
    <xf borderId="1" fillId="5" fontId="32" numFmtId="49" xfId="0" applyAlignment="1" applyBorder="1" applyFont="1" applyNumberFormat="1">
      <alignment horizontal="center" readingOrder="0" shrinkToFit="0" vertical="center" wrapText="0"/>
    </xf>
    <xf borderId="3" fillId="5" fontId="32" numFmtId="49" xfId="0" applyAlignment="1" applyBorder="1" applyFont="1" applyNumberFormat="1">
      <alignment horizontal="center" vertical="bottom"/>
    </xf>
    <xf borderId="6" fillId="22" fontId="35" numFmtId="49" xfId="0" applyAlignment="1" applyBorder="1" applyFont="1" applyNumberFormat="1">
      <alignment horizontal="center" readingOrder="0" shrinkToFit="0" vertical="center" wrapText="0"/>
    </xf>
    <xf borderId="3" fillId="23" fontId="36" numFmtId="0" xfId="0" applyAlignment="1" applyBorder="1" applyFill="1" applyFont="1">
      <alignment horizontal="center" readingOrder="0" shrinkToFit="0" vertical="center" wrapText="0"/>
    </xf>
    <xf borderId="3" fillId="5" fontId="32" numFmtId="0" xfId="0" applyAlignment="1" applyBorder="1" applyFont="1">
      <alignment horizontal="center" readingOrder="0" vertical="bottom"/>
    </xf>
    <xf borderId="6" fillId="22" fontId="35" numFmtId="0" xfId="0" applyAlignment="1" applyBorder="1" applyFont="1">
      <alignment horizontal="center" readingOrder="0" vertical="center"/>
    </xf>
    <xf borderId="0" fillId="22" fontId="35" numFmtId="0" xfId="0" applyAlignment="1" applyFont="1">
      <alignment horizontal="center" readingOrder="0" vertical="center"/>
    </xf>
    <xf borderId="0" fillId="22" fontId="34" numFmtId="0" xfId="0" applyAlignment="1" applyFont="1">
      <alignment horizontal="center" readingOrder="0" vertical="center"/>
    </xf>
    <xf quotePrefix="1" borderId="2" fillId="5" fontId="32" numFmtId="49" xfId="0" applyAlignment="1" applyBorder="1" applyFont="1" applyNumberFormat="1">
      <alignment horizontal="center" readingOrder="0" vertical="bottom"/>
    </xf>
    <xf borderId="6" fillId="22" fontId="34" numFmtId="0" xfId="0" applyAlignment="1" applyBorder="1" applyFont="1">
      <alignment horizontal="center" readingOrder="0" vertical="center"/>
    </xf>
    <xf borderId="6" fillId="22" fontId="34" numFmtId="0" xfId="0" applyAlignment="1" applyBorder="1" applyFont="1">
      <alignment horizontal="center" readingOrder="0" shrinkToFit="0" vertical="center" wrapText="1"/>
    </xf>
    <xf borderId="0" fillId="5" fontId="32" numFmtId="0" xfId="0" applyAlignment="1" applyFont="1">
      <alignment horizontal="center" readingOrder="0" vertical="bottom"/>
    </xf>
    <xf borderId="0" fillId="5" fontId="32" numFmtId="49" xfId="0" applyAlignment="1" applyFont="1" applyNumberFormat="1">
      <alignment horizontal="center" readingOrder="0" vertical="bottom"/>
    </xf>
    <xf borderId="0" fillId="18" fontId="33" numFmtId="0" xfId="0" applyAlignment="1" applyFont="1">
      <alignment horizontal="center" readingOrder="0" shrinkToFit="0" vertical="center" wrapText="0"/>
    </xf>
    <xf borderId="0" fillId="15" fontId="33" numFmtId="49" xfId="0" applyAlignment="1" applyFont="1" applyNumberFormat="1">
      <alignment horizontal="center" readingOrder="0" shrinkToFit="0" vertical="center" wrapText="0"/>
    </xf>
    <xf borderId="0" fillId="15" fontId="33" numFmtId="49" xfId="0" applyAlignment="1" applyFont="1" applyNumberFormat="1">
      <alignment horizontal="left" readingOrder="0" shrinkToFit="0" vertical="center" wrapText="0"/>
    </xf>
    <xf borderId="0" fillId="2" fontId="29" numFmtId="0" xfId="0" applyAlignment="1" applyFont="1">
      <alignment horizontal="center" readingOrder="0" shrinkToFit="0" vertical="center" wrapText="1"/>
    </xf>
    <xf borderId="0" fillId="2" fontId="29" numFmtId="49" xfId="0" applyAlignment="1" applyFont="1" applyNumberFormat="1">
      <alignment horizontal="center" readingOrder="0" shrinkToFit="0" vertical="center" wrapText="1"/>
    </xf>
    <xf borderId="0" fillId="2" fontId="30" numFmtId="0" xfId="0" applyAlignment="1" applyFont="1">
      <alignment horizontal="center" readingOrder="0" shrinkToFit="0" vertical="center" wrapText="1"/>
    </xf>
    <xf borderId="0" fillId="2" fontId="30" numFmtId="164" xfId="0" applyAlignment="1" applyFont="1" applyNumberFormat="1">
      <alignment horizontal="center" readingOrder="0" shrinkToFit="0" vertical="center" wrapText="1"/>
    </xf>
    <xf borderId="0" fillId="2" fontId="30" numFmtId="49" xfId="0" applyAlignment="1" applyFont="1" applyNumberFormat="1">
      <alignment horizontal="center" readingOrder="0" shrinkToFit="0" vertical="center" wrapText="1"/>
    </xf>
    <xf borderId="0" fillId="2" fontId="30" numFmtId="1" xfId="0" applyAlignment="1" applyFont="1" applyNumberFormat="1">
      <alignment horizontal="center" readingOrder="0" shrinkToFit="0" vertical="center" wrapText="1"/>
    </xf>
    <xf borderId="0" fillId="2" fontId="30" numFmtId="166" xfId="0" applyAlignment="1" applyFont="1" applyNumberFormat="1">
      <alignment horizontal="center" readingOrder="0" shrinkToFit="0" vertical="center" wrapText="1"/>
    </xf>
    <xf borderId="0" fillId="2" fontId="30" numFmtId="0" xfId="0" applyAlignment="1" applyFont="1">
      <alignment horizontal="center" shrinkToFit="0" vertical="center" wrapText="1"/>
    </xf>
    <xf borderId="0" fillId="15" fontId="8" numFmtId="173" xfId="0" applyAlignment="1" applyFont="1" applyNumberFormat="1">
      <alignment horizontal="center" shrinkToFit="0" vertical="center" wrapText="1"/>
    </xf>
    <xf borderId="0" fillId="15" fontId="8" numFmtId="166" xfId="0" applyAlignment="1" applyFont="1" applyNumberFormat="1">
      <alignment horizontal="center" shrinkToFit="0" vertical="center" wrapText="1"/>
    </xf>
    <xf borderId="0" fillId="15" fontId="8" numFmtId="165" xfId="0" applyAlignment="1" applyFont="1" applyNumberFormat="1">
      <alignment horizontal="center" shrinkToFit="0" vertical="center" wrapText="1"/>
    </xf>
    <xf borderId="0" fillId="15" fontId="8" numFmtId="0" xfId="0" applyAlignment="1" applyFont="1">
      <alignment horizontal="center" readingOrder="0" shrinkToFit="0" vertical="center" wrapText="1"/>
    </xf>
    <xf borderId="0" fillId="15" fontId="8" numFmtId="1" xfId="0" applyAlignment="1" applyFont="1" applyNumberFormat="1">
      <alignment horizontal="center" readingOrder="0" shrinkToFit="0" vertical="center" wrapText="1"/>
    </xf>
    <xf borderId="0" fillId="15" fontId="8" numFmtId="1" xfId="0" applyAlignment="1" applyFont="1" applyNumberFormat="1">
      <alignment horizontal="center" shrinkToFit="0" vertical="center" wrapText="1"/>
    </xf>
    <xf borderId="0" fillId="15" fontId="8" numFmtId="174" xfId="0" applyAlignment="1" applyFont="1" applyNumberFormat="1">
      <alignment horizontal="center" shrinkToFit="0" vertical="center" wrapText="1"/>
    </xf>
    <xf borderId="0" fillId="15" fontId="8" numFmtId="0" xfId="0" applyAlignment="1" applyFont="1">
      <alignment horizontal="center" readingOrder="0" shrinkToFit="0" vertical="center" wrapText="1"/>
    </xf>
    <xf borderId="0" fillId="15" fontId="31" numFmtId="0" xfId="0" applyAlignment="1" applyFont="1">
      <alignment horizontal="center" readingOrder="0" shrinkToFit="0" vertical="center" wrapText="1"/>
    </xf>
    <xf borderId="0" fillId="0" fontId="37" numFmtId="0" xfId="0" applyAlignment="1" applyFont="1">
      <alignment horizontal="center" readingOrder="0" vertical="center"/>
    </xf>
    <xf borderId="0" fillId="0" fontId="37" numFmtId="0" xfId="0" applyAlignment="1" applyFont="1">
      <alignment horizontal="center" readingOrder="0" shrinkToFit="0" vertical="center" wrapText="0"/>
    </xf>
    <xf borderId="0" fillId="5" fontId="38" numFmtId="0" xfId="0" applyAlignment="1" applyFont="1">
      <alignment horizontal="center" readingOrder="0" vertical="center"/>
    </xf>
    <xf borderId="0" fillId="6" fontId="39" numFmtId="0" xfId="0" applyAlignment="1" applyFont="1">
      <alignment horizontal="center" readingOrder="0" shrinkToFit="0" vertical="center" wrapText="0"/>
    </xf>
    <xf borderId="0" fillId="0" fontId="39" numFmtId="0" xfId="0" applyAlignment="1" applyFont="1">
      <alignment horizontal="center" readingOrder="0" vertical="center"/>
    </xf>
    <xf borderId="0" fillId="0" fontId="39" numFmtId="0" xfId="0" applyAlignment="1" applyFont="1">
      <alignment horizontal="center" readingOrder="0" shrinkToFit="0" vertical="center" wrapText="0"/>
    </xf>
    <xf borderId="0" fillId="0" fontId="39" numFmtId="1" xfId="0" applyAlignment="1" applyFont="1" applyNumberFormat="1">
      <alignment horizontal="center" readingOrder="0" vertical="center"/>
    </xf>
    <xf borderId="0" fillId="5" fontId="37" numFmtId="0" xfId="0" applyAlignment="1" applyFont="1">
      <alignment horizontal="center" readingOrder="0" vertical="center"/>
    </xf>
    <xf borderId="0" fillId="5" fontId="39" numFmtId="0" xfId="0" applyAlignment="1" applyFont="1">
      <alignment horizontal="center" shrinkToFit="0" vertical="center" wrapText="0"/>
    </xf>
    <xf borderId="0" fillId="5" fontId="39" numFmtId="0" xfId="0" applyAlignment="1" applyFont="1">
      <alignment horizontal="center" readingOrder="0" vertical="center"/>
    </xf>
    <xf borderId="0" fillId="0" fontId="39" numFmtId="0" xfId="0" applyAlignment="1" applyFont="1">
      <alignment horizontal="left" readingOrder="0" shrinkToFit="0" vertical="center" wrapText="0"/>
    </xf>
    <xf borderId="0" fillId="0" fontId="31" numFmtId="0" xfId="0" applyAlignment="1" applyFont="1">
      <alignment horizontal="center" readingOrder="0" vertical="center"/>
    </xf>
    <xf borderId="0" fillId="0" fontId="31" numFmtId="166" xfId="0" applyAlignment="1" applyFont="1" applyNumberFormat="1">
      <alignment horizontal="center" readingOrder="0" vertical="center"/>
    </xf>
    <xf borderId="0" fillId="0" fontId="31" numFmtId="0" xfId="0" applyAlignment="1" applyFont="1">
      <alignment horizontal="center" vertical="center"/>
    </xf>
    <xf borderId="0" fillId="7" fontId="40" numFmtId="0" xfId="0" applyAlignment="1" applyFont="1">
      <alignment horizontal="center" readingOrder="0" shrinkToFit="0" vertical="center" wrapText="0"/>
    </xf>
    <xf borderId="0" fillId="0" fontId="31" numFmtId="0" xfId="0" applyAlignment="1" applyFont="1">
      <alignment horizontal="left" vertical="center"/>
    </xf>
    <xf borderId="7" fillId="24" fontId="41" numFmtId="0" xfId="0" applyAlignment="1" applyBorder="1" applyFill="1" applyFont="1">
      <alignment horizontal="center" readingOrder="0" shrinkToFit="0" vertical="center" wrapText="0"/>
    </xf>
    <xf borderId="8" fillId="24" fontId="42" numFmtId="165" xfId="0" applyAlignment="1" applyBorder="1" applyFont="1" applyNumberFormat="1">
      <alignment horizontal="center" readingOrder="0"/>
    </xf>
    <xf borderId="0" fillId="11" fontId="43" numFmtId="0" xfId="0" applyAlignment="1" applyFont="1">
      <alignment horizontal="center" readingOrder="0" vertical="center"/>
    </xf>
    <xf borderId="0" fillId="4" fontId="44" numFmtId="165" xfId="0" applyAlignment="1" applyFont="1" applyNumberFormat="1">
      <alignment horizontal="center" readingOrder="0" shrinkToFit="0" vertical="bottom" wrapText="0"/>
    </xf>
    <xf borderId="0" fillId="4" fontId="43" numFmtId="0" xfId="0" applyAlignment="1" applyFont="1">
      <alignment horizontal="center" readingOrder="0" vertical="center"/>
    </xf>
    <xf borderId="0" fillId="4" fontId="45" numFmtId="0" xfId="0" applyAlignment="1" applyFont="1">
      <alignment horizontal="center" readingOrder="0" shrinkToFit="0" vertical="center" wrapText="0"/>
    </xf>
    <xf borderId="0" fillId="4" fontId="46" numFmtId="0" xfId="0" applyAlignment="1" applyFont="1">
      <alignment horizontal="center" readingOrder="0" vertical="center"/>
    </xf>
    <xf borderId="0" fillId="0" fontId="47" numFmtId="0" xfId="0" applyAlignment="1" applyFont="1">
      <alignment horizontal="center" readingOrder="0" vertical="center"/>
    </xf>
    <xf borderId="0" fillId="0" fontId="47" numFmtId="0" xfId="0" applyAlignment="1" applyFont="1">
      <alignment horizontal="center" vertical="center"/>
    </xf>
    <xf borderId="0" fillId="11" fontId="45" numFmtId="0" xfId="0" applyAlignment="1" applyFont="1">
      <alignment horizontal="center" readingOrder="0" shrinkToFit="0" vertical="center" wrapText="0"/>
    </xf>
    <xf borderId="0" fillId="11" fontId="46" numFmtId="0" xfId="0" applyAlignment="1" applyFont="1">
      <alignment horizontal="center" readingOrder="0" vertical="center"/>
    </xf>
    <xf borderId="0" fillId="11" fontId="47" numFmtId="0" xfId="0" applyAlignment="1" applyFont="1">
      <alignment horizontal="center" readingOrder="0" vertical="center"/>
    </xf>
    <xf borderId="0" fillId="0" fontId="3" numFmtId="0" xfId="0" applyAlignment="1" applyFont="1">
      <alignment horizontal="center"/>
    </xf>
    <xf borderId="0" fillId="0" fontId="3" numFmtId="165" xfId="0" applyFont="1" applyNumberFormat="1"/>
    <xf borderId="5" fillId="2" fontId="48" numFmtId="49" xfId="0" applyAlignment="1" applyBorder="1" applyFont="1" applyNumberFormat="1">
      <alignment horizontal="center" readingOrder="0" shrinkToFit="0" vertical="center" wrapText="1"/>
    </xf>
    <xf borderId="0" fillId="2" fontId="48" numFmtId="49" xfId="0" applyAlignment="1" applyFont="1" applyNumberFormat="1">
      <alignment horizontal="center" readingOrder="0" shrinkToFit="0" vertical="center" wrapText="1"/>
    </xf>
    <xf borderId="0" fillId="2" fontId="48" numFmtId="49" xfId="0" applyAlignment="1" applyFont="1" applyNumberFormat="1">
      <alignment horizontal="left" readingOrder="0" shrinkToFit="0" vertical="center" wrapText="1"/>
    </xf>
    <xf borderId="1" fillId="5" fontId="39" numFmtId="0" xfId="0" applyAlignment="1" applyBorder="1" applyFont="1">
      <alignment horizontal="center" readingOrder="0"/>
    </xf>
    <xf borderId="1" fillId="20" fontId="39" numFmtId="0" xfId="0" applyAlignment="1" applyBorder="1" applyFont="1">
      <alignment horizontal="center" readingOrder="0"/>
    </xf>
    <xf borderId="0" fillId="25" fontId="49" numFmtId="0" xfId="0" applyAlignment="1" applyFill="1" applyFont="1">
      <alignment horizontal="center" readingOrder="0" shrinkToFit="0" vertical="center" wrapText="0"/>
    </xf>
    <xf borderId="3" fillId="0" fontId="50" numFmtId="0" xfId="0" applyAlignment="1" applyBorder="1" applyFont="1">
      <alignment horizontal="center" readingOrder="0" shrinkToFit="0" vertical="center" wrapText="0"/>
    </xf>
    <xf borderId="2" fillId="0" fontId="39" numFmtId="0" xfId="0" applyAlignment="1" applyBorder="1" applyFont="1">
      <alignment horizontal="center" readingOrder="0" shrinkToFit="0" vertical="center" wrapText="0"/>
    </xf>
    <xf borderId="0" fillId="0" fontId="39" numFmtId="0" xfId="0" applyAlignment="1" applyFont="1">
      <alignment horizontal="left" readingOrder="0" shrinkToFit="0" vertical="center" wrapText="0"/>
    </xf>
    <xf borderId="0" fillId="0" fontId="39" numFmtId="0" xfId="0" applyAlignment="1" applyFont="1">
      <alignment horizontal="center" readingOrder="0" shrinkToFit="0" vertical="center" wrapText="0"/>
    </xf>
    <xf borderId="0" fillId="0" fontId="39" numFmtId="0" xfId="0" applyAlignment="1" applyFont="1">
      <alignment horizontal="center" readingOrder="0" shrinkToFit="0" vertical="center" wrapText="0"/>
    </xf>
    <xf borderId="0" fillId="0" fontId="39" numFmtId="164" xfId="0" applyAlignment="1" applyFont="1" applyNumberFormat="1">
      <alignment horizontal="center" readingOrder="0" shrinkToFit="0" vertical="center" wrapText="0"/>
    </xf>
    <xf borderId="1" fillId="5" fontId="39" numFmtId="0" xfId="0" applyAlignment="1" applyBorder="1" applyFont="1">
      <alignment horizontal="center" readingOrder="0" shrinkToFit="0" vertical="center" wrapText="1"/>
    </xf>
    <xf borderId="1" fillId="8" fontId="39" numFmtId="0" xfId="0" applyAlignment="1" applyBorder="1" applyFont="1">
      <alignment horizontal="center" shrinkToFit="0" vertical="center" wrapText="1"/>
    </xf>
    <xf borderId="1" fillId="11" fontId="39" numFmtId="0" xfId="0" applyAlignment="1" applyBorder="1" applyFont="1">
      <alignment horizontal="center" shrinkToFit="0" vertical="center" wrapText="1"/>
    </xf>
    <xf borderId="0" fillId="25" fontId="49" numFmtId="0" xfId="0" applyAlignment="1" applyFont="1">
      <alignment horizontal="center"/>
    </xf>
    <xf borderId="1" fillId="26" fontId="39" numFmtId="0" xfId="0" applyAlignment="1" applyBorder="1" applyFill="1" applyFont="1">
      <alignment horizontal="center" readingOrder="0"/>
    </xf>
    <xf borderId="1" fillId="26" fontId="39" numFmtId="0" xfId="0" applyAlignment="1" applyBorder="1" applyFont="1">
      <alignment horizontal="center"/>
    </xf>
    <xf borderId="0" fillId="0" fontId="37" numFmtId="0" xfId="0" applyAlignment="1" applyFont="1">
      <alignment horizontal="center"/>
    </xf>
    <xf borderId="1" fillId="5" fontId="37" numFmtId="0" xfId="0" applyAlignment="1" applyBorder="1" applyFont="1">
      <alignment horizontal="center" readingOrder="0"/>
    </xf>
    <xf borderId="1" fillId="27" fontId="37" numFmtId="0" xfId="0" applyAlignment="1" applyBorder="1" applyFill="1" applyFont="1">
      <alignment horizontal="center" readingOrder="0"/>
    </xf>
    <xf borderId="1" fillId="5" fontId="39" numFmtId="0" xfId="0" applyAlignment="1" applyBorder="1" applyFont="1">
      <alignment horizontal="center" shrinkToFit="0" vertical="center" wrapText="1"/>
    </xf>
    <xf borderId="1" fillId="13" fontId="39" numFmtId="0" xfId="0" applyAlignment="1" applyBorder="1" applyFont="1">
      <alignment horizontal="center" shrinkToFit="0" vertical="center" wrapText="1"/>
    </xf>
    <xf borderId="1" fillId="0" fontId="39" numFmtId="0" xfId="0" applyAlignment="1" applyBorder="1" applyFont="1">
      <alignment horizontal="center" shrinkToFit="0" vertical="center" wrapText="1"/>
    </xf>
    <xf borderId="1" fillId="5" fontId="51" numFmtId="0" xfId="0" applyAlignment="1" applyBorder="1" applyFont="1">
      <alignment horizontal="center" shrinkToFit="0" vertical="center" wrapText="1"/>
    </xf>
    <xf borderId="1" fillId="10" fontId="51" numFmtId="0" xfId="0" applyAlignment="1" applyBorder="1" applyFont="1">
      <alignment horizontal="center" shrinkToFit="0" vertical="center" wrapText="1"/>
    </xf>
    <xf borderId="1" fillId="10" fontId="49" numFmtId="0" xfId="0" applyAlignment="1" applyBorder="1" applyFont="1">
      <alignment horizontal="center" readingOrder="0" shrinkToFit="0" vertical="center" wrapText="1"/>
    </xf>
    <xf borderId="0" fillId="0" fontId="37" numFmtId="0" xfId="0" applyAlignment="1" applyFont="1">
      <alignment horizontal="center" readingOrder="0" vertical="bottom"/>
    </xf>
    <xf borderId="1" fillId="5" fontId="52" numFmtId="0" xfId="0" applyAlignment="1" applyBorder="1" applyFont="1">
      <alignment horizontal="center" readingOrder="0" shrinkToFit="0" vertical="center" wrapText="1"/>
    </xf>
    <xf borderId="1" fillId="28" fontId="52" numFmtId="0" xfId="0" applyAlignment="1" applyBorder="1" applyFill="1" applyFont="1">
      <alignment horizontal="center" readingOrder="0" shrinkToFit="0" vertical="center" wrapText="1"/>
    </xf>
    <xf borderId="0" fillId="0" fontId="37" numFmtId="0" xfId="0" applyAlignment="1" applyFont="1">
      <alignment horizontal="center" vertical="bottom"/>
    </xf>
    <xf borderId="1" fillId="5" fontId="53" numFmtId="0" xfId="0" applyAlignment="1" applyBorder="1" applyFont="1">
      <alignment horizontal="center" readingOrder="0"/>
    </xf>
    <xf borderId="1" fillId="5" fontId="54" numFmtId="0" xfId="0" applyAlignment="1" applyBorder="1" applyFont="1">
      <alignment horizontal="center" readingOrder="0"/>
    </xf>
    <xf borderId="1" fillId="5" fontId="37" numFmtId="0" xfId="0" applyAlignment="1" applyBorder="1" applyFont="1">
      <alignment horizontal="center" shrinkToFit="0" vertical="center" wrapText="1"/>
    </xf>
    <xf borderId="1" fillId="8" fontId="37" numFmtId="0" xfId="0" applyAlignment="1" applyBorder="1" applyFont="1">
      <alignment horizontal="center" shrinkToFit="0" vertical="center" wrapText="1"/>
    </xf>
    <xf borderId="1" fillId="8" fontId="37" numFmtId="0" xfId="0" applyAlignment="1" applyBorder="1" applyFont="1">
      <alignment horizontal="center" readingOrder="0" shrinkToFit="0" vertical="center" wrapText="1"/>
    </xf>
    <xf borderId="1" fillId="29" fontId="39" numFmtId="0" xfId="0" applyAlignment="1" applyBorder="1" applyFill="1" applyFont="1">
      <alignment horizontal="center" readingOrder="0"/>
    </xf>
    <xf borderId="1" fillId="30" fontId="39" numFmtId="0" xfId="0" applyAlignment="1" applyBorder="1" applyFill="1" applyFont="1">
      <alignment horizontal="center" readingOrder="0"/>
    </xf>
    <xf borderId="0" fillId="0" fontId="39" numFmtId="0" xfId="0" applyAlignment="1" applyFont="1">
      <alignment readingOrder="0"/>
    </xf>
    <xf borderId="0" fillId="0" fontId="39" numFmtId="0" xfId="0" applyAlignment="1" applyFont="1">
      <alignment horizontal="center" shrinkToFit="0" vertical="center" wrapText="0"/>
    </xf>
    <xf borderId="1" fillId="5" fontId="55" numFmtId="0" xfId="0" applyAlignment="1" applyBorder="1" applyFont="1">
      <alignment horizontal="center" shrinkToFit="0" vertical="center" wrapText="1"/>
    </xf>
    <xf borderId="1" fillId="15" fontId="55" numFmtId="0" xfId="0" applyAlignment="1" applyBorder="1" applyFont="1">
      <alignment horizontal="center" shrinkToFit="0" vertical="center" wrapText="1"/>
    </xf>
    <xf borderId="1" fillId="15" fontId="55" numFmtId="0" xfId="0" applyAlignment="1" applyBorder="1" applyFont="1">
      <alignment horizontal="center" readingOrder="0" shrinkToFit="0" vertical="center" wrapText="1"/>
    </xf>
    <xf borderId="0" fillId="5" fontId="56" numFmtId="0" xfId="0" applyAlignment="1" applyFont="1">
      <alignment readingOrder="0"/>
    </xf>
    <xf borderId="0" fillId="31" fontId="56" numFmtId="0" xfId="0" applyAlignment="1" applyFill="1" applyFont="1">
      <alignment readingOrder="0"/>
    </xf>
    <xf borderId="0" fillId="5" fontId="3" numFmtId="0" xfId="0" applyFont="1"/>
    <xf borderId="0" fillId="0" fontId="39" numFmtId="0" xfId="0" applyAlignment="1" applyFont="1">
      <alignment horizontal="left" readingOrder="0" shrinkToFit="0" vertical="center" wrapText="0"/>
    </xf>
    <xf borderId="0" fillId="32" fontId="3" numFmtId="0" xfId="0" applyFill="1" applyFont="1"/>
    <xf borderId="0" fillId="0" fontId="39" numFmtId="0" xfId="0" applyAlignment="1" applyFont="1">
      <alignment horizontal="center"/>
    </xf>
    <xf borderId="0" fillId="33" fontId="3" numFmtId="0" xfId="0" applyFill="1" applyFont="1"/>
    <xf borderId="0" fillId="0" fontId="37" numFmtId="0" xfId="0" applyAlignment="1" applyFont="1">
      <alignment horizontal="center" readingOrder="0"/>
    </xf>
    <xf borderId="0" fillId="0" fontId="55" numFmtId="0" xfId="0" applyAlignment="1" applyFont="1">
      <alignment horizontal="center" readingOrder="0" shrinkToFit="0" vertical="center" wrapText="0"/>
    </xf>
    <xf borderId="0" fillId="0" fontId="50" numFmtId="0" xfId="0" applyAlignment="1" applyFont="1">
      <alignment horizontal="center" readingOrder="0" shrinkToFit="0" vertical="center" wrapText="0"/>
    </xf>
    <xf borderId="0" fillId="33" fontId="50" numFmtId="0" xfId="0" applyAlignment="1" applyFont="1">
      <alignment horizontal="center" readingOrder="0" shrinkToFit="0" vertical="center" wrapText="0"/>
    </xf>
    <xf borderId="0" fillId="33" fontId="39" numFmtId="0" xfId="0" applyAlignment="1" applyFont="1">
      <alignment horizontal="center" readingOrder="0" shrinkToFit="0" vertical="center" wrapText="0"/>
    </xf>
    <xf borderId="0" fillId="0" fontId="39" numFmtId="0" xfId="0" applyAlignment="1" applyFont="1">
      <alignment horizontal="center" shrinkToFit="0" vertical="center" wrapText="0"/>
    </xf>
    <xf borderId="0" fillId="0" fontId="3" numFmtId="0" xfId="0" applyFont="1"/>
    <xf borderId="0" fillId="0" fontId="39" numFmtId="49" xfId="0" applyAlignment="1" applyFont="1" applyNumberFormat="1">
      <alignment horizontal="center" shrinkToFit="0" vertical="center" wrapText="0"/>
    </xf>
    <xf borderId="0" fillId="0" fontId="39" numFmtId="49" xfId="0" applyAlignment="1" applyFont="1" applyNumberFormat="1">
      <alignment horizontal="center" readingOrder="0" shrinkToFit="0" vertical="center" wrapText="0"/>
    </xf>
    <xf borderId="0" fillId="33" fontId="50" numFmtId="0" xfId="0" applyAlignment="1" applyFont="1">
      <alignment horizontal="center" readingOrder="0" shrinkToFit="0" vertical="center" wrapText="0"/>
    </xf>
    <xf borderId="0" fillId="33" fontId="39" numFmtId="0" xfId="0" applyAlignment="1" applyFont="1">
      <alignment horizontal="center" readingOrder="0" shrinkToFit="0" vertical="center" wrapText="0"/>
    </xf>
    <xf borderId="0" fillId="0" fontId="57" numFmtId="49" xfId="0" applyAlignment="1" applyFont="1" applyNumberFormat="1">
      <alignment horizontal="left" readingOrder="0" vertical="center"/>
    </xf>
    <xf borderId="0" fillId="0" fontId="57" numFmtId="0" xfId="0" applyAlignment="1" applyFont="1">
      <alignment horizontal="left" readingOrder="0" vertical="center"/>
    </xf>
    <xf borderId="0" fillId="0" fontId="39" numFmtId="0" xfId="0" applyAlignment="1" applyFont="1">
      <alignment horizontal="left" shrinkToFit="0" vertical="center" wrapText="0"/>
    </xf>
    <xf borderId="9" fillId="0" fontId="3" numFmtId="0" xfId="0" applyAlignment="1" applyBorder="1" applyFont="1">
      <alignment horizontal="left" shrinkToFit="0" vertical="center" wrapText="0"/>
    </xf>
    <xf borderId="10" fillId="0" fontId="3" numFmtId="0" xfId="0" applyAlignment="1" applyBorder="1" applyFont="1">
      <alignment horizontal="left" shrinkToFit="0" vertical="center" wrapText="0"/>
    </xf>
    <xf borderId="11" fillId="0" fontId="3" numFmtId="0" xfId="0" applyAlignment="1" applyBorder="1" applyFont="1">
      <alignment horizontal="left" shrinkToFit="0" vertical="center" wrapText="0"/>
    </xf>
    <xf borderId="12" fillId="0" fontId="3" numFmtId="170" xfId="0" applyAlignment="1" applyBorder="1" applyFont="1" applyNumberFormat="1">
      <alignment readingOrder="0" shrinkToFit="0" vertical="center" wrapText="0"/>
    </xf>
    <xf borderId="13" fillId="0" fontId="3" numFmtId="0" xfId="0" applyAlignment="1" applyBorder="1" applyFont="1">
      <alignment readingOrder="0" shrinkToFit="0" vertical="center" wrapText="0"/>
    </xf>
    <xf borderId="13" fillId="0" fontId="3" numFmtId="0" xfId="0" applyAlignment="1" applyBorder="1" applyFont="1">
      <alignment readingOrder="0" shrinkToFit="0" vertical="center" wrapText="0"/>
    </xf>
    <xf borderId="14" fillId="0" fontId="3" numFmtId="0" xfId="0" applyAlignment="1" applyBorder="1" applyFont="1">
      <alignment readingOrder="0" shrinkToFit="0" vertical="center" wrapText="0"/>
    </xf>
    <xf borderId="15" fillId="0" fontId="3" numFmtId="170" xfId="0" applyAlignment="1" applyBorder="1" applyFont="1" applyNumberFormat="1">
      <alignment readingOrder="0" shrinkToFit="0" vertical="center" wrapText="0"/>
    </xf>
    <xf borderId="16" fillId="0" fontId="3" numFmtId="0" xfId="0" applyAlignment="1" applyBorder="1" applyFont="1">
      <alignment readingOrder="0" shrinkToFit="0" vertical="center" wrapText="0"/>
    </xf>
    <xf borderId="16" fillId="0" fontId="3" numFmtId="0" xfId="0" applyAlignment="1" applyBorder="1" applyFont="1">
      <alignment readingOrder="0" shrinkToFit="0" vertical="center" wrapText="0"/>
    </xf>
    <xf borderId="17" fillId="0" fontId="3" numFmtId="0" xfId="0" applyAlignment="1" applyBorder="1" applyFont="1">
      <alignment readingOrder="0" shrinkToFit="0" vertical="center" wrapText="0"/>
    </xf>
    <xf borderId="16" fillId="0" fontId="3" numFmtId="0" xfId="0" applyAlignment="1" applyBorder="1" applyFont="1">
      <alignment readingOrder="0" shrinkToFit="0" vertical="center" wrapText="0"/>
    </xf>
    <xf borderId="12" fillId="0" fontId="3" numFmtId="170" xfId="0" applyAlignment="1" applyBorder="1" applyFont="1" applyNumberFormat="1">
      <alignment readingOrder="0" shrinkToFit="0" vertical="center" wrapText="0"/>
    </xf>
    <xf borderId="13" fillId="0" fontId="3" numFmtId="0" xfId="0" applyAlignment="1" applyBorder="1" applyFont="1">
      <alignment readingOrder="0" shrinkToFit="0" vertical="center" wrapText="0"/>
    </xf>
    <xf borderId="13" fillId="0" fontId="3" numFmtId="0" xfId="0" applyAlignment="1" applyBorder="1" applyFont="1">
      <alignment readingOrder="0" shrinkToFit="0" vertical="center" wrapText="0"/>
    </xf>
    <xf borderId="14" fillId="0" fontId="3" numFmtId="0" xfId="0" applyAlignment="1" applyBorder="1" applyFont="1">
      <alignment readingOrder="0" shrinkToFit="0" vertical="center" wrapText="0"/>
    </xf>
    <xf borderId="15" fillId="0" fontId="3" numFmtId="170" xfId="0" applyAlignment="1" applyBorder="1" applyFont="1" applyNumberFormat="1">
      <alignment readingOrder="0" shrinkToFit="0" vertical="center" wrapText="0"/>
    </xf>
    <xf borderId="16" fillId="0" fontId="3" numFmtId="0" xfId="0" applyAlignment="1" applyBorder="1" applyFont="1">
      <alignment readingOrder="0" shrinkToFit="0" vertical="center" wrapText="0"/>
    </xf>
    <xf borderId="16" fillId="0" fontId="3" numFmtId="0" xfId="0" applyAlignment="1" applyBorder="1" applyFont="1">
      <alignment readingOrder="0" shrinkToFit="0" vertical="center" wrapText="0"/>
    </xf>
    <xf borderId="17" fillId="0" fontId="3" numFmtId="0" xfId="0" applyAlignment="1" applyBorder="1" applyFont="1">
      <alignment readingOrder="0" shrinkToFit="0" vertical="center" wrapText="0"/>
    </xf>
    <xf borderId="18" fillId="0" fontId="3" numFmtId="170" xfId="0" applyAlignment="1" applyBorder="1" applyFont="1" applyNumberFormat="1">
      <alignment readingOrder="0" shrinkToFit="0" vertical="center" wrapText="0"/>
    </xf>
    <xf borderId="19" fillId="0" fontId="3" numFmtId="0" xfId="0" applyAlignment="1" applyBorder="1" applyFont="1">
      <alignment readingOrder="0" shrinkToFit="0" vertical="center" wrapText="0"/>
    </xf>
    <xf borderId="19" fillId="0" fontId="3" numFmtId="0" xfId="0" applyAlignment="1" applyBorder="1" applyFont="1">
      <alignment readingOrder="0" shrinkToFit="0" vertical="center" wrapText="0"/>
    </xf>
    <xf borderId="20" fillId="0" fontId="3" numFmtId="0" xfId="0" applyAlignment="1" applyBorder="1" applyFont="1">
      <alignment readingOrder="0" shrinkToFit="0" vertical="center" wrapText="0"/>
    </xf>
    <xf borderId="0" fillId="0" fontId="3" numFmtId="0" xfId="0" applyAlignment="1" applyFont="1">
      <alignment readingOrder="0"/>
    </xf>
    <xf borderId="0" fillId="0" fontId="3" numFmtId="172" xfId="0" applyFont="1" applyNumberFormat="1"/>
  </cellXfs>
  <cellStyles count="1">
    <cellStyle xfId="0" name="Normal" builtinId="0"/>
  </cellStyles>
  <dxfs count="46">
    <dxf>
      <font>
        <b/>
        <color rgb="FF000000"/>
      </font>
      <fill>
        <patternFill patternType="solid">
          <fgColor rgb="FF6D9EEB"/>
          <bgColor rgb="FF6D9EEB"/>
        </patternFill>
      </fill>
      <border/>
    </dxf>
    <dxf>
      <font/>
      <fill>
        <patternFill patternType="solid">
          <fgColor rgb="FF9BBB59"/>
          <bgColor rgb="FF9BBB59"/>
        </patternFill>
      </fill>
      <border/>
    </dxf>
    <dxf>
      <font/>
      <fill>
        <patternFill patternType="solid">
          <fgColor rgb="FFD0E0E3"/>
          <bgColor rgb="FFD0E0E3"/>
        </patternFill>
      </fill>
      <border/>
    </dxf>
    <dxf>
      <font>
        <color rgb="FF000000"/>
      </font>
      <fill>
        <patternFill patternType="solid">
          <fgColor rgb="FFB4A7D6"/>
          <bgColor rgb="FFB4A7D6"/>
        </patternFill>
      </fill>
      <border/>
    </dxf>
    <dxf>
      <font/>
      <fill>
        <patternFill patternType="solid">
          <fgColor rgb="FFFCE8B2"/>
          <bgColor rgb="FFFCE8B2"/>
        </patternFill>
      </fill>
      <border/>
    </dxf>
    <dxf>
      <font/>
      <fill>
        <patternFill patternType="solid">
          <fgColor rgb="FF00FFFF"/>
          <bgColor rgb="FF00FFFF"/>
        </patternFill>
      </fill>
      <border/>
    </dxf>
    <dxf>
      <font/>
      <fill>
        <patternFill patternType="solid">
          <fgColor rgb="FF17C1FF"/>
          <bgColor rgb="FF17C1FF"/>
        </patternFill>
      </fill>
      <border/>
    </dxf>
    <dxf>
      <font>
        <b/>
        <u/>
      </font>
      <fill>
        <patternFill patternType="solid">
          <fgColor rgb="FFFFC000"/>
          <bgColor rgb="FFFFC000"/>
        </patternFill>
      </fill>
      <border/>
    </dxf>
    <dxf>
      <font>
        <color rgb="FFFFFFFF"/>
      </font>
      <fill>
        <patternFill patternType="solid">
          <fgColor rgb="FFFF0000"/>
          <bgColor rgb="FFFF0000"/>
        </patternFill>
      </fill>
      <border/>
    </dxf>
    <dxf>
      <font>
        <color rgb="FF000000"/>
      </font>
      <fill>
        <patternFill patternType="solid">
          <fgColor rgb="FF00FFFF"/>
          <bgColor rgb="FF00FFFF"/>
        </patternFill>
      </fill>
      <border/>
    </dxf>
    <dxf>
      <font>
        <color rgb="FF000000"/>
      </font>
      <fill>
        <patternFill patternType="solid">
          <fgColor rgb="FF00FF00"/>
          <bgColor rgb="FF00FF00"/>
        </patternFill>
      </fill>
      <border/>
    </dxf>
    <dxf>
      <font>
        <color rgb="FFFFFFFF"/>
      </font>
      <fill>
        <patternFill patternType="solid">
          <fgColor rgb="FF3C78D8"/>
          <bgColor rgb="FF3C78D8"/>
        </patternFill>
      </fill>
      <border/>
    </dxf>
    <dxf>
      <font>
        <b/>
        <u/>
      </font>
      <fill>
        <patternFill patternType="solid">
          <fgColor rgb="FF00FFFF"/>
          <bgColor rgb="FF00FFFF"/>
        </patternFill>
      </fill>
      <border/>
    </dxf>
    <dxf>
      <font/>
      <fill>
        <patternFill patternType="solid">
          <fgColor rgb="FFFFFFFF"/>
          <bgColor rgb="FFFFFFFF"/>
        </patternFill>
      </fill>
      <border/>
    </dxf>
    <dxf>
      <font>
        <color rgb="FF000000"/>
      </font>
      <fill>
        <patternFill patternType="solid">
          <fgColor rgb="FF9FC5E8"/>
          <bgColor rgb="FF9FC5E8"/>
        </patternFill>
      </fill>
      <border/>
    </dxf>
    <dxf>
      <font>
        <color rgb="FF000000"/>
      </font>
      <fill>
        <patternFill patternType="solid">
          <fgColor rgb="FFD5A6BD"/>
          <bgColor rgb="FFD5A6BD"/>
        </patternFill>
      </fill>
      <border/>
    </dxf>
    <dxf>
      <font>
        <color rgb="FFFFFFFF"/>
      </font>
      <fill>
        <patternFill patternType="solid">
          <fgColor rgb="FFA64D79"/>
          <bgColor rgb="FFA64D79"/>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00B050"/>
          <bgColor rgb="FF00B050"/>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00B0F0"/>
          <bgColor rgb="FF00B0F0"/>
        </patternFill>
      </fill>
      <border/>
    </dxf>
    <dxf>
      <font>
        <color rgb="FFD9D9D9"/>
      </font>
      <fill>
        <patternFill patternType="solid">
          <fgColor rgb="FFCC0000"/>
          <bgColor rgb="FFCC0000"/>
        </patternFill>
      </fill>
      <border/>
    </dxf>
    <dxf>
      <font>
        <b/>
        <u/>
        <color rgb="FFFF0000"/>
      </font>
      <fill>
        <patternFill patternType="solid">
          <fgColor rgb="FFFFFFFF"/>
          <bgColor rgb="FFFFFFFF"/>
        </patternFill>
      </fill>
      <border/>
    </dxf>
    <dxf>
      <font>
        <b/>
        <color rgb="FF000000"/>
      </font>
      <fill>
        <patternFill patternType="solid">
          <fgColor rgb="FFFFFFA4"/>
          <bgColor rgb="FFFFFFA4"/>
        </patternFill>
      </fill>
      <border/>
    </dxf>
    <dxf>
      <font>
        <b/>
        <u/>
        <color rgb="FF9900FF"/>
      </font>
      <fill>
        <patternFill patternType="solid">
          <fgColor rgb="FFFFFFFF"/>
          <bgColor rgb="FFFFFFFF"/>
        </patternFill>
      </fill>
      <border/>
    </dxf>
    <dxf>
      <font/>
      <fill>
        <patternFill patternType="solid">
          <fgColor rgb="FF8E7CC3"/>
          <bgColor rgb="FF8E7CC3"/>
        </patternFill>
      </fill>
      <border/>
    </dxf>
    <dxf>
      <font>
        <color rgb="FF000000"/>
      </font>
      <fill>
        <patternFill patternType="solid">
          <fgColor rgb="FF666666"/>
          <bgColor rgb="FF666666"/>
        </patternFill>
      </fill>
      <border/>
    </dxf>
    <dxf>
      <font>
        <color rgb="FF000000"/>
      </font>
      <fill>
        <patternFill patternType="solid">
          <fgColor rgb="FF6D9EEB"/>
          <bgColor rgb="FF6D9EEB"/>
        </patternFill>
      </fill>
      <border/>
    </dxf>
    <dxf>
      <font>
        <b/>
        <u/>
        <color rgb="FF000000"/>
      </font>
      <fill>
        <patternFill patternType="solid">
          <fgColor rgb="FFFFFF00"/>
          <bgColor rgb="FFFFFF00"/>
        </patternFill>
      </fill>
      <border/>
    </dxf>
    <dxf>
      <font>
        <b/>
        <color theme="0"/>
      </font>
      <fill>
        <patternFill patternType="solid">
          <fgColor rgb="FFFF0000"/>
          <bgColor rgb="FFFF0000"/>
        </patternFill>
      </fill>
      <border/>
    </dxf>
    <dxf>
      <font/>
      <fill>
        <patternFill patternType="solid">
          <fgColor theme="0"/>
          <bgColor theme="0"/>
        </patternFill>
      </fill>
      <border/>
    </dxf>
    <dxf>
      <font>
        <b/>
        <color rgb="FFFFFFFF"/>
      </font>
      <fill>
        <patternFill patternType="solid">
          <fgColor rgb="FFFF0000"/>
          <bgColor rgb="FFFF0000"/>
        </patternFill>
      </fill>
      <border/>
    </dxf>
    <dxf>
      <font/>
      <fill>
        <patternFill patternType="solid">
          <fgColor rgb="FFBDBDBD"/>
          <bgColor rgb="FFBDBDBD"/>
        </patternFill>
      </fill>
      <border/>
    </dxf>
    <dxf>
      <font>
        <color rgb="FFFFFFFF"/>
      </font>
      <fill>
        <patternFill patternType="solid">
          <fgColor rgb="FF1C4587"/>
          <bgColor rgb="FF1C4587"/>
        </patternFill>
      </fill>
      <border/>
    </dxf>
    <dxf>
      <font>
        <b/>
        <color rgb="FF1F497D"/>
      </font>
      <fill>
        <patternFill patternType="solid">
          <fgColor theme="0"/>
          <bgColor theme="0"/>
        </patternFill>
      </fill>
      <border/>
    </dxf>
    <dxf>
      <font/>
      <fill>
        <patternFill patternType="none"/>
      </fill>
      <border/>
    </dxf>
    <dxf>
      <font/>
      <fill>
        <patternFill patternType="solid">
          <fgColor rgb="FF002446"/>
          <bgColor rgb="FF002446"/>
        </patternFill>
      </fill>
      <border/>
    </dxf>
    <dxf>
      <font/>
      <fill>
        <patternFill patternType="solid">
          <fgColor rgb="FFF4C7C3"/>
          <bgColor rgb="FFF4C7C3"/>
        </patternFill>
      </fill>
      <border/>
    </dxf>
    <dxf>
      <font/>
      <fill>
        <patternFill patternType="solid">
          <fgColor rgb="FFB7E1CD"/>
          <bgColor rgb="FFB7E1CD"/>
        </patternFill>
      </fill>
      <border/>
    </dxf>
    <dxf>
      <font>
        <color rgb="FF0B8043"/>
      </font>
      <fill>
        <patternFill patternType="none"/>
      </fill>
      <border/>
    </dxf>
    <dxf>
      <font>
        <color rgb="FFFFFFFF"/>
      </font>
      <fill>
        <patternFill patternType="solid">
          <fgColor rgb="FF8E7CC3"/>
          <bgColor rgb="FF8E7CC3"/>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Estoque V2-style">
      <tableStyleElement dxfId="38" type="firstRowStripe"/>
      <tableStyleElement dxfId="38" type="secondRowStripe"/>
    </tableStyle>
    <tableStyle count="4" pivot="0" name="ETIQUETAS IMPRESSAS-style">
      <tableStyleElement dxfId="43" type="headerRow"/>
      <tableStyleElement dxfId="44" type="firstRowStripe"/>
      <tableStyleElement dxfId="45" type="secondRowStripe"/>
      <tableStyleElement dxfId="37"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H2"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Estoque V2-style" showColumnStripes="0" showFirstColumn="1" showLastColumn="1" showRowStripes="1"/>
</table>
</file>

<file path=xl/tables/table2.xml><?xml version="1.0" encoding="utf-8"?>
<table xmlns="http://schemas.openxmlformats.org/spreadsheetml/2006/main" ref="A1:K1583" displayName="Tabela_1" name="Tabela_1" id="2">
  <autoFilter ref="$A$1:$K$1583"/>
  <tableColumns count="11">
    <tableColumn name="Coluna 1" id="1"/>
    <tableColumn name="Coluna 2" id="2"/>
    <tableColumn name="Coluna 3" id="3"/>
    <tableColumn name="Coluna 4" id="4"/>
    <tableColumn name="Coluna 5" id="5"/>
    <tableColumn name="Coluna 6" id="6"/>
    <tableColumn name="Coluna 7" id="7"/>
    <tableColumn name="Coluna 8" id="8"/>
    <tableColumn name="Coluna 9" id="9"/>
    <tableColumn name="Coluna 10" id="10"/>
    <tableColumn name="Coluna 11" id="11"/>
  </tableColumns>
  <tableStyleInfo name="ETIQUETAS IMPRESS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fuhxhux.qceyvttpbaq.bq" TargetMode="External"/><Relationship Id="rId11" Type="http://schemas.openxmlformats.org/officeDocument/2006/relationships/hyperlink" Target="http://6d0mbwkir62boccsfyw.rw" TargetMode="External"/><Relationship Id="rId22" Type="http://schemas.openxmlformats.org/officeDocument/2006/relationships/hyperlink" Target="http://l4mfca9nqh-oaww6dze.ga" TargetMode="External"/><Relationship Id="rId10" Type="http://schemas.openxmlformats.org/officeDocument/2006/relationships/hyperlink" Target="mailto:jairevilasio@gmail.com" TargetMode="External"/><Relationship Id="rId21" Type="http://schemas.openxmlformats.org/officeDocument/2006/relationships/hyperlink" Target="http://qg3ivbcbroyapyk4lv8.eg" TargetMode="External"/><Relationship Id="rId13" Type="http://schemas.openxmlformats.org/officeDocument/2006/relationships/hyperlink" Target="http://oy1zqmf9rqorrv7f8e2.pa" TargetMode="External"/><Relationship Id="rId24" Type="http://schemas.openxmlformats.org/officeDocument/2006/relationships/drawing" Target="../drawings/drawing1.xml"/><Relationship Id="rId12" Type="http://schemas.openxmlformats.org/officeDocument/2006/relationships/hyperlink" Target="http://epias6bbtq6ep7i6c2b.zw" TargetMode="External"/><Relationship Id="rId23" Type="http://schemas.openxmlformats.org/officeDocument/2006/relationships/hyperlink" Target="http://vam1g15fsxwg5oqrjde.mw" TargetMode="External"/><Relationship Id="rId1" Type="http://schemas.openxmlformats.org/officeDocument/2006/relationships/hyperlink" Target="http://adyrknwntdwsz.hlr5o.mw" TargetMode="External"/><Relationship Id="rId2" Type="http://schemas.openxmlformats.org/officeDocument/2006/relationships/hyperlink" Target="http://iqfwis0cq5gqdbcnptx.bw" TargetMode="External"/><Relationship Id="rId3" Type="http://schemas.openxmlformats.org/officeDocument/2006/relationships/hyperlink" Target="http://lwviidyctk2pxrcwyn4.mg" TargetMode="External"/><Relationship Id="rId4" Type="http://schemas.openxmlformats.org/officeDocument/2006/relationships/hyperlink" Target="http://73ruw19wsfalksi1ffn.pa" TargetMode="External"/><Relationship Id="rId9" Type="http://schemas.openxmlformats.org/officeDocument/2006/relationships/hyperlink" Target="mailto:jairevilasio@gmail.com" TargetMode="External"/><Relationship Id="rId15" Type="http://schemas.openxmlformats.org/officeDocument/2006/relationships/hyperlink" Target="http://aulkyhigrpajpvtw8sp.zw" TargetMode="External"/><Relationship Id="rId14" Type="http://schemas.openxmlformats.org/officeDocument/2006/relationships/hyperlink" Target="http://zoeyawdhshaydveb5nh.na" TargetMode="External"/><Relationship Id="rId17" Type="http://schemas.openxmlformats.org/officeDocument/2006/relationships/hyperlink" Target="http://udjrw2olrccjswjlca9.ma" TargetMode="External"/><Relationship Id="rId16" Type="http://schemas.openxmlformats.org/officeDocument/2006/relationships/hyperlink" Target="http://x1bn074ds-arulods0n.ua" TargetMode="External"/><Relationship Id="rId5" Type="http://schemas.openxmlformats.org/officeDocument/2006/relationships/hyperlink" Target="http://bn5fthour-6h1clwyog.za" TargetMode="External"/><Relationship Id="rId19" Type="http://schemas.openxmlformats.org/officeDocument/2006/relationships/hyperlink" Target="http://mfve8ys6rjuavsw3vjm.va" TargetMode="External"/><Relationship Id="rId6" Type="http://schemas.openxmlformats.org/officeDocument/2006/relationships/hyperlink" Target="http://dzld81iwtdk9d0cnr0x.aw" TargetMode="External"/><Relationship Id="rId18" Type="http://schemas.openxmlformats.org/officeDocument/2006/relationships/hyperlink" Target="http://eb6nnqcssfwexsarlhh.iq" TargetMode="External"/><Relationship Id="rId7" Type="http://schemas.openxmlformats.org/officeDocument/2006/relationships/hyperlink" Target="mailto:jairevilasio@gmail.com" TargetMode="External"/><Relationship Id="rId8" Type="http://schemas.openxmlformats.org/officeDocument/2006/relationships/hyperlink" Target="http://xxn7oi-jrgiqlaauj4l.b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14"/>
    <col customWidth="1" min="2" max="2" width="23.86"/>
    <col customWidth="1" min="3" max="3" width="7.29"/>
    <col customWidth="1" min="4" max="4" width="24.86"/>
    <col customWidth="1" min="5" max="5" width="18.86"/>
    <col customWidth="1" min="6" max="6" width="8.0"/>
    <col customWidth="1" min="7" max="7" width="12.86"/>
    <col customWidth="1" min="8" max="8" width="11.57"/>
    <col customWidth="1" min="9" max="9" width="16.29"/>
    <col customWidth="1" min="10" max="10" width="9.14"/>
    <col customWidth="1" min="11" max="11" width="7.86"/>
    <col customWidth="1" min="12" max="12" width="14.43"/>
    <col customWidth="1" min="13" max="13" width="8.86"/>
    <col customWidth="1" min="14" max="14" width="6.86"/>
    <col customWidth="1" min="15" max="15" width="12.14"/>
    <col customWidth="1" min="16" max="16" width="61.71"/>
    <col customWidth="1" min="17" max="17" width="13.57"/>
    <col customWidth="1" min="18" max="18" width="18.14"/>
    <col customWidth="1" min="19" max="19" width="23.29"/>
    <col customWidth="1" min="20" max="20" width="24.0"/>
    <col customWidth="1" min="21" max="21" width="19.86"/>
    <col customWidth="1" min="22" max="22" width="16.14"/>
    <col customWidth="1" min="23" max="24" width="13.57"/>
    <col customWidth="1" min="25" max="29" width="10.14"/>
  </cols>
  <sheetData>
    <row r="1" ht="45.75" customHeight="1">
      <c r="A1" s="1" t="s">
        <v>0</v>
      </c>
      <c r="B1" s="1" t="s">
        <v>1</v>
      </c>
      <c r="C1" s="2" t="s">
        <v>2</v>
      </c>
      <c r="D1" s="3" t="s">
        <v>3</v>
      </c>
      <c r="E1" s="4" t="s">
        <v>4</v>
      </c>
      <c r="F1" s="2" t="s">
        <v>5</v>
      </c>
      <c r="G1" s="2" t="s">
        <v>6</v>
      </c>
      <c r="H1" s="2" t="s">
        <v>7</v>
      </c>
      <c r="I1" s="5" t="s">
        <v>8</v>
      </c>
      <c r="J1" s="6" t="s">
        <v>9</v>
      </c>
      <c r="K1" s="6" t="s">
        <v>10</v>
      </c>
      <c r="L1" s="7" t="s">
        <v>11</v>
      </c>
      <c r="M1" s="8" t="s">
        <v>12</v>
      </c>
      <c r="N1" s="8" t="s">
        <v>13</v>
      </c>
      <c r="O1" s="9" t="s">
        <v>14</v>
      </c>
      <c r="P1" s="10" t="s">
        <v>15</v>
      </c>
      <c r="Q1" s="11" t="s">
        <v>16</v>
      </c>
      <c r="R1" s="12" t="s">
        <v>17</v>
      </c>
      <c r="S1" s="12" t="s">
        <v>18</v>
      </c>
      <c r="T1" s="11" t="s">
        <v>19</v>
      </c>
      <c r="U1" s="11" t="s">
        <v>20</v>
      </c>
      <c r="V1" s="13" t="s">
        <v>21</v>
      </c>
      <c r="W1" s="14" t="s">
        <v>22</v>
      </c>
      <c r="X1" s="15" t="s">
        <v>23</v>
      </c>
      <c r="Y1" s="16" t="s">
        <v>24</v>
      </c>
      <c r="Z1" s="16" t="s">
        <v>25</v>
      </c>
      <c r="AA1" s="16" t="s">
        <v>26</v>
      </c>
      <c r="AB1" s="17" t="s">
        <v>27</v>
      </c>
      <c r="AC1" s="17" t="s">
        <v>28</v>
      </c>
    </row>
    <row r="2" ht="18.75" customHeight="1">
      <c r="A2" s="18" t="s">
        <v>29</v>
      </c>
      <c r="B2" s="19" t="s">
        <v>30</v>
      </c>
      <c r="C2" s="20">
        <v>0.0</v>
      </c>
      <c r="D2" s="21" t="s">
        <v>31</v>
      </c>
      <c r="E2" s="22" t="s">
        <v>32</v>
      </c>
      <c r="F2" s="18" t="s">
        <v>33</v>
      </c>
      <c r="G2" s="18" t="s">
        <v>34</v>
      </c>
      <c r="H2" s="23" t="s">
        <v>35</v>
      </c>
      <c r="I2" s="24" t="s">
        <v>36</v>
      </c>
      <c r="J2" s="25" t="s">
        <v>37</v>
      </c>
      <c r="K2" s="26" t="s">
        <v>38</v>
      </c>
      <c r="L2" s="25" t="s">
        <v>39</v>
      </c>
      <c r="M2" s="27" t="s">
        <v>40</v>
      </c>
      <c r="N2" s="26" t="s">
        <v>41</v>
      </c>
      <c r="O2" s="28">
        <v>45461.6045906713</v>
      </c>
      <c r="P2" s="26" t="s">
        <v>42</v>
      </c>
      <c r="Q2" s="11"/>
      <c r="R2" s="11"/>
      <c r="S2" s="11"/>
      <c r="T2" s="29">
        <v>45460.0</v>
      </c>
      <c r="U2" s="29">
        <v>45460.0</v>
      </c>
      <c r="V2" s="29">
        <f>O2</f>
        <v>45461.60459</v>
      </c>
      <c r="W2" s="30"/>
      <c r="X2" s="30"/>
      <c r="Y2" s="31"/>
      <c r="Z2" s="31"/>
      <c r="AA2" s="31"/>
      <c r="AB2" s="31" t="s">
        <v>43</v>
      </c>
      <c r="AC2" s="31"/>
    </row>
    <row r="3" ht="18.75" customHeight="1">
      <c r="A3" s="32" t="s">
        <v>44</v>
      </c>
      <c r="B3" s="33" t="s">
        <v>45</v>
      </c>
      <c r="C3" s="20">
        <v>41.0</v>
      </c>
      <c r="D3" s="21" t="s">
        <v>46</v>
      </c>
      <c r="E3" s="27" t="s">
        <v>47</v>
      </c>
      <c r="F3" s="18" t="s">
        <v>48</v>
      </c>
      <c r="G3" s="32" t="s">
        <v>35</v>
      </c>
      <c r="H3" s="23" t="s">
        <v>35</v>
      </c>
      <c r="I3" s="24" t="s">
        <v>36</v>
      </c>
      <c r="J3" s="25" t="s">
        <v>49</v>
      </c>
      <c r="K3" s="26" t="s">
        <v>38</v>
      </c>
      <c r="L3" s="34">
        <v>14061.0</v>
      </c>
      <c r="M3" s="27" t="s">
        <v>50</v>
      </c>
      <c r="N3" s="26" t="s">
        <v>51</v>
      </c>
      <c r="O3" s="28">
        <v>45489.64364498843</v>
      </c>
      <c r="P3" s="35" t="s">
        <v>52</v>
      </c>
      <c r="Q3" s="11"/>
      <c r="R3" s="11"/>
      <c r="S3" s="11"/>
      <c r="T3" s="36">
        <v>45489.64364498843</v>
      </c>
      <c r="U3" s="29"/>
      <c r="V3" s="29">
        <v>45489.588695949074</v>
      </c>
      <c r="W3" s="30"/>
      <c r="X3" s="30"/>
      <c r="Y3" s="31"/>
      <c r="Z3" s="31"/>
      <c r="AA3" s="31"/>
      <c r="AB3" s="31" t="s">
        <v>53</v>
      </c>
      <c r="AC3" s="31"/>
    </row>
    <row r="4" ht="18.75" customHeight="1">
      <c r="A4" s="32" t="s">
        <v>54</v>
      </c>
      <c r="B4" s="33" t="s">
        <v>45</v>
      </c>
      <c r="C4" s="20">
        <v>41.0</v>
      </c>
      <c r="D4" s="21" t="s">
        <v>55</v>
      </c>
      <c r="E4" s="27" t="s">
        <v>47</v>
      </c>
      <c r="F4" s="18" t="s">
        <v>48</v>
      </c>
      <c r="G4" s="32" t="s">
        <v>35</v>
      </c>
      <c r="H4" s="23" t="s">
        <v>35</v>
      </c>
      <c r="I4" s="24" t="s">
        <v>36</v>
      </c>
      <c r="J4" s="25" t="s">
        <v>49</v>
      </c>
      <c r="K4" s="26" t="s">
        <v>38</v>
      </c>
      <c r="L4" s="34">
        <v>14061.0</v>
      </c>
      <c r="M4" s="27" t="s">
        <v>50</v>
      </c>
      <c r="N4" s="26" t="s">
        <v>51</v>
      </c>
      <c r="O4" s="28">
        <v>45489.64364498843</v>
      </c>
      <c r="P4" s="35" t="s">
        <v>56</v>
      </c>
      <c r="Q4" s="11"/>
      <c r="R4" s="11"/>
      <c r="S4" s="11"/>
      <c r="T4" s="36">
        <v>45489.64364498843</v>
      </c>
      <c r="U4" s="29"/>
      <c r="V4" s="29">
        <v>45489.588731944445</v>
      </c>
      <c r="W4" s="30"/>
      <c r="X4" s="30"/>
      <c r="Y4" s="31"/>
      <c r="Z4" s="31"/>
      <c r="AA4" s="31"/>
      <c r="AB4" s="31" t="s">
        <v>57</v>
      </c>
      <c r="AC4" s="31"/>
    </row>
    <row r="5" ht="18.75" customHeight="1">
      <c r="A5" s="18" t="s">
        <v>58</v>
      </c>
      <c r="B5" s="33" t="s">
        <v>45</v>
      </c>
      <c r="C5" s="20">
        <v>41.0</v>
      </c>
      <c r="D5" s="21" t="s">
        <v>59</v>
      </c>
      <c r="E5" s="27" t="s">
        <v>47</v>
      </c>
      <c r="F5" s="18" t="s">
        <v>48</v>
      </c>
      <c r="G5" s="32" t="s">
        <v>35</v>
      </c>
      <c r="H5" s="23" t="s">
        <v>35</v>
      </c>
      <c r="I5" s="24" t="s">
        <v>60</v>
      </c>
      <c r="J5" s="25" t="s">
        <v>49</v>
      </c>
      <c r="K5" s="26" t="s">
        <v>38</v>
      </c>
      <c r="L5" s="34">
        <v>14061.0</v>
      </c>
      <c r="M5" s="27" t="s">
        <v>50</v>
      </c>
      <c r="N5" s="26" t="s">
        <v>51</v>
      </c>
      <c r="O5" s="28">
        <v>45489.64364498843</v>
      </c>
      <c r="P5" s="35" t="s">
        <v>61</v>
      </c>
      <c r="Q5" s="11"/>
      <c r="R5" s="11"/>
      <c r="S5" s="11"/>
      <c r="T5" s="36">
        <v>45489.64364498843</v>
      </c>
      <c r="U5" s="29"/>
      <c r="V5" s="29">
        <v>45489.588736817124</v>
      </c>
      <c r="W5" s="30"/>
      <c r="X5" s="30"/>
      <c r="Y5" s="31"/>
      <c r="Z5" s="31"/>
      <c r="AA5" s="31"/>
      <c r="AB5" s="31" t="s">
        <v>62</v>
      </c>
      <c r="AC5" s="31"/>
    </row>
    <row r="6" ht="18.75" customHeight="1">
      <c r="A6" s="32">
        <v>16454.0</v>
      </c>
      <c r="B6" s="19" t="s">
        <v>63</v>
      </c>
      <c r="C6" s="20">
        <v>41.0</v>
      </c>
      <c r="D6" s="21" t="s">
        <v>64</v>
      </c>
      <c r="E6" s="27" t="s">
        <v>47</v>
      </c>
      <c r="F6" s="18" t="s">
        <v>48</v>
      </c>
      <c r="G6" s="32" t="s">
        <v>35</v>
      </c>
      <c r="H6" s="23" t="s">
        <v>35</v>
      </c>
      <c r="I6" s="37" t="s">
        <v>36</v>
      </c>
      <c r="J6" s="25" t="s">
        <v>65</v>
      </c>
      <c r="K6" s="26" t="s">
        <v>38</v>
      </c>
      <c r="L6" s="25">
        <v>11969.0</v>
      </c>
      <c r="M6" s="27" t="s">
        <v>50</v>
      </c>
      <c r="N6" s="26" t="s">
        <v>51</v>
      </c>
      <c r="O6" s="28">
        <v>45608.45259407407</v>
      </c>
      <c r="P6" s="26" t="s">
        <v>66</v>
      </c>
      <c r="Q6" s="11" t="s">
        <v>67</v>
      </c>
      <c r="R6" s="11" t="s">
        <v>67</v>
      </c>
      <c r="S6" s="11"/>
      <c r="T6" s="29">
        <v>45608.45259407407</v>
      </c>
      <c r="U6" s="29">
        <v>45608.45259407407</v>
      </c>
      <c r="V6" s="29">
        <v>45608.45259407407</v>
      </c>
      <c r="W6" s="38"/>
      <c r="X6" s="30"/>
      <c r="Y6" s="31"/>
      <c r="Z6" s="31"/>
      <c r="AA6" s="31"/>
      <c r="AB6" s="31" t="s">
        <v>68</v>
      </c>
      <c r="AC6" s="31"/>
    </row>
    <row r="7" ht="18.75" customHeight="1">
      <c r="A7" s="18" t="s">
        <v>69</v>
      </c>
      <c r="B7" s="19" t="s">
        <v>70</v>
      </c>
      <c r="C7" s="20">
        <v>12.0</v>
      </c>
      <c r="D7" s="39" t="s">
        <v>71</v>
      </c>
      <c r="E7" s="27" t="s">
        <v>72</v>
      </c>
      <c r="F7" s="18"/>
      <c r="G7" s="18" t="s">
        <v>35</v>
      </c>
      <c r="H7" s="40" t="s">
        <v>35</v>
      </c>
      <c r="I7" s="24" t="s">
        <v>36</v>
      </c>
      <c r="J7" s="25" t="s">
        <v>49</v>
      </c>
      <c r="K7" s="26" t="s">
        <v>38</v>
      </c>
      <c r="L7" s="25">
        <v>12694.0</v>
      </c>
      <c r="M7" s="41" t="s">
        <v>73</v>
      </c>
      <c r="N7" s="42"/>
      <c r="O7" s="43">
        <v>45721.0</v>
      </c>
      <c r="P7" s="26" t="s">
        <v>74</v>
      </c>
      <c r="Q7" s="13" t="s">
        <v>75</v>
      </c>
      <c r="R7" s="13" t="s">
        <v>75</v>
      </c>
      <c r="S7" s="13" t="s">
        <v>73</v>
      </c>
      <c r="T7" s="44">
        <v>45716.56469666667</v>
      </c>
      <c r="U7" s="44">
        <v>45716.5648046412</v>
      </c>
      <c r="V7" s="44">
        <v>45716.58699673611</v>
      </c>
      <c r="W7" s="11"/>
      <c r="X7" s="11"/>
      <c r="Y7" s="45"/>
      <c r="Z7" s="45"/>
      <c r="AA7" s="31"/>
      <c r="AB7" s="45" t="s">
        <v>76</v>
      </c>
      <c r="AC7" s="45"/>
    </row>
    <row r="8" ht="16.5" customHeight="1">
      <c r="A8" s="32">
        <v>13832.0</v>
      </c>
      <c r="B8" s="46" t="s">
        <v>77</v>
      </c>
      <c r="C8" s="47"/>
      <c r="D8" s="48" t="s">
        <v>78</v>
      </c>
      <c r="E8" s="22" t="s">
        <v>79</v>
      </c>
      <c r="F8" s="18"/>
      <c r="G8" s="32" t="s">
        <v>35</v>
      </c>
      <c r="H8" s="23" t="s">
        <v>35</v>
      </c>
      <c r="I8" s="37" t="s">
        <v>36</v>
      </c>
      <c r="J8" s="34" t="s">
        <v>65</v>
      </c>
      <c r="K8" s="35" t="s">
        <v>38</v>
      </c>
      <c r="L8" s="34">
        <v>12396.0</v>
      </c>
      <c r="M8" s="49" t="s">
        <v>50</v>
      </c>
      <c r="N8" s="42" t="s">
        <v>80</v>
      </c>
      <c r="O8" s="50">
        <v>45665.63611111111</v>
      </c>
      <c r="P8" s="35" t="s">
        <v>81</v>
      </c>
      <c r="Q8" s="13"/>
      <c r="R8" s="13"/>
      <c r="S8" s="13"/>
      <c r="T8" s="51">
        <v>45665.63611111111</v>
      </c>
      <c r="U8" s="52"/>
      <c r="V8" s="52"/>
      <c r="W8" s="11"/>
      <c r="X8" s="11"/>
      <c r="Y8" s="45"/>
      <c r="Z8" s="45"/>
      <c r="AA8" s="31"/>
      <c r="AB8" s="45" t="s">
        <v>82</v>
      </c>
      <c r="AC8" s="45"/>
    </row>
    <row r="9" ht="16.5" customHeight="1">
      <c r="A9" s="48">
        <v>15537.0</v>
      </c>
      <c r="B9" s="53" t="s">
        <v>83</v>
      </c>
      <c r="C9" s="54"/>
      <c r="D9" s="21" t="s">
        <v>84</v>
      </c>
      <c r="E9" s="55" t="s">
        <v>85</v>
      </c>
      <c r="F9" s="32" t="s">
        <v>48</v>
      </c>
      <c r="G9" s="32" t="s">
        <v>35</v>
      </c>
      <c r="H9" s="23" t="s">
        <v>35</v>
      </c>
      <c r="I9" s="56" t="s">
        <v>36</v>
      </c>
      <c r="J9" s="34" t="s">
        <v>49</v>
      </c>
      <c r="K9" s="57" t="s">
        <v>38</v>
      </c>
      <c r="L9" s="58"/>
      <c r="M9" s="22"/>
      <c r="N9" s="26" t="s">
        <v>86</v>
      </c>
      <c r="O9" s="28">
        <v>45482.0</v>
      </c>
      <c r="P9" s="26" t="s">
        <v>87</v>
      </c>
      <c r="Q9" s="12"/>
      <c r="R9" s="59"/>
      <c r="S9" s="60"/>
      <c r="T9" s="29">
        <v>45440.0</v>
      </c>
      <c r="U9" s="29">
        <v>45475.0</v>
      </c>
      <c r="V9" s="29">
        <f>O9</f>
        <v>45482</v>
      </c>
      <c r="W9" s="30"/>
      <c r="X9" s="30"/>
      <c r="Y9" s="31"/>
      <c r="Z9" s="31"/>
      <c r="AA9" s="31"/>
      <c r="AB9" s="31" t="s">
        <v>88</v>
      </c>
      <c r="AC9" s="31"/>
    </row>
    <row r="10" ht="16.5" customHeight="1">
      <c r="A10" s="18">
        <v>15553.0</v>
      </c>
      <c r="B10" s="19" t="s">
        <v>89</v>
      </c>
      <c r="C10" s="20"/>
      <c r="D10" s="21" t="s">
        <v>90</v>
      </c>
      <c r="E10" s="27" t="s">
        <v>91</v>
      </c>
      <c r="F10" s="18" t="s">
        <v>48</v>
      </c>
      <c r="G10" s="32" t="s">
        <v>35</v>
      </c>
      <c r="H10" s="23" t="s">
        <v>35</v>
      </c>
      <c r="I10" s="24" t="s">
        <v>36</v>
      </c>
      <c r="J10" s="25" t="s">
        <v>92</v>
      </c>
      <c r="K10" s="26" t="s">
        <v>38</v>
      </c>
      <c r="L10" s="25">
        <v>11171.0</v>
      </c>
      <c r="M10" s="27"/>
      <c r="N10" s="26" t="s">
        <v>60</v>
      </c>
      <c r="O10" s="28">
        <v>45489.0</v>
      </c>
      <c r="P10" s="26" t="s">
        <v>93</v>
      </c>
      <c r="Q10" s="11" t="s">
        <v>67</v>
      </c>
      <c r="R10" s="11"/>
      <c r="S10" s="11"/>
      <c r="T10" s="29">
        <v>45489.74136155093</v>
      </c>
      <c r="U10" s="29">
        <v>45489.0</v>
      </c>
      <c r="V10" s="29" t="s">
        <v>15</v>
      </c>
      <c r="W10" s="30"/>
      <c r="X10" s="30"/>
      <c r="Y10" s="31"/>
      <c r="Z10" s="31"/>
      <c r="AA10" s="31" t="s">
        <v>94</v>
      </c>
      <c r="AB10" s="31" t="s">
        <v>95</v>
      </c>
      <c r="AC10" s="31"/>
    </row>
    <row r="11" ht="16.5" customHeight="1">
      <c r="A11" s="18">
        <v>15651.0</v>
      </c>
      <c r="B11" s="19" t="s">
        <v>96</v>
      </c>
      <c r="C11" s="20"/>
      <c r="D11" s="21" t="s">
        <v>97</v>
      </c>
      <c r="E11" s="22" t="s">
        <v>98</v>
      </c>
      <c r="F11" s="18"/>
      <c r="G11" s="18" t="s">
        <v>34</v>
      </c>
      <c r="H11" s="23" t="s">
        <v>35</v>
      </c>
      <c r="I11" s="24" t="s">
        <v>36</v>
      </c>
      <c r="J11" s="25" t="s">
        <v>49</v>
      </c>
      <c r="K11" s="26" t="s">
        <v>38</v>
      </c>
      <c r="L11" s="25">
        <v>11208.0</v>
      </c>
      <c r="M11" s="27" t="s">
        <v>50</v>
      </c>
      <c r="N11" s="26" t="s">
        <v>99</v>
      </c>
      <c r="O11" s="28">
        <v>45496.57531140046</v>
      </c>
      <c r="P11" s="26" t="s">
        <v>100</v>
      </c>
      <c r="Q11" s="11" t="s">
        <v>67</v>
      </c>
      <c r="R11" s="11"/>
      <c r="S11" s="11" t="s">
        <v>101</v>
      </c>
      <c r="T11" s="29">
        <v>45492.44722802083</v>
      </c>
      <c r="U11" s="29">
        <v>45492.45189109954</v>
      </c>
      <c r="V11" s="29">
        <v>45495.67140396991</v>
      </c>
      <c r="W11" s="30"/>
      <c r="X11" s="30"/>
      <c r="Y11" s="31"/>
      <c r="Z11" s="31"/>
      <c r="AA11" s="31" t="s">
        <v>102</v>
      </c>
      <c r="AB11" s="31" t="s">
        <v>103</v>
      </c>
      <c r="AC11" s="31"/>
    </row>
    <row r="12" ht="16.5" customHeight="1">
      <c r="A12" s="32">
        <v>15964.0</v>
      </c>
      <c r="B12" s="19" t="s">
        <v>104</v>
      </c>
      <c r="C12" s="20"/>
      <c r="D12" s="21" t="s">
        <v>105</v>
      </c>
      <c r="E12" s="27" t="s">
        <v>85</v>
      </c>
      <c r="F12" s="18"/>
      <c r="G12" s="32" t="s">
        <v>35</v>
      </c>
      <c r="H12" s="23" t="s">
        <v>35</v>
      </c>
      <c r="I12" s="24" t="s">
        <v>36</v>
      </c>
      <c r="J12" s="25" t="s">
        <v>49</v>
      </c>
      <c r="K12" s="26" t="s">
        <v>38</v>
      </c>
      <c r="L12" s="25">
        <v>11472.0</v>
      </c>
      <c r="M12" s="27" t="s">
        <v>50</v>
      </c>
      <c r="N12" s="26" t="s">
        <v>106</v>
      </c>
      <c r="O12" s="28">
        <v>45547.61076114583</v>
      </c>
      <c r="P12" s="26" t="s">
        <v>107</v>
      </c>
      <c r="Q12" s="11" t="s">
        <v>67</v>
      </c>
      <c r="R12" s="11" t="s">
        <v>67</v>
      </c>
      <c r="S12" s="11" t="s">
        <v>50</v>
      </c>
      <c r="T12" s="29">
        <v>45546.457395034726</v>
      </c>
      <c r="U12" s="29">
        <v>45546.60259083333</v>
      </c>
      <c r="V12" s="29">
        <v>45547.474507824074</v>
      </c>
      <c r="W12" s="30"/>
      <c r="X12" s="30"/>
      <c r="Y12" s="31"/>
      <c r="Z12" s="31"/>
      <c r="AA12" s="31" t="s">
        <v>108</v>
      </c>
      <c r="AB12" s="31" t="s">
        <v>109</v>
      </c>
      <c r="AC12" s="31"/>
    </row>
    <row r="13" ht="16.5" customHeight="1">
      <c r="A13" s="32">
        <v>16401.0</v>
      </c>
      <c r="B13" s="46" t="s">
        <v>110</v>
      </c>
      <c r="C13" s="20"/>
      <c r="D13" s="21" t="s">
        <v>111</v>
      </c>
      <c r="E13" s="27" t="s">
        <v>112</v>
      </c>
      <c r="F13" s="18" t="s">
        <v>48</v>
      </c>
      <c r="G13" s="32" t="s">
        <v>35</v>
      </c>
      <c r="H13" s="23" t="s">
        <v>35</v>
      </c>
      <c r="I13" s="24" t="s">
        <v>36</v>
      </c>
      <c r="J13" s="25" t="s">
        <v>49</v>
      </c>
      <c r="K13" s="26" t="s">
        <v>38</v>
      </c>
      <c r="L13" s="34">
        <v>11933.0</v>
      </c>
      <c r="M13" s="27" t="s">
        <v>50</v>
      </c>
      <c r="N13" s="26" t="s">
        <v>51</v>
      </c>
      <c r="O13" s="28">
        <v>45489.64364498843</v>
      </c>
      <c r="P13" s="35" t="s">
        <v>113</v>
      </c>
      <c r="Q13" s="11" t="s">
        <v>67</v>
      </c>
      <c r="R13" s="11" t="s">
        <v>67</v>
      </c>
      <c r="S13" s="11"/>
      <c r="T13" s="29">
        <v>45602.66486212963</v>
      </c>
      <c r="U13" s="29">
        <v>45602.66418049768</v>
      </c>
      <c r="V13" s="29">
        <v>45489.588278020834</v>
      </c>
      <c r="W13" s="30"/>
      <c r="X13" s="30"/>
      <c r="Y13" s="31"/>
      <c r="Z13" s="31"/>
      <c r="AA13" s="31" t="s">
        <v>94</v>
      </c>
      <c r="AB13" s="31" t="s">
        <v>114</v>
      </c>
      <c r="AC13" s="31"/>
    </row>
    <row r="14" ht="16.5" customHeight="1">
      <c r="A14" s="32">
        <v>16528.0</v>
      </c>
      <c r="B14" s="19" t="s">
        <v>115</v>
      </c>
      <c r="C14" s="20"/>
      <c r="D14" s="61" t="s">
        <v>116</v>
      </c>
      <c r="E14" s="27" t="s">
        <v>117</v>
      </c>
      <c r="F14" s="18"/>
      <c r="G14" s="18" t="s">
        <v>35</v>
      </c>
      <c r="H14" s="40" t="s">
        <v>35</v>
      </c>
      <c r="I14" s="37" t="s">
        <v>36</v>
      </c>
      <c r="J14" s="25" t="s">
        <v>92</v>
      </c>
      <c r="K14" s="26" t="s">
        <v>38</v>
      </c>
      <c r="L14" s="25">
        <v>12131.0</v>
      </c>
      <c r="M14" s="62" t="s">
        <v>50</v>
      </c>
      <c r="N14" s="42" t="s">
        <v>118</v>
      </c>
      <c r="O14" s="63">
        <v>45637.65980623843</v>
      </c>
      <c r="P14" s="26" t="s">
        <v>119</v>
      </c>
      <c r="Q14" s="11" t="s">
        <v>67</v>
      </c>
      <c r="R14" s="11" t="s">
        <v>67</v>
      </c>
      <c r="S14" s="11" t="s">
        <v>101</v>
      </c>
      <c r="T14" s="29">
        <v>45616.39986262731</v>
      </c>
      <c r="U14" s="29">
        <v>45616.41165840278</v>
      </c>
      <c r="V14" s="29">
        <v>45630.58846112269</v>
      </c>
      <c r="W14" s="11"/>
      <c r="X14" s="30"/>
      <c r="Y14" s="31"/>
      <c r="Z14" s="31"/>
      <c r="AA14" s="31" t="s">
        <v>120</v>
      </c>
      <c r="AB14" s="31" t="s">
        <v>121</v>
      </c>
      <c r="AC14" s="31"/>
    </row>
    <row r="15" ht="16.5" customHeight="1">
      <c r="A15" s="32">
        <v>16713.0</v>
      </c>
      <c r="B15" s="19" t="s">
        <v>122</v>
      </c>
      <c r="C15" s="20"/>
      <c r="D15" s="61" t="s">
        <v>123</v>
      </c>
      <c r="E15" s="27" t="s">
        <v>91</v>
      </c>
      <c r="F15" s="18"/>
      <c r="G15" s="18" t="s">
        <v>35</v>
      </c>
      <c r="H15" s="40" t="s">
        <v>35</v>
      </c>
      <c r="I15" s="24" t="s">
        <v>36</v>
      </c>
      <c r="J15" s="25" t="s">
        <v>49</v>
      </c>
      <c r="K15" s="26" t="s">
        <v>38</v>
      </c>
      <c r="L15" s="64" t="s">
        <v>124</v>
      </c>
      <c r="M15" s="22" t="s">
        <v>50</v>
      </c>
      <c r="N15" s="65" t="s">
        <v>125</v>
      </c>
      <c r="O15" s="28">
        <v>45645.73094907407</v>
      </c>
      <c r="P15" s="26" t="s">
        <v>126</v>
      </c>
      <c r="Q15" s="11" t="s">
        <v>67</v>
      </c>
      <c r="R15" s="11" t="s">
        <v>67</v>
      </c>
      <c r="S15" s="11" t="s">
        <v>73</v>
      </c>
      <c r="T15" s="29">
        <v>45630.45480258102</v>
      </c>
      <c r="U15" s="29">
        <v>45630.46480611111</v>
      </c>
      <c r="V15" s="29">
        <v>45643.75612178241</v>
      </c>
      <c r="W15" s="11"/>
      <c r="X15" s="11"/>
      <c r="Y15" s="66">
        <v>-12166.0</v>
      </c>
      <c r="Z15" s="31"/>
      <c r="AA15" s="31" t="s">
        <v>127</v>
      </c>
      <c r="AB15" s="31" t="s">
        <v>128</v>
      </c>
      <c r="AC15" s="31"/>
    </row>
    <row r="16" ht="16.5" customHeight="1">
      <c r="A16" s="32">
        <v>16728.0</v>
      </c>
      <c r="B16" s="19" t="s">
        <v>129</v>
      </c>
      <c r="C16" s="20"/>
      <c r="D16" s="39" t="s">
        <v>130</v>
      </c>
      <c r="E16" s="27" t="s">
        <v>72</v>
      </c>
      <c r="F16" s="18"/>
      <c r="G16" s="18" t="s">
        <v>35</v>
      </c>
      <c r="H16" s="40" t="s">
        <v>35</v>
      </c>
      <c r="I16" s="37" t="s">
        <v>36</v>
      </c>
      <c r="J16" s="25" t="s">
        <v>49</v>
      </c>
      <c r="K16" s="26" t="s">
        <v>38</v>
      </c>
      <c r="L16" s="25">
        <v>12179.0</v>
      </c>
      <c r="M16" s="62" t="s">
        <v>50</v>
      </c>
      <c r="N16" s="42" t="s">
        <v>106</v>
      </c>
      <c r="O16" s="63">
        <v>45637.62645055556</v>
      </c>
      <c r="P16" s="26" t="s">
        <v>131</v>
      </c>
      <c r="Q16" s="11" t="s">
        <v>67</v>
      </c>
      <c r="R16" s="11" t="s">
        <v>67</v>
      </c>
      <c r="S16" s="11" t="s">
        <v>50</v>
      </c>
      <c r="T16" s="29">
        <v>45636.44828318287</v>
      </c>
      <c r="U16" s="29">
        <v>45636.448601296295</v>
      </c>
      <c r="V16" s="29">
        <v>45636.45000909722</v>
      </c>
      <c r="W16" s="11"/>
      <c r="X16" s="11"/>
      <c r="Y16" s="31"/>
      <c r="Z16" s="31"/>
      <c r="AA16" s="31" t="s">
        <v>94</v>
      </c>
      <c r="AB16" s="31" t="s">
        <v>132</v>
      </c>
      <c r="AC16" s="31"/>
    </row>
    <row r="17" ht="16.5" customHeight="1">
      <c r="A17" s="32">
        <v>16792.0</v>
      </c>
      <c r="B17" s="19" t="s">
        <v>133</v>
      </c>
      <c r="C17" s="20"/>
      <c r="D17" s="61" t="s">
        <v>134</v>
      </c>
      <c r="E17" s="22" t="s">
        <v>135</v>
      </c>
      <c r="F17" s="18"/>
      <c r="G17" s="18" t="s">
        <v>35</v>
      </c>
      <c r="H17" s="40" t="s">
        <v>35</v>
      </c>
      <c r="I17" s="37" t="s">
        <v>36</v>
      </c>
      <c r="J17" s="25" t="s">
        <v>65</v>
      </c>
      <c r="K17" s="26" t="s">
        <v>38</v>
      </c>
      <c r="L17" s="25">
        <v>12257.0</v>
      </c>
      <c r="M17" s="49" t="s">
        <v>50</v>
      </c>
      <c r="N17" s="42" t="s">
        <v>136</v>
      </c>
      <c r="O17" s="63">
        <v>45652.49088629629</v>
      </c>
      <c r="P17" s="26" t="s">
        <v>137</v>
      </c>
      <c r="Q17" s="11" t="s">
        <v>67</v>
      </c>
      <c r="R17" s="11" t="s">
        <v>67</v>
      </c>
      <c r="S17" s="14" t="s">
        <v>138</v>
      </c>
      <c r="T17" s="29">
        <v>45642.67625201389</v>
      </c>
      <c r="U17" s="29">
        <v>45642.676254872684</v>
      </c>
      <c r="V17" s="52">
        <v>45644.0</v>
      </c>
      <c r="W17" s="11"/>
      <c r="X17" s="11"/>
      <c r="Y17" s="31"/>
      <c r="Z17" s="31"/>
      <c r="AA17" s="31" t="s">
        <v>120</v>
      </c>
      <c r="AB17" s="31" t="s">
        <v>139</v>
      </c>
      <c r="AC17" s="31"/>
    </row>
    <row r="18" ht="16.5" customHeight="1">
      <c r="A18" s="32">
        <v>17016.0</v>
      </c>
      <c r="B18" s="19" t="s">
        <v>140</v>
      </c>
      <c r="C18" s="20"/>
      <c r="D18" s="48" t="s">
        <v>141</v>
      </c>
      <c r="E18" s="27" t="s">
        <v>91</v>
      </c>
      <c r="F18" s="18"/>
      <c r="G18" s="18" t="s">
        <v>35</v>
      </c>
      <c r="H18" s="40" t="s">
        <v>35</v>
      </c>
      <c r="I18" s="37" t="s">
        <v>36</v>
      </c>
      <c r="J18" s="25" t="s">
        <v>49</v>
      </c>
      <c r="K18" s="26" t="s">
        <v>142</v>
      </c>
      <c r="L18" s="25">
        <v>12554.0</v>
      </c>
      <c r="M18" s="49" t="s">
        <v>50</v>
      </c>
      <c r="N18" s="42" t="s">
        <v>143</v>
      </c>
      <c r="O18" s="50">
        <v>45691.59529568287</v>
      </c>
      <c r="P18" s="26" t="s">
        <v>144</v>
      </c>
      <c r="Q18" s="13" t="s">
        <v>75</v>
      </c>
      <c r="R18" s="13" t="s">
        <v>75</v>
      </c>
      <c r="S18" s="13" t="s">
        <v>50</v>
      </c>
      <c r="T18" s="52">
        <v>45688.73159244213</v>
      </c>
      <c r="U18" s="52">
        <v>45688.731707060186</v>
      </c>
      <c r="V18" s="52">
        <v>45691.35962053241</v>
      </c>
      <c r="W18" s="11"/>
      <c r="X18" s="11"/>
      <c r="Y18" s="45"/>
      <c r="Z18" s="45"/>
      <c r="AA18" s="31" t="s">
        <v>145</v>
      </c>
      <c r="AB18" s="45" t="s">
        <v>146</v>
      </c>
      <c r="AC18" s="45"/>
    </row>
    <row r="19" ht="16.5" customHeight="1">
      <c r="A19" s="32">
        <v>17042.0</v>
      </c>
      <c r="B19" s="19" t="s">
        <v>147</v>
      </c>
      <c r="C19" s="20"/>
      <c r="D19" s="48" t="s">
        <v>148</v>
      </c>
      <c r="E19" s="27" t="s">
        <v>112</v>
      </c>
      <c r="F19" s="18"/>
      <c r="G19" s="18" t="s">
        <v>35</v>
      </c>
      <c r="H19" s="40" t="s">
        <v>35</v>
      </c>
      <c r="I19" s="37" t="s">
        <v>36</v>
      </c>
      <c r="J19" s="25" t="s">
        <v>65</v>
      </c>
      <c r="K19" s="26" t="s">
        <v>38</v>
      </c>
      <c r="L19" s="25">
        <v>12580.0</v>
      </c>
      <c r="M19" s="49" t="s">
        <v>50</v>
      </c>
      <c r="N19" s="42" t="s">
        <v>149</v>
      </c>
      <c r="O19" s="50">
        <v>45694.59786835648</v>
      </c>
      <c r="P19" s="35" t="s">
        <v>150</v>
      </c>
      <c r="Q19" s="13" t="s">
        <v>75</v>
      </c>
      <c r="R19" s="14" t="s">
        <v>151</v>
      </c>
      <c r="S19" s="13" t="s">
        <v>50</v>
      </c>
      <c r="T19" s="52">
        <v>45693.51169451389</v>
      </c>
      <c r="U19" s="52">
        <v>45693.55080082176</v>
      </c>
      <c r="V19" s="52">
        <v>45694.34494660879</v>
      </c>
      <c r="W19" s="11"/>
      <c r="X19" s="11"/>
      <c r="Y19" s="45"/>
      <c r="Z19" s="45"/>
      <c r="AA19" s="31" t="s">
        <v>94</v>
      </c>
      <c r="AB19" s="45" t="s">
        <v>152</v>
      </c>
      <c r="AC19" s="45"/>
    </row>
    <row r="20" ht="16.5" customHeight="1">
      <c r="A20" s="18">
        <v>17181.0</v>
      </c>
      <c r="B20" s="19" t="s">
        <v>153</v>
      </c>
      <c r="C20" s="20"/>
      <c r="D20" s="48" t="s">
        <v>154</v>
      </c>
      <c r="E20" s="27" t="s">
        <v>155</v>
      </c>
      <c r="F20" s="18"/>
      <c r="G20" s="18" t="s">
        <v>35</v>
      </c>
      <c r="H20" s="40" t="s">
        <v>35</v>
      </c>
      <c r="I20" s="37" t="s">
        <v>36</v>
      </c>
      <c r="J20" s="25" t="s">
        <v>92</v>
      </c>
      <c r="K20" s="26" t="s">
        <v>38</v>
      </c>
      <c r="L20" s="25">
        <v>12705.0</v>
      </c>
      <c r="M20" s="41" t="s">
        <v>73</v>
      </c>
      <c r="N20" s="42" t="s">
        <v>156</v>
      </c>
      <c r="O20" s="67">
        <v>45726.440457662036</v>
      </c>
      <c r="P20" s="26" t="s">
        <v>157</v>
      </c>
      <c r="Q20" s="13" t="s">
        <v>75</v>
      </c>
      <c r="R20" s="13" t="s">
        <v>75</v>
      </c>
      <c r="S20" s="13"/>
      <c r="T20" s="44">
        <v>45723.62941962963</v>
      </c>
      <c r="U20" s="44">
        <v>45723.629420682875</v>
      </c>
      <c r="V20" s="13"/>
      <c r="W20" s="11"/>
      <c r="X20" s="11"/>
      <c r="Y20" s="45"/>
      <c r="Z20" s="45"/>
      <c r="AA20" s="31" t="s">
        <v>120</v>
      </c>
      <c r="AB20" s="45" t="s">
        <v>158</v>
      </c>
      <c r="AC20" s="45"/>
    </row>
    <row r="21" ht="16.5" customHeight="1">
      <c r="A21" s="32">
        <v>17654.0</v>
      </c>
      <c r="B21" s="46" t="s">
        <v>65</v>
      </c>
      <c r="C21" s="20"/>
      <c r="D21" s="39" t="s">
        <v>159</v>
      </c>
      <c r="E21" s="22" t="s">
        <v>72</v>
      </c>
      <c r="F21" s="27"/>
      <c r="G21" s="18" t="s">
        <v>35</v>
      </c>
      <c r="H21" s="40" t="s">
        <v>35</v>
      </c>
      <c r="I21" s="24" t="s">
        <v>36</v>
      </c>
      <c r="J21" s="34" t="s">
        <v>65</v>
      </c>
      <c r="K21" s="26" t="s">
        <v>38</v>
      </c>
      <c r="L21" s="34">
        <v>13152.0</v>
      </c>
      <c r="M21" s="49"/>
      <c r="N21" s="42"/>
      <c r="O21" s="68"/>
      <c r="P21" s="35" t="s">
        <v>160</v>
      </c>
      <c r="Q21" s="13" t="s">
        <v>73</v>
      </c>
      <c r="R21" s="13" t="s">
        <v>73</v>
      </c>
      <c r="S21" s="13" t="s">
        <v>73</v>
      </c>
      <c r="T21" s="69">
        <v>45806.74395246527</v>
      </c>
      <c r="U21" s="69">
        <v>45806.74395246527</v>
      </c>
      <c r="V21" s="69">
        <v>45806.74395246527</v>
      </c>
      <c r="W21" s="11"/>
      <c r="X21" s="11"/>
      <c r="Y21" s="45"/>
      <c r="Z21" s="45"/>
      <c r="AA21" s="31"/>
      <c r="AB21" s="45" t="s">
        <v>161</v>
      </c>
      <c r="AC21" s="45"/>
    </row>
    <row r="22" ht="16.5" customHeight="1">
      <c r="A22" s="48" t="s">
        <v>162</v>
      </c>
      <c r="B22" s="53" t="s">
        <v>163</v>
      </c>
      <c r="C22" s="47"/>
      <c r="D22" s="70" t="s">
        <v>164</v>
      </c>
      <c r="E22" s="55" t="s">
        <v>165</v>
      </c>
      <c r="F22" s="32" t="s">
        <v>33</v>
      </c>
      <c r="G22" s="32" t="s">
        <v>34</v>
      </c>
      <c r="H22" s="71" t="s">
        <v>35</v>
      </c>
      <c r="I22" s="71" t="s">
        <v>36</v>
      </c>
      <c r="J22" s="34" t="s">
        <v>49</v>
      </c>
      <c r="K22" s="57" t="s">
        <v>38</v>
      </c>
      <c r="L22" s="72">
        <v>9744.0</v>
      </c>
      <c r="M22" s="22"/>
      <c r="N22" s="73"/>
      <c r="O22" s="28">
        <v>45198.0</v>
      </c>
      <c r="P22" s="35" t="s">
        <v>166</v>
      </c>
      <c r="Q22" s="12"/>
      <c r="R22" s="12"/>
      <c r="S22" s="12"/>
      <c r="T22" s="52">
        <v>45195.0</v>
      </c>
      <c r="U22" s="52">
        <v>45195.0</v>
      </c>
      <c r="V22" s="52">
        <v>45197.0</v>
      </c>
      <c r="W22" s="30"/>
      <c r="X22" s="30"/>
      <c r="Y22" s="31"/>
      <c r="Z22" s="31"/>
      <c r="AA22" s="31"/>
      <c r="AB22" s="74" t="s">
        <v>167</v>
      </c>
      <c r="AC22" s="74"/>
    </row>
    <row r="23" ht="16.5" customHeight="1">
      <c r="A23" s="48" t="s">
        <v>168</v>
      </c>
      <c r="B23" s="53" t="s">
        <v>169</v>
      </c>
      <c r="C23" s="75">
        <f t="array" ref="C23:C5893">COUNTIFS('Estoque V2'!A:A,E23:E5893,'Estoque V2'!D:D,0,'Estoque V2'!C:C,F23)</f>
        <v>0</v>
      </c>
      <c r="D23" s="70" t="s">
        <v>170</v>
      </c>
      <c r="E23" s="55" t="s">
        <v>171</v>
      </c>
      <c r="F23" s="32" t="s">
        <v>48</v>
      </c>
      <c r="G23" s="32" t="s">
        <v>35</v>
      </c>
      <c r="H23" s="71" t="s">
        <v>35</v>
      </c>
      <c r="I23" s="71" t="s">
        <v>36</v>
      </c>
      <c r="J23" s="34" t="s">
        <v>65</v>
      </c>
      <c r="K23" s="57" t="s">
        <v>38</v>
      </c>
      <c r="L23" s="72" t="s">
        <v>172</v>
      </c>
      <c r="M23" s="22"/>
      <c r="N23" s="73"/>
      <c r="O23" s="28">
        <v>45308.0</v>
      </c>
      <c r="P23" s="35" t="s">
        <v>173</v>
      </c>
      <c r="Q23" s="12"/>
      <c r="R23" s="12"/>
      <c r="S23" s="12"/>
      <c r="T23" s="52">
        <v>45183.0</v>
      </c>
      <c r="U23" s="52">
        <v>45305.0</v>
      </c>
      <c r="V23" s="52">
        <v>45308.0</v>
      </c>
      <c r="W23" s="30"/>
      <c r="X23" s="30"/>
      <c r="Y23" s="31"/>
      <c r="Z23" s="31"/>
      <c r="AA23" s="31"/>
      <c r="AB23" s="74" t="s">
        <v>174</v>
      </c>
      <c r="AC23" s="74"/>
    </row>
    <row r="24" ht="16.5" customHeight="1">
      <c r="A24" s="48" t="s">
        <v>175</v>
      </c>
      <c r="B24" s="53" t="s">
        <v>169</v>
      </c>
      <c r="C24" s="47">
        <v>0.0</v>
      </c>
      <c r="D24" s="70" t="s">
        <v>176</v>
      </c>
      <c r="E24" s="55" t="s">
        <v>177</v>
      </c>
      <c r="F24" s="32" t="s">
        <v>48</v>
      </c>
      <c r="G24" s="32" t="s">
        <v>35</v>
      </c>
      <c r="H24" s="71" t="s">
        <v>35</v>
      </c>
      <c r="I24" s="71" t="s">
        <v>36</v>
      </c>
      <c r="J24" s="34" t="s">
        <v>65</v>
      </c>
      <c r="K24" s="57" t="s">
        <v>38</v>
      </c>
      <c r="L24" s="72" t="s">
        <v>172</v>
      </c>
      <c r="M24" s="22"/>
      <c r="N24" s="73"/>
      <c r="O24" s="28">
        <v>45308.0</v>
      </c>
      <c r="P24" s="35" t="s">
        <v>173</v>
      </c>
      <c r="Q24" s="12"/>
      <c r="R24" s="12"/>
      <c r="S24" s="12"/>
      <c r="T24" s="52">
        <v>45183.0</v>
      </c>
      <c r="U24" s="52">
        <v>45305.0</v>
      </c>
      <c r="V24" s="52">
        <v>45308.0</v>
      </c>
      <c r="W24" s="30"/>
      <c r="X24" s="30"/>
      <c r="Y24" s="31"/>
      <c r="Z24" s="31"/>
      <c r="AA24" s="31"/>
      <c r="AB24" s="74" t="s">
        <v>178</v>
      </c>
      <c r="AC24" s="74"/>
    </row>
    <row r="25" ht="16.5" customHeight="1">
      <c r="A25" s="48" t="s">
        <v>179</v>
      </c>
      <c r="B25" s="53" t="s">
        <v>169</v>
      </c>
      <c r="C25" s="47">
        <v>0.0</v>
      </c>
      <c r="D25" s="70" t="s">
        <v>180</v>
      </c>
      <c r="E25" s="55" t="s">
        <v>177</v>
      </c>
      <c r="F25" s="32" t="s">
        <v>48</v>
      </c>
      <c r="G25" s="32" t="s">
        <v>35</v>
      </c>
      <c r="H25" s="71" t="s">
        <v>35</v>
      </c>
      <c r="I25" s="71" t="s">
        <v>36</v>
      </c>
      <c r="J25" s="34" t="s">
        <v>65</v>
      </c>
      <c r="K25" s="57" t="s">
        <v>38</v>
      </c>
      <c r="L25" s="72" t="s">
        <v>172</v>
      </c>
      <c r="M25" s="22"/>
      <c r="N25" s="73"/>
      <c r="O25" s="28">
        <v>45308.0</v>
      </c>
      <c r="P25" s="35" t="s">
        <v>173</v>
      </c>
      <c r="Q25" s="12"/>
      <c r="R25" s="12"/>
      <c r="S25" s="12"/>
      <c r="T25" s="52">
        <v>45183.0</v>
      </c>
      <c r="U25" s="52">
        <v>45305.0</v>
      </c>
      <c r="V25" s="52">
        <v>45308.0</v>
      </c>
      <c r="W25" s="30"/>
      <c r="X25" s="30"/>
      <c r="Y25" s="31"/>
      <c r="Z25" s="31"/>
      <c r="AA25" s="31"/>
      <c r="AB25" s="74" t="s">
        <v>181</v>
      </c>
      <c r="AC25" s="74"/>
    </row>
    <row r="26" ht="16.5" customHeight="1">
      <c r="A26" s="48" t="s">
        <v>182</v>
      </c>
      <c r="B26" s="53" t="s">
        <v>169</v>
      </c>
      <c r="C26" s="47">
        <v>0.0</v>
      </c>
      <c r="D26" s="70" t="s">
        <v>183</v>
      </c>
      <c r="E26" s="55" t="s">
        <v>184</v>
      </c>
      <c r="F26" s="32" t="s">
        <v>48</v>
      </c>
      <c r="G26" s="32" t="s">
        <v>35</v>
      </c>
      <c r="H26" s="71" t="s">
        <v>35</v>
      </c>
      <c r="I26" s="71" t="s">
        <v>36</v>
      </c>
      <c r="J26" s="34" t="s">
        <v>65</v>
      </c>
      <c r="K26" s="57" t="s">
        <v>38</v>
      </c>
      <c r="L26" s="72" t="s">
        <v>172</v>
      </c>
      <c r="M26" s="22"/>
      <c r="N26" s="73"/>
      <c r="O26" s="28">
        <v>45308.0</v>
      </c>
      <c r="P26" s="35" t="s">
        <v>173</v>
      </c>
      <c r="Q26" s="12"/>
      <c r="R26" s="12"/>
      <c r="S26" s="12"/>
      <c r="T26" s="52">
        <v>45183.0</v>
      </c>
      <c r="U26" s="52">
        <v>45305.0</v>
      </c>
      <c r="V26" s="52">
        <v>45308.0</v>
      </c>
      <c r="W26" s="30"/>
      <c r="X26" s="30"/>
      <c r="Y26" s="31"/>
      <c r="Z26" s="31"/>
      <c r="AA26" s="31"/>
      <c r="AB26" s="74" t="s">
        <v>185</v>
      </c>
      <c r="AC26" s="74"/>
    </row>
    <row r="27" ht="16.5" customHeight="1">
      <c r="A27" s="48" t="s">
        <v>186</v>
      </c>
      <c r="B27" s="53" t="s">
        <v>169</v>
      </c>
      <c r="C27" s="47">
        <v>0.0</v>
      </c>
      <c r="D27" s="70" t="s">
        <v>187</v>
      </c>
      <c r="E27" s="55" t="s">
        <v>188</v>
      </c>
      <c r="F27" s="32" t="s">
        <v>48</v>
      </c>
      <c r="G27" s="32" t="s">
        <v>35</v>
      </c>
      <c r="H27" s="71" t="s">
        <v>35</v>
      </c>
      <c r="I27" s="71" t="s">
        <v>36</v>
      </c>
      <c r="J27" s="34" t="s">
        <v>65</v>
      </c>
      <c r="K27" s="57" t="s">
        <v>38</v>
      </c>
      <c r="L27" s="72" t="s">
        <v>172</v>
      </c>
      <c r="M27" s="22"/>
      <c r="N27" s="73"/>
      <c r="O27" s="28">
        <v>45308.0</v>
      </c>
      <c r="P27" s="35" t="s">
        <v>173</v>
      </c>
      <c r="Q27" s="12"/>
      <c r="R27" s="12"/>
      <c r="S27" s="12"/>
      <c r="T27" s="52">
        <v>45183.0</v>
      </c>
      <c r="U27" s="52">
        <v>45305.0</v>
      </c>
      <c r="V27" s="52">
        <v>45308.0</v>
      </c>
      <c r="W27" s="30"/>
      <c r="X27" s="30"/>
      <c r="Y27" s="31"/>
      <c r="Z27" s="31"/>
      <c r="AA27" s="31"/>
      <c r="AB27" s="74" t="s">
        <v>189</v>
      </c>
      <c r="AC27" s="74"/>
    </row>
    <row r="28" ht="16.5" customHeight="1">
      <c r="A28" s="48" t="s">
        <v>190</v>
      </c>
      <c r="B28" s="53" t="s">
        <v>169</v>
      </c>
      <c r="C28" s="47">
        <v>0.0</v>
      </c>
      <c r="D28" s="70" t="s">
        <v>191</v>
      </c>
      <c r="E28" s="55" t="s">
        <v>171</v>
      </c>
      <c r="F28" s="32" t="s">
        <v>48</v>
      </c>
      <c r="G28" s="32" t="s">
        <v>35</v>
      </c>
      <c r="H28" s="71" t="s">
        <v>35</v>
      </c>
      <c r="I28" s="71" t="s">
        <v>36</v>
      </c>
      <c r="J28" s="34" t="s">
        <v>65</v>
      </c>
      <c r="K28" s="57" t="s">
        <v>38</v>
      </c>
      <c r="L28" s="72" t="s">
        <v>172</v>
      </c>
      <c r="M28" s="22"/>
      <c r="N28" s="73"/>
      <c r="O28" s="28">
        <v>45308.0</v>
      </c>
      <c r="P28" s="35" t="s">
        <v>173</v>
      </c>
      <c r="Q28" s="12"/>
      <c r="R28" s="12"/>
      <c r="S28" s="12"/>
      <c r="T28" s="52">
        <v>45183.0</v>
      </c>
      <c r="U28" s="52">
        <v>45305.0</v>
      </c>
      <c r="V28" s="52">
        <v>45308.0</v>
      </c>
      <c r="W28" s="30"/>
      <c r="X28" s="30"/>
      <c r="Y28" s="31"/>
      <c r="Z28" s="31"/>
      <c r="AA28" s="31"/>
      <c r="AB28" s="74" t="s">
        <v>192</v>
      </c>
      <c r="AC28" s="74"/>
    </row>
    <row r="29" ht="16.5" customHeight="1">
      <c r="A29" s="48" t="s">
        <v>193</v>
      </c>
      <c r="B29" s="53" t="s">
        <v>194</v>
      </c>
      <c r="C29" s="47">
        <v>0.0</v>
      </c>
      <c r="D29" s="70" t="s">
        <v>195</v>
      </c>
      <c r="E29" s="55" t="s">
        <v>177</v>
      </c>
      <c r="F29" s="32" t="s">
        <v>48</v>
      </c>
      <c r="G29" s="32" t="s">
        <v>35</v>
      </c>
      <c r="H29" s="71" t="s">
        <v>35</v>
      </c>
      <c r="I29" s="71" t="s">
        <v>36</v>
      </c>
      <c r="J29" s="34" t="s">
        <v>65</v>
      </c>
      <c r="K29" s="57" t="s">
        <v>38</v>
      </c>
      <c r="L29" s="72">
        <v>9861.0</v>
      </c>
      <c r="M29" s="27"/>
      <c r="N29" s="73"/>
      <c r="O29" s="28">
        <v>45310.0</v>
      </c>
      <c r="P29" s="26"/>
      <c r="Q29" s="12"/>
      <c r="R29" s="12"/>
      <c r="S29" s="12"/>
      <c r="T29" s="52">
        <v>45197.0</v>
      </c>
      <c r="U29" s="52">
        <v>45307.0</v>
      </c>
      <c r="V29" s="52">
        <v>45310.0</v>
      </c>
      <c r="W29" s="30"/>
      <c r="X29" s="30"/>
      <c r="Y29" s="31"/>
      <c r="Z29" s="31"/>
      <c r="AA29" s="31"/>
      <c r="AB29" s="74" t="s">
        <v>196</v>
      </c>
      <c r="AC29" s="74"/>
    </row>
    <row r="30" ht="16.5" customHeight="1">
      <c r="A30" s="48" t="s">
        <v>197</v>
      </c>
      <c r="B30" s="53" t="s">
        <v>194</v>
      </c>
      <c r="C30" s="47">
        <v>0.0</v>
      </c>
      <c r="D30" s="70" t="s">
        <v>198</v>
      </c>
      <c r="E30" s="55" t="s">
        <v>177</v>
      </c>
      <c r="F30" s="32" t="s">
        <v>48</v>
      </c>
      <c r="G30" s="32" t="s">
        <v>35</v>
      </c>
      <c r="H30" s="71" t="s">
        <v>35</v>
      </c>
      <c r="I30" s="71" t="s">
        <v>36</v>
      </c>
      <c r="J30" s="34" t="s">
        <v>65</v>
      </c>
      <c r="K30" s="57" t="s">
        <v>38</v>
      </c>
      <c r="L30" s="72">
        <v>9861.0</v>
      </c>
      <c r="M30" s="27"/>
      <c r="N30" s="73"/>
      <c r="O30" s="28">
        <v>45310.0</v>
      </c>
      <c r="P30" s="26"/>
      <c r="Q30" s="12"/>
      <c r="R30" s="12"/>
      <c r="S30" s="12"/>
      <c r="T30" s="52">
        <v>45197.0</v>
      </c>
      <c r="U30" s="52">
        <v>45307.0</v>
      </c>
      <c r="V30" s="52">
        <v>45310.0</v>
      </c>
      <c r="W30" s="30"/>
      <c r="X30" s="30"/>
      <c r="Y30" s="31"/>
      <c r="Z30" s="31"/>
      <c r="AA30" s="31"/>
      <c r="AB30" s="74" t="s">
        <v>199</v>
      </c>
      <c r="AC30" s="74"/>
    </row>
    <row r="31" ht="16.5" customHeight="1">
      <c r="A31" s="48" t="s">
        <v>200</v>
      </c>
      <c r="B31" s="53" t="s">
        <v>201</v>
      </c>
      <c r="C31" s="47">
        <v>0.0</v>
      </c>
      <c r="D31" s="70" t="s">
        <v>202</v>
      </c>
      <c r="E31" s="55" t="s">
        <v>117</v>
      </c>
      <c r="F31" s="32" t="s">
        <v>33</v>
      </c>
      <c r="G31" s="32" t="s">
        <v>34</v>
      </c>
      <c r="H31" s="71" t="s">
        <v>35</v>
      </c>
      <c r="I31" s="71" t="s">
        <v>36</v>
      </c>
      <c r="J31" s="34" t="s">
        <v>203</v>
      </c>
      <c r="K31" s="57" t="s">
        <v>38</v>
      </c>
      <c r="L31" s="72">
        <v>9725.0</v>
      </c>
      <c r="M31" s="27"/>
      <c r="N31" s="73"/>
      <c r="O31" s="28">
        <v>45195.0</v>
      </c>
      <c r="P31" s="26"/>
      <c r="Q31" s="12"/>
      <c r="R31" s="12"/>
      <c r="S31" s="12"/>
      <c r="T31" s="52">
        <v>45187.0</v>
      </c>
      <c r="U31" s="52">
        <v>45187.0</v>
      </c>
      <c r="V31" s="52">
        <v>45190.0</v>
      </c>
      <c r="W31" s="30"/>
      <c r="X31" s="30"/>
      <c r="Y31" s="31"/>
      <c r="Z31" s="31"/>
      <c r="AA31" s="31"/>
      <c r="AB31" s="74" t="s">
        <v>204</v>
      </c>
      <c r="AC31" s="74"/>
    </row>
    <row r="32" ht="16.5" customHeight="1">
      <c r="A32" s="48" t="s">
        <v>205</v>
      </c>
      <c r="B32" s="53" t="s">
        <v>201</v>
      </c>
      <c r="C32" s="47">
        <v>0.0</v>
      </c>
      <c r="D32" s="70" t="s">
        <v>206</v>
      </c>
      <c r="E32" s="55" t="s">
        <v>79</v>
      </c>
      <c r="F32" s="32" t="s">
        <v>33</v>
      </c>
      <c r="G32" s="32" t="s">
        <v>34</v>
      </c>
      <c r="H32" s="71" t="s">
        <v>35</v>
      </c>
      <c r="I32" s="71" t="s">
        <v>36</v>
      </c>
      <c r="J32" s="34" t="s">
        <v>203</v>
      </c>
      <c r="K32" s="57" t="s">
        <v>38</v>
      </c>
      <c r="L32" s="72">
        <v>9725.0</v>
      </c>
      <c r="M32" s="27"/>
      <c r="N32" s="73"/>
      <c r="O32" s="28">
        <v>45195.0</v>
      </c>
      <c r="P32" s="26"/>
      <c r="Q32" s="12"/>
      <c r="R32" s="12"/>
      <c r="S32" s="12"/>
      <c r="T32" s="52">
        <v>45187.0</v>
      </c>
      <c r="U32" s="52">
        <v>45187.0</v>
      </c>
      <c r="V32" s="52">
        <v>45190.0</v>
      </c>
      <c r="W32" s="30"/>
      <c r="X32" s="30"/>
      <c r="Y32" s="31"/>
      <c r="Z32" s="31"/>
      <c r="AA32" s="31"/>
      <c r="AB32" s="74" t="s">
        <v>207</v>
      </c>
      <c r="AC32" s="74"/>
    </row>
    <row r="33" ht="16.5" customHeight="1">
      <c r="A33" s="48" t="s">
        <v>208</v>
      </c>
      <c r="B33" s="53" t="s">
        <v>201</v>
      </c>
      <c r="C33" s="47">
        <v>0.0</v>
      </c>
      <c r="D33" s="70" t="s">
        <v>209</v>
      </c>
      <c r="E33" s="55" t="s">
        <v>79</v>
      </c>
      <c r="F33" s="32" t="s">
        <v>33</v>
      </c>
      <c r="G33" s="32" t="s">
        <v>34</v>
      </c>
      <c r="H33" s="71" t="s">
        <v>35</v>
      </c>
      <c r="I33" s="71" t="s">
        <v>36</v>
      </c>
      <c r="J33" s="34" t="s">
        <v>203</v>
      </c>
      <c r="K33" s="57" t="s">
        <v>38</v>
      </c>
      <c r="L33" s="72">
        <v>9725.0</v>
      </c>
      <c r="M33" s="27"/>
      <c r="N33" s="73"/>
      <c r="O33" s="28">
        <v>45195.0</v>
      </c>
      <c r="P33" s="26"/>
      <c r="Q33" s="12"/>
      <c r="R33" s="12"/>
      <c r="S33" s="12"/>
      <c r="T33" s="52">
        <v>45187.0</v>
      </c>
      <c r="U33" s="52">
        <v>45187.0</v>
      </c>
      <c r="V33" s="52">
        <v>45190.0</v>
      </c>
      <c r="W33" s="30"/>
      <c r="X33" s="30"/>
      <c r="Y33" s="31"/>
      <c r="Z33" s="31"/>
      <c r="AA33" s="31"/>
      <c r="AB33" s="74" t="s">
        <v>210</v>
      </c>
      <c r="AC33" s="74"/>
    </row>
    <row r="34" ht="16.5" customHeight="1">
      <c r="A34" s="48" t="s">
        <v>211</v>
      </c>
      <c r="B34" s="53" t="s">
        <v>201</v>
      </c>
      <c r="C34" s="47">
        <v>0.0</v>
      </c>
      <c r="D34" s="70" t="s">
        <v>212</v>
      </c>
      <c r="E34" s="55" t="s">
        <v>213</v>
      </c>
      <c r="F34" s="32" t="s">
        <v>33</v>
      </c>
      <c r="G34" s="32" t="s">
        <v>34</v>
      </c>
      <c r="H34" s="71" t="s">
        <v>35</v>
      </c>
      <c r="I34" s="71" t="s">
        <v>36</v>
      </c>
      <c r="J34" s="34" t="s">
        <v>203</v>
      </c>
      <c r="K34" s="57" t="s">
        <v>38</v>
      </c>
      <c r="L34" s="72">
        <v>9725.0</v>
      </c>
      <c r="M34" s="27"/>
      <c r="N34" s="73"/>
      <c r="O34" s="28">
        <v>45195.0</v>
      </c>
      <c r="P34" s="26"/>
      <c r="Q34" s="12"/>
      <c r="R34" s="12"/>
      <c r="S34" s="12"/>
      <c r="T34" s="52">
        <v>45187.0</v>
      </c>
      <c r="U34" s="52">
        <v>45187.0</v>
      </c>
      <c r="V34" s="52">
        <v>45190.0</v>
      </c>
      <c r="W34" s="30"/>
      <c r="X34" s="30"/>
      <c r="Y34" s="31"/>
      <c r="Z34" s="31"/>
      <c r="AA34" s="31"/>
      <c r="AB34" s="74" t="s">
        <v>214</v>
      </c>
      <c r="AC34" s="74"/>
    </row>
    <row r="35" ht="16.5" customHeight="1">
      <c r="A35" s="48" t="s">
        <v>215</v>
      </c>
      <c r="B35" s="53" t="s">
        <v>201</v>
      </c>
      <c r="C35" s="47">
        <v>0.0</v>
      </c>
      <c r="D35" s="70" t="s">
        <v>216</v>
      </c>
      <c r="E35" s="55" t="s">
        <v>217</v>
      </c>
      <c r="F35" s="32" t="s">
        <v>33</v>
      </c>
      <c r="G35" s="32" t="s">
        <v>35</v>
      </c>
      <c r="H35" s="71" t="s">
        <v>35</v>
      </c>
      <c r="I35" s="71" t="s">
        <v>36</v>
      </c>
      <c r="J35" s="34" t="s">
        <v>203</v>
      </c>
      <c r="K35" s="57" t="s">
        <v>38</v>
      </c>
      <c r="L35" s="72">
        <v>9725.0</v>
      </c>
      <c r="M35" s="27"/>
      <c r="N35" s="73"/>
      <c r="O35" s="28">
        <v>45195.0</v>
      </c>
      <c r="P35" s="26"/>
      <c r="Q35" s="12"/>
      <c r="R35" s="12"/>
      <c r="S35" s="12"/>
      <c r="T35" s="52">
        <v>45187.0</v>
      </c>
      <c r="U35" s="52">
        <v>45187.0</v>
      </c>
      <c r="V35" s="52">
        <v>45194.0</v>
      </c>
      <c r="W35" s="30"/>
      <c r="X35" s="30"/>
      <c r="Y35" s="31"/>
      <c r="Z35" s="31"/>
      <c r="AA35" s="31"/>
      <c r="AB35" s="74" t="s">
        <v>218</v>
      </c>
      <c r="AC35" s="74"/>
    </row>
    <row r="36" ht="16.5" customHeight="1">
      <c r="A36" s="48" t="s">
        <v>219</v>
      </c>
      <c r="B36" s="53" t="s">
        <v>201</v>
      </c>
      <c r="C36" s="47">
        <v>0.0</v>
      </c>
      <c r="D36" s="70" t="s">
        <v>220</v>
      </c>
      <c r="E36" s="55" t="s">
        <v>165</v>
      </c>
      <c r="F36" s="32" t="s">
        <v>33</v>
      </c>
      <c r="G36" s="32" t="s">
        <v>34</v>
      </c>
      <c r="H36" s="71" t="s">
        <v>35</v>
      </c>
      <c r="I36" s="71" t="s">
        <v>36</v>
      </c>
      <c r="J36" s="34" t="s">
        <v>203</v>
      </c>
      <c r="K36" s="57" t="s">
        <v>38</v>
      </c>
      <c r="L36" s="72">
        <v>9699.0</v>
      </c>
      <c r="M36" s="27"/>
      <c r="N36" s="73"/>
      <c r="O36" s="28">
        <v>45190.0</v>
      </c>
      <c r="P36" s="26"/>
      <c r="Q36" s="12"/>
      <c r="R36" s="12"/>
      <c r="S36" s="12"/>
      <c r="T36" s="52">
        <v>45187.0</v>
      </c>
      <c r="U36" s="52">
        <v>45187.0</v>
      </c>
      <c r="V36" s="52">
        <v>45190.0</v>
      </c>
      <c r="W36" s="30"/>
      <c r="X36" s="30"/>
      <c r="Y36" s="31"/>
      <c r="Z36" s="31"/>
      <c r="AA36" s="31"/>
      <c r="AB36" s="74" t="s">
        <v>221</v>
      </c>
      <c r="AC36" s="74"/>
    </row>
    <row r="37" ht="16.5" customHeight="1">
      <c r="A37" s="48" t="s">
        <v>222</v>
      </c>
      <c r="B37" s="53" t="s">
        <v>201</v>
      </c>
      <c r="C37" s="47">
        <v>137.0</v>
      </c>
      <c r="D37" s="70" t="s">
        <v>223</v>
      </c>
      <c r="E37" s="55" t="s">
        <v>85</v>
      </c>
      <c r="F37" s="32" t="s">
        <v>48</v>
      </c>
      <c r="G37" s="32" t="s">
        <v>35</v>
      </c>
      <c r="H37" s="71" t="s">
        <v>35</v>
      </c>
      <c r="I37" s="71" t="s">
        <v>36</v>
      </c>
      <c r="J37" s="34" t="s">
        <v>203</v>
      </c>
      <c r="K37" s="57" t="s">
        <v>38</v>
      </c>
      <c r="L37" s="72" t="s">
        <v>224</v>
      </c>
      <c r="M37" s="27"/>
      <c r="N37" s="73"/>
      <c r="O37" s="28">
        <v>45309.0</v>
      </c>
      <c r="P37" s="26"/>
      <c r="Q37" s="12"/>
      <c r="R37" s="12"/>
      <c r="S37" s="12"/>
      <c r="T37" s="52">
        <v>45187.0</v>
      </c>
      <c r="U37" s="52">
        <v>45306.0</v>
      </c>
      <c r="V37" s="52">
        <v>45309.0</v>
      </c>
      <c r="W37" s="30"/>
      <c r="X37" s="30"/>
      <c r="Y37" s="31"/>
      <c r="Z37" s="31"/>
      <c r="AA37" s="31"/>
      <c r="AB37" s="74" t="s">
        <v>225</v>
      </c>
      <c r="AC37" s="74"/>
    </row>
    <row r="38" ht="16.5" customHeight="1">
      <c r="A38" s="48" t="s">
        <v>226</v>
      </c>
      <c r="B38" s="53" t="s">
        <v>201</v>
      </c>
      <c r="C38" s="47">
        <v>0.0</v>
      </c>
      <c r="D38" s="70" t="s">
        <v>227</v>
      </c>
      <c r="E38" s="55" t="s">
        <v>177</v>
      </c>
      <c r="F38" s="32" t="s">
        <v>48</v>
      </c>
      <c r="G38" s="32" t="s">
        <v>35</v>
      </c>
      <c r="H38" s="71" t="s">
        <v>35</v>
      </c>
      <c r="I38" s="71" t="s">
        <v>36</v>
      </c>
      <c r="J38" s="34" t="s">
        <v>203</v>
      </c>
      <c r="K38" s="57" t="s">
        <v>38</v>
      </c>
      <c r="L38" s="72" t="s">
        <v>224</v>
      </c>
      <c r="M38" s="27"/>
      <c r="N38" s="73"/>
      <c r="O38" s="28">
        <v>45309.0</v>
      </c>
      <c r="P38" s="26"/>
      <c r="Q38" s="12"/>
      <c r="R38" s="12"/>
      <c r="S38" s="12"/>
      <c r="T38" s="52">
        <v>45187.0</v>
      </c>
      <c r="U38" s="52">
        <v>45306.0</v>
      </c>
      <c r="V38" s="52">
        <v>45309.0</v>
      </c>
      <c r="W38" s="30"/>
      <c r="X38" s="30"/>
      <c r="Y38" s="31"/>
      <c r="Z38" s="31"/>
      <c r="AA38" s="31"/>
      <c r="AB38" s="74" t="s">
        <v>228</v>
      </c>
      <c r="AC38" s="74"/>
    </row>
    <row r="39" ht="16.5" customHeight="1">
      <c r="A39" s="48" t="s">
        <v>229</v>
      </c>
      <c r="B39" s="53" t="s">
        <v>230</v>
      </c>
      <c r="C39" s="47">
        <v>0.0</v>
      </c>
      <c r="D39" s="70" t="s">
        <v>231</v>
      </c>
      <c r="E39" s="55" t="s">
        <v>232</v>
      </c>
      <c r="F39" s="32" t="s">
        <v>33</v>
      </c>
      <c r="G39" s="32" t="s">
        <v>35</v>
      </c>
      <c r="H39" s="71" t="s">
        <v>35</v>
      </c>
      <c r="I39" s="71" t="s">
        <v>36</v>
      </c>
      <c r="J39" s="34" t="s">
        <v>65</v>
      </c>
      <c r="K39" s="57" t="s">
        <v>38</v>
      </c>
      <c r="L39" s="72">
        <v>9668.0</v>
      </c>
      <c r="M39" s="22"/>
      <c r="N39" s="73"/>
      <c r="O39" s="28">
        <v>45183.0</v>
      </c>
      <c r="P39" s="35" t="s">
        <v>233</v>
      </c>
      <c r="Q39" s="12"/>
      <c r="R39" s="12"/>
      <c r="S39" s="12"/>
      <c r="T39" s="52">
        <v>45195.0</v>
      </c>
      <c r="U39" s="52">
        <v>45178.0</v>
      </c>
      <c r="V39" s="52">
        <v>45182.0</v>
      </c>
      <c r="W39" s="30"/>
      <c r="X39" s="30"/>
      <c r="Y39" s="31"/>
      <c r="Z39" s="31"/>
      <c r="AA39" s="31"/>
      <c r="AB39" s="74" t="s">
        <v>234</v>
      </c>
      <c r="AC39" s="74"/>
    </row>
    <row r="40" ht="16.5" customHeight="1">
      <c r="A40" s="48" t="s">
        <v>235</v>
      </c>
      <c r="B40" s="53" t="s">
        <v>236</v>
      </c>
      <c r="C40" s="47">
        <v>0.0</v>
      </c>
      <c r="D40" s="70" t="s">
        <v>237</v>
      </c>
      <c r="E40" s="55" t="s">
        <v>79</v>
      </c>
      <c r="F40" s="32" t="s">
        <v>33</v>
      </c>
      <c r="G40" s="32" t="s">
        <v>34</v>
      </c>
      <c r="H40" s="71" t="s">
        <v>35</v>
      </c>
      <c r="I40" s="71" t="s">
        <v>36</v>
      </c>
      <c r="J40" s="34" t="s">
        <v>37</v>
      </c>
      <c r="K40" s="57" t="s">
        <v>238</v>
      </c>
      <c r="L40" s="72">
        <v>9720.0</v>
      </c>
      <c r="M40" s="27"/>
      <c r="N40" s="73"/>
      <c r="O40" s="28">
        <v>45194.0</v>
      </c>
      <c r="P40" s="26"/>
      <c r="Q40" s="12"/>
      <c r="R40" s="12"/>
      <c r="S40" s="12"/>
      <c r="T40" s="52">
        <v>45187.0</v>
      </c>
      <c r="U40" s="52">
        <v>45187.0</v>
      </c>
      <c r="V40" s="52">
        <v>45190.0</v>
      </c>
      <c r="W40" s="30"/>
      <c r="X40" s="30"/>
      <c r="Y40" s="31"/>
      <c r="Z40" s="31"/>
      <c r="AA40" s="31"/>
      <c r="AB40" s="74" t="s">
        <v>239</v>
      </c>
      <c r="AC40" s="74"/>
    </row>
    <row r="41" ht="16.5" customHeight="1">
      <c r="A41" s="48" t="s">
        <v>240</v>
      </c>
      <c r="B41" s="53" t="s">
        <v>241</v>
      </c>
      <c r="C41" s="47">
        <v>0.0</v>
      </c>
      <c r="D41" s="70" t="s">
        <v>242</v>
      </c>
      <c r="E41" s="55" t="s">
        <v>243</v>
      </c>
      <c r="F41" s="32" t="s">
        <v>244</v>
      </c>
      <c r="G41" s="32" t="s">
        <v>35</v>
      </c>
      <c r="H41" s="71" t="s">
        <v>35</v>
      </c>
      <c r="I41" s="71" t="s">
        <v>36</v>
      </c>
      <c r="J41" s="34" t="s">
        <v>245</v>
      </c>
      <c r="K41" s="57" t="s">
        <v>38</v>
      </c>
      <c r="L41" s="72">
        <v>9683.0</v>
      </c>
      <c r="M41" s="22"/>
      <c r="N41" s="73"/>
      <c r="O41" s="28">
        <v>45188.0</v>
      </c>
      <c r="P41" s="35" t="s">
        <v>246</v>
      </c>
      <c r="Q41" s="12"/>
      <c r="R41" s="12"/>
      <c r="S41" s="12"/>
      <c r="T41" s="52">
        <v>45183.0</v>
      </c>
      <c r="U41" s="52">
        <v>45183.0</v>
      </c>
      <c r="V41" s="52">
        <v>45188.0</v>
      </c>
      <c r="W41" s="30"/>
      <c r="X41" s="30"/>
      <c r="Y41" s="31"/>
      <c r="Z41" s="31"/>
      <c r="AA41" s="31"/>
      <c r="AB41" s="74" t="s">
        <v>247</v>
      </c>
      <c r="AC41" s="74"/>
    </row>
    <row r="42" ht="16.5" customHeight="1">
      <c r="A42" s="48" t="s">
        <v>248</v>
      </c>
      <c r="B42" s="53" t="s">
        <v>249</v>
      </c>
      <c r="C42" s="47">
        <v>0.0</v>
      </c>
      <c r="D42" s="70" t="s">
        <v>250</v>
      </c>
      <c r="E42" s="55" t="s">
        <v>251</v>
      </c>
      <c r="F42" s="32" t="s">
        <v>33</v>
      </c>
      <c r="G42" s="32" t="s">
        <v>34</v>
      </c>
      <c r="H42" s="71" t="s">
        <v>35</v>
      </c>
      <c r="I42" s="71" t="s">
        <v>36</v>
      </c>
      <c r="J42" s="34" t="s">
        <v>49</v>
      </c>
      <c r="K42" s="57" t="s">
        <v>38</v>
      </c>
      <c r="L42" s="72">
        <v>9723.0</v>
      </c>
      <c r="M42" s="22"/>
      <c r="N42" s="73"/>
      <c r="O42" s="28">
        <v>45194.0</v>
      </c>
      <c r="P42" s="35" t="s">
        <v>252</v>
      </c>
      <c r="Q42" s="12"/>
      <c r="R42" s="12"/>
      <c r="S42" s="12"/>
      <c r="T42" s="52">
        <v>45184.0</v>
      </c>
      <c r="U42" s="52">
        <v>45184.0</v>
      </c>
      <c r="V42" s="52">
        <v>45194.0</v>
      </c>
      <c r="W42" s="30"/>
      <c r="X42" s="30"/>
      <c r="Y42" s="31"/>
      <c r="Z42" s="31"/>
      <c r="AA42" s="31"/>
      <c r="AB42" s="74" t="s">
        <v>253</v>
      </c>
      <c r="AC42" s="74"/>
    </row>
    <row r="43" ht="16.5" customHeight="1">
      <c r="A43" s="48" t="s">
        <v>254</v>
      </c>
      <c r="B43" s="53" t="s">
        <v>255</v>
      </c>
      <c r="C43" s="47">
        <v>0.0</v>
      </c>
      <c r="D43" s="70" t="s">
        <v>256</v>
      </c>
      <c r="E43" s="55" t="s">
        <v>257</v>
      </c>
      <c r="F43" s="32" t="s">
        <v>244</v>
      </c>
      <c r="G43" s="32" t="s">
        <v>35</v>
      </c>
      <c r="H43" s="71" t="s">
        <v>35</v>
      </c>
      <c r="I43" s="71" t="s">
        <v>36</v>
      </c>
      <c r="J43" s="34" t="s">
        <v>258</v>
      </c>
      <c r="K43" s="57" t="s">
        <v>38</v>
      </c>
      <c r="L43" s="72">
        <v>9677.0</v>
      </c>
      <c r="M43" s="27"/>
      <c r="N43" s="73"/>
      <c r="O43" s="28">
        <v>45184.0</v>
      </c>
      <c r="P43" s="26"/>
      <c r="Q43" s="12"/>
      <c r="R43" s="12"/>
      <c r="S43" s="12"/>
      <c r="T43" s="52">
        <v>45183.0</v>
      </c>
      <c r="U43" s="52">
        <v>45183.0</v>
      </c>
      <c r="V43" s="52">
        <v>45183.0</v>
      </c>
      <c r="W43" s="30"/>
      <c r="X43" s="30"/>
      <c r="Y43" s="31"/>
      <c r="Z43" s="31"/>
      <c r="AA43" s="31"/>
      <c r="AB43" s="74" t="s">
        <v>259</v>
      </c>
      <c r="AC43" s="74"/>
    </row>
    <row r="44" ht="16.5" customHeight="1">
      <c r="A44" s="48" t="s">
        <v>260</v>
      </c>
      <c r="B44" s="53" t="s">
        <v>261</v>
      </c>
      <c r="C44" s="47">
        <v>0.0</v>
      </c>
      <c r="D44" s="70" t="s">
        <v>262</v>
      </c>
      <c r="E44" s="55" t="s">
        <v>213</v>
      </c>
      <c r="F44" s="32" t="s">
        <v>33</v>
      </c>
      <c r="G44" s="32" t="s">
        <v>35</v>
      </c>
      <c r="H44" s="71" t="s">
        <v>35</v>
      </c>
      <c r="I44" s="71" t="s">
        <v>36</v>
      </c>
      <c r="J44" s="34" t="s">
        <v>258</v>
      </c>
      <c r="K44" s="57" t="s">
        <v>38</v>
      </c>
      <c r="L44" s="72">
        <v>9719.0</v>
      </c>
      <c r="M44" s="22"/>
      <c r="N44" s="73"/>
      <c r="O44" s="28">
        <v>45194.0</v>
      </c>
      <c r="P44" s="35" t="s">
        <v>263</v>
      </c>
      <c r="Q44" s="12"/>
      <c r="R44" s="12"/>
      <c r="S44" s="12"/>
      <c r="T44" s="52">
        <v>45190.0</v>
      </c>
      <c r="U44" s="52">
        <v>45190.0</v>
      </c>
      <c r="V44" s="52">
        <v>45191.0</v>
      </c>
      <c r="W44" s="30"/>
      <c r="X44" s="30"/>
      <c r="Y44" s="31"/>
      <c r="Z44" s="31"/>
      <c r="AA44" s="31"/>
      <c r="AB44" s="74" t="s">
        <v>264</v>
      </c>
      <c r="AC44" s="74"/>
    </row>
    <row r="45" ht="16.5" customHeight="1">
      <c r="A45" s="48" t="s">
        <v>265</v>
      </c>
      <c r="B45" s="53" t="s">
        <v>266</v>
      </c>
      <c r="C45" s="47">
        <v>0.0</v>
      </c>
      <c r="D45" s="70" t="s">
        <v>267</v>
      </c>
      <c r="E45" s="55" t="s">
        <v>268</v>
      </c>
      <c r="F45" s="32" t="s">
        <v>33</v>
      </c>
      <c r="G45" s="32" t="s">
        <v>34</v>
      </c>
      <c r="H45" s="71" t="s">
        <v>35</v>
      </c>
      <c r="I45" s="71" t="s">
        <v>36</v>
      </c>
      <c r="J45" s="34" t="s">
        <v>37</v>
      </c>
      <c r="K45" s="57" t="s">
        <v>269</v>
      </c>
      <c r="L45" s="72">
        <v>9678.0</v>
      </c>
      <c r="M45" s="27"/>
      <c r="N45" s="73"/>
      <c r="O45" s="28">
        <v>45188.0</v>
      </c>
      <c r="P45" s="26"/>
      <c r="Q45" s="12"/>
      <c r="R45" s="12"/>
      <c r="S45" s="12"/>
      <c r="T45" s="52">
        <v>45184.0</v>
      </c>
      <c r="U45" s="52">
        <v>45184.0</v>
      </c>
      <c r="V45" s="52">
        <v>45187.0</v>
      </c>
      <c r="W45" s="30"/>
      <c r="X45" s="30"/>
      <c r="Y45" s="31"/>
      <c r="Z45" s="31"/>
      <c r="AA45" s="31"/>
      <c r="AB45" s="74" t="s">
        <v>270</v>
      </c>
      <c r="AC45" s="74"/>
    </row>
    <row r="46" ht="16.5" customHeight="1">
      <c r="A46" s="48" t="s">
        <v>271</v>
      </c>
      <c r="B46" s="53" t="s">
        <v>272</v>
      </c>
      <c r="C46" s="47">
        <v>0.0</v>
      </c>
      <c r="D46" s="70" t="s">
        <v>273</v>
      </c>
      <c r="E46" s="55" t="s">
        <v>79</v>
      </c>
      <c r="F46" s="32" t="s">
        <v>33</v>
      </c>
      <c r="G46" s="32" t="s">
        <v>35</v>
      </c>
      <c r="H46" s="71" t="s">
        <v>35</v>
      </c>
      <c r="I46" s="71" t="s">
        <v>36</v>
      </c>
      <c r="J46" s="34" t="s">
        <v>49</v>
      </c>
      <c r="K46" s="57" t="s">
        <v>38</v>
      </c>
      <c r="L46" s="72">
        <v>9682.0</v>
      </c>
      <c r="M46" s="22"/>
      <c r="N46" s="73"/>
      <c r="O46" s="28">
        <v>45188.0</v>
      </c>
      <c r="P46" s="35" t="s">
        <v>274</v>
      </c>
      <c r="Q46" s="12"/>
      <c r="R46" s="12"/>
      <c r="S46" s="12"/>
      <c r="T46" s="52">
        <v>45187.0</v>
      </c>
      <c r="U46" s="52">
        <v>45187.0</v>
      </c>
      <c r="V46" s="52">
        <v>45188.0</v>
      </c>
      <c r="W46" s="30"/>
      <c r="X46" s="30"/>
      <c r="Y46" s="31"/>
      <c r="Z46" s="31"/>
      <c r="AA46" s="31"/>
      <c r="AB46" s="74" t="s">
        <v>275</v>
      </c>
      <c r="AC46" s="74"/>
    </row>
    <row r="47" ht="16.5" customHeight="1">
      <c r="A47" s="48" t="s">
        <v>276</v>
      </c>
      <c r="B47" s="53" t="s">
        <v>249</v>
      </c>
      <c r="C47" s="47">
        <v>0.0</v>
      </c>
      <c r="D47" s="70" t="s">
        <v>277</v>
      </c>
      <c r="E47" s="55" t="s">
        <v>213</v>
      </c>
      <c r="F47" s="32" t="s">
        <v>33</v>
      </c>
      <c r="G47" s="32" t="s">
        <v>35</v>
      </c>
      <c r="H47" s="71" t="s">
        <v>35</v>
      </c>
      <c r="I47" s="71" t="s">
        <v>36</v>
      </c>
      <c r="J47" s="34" t="s">
        <v>49</v>
      </c>
      <c r="K47" s="57" t="s">
        <v>38</v>
      </c>
      <c r="L47" s="72">
        <v>9749.0</v>
      </c>
      <c r="M47" s="22"/>
      <c r="N47" s="73"/>
      <c r="O47" s="28">
        <v>45198.0</v>
      </c>
      <c r="P47" s="35" t="s">
        <v>278</v>
      </c>
      <c r="Q47" s="12"/>
      <c r="R47" s="12"/>
      <c r="S47" s="12"/>
      <c r="T47" s="52">
        <v>45190.0</v>
      </c>
      <c r="U47" s="52">
        <v>45190.0</v>
      </c>
      <c r="V47" s="52">
        <v>45194.0</v>
      </c>
      <c r="W47" s="30"/>
      <c r="X47" s="30"/>
      <c r="Y47" s="31"/>
      <c r="Z47" s="31"/>
      <c r="AA47" s="31"/>
      <c r="AB47" s="74" t="s">
        <v>279</v>
      </c>
      <c r="AC47" s="74"/>
    </row>
    <row r="48" ht="16.5" customHeight="1">
      <c r="A48" s="48" t="s">
        <v>280</v>
      </c>
      <c r="B48" s="53" t="s">
        <v>281</v>
      </c>
      <c r="C48" s="47">
        <v>0.0</v>
      </c>
      <c r="D48" s="70" t="s">
        <v>282</v>
      </c>
      <c r="E48" s="55" t="s">
        <v>79</v>
      </c>
      <c r="F48" s="32" t="s">
        <v>33</v>
      </c>
      <c r="G48" s="32" t="s">
        <v>35</v>
      </c>
      <c r="H48" s="71" t="s">
        <v>35</v>
      </c>
      <c r="I48" s="71" t="s">
        <v>36</v>
      </c>
      <c r="J48" s="34" t="s">
        <v>37</v>
      </c>
      <c r="K48" s="57" t="s">
        <v>283</v>
      </c>
      <c r="L48" s="72">
        <v>9698.0</v>
      </c>
      <c r="M48" s="22"/>
      <c r="N48" s="73"/>
      <c r="O48" s="28">
        <v>45190.0</v>
      </c>
      <c r="P48" s="35" t="s">
        <v>284</v>
      </c>
      <c r="Q48" s="12"/>
      <c r="R48" s="12"/>
      <c r="S48" s="12"/>
      <c r="T48" s="52">
        <v>45184.0</v>
      </c>
      <c r="U48" s="52">
        <v>45184.0</v>
      </c>
      <c r="V48" s="52">
        <v>45190.0</v>
      </c>
      <c r="W48" s="30"/>
      <c r="X48" s="30"/>
      <c r="Y48" s="31"/>
      <c r="Z48" s="31"/>
      <c r="AA48" s="31"/>
      <c r="AB48" s="74" t="s">
        <v>285</v>
      </c>
      <c r="AC48" s="74"/>
    </row>
    <row r="49" ht="16.5" customHeight="1">
      <c r="A49" s="48" t="s">
        <v>286</v>
      </c>
      <c r="B49" s="53" t="s">
        <v>287</v>
      </c>
      <c r="C49" s="47">
        <v>0.0</v>
      </c>
      <c r="D49" s="70" t="s">
        <v>288</v>
      </c>
      <c r="E49" s="55" t="s">
        <v>289</v>
      </c>
      <c r="F49" s="32" t="s">
        <v>33</v>
      </c>
      <c r="G49" s="32" t="s">
        <v>35</v>
      </c>
      <c r="H49" s="71" t="s">
        <v>35</v>
      </c>
      <c r="I49" s="71" t="s">
        <v>36</v>
      </c>
      <c r="J49" s="34" t="s">
        <v>92</v>
      </c>
      <c r="K49" s="57" t="s">
        <v>38</v>
      </c>
      <c r="L49" s="72">
        <v>9697.0</v>
      </c>
      <c r="M49" s="22"/>
      <c r="N49" s="73"/>
      <c r="O49" s="28">
        <v>45191.0</v>
      </c>
      <c r="P49" s="35" t="s">
        <v>290</v>
      </c>
      <c r="Q49" s="12"/>
      <c r="R49" s="12"/>
      <c r="S49" s="12"/>
      <c r="T49" s="52">
        <v>45184.0</v>
      </c>
      <c r="U49" s="52">
        <v>45184.0</v>
      </c>
      <c r="V49" s="52">
        <v>45189.0</v>
      </c>
      <c r="W49" s="30"/>
      <c r="X49" s="30"/>
      <c r="Y49" s="31"/>
      <c r="Z49" s="31"/>
      <c r="AA49" s="31"/>
      <c r="AB49" s="74" t="s">
        <v>291</v>
      </c>
      <c r="AC49" s="74"/>
    </row>
    <row r="50" ht="16.5" customHeight="1">
      <c r="A50" s="48" t="s">
        <v>292</v>
      </c>
      <c r="B50" s="53" t="s">
        <v>293</v>
      </c>
      <c r="C50" s="47">
        <v>0.0</v>
      </c>
      <c r="D50" s="70" t="s">
        <v>294</v>
      </c>
      <c r="E50" s="55" t="s">
        <v>295</v>
      </c>
      <c r="F50" s="32" t="s">
        <v>33</v>
      </c>
      <c r="G50" s="32" t="s">
        <v>35</v>
      </c>
      <c r="H50" s="71" t="s">
        <v>35</v>
      </c>
      <c r="I50" s="71" t="s">
        <v>36</v>
      </c>
      <c r="J50" s="34" t="s">
        <v>92</v>
      </c>
      <c r="K50" s="57" t="s">
        <v>38</v>
      </c>
      <c r="L50" s="72">
        <v>9718.0</v>
      </c>
      <c r="M50" s="22"/>
      <c r="N50" s="73"/>
      <c r="O50" s="28">
        <v>45218.0</v>
      </c>
      <c r="P50" s="35" t="s">
        <v>296</v>
      </c>
      <c r="Q50" s="12"/>
      <c r="R50" s="12"/>
      <c r="S50" s="12"/>
      <c r="T50" s="52">
        <v>45190.0</v>
      </c>
      <c r="U50" s="52">
        <v>45190.0</v>
      </c>
      <c r="V50" s="52">
        <v>45191.0</v>
      </c>
      <c r="W50" s="30"/>
      <c r="X50" s="30"/>
      <c r="Y50" s="31"/>
      <c r="Z50" s="31"/>
      <c r="AA50" s="31"/>
      <c r="AB50" s="74" t="s">
        <v>297</v>
      </c>
      <c r="AC50" s="74"/>
    </row>
    <row r="51" ht="16.5" customHeight="1">
      <c r="A51" s="48" t="s">
        <v>298</v>
      </c>
      <c r="B51" s="53" t="s">
        <v>299</v>
      </c>
      <c r="C51" s="47">
        <v>0.0</v>
      </c>
      <c r="D51" s="70" t="s">
        <v>300</v>
      </c>
      <c r="E51" s="55" t="s">
        <v>301</v>
      </c>
      <c r="F51" s="32" t="s">
        <v>33</v>
      </c>
      <c r="G51" s="32" t="s">
        <v>35</v>
      </c>
      <c r="H51" s="71" t="s">
        <v>35</v>
      </c>
      <c r="I51" s="71" t="s">
        <v>36</v>
      </c>
      <c r="J51" s="34" t="s">
        <v>92</v>
      </c>
      <c r="K51" s="57" t="s">
        <v>38</v>
      </c>
      <c r="L51" s="72">
        <v>9691.0</v>
      </c>
      <c r="M51" s="22"/>
      <c r="N51" s="73"/>
      <c r="O51" s="28">
        <v>45197.0</v>
      </c>
      <c r="P51" s="35" t="s">
        <v>302</v>
      </c>
      <c r="Q51" s="12"/>
      <c r="R51" s="12"/>
      <c r="S51" s="12"/>
      <c r="T51" s="52">
        <v>45184.0</v>
      </c>
      <c r="U51" s="52">
        <v>45184.0</v>
      </c>
      <c r="V51" s="52">
        <v>45187.0</v>
      </c>
      <c r="W51" s="30"/>
      <c r="X51" s="30"/>
      <c r="Y51" s="31"/>
      <c r="Z51" s="31"/>
      <c r="AA51" s="31"/>
      <c r="AB51" s="74" t="s">
        <v>303</v>
      </c>
      <c r="AC51" s="74"/>
    </row>
    <row r="52" ht="16.5" customHeight="1">
      <c r="A52" s="48" t="s">
        <v>304</v>
      </c>
      <c r="B52" s="53" t="s">
        <v>305</v>
      </c>
      <c r="C52" s="47">
        <v>90.0</v>
      </c>
      <c r="D52" s="70" t="s">
        <v>306</v>
      </c>
      <c r="E52" s="55" t="s">
        <v>91</v>
      </c>
      <c r="F52" s="32" t="s">
        <v>48</v>
      </c>
      <c r="G52" s="32" t="s">
        <v>35</v>
      </c>
      <c r="H52" s="71" t="s">
        <v>35</v>
      </c>
      <c r="I52" s="71" t="s">
        <v>36</v>
      </c>
      <c r="J52" s="34" t="s">
        <v>65</v>
      </c>
      <c r="K52" s="57" t="s">
        <v>38</v>
      </c>
      <c r="L52" s="72" t="s">
        <v>307</v>
      </c>
      <c r="M52" s="27"/>
      <c r="N52" s="73"/>
      <c r="O52" s="28">
        <v>45308.0</v>
      </c>
      <c r="P52" s="26"/>
      <c r="Q52" s="12"/>
      <c r="R52" s="12"/>
      <c r="S52" s="12"/>
      <c r="T52" s="52">
        <v>45190.0</v>
      </c>
      <c r="U52" s="52">
        <v>45305.0</v>
      </c>
      <c r="V52" s="52">
        <v>45308.0</v>
      </c>
      <c r="W52" s="30"/>
      <c r="X52" s="30"/>
      <c r="Y52" s="31"/>
      <c r="Z52" s="31"/>
      <c r="AA52" s="31"/>
      <c r="AB52" s="74" t="s">
        <v>308</v>
      </c>
      <c r="AC52" s="74"/>
    </row>
    <row r="53" ht="16.5" customHeight="1">
      <c r="A53" s="48" t="s">
        <v>309</v>
      </c>
      <c r="B53" s="53" t="s">
        <v>305</v>
      </c>
      <c r="C53" s="47">
        <v>11.0</v>
      </c>
      <c r="D53" s="70" t="s">
        <v>310</v>
      </c>
      <c r="E53" s="55" t="s">
        <v>112</v>
      </c>
      <c r="F53" s="32" t="s">
        <v>48</v>
      </c>
      <c r="G53" s="32" t="s">
        <v>35</v>
      </c>
      <c r="H53" s="71" t="s">
        <v>35</v>
      </c>
      <c r="I53" s="71" t="s">
        <v>36</v>
      </c>
      <c r="J53" s="34" t="s">
        <v>65</v>
      </c>
      <c r="K53" s="57" t="s">
        <v>38</v>
      </c>
      <c r="L53" s="72" t="s">
        <v>307</v>
      </c>
      <c r="M53" s="27"/>
      <c r="N53" s="73"/>
      <c r="O53" s="28">
        <v>45308.0</v>
      </c>
      <c r="P53" s="26"/>
      <c r="Q53" s="12"/>
      <c r="R53" s="12"/>
      <c r="S53" s="12"/>
      <c r="T53" s="52">
        <v>45190.0</v>
      </c>
      <c r="U53" s="52">
        <v>45305.0</v>
      </c>
      <c r="V53" s="52">
        <v>45308.0</v>
      </c>
      <c r="W53" s="30"/>
      <c r="X53" s="30"/>
      <c r="Y53" s="31"/>
      <c r="Z53" s="31"/>
      <c r="AA53" s="31"/>
      <c r="AB53" s="74" t="s">
        <v>311</v>
      </c>
      <c r="AC53" s="74"/>
    </row>
    <row r="54" ht="16.5" customHeight="1">
      <c r="A54" s="48" t="s">
        <v>312</v>
      </c>
      <c r="B54" s="53" t="s">
        <v>305</v>
      </c>
      <c r="C54" s="47">
        <v>34.0</v>
      </c>
      <c r="D54" s="70" t="s">
        <v>313</v>
      </c>
      <c r="E54" s="55" t="s">
        <v>47</v>
      </c>
      <c r="F54" s="32" t="s">
        <v>48</v>
      </c>
      <c r="G54" s="32" t="s">
        <v>35</v>
      </c>
      <c r="H54" s="71" t="s">
        <v>35</v>
      </c>
      <c r="I54" s="71" t="s">
        <v>36</v>
      </c>
      <c r="J54" s="34" t="s">
        <v>65</v>
      </c>
      <c r="K54" s="57" t="s">
        <v>38</v>
      </c>
      <c r="L54" s="72" t="s">
        <v>307</v>
      </c>
      <c r="M54" s="27"/>
      <c r="N54" s="73"/>
      <c r="O54" s="28">
        <v>45308.0</v>
      </c>
      <c r="P54" s="26"/>
      <c r="Q54" s="12"/>
      <c r="R54" s="12"/>
      <c r="S54" s="12"/>
      <c r="T54" s="52">
        <v>45190.0</v>
      </c>
      <c r="U54" s="52">
        <v>45305.0</v>
      </c>
      <c r="V54" s="52">
        <v>45308.0</v>
      </c>
      <c r="W54" s="30"/>
      <c r="X54" s="30"/>
      <c r="Y54" s="31"/>
      <c r="Z54" s="31"/>
      <c r="AA54" s="31"/>
      <c r="AB54" s="74" t="s">
        <v>314</v>
      </c>
      <c r="AC54" s="74"/>
    </row>
    <row r="55" ht="16.5" customHeight="1">
      <c r="A55" s="48" t="s">
        <v>315</v>
      </c>
      <c r="B55" s="53" t="s">
        <v>305</v>
      </c>
      <c r="C55" s="47">
        <v>137.0</v>
      </c>
      <c r="D55" s="70" t="s">
        <v>316</v>
      </c>
      <c r="E55" s="55" t="s">
        <v>85</v>
      </c>
      <c r="F55" s="32" t="s">
        <v>48</v>
      </c>
      <c r="G55" s="32" t="s">
        <v>35</v>
      </c>
      <c r="H55" s="71" t="s">
        <v>35</v>
      </c>
      <c r="I55" s="71" t="s">
        <v>36</v>
      </c>
      <c r="J55" s="34" t="s">
        <v>65</v>
      </c>
      <c r="K55" s="57" t="s">
        <v>38</v>
      </c>
      <c r="L55" s="72" t="s">
        <v>307</v>
      </c>
      <c r="M55" s="27"/>
      <c r="N55" s="73"/>
      <c r="O55" s="28">
        <v>45308.0</v>
      </c>
      <c r="P55" s="26"/>
      <c r="Q55" s="12"/>
      <c r="R55" s="12"/>
      <c r="S55" s="12"/>
      <c r="T55" s="52">
        <v>45190.0</v>
      </c>
      <c r="U55" s="52">
        <v>45305.0</v>
      </c>
      <c r="V55" s="52">
        <v>45308.0</v>
      </c>
      <c r="W55" s="30"/>
      <c r="X55" s="30"/>
      <c r="Y55" s="31"/>
      <c r="Z55" s="31"/>
      <c r="AA55" s="31"/>
      <c r="AB55" s="74" t="s">
        <v>317</v>
      </c>
      <c r="AC55" s="74"/>
    </row>
    <row r="56" ht="16.5" customHeight="1">
      <c r="A56" s="48" t="s">
        <v>318</v>
      </c>
      <c r="B56" s="53" t="s">
        <v>305</v>
      </c>
      <c r="C56" s="47">
        <v>137.0</v>
      </c>
      <c r="D56" s="70" t="s">
        <v>319</v>
      </c>
      <c r="E56" s="55" t="s">
        <v>85</v>
      </c>
      <c r="F56" s="32" t="s">
        <v>48</v>
      </c>
      <c r="G56" s="32" t="s">
        <v>35</v>
      </c>
      <c r="H56" s="71" t="s">
        <v>35</v>
      </c>
      <c r="I56" s="71" t="s">
        <v>36</v>
      </c>
      <c r="J56" s="34" t="s">
        <v>65</v>
      </c>
      <c r="K56" s="57" t="s">
        <v>38</v>
      </c>
      <c r="L56" s="72" t="s">
        <v>307</v>
      </c>
      <c r="M56" s="27"/>
      <c r="N56" s="73"/>
      <c r="O56" s="28">
        <v>45308.0</v>
      </c>
      <c r="P56" s="26"/>
      <c r="Q56" s="12"/>
      <c r="R56" s="12"/>
      <c r="S56" s="12"/>
      <c r="T56" s="52">
        <v>45190.0</v>
      </c>
      <c r="U56" s="52">
        <v>45305.0</v>
      </c>
      <c r="V56" s="52">
        <v>45308.0</v>
      </c>
      <c r="W56" s="30"/>
      <c r="X56" s="30"/>
      <c r="Y56" s="31"/>
      <c r="Z56" s="31"/>
      <c r="AA56" s="31"/>
      <c r="AB56" s="74" t="s">
        <v>320</v>
      </c>
      <c r="AC56" s="74"/>
    </row>
    <row r="57" ht="16.5" customHeight="1">
      <c r="A57" s="48" t="s">
        <v>321</v>
      </c>
      <c r="B57" s="53" t="s">
        <v>305</v>
      </c>
      <c r="C57" s="47">
        <v>137.0</v>
      </c>
      <c r="D57" s="70" t="s">
        <v>322</v>
      </c>
      <c r="E57" s="55" t="s">
        <v>85</v>
      </c>
      <c r="F57" s="32" t="s">
        <v>48</v>
      </c>
      <c r="G57" s="32" t="s">
        <v>35</v>
      </c>
      <c r="H57" s="71" t="s">
        <v>35</v>
      </c>
      <c r="I57" s="71" t="s">
        <v>36</v>
      </c>
      <c r="J57" s="34" t="s">
        <v>65</v>
      </c>
      <c r="K57" s="57" t="s">
        <v>38</v>
      </c>
      <c r="L57" s="72" t="s">
        <v>307</v>
      </c>
      <c r="M57" s="27"/>
      <c r="N57" s="73"/>
      <c r="O57" s="28">
        <v>45308.0</v>
      </c>
      <c r="P57" s="26"/>
      <c r="Q57" s="12"/>
      <c r="R57" s="12"/>
      <c r="S57" s="12"/>
      <c r="T57" s="52">
        <v>45190.0</v>
      </c>
      <c r="U57" s="52">
        <v>45305.0</v>
      </c>
      <c r="V57" s="52">
        <v>45308.0</v>
      </c>
      <c r="W57" s="30"/>
      <c r="X57" s="30"/>
      <c r="Y57" s="31"/>
      <c r="Z57" s="31"/>
      <c r="AA57" s="31"/>
      <c r="AB57" s="74" t="s">
        <v>323</v>
      </c>
      <c r="AC57" s="74"/>
    </row>
    <row r="58" ht="16.5" customHeight="1">
      <c r="A58" s="48" t="s">
        <v>324</v>
      </c>
      <c r="B58" s="53" t="s">
        <v>305</v>
      </c>
      <c r="C58" s="47">
        <v>137.0</v>
      </c>
      <c r="D58" s="70" t="s">
        <v>325</v>
      </c>
      <c r="E58" s="55" t="s">
        <v>85</v>
      </c>
      <c r="F58" s="32" t="s">
        <v>48</v>
      </c>
      <c r="G58" s="32" t="s">
        <v>35</v>
      </c>
      <c r="H58" s="71" t="s">
        <v>35</v>
      </c>
      <c r="I58" s="71" t="s">
        <v>36</v>
      </c>
      <c r="J58" s="34" t="s">
        <v>65</v>
      </c>
      <c r="K58" s="57" t="s">
        <v>38</v>
      </c>
      <c r="L58" s="72" t="s">
        <v>307</v>
      </c>
      <c r="M58" s="27"/>
      <c r="N58" s="73"/>
      <c r="O58" s="28">
        <v>45308.0</v>
      </c>
      <c r="P58" s="26"/>
      <c r="Q58" s="12"/>
      <c r="R58" s="12"/>
      <c r="S58" s="12"/>
      <c r="T58" s="52">
        <v>45190.0</v>
      </c>
      <c r="U58" s="52">
        <v>45305.0</v>
      </c>
      <c r="V58" s="52">
        <v>45308.0</v>
      </c>
      <c r="W58" s="30"/>
      <c r="X58" s="30"/>
      <c r="Y58" s="31"/>
      <c r="Z58" s="31"/>
      <c r="AA58" s="31"/>
      <c r="AB58" s="74" t="s">
        <v>326</v>
      </c>
      <c r="AC58" s="74"/>
    </row>
    <row r="59" ht="16.5" customHeight="1">
      <c r="A59" s="48" t="s">
        <v>327</v>
      </c>
      <c r="B59" s="53" t="s">
        <v>305</v>
      </c>
      <c r="C59" s="47">
        <v>137.0</v>
      </c>
      <c r="D59" s="70" t="s">
        <v>328</v>
      </c>
      <c r="E59" s="55" t="s">
        <v>85</v>
      </c>
      <c r="F59" s="32" t="s">
        <v>48</v>
      </c>
      <c r="G59" s="32" t="s">
        <v>35</v>
      </c>
      <c r="H59" s="71" t="s">
        <v>35</v>
      </c>
      <c r="I59" s="71" t="s">
        <v>36</v>
      </c>
      <c r="J59" s="34" t="s">
        <v>65</v>
      </c>
      <c r="K59" s="57" t="s">
        <v>38</v>
      </c>
      <c r="L59" s="72" t="s">
        <v>307</v>
      </c>
      <c r="M59" s="27"/>
      <c r="N59" s="73"/>
      <c r="O59" s="28">
        <v>45310.0</v>
      </c>
      <c r="P59" s="26"/>
      <c r="Q59" s="12"/>
      <c r="R59" s="12"/>
      <c r="S59" s="12"/>
      <c r="T59" s="52">
        <v>45190.0</v>
      </c>
      <c r="U59" s="52">
        <v>45307.0</v>
      </c>
      <c r="V59" s="52">
        <v>45310.0</v>
      </c>
      <c r="W59" s="30"/>
      <c r="X59" s="30"/>
      <c r="Y59" s="31"/>
      <c r="Z59" s="31"/>
      <c r="AA59" s="31"/>
      <c r="AB59" s="74" t="s">
        <v>329</v>
      </c>
      <c r="AC59" s="74"/>
    </row>
    <row r="60" ht="16.5" customHeight="1">
      <c r="A60" s="48" t="s">
        <v>330</v>
      </c>
      <c r="B60" s="53" t="s">
        <v>331</v>
      </c>
      <c r="C60" s="47">
        <v>0.0</v>
      </c>
      <c r="D60" s="70" t="s">
        <v>332</v>
      </c>
      <c r="E60" s="55" t="s">
        <v>79</v>
      </c>
      <c r="F60" s="32" t="s">
        <v>33</v>
      </c>
      <c r="G60" s="32" t="s">
        <v>34</v>
      </c>
      <c r="H60" s="71" t="s">
        <v>35</v>
      </c>
      <c r="I60" s="71" t="s">
        <v>36</v>
      </c>
      <c r="J60" s="34" t="s">
        <v>37</v>
      </c>
      <c r="K60" s="57" t="s">
        <v>238</v>
      </c>
      <c r="L60" s="72">
        <v>9692.0</v>
      </c>
      <c r="M60" s="22"/>
      <c r="N60" s="73"/>
      <c r="O60" s="28">
        <v>45189.0</v>
      </c>
      <c r="P60" s="35" t="s">
        <v>333</v>
      </c>
      <c r="Q60" s="12"/>
      <c r="R60" s="12"/>
      <c r="S60" s="12"/>
      <c r="T60" s="52">
        <v>45187.0</v>
      </c>
      <c r="U60" s="52">
        <v>45187.0</v>
      </c>
      <c r="V60" s="52">
        <v>45189.0</v>
      </c>
      <c r="W60" s="30"/>
      <c r="X60" s="30"/>
      <c r="Y60" s="31"/>
      <c r="Z60" s="31"/>
      <c r="AA60" s="31"/>
      <c r="AB60" s="74" t="s">
        <v>334</v>
      </c>
      <c r="AC60" s="74"/>
    </row>
    <row r="61" ht="16.5" customHeight="1">
      <c r="A61" s="48" t="s">
        <v>335</v>
      </c>
      <c r="B61" s="53" t="s">
        <v>336</v>
      </c>
      <c r="C61" s="47">
        <v>0.0</v>
      </c>
      <c r="D61" s="70" t="s">
        <v>337</v>
      </c>
      <c r="E61" s="55" t="s">
        <v>338</v>
      </c>
      <c r="F61" s="32" t="s">
        <v>33</v>
      </c>
      <c r="G61" s="32" t="s">
        <v>35</v>
      </c>
      <c r="H61" s="71" t="s">
        <v>35</v>
      </c>
      <c r="I61" s="71" t="s">
        <v>36</v>
      </c>
      <c r="J61" s="34" t="s">
        <v>339</v>
      </c>
      <c r="K61" s="57" t="s">
        <v>38</v>
      </c>
      <c r="L61" s="72">
        <v>9681.0</v>
      </c>
      <c r="M61" s="22"/>
      <c r="N61" s="73"/>
      <c r="O61" s="28">
        <v>45188.0</v>
      </c>
      <c r="P61" s="35" t="s">
        <v>340</v>
      </c>
      <c r="Q61" s="12"/>
      <c r="R61" s="12"/>
      <c r="S61" s="12"/>
      <c r="T61" s="52">
        <v>45187.0</v>
      </c>
      <c r="U61" s="52">
        <v>45187.0</v>
      </c>
      <c r="V61" s="52">
        <v>45187.0</v>
      </c>
      <c r="W61" s="30"/>
      <c r="X61" s="30"/>
      <c r="Y61" s="31"/>
      <c r="Z61" s="31"/>
      <c r="AA61" s="31"/>
      <c r="AB61" s="74" t="s">
        <v>341</v>
      </c>
      <c r="AC61" s="74"/>
    </row>
    <row r="62" ht="16.5" customHeight="1">
      <c r="A62" s="48" t="s">
        <v>342</v>
      </c>
      <c r="B62" s="53" t="s">
        <v>343</v>
      </c>
      <c r="C62" s="47">
        <v>0.0</v>
      </c>
      <c r="D62" s="70" t="s">
        <v>344</v>
      </c>
      <c r="E62" s="55" t="s">
        <v>184</v>
      </c>
      <c r="F62" s="32" t="s">
        <v>48</v>
      </c>
      <c r="G62" s="32" t="s">
        <v>35</v>
      </c>
      <c r="H62" s="71" t="s">
        <v>35</v>
      </c>
      <c r="I62" s="71" t="s">
        <v>36</v>
      </c>
      <c r="J62" s="34" t="s">
        <v>65</v>
      </c>
      <c r="K62" s="57" t="s">
        <v>38</v>
      </c>
      <c r="L62" s="72" t="s">
        <v>345</v>
      </c>
      <c r="M62" s="27"/>
      <c r="N62" s="73"/>
      <c r="O62" s="28">
        <v>45308.0</v>
      </c>
      <c r="P62" s="26"/>
      <c r="Q62" s="12"/>
      <c r="R62" s="12"/>
      <c r="S62" s="12"/>
      <c r="T62" s="52">
        <v>45187.0</v>
      </c>
      <c r="U62" s="52">
        <v>45305.0</v>
      </c>
      <c r="V62" s="52">
        <v>45308.0</v>
      </c>
      <c r="W62" s="30"/>
      <c r="X62" s="30"/>
      <c r="Y62" s="31"/>
      <c r="Z62" s="31"/>
      <c r="AA62" s="31"/>
      <c r="AB62" s="74" t="s">
        <v>346</v>
      </c>
      <c r="AC62" s="74"/>
    </row>
    <row r="63" ht="16.5" customHeight="1">
      <c r="A63" s="48" t="s">
        <v>347</v>
      </c>
      <c r="B63" s="53" t="s">
        <v>343</v>
      </c>
      <c r="C63" s="47">
        <v>0.0</v>
      </c>
      <c r="D63" s="70" t="s">
        <v>348</v>
      </c>
      <c r="E63" s="55" t="s">
        <v>184</v>
      </c>
      <c r="F63" s="32" t="s">
        <v>48</v>
      </c>
      <c r="G63" s="32" t="s">
        <v>35</v>
      </c>
      <c r="H63" s="71" t="s">
        <v>35</v>
      </c>
      <c r="I63" s="71" t="s">
        <v>36</v>
      </c>
      <c r="J63" s="34" t="s">
        <v>65</v>
      </c>
      <c r="K63" s="57" t="s">
        <v>38</v>
      </c>
      <c r="L63" s="72" t="s">
        <v>345</v>
      </c>
      <c r="M63" s="27"/>
      <c r="N63" s="73"/>
      <c r="O63" s="28">
        <v>45308.0</v>
      </c>
      <c r="P63" s="26"/>
      <c r="Q63" s="12"/>
      <c r="R63" s="12"/>
      <c r="S63" s="12"/>
      <c r="T63" s="52">
        <v>45187.0</v>
      </c>
      <c r="U63" s="52">
        <v>45305.0</v>
      </c>
      <c r="V63" s="52">
        <v>45308.0</v>
      </c>
      <c r="W63" s="30"/>
      <c r="X63" s="30"/>
      <c r="Y63" s="31"/>
      <c r="Z63" s="31"/>
      <c r="AA63" s="31"/>
      <c r="AB63" s="74" t="s">
        <v>349</v>
      </c>
      <c r="AC63" s="74"/>
    </row>
    <row r="64" ht="16.5" customHeight="1">
      <c r="A64" s="48" t="s">
        <v>350</v>
      </c>
      <c r="B64" s="53" t="s">
        <v>343</v>
      </c>
      <c r="C64" s="47">
        <v>0.0</v>
      </c>
      <c r="D64" s="70" t="s">
        <v>351</v>
      </c>
      <c r="E64" s="55" t="s">
        <v>171</v>
      </c>
      <c r="F64" s="32" t="s">
        <v>48</v>
      </c>
      <c r="G64" s="32" t="s">
        <v>35</v>
      </c>
      <c r="H64" s="71" t="s">
        <v>35</v>
      </c>
      <c r="I64" s="71" t="s">
        <v>36</v>
      </c>
      <c r="J64" s="34" t="s">
        <v>65</v>
      </c>
      <c r="K64" s="57" t="s">
        <v>38</v>
      </c>
      <c r="L64" s="72" t="s">
        <v>345</v>
      </c>
      <c r="M64" s="27"/>
      <c r="N64" s="73"/>
      <c r="O64" s="28">
        <v>45308.0</v>
      </c>
      <c r="P64" s="26"/>
      <c r="Q64" s="12"/>
      <c r="R64" s="12"/>
      <c r="S64" s="12"/>
      <c r="T64" s="52">
        <v>45187.0</v>
      </c>
      <c r="U64" s="52">
        <v>45305.0</v>
      </c>
      <c r="V64" s="52">
        <v>45308.0</v>
      </c>
      <c r="W64" s="30"/>
      <c r="X64" s="30"/>
      <c r="Y64" s="31"/>
      <c r="Z64" s="31"/>
      <c r="AA64" s="31"/>
      <c r="AB64" s="74" t="s">
        <v>352</v>
      </c>
      <c r="AC64" s="74"/>
    </row>
    <row r="65" ht="16.5" customHeight="1">
      <c r="A65" s="48" t="s">
        <v>353</v>
      </c>
      <c r="B65" s="53" t="s">
        <v>343</v>
      </c>
      <c r="C65" s="47">
        <v>0.0</v>
      </c>
      <c r="D65" s="70" t="s">
        <v>354</v>
      </c>
      <c r="E65" s="55" t="s">
        <v>171</v>
      </c>
      <c r="F65" s="32" t="s">
        <v>48</v>
      </c>
      <c r="G65" s="32" t="s">
        <v>35</v>
      </c>
      <c r="H65" s="71" t="s">
        <v>35</v>
      </c>
      <c r="I65" s="71" t="s">
        <v>36</v>
      </c>
      <c r="J65" s="34" t="s">
        <v>65</v>
      </c>
      <c r="K65" s="57" t="s">
        <v>38</v>
      </c>
      <c r="L65" s="72" t="s">
        <v>345</v>
      </c>
      <c r="M65" s="27"/>
      <c r="N65" s="73"/>
      <c r="O65" s="28">
        <v>45308.0</v>
      </c>
      <c r="P65" s="26"/>
      <c r="Q65" s="12"/>
      <c r="R65" s="12"/>
      <c r="S65" s="12"/>
      <c r="T65" s="52">
        <v>45187.0</v>
      </c>
      <c r="U65" s="52">
        <v>45305.0</v>
      </c>
      <c r="V65" s="52">
        <v>45308.0</v>
      </c>
      <c r="W65" s="30"/>
      <c r="X65" s="30"/>
      <c r="Y65" s="31"/>
      <c r="Z65" s="31"/>
      <c r="AA65" s="31"/>
      <c r="AB65" s="74" t="s">
        <v>355</v>
      </c>
      <c r="AC65" s="74"/>
    </row>
    <row r="66" ht="16.5" customHeight="1">
      <c r="A66" s="48" t="s">
        <v>356</v>
      </c>
      <c r="B66" s="53" t="s">
        <v>343</v>
      </c>
      <c r="C66" s="47">
        <v>0.0</v>
      </c>
      <c r="D66" s="70" t="s">
        <v>357</v>
      </c>
      <c r="E66" s="55" t="s">
        <v>171</v>
      </c>
      <c r="F66" s="32" t="s">
        <v>48</v>
      </c>
      <c r="G66" s="32" t="s">
        <v>35</v>
      </c>
      <c r="H66" s="71" t="s">
        <v>35</v>
      </c>
      <c r="I66" s="71" t="s">
        <v>36</v>
      </c>
      <c r="J66" s="34" t="s">
        <v>65</v>
      </c>
      <c r="K66" s="57" t="s">
        <v>38</v>
      </c>
      <c r="L66" s="72" t="s">
        <v>345</v>
      </c>
      <c r="M66" s="27"/>
      <c r="N66" s="73"/>
      <c r="O66" s="28">
        <v>45308.0</v>
      </c>
      <c r="P66" s="26"/>
      <c r="Q66" s="12"/>
      <c r="R66" s="12"/>
      <c r="S66" s="12"/>
      <c r="T66" s="52">
        <v>45187.0</v>
      </c>
      <c r="U66" s="52">
        <v>45305.0</v>
      </c>
      <c r="V66" s="52">
        <v>45308.0</v>
      </c>
      <c r="W66" s="30"/>
      <c r="X66" s="30"/>
      <c r="Y66" s="31"/>
      <c r="Z66" s="31"/>
      <c r="AA66" s="31"/>
      <c r="AB66" s="74" t="s">
        <v>358</v>
      </c>
      <c r="AC66" s="74"/>
    </row>
    <row r="67" ht="16.5" customHeight="1">
      <c r="A67" s="48" t="s">
        <v>359</v>
      </c>
      <c r="B67" s="53" t="s">
        <v>343</v>
      </c>
      <c r="C67" s="47">
        <v>0.0</v>
      </c>
      <c r="D67" s="70" t="s">
        <v>360</v>
      </c>
      <c r="E67" s="55" t="s">
        <v>171</v>
      </c>
      <c r="F67" s="32" t="s">
        <v>48</v>
      </c>
      <c r="G67" s="32" t="s">
        <v>35</v>
      </c>
      <c r="H67" s="71" t="s">
        <v>35</v>
      </c>
      <c r="I67" s="71" t="s">
        <v>36</v>
      </c>
      <c r="J67" s="34" t="s">
        <v>65</v>
      </c>
      <c r="K67" s="57" t="s">
        <v>38</v>
      </c>
      <c r="L67" s="72" t="s">
        <v>345</v>
      </c>
      <c r="M67" s="27"/>
      <c r="N67" s="73"/>
      <c r="O67" s="28">
        <v>45308.0</v>
      </c>
      <c r="P67" s="26"/>
      <c r="Q67" s="12"/>
      <c r="R67" s="12"/>
      <c r="S67" s="12"/>
      <c r="T67" s="52">
        <v>45187.0</v>
      </c>
      <c r="U67" s="52">
        <v>45305.0</v>
      </c>
      <c r="V67" s="52">
        <v>45308.0</v>
      </c>
      <c r="W67" s="30"/>
      <c r="X67" s="30"/>
      <c r="Y67" s="31"/>
      <c r="Z67" s="31"/>
      <c r="AA67" s="31"/>
      <c r="AB67" s="74" t="s">
        <v>361</v>
      </c>
      <c r="AC67" s="74"/>
    </row>
    <row r="68" ht="16.5" customHeight="1">
      <c r="A68" s="48" t="s">
        <v>362</v>
      </c>
      <c r="B68" s="53" t="s">
        <v>343</v>
      </c>
      <c r="C68" s="47">
        <v>0.0</v>
      </c>
      <c r="D68" s="70" t="s">
        <v>363</v>
      </c>
      <c r="E68" s="55" t="s">
        <v>171</v>
      </c>
      <c r="F68" s="32" t="s">
        <v>48</v>
      </c>
      <c r="G68" s="32" t="s">
        <v>35</v>
      </c>
      <c r="H68" s="71" t="s">
        <v>35</v>
      </c>
      <c r="I68" s="71" t="s">
        <v>36</v>
      </c>
      <c r="J68" s="34" t="s">
        <v>65</v>
      </c>
      <c r="K68" s="57" t="s">
        <v>38</v>
      </c>
      <c r="L68" s="72" t="s">
        <v>345</v>
      </c>
      <c r="M68" s="27"/>
      <c r="N68" s="73"/>
      <c r="O68" s="28">
        <v>45310.0</v>
      </c>
      <c r="P68" s="26"/>
      <c r="Q68" s="12"/>
      <c r="R68" s="12"/>
      <c r="S68" s="12"/>
      <c r="T68" s="52">
        <v>45187.0</v>
      </c>
      <c r="U68" s="52">
        <v>45307.0</v>
      </c>
      <c r="V68" s="52">
        <v>45310.0</v>
      </c>
      <c r="W68" s="30"/>
      <c r="X68" s="30"/>
      <c r="Y68" s="31"/>
      <c r="Z68" s="31"/>
      <c r="AA68" s="31"/>
      <c r="AB68" s="74" t="s">
        <v>364</v>
      </c>
      <c r="AC68" s="74"/>
    </row>
    <row r="69" ht="16.5" customHeight="1">
      <c r="A69" s="48" t="s">
        <v>365</v>
      </c>
      <c r="B69" s="53" t="s">
        <v>366</v>
      </c>
      <c r="C69" s="47">
        <v>0.0</v>
      </c>
      <c r="D69" s="70" t="s">
        <v>367</v>
      </c>
      <c r="E69" s="55" t="s">
        <v>79</v>
      </c>
      <c r="F69" s="32" t="s">
        <v>33</v>
      </c>
      <c r="G69" s="32" t="s">
        <v>368</v>
      </c>
      <c r="H69" s="71" t="s">
        <v>35</v>
      </c>
      <c r="I69" s="71" t="s">
        <v>36</v>
      </c>
      <c r="J69" s="34" t="s">
        <v>49</v>
      </c>
      <c r="K69" s="57" t="s">
        <v>38</v>
      </c>
      <c r="L69" s="72">
        <v>9696.0</v>
      </c>
      <c r="M69" s="27"/>
      <c r="N69" s="73"/>
      <c r="O69" s="28">
        <v>45190.0</v>
      </c>
      <c r="P69" s="26"/>
      <c r="Q69" s="12"/>
      <c r="R69" s="12"/>
      <c r="S69" s="12"/>
      <c r="T69" s="52">
        <v>45187.0</v>
      </c>
      <c r="U69" s="52">
        <v>45187.0</v>
      </c>
      <c r="V69" s="52">
        <v>45190.0</v>
      </c>
      <c r="W69" s="30"/>
      <c r="X69" s="30"/>
      <c r="Y69" s="31"/>
      <c r="Z69" s="31"/>
      <c r="AA69" s="31"/>
      <c r="AB69" s="74" t="s">
        <v>369</v>
      </c>
      <c r="AC69" s="74"/>
    </row>
    <row r="70" ht="16.5" customHeight="1">
      <c r="A70" s="48" t="s">
        <v>370</v>
      </c>
      <c r="B70" s="53" t="s">
        <v>371</v>
      </c>
      <c r="C70" s="47">
        <v>0.0</v>
      </c>
      <c r="D70" s="70" t="s">
        <v>372</v>
      </c>
      <c r="E70" s="55" t="s">
        <v>117</v>
      </c>
      <c r="F70" s="32" t="s">
        <v>33</v>
      </c>
      <c r="G70" s="32" t="s">
        <v>35</v>
      </c>
      <c r="H70" s="71" t="s">
        <v>35</v>
      </c>
      <c r="I70" s="71" t="s">
        <v>36</v>
      </c>
      <c r="J70" s="34" t="s">
        <v>37</v>
      </c>
      <c r="K70" s="57" t="s">
        <v>373</v>
      </c>
      <c r="L70" s="72">
        <v>9717.0</v>
      </c>
      <c r="M70" s="22"/>
      <c r="N70" s="73"/>
      <c r="O70" s="28">
        <v>45194.0</v>
      </c>
      <c r="P70" s="35" t="s">
        <v>374</v>
      </c>
      <c r="Q70" s="12"/>
      <c r="R70" s="12"/>
      <c r="S70" s="12"/>
      <c r="T70" s="52">
        <v>45188.0</v>
      </c>
      <c r="U70" s="52">
        <v>45188.0</v>
      </c>
      <c r="V70" s="52">
        <v>45189.0</v>
      </c>
      <c r="W70" s="30"/>
      <c r="X70" s="30"/>
      <c r="Y70" s="31"/>
      <c r="Z70" s="31"/>
      <c r="AA70" s="31"/>
      <c r="AB70" s="74" t="s">
        <v>375</v>
      </c>
      <c r="AC70" s="74"/>
    </row>
    <row r="71" ht="16.5" customHeight="1">
      <c r="A71" s="48" t="s">
        <v>376</v>
      </c>
      <c r="B71" s="53" t="s">
        <v>371</v>
      </c>
      <c r="C71" s="47">
        <v>0.0</v>
      </c>
      <c r="D71" s="70" t="s">
        <v>377</v>
      </c>
      <c r="E71" s="55" t="s">
        <v>378</v>
      </c>
      <c r="F71" s="32" t="s">
        <v>33</v>
      </c>
      <c r="G71" s="32" t="s">
        <v>35</v>
      </c>
      <c r="H71" s="71" t="s">
        <v>35</v>
      </c>
      <c r="I71" s="71" t="s">
        <v>36</v>
      </c>
      <c r="J71" s="34" t="s">
        <v>37</v>
      </c>
      <c r="K71" s="57" t="s">
        <v>373</v>
      </c>
      <c r="L71" s="72">
        <v>9717.0</v>
      </c>
      <c r="M71" s="22"/>
      <c r="N71" s="73"/>
      <c r="O71" s="28">
        <v>45194.0</v>
      </c>
      <c r="P71" s="35" t="s">
        <v>374</v>
      </c>
      <c r="Q71" s="12"/>
      <c r="R71" s="12"/>
      <c r="S71" s="12"/>
      <c r="T71" s="52">
        <v>45188.0</v>
      </c>
      <c r="U71" s="52">
        <v>45188.0</v>
      </c>
      <c r="V71" s="52">
        <v>45191.0</v>
      </c>
      <c r="W71" s="30"/>
      <c r="X71" s="30"/>
      <c r="Y71" s="31"/>
      <c r="Z71" s="31"/>
      <c r="AA71" s="31"/>
      <c r="AB71" s="74" t="s">
        <v>379</v>
      </c>
      <c r="AC71" s="74"/>
    </row>
    <row r="72" ht="16.5" customHeight="1">
      <c r="A72" s="48" t="s">
        <v>380</v>
      </c>
      <c r="B72" s="53" t="s">
        <v>381</v>
      </c>
      <c r="C72" s="47">
        <v>0.0</v>
      </c>
      <c r="D72" s="70" t="s">
        <v>382</v>
      </c>
      <c r="E72" s="55" t="s">
        <v>383</v>
      </c>
      <c r="F72" s="32" t="s">
        <v>33</v>
      </c>
      <c r="G72" s="32" t="s">
        <v>34</v>
      </c>
      <c r="H72" s="71" t="s">
        <v>35</v>
      </c>
      <c r="I72" s="71" t="s">
        <v>36</v>
      </c>
      <c r="J72" s="34" t="s">
        <v>37</v>
      </c>
      <c r="K72" s="57" t="s">
        <v>384</v>
      </c>
      <c r="L72" s="72">
        <v>9693.0</v>
      </c>
      <c r="M72" s="22"/>
      <c r="N72" s="73"/>
      <c r="O72" s="28">
        <v>45189.0</v>
      </c>
      <c r="P72" s="35" t="s">
        <v>385</v>
      </c>
      <c r="Q72" s="12"/>
      <c r="R72" s="12"/>
      <c r="S72" s="12"/>
      <c r="T72" s="52">
        <v>45187.0</v>
      </c>
      <c r="U72" s="52">
        <v>45187.0</v>
      </c>
      <c r="V72" s="52">
        <v>45189.0</v>
      </c>
      <c r="W72" s="30"/>
      <c r="X72" s="30"/>
      <c r="Y72" s="31"/>
      <c r="Z72" s="31"/>
      <c r="AA72" s="31"/>
      <c r="AB72" s="74" t="s">
        <v>386</v>
      </c>
      <c r="AC72" s="74"/>
    </row>
    <row r="73" ht="16.5" customHeight="1">
      <c r="A73" s="48" t="s">
        <v>387</v>
      </c>
      <c r="B73" s="53" t="s">
        <v>388</v>
      </c>
      <c r="C73" s="47">
        <v>0.0</v>
      </c>
      <c r="D73" s="70" t="s">
        <v>389</v>
      </c>
      <c r="E73" s="55" t="s">
        <v>243</v>
      </c>
      <c r="F73" s="32" t="s">
        <v>244</v>
      </c>
      <c r="G73" s="32" t="s">
        <v>35</v>
      </c>
      <c r="H73" s="71" t="s">
        <v>35</v>
      </c>
      <c r="I73" s="71" t="s">
        <v>36</v>
      </c>
      <c r="J73" s="34" t="s">
        <v>65</v>
      </c>
      <c r="K73" s="57" t="s">
        <v>38</v>
      </c>
      <c r="L73" s="72">
        <v>9716.0</v>
      </c>
      <c r="M73" s="27"/>
      <c r="N73" s="73"/>
      <c r="O73" s="28">
        <v>45194.0</v>
      </c>
      <c r="P73" s="26"/>
      <c r="Q73" s="12"/>
      <c r="R73" s="12"/>
      <c r="S73" s="12"/>
      <c r="T73" s="52">
        <v>45188.0</v>
      </c>
      <c r="U73" s="52">
        <v>45188.0</v>
      </c>
      <c r="V73" s="52">
        <v>45190.0</v>
      </c>
      <c r="W73" s="30"/>
      <c r="X73" s="30"/>
      <c r="Y73" s="31"/>
      <c r="Z73" s="31"/>
      <c r="AA73" s="31"/>
      <c r="AB73" s="74" t="s">
        <v>390</v>
      </c>
      <c r="AC73" s="74"/>
    </row>
    <row r="74" ht="16.5" customHeight="1">
      <c r="A74" s="48" t="s">
        <v>391</v>
      </c>
      <c r="B74" s="53" t="s">
        <v>392</v>
      </c>
      <c r="C74" s="47">
        <v>0.0</v>
      </c>
      <c r="D74" s="70" t="s">
        <v>393</v>
      </c>
      <c r="E74" s="55" t="s">
        <v>383</v>
      </c>
      <c r="F74" s="32" t="s">
        <v>33</v>
      </c>
      <c r="G74" s="32" t="s">
        <v>34</v>
      </c>
      <c r="H74" s="71" t="s">
        <v>35</v>
      </c>
      <c r="I74" s="71" t="s">
        <v>36</v>
      </c>
      <c r="J74" s="34" t="s">
        <v>92</v>
      </c>
      <c r="K74" s="57" t="s">
        <v>38</v>
      </c>
      <c r="L74" s="72">
        <v>9686.0</v>
      </c>
      <c r="M74" s="22"/>
      <c r="N74" s="73"/>
      <c r="O74" s="28">
        <v>45189.0</v>
      </c>
      <c r="P74" s="35" t="s">
        <v>394</v>
      </c>
      <c r="Q74" s="12"/>
      <c r="R74" s="12"/>
      <c r="S74" s="12"/>
      <c r="T74" s="52">
        <v>45188.0</v>
      </c>
      <c r="U74" s="52">
        <v>45188.0</v>
      </c>
      <c r="V74" s="52">
        <v>45189.0</v>
      </c>
      <c r="W74" s="30"/>
      <c r="X74" s="30"/>
      <c r="Y74" s="31"/>
      <c r="Z74" s="31"/>
      <c r="AA74" s="31"/>
      <c r="AB74" s="74" t="s">
        <v>395</v>
      </c>
      <c r="AC74" s="74"/>
    </row>
    <row r="75" ht="16.5" customHeight="1">
      <c r="A75" s="48" t="s">
        <v>396</v>
      </c>
      <c r="B75" s="53" t="s">
        <v>381</v>
      </c>
      <c r="C75" s="47">
        <v>0.0</v>
      </c>
      <c r="D75" s="70" t="s">
        <v>397</v>
      </c>
      <c r="E75" s="55" t="s">
        <v>117</v>
      </c>
      <c r="F75" s="32" t="s">
        <v>33</v>
      </c>
      <c r="G75" s="32" t="s">
        <v>34</v>
      </c>
      <c r="H75" s="71" t="s">
        <v>35</v>
      </c>
      <c r="I75" s="71" t="s">
        <v>36</v>
      </c>
      <c r="J75" s="34" t="s">
        <v>37</v>
      </c>
      <c r="K75" s="57" t="s">
        <v>384</v>
      </c>
      <c r="L75" s="72">
        <v>9695.0</v>
      </c>
      <c r="M75" s="22"/>
      <c r="N75" s="73"/>
      <c r="O75" s="28">
        <v>45190.0</v>
      </c>
      <c r="P75" s="35" t="s">
        <v>398</v>
      </c>
      <c r="Q75" s="12"/>
      <c r="R75" s="12"/>
      <c r="S75" s="12"/>
      <c r="T75" s="52">
        <v>45189.0</v>
      </c>
      <c r="U75" s="52">
        <v>45189.0</v>
      </c>
      <c r="V75" s="52">
        <v>45190.0</v>
      </c>
      <c r="W75" s="30"/>
      <c r="X75" s="30"/>
      <c r="Y75" s="31"/>
      <c r="Z75" s="31"/>
      <c r="AA75" s="31"/>
      <c r="AB75" s="74" t="s">
        <v>399</v>
      </c>
      <c r="AC75" s="74"/>
    </row>
    <row r="76" ht="16.5" customHeight="1">
      <c r="A76" s="48" t="s">
        <v>400</v>
      </c>
      <c r="B76" s="53" t="s">
        <v>401</v>
      </c>
      <c r="C76" s="47">
        <v>0.0</v>
      </c>
      <c r="D76" s="70" t="s">
        <v>402</v>
      </c>
      <c r="E76" s="55" t="s">
        <v>79</v>
      </c>
      <c r="F76" s="32" t="s">
        <v>33</v>
      </c>
      <c r="G76" s="32" t="s">
        <v>35</v>
      </c>
      <c r="H76" s="71" t="s">
        <v>35</v>
      </c>
      <c r="I76" s="71" t="s">
        <v>36</v>
      </c>
      <c r="J76" s="34" t="s">
        <v>92</v>
      </c>
      <c r="K76" s="57" t="s">
        <v>38</v>
      </c>
      <c r="L76" s="72">
        <v>9702.0</v>
      </c>
      <c r="M76" s="22"/>
      <c r="N76" s="73"/>
      <c r="O76" s="28">
        <v>45190.0</v>
      </c>
      <c r="P76" s="35" t="s">
        <v>403</v>
      </c>
      <c r="Q76" s="12"/>
      <c r="R76" s="12"/>
      <c r="S76" s="12"/>
      <c r="T76" s="52">
        <v>45189.0</v>
      </c>
      <c r="U76" s="52">
        <v>45189.0</v>
      </c>
      <c r="V76" s="52">
        <v>45190.0</v>
      </c>
      <c r="W76" s="30"/>
      <c r="X76" s="30"/>
      <c r="Y76" s="31"/>
      <c r="Z76" s="31"/>
      <c r="AA76" s="31"/>
      <c r="AB76" s="74" t="s">
        <v>404</v>
      </c>
      <c r="AC76" s="74"/>
    </row>
    <row r="77" ht="16.5" customHeight="1">
      <c r="A77" s="48" t="s">
        <v>405</v>
      </c>
      <c r="B77" s="53" t="s">
        <v>406</v>
      </c>
      <c r="C77" s="47">
        <v>0.0</v>
      </c>
      <c r="D77" s="70" t="s">
        <v>407</v>
      </c>
      <c r="E77" s="55" t="s">
        <v>408</v>
      </c>
      <c r="F77" s="32" t="s">
        <v>33</v>
      </c>
      <c r="G77" s="32" t="s">
        <v>35</v>
      </c>
      <c r="H77" s="71" t="s">
        <v>35</v>
      </c>
      <c r="I77" s="71" t="s">
        <v>36</v>
      </c>
      <c r="J77" s="34" t="s">
        <v>65</v>
      </c>
      <c r="K77" s="57" t="s">
        <v>38</v>
      </c>
      <c r="L77" s="72">
        <v>9736.0</v>
      </c>
      <c r="M77" s="27"/>
      <c r="N77" s="73"/>
      <c r="O77" s="28">
        <v>45197.0</v>
      </c>
      <c r="P77" s="26"/>
      <c r="Q77" s="12"/>
      <c r="R77" s="12"/>
      <c r="S77" s="12"/>
      <c r="T77" s="52">
        <v>45190.0</v>
      </c>
      <c r="U77" s="52">
        <v>45190.0</v>
      </c>
      <c r="V77" s="52">
        <v>45194.0</v>
      </c>
      <c r="W77" s="30"/>
      <c r="X77" s="30"/>
      <c r="Y77" s="31"/>
      <c r="Z77" s="31"/>
      <c r="AA77" s="31"/>
      <c r="AB77" s="74" t="s">
        <v>409</v>
      </c>
      <c r="AC77" s="74"/>
    </row>
    <row r="78" ht="16.5" customHeight="1">
      <c r="A78" s="48" t="s">
        <v>410</v>
      </c>
      <c r="B78" s="53" t="s">
        <v>411</v>
      </c>
      <c r="C78" s="47">
        <v>90.0</v>
      </c>
      <c r="D78" s="70" t="s">
        <v>412</v>
      </c>
      <c r="E78" s="55" t="s">
        <v>91</v>
      </c>
      <c r="F78" s="32" t="s">
        <v>48</v>
      </c>
      <c r="G78" s="32" t="s">
        <v>35</v>
      </c>
      <c r="H78" s="71" t="s">
        <v>35</v>
      </c>
      <c r="I78" s="71" t="s">
        <v>36</v>
      </c>
      <c r="J78" s="34" t="s">
        <v>37</v>
      </c>
      <c r="K78" s="57" t="s">
        <v>413</v>
      </c>
      <c r="L78" s="72" t="s">
        <v>414</v>
      </c>
      <c r="M78" s="22"/>
      <c r="N78" s="73"/>
      <c r="O78" s="28">
        <v>45309.0</v>
      </c>
      <c r="P78" s="35" t="s">
        <v>415</v>
      </c>
      <c r="Q78" s="12"/>
      <c r="R78" s="12"/>
      <c r="S78" s="12"/>
      <c r="T78" s="52">
        <v>45189.0</v>
      </c>
      <c r="U78" s="52">
        <v>45306.0</v>
      </c>
      <c r="V78" s="52">
        <v>45309.0</v>
      </c>
      <c r="W78" s="30"/>
      <c r="X78" s="30"/>
      <c r="Y78" s="31"/>
      <c r="Z78" s="31"/>
      <c r="AA78" s="31"/>
      <c r="AB78" s="74" t="s">
        <v>416</v>
      </c>
      <c r="AC78" s="74"/>
    </row>
    <row r="79" ht="16.5" customHeight="1">
      <c r="A79" s="48" t="s">
        <v>417</v>
      </c>
      <c r="B79" s="53" t="s">
        <v>418</v>
      </c>
      <c r="C79" s="47">
        <v>0.0</v>
      </c>
      <c r="D79" s="70" t="s">
        <v>419</v>
      </c>
      <c r="E79" s="55" t="s">
        <v>98</v>
      </c>
      <c r="F79" s="32" t="s">
        <v>33</v>
      </c>
      <c r="G79" s="32" t="s">
        <v>34</v>
      </c>
      <c r="H79" s="71" t="s">
        <v>35</v>
      </c>
      <c r="I79" s="71" t="s">
        <v>36</v>
      </c>
      <c r="J79" s="34" t="s">
        <v>420</v>
      </c>
      <c r="K79" s="57" t="s">
        <v>38</v>
      </c>
      <c r="L79" s="72">
        <v>9715.0</v>
      </c>
      <c r="M79" s="22"/>
      <c r="N79" s="73"/>
      <c r="O79" s="28">
        <v>45194.0</v>
      </c>
      <c r="P79" s="35" t="s">
        <v>421</v>
      </c>
      <c r="Q79" s="12"/>
      <c r="R79" s="12"/>
      <c r="S79" s="12"/>
      <c r="T79" s="52">
        <v>45189.0</v>
      </c>
      <c r="U79" s="52">
        <v>45189.0</v>
      </c>
      <c r="V79" s="52">
        <v>45191.0</v>
      </c>
      <c r="W79" s="30"/>
      <c r="X79" s="30"/>
      <c r="Y79" s="31"/>
      <c r="Z79" s="31"/>
      <c r="AA79" s="31"/>
      <c r="AB79" s="74" t="s">
        <v>422</v>
      </c>
      <c r="AC79" s="74"/>
    </row>
    <row r="80" ht="16.5" customHeight="1">
      <c r="A80" s="48" t="s">
        <v>423</v>
      </c>
      <c r="B80" s="53" t="s">
        <v>418</v>
      </c>
      <c r="C80" s="47">
        <v>0.0</v>
      </c>
      <c r="D80" s="70" t="s">
        <v>424</v>
      </c>
      <c r="E80" s="55" t="s">
        <v>98</v>
      </c>
      <c r="F80" s="32" t="s">
        <v>33</v>
      </c>
      <c r="G80" s="32" t="s">
        <v>34</v>
      </c>
      <c r="H80" s="71" t="s">
        <v>35</v>
      </c>
      <c r="I80" s="71" t="s">
        <v>36</v>
      </c>
      <c r="J80" s="34" t="s">
        <v>420</v>
      </c>
      <c r="K80" s="57" t="s">
        <v>38</v>
      </c>
      <c r="L80" s="72">
        <v>9715.0</v>
      </c>
      <c r="M80" s="22"/>
      <c r="N80" s="73"/>
      <c r="O80" s="28">
        <v>45194.0</v>
      </c>
      <c r="P80" s="35" t="s">
        <v>421</v>
      </c>
      <c r="Q80" s="12"/>
      <c r="R80" s="12"/>
      <c r="S80" s="12"/>
      <c r="T80" s="52">
        <v>45189.0</v>
      </c>
      <c r="U80" s="52">
        <v>45189.0</v>
      </c>
      <c r="V80" s="52">
        <v>45191.0</v>
      </c>
      <c r="W80" s="30"/>
      <c r="X80" s="30"/>
      <c r="Y80" s="31"/>
      <c r="Z80" s="31"/>
      <c r="AA80" s="31"/>
      <c r="AB80" s="74" t="s">
        <v>425</v>
      </c>
      <c r="AC80" s="74"/>
    </row>
    <row r="81" ht="16.5" customHeight="1">
      <c r="A81" s="48" t="s">
        <v>426</v>
      </c>
      <c r="B81" s="53" t="s">
        <v>427</v>
      </c>
      <c r="C81" s="47">
        <v>0.0</v>
      </c>
      <c r="D81" s="70" t="s">
        <v>428</v>
      </c>
      <c r="E81" s="55" t="s">
        <v>301</v>
      </c>
      <c r="F81" s="32" t="s">
        <v>33</v>
      </c>
      <c r="G81" s="32" t="s">
        <v>34</v>
      </c>
      <c r="H81" s="71" t="s">
        <v>35</v>
      </c>
      <c r="I81" s="71" t="s">
        <v>36</v>
      </c>
      <c r="J81" s="34" t="s">
        <v>37</v>
      </c>
      <c r="K81" s="57" t="s">
        <v>238</v>
      </c>
      <c r="L81" s="72">
        <v>9735.0</v>
      </c>
      <c r="M81" s="22"/>
      <c r="N81" s="73"/>
      <c r="O81" s="28">
        <v>45197.0</v>
      </c>
      <c r="P81" s="35" t="s">
        <v>429</v>
      </c>
      <c r="Q81" s="12"/>
      <c r="R81" s="12"/>
      <c r="S81" s="12"/>
      <c r="T81" s="52">
        <v>45196.0</v>
      </c>
      <c r="U81" s="52">
        <v>45196.0</v>
      </c>
      <c r="V81" s="52">
        <v>45196.0</v>
      </c>
      <c r="W81" s="30"/>
      <c r="X81" s="30"/>
      <c r="Y81" s="31"/>
      <c r="Z81" s="31"/>
      <c r="AA81" s="31"/>
      <c r="AB81" s="74" t="s">
        <v>430</v>
      </c>
      <c r="AC81" s="74"/>
    </row>
    <row r="82" ht="16.5" customHeight="1">
      <c r="A82" s="48" t="s">
        <v>431</v>
      </c>
      <c r="B82" s="53" t="s">
        <v>432</v>
      </c>
      <c r="C82" s="47">
        <v>0.0</v>
      </c>
      <c r="D82" s="70" t="s">
        <v>433</v>
      </c>
      <c r="E82" s="55" t="s">
        <v>117</v>
      </c>
      <c r="F82" s="32" t="s">
        <v>33</v>
      </c>
      <c r="G82" s="32" t="s">
        <v>34</v>
      </c>
      <c r="H82" s="71" t="s">
        <v>35</v>
      </c>
      <c r="I82" s="71" t="s">
        <v>36</v>
      </c>
      <c r="J82" s="34" t="s">
        <v>434</v>
      </c>
      <c r="K82" s="57" t="s">
        <v>38</v>
      </c>
      <c r="L82" s="72">
        <v>9714.0</v>
      </c>
      <c r="M82" s="22"/>
      <c r="N82" s="73"/>
      <c r="O82" s="28">
        <v>45194.0</v>
      </c>
      <c r="P82" s="35" t="s">
        <v>435</v>
      </c>
      <c r="Q82" s="12"/>
      <c r="R82" s="12"/>
      <c r="S82" s="12"/>
      <c r="T82" s="52">
        <v>45190.0</v>
      </c>
      <c r="U82" s="52">
        <v>45190.0</v>
      </c>
      <c r="V82" s="52">
        <v>45191.0</v>
      </c>
      <c r="W82" s="30"/>
      <c r="X82" s="30"/>
      <c r="Y82" s="31"/>
      <c r="Z82" s="31"/>
      <c r="AA82" s="31"/>
      <c r="AB82" s="74" t="s">
        <v>436</v>
      </c>
      <c r="AC82" s="74"/>
    </row>
    <row r="83" ht="16.5" customHeight="1">
      <c r="A83" s="48" t="s">
        <v>437</v>
      </c>
      <c r="B83" s="53" t="s">
        <v>336</v>
      </c>
      <c r="C83" s="47">
        <v>0.0</v>
      </c>
      <c r="D83" s="70" t="s">
        <v>438</v>
      </c>
      <c r="E83" s="55" t="s">
        <v>338</v>
      </c>
      <c r="F83" s="32" t="s">
        <v>33</v>
      </c>
      <c r="G83" s="32" t="s">
        <v>35</v>
      </c>
      <c r="H83" s="71" t="s">
        <v>35</v>
      </c>
      <c r="I83" s="71" t="s">
        <v>36</v>
      </c>
      <c r="J83" s="34" t="s">
        <v>339</v>
      </c>
      <c r="K83" s="57" t="s">
        <v>38</v>
      </c>
      <c r="L83" s="72">
        <v>9713.0</v>
      </c>
      <c r="M83" s="27"/>
      <c r="N83" s="73"/>
      <c r="O83" s="28">
        <v>45194.0</v>
      </c>
      <c r="P83" s="26"/>
      <c r="Q83" s="12"/>
      <c r="R83" s="12"/>
      <c r="S83" s="12"/>
      <c r="T83" s="52">
        <v>45190.0</v>
      </c>
      <c r="U83" s="52">
        <v>45190.0</v>
      </c>
      <c r="V83" s="52">
        <v>45191.0</v>
      </c>
      <c r="W83" s="30"/>
      <c r="X83" s="30"/>
      <c r="Y83" s="31"/>
      <c r="Z83" s="31"/>
      <c r="AA83" s="31"/>
      <c r="AB83" s="74" t="s">
        <v>439</v>
      </c>
      <c r="AC83" s="74"/>
    </row>
    <row r="84" ht="16.5" customHeight="1">
      <c r="A84" s="48" t="s">
        <v>440</v>
      </c>
      <c r="B84" s="53" t="s">
        <v>249</v>
      </c>
      <c r="C84" s="47">
        <v>0.0</v>
      </c>
      <c r="D84" s="70" t="s">
        <v>441</v>
      </c>
      <c r="E84" s="55" t="s">
        <v>117</v>
      </c>
      <c r="F84" s="32" t="s">
        <v>33</v>
      </c>
      <c r="G84" s="32" t="s">
        <v>35</v>
      </c>
      <c r="H84" s="71" t="s">
        <v>35</v>
      </c>
      <c r="I84" s="71" t="s">
        <v>36</v>
      </c>
      <c r="J84" s="34" t="s">
        <v>49</v>
      </c>
      <c r="K84" s="57" t="s">
        <v>38</v>
      </c>
      <c r="L84" s="72">
        <v>9703.0</v>
      </c>
      <c r="M84" s="22"/>
      <c r="N84" s="73"/>
      <c r="O84" s="28">
        <v>45191.0</v>
      </c>
      <c r="P84" s="35" t="s">
        <v>442</v>
      </c>
      <c r="Q84" s="12"/>
      <c r="R84" s="12"/>
      <c r="S84" s="12"/>
      <c r="T84" s="52">
        <v>45189.0</v>
      </c>
      <c r="U84" s="52">
        <v>45189.0</v>
      </c>
      <c r="V84" s="52">
        <v>45189.0</v>
      </c>
      <c r="W84" s="30"/>
      <c r="X84" s="30"/>
      <c r="Y84" s="31"/>
      <c r="Z84" s="31"/>
      <c r="AA84" s="31"/>
      <c r="AB84" s="74" t="s">
        <v>443</v>
      </c>
      <c r="AC84" s="74"/>
    </row>
    <row r="85" ht="16.5" customHeight="1">
      <c r="A85" s="48" t="s">
        <v>444</v>
      </c>
      <c r="B85" s="53" t="s">
        <v>445</v>
      </c>
      <c r="C85" s="47">
        <v>0.0</v>
      </c>
      <c r="D85" s="70" t="s">
        <v>446</v>
      </c>
      <c r="E85" s="55" t="s">
        <v>79</v>
      </c>
      <c r="F85" s="32" t="s">
        <v>33</v>
      </c>
      <c r="G85" s="32" t="s">
        <v>35</v>
      </c>
      <c r="H85" s="71" t="s">
        <v>35</v>
      </c>
      <c r="I85" s="71" t="s">
        <v>36</v>
      </c>
      <c r="J85" s="34" t="s">
        <v>37</v>
      </c>
      <c r="K85" s="57" t="s">
        <v>447</v>
      </c>
      <c r="L85" s="72">
        <v>9694.0</v>
      </c>
      <c r="M85" s="22"/>
      <c r="N85" s="73"/>
      <c r="O85" s="28">
        <v>45190.0</v>
      </c>
      <c r="P85" s="35" t="s">
        <v>448</v>
      </c>
      <c r="Q85" s="12"/>
      <c r="R85" s="12"/>
      <c r="S85" s="12"/>
      <c r="T85" s="52">
        <v>45189.0</v>
      </c>
      <c r="U85" s="52">
        <v>45189.0</v>
      </c>
      <c r="V85" s="52">
        <v>45190.0</v>
      </c>
      <c r="W85" s="30"/>
      <c r="X85" s="30"/>
      <c r="Y85" s="31"/>
      <c r="Z85" s="31"/>
      <c r="AA85" s="31"/>
      <c r="AB85" s="74" t="s">
        <v>449</v>
      </c>
      <c r="AC85" s="74"/>
    </row>
    <row r="86" ht="16.5" customHeight="1">
      <c r="A86" s="48" t="s">
        <v>450</v>
      </c>
      <c r="B86" s="53" t="s">
        <v>451</v>
      </c>
      <c r="C86" s="47">
        <v>0.0</v>
      </c>
      <c r="D86" s="70" t="s">
        <v>452</v>
      </c>
      <c r="E86" s="55" t="s">
        <v>453</v>
      </c>
      <c r="F86" s="32" t="s">
        <v>244</v>
      </c>
      <c r="G86" s="32" t="s">
        <v>35</v>
      </c>
      <c r="H86" s="71" t="s">
        <v>35</v>
      </c>
      <c r="I86" s="71" t="s">
        <v>36</v>
      </c>
      <c r="J86" s="34" t="s">
        <v>49</v>
      </c>
      <c r="K86" s="57" t="s">
        <v>38</v>
      </c>
      <c r="L86" s="72">
        <v>9748.0</v>
      </c>
      <c r="M86" s="22"/>
      <c r="N86" s="73"/>
      <c r="O86" s="28">
        <v>45198.0</v>
      </c>
      <c r="P86" s="35" t="s">
        <v>454</v>
      </c>
      <c r="Q86" s="12"/>
      <c r="R86" s="12"/>
      <c r="S86" s="12"/>
      <c r="T86" s="52">
        <v>45194.0</v>
      </c>
      <c r="U86" s="52">
        <v>45194.0</v>
      </c>
      <c r="V86" s="52">
        <v>45195.0</v>
      </c>
      <c r="W86" s="30"/>
      <c r="X86" s="30"/>
      <c r="Y86" s="31"/>
      <c r="Z86" s="31"/>
      <c r="AA86" s="31"/>
      <c r="AB86" s="74" t="s">
        <v>455</v>
      </c>
      <c r="AC86" s="74"/>
    </row>
    <row r="87" ht="16.5" customHeight="1">
      <c r="A87" s="48" t="s">
        <v>456</v>
      </c>
      <c r="B87" s="53" t="s">
        <v>451</v>
      </c>
      <c r="C87" s="47">
        <v>0.0</v>
      </c>
      <c r="D87" s="70" t="s">
        <v>457</v>
      </c>
      <c r="E87" s="55" t="s">
        <v>453</v>
      </c>
      <c r="F87" s="32" t="s">
        <v>244</v>
      </c>
      <c r="G87" s="32" t="s">
        <v>35</v>
      </c>
      <c r="H87" s="71" t="s">
        <v>35</v>
      </c>
      <c r="I87" s="71" t="s">
        <v>36</v>
      </c>
      <c r="J87" s="34" t="s">
        <v>49</v>
      </c>
      <c r="K87" s="57" t="s">
        <v>38</v>
      </c>
      <c r="L87" s="72">
        <v>9748.0</v>
      </c>
      <c r="M87" s="22"/>
      <c r="N87" s="73"/>
      <c r="O87" s="28">
        <v>45198.0</v>
      </c>
      <c r="P87" s="35" t="s">
        <v>454</v>
      </c>
      <c r="Q87" s="12"/>
      <c r="R87" s="12"/>
      <c r="S87" s="12"/>
      <c r="T87" s="52">
        <v>45194.0</v>
      </c>
      <c r="U87" s="52">
        <v>45194.0</v>
      </c>
      <c r="V87" s="52">
        <v>45195.0</v>
      </c>
      <c r="W87" s="30"/>
      <c r="X87" s="30"/>
      <c r="Y87" s="31"/>
      <c r="Z87" s="31"/>
      <c r="AA87" s="31"/>
      <c r="AB87" s="74" t="s">
        <v>458</v>
      </c>
      <c r="AC87" s="74"/>
    </row>
    <row r="88" ht="16.5" customHeight="1">
      <c r="A88" s="48" t="s">
        <v>459</v>
      </c>
      <c r="B88" s="53" t="s">
        <v>451</v>
      </c>
      <c r="C88" s="47">
        <v>0.0</v>
      </c>
      <c r="D88" s="70" t="s">
        <v>460</v>
      </c>
      <c r="E88" s="55" t="s">
        <v>461</v>
      </c>
      <c r="F88" s="32" t="s">
        <v>244</v>
      </c>
      <c r="G88" s="32" t="s">
        <v>35</v>
      </c>
      <c r="H88" s="71" t="s">
        <v>35</v>
      </c>
      <c r="I88" s="71" t="s">
        <v>36</v>
      </c>
      <c r="J88" s="34" t="s">
        <v>49</v>
      </c>
      <c r="K88" s="57" t="s">
        <v>38</v>
      </c>
      <c r="L88" s="72">
        <v>9748.0</v>
      </c>
      <c r="M88" s="22"/>
      <c r="N88" s="73"/>
      <c r="O88" s="28">
        <v>45198.0</v>
      </c>
      <c r="P88" s="35" t="s">
        <v>454</v>
      </c>
      <c r="Q88" s="12"/>
      <c r="R88" s="12"/>
      <c r="S88" s="12"/>
      <c r="T88" s="52">
        <v>45194.0</v>
      </c>
      <c r="U88" s="52">
        <v>45194.0</v>
      </c>
      <c r="V88" s="52">
        <v>45197.0</v>
      </c>
      <c r="W88" s="30"/>
      <c r="X88" s="30"/>
      <c r="Y88" s="31"/>
      <c r="Z88" s="31"/>
      <c r="AA88" s="31"/>
      <c r="AB88" s="74" t="s">
        <v>462</v>
      </c>
      <c r="AC88" s="74"/>
    </row>
    <row r="89" ht="16.5" customHeight="1">
      <c r="A89" s="48" t="s">
        <v>463</v>
      </c>
      <c r="B89" s="53" t="s">
        <v>451</v>
      </c>
      <c r="C89" s="47">
        <v>0.0</v>
      </c>
      <c r="D89" s="70" t="s">
        <v>464</v>
      </c>
      <c r="E89" s="55" t="s">
        <v>461</v>
      </c>
      <c r="F89" s="32" t="s">
        <v>244</v>
      </c>
      <c r="G89" s="32" t="s">
        <v>35</v>
      </c>
      <c r="H89" s="71" t="s">
        <v>35</v>
      </c>
      <c r="I89" s="71" t="s">
        <v>36</v>
      </c>
      <c r="J89" s="34" t="s">
        <v>49</v>
      </c>
      <c r="K89" s="57" t="s">
        <v>38</v>
      </c>
      <c r="L89" s="72">
        <v>9748.0</v>
      </c>
      <c r="M89" s="22"/>
      <c r="N89" s="73"/>
      <c r="O89" s="28">
        <v>45198.0</v>
      </c>
      <c r="P89" s="35" t="s">
        <v>454</v>
      </c>
      <c r="Q89" s="12"/>
      <c r="R89" s="12"/>
      <c r="S89" s="12"/>
      <c r="T89" s="52">
        <v>45194.0</v>
      </c>
      <c r="U89" s="52">
        <v>45194.0</v>
      </c>
      <c r="V89" s="52">
        <v>45197.0</v>
      </c>
      <c r="W89" s="30"/>
      <c r="X89" s="30"/>
      <c r="Y89" s="31"/>
      <c r="Z89" s="31"/>
      <c r="AA89" s="31"/>
      <c r="AB89" s="74" t="s">
        <v>465</v>
      </c>
      <c r="AC89" s="74"/>
    </row>
    <row r="90" ht="16.5" customHeight="1">
      <c r="A90" s="48" t="s">
        <v>466</v>
      </c>
      <c r="B90" s="53" t="s">
        <v>451</v>
      </c>
      <c r="C90" s="47">
        <v>0.0</v>
      </c>
      <c r="D90" s="70" t="s">
        <v>467</v>
      </c>
      <c r="E90" s="55" t="s">
        <v>461</v>
      </c>
      <c r="F90" s="32" t="s">
        <v>244</v>
      </c>
      <c r="G90" s="32" t="s">
        <v>35</v>
      </c>
      <c r="H90" s="71" t="s">
        <v>35</v>
      </c>
      <c r="I90" s="71" t="s">
        <v>36</v>
      </c>
      <c r="J90" s="34" t="s">
        <v>49</v>
      </c>
      <c r="K90" s="57" t="s">
        <v>38</v>
      </c>
      <c r="L90" s="72">
        <v>9748.0</v>
      </c>
      <c r="M90" s="22"/>
      <c r="N90" s="73"/>
      <c r="O90" s="28">
        <v>45198.0</v>
      </c>
      <c r="P90" s="35" t="s">
        <v>454</v>
      </c>
      <c r="Q90" s="12"/>
      <c r="R90" s="12"/>
      <c r="S90" s="12"/>
      <c r="T90" s="52">
        <v>45194.0</v>
      </c>
      <c r="U90" s="52">
        <v>45194.0</v>
      </c>
      <c r="V90" s="52">
        <v>45197.0</v>
      </c>
      <c r="W90" s="30"/>
      <c r="X90" s="30"/>
      <c r="Y90" s="31"/>
      <c r="Z90" s="31"/>
      <c r="AA90" s="31"/>
      <c r="AB90" s="74" t="s">
        <v>468</v>
      </c>
      <c r="AC90" s="74"/>
    </row>
    <row r="91" ht="16.5" customHeight="1">
      <c r="A91" s="48" t="s">
        <v>469</v>
      </c>
      <c r="B91" s="53" t="s">
        <v>451</v>
      </c>
      <c r="C91" s="47">
        <v>0.0</v>
      </c>
      <c r="D91" s="70" t="s">
        <v>470</v>
      </c>
      <c r="E91" s="55" t="s">
        <v>461</v>
      </c>
      <c r="F91" s="32" t="s">
        <v>244</v>
      </c>
      <c r="G91" s="32" t="s">
        <v>35</v>
      </c>
      <c r="H91" s="71" t="s">
        <v>35</v>
      </c>
      <c r="I91" s="71" t="s">
        <v>36</v>
      </c>
      <c r="J91" s="34" t="s">
        <v>49</v>
      </c>
      <c r="K91" s="57" t="s">
        <v>38</v>
      </c>
      <c r="L91" s="72">
        <v>9748.0</v>
      </c>
      <c r="M91" s="22"/>
      <c r="N91" s="73"/>
      <c r="O91" s="28">
        <v>45198.0</v>
      </c>
      <c r="P91" s="35" t="s">
        <v>454</v>
      </c>
      <c r="Q91" s="12"/>
      <c r="R91" s="12"/>
      <c r="S91" s="12"/>
      <c r="T91" s="52">
        <v>45194.0</v>
      </c>
      <c r="U91" s="52">
        <v>45194.0</v>
      </c>
      <c r="V91" s="52">
        <v>45197.0</v>
      </c>
      <c r="W91" s="30"/>
      <c r="X91" s="30"/>
      <c r="Y91" s="31"/>
      <c r="Z91" s="31"/>
      <c r="AA91" s="31"/>
      <c r="AB91" s="74" t="s">
        <v>471</v>
      </c>
      <c r="AC91" s="74"/>
    </row>
    <row r="92" ht="16.5" customHeight="1">
      <c r="A92" s="48" t="s">
        <v>472</v>
      </c>
      <c r="B92" s="53" t="s">
        <v>473</v>
      </c>
      <c r="C92" s="47">
        <v>0.0</v>
      </c>
      <c r="D92" s="70" t="s">
        <v>474</v>
      </c>
      <c r="E92" s="55" t="s">
        <v>98</v>
      </c>
      <c r="F92" s="32" t="s">
        <v>33</v>
      </c>
      <c r="G92" s="32" t="s">
        <v>34</v>
      </c>
      <c r="H92" s="71" t="s">
        <v>35</v>
      </c>
      <c r="I92" s="71" t="s">
        <v>36</v>
      </c>
      <c r="J92" s="34" t="s">
        <v>65</v>
      </c>
      <c r="K92" s="57" t="s">
        <v>38</v>
      </c>
      <c r="L92" s="72">
        <v>9729.0</v>
      </c>
      <c r="M92" s="27"/>
      <c r="N92" s="73"/>
      <c r="O92" s="28">
        <v>45196.0</v>
      </c>
      <c r="P92" s="26"/>
      <c r="Q92" s="12"/>
      <c r="R92" s="12"/>
      <c r="S92" s="12"/>
      <c r="T92" s="52">
        <v>45190.0</v>
      </c>
      <c r="U92" s="52">
        <v>45190.0</v>
      </c>
      <c r="V92" s="52">
        <v>45195.0</v>
      </c>
      <c r="W92" s="30"/>
      <c r="X92" s="30"/>
      <c r="Y92" s="31"/>
      <c r="Z92" s="31"/>
      <c r="AA92" s="31"/>
      <c r="AB92" s="74" t="s">
        <v>475</v>
      </c>
      <c r="AC92" s="74"/>
    </row>
    <row r="93" ht="16.5" customHeight="1">
      <c r="A93" s="48" t="s">
        <v>476</v>
      </c>
      <c r="B93" s="53" t="s">
        <v>477</v>
      </c>
      <c r="C93" s="47">
        <v>0.0</v>
      </c>
      <c r="D93" s="70" t="s">
        <v>478</v>
      </c>
      <c r="E93" s="55" t="s">
        <v>268</v>
      </c>
      <c r="F93" s="32" t="s">
        <v>33</v>
      </c>
      <c r="G93" s="32" t="s">
        <v>34</v>
      </c>
      <c r="H93" s="71" t="s">
        <v>35</v>
      </c>
      <c r="I93" s="71" t="s">
        <v>36</v>
      </c>
      <c r="J93" s="34" t="s">
        <v>65</v>
      </c>
      <c r="K93" s="57" t="s">
        <v>38</v>
      </c>
      <c r="L93" s="72">
        <v>9712.0</v>
      </c>
      <c r="M93" s="22"/>
      <c r="N93" s="73"/>
      <c r="O93" s="28">
        <v>45195.0</v>
      </c>
      <c r="P93" s="35" t="s">
        <v>479</v>
      </c>
      <c r="Q93" s="12"/>
      <c r="R93" s="12"/>
      <c r="S93" s="12"/>
      <c r="T93" s="52">
        <v>45190.0</v>
      </c>
      <c r="U93" s="52">
        <v>45190.0</v>
      </c>
      <c r="V93" s="52">
        <v>45191.0</v>
      </c>
      <c r="W93" s="30"/>
      <c r="X93" s="30"/>
      <c r="Y93" s="31"/>
      <c r="Z93" s="31"/>
      <c r="AA93" s="31"/>
      <c r="AB93" s="74" t="s">
        <v>480</v>
      </c>
      <c r="AC93" s="74"/>
    </row>
    <row r="94" ht="16.5" customHeight="1">
      <c r="A94" s="48" t="s">
        <v>481</v>
      </c>
      <c r="B94" s="53" t="s">
        <v>482</v>
      </c>
      <c r="C94" s="47">
        <v>0.0</v>
      </c>
      <c r="D94" s="70" t="s">
        <v>483</v>
      </c>
      <c r="E94" s="55" t="s">
        <v>171</v>
      </c>
      <c r="F94" s="32" t="s">
        <v>48</v>
      </c>
      <c r="G94" s="32" t="s">
        <v>35</v>
      </c>
      <c r="H94" s="71" t="s">
        <v>35</v>
      </c>
      <c r="I94" s="71" t="s">
        <v>36</v>
      </c>
      <c r="J94" s="34" t="s">
        <v>65</v>
      </c>
      <c r="K94" s="57" t="s">
        <v>38</v>
      </c>
      <c r="L94" s="72">
        <v>10220.0</v>
      </c>
      <c r="M94" s="27"/>
      <c r="N94" s="73"/>
      <c r="O94" s="28">
        <v>45308.0</v>
      </c>
      <c r="P94" s="26"/>
      <c r="Q94" s="12"/>
      <c r="R94" s="12"/>
      <c r="S94" s="12"/>
      <c r="T94" s="52">
        <v>45198.0</v>
      </c>
      <c r="U94" s="52">
        <v>45305.0</v>
      </c>
      <c r="V94" s="52">
        <v>45308.0</v>
      </c>
      <c r="W94" s="30"/>
      <c r="X94" s="30"/>
      <c r="Y94" s="31"/>
      <c r="Z94" s="31"/>
      <c r="AA94" s="31"/>
      <c r="AB94" s="74" t="s">
        <v>484</v>
      </c>
      <c r="AC94" s="74"/>
    </row>
    <row r="95" ht="16.5" customHeight="1">
      <c r="A95" s="48" t="s">
        <v>485</v>
      </c>
      <c r="B95" s="53" t="s">
        <v>482</v>
      </c>
      <c r="C95" s="47">
        <v>0.0</v>
      </c>
      <c r="D95" s="70" t="s">
        <v>486</v>
      </c>
      <c r="E95" s="55" t="s">
        <v>171</v>
      </c>
      <c r="F95" s="32" t="s">
        <v>48</v>
      </c>
      <c r="G95" s="32" t="s">
        <v>35</v>
      </c>
      <c r="H95" s="71" t="s">
        <v>35</v>
      </c>
      <c r="I95" s="71" t="s">
        <v>36</v>
      </c>
      <c r="J95" s="34" t="s">
        <v>65</v>
      </c>
      <c r="K95" s="57" t="s">
        <v>38</v>
      </c>
      <c r="L95" s="72">
        <v>10220.0</v>
      </c>
      <c r="M95" s="27"/>
      <c r="N95" s="73"/>
      <c r="O95" s="28">
        <v>45308.0</v>
      </c>
      <c r="P95" s="26"/>
      <c r="Q95" s="12"/>
      <c r="R95" s="12"/>
      <c r="S95" s="12"/>
      <c r="T95" s="52">
        <v>45198.0</v>
      </c>
      <c r="U95" s="52">
        <v>45305.0</v>
      </c>
      <c r="V95" s="52">
        <v>45308.0</v>
      </c>
      <c r="W95" s="30"/>
      <c r="X95" s="30"/>
      <c r="Y95" s="31"/>
      <c r="Z95" s="31"/>
      <c r="AA95" s="31"/>
      <c r="AB95" s="74" t="s">
        <v>487</v>
      </c>
      <c r="AC95" s="74"/>
    </row>
    <row r="96" ht="16.5" customHeight="1">
      <c r="A96" s="48" t="s">
        <v>488</v>
      </c>
      <c r="B96" s="53" t="s">
        <v>489</v>
      </c>
      <c r="C96" s="47">
        <v>0.0</v>
      </c>
      <c r="D96" s="70" t="s">
        <v>490</v>
      </c>
      <c r="E96" s="55" t="s">
        <v>491</v>
      </c>
      <c r="F96" s="32" t="s">
        <v>33</v>
      </c>
      <c r="G96" s="32" t="s">
        <v>34</v>
      </c>
      <c r="H96" s="71" t="s">
        <v>35</v>
      </c>
      <c r="I96" s="71" t="s">
        <v>36</v>
      </c>
      <c r="J96" s="34" t="s">
        <v>65</v>
      </c>
      <c r="K96" s="57" t="s">
        <v>38</v>
      </c>
      <c r="L96" s="72">
        <v>9711.0</v>
      </c>
      <c r="M96" s="27"/>
      <c r="N96" s="73"/>
      <c r="O96" s="28">
        <v>45195.0</v>
      </c>
      <c r="P96" s="26"/>
      <c r="Q96" s="12"/>
      <c r="R96" s="12"/>
      <c r="S96" s="12"/>
      <c r="T96" s="52">
        <v>45190.0</v>
      </c>
      <c r="U96" s="52">
        <v>45190.0</v>
      </c>
      <c r="V96" s="52">
        <v>45191.0</v>
      </c>
      <c r="W96" s="30"/>
      <c r="X96" s="30"/>
      <c r="Y96" s="31"/>
      <c r="Z96" s="31"/>
      <c r="AA96" s="31"/>
      <c r="AB96" s="74" t="s">
        <v>492</v>
      </c>
      <c r="AC96" s="74"/>
    </row>
    <row r="97" ht="16.5" customHeight="1">
      <c r="A97" s="48" t="s">
        <v>493</v>
      </c>
      <c r="B97" s="53" t="s">
        <v>381</v>
      </c>
      <c r="C97" s="47">
        <v>0.0</v>
      </c>
      <c r="D97" s="70" t="s">
        <v>494</v>
      </c>
      <c r="E97" s="55" t="s">
        <v>117</v>
      </c>
      <c r="F97" s="32" t="s">
        <v>33</v>
      </c>
      <c r="G97" s="32" t="s">
        <v>368</v>
      </c>
      <c r="H97" s="71" t="s">
        <v>35</v>
      </c>
      <c r="I97" s="71" t="s">
        <v>36</v>
      </c>
      <c r="J97" s="34" t="s">
        <v>37</v>
      </c>
      <c r="K97" s="57" t="s">
        <v>384</v>
      </c>
      <c r="L97" s="72">
        <v>9710.0</v>
      </c>
      <c r="M97" s="22"/>
      <c r="N97" s="73"/>
      <c r="O97" s="28">
        <v>45194.0</v>
      </c>
      <c r="P97" s="35" t="s">
        <v>495</v>
      </c>
      <c r="Q97" s="12"/>
      <c r="R97" s="12"/>
      <c r="S97" s="12"/>
      <c r="T97" s="52">
        <v>45190.0</v>
      </c>
      <c r="U97" s="52">
        <v>45190.0</v>
      </c>
      <c r="V97" s="52">
        <v>45191.0</v>
      </c>
      <c r="W97" s="30"/>
      <c r="X97" s="30"/>
      <c r="Y97" s="31"/>
      <c r="Z97" s="31"/>
      <c r="AA97" s="31"/>
      <c r="AB97" s="74" t="s">
        <v>496</v>
      </c>
      <c r="AC97" s="74"/>
    </row>
    <row r="98" ht="16.5" customHeight="1">
      <c r="A98" s="48" t="s">
        <v>497</v>
      </c>
      <c r="B98" s="53" t="s">
        <v>498</v>
      </c>
      <c r="C98" s="47">
        <v>0.0</v>
      </c>
      <c r="D98" s="70" t="s">
        <v>499</v>
      </c>
      <c r="E98" s="55" t="s">
        <v>79</v>
      </c>
      <c r="F98" s="32" t="s">
        <v>33</v>
      </c>
      <c r="G98" s="32" t="s">
        <v>35</v>
      </c>
      <c r="H98" s="71" t="s">
        <v>35</v>
      </c>
      <c r="I98" s="71" t="s">
        <v>36</v>
      </c>
      <c r="J98" s="34" t="s">
        <v>420</v>
      </c>
      <c r="K98" s="57" t="s">
        <v>38</v>
      </c>
      <c r="L98" s="72">
        <v>9709.0</v>
      </c>
      <c r="M98" s="27"/>
      <c r="N98" s="73"/>
      <c r="O98" s="28">
        <v>45194.0</v>
      </c>
      <c r="P98" s="26"/>
      <c r="Q98" s="12"/>
      <c r="R98" s="12"/>
      <c r="S98" s="12"/>
      <c r="T98" s="52">
        <v>45190.0</v>
      </c>
      <c r="U98" s="52">
        <v>45190.0</v>
      </c>
      <c r="V98" s="52">
        <v>45194.0</v>
      </c>
      <c r="W98" s="30"/>
      <c r="X98" s="30"/>
      <c r="Y98" s="31"/>
      <c r="Z98" s="31"/>
      <c r="AA98" s="31"/>
      <c r="AB98" s="74" t="s">
        <v>500</v>
      </c>
      <c r="AC98" s="74"/>
    </row>
    <row r="99" ht="16.5" customHeight="1">
      <c r="A99" s="48" t="s">
        <v>501</v>
      </c>
      <c r="B99" s="53" t="s">
        <v>498</v>
      </c>
      <c r="C99" s="47">
        <v>0.0</v>
      </c>
      <c r="D99" s="70" t="s">
        <v>502</v>
      </c>
      <c r="E99" s="55" t="s">
        <v>301</v>
      </c>
      <c r="F99" s="32" t="s">
        <v>33</v>
      </c>
      <c r="G99" s="32" t="s">
        <v>35</v>
      </c>
      <c r="H99" s="71" t="s">
        <v>35</v>
      </c>
      <c r="I99" s="71" t="s">
        <v>36</v>
      </c>
      <c r="J99" s="34" t="s">
        <v>420</v>
      </c>
      <c r="K99" s="57" t="s">
        <v>38</v>
      </c>
      <c r="L99" s="72">
        <v>9734.0</v>
      </c>
      <c r="M99" s="27"/>
      <c r="N99" s="73"/>
      <c r="O99" s="28">
        <v>45197.0</v>
      </c>
      <c r="P99" s="26"/>
      <c r="Q99" s="12"/>
      <c r="R99" s="12"/>
      <c r="S99" s="12"/>
      <c r="T99" s="52">
        <v>45190.0</v>
      </c>
      <c r="U99" s="52">
        <v>45190.0</v>
      </c>
      <c r="V99" s="52">
        <v>45194.0</v>
      </c>
      <c r="W99" s="30"/>
      <c r="X99" s="30"/>
      <c r="Y99" s="31"/>
      <c r="Z99" s="31"/>
      <c r="AA99" s="31"/>
      <c r="AB99" s="74" t="s">
        <v>503</v>
      </c>
      <c r="AC99" s="74"/>
    </row>
    <row r="100" ht="16.5" customHeight="1">
      <c r="A100" s="48" t="s">
        <v>504</v>
      </c>
      <c r="B100" s="53" t="s">
        <v>401</v>
      </c>
      <c r="C100" s="47">
        <v>0.0</v>
      </c>
      <c r="D100" s="70" t="s">
        <v>505</v>
      </c>
      <c r="E100" s="55" t="s">
        <v>506</v>
      </c>
      <c r="F100" s="32" t="s">
        <v>33</v>
      </c>
      <c r="G100" s="32" t="s">
        <v>35</v>
      </c>
      <c r="H100" s="71" t="s">
        <v>35</v>
      </c>
      <c r="I100" s="71" t="s">
        <v>36</v>
      </c>
      <c r="J100" s="34" t="s">
        <v>92</v>
      </c>
      <c r="K100" s="57" t="s">
        <v>38</v>
      </c>
      <c r="L100" s="72">
        <v>9727.0</v>
      </c>
      <c r="M100" s="22"/>
      <c r="N100" s="73"/>
      <c r="O100" s="28">
        <v>45195.0</v>
      </c>
      <c r="P100" s="35" t="s">
        <v>507</v>
      </c>
      <c r="Q100" s="12"/>
      <c r="R100" s="12"/>
      <c r="S100" s="12"/>
      <c r="T100" s="52">
        <v>45195.0</v>
      </c>
      <c r="U100" s="52">
        <v>45195.0</v>
      </c>
      <c r="V100" s="52">
        <v>45195.0</v>
      </c>
      <c r="W100" s="30"/>
      <c r="X100" s="30"/>
      <c r="Y100" s="31"/>
      <c r="Z100" s="31"/>
      <c r="AA100" s="31"/>
      <c r="AB100" s="74" t="s">
        <v>508</v>
      </c>
      <c r="AC100" s="74"/>
    </row>
    <row r="101" ht="16.5" customHeight="1">
      <c r="A101" s="48" t="s">
        <v>509</v>
      </c>
      <c r="B101" s="53" t="s">
        <v>477</v>
      </c>
      <c r="C101" s="47">
        <v>0.0</v>
      </c>
      <c r="D101" s="70" t="s">
        <v>510</v>
      </c>
      <c r="E101" s="55" t="s">
        <v>511</v>
      </c>
      <c r="F101" s="32" t="s">
        <v>33</v>
      </c>
      <c r="G101" s="32" t="s">
        <v>35</v>
      </c>
      <c r="H101" s="71" t="s">
        <v>35</v>
      </c>
      <c r="I101" s="71" t="s">
        <v>36</v>
      </c>
      <c r="J101" s="34" t="s">
        <v>65</v>
      </c>
      <c r="K101" s="57" t="s">
        <v>38</v>
      </c>
      <c r="L101" s="72" t="s">
        <v>512</v>
      </c>
      <c r="M101" s="22"/>
      <c r="N101" s="73"/>
      <c r="O101" s="28">
        <v>45198.0</v>
      </c>
      <c r="P101" s="35" t="s">
        <v>513</v>
      </c>
      <c r="Q101" s="12"/>
      <c r="R101" s="12"/>
      <c r="S101" s="12"/>
      <c r="T101" s="52">
        <v>45190.0</v>
      </c>
      <c r="U101" s="52">
        <v>45190.0</v>
      </c>
      <c r="V101" s="52">
        <v>45191.0</v>
      </c>
      <c r="W101" s="30"/>
      <c r="X101" s="30"/>
      <c r="Y101" s="31"/>
      <c r="Z101" s="31"/>
      <c r="AA101" s="31"/>
      <c r="AB101" s="74" t="s">
        <v>514</v>
      </c>
      <c r="AC101" s="74"/>
    </row>
    <row r="102" ht="16.5" customHeight="1">
      <c r="A102" s="48" t="s">
        <v>515</v>
      </c>
      <c r="B102" s="53" t="s">
        <v>516</v>
      </c>
      <c r="C102" s="47">
        <v>0.0</v>
      </c>
      <c r="D102" s="70" t="s">
        <v>517</v>
      </c>
      <c r="E102" s="55" t="s">
        <v>251</v>
      </c>
      <c r="F102" s="32" t="s">
        <v>33</v>
      </c>
      <c r="G102" s="32" t="s">
        <v>34</v>
      </c>
      <c r="H102" s="71" t="s">
        <v>35</v>
      </c>
      <c r="I102" s="71" t="s">
        <v>36</v>
      </c>
      <c r="J102" s="34" t="s">
        <v>518</v>
      </c>
      <c r="K102" s="57" t="s">
        <v>38</v>
      </c>
      <c r="L102" s="72">
        <v>9708.0</v>
      </c>
      <c r="M102" s="22"/>
      <c r="N102" s="73"/>
      <c r="O102" s="28">
        <v>45194.0</v>
      </c>
      <c r="P102" s="35" t="s">
        <v>519</v>
      </c>
      <c r="Q102" s="12"/>
      <c r="R102" s="12"/>
      <c r="S102" s="12"/>
      <c r="T102" s="52">
        <v>45190.0</v>
      </c>
      <c r="U102" s="52">
        <v>45190.0</v>
      </c>
      <c r="V102" s="52">
        <v>45194.0</v>
      </c>
      <c r="W102" s="30"/>
      <c r="X102" s="30"/>
      <c r="Y102" s="31"/>
      <c r="Z102" s="31"/>
      <c r="AA102" s="31"/>
      <c r="AB102" s="74" t="s">
        <v>520</v>
      </c>
      <c r="AC102" s="74"/>
    </row>
    <row r="103" ht="16.5" customHeight="1">
      <c r="A103" s="48" t="s">
        <v>521</v>
      </c>
      <c r="B103" s="53" t="s">
        <v>299</v>
      </c>
      <c r="C103" s="47">
        <v>0.0</v>
      </c>
      <c r="D103" s="70" t="s">
        <v>522</v>
      </c>
      <c r="E103" s="55" t="s">
        <v>213</v>
      </c>
      <c r="F103" s="32" t="s">
        <v>33</v>
      </c>
      <c r="G103" s="32" t="s">
        <v>35</v>
      </c>
      <c r="H103" s="71" t="s">
        <v>35</v>
      </c>
      <c r="I103" s="71" t="s">
        <v>36</v>
      </c>
      <c r="J103" s="34" t="s">
        <v>92</v>
      </c>
      <c r="K103" s="57" t="s">
        <v>38</v>
      </c>
      <c r="L103" s="72">
        <v>9724.0</v>
      </c>
      <c r="M103" s="22"/>
      <c r="N103" s="73"/>
      <c r="O103" s="28">
        <v>45197.0</v>
      </c>
      <c r="P103" s="35" t="s">
        <v>523</v>
      </c>
      <c r="Q103" s="12"/>
      <c r="R103" s="12"/>
      <c r="S103" s="12"/>
      <c r="T103" s="52">
        <v>45190.0</v>
      </c>
      <c r="U103" s="52">
        <v>45190.0</v>
      </c>
      <c r="V103" s="52">
        <v>45194.0</v>
      </c>
      <c r="W103" s="30"/>
      <c r="X103" s="30"/>
      <c r="Y103" s="31"/>
      <c r="Z103" s="31"/>
      <c r="AA103" s="31"/>
      <c r="AB103" s="74" t="s">
        <v>524</v>
      </c>
      <c r="AC103" s="74"/>
    </row>
    <row r="104" ht="16.5" customHeight="1">
      <c r="A104" s="48" t="s">
        <v>525</v>
      </c>
      <c r="B104" s="53" t="s">
        <v>169</v>
      </c>
      <c r="C104" s="47">
        <v>137.0</v>
      </c>
      <c r="D104" s="70" t="s">
        <v>526</v>
      </c>
      <c r="E104" s="55" t="s">
        <v>85</v>
      </c>
      <c r="F104" s="32" t="s">
        <v>48</v>
      </c>
      <c r="G104" s="32" t="s">
        <v>35</v>
      </c>
      <c r="H104" s="71" t="s">
        <v>35</v>
      </c>
      <c r="I104" s="71" t="s">
        <v>36</v>
      </c>
      <c r="J104" s="34" t="s">
        <v>65</v>
      </c>
      <c r="K104" s="57" t="s">
        <v>38</v>
      </c>
      <c r="L104" s="72" t="s">
        <v>527</v>
      </c>
      <c r="M104" s="27"/>
      <c r="N104" s="73"/>
      <c r="O104" s="28">
        <v>45308.0</v>
      </c>
      <c r="P104" s="26"/>
      <c r="Q104" s="12"/>
      <c r="R104" s="12"/>
      <c r="S104" s="12"/>
      <c r="T104" s="52">
        <v>45191.0</v>
      </c>
      <c r="U104" s="52">
        <v>45305.0</v>
      </c>
      <c r="V104" s="52">
        <v>45308.0</v>
      </c>
      <c r="W104" s="30"/>
      <c r="X104" s="30"/>
      <c r="Y104" s="31"/>
      <c r="Z104" s="31"/>
      <c r="AA104" s="31"/>
      <c r="AB104" s="74" t="s">
        <v>528</v>
      </c>
      <c r="AC104" s="74"/>
    </row>
    <row r="105" ht="16.5" customHeight="1">
      <c r="A105" s="48" t="s">
        <v>529</v>
      </c>
      <c r="B105" s="53" t="s">
        <v>530</v>
      </c>
      <c r="C105" s="47">
        <v>0.0</v>
      </c>
      <c r="D105" s="70" t="s">
        <v>531</v>
      </c>
      <c r="E105" s="55" t="s">
        <v>532</v>
      </c>
      <c r="F105" s="32" t="s">
        <v>244</v>
      </c>
      <c r="G105" s="32" t="s">
        <v>35</v>
      </c>
      <c r="H105" s="71" t="s">
        <v>35</v>
      </c>
      <c r="I105" s="71" t="s">
        <v>36</v>
      </c>
      <c r="J105" s="34" t="s">
        <v>92</v>
      </c>
      <c r="K105" s="57" t="s">
        <v>38</v>
      </c>
      <c r="L105" s="72">
        <v>9728.0</v>
      </c>
      <c r="M105" s="27"/>
      <c r="N105" s="73"/>
      <c r="O105" s="28">
        <v>45197.0</v>
      </c>
      <c r="P105" s="26"/>
      <c r="Q105" s="12"/>
      <c r="R105" s="12"/>
      <c r="S105" s="12"/>
      <c r="T105" s="52">
        <v>45190.0</v>
      </c>
      <c r="U105" s="52">
        <v>45190.0</v>
      </c>
      <c r="V105" s="52">
        <v>45191.0</v>
      </c>
      <c r="W105" s="30"/>
      <c r="X105" s="30"/>
      <c r="Y105" s="31"/>
      <c r="Z105" s="31"/>
      <c r="AA105" s="31"/>
      <c r="AB105" s="74" t="s">
        <v>533</v>
      </c>
      <c r="AC105" s="74"/>
    </row>
    <row r="106" ht="16.5" customHeight="1">
      <c r="A106" s="48" t="s">
        <v>534</v>
      </c>
      <c r="B106" s="53" t="s">
        <v>530</v>
      </c>
      <c r="C106" s="47">
        <v>0.0</v>
      </c>
      <c r="D106" s="70" t="s">
        <v>535</v>
      </c>
      <c r="E106" s="55" t="s">
        <v>532</v>
      </c>
      <c r="F106" s="32" t="s">
        <v>244</v>
      </c>
      <c r="G106" s="32" t="s">
        <v>35</v>
      </c>
      <c r="H106" s="71" t="s">
        <v>35</v>
      </c>
      <c r="I106" s="71" t="s">
        <v>36</v>
      </c>
      <c r="J106" s="34" t="s">
        <v>92</v>
      </c>
      <c r="K106" s="57" t="s">
        <v>38</v>
      </c>
      <c r="L106" s="72">
        <v>9728.0</v>
      </c>
      <c r="M106" s="27"/>
      <c r="N106" s="73"/>
      <c r="O106" s="28">
        <v>45225.0</v>
      </c>
      <c r="P106" s="26"/>
      <c r="Q106" s="12"/>
      <c r="R106" s="12"/>
      <c r="S106" s="12"/>
      <c r="T106" s="52">
        <v>45190.0</v>
      </c>
      <c r="U106" s="52">
        <v>45190.0</v>
      </c>
      <c r="V106" s="52">
        <v>45195.0</v>
      </c>
      <c r="W106" s="30"/>
      <c r="X106" s="30"/>
      <c r="Y106" s="31"/>
      <c r="Z106" s="31"/>
      <c r="AA106" s="31"/>
      <c r="AB106" s="74" t="s">
        <v>536</v>
      </c>
      <c r="AC106" s="74"/>
    </row>
    <row r="107" ht="16.5" customHeight="1">
      <c r="A107" s="48" t="s">
        <v>537</v>
      </c>
      <c r="B107" s="53" t="s">
        <v>538</v>
      </c>
      <c r="C107" s="47">
        <v>0.0</v>
      </c>
      <c r="D107" s="70" t="s">
        <v>539</v>
      </c>
      <c r="E107" s="55" t="s">
        <v>177</v>
      </c>
      <c r="F107" s="32" t="s">
        <v>48</v>
      </c>
      <c r="G107" s="32" t="s">
        <v>35</v>
      </c>
      <c r="H107" s="71" t="s">
        <v>35</v>
      </c>
      <c r="I107" s="71" t="s">
        <v>36</v>
      </c>
      <c r="J107" s="34" t="s">
        <v>540</v>
      </c>
      <c r="K107" s="57" t="s">
        <v>38</v>
      </c>
      <c r="L107" s="72">
        <v>10271.0</v>
      </c>
      <c r="M107" s="27"/>
      <c r="N107" s="73"/>
      <c r="O107" s="28">
        <v>45310.0</v>
      </c>
      <c r="P107" s="26"/>
      <c r="Q107" s="12"/>
      <c r="R107" s="12"/>
      <c r="S107" s="12"/>
      <c r="T107" s="52">
        <v>45197.0</v>
      </c>
      <c r="U107" s="52">
        <v>45307.0</v>
      </c>
      <c r="V107" s="52">
        <v>45310.0</v>
      </c>
      <c r="W107" s="30"/>
      <c r="X107" s="30"/>
      <c r="Y107" s="31"/>
      <c r="Z107" s="31"/>
      <c r="AA107" s="31"/>
      <c r="AB107" s="74" t="s">
        <v>541</v>
      </c>
      <c r="AC107" s="74"/>
    </row>
    <row r="108" ht="16.5" customHeight="1">
      <c r="A108" s="48" t="s">
        <v>542</v>
      </c>
      <c r="B108" s="53" t="s">
        <v>543</v>
      </c>
      <c r="C108" s="47">
        <v>0.0</v>
      </c>
      <c r="D108" s="70" t="s">
        <v>544</v>
      </c>
      <c r="E108" s="55" t="s">
        <v>545</v>
      </c>
      <c r="F108" s="32" t="s">
        <v>33</v>
      </c>
      <c r="G108" s="32" t="s">
        <v>35</v>
      </c>
      <c r="H108" s="71" t="s">
        <v>35</v>
      </c>
      <c r="I108" s="71" t="s">
        <v>36</v>
      </c>
      <c r="J108" s="34" t="s">
        <v>420</v>
      </c>
      <c r="K108" s="57" t="s">
        <v>38</v>
      </c>
      <c r="L108" s="72">
        <v>9707.0</v>
      </c>
      <c r="M108" s="27"/>
      <c r="N108" s="73"/>
      <c r="O108" s="28">
        <v>45196.0</v>
      </c>
      <c r="P108" s="26"/>
      <c r="Q108" s="12"/>
      <c r="R108" s="12"/>
      <c r="S108" s="12"/>
      <c r="T108" s="52">
        <v>45191.0</v>
      </c>
      <c r="U108" s="52">
        <v>45191.0</v>
      </c>
      <c r="V108" s="52">
        <v>45194.0</v>
      </c>
      <c r="W108" s="30"/>
      <c r="X108" s="30"/>
      <c r="Y108" s="31"/>
      <c r="Z108" s="31"/>
      <c r="AA108" s="31"/>
      <c r="AB108" s="74" t="s">
        <v>546</v>
      </c>
      <c r="AC108" s="74"/>
    </row>
    <row r="109" ht="16.5" customHeight="1">
      <c r="A109" s="48" t="s">
        <v>547</v>
      </c>
      <c r="B109" s="53" t="s">
        <v>548</v>
      </c>
      <c r="C109" s="47">
        <v>0.0</v>
      </c>
      <c r="D109" s="70" t="s">
        <v>549</v>
      </c>
      <c r="E109" s="55" t="s">
        <v>550</v>
      </c>
      <c r="F109" s="32" t="s">
        <v>33</v>
      </c>
      <c r="G109" s="32" t="s">
        <v>34</v>
      </c>
      <c r="H109" s="71" t="s">
        <v>35</v>
      </c>
      <c r="I109" s="71" t="s">
        <v>36</v>
      </c>
      <c r="J109" s="34" t="s">
        <v>92</v>
      </c>
      <c r="K109" s="57" t="s">
        <v>38</v>
      </c>
      <c r="L109" s="72">
        <v>9825.0</v>
      </c>
      <c r="M109" s="22"/>
      <c r="N109" s="76"/>
      <c r="O109" s="28">
        <v>45259.0</v>
      </c>
      <c r="P109" s="35" t="s">
        <v>551</v>
      </c>
      <c r="Q109" s="12"/>
      <c r="R109" s="12"/>
      <c r="S109" s="12"/>
      <c r="T109" s="52">
        <v>45197.0</v>
      </c>
      <c r="U109" s="52">
        <v>45205.0</v>
      </c>
      <c r="V109" s="52">
        <v>45212.0</v>
      </c>
      <c r="W109" s="30"/>
      <c r="X109" s="30"/>
      <c r="Y109" s="31"/>
      <c r="Z109" s="31"/>
      <c r="AA109" s="31"/>
      <c r="AB109" s="74" t="s">
        <v>552</v>
      </c>
      <c r="AC109" s="74"/>
    </row>
    <row r="110" ht="16.5" customHeight="1">
      <c r="A110" s="48" t="s">
        <v>553</v>
      </c>
      <c r="B110" s="53" t="s">
        <v>548</v>
      </c>
      <c r="C110" s="47">
        <v>0.0</v>
      </c>
      <c r="D110" s="70" t="s">
        <v>554</v>
      </c>
      <c r="E110" s="55" t="s">
        <v>301</v>
      </c>
      <c r="F110" s="32" t="s">
        <v>33</v>
      </c>
      <c r="G110" s="32" t="s">
        <v>34</v>
      </c>
      <c r="H110" s="71" t="s">
        <v>35</v>
      </c>
      <c r="I110" s="71" t="s">
        <v>36</v>
      </c>
      <c r="J110" s="34" t="s">
        <v>92</v>
      </c>
      <c r="K110" s="57" t="s">
        <v>38</v>
      </c>
      <c r="L110" s="72">
        <v>9825.0</v>
      </c>
      <c r="M110" s="22"/>
      <c r="N110" s="76"/>
      <c r="O110" s="28">
        <v>45259.0</v>
      </c>
      <c r="P110" s="35" t="s">
        <v>551</v>
      </c>
      <c r="Q110" s="12"/>
      <c r="R110" s="12"/>
      <c r="S110" s="12"/>
      <c r="T110" s="52">
        <v>45197.0</v>
      </c>
      <c r="U110" s="52">
        <v>45205.0</v>
      </c>
      <c r="V110" s="52">
        <v>45212.0</v>
      </c>
      <c r="W110" s="30"/>
      <c r="X110" s="30"/>
      <c r="Y110" s="31"/>
      <c r="Z110" s="31"/>
      <c r="AA110" s="31"/>
      <c r="AB110" s="74" t="s">
        <v>555</v>
      </c>
      <c r="AC110" s="74"/>
    </row>
    <row r="111" ht="16.5" customHeight="1">
      <c r="A111" s="48" t="s">
        <v>556</v>
      </c>
      <c r="B111" s="53" t="s">
        <v>557</v>
      </c>
      <c r="C111" s="47">
        <v>0.0</v>
      </c>
      <c r="D111" s="70" t="s">
        <v>558</v>
      </c>
      <c r="E111" s="55" t="s">
        <v>545</v>
      </c>
      <c r="F111" s="32" t="s">
        <v>33</v>
      </c>
      <c r="G111" s="32" t="s">
        <v>35</v>
      </c>
      <c r="H111" s="71" t="s">
        <v>35</v>
      </c>
      <c r="I111" s="71" t="s">
        <v>36</v>
      </c>
      <c r="J111" s="34" t="s">
        <v>65</v>
      </c>
      <c r="K111" s="57" t="s">
        <v>38</v>
      </c>
      <c r="L111" s="72">
        <v>9824.0</v>
      </c>
      <c r="M111" s="22"/>
      <c r="N111" s="73"/>
      <c r="O111" s="28">
        <v>45217.0</v>
      </c>
      <c r="P111" s="35" t="s">
        <v>559</v>
      </c>
      <c r="Q111" s="12"/>
      <c r="R111" s="12"/>
      <c r="S111" s="12"/>
      <c r="T111" s="52">
        <v>45197.0</v>
      </c>
      <c r="U111" s="52">
        <v>45191.0</v>
      </c>
      <c r="V111" s="52">
        <v>45195.0</v>
      </c>
      <c r="W111" s="30"/>
      <c r="X111" s="30"/>
      <c r="Y111" s="31"/>
      <c r="Z111" s="31"/>
      <c r="AA111" s="31"/>
      <c r="AB111" s="74" t="s">
        <v>560</v>
      </c>
      <c r="AC111" s="74"/>
    </row>
    <row r="112" ht="16.5" customHeight="1">
      <c r="A112" s="48" t="s">
        <v>561</v>
      </c>
      <c r="B112" s="53" t="s">
        <v>477</v>
      </c>
      <c r="C112" s="47">
        <v>0.0</v>
      </c>
      <c r="D112" s="70" t="s">
        <v>562</v>
      </c>
      <c r="E112" s="55" t="s">
        <v>171</v>
      </c>
      <c r="F112" s="32" t="s">
        <v>48</v>
      </c>
      <c r="G112" s="32" t="s">
        <v>35</v>
      </c>
      <c r="H112" s="71" t="s">
        <v>35</v>
      </c>
      <c r="I112" s="71" t="s">
        <v>36</v>
      </c>
      <c r="J112" s="34" t="s">
        <v>65</v>
      </c>
      <c r="K112" s="57" t="s">
        <v>38</v>
      </c>
      <c r="L112" s="72" t="s">
        <v>563</v>
      </c>
      <c r="M112" s="22"/>
      <c r="N112" s="73"/>
      <c r="O112" s="28">
        <v>45308.0</v>
      </c>
      <c r="P112" s="35" t="s">
        <v>564</v>
      </c>
      <c r="Q112" s="12"/>
      <c r="R112" s="12"/>
      <c r="S112" s="12"/>
      <c r="T112" s="52">
        <v>45197.0</v>
      </c>
      <c r="U112" s="52">
        <v>45305.0</v>
      </c>
      <c r="V112" s="52">
        <v>45308.0</v>
      </c>
      <c r="W112" s="30"/>
      <c r="X112" s="30"/>
      <c r="Y112" s="31"/>
      <c r="Z112" s="31"/>
      <c r="AA112" s="31"/>
      <c r="AB112" s="74" t="s">
        <v>565</v>
      </c>
      <c r="AC112" s="74"/>
    </row>
    <row r="113" ht="16.5" customHeight="1">
      <c r="A113" s="48" t="s">
        <v>566</v>
      </c>
      <c r="B113" s="53" t="s">
        <v>477</v>
      </c>
      <c r="C113" s="47">
        <v>0.0</v>
      </c>
      <c r="D113" s="70" t="s">
        <v>567</v>
      </c>
      <c r="E113" s="55" t="s">
        <v>171</v>
      </c>
      <c r="F113" s="32" t="s">
        <v>48</v>
      </c>
      <c r="G113" s="32" t="s">
        <v>35</v>
      </c>
      <c r="H113" s="71" t="s">
        <v>35</v>
      </c>
      <c r="I113" s="71" t="s">
        <v>36</v>
      </c>
      <c r="J113" s="34" t="s">
        <v>65</v>
      </c>
      <c r="K113" s="57" t="s">
        <v>38</v>
      </c>
      <c r="L113" s="72" t="s">
        <v>563</v>
      </c>
      <c r="M113" s="22"/>
      <c r="N113" s="73"/>
      <c r="O113" s="28">
        <v>45308.0</v>
      </c>
      <c r="P113" s="35" t="s">
        <v>568</v>
      </c>
      <c r="Q113" s="12"/>
      <c r="R113" s="12"/>
      <c r="S113" s="12"/>
      <c r="T113" s="52">
        <v>45197.0</v>
      </c>
      <c r="U113" s="52">
        <v>45305.0</v>
      </c>
      <c r="V113" s="52">
        <v>45308.0</v>
      </c>
      <c r="W113" s="30"/>
      <c r="X113" s="30"/>
      <c r="Y113" s="31"/>
      <c r="Z113" s="31"/>
      <c r="AA113" s="31"/>
      <c r="AB113" s="74" t="s">
        <v>569</v>
      </c>
      <c r="AC113" s="74"/>
    </row>
    <row r="114" ht="16.5" customHeight="1">
      <c r="A114" s="48" t="s">
        <v>570</v>
      </c>
      <c r="B114" s="53" t="s">
        <v>477</v>
      </c>
      <c r="C114" s="47">
        <v>0.0</v>
      </c>
      <c r="D114" s="70" t="s">
        <v>571</v>
      </c>
      <c r="E114" s="55" t="s">
        <v>171</v>
      </c>
      <c r="F114" s="32" t="s">
        <v>48</v>
      </c>
      <c r="G114" s="32" t="s">
        <v>35</v>
      </c>
      <c r="H114" s="71" t="s">
        <v>35</v>
      </c>
      <c r="I114" s="71" t="s">
        <v>36</v>
      </c>
      <c r="J114" s="34" t="s">
        <v>65</v>
      </c>
      <c r="K114" s="57" t="s">
        <v>38</v>
      </c>
      <c r="L114" s="72" t="s">
        <v>563</v>
      </c>
      <c r="M114" s="22"/>
      <c r="N114" s="73"/>
      <c r="O114" s="28">
        <v>45308.0</v>
      </c>
      <c r="P114" s="35" t="s">
        <v>568</v>
      </c>
      <c r="Q114" s="12"/>
      <c r="R114" s="12"/>
      <c r="S114" s="12"/>
      <c r="T114" s="52">
        <v>45197.0</v>
      </c>
      <c r="U114" s="52">
        <v>45305.0</v>
      </c>
      <c r="V114" s="52">
        <v>45308.0</v>
      </c>
      <c r="W114" s="30"/>
      <c r="X114" s="30"/>
      <c r="Y114" s="31"/>
      <c r="Z114" s="31"/>
      <c r="AA114" s="31"/>
      <c r="AB114" s="74" t="s">
        <v>572</v>
      </c>
      <c r="AC114" s="74"/>
    </row>
    <row r="115" ht="16.5" customHeight="1">
      <c r="A115" s="48" t="s">
        <v>573</v>
      </c>
      <c r="B115" s="53" t="s">
        <v>477</v>
      </c>
      <c r="C115" s="47">
        <v>0.0</v>
      </c>
      <c r="D115" s="70" t="s">
        <v>574</v>
      </c>
      <c r="E115" s="55" t="s">
        <v>177</v>
      </c>
      <c r="F115" s="32" t="s">
        <v>48</v>
      </c>
      <c r="G115" s="32" t="s">
        <v>35</v>
      </c>
      <c r="H115" s="71" t="s">
        <v>35</v>
      </c>
      <c r="I115" s="71" t="s">
        <v>36</v>
      </c>
      <c r="J115" s="34" t="s">
        <v>65</v>
      </c>
      <c r="K115" s="57" t="s">
        <v>38</v>
      </c>
      <c r="L115" s="72" t="s">
        <v>563</v>
      </c>
      <c r="M115" s="22"/>
      <c r="N115" s="73"/>
      <c r="O115" s="28">
        <v>45308.0</v>
      </c>
      <c r="P115" s="35" t="s">
        <v>568</v>
      </c>
      <c r="Q115" s="12"/>
      <c r="R115" s="12"/>
      <c r="S115" s="12"/>
      <c r="T115" s="52">
        <v>45197.0</v>
      </c>
      <c r="U115" s="52">
        <v>45305.0</v>
      </c>
      <c r="V115" s="52">
        <v>45308.0</v>
      </c>
      <c r="W115" s="30"/>
      <c r="X115" s="30"/>
      <c r="Y115" s="31"/>
      <c r="Z115" s="31"/>
      <c r="AA115" s="31"/>
      <c r="AB115" s="74" t="s">
        <v>575</v>
      </c>
      <c r="AC115" s="74"/>
    </row>
    <row r="116" ht="16.5" customHeight="1">
      <c r="A116" s="48" t="s">
        <v>576</v>
      </c>
      <c r="B116" s="53" t="s">
        <v>477</v>
      </c>
      <c r="C116" s="47">
        <v>0.0</v>
      </c>
      <c r="D116" s="70" t="s">
        <v>577</v>
      </c>
      <c r="E116" s="55" t="s">
        <v>177</v>
      </c>
      <c r="F116" s="32" t="s">
        <v>48</v>
      </c>
      <c r="G116" s="32" t="s">
        <v>35</v>
      </c>
      <c r="H116" s="71" t="s">
        <v>35</v>
      </c>
      <c r="I116" s="71" t="s">
        <v>36</v>
      </c>
      <c r="J116" s="34" t="s">
        <v>65</v>
      </c>
      <c r="K116" s="57" t="s">
        <v>38</v>
      </c>
      <c r="L116" s="72" t="s">
        <v>563</v>
      </c>
      <c r="M116" s="22"/>
      <c r="N116" s="73"/>
      <c r="O116" s="28">
        <v>45308.0</v>
      </c>
      <c r="P116" s="35" t="s">
        <v>568</v>
      </c>
      <c r="Q116" s="12"/>
      <c r="R116" s="12"/>
      <c r="S116" s="12"/>
      <c r="T116" s="52">
        <v>45197.0</v>
      </c>
      <c r="U116" s="52">
        <v>45305.0</v>
      </c>
      <c r="V116" s="52">
        <v>45308.0</v>
      </c>
      <c r="W116" s="30"/>
      <c r="X116" s="30"/>
      <c r="Y116" s="31"/>
      <c r="Z116" s="31"/>
      <c r="AA116" s="31"/>
      <c r="AB116" s="74" t="s">
        <v>578</v>
      </c>
      <c r="AC116" s="74"/>
    </row>
    <row r="117" ht="16.5" customHeight="1">
      <c r="A117" s="48" t="s">
        <v>579</v>
      </c>
      <c r="B117" s="53" t="s">
        <v>477</v>
      </c>
      <c r="C117" s="47">
        <v>0.0</v>
      </c>
      <c r="D117" s="70" t="s">
        <v>580</v>
      </c>
      <c r="E117" s="55" t="s">
        <v>177</v>
      </c>
      <c r="F117" s="32" t="s">
        <v>48</v>
      </c>
      <c r="G117" s="32" t="s">
        <v>35</v>
      </c>
      <c r="H117" s="71" t="s">
        <v>35</v>
      </c>
      <c r="I117" s="71" t="s">
        <v>36</v>
      </c>
      <c r="J117" s="34" t="s">
        <v>65</v>
      </c>
      <c r="K117" s="57" t="s">
        <v>38</v>
      </c>
      <c r="L117" s="72" t="s">
        <v>563</v>
      </c>
      <c r="M117" s="22"/>
      <c r="N117" s="73"/>
      <c r="O117" s="28">
        <v>45308.0</v>
      </c>
      <c r="P117" s="35" t="s">
        <v>568</v>
      </c>
      <c r="Q117" s="12"/>
      <c r="R117" s="12"/>
      <c r="S117" s="12"/>
      <c r="T117" s="52">
        <v>45197.0</v>
      </c>
      <c r="U117" s="52">
        <v>45305.0</v>
      </c>
      <c r="V117" s="52">
        <v>45308.0</v>
      </c>
      <c r="W117" s="30"/>
      <c r="X117" s="30"/>
      <c r="Y117" s="31"/>
      <c r="Z117" s="31"/>
      <c r="AA117" s="31"/>
      <c r="AB117" s="74" t="s">
        <v>581</v>
      </c>
      <c r="AC117" s="74"/>
    </row>
    <row r="118" ht="16.5" customHeight="1">
      <c r="A118" s="48" t="s">
        <v>582</v>
      </c>
      <c r="B118" s="53" t="s">
        <v>477</v>
      </c>
      <c r="C118" s="47">
        <v>0.0</v>
      </c>
      <c r="D118" s="70" t="s">
        <v>583</v>
      </c>
      <c r="E118" s="55" t="s">
        <v>184</v>
      </c>
      <c r="F118" s="32" t="s">
        <v>48</v>
      </c>
      <c r="G118" s="32" t="s">
        <v>35</v>
      </c>
      <c r="H118" s="71" t="s">
        <v>35</v>
      </c>
      <c r="I118" s="71" t="s">
        <v>36</v>
      </c>
      <c r="J118" s="34" t="s">
        <v>65</v>
      </c>
      <c r="K118" s="57" t="s">
        <v>38</v>
      </c>
      <c r="L118" s="72" t="s">
        <v>563</v>
      </c>
      <c r="M118" s="22"/>
      <c r="N118" s="73"/>
      <c r="O118" s="28">
        <v>45310.0</v>
      </c>
      <c r="P118" s="35" t="s">
        <v>568</v>
      </c>
      <c r="Q118" s="12"/>
      <c r="R118" s="12"/>
      <c r="S118" s="12"/>
      <c r="T118" s="52">
        <v>45197.0</v>
      </c>
      <c r="U118" s="52">
        <v>45307.0</v>
      </c>
      <c r="V118" s="52">
        <v>45310.0</v>
      </c>
      <c r="W118" s="30"/>
      <c r="X118" s="30"/>
      <c r="Y118" s="31"/>
      <c r="Z118" s="31"/>
      <c r="AA118" s="31"/>
      <c r="AB118" s="74" t="s">
        <v>584</v>
      </c>
      <c r="AC118" s="74"/>
    </row>
    <row r="119" ht="16.5" customHeight="1">
      <c r="A119" s="48" t="s">
        <v>585</v>
      </c>
      <c r="B119" s="53" t="s">
        <v>388</v>
      </c>
      <c r="C119" s="47">
        <v>0.0</v>
      </c>
      <c r="D119" s="70" t="s">
        <v>586</v>
      </c>
      <c r="E119" s="55" t="s">
        <v>171</v>
      </c>
      <c r="F119" s="32" t="s">
        <v>48</v>
      </c>
      <c r="G119" s="32" t="s">
        <v>35</v>
      </c>
      <c r="H119" s="71" t="s">
        <v>35</v>
      </c>
      <c r="I119" s="71" t="s">
        <v>36</v>
      </c>
      <c r="J119" s="34" t="s">
        <v>65</v>
      </c>
      <c r="K119" s="57" t="s">
        <v>38</v>
      </c>
      <c r="L119" s="72" t="s">
        <v>587</v>
      </c>
      <c r="M119" s="22"/>
      <c r="N119" s="73"/>
      <c r="O119" s="28">
        <v>45308.0</v>
      </c>
      <c r="P119" s="35" t="s">
        <v>568</v>
      </c>
      <c r="Q119" s="12"/>
      <c r="R119" s="12"/>
      <c r="S119" s="12"/>
      <c r="T119" s="52">
        <v>45196.0</v>
      </c>
      <c r="U119" s="52">
        <v>45305.0</v>
      </c>
      <c r="V119" s="52">
        <v>45308.0</v>
      </c>
      <c r="W119" s="30"/>
      <c r="X119" s="30"/>
      <c r="Y119" s="31"/>
      <c r="Z119" s="31"/>
      <c r="AA119" s="31"/>
      <c r="AB119" s="74" t="s">
        <v>588</v>
      </c>
      <c r="AC119" s="74"/>
    </row>
    <row r="120" ht="16.5" customHeight="1">
      <c r="A120" s="48" t="s">
        <v>589</v>
      </c>
      <c r="B120" s="53" t="s">
        <v>388</v>
      </c>
      <c r="C120" s="47">
        <v>0.0</v>
      </c>
      <c r="D120" s="70" t="s">
        <v>590</v>
      </c>
      <c r="E120" s="55" t="s">
        <v>171</v>
      </c>
      <c r="F120" s="32" t="s">
        <v>48</v>
      </c>
      <c r="G120" s="32" t="s">
        <v>35</v>
      </c>
      <c r="H120" s="71" t="s">
        <v>35</v>
      </c>
      <c r="I120" s="71" t="s">
        <v>36</v>
      </c>
      <c r="J120" s="34" t="s">
        <v>65</v>
      </c>
      <c r="K120" s="57" t="s">
        <v>38</v>
      </c>
      <c r="L120" s="72" t="s">
        <v>587</v>
      </c>
      <c r="M120" s="22"/>
      <c r="N120" s="73"/>
      <c r="O120" s="28">
        <v>45308.0</v>
      </c>
      <c r="P120" s="35" t="s">
        <v>568</v>
      </c>
      <c r="Q120" s="12"/>
      <c r="R120" s="12"/>
      <c r="S120" s="12"/>
      <c r="T120" s="52">
        <v>45196.0</v>
      </c>
      <c r="U120" s="52">
        <v>45305.0</v>
      </c>
      <c r="V120" s="52">
        <v>45308.0</v>
      </c>
      <c r="W120" s="30"/>
      <c r="X120" s="30"/>
      <c r="Y120" s="31"/>
      <c r="Z120" s="31"/>
      <c r="AA120" s="31"/>
      <c r="AB120" s="74" t="s">
        <v>591</v>
      </c>
      <c r="AC120" s="74"/>
    </row>
    <row r="121" ht="16.5" customHeight="1">
      <c r="A121" s="48" t="s">
        <v>592</v>
      </c>
      <c r="B121" s="53" t="s">
        <v>388</v>
      </c>
      <c r="C121" s="47">
        <v>0.0</v>
      </c>
      <c r="D121" s="70" t="s">
        <v>593</v>
      </c>
      <c r="E121" s="55" t="s">
        <v>171</v>
      </c>
      <c r="F121" s="32" t="s">
        <v>48</v>
      </c>
      <c r="G121" s="32" t="s">
        <v>35</v>
      </c>
      <c r="H121" s="71" t="s">
        <v>35</v>
      </c>
      <c r="I121" s="71" t="s">
        <v>36</v>
      </c>
      <c r="J121" s="34" t="s">
        <v>65</v>
      </c>
      <c r="K121" s="57" t="s">
        <v>38</v>
      </c>
      <c r="L121" s="72" t="s">
        <v>587</v>
      </c>
      <c r="M121" s="22"/>
      <c r="N121" s="73"/>
      <c r="O121" s="28">
        <v>45308.0</v>
      </c>
      <c r="P121" s="35" t="s">
        <v>568</v>
      </c>
      <c r="Q121" s="12"/>
      <c r="R121" s="12"/>
      <c r="S121" s="12"/>
      <c r="T121" s="52">
        <v>45196.0</v>
      </c>
      <c r="U121" s="52">
        <v>45305.0</v>
      </c>
      <c r="V121" s="52">
        <v>45308.0</v>
      </c>
      <c r="W121" s="30"/>
      <c r="X121" s="30"/>
      <c r="Y121" s="31"/>
      <c r="Z121" s="31"/>
      <c r="AA121" s="31"/>
      <c r="AB121" s="74" t="s">
        <v>594</v>
      </c>
      <c r="AC121" s="74"/>
    </row>
    <row r="122" ht="16.5" customHeight="1">
      <c r="A122" s="48" t="s">
        <v>595</v>
      </c>
      <c r="B122" s="53" t="s">
        <v>388</v>
      </c>
      <c r="C122" s="47">
        <v>0.0</v>
      </c>
      <c r="D122" s="70" t="s">
        <v>596</v>
      </c>
      <c r="E122" s="55" t="s">
        <v>171</v>
      </c>
      <c r="F122" s="32" t="s">
        <v>48</v>
      </c>
      <c r="G122" s="32" t="s">
        <v>35</v>
      </c>
      <c r="H122" s="71" t="s">
        <v>35</v>
      </c>
      <c r="I122" s="71" t="s">
        <v>36</v>
      </c>
      <c r="J122" s="34" t="s">
        <v>65</v>
      </c>
      <c r="K122" s="57" t="s">
        <v>38</v>
      </c>
      <c r="L122" s="72" t="s">
        <v>587</v>
      </c>
      <c r="M122" s="22"/>
      <c r="N122" s="73"/>
      <c r="O122" s="28">
        <v>45308.0</v>
      </c>
      <c r="P122" s="35" t="s">
        <v>568</v>
      </c>
      <c r="Q122" s="12"/>
      <c r="R122" s="12"/>
      <c r="S122" s="12"/>
      <c r="T122" s="52">
        <v>45196.0</v>
      </c>
      <c r="U122" s="52">
        <v>45305.0</v>
      </c>
      <c r="V122" s="52">
        <v>45308.0</v>
      </c>
      <c r="W122" s="30"/>
      <c r="X122" s="30"/>
      <c r="Y122" s="31"/>
      <c r="Z122" s="31"/>
      <c r="AA122" s="31"/>
      <c r="AB122" s="74" t="s">
        <v>597</v>
      </c>
      <c r="AC122" s="74"/>
    </row>
    <row r="123" ht="16.5" customHeight="1">
      <c r="A123" s="48" t="s">
        <v>598</v>
      </c>
      <c r="B123" s="53" t="s">
        <v>388</v>
      </c>
      <c r="C123" s="47">
        <v>0.0</v>
      </c>
      <c r="D123" s="70" t="s">
        <v>599</v>
      </c>
      <c r="E123" s="55" t="s">
        <v>177</v>
      </c>
      <c r="F123" s="32" t="s">
        <v>48</v>
      </c>
      <c r="G123" s="32" t="s">
        <v>35</v>
      </c>
      <c r="H123" s="71" t="s">
        <v>35</v>
      </c>
      <c r="I123" s="71" t="s">
        <v>36</v>
      </c>
      <c r="J123" s="34" t="s">
        <v>65</v>
      </c>
      <c r="K123" s="57" t="s">
        <v>38</v>
      </c>
      <c r="L123" s="72" t="s">
        <v>587</v>
      </c>
      <c r="M123" s="22"/>
      <c r="N123" s="73"/>
      <c r="O123" s="28">
        <v>45308.0</v>
      </c>
      <c r="P123" s="35" t="s">
        <v>568</v>
      </c>
      <c r="Q123" s="12"/>
      <c r="R123" s="12"/>
      <c r="S123" s="12"/>
      <c r="T123" s="52">
        <v>45196.0</v>
      </c>
      <c r="U123" s="52">
        <v>45305.0</v>
      </c>
      <c r="V123" s="52">
        <v>45308.0</v>
      </c>
      <c r="W123" s="30"/>
      <c r="X123" s="30"/>
      <c r="Y123" s="31"/>
      <c r="Z123" s="31"/>
      <c r="AA123" s="31"/>
      <c r="AB123" s="74" t="s">
        <v>600</v>
      </c>
      <c r="AC123" s="74"/>
    </row>
    <row r="124" ht="16.5" customHeight="1">
      <c r="A124" s="48" t="s">
        <v>601</v>
      </c>
      <c r="B124" s="53" t="s">
        <v>388</v>
      </c>
      <c r="C124" s="47">
        <v>0.0</v>
      </c>
      <c r="D124" s="70" t="s">
        <v>602</v>
      </c>
      <c r="E124" s="55" t="s">
        <v>177</v>
      </c>
      <c r="F124" s="32" t="s">
        <v>48</v>
      </c>
      <c r="G124" s="32" t="s">
        <v>35</v>
      </c>
      <c r="H124" s="71" t="s">
        <v>35</v>
      </c>
      <c r="I124" s="71" t="s">
        <v>36</v>
      </c>
      <c r="J124" s="34" t="s">
        <v>65</v>
      </c>
      <c r="K124" s="57" t="s">
        <v>38</v>
      </c>
      <c r="L124" s="72" t="s">
        <v>587</v>
      </c>
      <c r="M124" s="22"/>
      <c r="N124" s="73"/>
      <c r="O124" s="28">
        <v>45308.0</v>
      </c>
      <c r="P124" s="35" t="s">
        <v>568</v>
      </c>
      <c r="Q124" s="12"/>
      <c r="R124" s="12"/>
      <c r="S124" s="12"/>
      <c r="T124" s="52">
        <v>45196.0</v>
      </c>
      <c r="U124" s="52">
        <v>45305.0</v>
      </c>
      <c r="V124" s="52">
        <v>45308.0</v>
      </c>
      <c r="W124" s="30"/>
      <c r="X124" s="30"/>
      <c r="Y124" s="31"/>
      <c r="Z124" s="31"/>
      <c r="AA124" s="31"/>
      <c r="AB124" s="74" t="s">
        <v>603</v>
      </c>
      <c r="AC124" s="74"/>
    </row>
    <row r="125" ht="16.5" customHeight="1">
      <c r="A125" s="48" t="s">
        <v>604</v>
      </c>
      <c r="B125" s="53" t="s">
        <v>388</v>
      </c>
      <c r="C125" s="47">
        <v>0.0</v>
      </c>
      <c r="D125" s="70" t="s">
        <v>605</v>
      </c>
      <c r="E125" s="55" t="s">
        <v>177</v>
      </c>
      <c r="F125" s="32" t="s">
        <v>48</v>
      </c>
      <c r="G125" s="32" t="s">
        <v>35</v>
      </c>
      <c r="H125" s="71" t="s">
        <v>35</v>
      </c>
      <c r="I125" s="71" t="s">
        <v>36</v>
      </c>
      <c r="J125" s="34" t="s">
        <v>65</v>
      </c>
      <c r="K125" s="57" t="s">
        <v>38</v>
      </c>
      <c r="L125" s="72" t="s">
        <v>587</v>
      </c>
      <c r="M125" s="22"/>
      <c r="N125" s="73"/>
      <c r="O125" s="28">
        <v>45308.0</v>
      </c>
      <c r="P125" s="35" t="s">
        <v>568</v>
      </c>
      <c r="Q125" s="12"/>
      <c r="R125" s="12"/>
      <c r="S125" s="12"/>
      <c r="T125" s="52">
        <v>45196.0</v>
      </c>
      <c r="U125" s="52">
        <v>45305.0</v>
      </c>
      <c r="V125" s="52">
        <v>45308.0</v>
      </c>
      <c r="W125" s="30"/>
      <c r="X125" s="30"/>
      <c r="Y125" s="31"/>
      <c r="Z125" s="31"/>
      <c r="AA125" s="31"/>
      <c r="AB125" s="74" t="s">
        <v>606</v>
      </c>
      <c r="AC125" s="74"/>
    </row>
    <row r="126" ht="16.5" customHeight="1">
      <c r="A126" s="48" t="s">
        <v>607</v>
      </c>
      <c r="B126" s="53" t="s">
        <v>388</v>
      </c>
      <c r="C126" s="47">
        <v>0.0</v>
      </c>
      <c r="D126" s="70" t="s">
        <v>608</v>
      </c>
      <c r="E126" s="55" t="s">
        <v>177</v>
      </c>
      <c r="F126" s="32" t="s">
        <v>48</v>
      </c>
      <c r="G126" s="32" t="s">
        <v>35</v>
      </c>
      <c r="H126" s="71" t="s">
        <v>35</v>
      </c>
      <c r="I126" s="71" t="s">
        <v>36</v>
      </c>
      <c r="J126" s="34" t="s">
        <v>65</v>
      </c>
      <c r="K126" s="57" t="s">
        <v>38</v>
      </c>
      <c r="L126" s="72" t="s">
        <v>587</v>
      </c>
      <c r="M126" s="22"/>
      <c r="N126" s="73"/>
      <c r="O126" s="28">
        <v>45308.0</v>
      </c>
      <c r="P126" s="35" t="s">
        <v>568</v>
      </c>
      <c r="Q126" s="12"/>
      <c r="R126" s="12"/>
      <c r="S126" s="12"/>
      <c r="T126" s="52">
        <v>45196.0</v>
      </c>
      <c r="U126" s="52">
        <v>45305.0</v>
      </c>
      <c r="V126" s="52">
        <v>45308.0</v>
      </c>
      <c r="W126" s="30"/>
      <c r="X126" s="30"/>
      <c r="Y126" s="31"/>
      <c r="Z126" s="31"/>
      <c r="AA126" s="31"/>
      <c r="AB126" s="74" t="s">
        <v>609</v>
      </c>
      <c r="AC126" s="74"/>
    </row>
    <row r="127" ht="16.5" customHeight="1">
      <c r="A127" s="48" t="s">
        <v>610</v>
      </c>
      <c r="B127" s="53" t="s">
        <v>388</v>
      </c>
      <c r="C127" s="47">
        <v>0.0</v>
      </c>
      <c r="D127" s="70" t="s">
        <v>611</v>
      </c>
      <c r="E127" s="55" t="s">
        <v>184</v>
      </c>
      <c r="F127" s="32" t="s">
        <v>48</v>
      </c>
      <c r="G127" s="32" t="s">
        <v>35</v>
      </c>
      <c r="H127" s="71" t="s">
        <v>35</v>
      </c>
      <c r="I127" s="71" t="s">
        <v>36</v>
      </c>
      <c r="J127" s="34" t="s">
        <v>65</v>
      </c>
      <c r="K127" s="57" t="s">
        <v>38</v>
      </c>
      <c r="L127" s="72" t="s">
        <v>587</v>
      </c>
      <c r="M127" s="22"/>
      <c r="N127" s="73"/>
      <c r="O127" s="28">
        <v>45308.0</v>
      </c>
      <c r="P127" s="35" t="s">
        <v>568</v>
      </c>
      <c r="Q127" s="12"/>
      <c r="R127" s="12"/>
      <c r="S127" s="12"/>
      <c r="T127" s="52">
        <v>45196.0</v>
      </c>
      <c r="U127" s="52">
        <v>45305.0</v>
      </c>
      <c r="V127" s="52">
        <v>45308.0</v>
      </c>
      <c r="W127" s="30"/>
      <c r="X127" s="30"/>
      <c r="Y127" s="31"/>
      <c r="Z127" s="31"/>
      <c r="AA127" s="31"/>
      <c r="AB127" s="74" t="s">
        <v>612</v>
      </c>
      <c r="AC127" s="74"/>
    </row>
    <row r="128" ht="16.5" customHeight="1">
      <c r="A128" s="48" t="s">
        <v>613</v>
      </c>
      <c r="B128" s="53" t="s">
        <v>388</v>
      </c>
      <c r="C128" s="47">
        <v>0.0</v>
      </c>
      <c r="D128" s="70" t="s">
        <v>614</v>
      </c>
      <c r="E128" s="55" t="s">
        <v>184</v>
      </c>
      <c r="F128" s="32" t="s">
        <v>48</v>
      </c>
      <c r="G128" s="32" t="s">
        <v>35</v>
      </c>
      <c r="H128" s="71" t="s">
        <v>35</v>
      </c>
      <c r="I128" s="71" t="s">
        <v>36</v>
      </c>
      <c r="J128" s="34" t="s">
        <v>65</v>
      </c>
      <c r="K128" s="57" t="s">
        <v>38</v>
      </c>
      <c r="L128" s="72" t="s">
        <v>587</v>
      </c>
      <c r="M128" s="22"/>
      <c r="N128" s="73"/>
      <c r="O128" s="28">
        <v>45310.0</v>
      </c>
      <c r="P128" s="35" t="s">
        <v>568</v>
      </c>
      <c r="Q128" s="12"/>
      <c r="R128" s="12"/>
      <c r="S128" s="12"/>
      <c r="T128" s="52">
        <v>45196.0</v>
      </c>
      <c r="U128" s="52">
        <v>45307.0</v>
      </c>
      <c r="V128" s="52">
        <v>45310.0</v>
      </c>
      <c r="W128" s="30"/>
      <c r="X128" s="30"/>
      <c r="Y128" s="31"/>
      <c r="Z128" s="31"/>
      <c r="AA128" s="31"/>
      <c r="AB128" s="74" t="s">
        <v>615</v>
      </c>
      <c r="AC128" s="74"/>
    </row>
    <row r="129" ht="16.5" customHeight="1">
      <c r="A129" s="48" t="s">
        <v>616</v>
      </c>
      <c r="B129" s="53" t="s">
        <v>388</v>
      </c>
      <c r="C129" s="47">
        <v>34.0</v>
      </c>
      <c r="D129" s="70" t="s">
        <v>617</v>
      </c>
      <c r="E129" s="55" t="s">
        <v>47</v>
      </c>
      <c r="F129" s="32" t="s">
        <v>48</v>
      </c>
      <c r="G129" s="32" t="s">
        <v>35</v>
      </c>
      <c r="H129" s="71" t="s">
        <v>35</v>
      </c>
      <c r="I129" s="71" t="s">
        <v>36</v>
      </c>
      <c r="J129" s="34" t="s">
        <v>65</v>
      </c>
      <c r="K129" s="57" t="s">
        <v>38</v>
      </c>
      <c r="L129" s="72" t="s">
        <v>618</v>
      </c>
      <c r="M129" s="22"/>
      <c r="N129" s="73"/>
      <c r="O129" s="28">
        <v>45352.0</v>
      </c>
      <c r="P129" s="35" t="s">
        <v>619</v>
      </c>
      <c r="Q129" s="12"/>
      <c r="R129" s="12"/>
      <c r="S129" s="12"/>
      <c r="T129" s="52">
        <v>45196.0</v>
      </c>
      <c r="U129" s="52">
        <v>45349.0</v>
      </c>
      <c r="V129" s="52">
        <v>45351.0</v>
      </c>
      <c r="W129" s="30"/>
      <c r="X129" s="30"/>
      <c r="Y129" s="31"/>
      <c r="Z129" s="31"/>
      <c r="AA129" s="31"/>
      <c r="AB129" s="74" t="s">
        <v>620</v>
      </c>
      <c r="AC129" s="74"/>
    </row>
    <row r="130" ht="16.5" customHeight="1">
      <c r="A130" s="48" t="s">
        <v>621</v>
      </c>
      <c r="B130" s="53" t="s">
        <v>388</v>
      </c>
      <c r="C130" s="47">
        <v>34.0</v>
      </c>
      <c r="D130" s="70" t="s">
        <v>622</v>
      </c>
      <c r="E130" s="55" t="s">
        <v>47</v>
      </c>
      <c r="F130" s="32" t="s">
        <v>48</v>
      </c>
      <c r="G130" s="32" t="s">
        <v>35</v>
      </c>
      <c r="H130" s="71" t="s">
        <v>35</v>
      </c>
      <c r="I130" s="71" t="s">
        <v>36</v>
      </c>
      <c r="J130" s="34" t="s">
        <v>65</v>
      </c>
      <c r="K130" s="57" t="s">
        <v>38</v>
      </c>
      <c r="L130" s="72" t="s">
        <v>618</v>
      </c>
      <c r="M130" s="22"/>
      <c r="N130" s="73"/>
      <c r="O130" s="28">
        <v>45352.0</v>
      </c>
      <c r="P130" s="35" t="s">
        <v>619</v>
      </c>
      <c r="Q130" s="12"/>
      <c r="R130" s="12"/>
      <c r="S130" s="12"/>
      <c r="T130" s="52">
        <v>45196.0</v>
      </c>
      <c r="U130" s="52">
        <v>45349.0</v>
      </c>
      <c r="V130" s="52">
        <v>45351.0</v>
      </c>
      <c r="W130" s="30"/>
      <c r="X130" s="30"/>
      <c r="Y130" s="31"/>
      <c r="Z130" s="31"/>
      <c r="AA130" s="31"/>
      <c r="AB130" s="74" t="s">
        <v>623</v>
      </c>
      <c r="AC130" s="74"/>
    </row>
    <row r="131" ht="16.5" customHeight="1">
      <c r="A131" s="48" t="s">
        <v>624</v>
      </c>
      <c r="B131" s="53" t="s">
        <v>388</v>
      </c>
      <c r="C131" s="47">
        <v>34.0</v>
      </c>
      <c r="D131" s="70" t="s">
        <v>625</v>
      </c>
      <c r="E131" s="55" t="s">
        <v>47</v>
      </c>
      <c r="F131" s="32" t="s">
        <v>48</v>
      </c>
      <c r="G131" s="32" t="s">
        <v>35</v>
      </c>
      <c r="H131" s="71" t="s">
        <v>35</v>
      </c>
      <c r="I131" s="71" t="s">
        <v>36</v>
      </c>
      <c r="J131" s="34" t="s">
        <v>65</v>
      </c>
      <c r="K131" s="57" t="s">
        <v>38</v>
      </c>
      <c r="L131" s="72" t="s">
        <v>618</v>
      </c>
      <c r="M131" s="22"/>
      <c r="N131" s="73"/>
      <c r="O131" s="28">
        <v>45352.0</v>
      </c>
      <c r="P131" s="35" t="s">
        <v>619</v>
      </c>
      <c r="Q131" s="12"/>
      <c r="R131" s="12"/>
      <c r="S131" s="12"/>
      <c r="T131" s="52">
        <v>45196.0</v>
      </c>
      <c r="U131" s="52">
        <v>45349.0</v>
      </c>
      <c r="V131" s="52">
        <v>45351.0</v>
      </c>
      <c r="W131" s="30"/>
      <c r="X131" s="30"/>
      <c r="Y131" s="31"/>
      <c r="Z131" s="31"/>
      <c r="AA131" s="31"/>
      <c r="AB131" s="74" t="s">
        <v>626</v>
      </c>
      <c r="AC131" s="74"/>
    </row>
    <row r="132" ht="16.5" customHeight="1">
      <c r="A132" s="48" t="s">
        <v>627</v>
      </c>
      <c r="B132" s="53" t="s">
        <v>388</v>
      </c>
      <c r="C132" s="47">
        <v>34.0</v>
      </c>
      <c r="D132" s="70" t="s">
        <v>628</v>
      </c>
      <c r="E132" s="55" t="s">
        <v>47</v>
      </c>
      <c r="F132" s="32" t="s">
        <v>48</v>
      </c>
      <c r="G132" s="32" t="s">
        <v>35</v>
      </c>
      <c r="H132" s="71" t="s">
        <v>35</v>
      </c>
      <c r="I132" s="71" t="s">
        <v>36</v>
      </c>
      <c r="J132" s="34" t="s">
        <v>65</v>
      </c>
      <c r="K132" s="57" t="s">
        <v>38</v>
      </c>
      <c r="L132" s="72" t="s">
        <v>618</v>
      </c>
      <c r="M132" s="22"/>
      <c r="N132" s="73"/>
      <c r="O132" s="28">
        <v>45352.0</v>
      </c>
      <c r="P132" s="35" t="s">
        <v>619</v>
      </c>
      <c r="Q132" s="12"/>
      <c r="R132" s="12"/>
      <c r="S132" s="12"/>
      <c r="T132" s="52">
        <v>45196.0</v>
      </c>
      <c r="U132" s="52">
        <v>45349.0</v>
      </c>
      <c r="V132" s="52">
        <v>45351.0</v>
      </c>
      <c r="W132" s="30"/>
      <c r="X132" s="30"/>
      <c r="Y132" s="31"/>
      <c r="Z132" s="31"/>
      <c r="AA132" s="31"/>
      <c r="AB132" s="74" t="s">
        <v>629</v>
      </c>
      <c r="AC132" s="74"/>
    </row>
    <row r="133" ht="16.5" customHeight="1">
      <c r="A133" s="48" t="s">
        <v>630</v>
      </c>
      <c r="B133" s="53" t="s">
        <v>631</v>
      </c>
      <c r="C133" s="47">
        <v>0.0</v>
      </c>
      <c r="D133" s="70" t="s">
        <v>632</v>
      </c>
      <c r="E133" s="55" t="s">
        <v>171</v>
      </c>
      <c r="F133" s="32" t="s">
        <v>48</v>
      </c>
      <c r="G133" s="32" t="s">
        <v>35</v>
      </c>
      <c r="H133" s="71" t="s">
        <v>35</v>
      </c>
      <c r="I133" s="71" t="s">
        <v>36</v>
      </c>
      <c r="J133" s="34" t="s">
        <v>65</v>
      </c>
      <c r="K133" s="57" t="s">
        <v>38</v>
      </c>
      <c r="L133" s="72" t="s">
        <v>633</v>
      </c>
      <c r="M133" s="22"/>
      <c r="N133" s="73"/>
      <c r="O133" s="28">
        <v>45310.0</v>
      </c>
      <c r="P133" s="35" t="s">
        <v>634</v>
      </c>
      <c r="Q133" s="12"/>
      <c r="R133" s="12"/>
      <c r="S133" s="12"/>
      <c r="T133" s="52">
        <v>45196.0</v>
      </c>
      <c r="U133" s="52">
        <v>45307.0</v>
      </c>
      <c r="V133" s="52">
        <v>45310.0</v>
      </c>
      <c r="W133" s="30"/>
      <c r="X133" s="30"/>
      <c r="Y133" s="31"/>
      <c r="Z133" s="31"/>
      <c r="AA133" s="31"/>
      <c r="AB133" s="74" t="s">
        <v>635</v>
      </c>
      <c r="AC133" s="74"/>
    </row>
    <row r="134" ht="16.5" customHeight="1">
      <c r="A134" s="48" t="s">
        <v>636</v>
      </c>
      <c r="B134" s="53" t="s">
        <v>631</v>
      </c>
      <c r="C134" s="47">
        <v>0.0</v>
      </c>
      <c r="D134" s="70" t="s">
        <v>637</v>
      </c>
      <c r="E134" s="55" t="s">
        <v>171</v>
      </c>
      <c r="F134" s="32" t="s">
        <v>48</v>
      </c>
      <c r="G134" s="32" t="s">
        <v>35</v>
      </c>
      <c r="H134" s="71" t="s">
        <v>35</v>
      </c>
      <c r="I134" s="71" t="s">
        <v>36</v>
      </c>
      <c r="J134" s="34" t="s">
        <v>65</v>
      </c>
      <c r="K134" s="57" t="s">
        <v>38</v>
      </c>
      <c r="L134" s="72" t="s">
        <v>633</v>
      </c>
      <c r="M134" s="27"/>
      <c r="N134" s="73"/>
      <c r="O134" s="28">
        <v>45310.0</v>
      </c>
      <c r="P134" s="26"/>
      <c r="Q134" s="12"/>
      <c r="R134" s="12"/>
      <c r="S134" s="12"/>
      <c r="T134" s="52">
        <v>45196.0</v>
      </c>
      <c r="U134" s="52">
        <v>45307.0</v>
      </c>
      <c r="V134" s="52">
        <v>45310.0</v>
      </c>
      <c r="W134" s="30"/>
      <c r="X134" s="30"/>
      <c r="Y134" s="31"/>
      <c r="Z134" s="31"/>
      <c r="AA134" s="31"/>
      <c r="AB134" s="74" t="s">
        <v>638</v>
      </c>
      <c r="AC134" s="74"/>
    </row>
    <row r="135" ht="16.5" customHeight="1">
      <c r="A135" s="48" t="s">
        <v>639</v>
      </c>
      <c r="B135" s="53" t="s">
        <v>631</v>
      </c>
      <c r="C135" s="47">
        <v>0.0</v>
      </c>
      <c r="D135" s="70" t="s">
        <v>640</v>
      </c>
      <c r="E135" s="55" t="s">
        <v>177</v>
      </c>
      <c r="F135" s="32" t="s">
        <v>48</v>
      </c>
      <c r="G135" s="32" t="s">
        <v>35</v>
      </c>
      <c r="H135" s="71" t="s">
        <v>35</v>
      </c>
      <c r="I135" s="71" t="s">
        <v>36</v>
      </c>
      <c r="J135" s="34" t="s">
        <v>65</v>
      </c>
      <c r="K135" s="57" t="s">
        <v>38</v>
      </c>
      <c r="L135" s="72" t="s">
        <v>633</v>
      </c>
      <c r="M135" s="27"/>
      <c r="N135" s="73"/>
      <c r="O135" s="28">
        <v>45310.0</v>
      </c>
      <c r="P135" s="26"/>
      <c r="Q135" s="12"/>
      <c r="R135" s="12"/>
      <c r="S135" s="12"/>
      <c r="T135" s="52">
        <v>45196.0</v>
      </c>
      <c r="U135" s="52">
        <v>45307.0</v>
      </c>
      <c r="V135" s="52">
        <v>45310.0</v>
      </c>
      <c r="W135" s="30"/>
      <c r="X135" s="30"/>
      <c r="Y135" s="31"/>
      <c r="Z135" s="31"/>
      <c r="AA135" s="31"/>
      <c r="AB135" s="74" t="s">
        <v>641</v>
      </c>
      <c r="AC135" s="74"/>
    </row>
    <row r="136" ht="16.5" customHeight="1">
      <c r="A136" s="48" t="s">
        <v>642</v>
      </c>
      <c r="B136" s="53" t="s">
        <v>631</v>
      </c>
      <c r="C136" s="47">
        <v>0.0</v>
      </c>
      <c r="D136" s="70" t="s">
        <v>643</v>
      </c>
      <c r="E136" s="55" t="s">
        <v>177</v>
      </c>
      <c r="F136" s="32" t="s">
        <v>48</v>
      </c>
      <c r="G136" s="32" t="s">
        <v>35</v>
      </c>
      <c r="H136" s="71" t="s">
        <v>35</v>
      </c>
      <c r="I136" s="71" t="s">
        <v>36</v>
      </c>
      <c r="J136" s="34" t="s">
        <v>65</v>
      </c>
      <c r="K136" s="57" t="s">
        <v>38</v>
      </c>
      <c r="L136" s="72" t="s">
        <v>633</v>
      </c>
      <c r="M136" s="27"/>
      <c r="N136" s="73"/>
      <c r="O136" s="28">
        <v>45310.0</v>
      </c>
      <c r="P136" s="26"/>
      <c r="Q136" s="12"/>
      <c r="R136" s="12"/>
      <c r="S136" s="12"/>
      <c r="T136" s="52">
        <v>45196.0</v>
      </c>
      <c r="U136" s="52">
        <v>45307.0</v>
      </c>
      <c r="V136" s="52">
        <v>45310.0</v>
      </c>
      <c r="W136" s="30"/>
      <c r="X136" s="30"/>
      <c r="Y136" s="31"/>
      <c r="Z136" s="31"/>
      <c r="AA136" s="31"/>
      <c r="AB136" s="74" t="s">
        <v>644</v>
      </c>
      <c r="AC136" s="74"/>
    </row>
    <row r="137" ht="16.5" customHeight="1">
      <c r="A137" s="48" t="s">
        <v>645</v>
      </c>
      <c r="B137" s="53" t="s">
        <v>631</v>
      </c>
      <c r="C137" s="47">
        <v>0.0</v>
      </c>
      <c r="D137" s="70" t="s">
        <v>646</v>
      </c>
      <c r="E137" s="55" t="s">
        <v>177</v>
      </c>
      <c r="F137" s="32" t="s">
        <v>48</v>
      </c>
      <c r="G137" s="32" t="s">
        <v>35</v>
      </c>
      <c r="H137" s="71" t="s">
        <v>35</v>
      </c>
      <c r="I137" s="71" t="s">
        <v>36</v>
      </c>
      <c r="J137" s="34" t="s">
        <v>65</v>
      </c>
      <c r="K137" s="57" t="s">
        <v>38</v>
      </c>
      <c r="L137" s="72" t="s">
        <v>633</v>
      </c>
      <c r="M137" s="27"/>
      <c r="N137" s="73"/>
      <c r="O137" s="28">
        <v>45310.0</v>
      </c>
      <c r="P137" s="26"/>
      <c r="Q137" s="12"/>
      <c r="R137" s="12"/>
      <c r="S137" s="12"/>
      <c r="T137" s="52">
        <v>45196.0</v>
      </c>
      <c r="U137" s="52">
        <v>45307.0</v>
      </c>
      <c r="V137" s="52">
        <v>45310.0</v>
      </c>
      <c r="W137" s="30"/>
      <c r="X137" s="30"/>
      <c r="Y137" s="31"/>
      <c r="Z137" s="31"/>
      <c r="AA137" s="31"/>
      <c r="AB137" s="74" t="s">
        <v>647</v>
      </c>
      <c r="AC137" s="74"/>
    </row>
    <row r="138" ht="16.5" customHeight="1">
      <c r="A138" s="48" t="s">
        <v>648</v>
      </c>
      <c r="B138" s="53" t="s">
        <v>631</v>
      </c>
      <c r="C138" s="47">
        <v>0.0</v>
      </c>
      <c r="D138" s="70" t="s">
        <v>649</v>
      </c>
      <c r="E138" s="55" t="s">
        <v>177</v>
      </c>
      <c r="F138" s="32" t="s">
        <v>48</v>
      </c>
      <c r="G138" s="32" t="s">
        <v>35</v>
      </c>
      <c r="H138" s="71" t="s">
        <v>35</v>
      </c>
      <c r="I138" s="71" t="s">
        <v>36</v>
      </c>
      <c r="J138" s="34" t="s">
        <v>65</v>
      </c>
      <c r="K138" s="57" t="s">
        <v>38</v>
      </c>
      <c r="L138" s="72" t="s">
        <v>633</v>
      </c>
      <c r="M138" s="27"/>
      <c r="N138" s="73"/>
      <c r="O138" s="28">
        <v>45310.0</v>
      </c>
      <c r="P138" s="26"/>
      <c r="Q138" s="12"/>
      <c r="R138" s="12"/>
      <c r="S138" s="12"/>
      <c r="T138" s="52">
        <v>45196.0</v>
      </c>
      <c r="U138" s="52">
        <v>45307.0</v>
      </c>
      <c r="V138" s="52">
        <v>45310.0</v>
      </c>
      <c r="W138" s="30"/>
      <c r="X138" s="30"/>
      <c r="Y138" s="31"/>
      <c r="Z138" s="31"/>
      <c r="AA138" s="31"/>
      <c r="AB138" s="74" t="s">
        <v>650</v>
      </c>
      <c r="AC138" s="74"/>
    </row>
    <row r="139" ht="16.5" customHeight="1">
      <c r="A139" s="48" t="s">
        <v>651</v>
      </c>
      <c r="B139" s="53" t="s">
        <v>631</v>
      </c>
      <c r="C139" s="47">
        <v>0.0</v>
      </c>
      <c r="D139" s="70" t="s">
        <v>652</v>
      </c>
      <c r="E139" s="55" t="s">
        <v>184</v>
      </c>
      <c r="F139" s="32" t="s">
        <v>48</v>
      </c>
      <c r="G139" s="32" t="s">
        <v>35</v>
      </c>
      <c r="H139" s="71" t="s">
        <v>35</v>
      </c>
      <c r="I139" s="71" t="s">
        <v>36</v>
      </c>
      <c r="J139" s="34" t="s">
        <v>65</v>
      </c>
      <c r="K139" s="57" t="s">
        <v>38</v>
      </c>
      <c r="L139" s="72" t="s">
        <v>633</v>
      </c>
      <c r="M139" s="27"/>
      <c r="N139" s="73"/>
      <c r="O139" s="28">
        <v>45310.0</v>
      </c>
      <c r="P139" s="26"/>
      <c r="Q139" s="12"/>
      <c r="R139" s="12"/>
      <c r="S139" s="12"/>
      <c r="T139" s="52">
        <v>45196.0</v>
      </c>
      <c r="U139" s="52">
        <v>45307.0</v>
      </c>
      <c r="V139" s="52">
        <v>45310.0</v>
      </c>
      <c r="W139" s="30"/>
      <c r="X139" s="30"/>
      <c r="Y139" s="31"/>
      <c r="Z139" s="31"/>
      <c r="AA139" s="31"/>
      <c r="AB139" s="74" t="s">
        <v>653</v>
      </c>
      <c r="AC139" s="74"/>
    </row>
    <row r="140" ht="16.5" customHeight="1">
      <c r="A140" s="48" t="s">
        <v>654</v>
      </c>
      <c r="B140" s="53" t="s">
        <v>631</v>
      </c>
      <c r="C140" s="47">
        <v>0.0</v>
      </c>
      <c r="D140" s="70" t="s">
        <v>655</v>
      </c>
      <c r="E140" s="55" t="s">
        <v>184</v>
      </c>
      <c r="F140" s="32" t="s">
        <v>48</v>
      </c>
      <c r="G140" s="32" t="s">
        <v>35</v>
      </c>
      <c r="H140" s="71" t="s">
        <v>35</v>
      </c>
      <c r="I140" s="71" t="s">
        <v>36</v>
      </c>
      <c r="J140" s="34" t="s">
        <v>65</v>
      </c>
      <c r="K140" s="57" t="s">
        <v>38</v>
      </c>
      <c r="L140" s="72" t="s">
        <v>633</v>
      </c>
      <c r="M140" s="27"/>
      <c r="N140" s="73"/>
      <c r="O140" s="28">
        <v>45310.0</v>
      </c>
      <c r="P140" s="26"/>
      <c r="Q140" s="12"/>
      <c r="R140" s="12"/>
      <c r="S140" s="12"/>
      <c r="T140" s="52">
        <v>45196.0</v>
      </c>
      <c r="U140" s="52">
        <v>45307.0</v>
      </c>
      <c r="V140" s="52">
        <v>45310.0</v>
      </c>
      <c r="W140" s="30"/>
      <c r="X140" s="30"/>
      <c r="Y140" s="31"/>
      <c r="Z140" s="31"/>
      <c r="AA140" s="31"/>
      <c r="AB140" s="74" t="s">
        <v>656</v>
      </c>
      <c r="AC140" s="74"/>
    </row>
    <row r="141" ht="16.5" customHeight="1">
      <c r="A141" s="48" t="s">
        <v>657</v>
      </c>
      <c r="B141" s="53" t="s">
        <v>631</v>
      </c>
      <c r="C141" s="47">
        <v>0.0</v>
      </c>
      <c r="D141" s="70" t="s">
        <v>658</v>
      </c>
      <c r="E141" s="55" t="s">
        <v>184</v>
      </c>
      <c r="F141" s="32" t="s">
        <v>48</v>
      </c>
      <c r="G141" s="32" t="s">
        <v>35</v>
      </c>
      <c r="H141" s="71" t="s">
        <v>35</v>
      </c>
      <c r="I141" s="71" t="s">
        <v>36</v>
      </c>
      <c r="J141" s="34" t="s">
        <v>65</v>
      </c>
      <c r="K141" s="57" t="s">
        <v>38</v>
      </c>
      <c r="L141" s="72" t="s">
        <v>633</v>
      </c>
      <c r="M141" s="27"/>
      <c r="N141" s="73"/>
      <c r="O141" s="28">
        <v>45310.0</v>
      </c>
      <c r="P141" s="26"/>
      <c r="Q141" s="12"/>
      <c r="R141" s="12"/>
      <c r="S141" s="12"/>
      <c r="T141" s="52">
        <v>45196.0</v>
      </c>
      <c r="U141" s="52">
        <v>45307.0</v>
      </c>
      <c r="V141" s="52">
        <v>45310.0</v>
      </c>
      <c r="W141" s="30"/>
      <c r="X141" s="30"/>
      <c r="Y141" s="31"/>
      <c r="Z141" s="31"/>
      <c r="AA141" s="31"/>
      <c r="AB141" s="74" t="s">
        <v>659</v>
      </c>
      <c r="AC141" s="74"/>
    </row>
    <row r="142" ht="16.5" customHeight="1">
      <c r="A142" s="48" t="s">
        <v>660</v>
      </c>
      <c r="B142" s="53" t="s">
        <v>631</v>
      </c>
      <c r="C142" s="47">
        <v>0.0</v>
      </c>
      <c r="D142" s="70" t="s">
        <v>661</v>
      </c>
      <c r="E142" s="55" t="s">
        <v>184</v>
      </c>
      <c r="F142" s="32" t="s">
        <v>48</v>
      </c>
      <c r="G142" s="32" t="s">
        <v>35</v>
      </c>
      <c r="H142" s="71" t="s">
        <v>35</v>
      </c>
      <c r="I142" s="71" t="s">
        <v>36</v>
      </c>
      <c r="J142" s="34" t="s">
        <v>65</v>
      </c>
      <c r="K142" s="57" t="s">
        <v>38</v>
      </c>
      <c r="L142" s="72" t="s">
        <v>633</v>
      </c>
      <c r="M142" s="27"/>
      <c r="N142" s="73"/>
      <c r="O142" s="28">
        <v>45310.0</v>
      </c>
      <c r="P142" s="26"/>
      <c r="Q142" s="12"/>
      <c r="R142" s="12"/>
      <c r="S142" s="12"/>
      <c r="T142" s="52">
        <v>45196.0</v>
      </c>
      <c r="U142" s="52">
        <v>45307.0</v>
      </c>
      <c r="V142" s="52">
        <v>45310.0</v>
      </c>
      <c r="W142" s="30"/>
      <c r="X142" s="30"/>
      <c r="Y142" s="31"/>
      <c r="Z142" s="31"/>
      <c r="AA142" s="31"/>
      <c r="AB142" s="74" t="s">
        <v>662</v>
      </c>
      <c r="AC142" s="74"/>
    </row>
    <row r="143" ht="16.5" customHeight="1">
      <c r="A143" s="48" t="s">
        <v>663</v>
      </c>
      <c r="B143" s="53" t="s">
        <v>631</v>
      </c>
      <c r="C143" s="47">
        <v>0.0</v>
      </c>
      <c r="D143" s="70"/>
      <c r="E143" s="55" t="s">
        <v>664</v>
      </c>
      <c r="F143" s="32" t="s">
        <v>48</v>
      </c>
      <c r="G143" s="32" t="s">
        <v>35</v>
      </c>
      <c r="H143" s="71" t="s">
        <v>35</v>
      </c>
      <c r="I143" s="71" t="s">
        <v>665</v>
      </c>
      <c r="J143" s="34" t="s">
        <v>65</v>
      </c>
      <c r="K143" s="57" t="s">
        <v>38</v>
      </c>
      <c r="L143" s="72" t="s">
        <v>633</v>
      </c>
      <c r="M143" s="22"/>
      <c r="N143" s="73"/>
      <c r="O143" s="28">
        <v>45313.0</v>
      </c>
      <c r="P143" s="35" t="s">
        <v>666</v>
      </c>
      <c r="Q143" s="12"/>
      <c r="R143" s="12"/>
      <c r="S143" s="12"/>
      <c r="T143" s="52">
        <v>45196.0</v>
      </c>
      <c r="U143" s="52">
        <v>45310.0</v>
      </c>
      <c r="V143" s="52">
        <v>45313.0</v>
      </c>
      <c r="W143" s="30"/>
      <c r="X143" s="30"/>
      <c r="Y143" s="31"/>
      <c r="Z143" s="31"/>
      <c r="AA143" s="31"/>
      <c r="AB143" s="74" t="s">
        <v>667</v>
      </c>
      <c r="AC143" s="74"/>
    </row>
    <row r="144" ht="16.5" customHeight="1">
      <c r="A144" s="48" t="s">
        <v>668</v>
      </c>
      <c r="B144" s="53" t="s">
        <v>669</v>
      </c>
      <c r="C144" s="47">
        <v>0.0</v>
      </c>
      <c r="D144" s="70" t="s">
        <v>670</v>
      </c>
      <c r="E144" s="55" t="s">
        <v>251</v>
      </c>
      <c r="F144" s="32" t="s">
        <v>33</v>
      </c>
      <c r="G144" s="32" t="s">
        <v>35</v>
      </c>
      <c r="H144" s="71" t="s">
        <v>35</v>
      </c>
      <c r="I144" s="71" t="s">
        <v>36</v>
      </c>
      <c r="J144" s="34" t="s">
        <v>65</v>
      </c>
      <c r="K144" s="57" t="s">
        <v>38</v>
      </c>
      <c r="L144" s="72">
        <v>9745.0</v>
      </c>
      <c r="M144" s="27"/>
      <c r="N144" s="73"/>
      <c r="O144" s="28">
        <v>45202.0</v>
      </c>
      <c r="P144" s="26"/>
      <c r="Q144" s="12"/>
      <c r="R144" s="12"/>
      <c r="S144" s="12"/>
      <c r="T144" s="52">
        <v>45195.0</v>
      </c>
      <c r="U144" s="52">
        <v>45195.0</v>
      </c>
      <c r="V144" s="52">
        <v>45197.0</v>
      </c>
      <c r="W144" s="30"/>
      <c r="X144" s="30"/>
      <c r="Y144" s="31"/>
      <c r="Z144" s="31"/>
      <c r="AA144" s="31"/>
      <c r="AB144" s="74" t="s">
        <v>671</v>
      </c>
      <c r="AC144" s="74"/>
    </row>
    <row r="145" ht="16.5" customHeight="1">
      <c r="A145" s="48" t="s">
        <v>672</v>
      </c>
      <c r="B145" s="53" t="s">
        <v>669</v>
      </c>
      <c r="C145" s="47">
        <v>0.0</v>
      </c>
      <c r="D145" s="70" t="s">
        <v>673</v>
      </c>
      <c r="E145" s="55" t="s">
        <v>165</v>
      </c>
      <c r="F145" s="32" t="s">
        <v>33</v>
      </c>
      <c r="G145" s="32" t="s">
        <v>35</v>
      </c>
      <c r="H145" s="71" t="s">
        <v>35</v>
      </c>
      <c r="I145" s="71" t="s">
        <v>36</v>
      </c>
      <c r="J145" s="34" t="s">
        <v>65</v>
      </c>
      <c r="K145" s="57" t="s">
        <v>38</v>
      </c>
      <c r="L145" s="72">
        <v>9745.0</v>
      </c>
      <c r="M145" s="27"/>
      <c r="N145" s="73"/>
      <c r="O145" s="28">
        <v>45202.0</v>
      </c>
      <c r="P145" s="26"/>
      <c r="Q145" s="12"/>
      <c r="R145" s="12"/>
      <c r="S145" s="12"/>
      <c r="T145" s="52">
        <v>45195.0</v>
      </c>
      <c r="U145" s="52">
        <v>45195.0</v>
      </c>
      <c r="V145" s="52">
        <v>45196.0</v>
      </c>
      <c r="W145" s="30"/>
      <c r="X145" s="30"/>
      <c r="Y145" s="31"/>
      <c r="Z145" s="31"/>
      <c r="AA145" s="31"/>
      <c r="AB145" s="74" t="s">
        <v>674</v>
      </c>
      <c r="AC145" s="74"/>
    </row>
    <row r="146" ht="16.5" customHeight="1">
      <c r="A146" s="48" t="s">
        <v>675</v>
      </c>
      <c r="B146" s="53" t="s">
        <v>676</v>
      </c>
      <c r="C146" s="47">
        <v>0.0</v>
      </c>
      <c r="D146" s="70" t="s">
        <v>677</v>
      </c>
      <c r="E146" s="55" t="s">
        <v>243</v>
      </c>
      <c r="F146" s="32" t="s">
        <v>244</v>
      </c>
      <c r="G146" s="32" t="s">
        <v>35</v>
      </c>
      <c r="H146" s="71" t="s">
        <v>35</v>
      </c>
      <c r="I146" s="71" t="s">
        <v>36</v>
      </c>
      <c r="J146" s="34" t="s">
        <v>65</v>
      </c>
      <c r="K146" s="57" t="s">
        <v>38</v>
      </c>
      <c r="L146" s="72">
        <v>9807.0</v>
      </c>
      <c r="M146" s="27"/>
      <c r="N146" s="73"/>
      <c r="O146" s="28">
        <v>45217.0</v>
      </c>
      <c r="P146" s="26"/>
      <c r="Q146" s="12"/>
      <c r="R146" s="12"/>
      <c r="S146" s="12"/>
      <c r="T146" s="52">
        <v>45194.0</v>
      </c>
      <c r="U146" s="52">
        <v>45194.0</v>
      </c>
      <c r="V146" s="52">
        <v>45196.0</v>
      </c>
      <c r="W146" s="30"/>
      <c r="X146" s="30"/>
      <c r="Y146" s="31"/>
      <c r="Z146" s="31"/>
      <c r="AA146" s="31"/>
      <c r="AB146" s="74" t="s">
        <v>678</v>
      </c>
      <c r="AC146" s="74"/>
    </row>
    <row r="147" ht="16.5" customHeight="1">
      <c r="A147" s="48" t="s">
        <v>679</v>
      </c>
      <c r="B147" s="53" t="s">
        <v>676</v>
      </c>
      <c r="C147" s="47">
        <v>0.0</v>
      </c>
      <c r="D147" s="70" t="s">
        <v>680</v>
      </c>
      <c r="E147" s="55" t="s">
        <v>681</v>
      </c>
      <c r="F147" s="32" t="s">
        <v>244</v>
      </c>
      <c r="G147" s="32" t="s">
        <v>35</v>
      </c>
      <c r="H147" s="71" t="s">
        <v>35</v>
      </c>
      <c r="I147" s="71" t="s">
        <v>36</v>
      </c>
      <c r="J147" s="34" t="s">
        <v>65</v>
      </c>
      <c r="K147" s="57" t="s">
        <v>38</v>
      </c>
      <c r="L147" s="72">
        <v>9807.0</v>
      </c>
      <c r="M147" s="27"/>
      <c r="N147" s="73"/>
      <c r="O147" s="28">
        <v>45217.0</v>
      </c>
      <c r="P147" s="26"/>
      <c r="Q147" s="12"/>
      <c r="R147" s="12"/>
      <c r="S147" s="12"/>
      <c r="T147" s="52">
        <v>45194.0</v>
      </c>
      <c r="U147" s="52">
        <v>45194.0</v>
      </c>
      <c r="V147" s="52">
        <v>45195.0</v>
      </c>
      <c r="W147" s="30"/>
      <c r="X147" s="30"/>
      <c r="Y147" s="31"/>
      <c r="Z147" s="31"/>
      <c r="AA147" s="31"/>
      <c r="AB147" s="74" t="s">
        <v>682</v>
      </c>
      <c r="AC147" s="74"/>
    </row>
    <row r="148" ht="16.5" customHeight="1">
      <c r="A148" s="48" t="s">
        <v>683</v>
      </c>
      <c r="B148" s="53" t="s">
        <v>676</v>
      </c>
      <c r="C148" s="47">
        <v>0.0</v>
      </c>
      <c r="D148" s="70" t="s">
        <v>684</v>
      </c>
      <c r="E148" s="55" t="s">
        <v>217</v>
      </c>
      <c r="F148" s="32" t="s">
        <v>33</v>
      </c>
      <c r="G148" s="32" t="s">
        <v>35</v>
      </c>
      <c r="H148" s="71" t="s">
        <v>35</v>
      </c>
      <c r="I148" s="71" t="s">
        <v>36</v>
      </c>
      <c r="J148" s="34" t="s">
        <v>65</v>
      </c>
      <c r="K148" s="57" t="s">
        <v>38</v>
      </c>
      <c r="L148" s="72">
        <v>9864.0</v>
      </c>
      <c r="M148" s="27"/>
      <c r="N148" s="76"/>
      <c r="O148" s="28">
        <v>45223.0</v>
      </c>
      <c r="P148" s="26"/>
      <c r="Q148" s="12"/>
      <c r="R148" s="12"/>
      <c r="S148" s="12"/>
      <c r="T148" s="52">
        <v>45194.0</v>
      </c>
      <c r="U148" s="52">
        <v>45220.0</v>
      </c>
      <c r="V148" s="52">
        <v>45223.0</v>
      </c>
      <c r="W148" s="30"/>
      <c r="X148" s="30"/>
      <c r="Y148" s="31"/>
      <c r="Z148" s="31"/>
      <c r="AA148" s="31"/>
      <c r="AB148" s="74" t="s">
        <v>685</v>
      </c>
      <c r="AC148" s="74"/>
    </row>
    <row r="149" ht="16.5" customHeight="1">
      <c r="A149" s="48" t="s">
        <v>686</v>
      </c>
      <c r="B149" s="53" t="s">
        <v>687</v>
      </c>
      <c r="C149" s="47">
        <v>0.0</v>
      </c>
      <c r="D149" s="70" t="s">
        <v>688</v>
      </c>
      <c r="E149" s="55" t="s">
        <v>213</v>
      </c>
      <c r="F149" s="32" t="s">
        <v>33</v>
      </c>
      <c r="G149" s="32" t="s">
        <v>35</v>
      </c>
      <c r="H149" s="71" t="s">
        <v>35</v>
      </c>
      <c r="I149" s="71" t="s">
        <v>36</v>
      </c>
      <c r="J149" s="34" t="s">
        <v>92</v>
      </c>
      <c r="K149" s="57" t="s">
        <v>38</v>
      </c>
      <c r="L149" s="72" t="s">
        <v>689</v>
      </c>
      <c r="M149" s="22"/>
      <c r="N149" s="73"/>
      <c r="O149" s="28">
        <v>45201.0</v>
      </c>
      <c r="P149" s="35" t="s">
        <v>690</v>
      </c>
      <c r="Q149" s="12"/>
      <c r="R149" s="12"/>
      <c r="S149" s="12"/>
      <c r="T149" s="52">
        <v>45195.0</v>
      </c>
      <c r="U149" s="52">
        <v>45195.0</v>
      </c>
      <c r="V149" s="52">
        <v>45201.0</v>
      </c>
      <c r="W149" s="30"/>
      <c r="X149" s="30"/>
      <c r="Y149" s="31"/>
      <c r="Z149" s="31"/>
      <c r="AA149" s="31"/>
      <c r="AB149" s="74" t="s">
        <v>691</v>
      </c>
      <c r="AC149" s="74"/>
    </row>
    <row r="150" ht="16.5" customHeight="1">
      <c r="A150" s="48" t="s">
        <v>692</v>
      </c>
      <c r="B150" s="53" t="s">
        <v>693</v>
      </c>
      <c r="C150" s="47">
        <v>0.0</v>
      </c>
      <c r="D150" s="70" t="s">
        <v>694</v>
      </c>
      <c r="E150" s="55" t="s">
        <v>289</v>
      </c>
      <c r="F150" s="32" t="s">
        <v>33</v>
      </c>
      <c r="G150" s="32" t="s">
        <v>35</v>
      </c>
      <c r="H150" s="71" t="s">
        <v>35</v>
      </c>
      <c r="I150" s="71" t="s">
        <v>36</v>
      </c>
      <c r="J150" s="34" t="s">
        <v>339</v>
      </c>
      <c r="K150" s="57" t="s">
        <v>38</v>
      </c>
      <c r="L150" s="72">
        <v>9835.0</v>
      </c>
      <c r="M150" s="27"/>
      <c r="N150" s="76"/>
      <c r="O150" s="28">
        <v>45217.0</v>
      </c>
      <c r="P150" s="26"/>
      <c r="Q150" s="12"/>
      <c r="R150" s="12"/>
      <c r="S150" s="12"/>
      <c r="T150" s="52">
        <v>45194.0</v>
      </c>
      <c r="U150" s="52">
        <v>45194.0</v>
      </c>
      <c r="V150" s="52">
        <v>45215.0</v>
      </c>
      <c r="W150" s="30"/>
      <c r="X150" s="30"/>
      <c r="Y150" s="31"/>
      <c r="Z150" s="31"/>
      <c r="AA150" s="31"/>
      <c r="AB150" s="74" t="s">
        <v>695</v>
      </c>
      <c r="AC150" s="74"/>
    </row>
    <row r="151" ht="16.5" customHeight="1">
      <c r="A151" s="48" t="s">
        <v>696</v>
      </c>
      <c r="B151" s="53" t="s">
        <v>693</v>
      </c>
      <c r="C151" s="47">
        <v>0.0</v>
      </c>
      <c r="D151" s="70" t="s">
        <v>697</v>
      </c>
      <c r="E151" s="55" t="s">
        <v>289</v>
      </c>
      <c r="F151" s="32" t="s">
        <v>33</v>
      </c>
      <c r="G151" s="32" t="s">
        <v>35</v>
      </c>
      <c r="H151" s="71" t="s">
        <v>35</v>
      </c>
      <c r="I151" s="71" t="s">
        <v>36</v>
      </c>
      <c r="J151" s="34" t="s">
        <v>339</v>
      </c>
      <c r="K151" s="57" t="s">
        <v>38</v>
      </c>
      <c r="L151" s="72">
        <v>9835.0</v>
      </c>
      <c r="M151" s="27"/>
      <c r="N151" s="76"/>
      <c r="O151" s="28">
        <v>45217.0</v>
      </c>
      <c r="P151" s="26"/>
      <c r="Q151" s="12"/>
      <c r="R151" s="12"/>
      <c r="S151" s="12"/>
      <c r="T151" s="52">
        <v>45194.0</v>
      </c>
      <c r="U151" s="52">
        <v>45194.0</v>
      </c>
      <c r="V151" s="52">
        <v>45215.0</v>
      </c>
      <c r="W151" s="30"/>
      <c r="X151" s="30"/>
      <c r="Y151" s="31"/>
      <c r="Z151" s="31"/>
      <c r="AA151" s="31"/>
      <c r="AB151" s="74" t="s">
        <v>698</v>
      </c>
      <c r="AC151" s="74"/>
    </row>
    <row r="152" ht="16.5" customHeight="1">
      <c r="A152" s="48" t="s">
        <v>699</v>
      </c>
      <c r="B152" s="53" t="s">
        <v>669</v>
      </c>
      <c r="C152" s="47">
        <v>0.0</v>
      </c>
      <c r="D152" s="70" t="s">
        <v>700</v>
      </c>
      <c r="E152" s="55" t="s">
        <v>701</v>
      </c>
      <c r="F152" s="32" t="s">
        <v>33</v>
      </c>
      <c r="G152" s="32" t="s">
        <v>35</v>
      </c>
      <c r="H152" s="71" t="s">
        <v>35</v>
      </c>
      <c r="I152" s="71" t="s">
        <v>36</v>
      </c>
      <c r="J152" s="34" t="s">
        <v>65</v>
      </c>
      <c r="K152" s="57" t="s">
        <v>38</v>
      </c>
      <c r="L152" s="72">
        <v>9733.0</v>
      </c>
      <c r="M152" s="27"/>
      <c r="N152" s="73"/>
      <c r="O152" s="28">
        <v>45202.0</v>
      </c>
      <c r="P152" s="26"/>
      <c r="Q152" s="12"/>
      <c r="R152" s="12"/>
      <c r="S152" s="12"/>
      <c r="T152" s="52">
        <v>45195.0</v>
      </c>
      <c r="U152" s="52">
        <v>45195.0</v>
      </c>
      <c r="V152" s="52">
        <v>45195.0</v>
      </c>
      <c r="W152" s="30"/>
      <c r="X152" s="30"/>
      <c r="Y152" s="31"/>
      <c r="Z152" s="31"/>
      <c r="AA152" s="31"/>
      <c r="AB152" s="74" t="s">
        <v>702</v>
      </c>
      <c r="AC152" s="74"/>
    </row>
    <row r="153" ht="16.5" customHeight="1">
      <c r="A153" s="48" t="s">
        <v>703</v>
      </c>
      <c r="B153" s="53" t="s">
        <v>543</v>
      </c>
      <c r="C153" s="47">
        <v>0.0</v>
      </c>
      <c r="D153" s="70" t="s">
        <v>704</v>
      </c>
      <c r="E153" s="55" t="s">
        <v>79</v>
      </c>
      <c r="F153" s="32" t="s">
        <v>33</v>
      </c>
      <c r="G153" s="32" t="s">
        <v>35</v>
      </c>
      <c r="H153" s="71" t="s">
        <v>35</v>
      </c>
      <c r="I153" s="71" t="s">
        <v>36</v>
      </c>
      <c r="J153" s="34" t="s">
        <v>420</v>
      </c>
      <c r="K153" s="57" t="s">
        <v>38</v>
      </c>
      <c r="L153" s="72">
        <v>9732.0</v>
      </c>
      <c r="M153" s="22"/>
      <c r="N153" s="73"/>
      <c r="O153" s="28">
        <v>45197.0</v>
      </c>
      <c r="P153" s="35" t="s">
        <v>705</v>
      </c>
      <c r="Q153" s="12"/>
      <c r="R153" s="12"/>
      <c r="S153" s="12"/>
      <c r="T153" s="52">
        <v>45194.0</v>
      </c>
      <c r="U153" s="52">
        <v>45194.0</v>
      </c>
      <c r="V153" s="52">
        <v>45195.0</v>
      </c>
      <c r="W153" s="30"/>
      <c r="X153" s="30"/>
      <c r="Y153" s="31"/>
      <c r="Z153" s="31"/>
      <c r="AA153" s="31"/>
      <c r="AB153" s="74" t="s">
        <v>706</v>
      </c>
      <c r="AC153" s="74"/>
    </row>
    <row r="154" ht="16.5" customHeight="1">
      <c r="A154" s="48" t="s">
        <v>707</v>
      </c>
      <c r="B154" s="53" t="s">
        <v>163</v>
      </c>
      <c r="C154" s="47">
        <v>0.0</v>
      </c>
      <c r="D154" s="70" t="s">
        <v>708</v>
      </c>
      <c r="E154" s="55" t="s">
        <v>453</v>
      </c>
      <c r="F154" s="32" t="s">
        <v>244</v>
      </c>
      <c r="G154" s="32" t="s">
        <v>35</v>
      </c>
      <c r="H154" s="71" t="s">
        <v>35</v>
      </c>
      <c r="I154" s="71" t="s">
        <v>36</v>
      </c>
      <c r="J154" s="34" t="s">
        <v>49</v>
      </c>
      <c r="K154" s="57" t="s">
        <v>38</v>
      </c>
      <c r="L154" s="72">
        <v>9744.0</v>
      </c>
      <c r="M154" s="22"/>
      <c r="N154" s="73"/>
      <c r="O154" s="28">
        <v>45198.0</v>
      </c>
      <c r="P154" s="35" t="s">
        <v>166</v>
      </c>
      <c r="Q154" s="12"/>
      <c r="R154" s="12"/>
      <c r="S154" s="12"/>
      <c r="T154" s="52">
        <v>45195.0</v>
      </c>
      <c r="U154" s="52">
        <v>45195.0</v>
      </c>
      <c r="V154" s="52">
        <v>45197.0</v>
      </c>
      <c r="W154" s="30"/>
      <c r="X154" s="30"/>
      <c r="Y154" s="31"/>
      <c r="Z154" s="31"/>
      <c r="AA154" s="31"/>
      <c r="AB154" s="74" t="s">
        <v>709</v>
      </c>
      <c r="AC154" s="74"/>
    </row>
    <row r="155" ht="16.5" customHeight="1">
      <c r="A155" s="48" t="s">
        <v>710</v>
      </c>
      <c r="B155" s="53" t="s">
        <v>711</v>
      </c>
      <c r="C155" s="47">
        <v>0.0</v>
      </c>
      <c r="D155" s="70" t="s">
        <v>712</v>
      </c>
      <c r="E155" s="55" t="s">
        <v>713</v>
      </c>
      <c r="F155" s="32" t="s">
        <v>33</v>
      </c>
      <c r="G155" s="32" t="s">
        <v>35</v>
      </c>
      <c r="H155" s="71" t="s">
        <v>35</v>
      </c>
      <c r="I155" s="71" t="s">
        <v>36</v>
      </c>
      <c r="J155" s="34" t="s">
        <v>65</v>
      </c>
      <c r="K155" s="57" t="s">
        <v>38</v>
      </c>
      <c r="L155" s="72">
        <v>9743.0</v>
      </c>
      <c r="M155" s="27"/>
      <c r="N155" s="73"/>
      <c r="O155" s="28">
        <v>45198.0</v>
      </c>
      <c r="P155" s="26"/>
      <c r="Q155" s="12"/>
      <c r="R155" s="12"/>
      <c r="S155" s="12"/>
      <c r="T155" s="52">
        <v>45197.0</v>
      </c>
      <c r="U155" s="52">
        <v>45197.0</v>
      </c>
      <c r="V155" s="52">
        <v>45197.0</v>
      </c>
      <c r="W155" s="30"/>
      <c r="X155" s="30"/>
      <c r="Y155" s="31"/>
      <c r="Z155" s="31"/>
      <c r="AA155" s="31"/>
      <c r="AB155" s="74" t="s">
        <v>714</v>
      </c>
      <c r="AC155" s="74"/>
    </row>
    <row r="156" ht="16.5" customHeight="1">
      <c r="A156" s="48" t="s">
        <v>715</v>
      </c>
      <c r="B156" s="53" t="s">
        <v>716</v>
      </c>
      <c r="C156" s="47">
        <v>0.0</v>
      </c>
      <c r="D156" s="70" t="s">
        <v>717</v>
      </c>
      <c r="E156" s="55" t="s">
        <v>165</v>
      </c>
      <c r="F156" s="32" t="s">
        <v>33</v>
      </c>
      <c r="G156" s="32" t="s">
        <v>34</v>
      </c>
      <c r="H156" s="71" t="s">
        <v>35</v>
      </c>
      <c r="I156" s="71" t="s">
        <v>36</v>
      </c>
      <c r="J156" s="34" t="s">
        <v>718</v>
      </c>
      <c r="K156" s="57" t="s">
        <v>38</v>
      </c>
      <c r="L156" s="72">
        <v>9742.0</v>
      </c>
      <c r="M156" s="22"/>
      <c r="N156" s="73"/>
      <c r="O156" s="28">
        <v>45198.0</v>
      </c>
      <c r="P156" s="35" t="s">
        <v>719</v>
      </c>
      <c r="Q156" s="12"/>
      <c r="R156" s="12"/>
      <c r="S156" s="12"/>
      <c r="T156" s="52">
        <v>45195.0</v>
      </c>
      <c r="U156" s="52">
        <v>45195.0</v>
      </c>
      <c r="V156" s="52">
        <v>45197.0</v>
      </c>
      <c r="W156" s="30"/>
      <c r="X156" s="30"/>
      <c r="Y156" s="31"/>
      <c r="Z156" s="31"/>
      <c r="AA156" s="31"/>
      <c r="AB156" s="74" t="s">
        <v>720</v>
      </c>
      <c r="AC156" s="74"/>
    </row>
    <row r="157" ht="16.5" customHeight="1">
      <c r="A157" s="48" t="s">
        <v>721</v>
      </c>
      <c r="B157" s="53" t="s">
        <v>716</v>
      </c>
      <c r="C157" s="47">
        <v>0.0</v>
      </c>
      <c r="D157" s="70" t="s">
        <v>722</v>
      </c>
      <c r="E157" s="55" t="s">
        <v>165</v>
      </c>
      <c r="F157" s="32" t="s">
        <v>33</v>
      </c>
      <c r="G157" s="32" t="s">
        <v>34</v>
      </c>
      <c r="H157" s="71" t="s">
        <v>35</v>
      </c>
      <c r="I157" s="71" t="s">
        <v>36</v>
      </c>
      <c r="J157" s="34" t="s">
        <v>718</v>
      </c>
      <c r="K157" s="57" t="s">
        <v>38</v>
      </c>
      <c r="L157" s="72">
        <v>9742.0</v>
      </c>
      <c r="M157" s="22"/>
      <c r="N157" s="73"/>
      <c r="O157" s="28">
        <v>45198.0</v>
      </c>
      <c r="P157" s="35" t="s">
        <v>719</v>
      </c>
      <c r="Q157" s="12"/>
      <c r="R157" s="12"/>
      <c r="S157" s="12"/>
      <c r="T157" s="52">
        <v>45195.0</v>
      </c>
      <c r="U157" s="52">
        <v>45195.0</v>
      </c>
      <c r="V157" s="52">
        <v>45197.0</v>
      </c>
      <c r="W157" s="30"/>
      <c r="X157" s="30"/>
      <c r="Y157" s="31"/>
      <c r="Z157" s="31"/>
      <c r="AA157" s="31"/>
      <c r="AB157" s="74" t="s">
        <v>723</v>
      </c>
      <c r="AC157" s="74"/>
    </row>
    <row r="158" ht="16.5" customHeight="1">
      <c r="A158" s="48" t="s">
        <v>724</v>
      </c>
      <c r="B158" s="53" t="s">
        <v>725</v>
      </c>
      <c r="C158" s="47">
        <v>0.0</v>
      </c>
      <c r="D158" s="70" t="s">
        <v>726</v>
      </c>
      <c r="E158" s="55" t="s">
        <v>165</v>
      </c>
      <c r="F158" s="32" t="s">
        <v>33</v>
      </c>
      <c r="G158" s="32" t="s">
        <v>34</v>
      </c>
      <c r="H158" s="71" t="s">
        <v>35</v>
      </c>
      <c r="I158" s="71" t="s">
        <v>36</v>
      </c>
      <c r="J158" s="34" t="s">
        <v>434</v>
      </c>
      <c r="K158" s="57" t="s">
        <v>38</v>
      </c>
      <c r="L158" s="72">
        <v>9798.0</v>
      </c>
      <c r="M158" s="22"/>
      <c r="N158" s="73"/>
      <c r="O158" s="28">
        <v>45210.0</v>
      </c>
      <c r="P158" s="35" t="s">
        <v>727</v>
      </c>
      <c r="Q158" s="12"/>
      <c r="R158" s="12"/>
      <c r="S158" s="12"/>
      <c r="T158" s="52">
        <v>45195.0</v>
      </c>
      <c r="U158" s="52">
        <v>45195.0</v>
      </c>
      <c r="V158" s="52">
        <v>45197.0</v>
      </c>
      <c r="W158" s="30"/>
      <c r="X158" s="30"/>
      <c r="Y158" s="31"/>
      <c r="Z158" s="31"/>
      <c r="AA158" s="31"/>
      <c r="AB158" s="74" t="s">
        <v>728</v>
      </c>
      <c r="AC158" s="74"/>
    </row>
    <row r="159" ht="16.5" customHeight="1">
      <c r="A159" s="48" t="s">
        <v>729</v>
      </c>
      <c r="B159" s="53" t="s">
        <v>725</v>
      </c>
      <c r="C159" s="47">
        <v>0.0</v>
      </c>
      <c r="D159" s="70" t="s">
        <v>730</v>
      </c>
      <c r="E159" s="55" t="s">
        <v>731</v>
      </c>
      <c r="F159" s="32" t="s">
        <v>33</v>
      </c>
      <c r="G159" s="32" t="s">
        <v>34</v>
      </c>
      <c r="H159" s="71" t="s">
        <v>35</v>
      </c>
      <c r="I159" s="71" t="s">
        <v>36</v>
      </c>
      <c r="J159" s="34" t="s">
        <v>434</v>
      </c>
      <c r="K159" s="57" t="s">
        <v>38</v>
      </c>
      <c r="L159" s="72">
        <v>9798.0</v>
      </c>
      <c r="M159" s="22"/>
      <c r="N159" s="76"/>
      <c r="O159" s="28">
        <v>45210.0</v>
      </c>
      <c r="P159" s="35" t="s">
        <v>727</v>
      </c>
      <c r="Q159" s="12"/>
      <c r="R159" s="12"/>
      <c r="S159" s="12"/>
      <c r="T159" s="52">
        <v>45196.0</v>
      </c>
      <c r="U159" s="52">
        <v>45196.0</v>
      </c>
      <c r="V159" s="52">
        <v>45209.0</v>
      </c>
      <c r="W159" s="30"/>
      <c r="X159" s="30"/>
      <c r="Y159" s="31"/>
      <c r="Z159" s="31"/>
      <c r="AA159" s="31"/>
      <c r="AB159" s="74" t="s">
        <v>732</v>
      </c>
      <c r="AC159" s="74"/>
    </row>
    <row r="160" ht="16.5" customHeight="1">
      <c r="A160" s="48" t="s">
        <v>733</v>
      </c>
      <c r="B160" s="53" t="s">
        <v>734</v>
      </c>
      <c r="C160" s="47">
        <v>0.0</v>
      </c>
      <c r="D160" s="70" t="s">
        <v>735</v>
      </c>
      <c r="E160" s="55" t="s">
        <v>165</v>
      </c>
      <c r="F160" s="32" t="s">
        <v>33</v>
      </c>
      <c r="G160" s="32" t="s">
        <v>34</v>
      </c>
      <c r="H160" s="71" t="s">
        <v>35</v>
      </c>
      <c r="I160" s="71" t="s">
        <v>36</v>
      </c>
      <c r="J160" s="34" t="s">
        <v>434</v>
      </c>
      <c r="K160" s="57" t="s">
        <v>38</v>
      </c>
      <c r="L160" s="72">
        <v>9741.0</v>
      </c>
      <c r="M160" s="22"/>
      <c r="N160" s="73"/>
      <c r="O160" s="28">
        <v>45198.0</v>
      </c>
      <c r="P160" s="35" t="s">
        <v>727</v>
      </c>
      <c r="Q160" s="12"/>
      <c r="R160" s="12"/>
      <c r="S160" s="12"/>
      <c r="T160" s="52">
        <v>45197.0</v>
      </c>
      <c r="U160" s="52">
        <v>45197.0</v>
      </c>
      <c r="V160" s="52">
        <v>45197.0</v>
      </c>
      <c r="W160" s="30"/>
      <c r="X160" s="30"/>
      <c r="Y160" s="31"/>
      <c r="Z160" s="31"/>
      <c r="AA160" s="31"/>
      <c r="AB160" s="74" t="s">
        <v>736</v>
      </c>
      <c r="AC160" s="74"/>
    </row>
    <row r="161" ht="16.5" customHeight="1">
      <c r="A161" s="48" t="s">
        <v>737</v>
      </c>
      <c r="B161" s="53" t="s">
        <v>734</v>
      </c>
      <c r="C161" s="47">
        <v>0.0</v>
      </c>
      <c r="D161" s="70" t="s">
        <v>738</v>
      </c>
      <c r="E161" s="55" t="s">
        <v>98</v>
      </c>
      <c r="F161" s="32" t="s">
        <v>33</v>
      </c>
      <c r="G161" s="32" t="s">
        <v>34</v>
      </c>
      <c r="H161" s="71" t="s">
        <v>35</v>
      </c>
      <c r="I161" s="71" t="s">
        <v>36</v>
      </c>
      <c r="J161" s="34" t="s">
        <v>434</v>
      </c>
      <c r="K161" s="57" t="s">
        <v>38</v>
      </c>
      <c r="L161" s="72">
        <v>9741.0</v>
      </c>
      <c r="M161" s="22"/>
      <c r="N161" s="73"/>
      <c r="O161" s="28">
        <v>45198.0</v>
      </c>
      <c r="P161" s="35" t="s">
        <v>727</v>
      </c>
      <c r="Q161" s="12"/>
      <c r="R161" s="12"/>
      <c r="S161" s="12"/>
      <c r="T161" s="52">
        <v>45197.0</v>
      </c>
      <c r="U161" s="52">
        <v>45197.0</v>
      </c>
      <c r="V161" s="52">
        <v>45197.0</v>
      </c>
      <c r="W161" s="30"/>
      <c r="X161" s="30"/>
      <c r="Y161" s="31"/>
      <c r="Z161" s="31"/>
      <c r="AA161" s="31"/>
      <c r="AB161" s="74" t="s">
        <v>739</v>
      </c>
      <c r="AC161" s="74"/>
    </row>
    <row r="162" ht="16.5" customHeight="1">
      <c r="A162" s="48" t="s">
        <v>740</v>
      </c>
      <c r="B162" s="53" t="s">
        <v>741</v>
      </c>
      <c r="C162" s="47">
        <v>0.0</v>
      </c>
      <c r="D162" s="70" t="s">
        <v>742</v>
      </c>
      <c r="E162" s="55" t="s">
        <v>251</v>
      </c>
      <c r="F162" s="32" t="s">
        <v>33</v>
      </c>
      <c r="G162" s="32" t="s">
        <v>35</v>
      </c>
      <c r="H162" s="71" t="s">
        <v>35</v>
      </c>
      <c r="I162" s="71" t="s">
        <v>36</v>
      </c>
      <c r="J162" s="34" t="s">
        <v>92</v>
      </c>
      <c r="K162" s="57" t="s">
        <v>38</v>
      </c>
      <c r="L162" s="72">
        <v>9740.0</v>
      </c>
      <c r="M162" s="22"/>
      <c r="N162" s="73"/>
      <c r="O162" s="28">
        <v>45210.0</v>
      </c>
      <c r="P162" s="35" t="s">
        <v>743</v>
      </c>
      <c r="Q162" s="12"/>
      <c r="R162" s="12"/>
      <c r="S162" s="12"/>
      <c r="T162" s="52">
        <v>45195.0</v>
      </c>
      <c r="U162" s="52">
        <v>45195.0</v>
      </c>
      <c r="V162" s="52">
        <v>45197.0</v>
      </c>
      <c r="W162" s="30"/>
      <c r="X162" s="30"/>
      <c r="Y162" s="31"/>
      <c r="Z162" s="31"/>
      <c r="AA162" s="31"/>
      <c r="AB162" s="74" t="s">
        <v>744</v>
      </c>
      <c r="AC162" s="74"/>
    </row>
    <row r="163" ht="16.5" customHeight="1">
      <c r="A163" s="48" t="s">
        <v>745</v>
      </c>
      <c r="B163" s="53" t="s">
        <v>746</v>
      </c>
      <c r="C163" s="47">
        <v>137.0</v>
      </c>
      <c r="D163" s="70" t="s">
        <v>747</v>
      </c>
      <c r="E163" s="55" t="s">
        <v>85</v>
      </c>
      <c r="F163" s="32" t="s">
        <v>48</v>
      </c>
      <c r="G163" s="32" t="s">
        <v>35</v>
      </c>
      <c r="H163" s="71" t="s">
        <v>35</v>
      </c>
      <c r="I163" s="71" t="s">
        <v>36</v>
      </c>
      <c r="J163" s="34" t="s">
        <v>65</v>
      </c>
      <c r="K163" s="57" t="s">
        <v>38</v>
      </c>
      <c r="L163" s="72" t="s">
        <v>748</v>
      </c>
      <c r="M163" s="22"/>
      <c r="N163" s="73"/>
      <c r="O163" s="28">
        <v>45310.0</v>
      </c>
      <c r="P163" s="35" t="s">
        <v>749</v>
      </c>
      <c r="Q163" s="12"/>
      <c r="R163" s="12"/>
      <c r="S163" s="12"/>
      <c r="T163" s="52">
        <v>45195.0</v>
      </c>
      <c r="U163" s="52">
        <v>45307.0</v>
      </c>
      <c r="V163" s="52">
        <v>45310.0</v>
      </c>
      <c r="W163" s="30"/>
      <c r="X163" s="30"/>
      <c r="Y163" s="31"/>
      <c r="Z163" s="31"/>
      <c r="AA163" s="31"/>
      <c r="AB163" s="74" t="s">
        <v>750</v>
      </c>
      <c r="AC163" s="74"/>
    </row>
    <row r="164" ht="16.5" customHeight="1">
      <c r="A164" s="48" t="s">
        <v>751</v>
      </c>
      <c r="B164" s="53" t="s">
        <v>746</v>
      </c>
      <c r="C164" s="47">
        <v>137.0</v>
      </c>
      <c r="D164" s="70" t="s">
        <v>752</v>
      </c>
      <c r="E164" s="55" t="s">
        <v>85</v>
      </c>
      <c r="F164" s="32" t="s">
        <v>48</v>
      </c>
      <c r="G164" s="32" t="s">
        <v>35</v>
      </c>
      <c r="H164" s="71" t="s">
        <v>35</v>
      </c>
      <c r="I164" s="71" t="s">
        <v>36</v>
      </c>
      <c r="J164" s="34" t="s">
        <v>65</v>
      </c>
      <c r="K164" s="57" t="s">
        <v>38</v>
      </c>
      <c r="L164" s="72" t="s">
        <v>748</v>
      </c>
      <c r="M164" s="22"/>
      <c r="N164" s="73"/>
      <c r="O164" s="28">
        <v>45310.0</v>
      </c>
      <c r="P164" s="35" t="s">
        <v>749</v>
      </c>
      <c r="Q164" s="12"/>
      <c r="R164" s="12"/>
      <c r="S164" s="12"/>
      <c r="T164" s="52">
        <v>45195.0</v>
      </c>
      <c r="U164" s="52">
        <v>45307.0</v>
      </c>
      <c r="V164" s="52">
        <v>45310.0</v>
      </c>
      <c r="W164" s="30"/>
      <c r="X164" s="30"/>
      <c r="Y164" s="31"/>
      <c r="Z164" s="31"/>
      <c r="AA164" s="31"/>
      <c r="AB164" s="74" t="s">
        <v>753</v>
      </c>
      <c r="AC164" s="74"/>
    </row>
    <row r="165" ht="16.5" customHeight="1">
      <c r="A165" s="48" t="s">
        <v>754</v>
      </c>
      <c r="B165" s="53" t="s">
        <v>746</v>
      </c>
      <c r="C165" s="47">
        <v>90.0</v>
      </c>
      <c r="D165" s="70" t="s">
        <v>755</v>
      </c>
      <c r="E165" s="55" t="s">
        <v>91</v>
      </c>
      <c r="F165" s="32" t="s">
        <v>48</v>
      </c>
      <c r="G165" s="32" t="s">
        <v>35</v>
      </c>
      <c r="H165" s="71" t="s">
        <v>35</v>
      </c>
      <c r="I165" s="71" t="s">
        <v>36</v>
      </c>
      <c r="J165" s="34" t="s">
        <v>65</v>
      </c>
      <c r="K165" s="57" t="s">
        <v>38</v>
      </c>
      <c r="L165" s="72" t="s">
        <v>748</v>
      </c>
      <c r="M165" s="22"/>
      <c r="N165" s="73"/>
      <c r="O165" s="28">
        <v>45310.0</v>
      </c>
      <c r="P165" s="35" t="s">
        <v>749</v>
      </c>
      <c r="Q165" s="12"/>
      <c r="R165" s="12"/>
      <c r="S165" s="12"/>
      <c r="T165" s="52">
        <v>45195.0</v>
      </c>
      <c r="U165" s="52">
        <v>45307.0</v>
      </c>
      <c r="V165" s="52">
        <v>45310.0</v>
      </c>
      <c r="W165" s="30"/>
      <c r="X165" s="30"/>
      <c r="Y165" s="31"/>
      <c r="Z165" s="31"/>
      <c r="AA165" s="31"/>
      <c r="AB165" s="74" t="s">
        <v>756</v>
      </c>
      <c r="AC165" s="74"/>
    </row>
    <row r="166" ht="16.5" customHeight="1">
      <c r="A166" s="48" t="s">
        <v>757</v>
      </c>
      <c r="B166" s="53" t="s">
        <v>746</v>
      </c>
      <c r="C166" s="47">
        <v>90.0</v>
      </c>
      <c r="D166" s="70" t="s">
        <v>758</v>
      </c>
      <c r="E166" s="55" t="s">
        <v>91</v>
      </c>
      <c r="F166" s="32" t="s">
        <v>48</v>
      </c>
      <c r="G166" s="32" t="s">
        <v>35</v>
      </c>
      <c r="H166" s="71" t="s">
        <v>35</v>
      </c>
      <c r="I166" s="71" t="s">
        <v>36</v>
      </c>
      <c r="J166" s="34" t="s">
        <v>65</v>
      </c>
      <c r="K166" s="57" t="s">
        <v>38</v>
      </c>
      <c r="L166" s="72" t="s">
        <v>748</v>
      </c>
      <c r="M166" s="22"/>
      <c r="N166" s="73"/>
      <c r="O166" s="28">
        <v>45310.0</v>
      </c>
      <c r="P166" s="35" t="s">
        <v>749</v>
      </c>
      <c r="Q166" s="12"/>
      <c r="R166" s="12"/>
      <c r="S166" s="12"/>
      <c r="T166" s="52">
        <v>45195.0</v>
      </c>
      <c r="U166" s="52">
        <v>45307.0</v>
      </c>
      <c r="V166" s="52">
        <v>45310.0</v>
      </c>
      <c r="W166" s="30"/>
      <c r="X166" s="30"/>
      <c r="Y166" s="31"/>
      <c r="Z166" s="31"/>
      <c r="AA166" s="31"/>
      <c r="AB166" s="74" t="s">
        <v>759</v>
      </c>
      <c r="AC166" s="74"/>
    </row>
    <row r="167" ht="16.5" customHeight="1">
      <c r="A167" s="48" t="s">
        <v>760</v>
      </c>
      <c r="B167" s="53" t="s">
        <v>746</v>
      </c>
      <c r="C167" s="47">
        <v>90.0</v>
      </c>
      <c r="D167" s="70" t="s">
        <v>761</v>
      </c>
      <c r="E167" s="55" t="s">
        <v>91</v>
      </c>
      <c r="F167" s="32" t="s">
        <v>48</v>
      </c>
      <c r="G167" s="32" t="s">
        <v>35</v>
      </c>
      <c r="H167" s="71" t="s">
        <v>35</v>
      </c>
      <c r="I167" s="71" t="s">
        <v>36</v>
      </c>
      <c r="J167" s="34" t="s">
        <v>65</v>
      </c>
      <c r="K167" s="57" t="s">
        <v>38</v>
      </c>
      <c r="L167" s="72" t="s">
        <v>748</v>
      </c>
      <c r="M167" s="22"/>
      <c r="N167" s="73"/>
      <c r="O167" s="28">
        <v>45310.0</v>
      </c>
      <c r="P167" s="35" t="s">
        <v>749</v>
      </c>
      <c r="Q167" s="12"/>
      <c r="R167" s="12"/>
      <c r="S167" s="12"/>
      <c r="T167" s="52">
        <v>45195.0</v>
      </c>
      <c r="U167" s="52">
        <v>45307.0</v>
      </c>
      <c r="V167" s="52">
        <v>45310.0</v>
      </c>
      <c r="W167" s="30"/>
      <c r="X167" s="30"/>
      <c r="Y167" s="31"/>
      <c r="Z167" s="31"/>
      <c r="AA167" s="31"/>
      <c r="AB167" s="74" t="s">
        <v>762</v>
      </c>
      <c r="AC167" s="74"/>
    </row>
    <row r="168" ht="16.5" customHeight="1">
      <c r="A168" s="48" t="s">
        <v>763</v>
      </c>
      <c r="B168" s="53" t="s">
        <v>746</v>
      </c>
      <c r="C168" s="47">
        <v>90.0</v>
      </c>
      <c r="D168" s="70" t="s">
        <v>764</v>
      </c>
      <c r="E168" s="55" t="s">
        <v>91</v>
      </c>
      <c r="F168" s="32" t="s">
        <v>48</v>
      </c>
      <c r="G168" s="32" t="s">
        <v>35</v>
      </c>
      <c r="H168" s="71" t="s">
        <v>35</v>
      </c>
      <c r="I168" s="71" t="s">
        <v>36</v>
      </c>
      <c r="J168" s="34" t="s">
        <v>65</v>
      </c>
      <c r="K168" s="57" t="s">
        <v>38</v>
      </c>
      <c r="L168" s="72" t="s">
        <v>748</v>
      </c>
      <c r="M168" s="22"/>
      <c r="N168" s="73"/>
      <c r="O168" s="28">
        <v>45310.0</v>
      </c>
      <c r="P168" s="35" t="s">
        <v>749</v>
      </c>
      <c r="Q168" s="12"/>
      <c r="R168" s="12"/>
      <c r="S168" s="12"/>
      <c r="T168" s="52">
        <v>45195.0</v>
      </c>
      <c r="U168" s="52">
        <v>45307.0</v>
      </c>
      <c r="V168" s="52">
        <v>45310.0</v>
      </c>
      <c r="W168" s="30"/>
      <c r="X168" s="30"/>
      <c r="Y168" s="31"/>
      <c r="Z168" s="31"/>
      <c r="AA168" s="31"/>
      <c r="AB168" s="74" t="s">
        <v>765</v>
      </c>
      <c r="AC168" s="74"/>
    </row>
    <row r="169" ht="16.5" customHeight="1">
      <c r="A169" s="48" t="s">
        <v>766</v>
      </c>
      <c r="B169" s="53" t="s">
        <v>746</v>
      </c>
      <c r="C169" s="47">
        <v>90.0</v>
      </c>
      <c r="D169" s="70" t="s">
        <v>767</v>
      </c>
      <c r="E169" s="55" t="s">
        <v>91</v>
      </c>
      <c r="F169" s="32" t="s">
        <v>48</v>
      </c>
      <c r="G169" s="32" t="s">
        <v>35</v>
      </c>
      <c r="H169" s="71" t="s">
        <v>35</v>
      </c>
      <c r="I169" s="71" t="s">
        <v>36</v>
      </c>
      <c r="J169" s="34" t="s">
        <v>65</v>
      </c>
      <c r="K169" s="57" t="s">
        <v>38</v>
      </c>
      <c r="L169" s="72" t="s">
        <v>748</v>
      </c>
      <c r="M169" s="22"/>
      <c r="N169" s="73"/>
      <c r="O169" s="28">
        <v>45310.0</v>
      </c>
      <c r="P169" s="35" t="s">
        <v>749</v>
      </c>
      <c r="Q169" s="12"/>
      <c r="R169" s="12"/>
      <c r="S169" s="12"/>
      <c r="T169" s="52">
        <v>45195.0</v>
      </c>
      <c r="U169" s="52">
        <v>45307.0</v>
      </c>
      <c r="V169" s="52">
        <v>45310.0</v>
      </c>
      <c r="W169" s="30"/>
      <c r="X169" s="30"/>
      <c r="Y169" s="31"/>
      <c r="Z169" s="31"/>
      <c r="AA169" s="31"/>
      <c r="AB169" s="74" t="s">
        <v>768</v>
      </c>
      <c r="AC169" s="74"/>
    </row>
    <row r="170" ht="16.5" customHeight="1">
      <c r="A170" s="48" t="s">
        <v>769</v>
      </c>
      <c r="B170" s="53" t="s">
        <v>746</v>
      </c>
      <c r="C170" s="47">
        <v>90.0</v>
      </c>
      <c r="D170" s="70" t="s">
        <v>770</v>
      </c>
      <c r="E170" s="55" t="s">
        <v>91</v>
      </c>
      <c r="F170" s="32" t="s">
        <v>48</v>
      </c>
      <c r="G170" s="32" t="s">
        <v>35</v>
      </c>
      <c r="H170" s="71" t="s">
        <v>35</v>
      </c>
      <c r="I170" s="71" t="s">
        <v>36</v>
      </c>
      <c r="J170" s="34" t="s">
        <v>65</v>
      </c>
      <c r="K170" s="57" t="s">
        <v>38</v>
      </c>
      <c r="L170" s="72" t="s">
        <v>748</v>
      </c>
      <c r="M170" s="22"/>
      <c r="N170" s="73"/>
      <c r="O170" s="28">
        <v>45310.0</v>
      </c>
      <c r="P170" s="35" t="s">
        <v>749</v>
      </c>
      <c r="Q170" s="12"/>
      <c r="R170" s="12"/>
      <c r="S170" s="12"/>
      <c r="T170" s="52">
        <v>45195.0</v>
      </c>
      <c r="U170" s="52">
        <v>45307.0</v>
      </c>
      <c r="V170" s="52">
        <v>45310.0</v>
      </c>
      <c r="W170" s="30"/>
      <c r="X170" s="30"/>
      <c r="Y170" s="31"/>
      <c r="Z170" s="31"/>
      <c r="AA170" s="31"/>
      <c r="AB170" s="74" t="s">
        <v>771</v>
      </c>
      <c r="AC170" s="74"/>
    </row>
    <row r="171" ht="16.5" customHeight="1">
      <c r="A171" s="48" t="s">
        <v>772</v>
      </c>
      <c r="B171" s="53" t="s">
        <v>746</v>
      </c>
      <c r="C171" s="47">
        <v>90.0</v>
      </c>
      <c r="D171" s="70" t="s">
        <v>773</v>
      </c>
      <c r="E171" s="55" t="s">
        <v>91</v>
      </c>
      <c r="F171" s="32" t="s">
        <v>48</v>
      </c>
      <c r="G171" s="32" t="s">
        <v>35</v>
      </c>
      <c r="H171" s="71" t="s">
        <v>35</v>
      </c>
      <c r="I171" s="71" t="s">
        <v>36</v>
      </c>
      <c r="J171" s="34" t="s">
        <v>65</v>
      </c>
      <c r="K171" s="57" t="s">
        <v>38</v>
      </c>
      <c r="L171" s="72" t="s">
        <v>748</v>
      </c>
      <c r="M171" s="22"/>
      <c r="N171" s="73"/>
      <c r="O171" s="28">
        <v>45310.0</v>
      </c>
      <c r="P171" s="35" t="s">
        <v>749</v>
      </c>
      <c r="Q171" s="12"/>
      <c r="R171" s="12"/>
      <c r="S171" s="12"/>
      <c r="T171" s="52">
        <v>45195.0</v>
      </c>
      <c r="U171" s="52">
        <v>45307.0</v>
      </c>
      <c r="V171" s="52">
        <v>45310.0</v>
      </c>
      <c r="W171" s="30"/>
      <c r="X171" s="30"/>
      <c r="Y171" s="31"/>
      <c r="Z171" s="31"/>
      <c r="AA171" s="31"/>
      <c r="AB171" s="74" t="s">
        <v>774</v>
      </c>
      <c r="AC171" s="74"/>
    </row>
    <row r="172" ht="16.5" customHeight="1">
      <c r="A172" s="48" t="s">
        <v>775</v>
      </c>
      <c r="B172" s="53" t="s">
        <v>746</v>
      </c>
      <c r="C172" s="47">
        <v>11.0</v>
      </c>
      <c r="D172" s="70" t="s">
        <v>776</v>
      </c>
      <c r="E172" s="55" t="s">
        <v>112</v>
      </c>
      <c r="F172" s="32" t="s">
        <v>48</v>
      </c>
      <c r="G172" s="32" t="s">
        <v>35</v>
      </c>
      <c r="H172" s="71" t="s">
        <v>35</v>
      </c>
      <c r="I172" s="71" t="s">
        <v>36</v>
      </c>
      <c r="J172" s="34" t="s">
        <v>65</v>
      </c>
      <c r="K172" s="57" t="s">
        <v>38</v>
      </c>
      <c r="L172" s="72" t="s">
        <v>748</v>
      </c>
      <c r="M172" s="22"/>
      <c r="N172" s="73"/>
      <c r="O172" s="28">
        <v>45310.0</v>
      </c>
      <c r="P172" s="35" t="s">
        <v>749</v>
      </c>
      <c r="Q172" s="12"/>
      <c r="R172" s="12"/>
      <c r="S172" s="12"/>
      <c r="T172" s="52">
        <v>45195.0</v>
      </c>
      <c r="U172" s="52">
        <v>45307.0</v>
      </c>
      <c r="V172" s="52">
        <v>45310.0</v>
      </c>
      <c r="W172" s="30"/>
      <c r="X172" s="30"/>
      <c r="Y172" s="31"/>
      <c r="Z172" s="31"/>
      <c r="AA172" s="31"/>
      <c r="AB172" s="74" t="s">
        <v>777</v>
      </c>
      <c r="AC172" s="74"/>
    </row>
    <row r="173" ht="16.5" customHeight="1">
      <c r="A173" s="48" t="s">
        <v>778</v>
      </c>
      <c r="B173" s="53" t="s">
        <v>779</v>
      </c>
      <c r="C173" s="47">
        <v>0.0</v>
      </c>
      <c r="D173" s="70" t="s">
        <v>780</v>
      </c>
      <c r="E173" s="55" t="s">
        <v>232</v>
      </c>
      <c r="F173" s="32" t="s">
        <v>33</v>
      </c>
      <c r="G173" s="32" t="s">
        <v>35</v>
      </c>
      <c r="H173" s="71" t="s">
        <v>35</v>
      </c>
      <c r="I173" s="71" t="s">
        <v>36</v>
      </c>
      <c r="J173" s="34" t="s">
        <v>65</v>
      </c>
      <c r="K173" s="57" t="s">
        <v>38</v>
      </c>
      <c r="L173" s="72">
        <v>9779.0</v>
      </c>
      <c r="M173" s="22"/>
      <c r="N173" s="73"/>
      <c r="O173" s="28">
        <v>45209.0</v>
      </c>
      <c r="P173" s="35" t="s">
        <v>781</v>
      </c>
      <c r="Q173" s="12"/>
      <c r="R173" s="12"/>
      <c r="S173" s="12"/>
      <c r="T173" s="52">
        <v>45195.0</v>
      </c>
      <c r="U173" s="52">
        <v>45195.0</v>
      </c>
      <c r="V173" s="52">
        <v>45198.0</v>
      </c>
      <c r="W173" s="30"/>
      <c r="X173" s="30"/>
      <c r="Y173" s="31"/>
      <c r="Z173" s="31"/>
      <c r="AA173" s="31"/>
      <c r="AB173" s="74" t="s">
        <v>782</v>
      </c>
      <c r="AC173" s="74"/>
    </row>
    <row r="174" ht="16.5" customHeight="1">
      <c r="A174" s="48" t="s">
        <v>783</v>
      </c>
      <c r="B174" s="53" t="s">
        <v>784</v>
      </c>
      <c r="C174" s="47">
        <v>0.0</v>
      </c>
      <c r="D174" s="70" t="s">
        <v>785</v>
      </c>
      <c r="E174" s="55" t="s">
        <v>117</v>
      </c>
      <c r="F174" s="32" t="s">
        <v>33</v>
      </c>
      <c r="G174" s="32" t="s">
        <v>35</v>
      </c>
      <c r="H174" s="71" t="s">
        <v>35</v>
      </c>
      <c r="I174" s="71" t="s">
        <v>36</v>
      </c>
      <c r="J174" s="34" t="s">
        <v>37</v>
      </c>
      <c r="K174" s="57" t="s">
        <v>447</v>
      </c>
      <c r="L174" s="72">
        <v>9759.0</v>
      </c>
      <c r="M174" s="22"/>
      <c r="N174" s="73"/>
      <c r="O174" s="28">
        <v>45202.0</v>
      </c>
      <c r="P174" s="35" t="s">
        <v>786</v>
      </c>
      <c r="Q174" s="12"/>
      <c r="R174" s="12"/>
      <c r="S174" s="12"/>
      <c r="T174" s="52">
        <v>45196.0</v>
      </c>
      <c r="U174" s="52">
        <v>45196.0</v>
      </c>
      <c r="V174" s="52">
        <v>45201.0</v>
      </c>
      <c r="W174" s="30"/>
      <c r="X174" s="30"/>
      <c r="Y174" s="31"/>
      <c r="Z174" s="31"/>
      <c r="AA174" s="31"/>
      <c r="AB174" s="74" t="s">
        <v>787</v>
      </c>
      <c r="AC174" s="74"/>
    </row>
    <row r="175" ht="16.5" customHeight="1">
      <c r="A175" s="48" t="s">
        <v>116</v>
      </c>
      <c r="B175" s="53" t="s">
        <v>788</v>
      </c>
      <c r="C175" s="47">
        <v>0.0</v>
      </c>
      <c r="D175" s="70" t="s">
        <v>789</v>
      </c>
      <c r="E175" s="55" t="s">
        <v>491</v>
      </c>
      <c r="F175" s="32" t="s">
        <v>33</v>
      </c>
      <c r="G175" s="32" t="s">
        <v>34</v>
      </c>
      <c r="H175" s="71" t="s">
        <v>35</v>
      </c>
      <c r="I175" s="71" t="s">
        <v>36</v>
      </c>
      <c r="J175" s="34" t="s">
        <v>339</v>
      </c>
      <c r="K175" s="57" t="s">
        <v>38</v>
      </c>
      <c r="L175" s="72">
        <v>9756.0</v>
      </c>
      <c r="M175" s="22"/>
      <c r="N175" s="73"/>
      <c r="O175" s="28">
        <v>45201.0</v>
      </c>
      <c r="P175" s="35" t="s">
        <v>790</v>
      </c>
      <c r="Q175" s="12"/>
      <c r="R175" s="12"/>
      <c r="S175" s="12"/>
      <c r="T175" s="52">
        <v>45196.0</v>
      </c>
      <c r="U175" s="52">
        <v>45196.0</v>
      </c>
      <c r="V175" s="52">
        <v>45198.0</v>
      </c>
      <c r="W175" s="30"/>
      <c r="X175" s="30"/>
      <c r="Y175" s="31"/>
      <c r="Z175" s="31"/>
      <c r="AA175" s="31"/>
      <c r="AB175" s="74" t="s">
        <v>791</v>
      </c>
      <c r="AC175" s="74"/>
    </row>
    <row r="176" ht="16.5" customHeight="1">
      <c r="A176" s="48" t="s">
        <v>792</v>
      </c>
      <c r="B176" s="53" t="s">
        <v>788</v>
      </c>
      <c r="C176" s="47">
        <v>0.0</v>
      </c>
      <c r="D176" s="70" t="s">
        <v>793</v>
      </c>
      <c r="E176" s="55" t="s">
        <v>794</v>
      </c>
      <c r="F176" s="32" t="s">
        <v>33</v>
      </c>
      <c r="G176" s="32" t="s">
        <v>35</v>
      </c>
      <c r="H176" s="71" t="s">
        <v>35</v>
      </c>
      <c r="I176" s="71" t="s">
        <v>36</v>
      </c>
      <c r="J176" s="34" t="s">
        <v>339</v>
      </c>
      <c r="K176" s="57" t="s">
        <v>38</v>
      </c>
      <c r="L176" s="72">
        <v>9755.0</v>
      </c>
      <c r="M176" s="22"/>
      <c r="N176" s="73"/>
      <c r="O176" s="28">
        <v>45201.0</v>
      </c>
      <c r="P176" s="35" t="s">
        <v>795</v>
      </c>
      <c r="Q176" s="12"/>
      <c r="R176" s="12"/>
      <c r="S176" s="12"/>
      <c r="T176" s="52">
        <v>45196.0</v>
      </c>
      <c r="U176" s="52">
        <v>45196.0</v>
      </c>
      <c r="V176" s="52">
        <v>45197.0</v>
      </c>
      <c r="W176" s="30"/>
      <c r="X176" s="30"/>
      <c r="Y176" s="31"/>
      <c r="Z176" s="31"/>
      <c r="AA176" s="31"/>
      <c r="AB176" s="74" t="s">
        <v>796</v>
      </c>
      <c r="AC176" s="74"/>
    </row>
    <row r="177" ht="16.5" customHeight="1">
      <c r="A177" s="48" t="s">
        <v>797</v>
      </c>
      <c r="B177" s="53" t="s">
        <v>798</v>
      </c>
      <c r="C177" s="47">
        <v>0.0</v>
      </c>
      <c r="D177" s="70" t="s">
        <v>799</v>
      </c>
      <c r="E177" s="55" t="s">
        <v>243</v>
      </c>
      <c r="F177" s="32" t="s">
        <v>244</v>
      </c>
      <c r="G177" s="32" t="s">
        <v>35</v>
      </c>
      <c r="H177" s="71" t="s">
        <v>35</v>
      </c>
      <c r="I177" s="71" t="s">
        <v>36</v>
      </c>
      <c r="J177" s="34" t="s">
        <v>65</v>
      </c>
      <c r="K177" s="57" t="s">
        <v>38</v>
      </c>
      <c r="L177" s="72">
        <v>9754.0</v>
      </c>
      <c r="M177" s="27"/>
      <c r="N177" s="73"/>
      <c r="O177" s="28">
        <v>45201.0</v>
      </c>
      <c r="P177" s="26"/>
      <c r="Q177" s="12"/>
      <c r="R177" s="12"/>
      <c r="S177" s="12"/>
      <c r="T177" s="52">
        <v>45196.0</v>
      </c>
      <c r="U177" s="52">
        <v>45196.0</v>
      </c>
      <c r="V177" s="52">
        <v>45198.0</v>
      </c>
      <c r="W177" s="30"/>
      <c r="X177" s="30"/>
      <c r="Y177" s="31"/>
      <c r="Z177" s="31"/>
      <c r="AA177" s="31"/>
      <c r="AB177" s="74" t="s">
        <v>800</v>
      </c>
      <c r="AC177" s="74"/>
    </row>
    <row r="178" ht="16.5" customHeight="1">
      <c r="A178" s="48" t="s">
        <v>801</v>
      </c>
      <c r="B178" s="53" t="s">
        <v>802</v>
      </c>
      <c r="C178" s="47">
        <v>0.0</v>
      </c>
      <c r="D178" s="70" t="s">
        <v>803</v>
      </c>
      <c r="E178" s="55" t="s">
        <v>804</v>
      </c>
      <c r="F178" s="32" t="s">
        <v>244</v>
      </c>
      <c r="G178" s="32" t="s">
        <v>35</v>
      </c>
      <c r="H178" s="71" t="s">
        <v>35</v>
      </c>
      <c r="I178" s="71" t="s">
        <v>36</v>
      </c>
      <c r="J178" s="34" t="s">
        <v>37</v>
      </c>
      <c r="K178" s="57" t="s">
        <v>805</v>
      </c>
      <c r="L178" s="72">
        <v>9778.0</v>
      </c>
      <c r="M178" s="22"/>
      <c r="N178" s="73"/>
      <c r="O178" s="28">
        <v>45208.0</v>
      </c>
      <c r="P178" s="35" t="s">
        <v>806</v>
      </c>
      <c r="Q178" s="12"/>
      <c r="R178" s="12"/>
      <c r="S178" s="12"/>
      <c r="T178" s="52">
        <v>45197.0</v>
      </c>
      <c r="U178" s="52">
        <v>45197.0</v>
      </c>
      <c r="V178" s="52">
        <v>45205.0</v>
      </c>
      <c r="W178" s="30"/>
      <c r="X178" s="30"/>
      <c r="Y178" s="31"/>
      <c r="Z178" s="31"/>
      <c r="AA178" s="31"/>
      <c r="AB178" s="74" t="s">
        <v>807</v>
      </c>
      <c r="AC178" s="74"/>
    </row>
    <row r="179" ht="16.5" customHeight="1">
      <c r="A179" s="48" t="s">
        <v>808</v>
      </c>
      <c r="B179" s="53" t="s">
        <v>802</v>
      </c>
      <c r="C179" s="47">
        <v>0.0</v>
      </c>
      <c r="D179" s="70" t="s">
        <v>809</v>
      </c>
      <c r="E179" s="55" t="s">
        <v>804</v>
      </c>
      <c r="F179" s="32" t="s">
        <v>244</v>
      </c>
      <c r="G179" s="32" t="s">
        <v>35</v>
      </c>
      <c r="H179" s="71" t="s">
        <v>35</v>
      </c>
      <c r="I179" s="71" t="s">
        <v>36</v>
      </c>
      <c r="J179" s="34" t="s">
        <v>37</v>
      </c>
      <c r="K179" s="57" t="s">
        <v>805</v>
      </c>
      <c r="L179" s="72">
        <v>9778.0</v>
      </c>
      <c r="M179" s="22"/>
      <c r="N179" s="73"/>
      <c r="O179" s="28">
        <v>45208.0</v>
      </c>
      <c r="P179" s="35" t="s">
        <v>806</v>
      </c>
      <c r="Q179" s="12"/>
      <c r="R179" s="12"/>
      <c r="S179" s="12"/>
      <c r="T179" s="52">
        <v>45197.0</v>
      </c>
      <c r="U179" s="52">
        <v>45197.0</v>
      </c>
      <c r="V179" s="52">
        <v>45205.0</v>
      </c>
      <c r="W179" s="30"/>
      <c r="X179" s="30"/>
      <c r="Y179" s="31"/>
      <c r="Z179" s="31"/>
      <c r="AA179" s="31"/>
      <c r="AB179" s="74" t="s">
        <v>810</v>
      </c>
      <c r="AC179" s="74"/>
    </row>
    <row r="180" ht="16.5" customHeight="1">
      <c r="A180" s="48" t="s">
        <v>811</v>
      </c>
      <c r="B180" s="53" t="s">
        <v>812</v>
      </c>
      <c r="C180" s="47">
        <v>0.0</v>
      </c>
      <c r="D180" s="70" t="s">
        <v>813</v>
      </c>
      <c r="E180" s="55" t="s">
        <v>408</v>
      </c>
      <c r="F180" s="32" t="s">
        <v>33</v>
      </c>
      <c r="G180" s="32" t="s">
        <v>34</v>
      </c>
      <c r="H180" s="71" t="s">
        <v>35</v>
      </c>
      <c r="I180" s="71" t="s">
        <v>36</v>
      </c>
      <c r="J180" s="34" t="s">
        <v>37</v>
      </c>
      <c r="K180" s="57" t="s">
        <v>814</v>
      </c>
      <c r="L180" s="72">
        <v>9758.0</v>
      </c>
      <c r="M180" s="22"/>
      <c r="N180" s="73"/>
      <c r="O180" s="28">
        <v>45202.0</v>
      </c>
      <c r="P180" s="35" t="s">
        <v>815</v>
      </c>
      <c r="Q180" s="12"/>
      <c r="R180" s="12"/>
      <c r="S180" s="12"/>
      <c r="T180" s="52">
        <v>45196.0</v>
      </c>
      <c r="U180" s="52">
        <v>45196.0</v>
      </c>
      <c r="V180" s="52">
        <v>45201.0</v>
      </c>
      <c r="W180" s="30"/>
      <c r="X180" s="30"/>
      <c r="Y180" s="31"/>
      <c r="Z180" s="31"/>
      <c r="AA180" s="31"/>
      <c r="AB180" s="74" t="s">
        <v>816</v>
      </c>
      <c r="AC180" s="74"/>
    </row>
    <row r="181" ht="16.5" customHeight="1">
      <c r="A181" s="48" t="s">
        <v>817</v>
      </c>
      <c r="B181" s="53" t="s">
        <v>818</v>
      </c>
      <c r="C181" s="47">
        <v>0.0</v>
      </c>
      <c r="D181" s="70"/>
      <c r="E181" s="55" t="s">
        <v>213</v>
      </c>
      <c r="F181" s="32" t="s">
        <v>33</v>
      </c>
      <c r="G181" s="32" t="s">
        <v>35</v>
      </c>
      <c r="H181" s="71" t="s">
        <v>35</v>
      </c>
      <c r="I181" s="71" t="s">
        <v>665</v>
      </c>
      <c r="J181" s="34" t="s">
        <v>49</v>
      </c>
      <c r="K181" s="57" t="s">
        <v>38</v>
      </c>
      <c r="L181" s="72">
        <v>9775.0</v>
      </c>
      <c r="M181" s="22"/>
      <c r="N181" s="73"/>
      <c r="O181" s="28">
        <v>45204.0</v>
      </c>
      <c r="P181" s="35" t="s">
        <v>819</v>
      </c>
      <c r="Q181" s="12"/>
      <c r="R181" s="12"/>
      <c r="S181" s="12"/>
      <c r="T181" s="52">
        <v>45197.0</v>
      </c>
      <c r="U181" s="52">
        <v>45197.0</v>
      </c>
      <c r="V181" s="52">
        <v>45201.0</v>
      </c>
      <c r="W181" s="30"/>
      <c r="X181" s="30"/>
      <c r="Y181" s="31"/>
      <c r="Z181" s="31"/>
      <c r="AA181" s="31"/>
      <c r="AB181" s="74" t="s">
        <v>820</v>
      </c>
      <c r="AC181" s="74"/>
    </row>
    <row r="182" ht="16.5" customHeight="1">
      <c r="A182" s="48" t="s">
        <v>821</v>
      </c>
      <c r="B182" s="53" t="s">
        <v>822</v>
      </c>
      <c r="C182" s="47">
        <v>0.0</v>
      </c>
      <c r="D182" s="70" t="s">
        <v>823</v>
      </c>
      <c r="E182" s="55" t="s">
        <v>188</v>
      </c>
      <c r="F182" s="32" t="s">
        <v>48</v>
      </c>
      <c r="G182" s="32" t="s">
        <v>35</v>
      </c>
      <c r="H182" s="71" t="s">
        <v>35</v>
      </c>
      <c r="I182" s="71" t="s">
        <v>36</v>
      </c>
      <c r="J182" s="34" t="s">
        <v>203</v>
      </c>
      <c r="K182" s="57" t="s">
        <v>38</v>
      </c>
      <c r="L182" s="72">
        <v>10238.0</v>
      </c>
      <c r="M182" s="22"/>
      <c r="N182" s="73"/>
      <c r="O182" s="28">
        <v>45309.0</v>
      </c>
      <c r="P182" s="35" t="s">
        <v>435</v>
      </c>
      <c r="Q182" s="12"/>
      <c r="R182" s="12"/>
      <c r="S182" s="12"/>
      <c r="T182" s="52">
        <v>45197.0</v>
      </c>
      <c r="U182" s="52">
        <v>45306.0</v>
      </c>
      <c r="V182" s="52">
        <v>45309.0</v>
      </c>
      <c r="W182" s="30"/>
      <c r="X182" s="30"/>
      <c r="Y182" s="31"/>
      <c r="Z182" s="31"/>
      <c r="AA182" s="31"/>
      <c r="AB182" s="74" t="s">
        <v>824</v>
      </c>
      <c r="AC182" s="74"/>
    </row>
    <row r="183" ht="16.5" customHeight="1">
      <c r="A183" s="48" t="s">
        <v>825</v>
      </c>
      <c r="B183" s="53" t="s">
        <v>822</v>
      </c>
      <c r="C183" s="47">
        <v>34.0</v>
      </c>
      <c r="D183" s="70" t="s">
        <v>826</v>
      </c>
      <c r="E183" s="55" t="s">
        <v>47</v>
      </c>
      <c r="F183" s="32" t="s">
        <v>48</v>
      </c>
      <c r="G183" s="32" t="s">
        <v>35</v>
      </c>
      <c r="H183" s="71" t="s">
        <v>35</v>
      </c>
      <c r="I183" s="71" t="s">
        <v>36</v>
      </c>
      <c r="J183" s="34" t="s">
        <v>203</v>
      </c>
      <c r="K183" s="57" t="s">
        <v>38</v>
      </c>
      <c r="L183" s="72">
        <v>10238.0</v>
      </c>
      <c r="M183" s="22"/>
      <c r="N183" s="73"/>
      <c r="O183" s="28">
        <v>45309.0</v>
      </c>
      <c r="P183" s="35" t="s">
        <v>827</v>
      </c>
      <c r="Q183" s="12"/>
      <c r="R183" s="12"/>
      <c r="S183" s="12"/>
      <c r="T183" s="52">
        <v>45197.0</v>
      </c>
      <c r="U183" s="52">
        <v>45306.0</v>
      </c>
      <c r="V183" s="52">
        <v>45309.0</v>
      </c>
      <c r="W183" s="30"/>
      <c r="X183" s="30"/>
      <c r="Y183" s="31"/>
      <c r="Z183" s="31"/>
      <c r="AA183" s="31"/>
      <c r="AB183" s="74" t="s">
        <v>828</v>
      </c>
      <c r="AC183" s="74"/>
    </row>
    <row r="184" ht="16.5" customHeight="1">
      <c r="A184" s="48" t="s">
        <v>829</v>
      </c>
      <c r="B184" s="53" t="s">
        <v>830</v>
      </c>
      <c r="C184" s="47">
        <v>0.0</v>
      </c>
      <c r="D184" s="70" t="s">
        <v>831</v>
      </c>
      <c r="E184" s="55" t="s">
        <v>511</v>
      </c>
      <c r="F184" s="32" t="s">
        <v>33</v>
      </c>
      <c r="G184" s="32" t="s">
        <v>34</v>
      </c>
      <c r="H184" s="71" t="s">
        <v>35</v>
      </c>
      <c r="I184" s="71" t="s">
        <v>36</v>
      </c>
      <c r="J184" s="34" t="s">
        <v>37</v>
      </c>
      <c r="K184" s="57" t="s">
        <v>832</v>
      </c>
      <c r="L184" s="72">
        <v>9753.0</v>
      </c>
      <c r="M184" s="22"/>
      <c r="N184" s="73"/>
      <c r="O184" s="28">
        <v>45201.0</v>
      </c>
      <c r="P184" s="35" t="s">
        <v>833</v>
      </c>
      <c r="Q184" s="12"/>
      <c r="R184" s="12"/>
      <c r="S184" s="12"/>
      <c r="T184" s="52">
        <v>45197.0</v>
      </c>
      <c r="U184" s="52">
        <v>45197.0</v>
      </c>
      <c r="V184" s="52">
        <v>45198.0</v>
      </c>
      <c r="W184" s="30"/>
      <c r="X184" s="30"/>
      <c r="Y184" s="31"/>
      <c r="Z184" s="31"/>
      <c r="AA184" s="31"/>
      <c r="AB184" s="74" t="s">
        <v>834</v>
      </c>
      <c r="AC184" s="74"/>
    </row>
    <row r="185" ht="16.5" customHeight="1">
      <c r="A185" s="48" t="s">
        <v>835</v>
      </c>
      <c r="B185" s="53" t="s">
        <v>836</v>
      </c>
      <c r="C185" s="47">
        <v>0.0</v>
      </c>
      <c r="D185" s="70" t="s">
        <v>837</v>
      </c>
      <c r="E185" s="55" t="s">
        <v>177</v>
      </c>
      <c r="F185" s="32" t="s">
        <v>48</v>
      </c>
      <c r="G185" s="32" t="s">
        <v>35</v>
      </c>
      <c r="H185" s="71" t="s">
        <v>35</v>
      </c>
      <c r="I185" s="71" t="s">
        <v>36</v>
      </c>
      <c r="J185" s="34" t="s">
        <v>37</v>
      </c>
      <c r="K185" s="57" t="s">
        <v>838</v>
      </c>
      <c r="L185" s="72" t="s">
        <v>839</v>
      </c>
      <c r="M185" s="22"/>
      <c r="N185" s="73"/>
      <c r="O185" s="28">
        <v>45315.0</v>
      </c>
      <c r="P185" s="35" t="s">
        <v>840</v>
      </c>
      <c r="Q185" s="12"/>
      <c r="R185" s="12"/>
      <c r="S185" s="12"/>
      <c r="T185" s="52">
        <v>45197.0</v>
      </c>
      <c r="U185" s="52">
        <v>45312.0</v>
      </c>
      <c r="V185" s="52">
        <v>45315.0</v>
      </c>
      <c r="W185" s="30"/>
      <c r="X185" s="30"/>
      <c r="Y185" s="31"/>
      <c r="Z185" s="31"/>
      <c r="AA185" s="31"/>
      <c r="AB185" s="74" t="s">
        <v>841</v>
      </c>
      <c r="AC185" s="74"/>
    </row>
    <row r="186" ht="16.5" customHeight="1">
      <c r="A186" s="48" t="s">
        <v>842</v>
      </c>
      <c r="B186" s="53" t="s">
        <v>843</v>
      </c>
      <c r="C186" s="47">
        <v>0.0</v>
      </c>
      <c r="D186" s="70" t="s">
        <v>844</v>
      </c>
      <c r="E186" s="55" t="s">
        <v>165</v>
      </c>
      <c r="F186" s="32" t="s">
        <v>33</v>
      </c>
      <c r="G186" s="32" t="s">
        <v>35</v>
      </c>
      <c r="H186" s="71" t="s">
        <v>35</v>
      </c>
      <c r="I186" s="71" t="s">
        <v>36</v>
      </c>
      <c r="J186" s="34" t="s">
        <v>49</v>
      </c>
      <c r="K186" s="57" t="s">
        <v>38</v>
      </c>
      <c r="L186" s="72">
        <v>9799.0</v>
      </c>
      <c r="M186" s="22"/>
      <c r="N186" s="73"/>
      <c r="O186" s="28">
        <v>45210.0</v>
      </c>
      <c r="P186" s="35" t="s">
        <v>845</v>
      </c>
      <c r="Q186" s="12"/>
      <c r="R186" s="12"/>
      <c r="S186" s="12"/>
      <c r="T186" s="52">
        <v>45197.0</v>
      </c>
      <c r="U186" s="52">
        <v>45202.0</v>
      </c>
      <c r="V186" s="52">
        <v>45203.0</v>
      </c>
      <c r="W186" s="30"/>
      <c r="X186" s="30"/>
      <c r="Y186" s="31"/>
      <c r="Z186" s="31"/>
      <c r="AA186" s="31"/>
      <c r="AB186" s="74" t="s">
        <v>846</v>
      </c>
      <c r="AC186" s="74"/>
    </row>
    <row r="187" ht="16.5" customHeight="1">
      <c r="A187" s="48" t="s">
        <v>847</v>
      </c>
      <c r="B187" s="53" t="s">
        <v>299</v>
      </c>
      <c r="C187" s="47">
        <v>0.0</v>
      </c>
      <c r="D187" s="70" t="s">
        <v>848</v>
      </c>
      <c r="E187" s="55" t="s">
        <v>511</v>
      </c>
      <c r="F187" s="32" t="s">
        <v>33</v>
      </c>
      <c r="G187" s="32" t="s">
        <v>35</v>
      </c>
      <c r="H187" s="71" t="s">
        <v>35</v>
      </c>
      <c r="I187" s="71" t="s">
        <v>36</v>
      </c>
      <c r="J187" s="34" t="s">
        <v>92</v>
      </c>
      <c r="K187" s="57" t="s">
        <v>38</v>
      </c>
      <c r="L187" s="72">
        <v>9752.0</v>
      </c>
      <c r="M187" s="27"/>
      <c r="N187" s="73"/>
      <c r="O187" s="28">
        <v>45231.0</v>
      </c>
      <c r="P187" s="26"/>
      <c r="Q187" s="12"/>
      <c r="R187" s="12"/>
      <c r="S187" s="12"/>
      <c r="T187" s="52">
        <v>45197.0</v>
      </c>
      <c r="U187" s="52">
        <v>45197.0</v>
      </c>
      <c r="V187" s="52">
        <v>45198.0</v>
      </c>
      <c r="W187" s="30"/>
      <c r="X187" s="30"/>
      <c r="Y187" s="31"/>
      <c r="Z187" s="31"/>
      <c r="AA187" s="31"/>
      <c r="AB187" s="74" t="s">
        <v>849</v>
      </c>
      <c r="AC187" s="74"/>
    </row>
    <row r="188" ht="16.5" customHeight="1">
      <c r="A188" s="48" t="s">
        <v>850</v>
      </c>
      <c r="B188" s="53" t="s">
        <v>851</v>
      </c>
      <c r="C188" s="47">
        <v>0.0</v>
      </c>
      <c r="D188" s="70" t="s">
        <v>852</v>
      </c>
      <c r="E188" s="55" t="s">
        <v>511</v>
      </c>
      <c r="F188" s="32" t="s">
        <v>33</v>
      </c>
      <c r="G188" s="32" t="s">
        <v>34</v>
      </c>
      <c r="H188" s="71" t="s">
        <v>35</v>
      </c>
      <c r="I188" s="71" t="s">
        <v>36</v>
      </c>
      <c r="J188" s="34" t="s">
        <v>420</v>
      </c>
      <c r="K188" s="57" t="s">
        <v>38</v>
      </c>
      <c r="L188" s="72">
        <v>9751.0</v>
      </c>
      <c r="M188" s="27"/>
      <c r="N188" s="73"/>
      <c r="O188" s="28">
        <v>45201.0</v>
      </c>
      <c r="P188" s="26"/>
      <c r="Q188" s="12"/>
      <c r="R188" s="12"/>
      <c r="S188" s="12"/>
      <c r="T188" s="52">
        <v>45197.0</v>
      </c>
      <c r="U188" s="52">
        <v>45197.0</v>
      </c>
      <c r="V188" s="52">
        <v>45198.0</v>
      </c>
      <c r="W188" s="30"/>
      <c r="X188" s="30"/>
      <c r="Y188" s="31"/>
      <c r="Z188" s="31"/>
      <c r="AA188" s="31"/>
      <c r="AB188" s="74" t="s">
        <v>853</v>
      </c>
      <c r="AC188" s="74"/>
    </row>
    <row r="189" ht="16.5" customHeight="1">
      <c r="A189" s="48" t="s">
        <v>854</v>
      </c>
      <c r="B189" s="53" t="s">
        <v>851</v>
      </c>
      <c r="C189" s="47">
        <v>0.0</v>
      </c>
      <c r="D189" s="70" t="s">
        <v>855</v>
      </c>
      <c r="E189" s="55" t="s">
        <v>511</v>
      </c>
      <c r="F189" s="32" t="s">
        <v>33</v>
      </c>
      <c r="G189" s="32" t="s">
        <v>34</v>
      </c>
      <c r="H189" s="71" t="s">
        <v>35</v>
      </c>
      <c r="I189" s="71" t="s">
        <v>36</v>
      </c>
      <c r="J189" s="34" t="s">
        <v>420</v>
      </c>
      <c r="K189" s="57" t="s">
        <v>38</v>
      </c>
      <c r="L189" s="72">
        <v>9751.0</v>
      </c>
      <c r="M189" s="27"/>
      <c r="N189" s="73"/>
      <c r="O189" s="28">
        <v>45201.0</v>
      </c>
      <c r="P189" s="26"/>
      <c r="Q189" s="12"/>
      <c r="R189" s="12"/>
      <c r="S189" s="12"/>
      <c r="T189" s="52">
        <v>45197.0</v>
      </c>
      <c r="U189" s="52">
        <v>45197.0</v>
      </c>
      <c r="V189" s="52">
        <v>45198.0</v>
      </c>
      <c r="W189" s="30"/>
      <c r="X189" s="30"/>
      <c r="Y189" s="31"/>
      <c r="Z189" s="31"/>
      <c r="AA189" s="31"/>
      <c r="AB189" s="74" t="s">
        <v>856</v>
      </c>
      <c r="AC189" s="74"/>
    </row>
    <row r="190" ht="16.5" customHeight="1">
      <c r="A190" s="48" t="s">
        <v>857</v>
      </c>
      <c r="B190" s="53" t="s">
        <v>858</v>
      </c>
      <c r="C190" s="47">
        <v>0.0</v>
      </c>
      <c r="D190" s="70" t="s">
        <v>859</v>
      </c>
      <c r="E190" s="55" t="s">
        <v>251</v>
      </c>
      <c r="F190" s="32" t="s">
        <v>33</v>
      </c>
      <c r="G190" s="32" t="s">
        <v>35</v>
      </c>
      <c r="H190" s="71" t="s">
        <v>35</v>
      </c>
      <c r="I190" s="71" t="s">
        <v>36</v>
      </c>
      <c r="J190" s="34" t="s">
        <v>420</v>
      </c>
      <c r="K190" s="57" t="s">
        <v>38</v>
      </c>
      <c r="L190" s="72">
        <v>9774.0</v>
      </c>
      <c r="M190" s="22"/>
      <c r="N190" s="73"/>
      <c r="O190" s="28">
        <v>45204.0</v>
      </c>
      <c r="P190" s="35" t="s">
        <v>860</v>
      </c>
      <c r="Q190" s="12"/>
      <c r="R190" s="12"/>
      <c r="S190" s="12"/>
      <c r="T190" s="52">
        <v>45197.0</v>
      </c>
      <c r="U190" s="52">
        <v>45197.0</v>
      </c>
      <c r="V190" s="52">
        <v>45201.0</v>
      </c>
      <c r="W190" s="30"/>
      <c r="X190" s="30"/>
      <c r="Y190" s="31"/>
      <c r="Z190" s="31"/>
      <c r="AA190" s="31"/>
      <c r="AB190" s="74" t="s">
        <v>861</v>
      </c>
      <c r="AC190" s="74"/>
    </row>
    <row r="191" ht="16.5" customHeight="1">
      <c r="A191" s="48" t="s">
        <v>862</v>
      </c>
      <c r="B191" s="53" t="s">
        <v>858</v>
      </c>
      <c r="C191" s="47">
        <v>0.0</v>
      </c>
      <c r="D191" s="70" t="s">
        <v>863</v>
      </c>
      <c r="E191" s="55" t="s">
        <v>295</v>
      </c>
      <c r="F191" s="32" t="s">
        <v>33</v>
      </c>
      <c r="G191" s="32" t="s">
        <v>35</v>
      </c>
      <c r="H191" s="71" t="s">
        <v>35</v>
      </c>
      <c r="I191" s="71" t="s">
        <v>36</v>
      </c>
      <c r="J191" s="34" t="s">
        <v>420</v>
      </c>
      <c r="K191" s="57" t="s">
        <v>38</v>
      </c>
      <c r="L191" s="72">
        <v>9774.0</v>
      </c>
      <c r="M191" s="22"/>
      <c r="N191" s="73"/>
      <c r="O191" s="28">
        <v>45204.0</v>
      </c>
      <c r="P191" s="35" t="s">
        <v>860</v>
      </c>
      <c r="Q191" s="12"/>
      <c r="R191" s="12"/>
      <c r="S191" s="12"/>
      <c r="T191" s="52">
        <v>45197.0</v>
      </c>
      <c r="U191" s="52">
        <v>45197.0</v>
      </c>
      <c r="V191" s="52">
        <v>45198.0</v>
      </c>
      <c r="W191" s="30"/>
      <c r="X191" s="30"/>
      <c r="Y191" s="31"/>
      <c r="Z191" s="31"/>
      <c r="AA191" s="31"/>
      <c r="AB191" s="74" t="s">
        <v>864</v>
      </c>
      <c r="AC191" s="74"/>
    </row>
    <row r="192" ht="16.5" customHeight="1">
      <c r="A192" s="48" t="s">
        <v>865</v>
      </c>
      <c r="B192" s="53" t="s">
        <v>858</v>
      </c>
      <c r="C192" s="47">
        <v>0.0</v>
      </c>
      <c r="D192" s="70" t="s">
        <v>866</v>
      </c>
      <c r="E192" s="55" t="s">
        <v>213</v>
      </c>
      <c r="F192" s="32" t="s">
        <v>33</v>
      </c>
      <c r="G192" s="32" t="s">
        <v>35</v>
      </c>
      <c r="H192" s="71" t="s">
        <v>35</v>
      </c>
      <c r="I192" s="71" t="s">
        <v>36</v>
      </c>
      <c r="J192" s="34" t="s">
        <v>420</v>
      </c>
      <c r="K192" s="57" t="s">
        <v>38</v>
      </c>
      <c r="L192" s="72">
        <v>9774.0</v>
      </c>
      <c r="M192" s="22"/>
      <c r="N192" s="73"/>
      <c r="O192" s="28">
        <v>45204.0</v>
      </c>
      <c r="P192" s="35" t="s">
        <v>860</v>
      </c>
      <c r="Q192" s="12"/>
      <c r="R192" s="12"/>
      <c r="S192" s="12"/>
      <c r="T192" s="52">
        <v>45197.0</v>
      </c>
      <c r="U192" s="52">
        <v>45197.0</v>
      </c>
      <c r="V192" s="52">
        <v>45201.0</v>
      </c>
      <c r="W192" s="30"/>
      <c r="X192" s="30"/>
      <c r="Y192" s="31"/>
      <c r="Z192" s="31"/>
      <c r="AA192" s="31"/>
      <c r="AB192" s="74" t="s">
        <v>867</v>
      </c>
      <c r="AC192" s="74"/>
    </row>
    <row r="193" ht="16.5" customHeight="1">
      <c r="A193" s="48" t="s">
        <v>868</v>
      </c>
      <c r="B193" s="53" t="s">
        <v>858</v>
      </c>
      <c r="C193" s="47">
        <v>0.0</v>
      </c>
      <c r="D193" s="70" t="s">
        <v>869</v>
      </c>
      <c r="E193" s="55" t="s">
        <v>213</v>
      </c>
      <c r="F193" s="32" t="s">
        <v>33</v>
      </c>
      <c r="G193" s="32" t="s">
        <v>35</v>
      </c>
      <c r="H193" s="71" t="s">
        <v>35</v>
      </c>
      <c r="I193" s="71" t="s">
        <v>36</v>
      </c>
      <c r="J193" s="34" t="s">
        <v>420</v>
      </c>
      <c r="K193" s="57" t="s">
        <v>38</v>
      </c>
      <c r="L193" s="72">
        <v>9774.0</v>
      </c>
      <c r="M193" s="22"/>
      <c r="N193" s="73"/>
      <c r="O193" s="28">
        <v>45204.0</v>
      </c>
      <c r="P193" s="35" t="s">
        <v>860</v>
      </c>
      <c r="Q193" s="12"/>
      <c r="R193" s="12"/>
      <c r="S193" s="12"/>
      <c r="T193" s="52">
        <v>45197.0</v>
      </c>
      <c r="U193" s="52">
        <v>45197.0</v>
      </c>
      <c r="V193" s="52">
        <v>45203.0</v>
      </c>
      <c r="W193" s="30"/>
      <c r="X193" s="30"/>
      <c r="Y193" s="31"/>
      <c r="Z193" s="31"/>
      <c r="AA193" s="31"/>
      <c r="AB193" s="74" t="s">
        <v>870</v>
      </c>
      <c r="AC193" s="74"/>
    </row>
    <row r="194" ht="16.5" customHeight="1">
      <c r="A194" s="48" t="s">
        <v>871</v>
      </c>
      <c r="B194" s="53" t="s">
        <v>746</v>
      </c>
      <c r="C194" s="47">
        <v>34.0</v>
      </c>
      <c r="D194" s="70" t="s">
        <v>872</v>
      </c>
      <c r="E194" s="55" t="s">
        <v>47</v>
      </c>
      <c r="F194" s="32" t="s">
        <v>48</v>
      </c>
      <c r="G194" s="32" t="s">
        <v>35</v>
      </c>
      <c r="H194" s="71" t="s">
        <v>35</v>
      </c>
      <c r="I194" s="71" t="s">
        <v>36</v>
      </c>
      <c r="J194" s="34" t="s">
        <v>65</v>
      </c>
      <c r="K194" s="57" t="s">
        <v>38</v>
      </c>
      <c r="L194" s="72" t="s">
        <v>873</v>
      </c>
      <c r="M194" s="22"/>
      <c r="N194" s="73"/>
      <c r="O194" s="28">
        <v>44998.0</v>
      </c>
      <c r="P194" s="35" t="s">
        <v>874</v>
      </c>
      <c r="Q194" s="12"/>
      <c r="R194" s="12"/>
      <c r="S194" s="12"/>
      <c r="T194" s="52">
        <v>45359.0</v>
      </c>
      <c r="U194" s="52">
        <v>44995.0</v>
      </c>
      <c r="V194" s="52">
        <v>44999.0</v>
      </c>
      <c r="W194" s="30"/>
      <c r="X194" s="30"/>
      <c r="Y194" s="31"/>
      <c r="Z194" s="31"/>
      <c r="AA194" s="31"/>
      <c r="AB194" s="74" t="s">
        <v>875</v>
      </c>
      <c r="AC194" s="74"/>
    </row>
    <row r="195" ht="16.5" customHeight="1">
      <c r="A195" s="48" t="s">
        <v>876</v>
      </c>
      <c r="B195" s="53" t="s">
        <v>169</v>
      </c>
      <c r="C195" s="47">
        <v>90.0</v>
      </c>
      <c r="D195" s="70" t="s">
        <v>877</v>
      </c>
      <c r="E195" s="55" t="s">
        <v>91</v>
      </c>
      <c r="F195" s="32" t="s">
        <v>48</v>
      </c>
      <c r="G195" s="32" t="s">
        <v>35</v>
      </c>
      <c r="H195" s="71" t="s">
        <v>35</v>
      </c>
      <c r="I195" s="71" t="s">
        <v>36</v>
      </c>
      <c r="J195" s="34" t="s">
        <v>65</v>
      </c>
      <c r="K195" s="57" t="s">
        <v>38</v>
      </c>
      <c r="L195" s="72" t="s">
        <v>878</v>
      </c>
      <c r="M195" s="27"/>
      <c r="N195" s="73"/>
      <c r="O195" s="28">
        <v>45308.0</v>
      </c>
      <c r="P195" s="26"/>
      <c r="Q195" s="12"/>
      <c r="R195" s="12"/>
      <c r="S195" s="12"/>
      <c r="T195" s="52">
        <v>45197.0</v>
      </c>
      <c r="U195" s="52">
        <v>45305.0</v>
      </c>
      <c r="V195" s="52">
        <v>45308.0</v>
      </c>
      <c r="W195" s="30"/>
      <c r="X195" s="30"/>
      <c r="Y195" s="31"/>
      <c r="Z195" s="31"/>
      <c r="AA195" s="31"/>
      <c r="AB195" s="74" t="s">
        <v>879</v>
      </c>
      <c r="AC195" s="74"/>
    </row>
    <row r="196" ht="16.5" customHeight="1">
      <c r="A196" s="48" t="s">
        <v>134</v>
      </c>
      <c r="B196" s="53" t="s">
        <v>880</v>
      </c>
      <c r="C196" s="47">
        <v>0.0</v>
      </c>
      <c r="D196" s="70" t="s">
        <v>881</v>
      </c>
      <c r="E196" s="55" t="s">
        <v>882</v>
      </c>
      <c r="F196" s="32" t="s">
        <v>33</v>
      </c>
      <c r="G196" s="32" t="s">
        <v>35</v>
      </c>
      <c r="H196" s="71" t="s">
        <v>35</v>
      </c>
      <c r="I196" s="71" t="s">
        <v>36</v>
      </c>
      <c r="J196" s="34" t="s">
        <v>65</v>
      </c>
      <c r="K196" s="57" t="s">
        <v>38</v>
      </c>
      <c r="L196" s="72">
        <v>9834.0</v>
      </c>
      <c r="M196" s="22"/>
      <c r="N196" s="73"/>
      <c r="O196" s="28">
        <v>45217.0</v>
      </c>
      <c r="P196" s="35" t="s">
        <v>883</v>
      </c>
      <c r="Q196" s="12"/>
      <c r="R196" s="12"/>
      <c r="S196" s="12"/>
      <c r="T196" s="52">
        <v>45197.0</v>
      </c>
      <c r="U196" s="52">
        <v>45197.0</v>
      </c>
      <c r="V196" s="52">
        <v>45203.0</v>
      </c>
      <c r="W196" s="30"/>
      <c r="X196" s="30"/>
      <c r="Y196" s="31"/>
      <c r="Z196" s="31"/>
      <c r="AA196" s="31"/>
      <c r="AB196" s="74" t="s">
        <v>884</v>
      </c>
      <c r="AC196" s="74"/>
    </row>
    <row r="197" ht="16.5" customHeight="1">
      <c r="A197" s="48" t="s">
        <v>885</v>
      </c>
      <c r="B197" s="53" t="s">
        <v>886</v>
      </c>
      <c r="C197" s="47">
        <v>0.0</v>
      </c>
      <c r="D197" s="70" t="s">
        <v>887</v>
      </c>
      <c r="E197" s="55" t="s">
        <v>213</v>
      </c>
      <c r="F197" s="32" t="s">
        <v>33</v>
      </c>
      <c r="G197" s="32" t="s">
        <v>35</v>
      </c>
      <c r="H197" s="71" t="s">
        <v>35</v>
      </c>
      <c r="I197" s="71" t="s">
        <v>36</v>
      </c>
      <c r="J197" s="34" t="s">
        <v>65</v>
      </c>
      <c r="K197" s="57" t="s">
        <v>38</v>
      </c>
      <c r="L197" s="72">
        <v>9750.0</v>
      </c>
      <c r="M197" s="22"/>
      <c r="N197" s="73"/>
      <c r="O197" s="28">
        <v>45198.0</v>
      </c>
      <c r="P197" s="35" t="s">
        <v>888</v>
      </c>
      <c r="Q197" s="12"/>
      <c r="R197" s="12"/>
      <c r="S197" s="12"/>
      <c r="T197" s="52">
        <v>45197.0</v>
      </c>
      <c r="U197" s="52">
        <v>45197.0</v>
      </c>
      <c r="V197" s="52">
        <v>45201.0</v>
      </c>
      <c r="W197" s="30"/>
      <c r="X197" s="30"/>
      <c r="Y197" s="31"/>
      <c r="Z197" s="31"/>
      <c r="AA197" s="31"/>
      <c r="AB197" s="74" t="s">
        <v>889</v>
      </c>
      <c r="AC197" s="74"/>
    </row>
    <row r="198" ht="16.5" customHeight="1">
      <c r="A198" s="48" t="s">
        <v>890</v>
      </c>
      <c r="B198" s="53" t="s">
        <v>388</v>
      </c>
      <c r="C198" s="47">
        <v>0.0</v>
      </c>
      <c r="D198" s="70" t="s">
        <v>891</v>
      </c>
      <c r="E198" s="55" t="s">
        <v>892</v>
      </c>
      <c r="F198" s="32" t="s">
        <v>244</v>
      </c>
      <c r="G198" s="32" t="s">
        <v>35</v>
      </c>
      <c r="H198" s="71" t="s">
        <v>35</v>
      </c>
      <c r="I198" s="71" t="s">
        <v>36</v>
      </c>
      <c r="J198" s="34" t="s">
        <v>65</v>
      </c>
      <c r="K198" s="57" t="s">
        <v>38</v>
      </c>
      <c r="L198" s="72">
        <v>9760.0</v>
      </c>
      <c r="M198" s="22"/>
      <c r="N198" s="73"/>
      <c r="O198" s="28">
        <v>45202.0</v>
      </c>
      <c r="P198" s="35" t="s">
        <v>893</v>
      </c>
      <c r="Q198" s="12"/>
      <c r="R198" s="12"/>
      <c r="S198" s="12"/>
      <c r="T198" s="52">
        <v>45198.0</v>
      </c>
      <c r="U198" s="52">
        <v>45198.0</v>
      </c>
      <c r="V198" s="52">
        <v>45201.0</v>
      </c>
      <c r="W198" s="30"/>
      <c r="X198" s="30"/>
      <c r="Y198" s="31"/>
      <c r="Z198" s="31"/>
      <c r="AA198" s="31"/>
      <c r="AB198" s="74" t="s">
        <v>894</v>
      </c>
      <c r="AC198" s="74"/>
    </row>
    <row r="199" ht="16.5" customHeight="1">
      <c r="A199" s="48" t="s">
        <v>895</v>
      </c>
      <c r="B199" s="53" t="s">
        <v>896</v>
      </c>
      <c r="C199" s="47">
        <v>0.0</v>
      </c>
      <c r="D199" s="70" t="s">
        <v>897</v>
      </c>
      <c r="E199" s="55" t="s">
        <v>171</v>
      </c>
      <c r="F199" s="32" t="s">
        <v>48</v>
      </c>
      <c r="G199" s="32" t="s">
        <v>35</v>
      </c>
      <c r="H199" s="71" t="s">
        <v>35</v>
      </c>
      <c r="I199" s="71" t="s">
        <v>36</v>
      </c>
      <c r="J199" s="34" t="s">
        <v>65</v>
      </c>
      <c r="K199" s="57" t="s">
        <v>38</v>
      </c>
      <c r="L199" s="72" t="s">
        <v>898</v>
      </c>
      <c r="M199" s="22"/>
      <c r="N199" s="73"/>
      <c r="O199" s="28">
        <v>45314.0</v>
      </c>
      <c r="P199" s="35" t="s">
        <v>899</v>
      </c>
      <c r="Q199" s="12"/>
      <c r="R199" s="12"/>
      <c r="S199" s="12"/>
      <c r="T199" s="52">
        <v>45197.0</v>
      </c>
      <c r="U199" s="52">
        <v>45311.0</v>
      </c>
      <c r="V199" s="52">
        <v>45314.0</v>
      </c>
      <c r="W199" s="30"/>
      <c r="X199" s="30"/>
      <c r="Y199" s="31"/>
      <c r="Z199" s="31"/>
      <c r="AA199" s="31"/>
      <c r="AB199" s="74" t="s">
        <v>900</v>
      </c>
      <c r="AC199" s="74"/>
    </row>
    <row r="200" ht="16.5" customHeight="1">
      <c r="A200" s="48" t="s">
        <v>901</v>
      </c>
      <c r="B200" s="53" t="s">
        <v>896</v>
      </c>
      <c r="C200" s="47">
        <v>0.0</v>
      </c>
      <c r="D200" s="70" t="s">
        <v>902</v>
      </c>
      <c r="E200" s="55" t="s">
        <v>171</v>
      </c>
      <c r="F200" s="32" t="s">
        <v>48</v>
      </c>
      <c r="G200" s="32" t="s">
        <v>35</v>
      </c>
      <c r="H200" s="71" t="s">
        <v>35</v>
      </c>
      <c r="I200" s="71" t="s">
        <v>36</v>
      </c>
      <c r="J200" s="34" t="s">
        <v>65</v>
      </c>
      <c r="K200" s="57" t="s">
        <v>38</v>
      </c>
      <c r="L200" s="72" t="s">
        <v>898</v>
      </c>
      <c r="M200" s="22"/>
      <c r="N200" s="73"/>
      <c r="O200" s="28">
        <v>45314.0</v>
      </c>
      <c r="P200" s="35" t="s">
        <v>899</v>
      </c>
      <c r="Q200" s="12"/>
      <c r="R200" s="12"/>
      <c r="S200" s="12"/>
      <c r="T200" s="52">
        <v>45197.0</v>
      </c>
      <c r="U200" s="52">
        <v>45311.0</v>
      </c>
      <c r="V200" s="52">
        <v>45314.0</v>
      </c>
      <c r="W200" s="30"/>
      <c r="X200" s="30"/>
      <c r="Y200" s="31"/>
      <c r="Z200" s="31"/>
      <c r="AA200" s="31"/>
      <c r="AB200" s="74" t="s">
        <v>903</v>
      </c>
      <c r="AC200" s="74"/>
    </row>
    <row r="201" ht="16.5" customHeight="1">
      <c r="A201" s="48" t="s">
        <v>904</v>
      </c>
      <c r="B201" s="53" t="s">
        <v>896</v>
      </c>
      <c r="C201" s="47">
        <v>0.0</v>
      </c>
      <c r="D201" s="70" t="s">
        <v>905</v>
      </c>
      <c r="E201" s="55" t="s">
        <v>171</v>
      </c>
      <c r="F201" s="32" t="s">
        <v>48</v>
      </c>
      <c r="G201" s="32" t="s">
        <v>35</v>
      </c>
      <c r="H201" s="71" t="s">
        <v>35</v>
      </c>
      <c r="I201" s="71" t="s">
        <v>36</v>
      </c>
      <c r="J201" s="34" t="s">
        <v>65</v>
      </c>
      <c r="K201" s="57" t="s">
        <v>38</v>
      </c>
      <c r="L201" s="72" t="s">
        <v>898</v>
      </c>
      <c r="M201" s="22"/>
      <c r="N201" s="73"/>
      <c r="O201" s="28">
        <v>45314.0</v>
      </c>
      <c r="P201" s="35" t="s">
        <v>899</v>
      </c>
      <c r="Q201" s="12"/>
      <c r="R201" s="12"/>
      <c r="S201" s="12"/>
      <c r="T201" s="52">
        <v>45197.0</v>
      </c>
      <c r="U201" s="52">
        <v>45311.0</v>
      </c>
      <c r="V201" s="52">
        <v>45314.0</v>
      </c>
      <c r="W201" s="30"/>
      <c r="X201" s="30"/>
      <c r="Y201" s="31"/>
      <c r="Z201" s="31"/>
      <c r="AA201" s="31"/>
      <c r="AB201" s="74" t="s">
        <v>906</v>
      </c>
      <c r="AC201" s="74"/>
    </row>
    <row r="202" ht="16.5" customHeight="1">
      <c r="A202" s="48" t="s">
        <v>907</v>
      </c>
      <c r="B202" s="53" t="s">
        <v>896</v>
      </c>
      <c r="C202" s="47">
        <v>0.0</v>
      </c>
      <c r="D202" s="70" t="s">
        <v>908</v>
      </c>
      <c r="E202" s="55" t="s">
        <v>171</v>
      </c>
      <c r="F202" s="32" t="s">
        <v>48</v>
      </c>
      <c r="G202" s="32" t="s">
        <v>35</v>
      </c>
      <c r="H202" s="71" t="s">
        <v>35</v>
      </c>
      <c r="I202" s="71" t="s">
        <v>36</v>
      </c>
      <c r="J202" s="34" t="s">
        <v>65</v>
      </c>
      <c r="K202" s="57" t="s">
        <v>38</v>
      </c>
      <c r="L202" s="72" t="s">
        <v>898</v>
      </c>
      <c r="M202" s="22"/>
      <c r="N202" s="73"/>
      <c r="O202" s="28">
        <v>45315.0</v>
      </c>
      <c r="P202" s="35" t="s">
        <v>899</v>
      </c>
      <c r="Q202" s="12"/>
      <c r="R202" s="12"/>
      <c r="S202" s="12"/>
      <c r="T202" s="52">
        <v>45197.0</v>
      </c>
      <c r="U202" s="52">
        <v>45312.0</v>
      </c>
      <c r="V202" s="52">
        <v>45315.0</v>
      </c>
      <c r="W202" s="30"/>
      <c r="X202" s="30"/>
      <c r="Y202" s="31"/>
      <c r="Z202" s="31"/>
      <c r="AA202" s="31"/>
      <c r="AB202" s="74" t="s">
        <v>909</v>
      </c>
      <c r="AC202" s="74"/>
    </row>
    <row r="203" ht="16.5" customHeight="1">
      <c r="A203" s="48" t="s">
        <v>910</v>
      </c>
      <c r="B203" s="53" t="s">
        <v>911</v>
      </c>
      <c r="C203" s="47">
        <v>0.0</v>
      </c>
      <c r="D203" s="70" t="s">
        <v>912</v>
      </c>
      <c r="E203" s="55" t="s">
        <v>913</v>
      </c>
      <c r="F203" s="32" t="s">
        <v>33</v>
      </c>
      <c r="G203" s="32" t="s">
        <v>35</v>
      </c>
      <c r="H203" s="71" t="s">
        <v>35</v>
      </c>
      <c r="I203" s="71" t="s">
        <v>36</v>
      </c>
      <c r="J203" s="34" t="s">
        <v>49</v>
      </c>
      <c r="K203" s="57" t="s">
        <v>38</v>
      </c>
      <c r="L203" s="72">
        <v>9833.0</v>
      </c>
      <c r="M203" s="22"/>
      <c r="N203" s="76"/>
      <c r="O203" s="28">
        <v>45218.0</v>
      </c>
      <c r="P203" s="35" t="s">
        <v>914</v>
      </c>
      <c r="Q203" s="12"/>
      <c r="R203" s="12"/>
      <c r="S203" s="12"/>
      <c r="T203" s="52">
        <v>45197.0</v>
      </c>
      <c r="U203" s="52">
        <v>45197.0</v>
      </c>
      <c r="V203" s="52">
        <v>45216.0</v>
      </c>
      <c r="W203" s="30"/>
      <c r="X203" s="30"/>
      <c r="Y203" s="31"/>
      <c r="Z203" s="31"/>
      <c r="AA203" s="31"/>
      <c r="AB203" s="74" t="s">
        <v>915</v>
      </c>
      <c r="AC203" s="74"/>
    </row>
    <row r="204" ht="16.5" customHeight="1">
      <c r="A204" s="48" t="s">
        <v>916</v>
      </c>
      <c r="B204" s="53" t="s">
        <v>911</v>
      </c>
      <c r="C204" s="47">
        <v>0.0</v>
      </c>
      <c r="D204" s="70" t="s">
        <v>917</v>
      </c>
      <c r="E204" s="55" t="s">
        <v>79</v>
      </c>
      <c r="F204" s="32" t="s">
        <v>33</v>
      </c>
      <c r="G204" s="32" t="s">
        <v>35</v>
      </c>
      <c r="H204" s="71" t="s">
        <v>35</v>
      </c>
      <c r="I204" s="71" t="s">
        <v>36</v>
      </c>
      <c r="J204" s="34" t="s">
        <v>49</v>
      </c>
      <c r="K204" s="57" t="s">
        <v>38</v>
      </c>
      <c r="L204" s="72">
        <v>9780.0</v>
      </c>
      <c r="M204" s="22"/>
      <c r="N204" s="73"/>
      <c r="O204" s="28">
        <v>45209.0</v>
      </c>
      <c r="P204" s="35" t="s">
        <v>914</v>
      </c>
      <c r="Q204" s="12"/>
      <c r="R204" s="12"/>
      <c r="S204" s="12"/>
      <c r="T204" s="52">
        <v>45197.0</v>
      </c>
      <c r="U204" s="52">
        <v>45197.0</v>
      </c>
      <c r="V204" s="52">
        <v>45201.0</v>
      </c>
      <c r="W204" s="30"/>
      <c r="X204" s="30"/>
      <c r="Y204" s="31"/>
      <c r="Z204" s="31"/>
      <c r="AA204" s="31"/>
      <c r="AB204" s="74" t="s">
        <v>918</v>
      </c>
      <c r="AC204" s="74"/>
    </row>
    <row r="205" ht="16.5" customHeight="1">
      <c r="A205" s="48" t="s">
        <v>919</v>
      </c>
      <c r="B205" s="53" t="s">
        <v>911</v>
      </c>
      <c r="C205" s="47">
        <v>0.0</v>
      </c>
      <c r="D205" s="70" t="s">
        <v>920</v>
      </c>
      <c r="E205" s="55" t="s">
        <v>79</v>
      </c>
      <c r="F205" s="32" t="s">
        <v>33</v>
      </c>
      <c r="G205" s="32" t="s">
        <v>35</v>
      </c>
      <c r="H205" s="71" t="s">
        <v>35</v>
      </c>
      <c r="I205" s="71" t="s">
        <v>36</v>
      </c>
      <c r="J205" s="34" t="s">
        <v>49</v>
      </c>
      <c r="K205" s="57" t="s">
        <v>38</v>
      </c>
      <c r="L205" s="72">
        <v>9780.0</v>
      </c>
      <c r="M205" s="22"/>
      <c r="N205" s="73"/>
      <c r="O205" s="28">
        <v>45209.0</v>
      </c>
      <c r="P205" s="35" t="s">
        <v>914</v>
      </c>
      <c r="Q205" s="12"/>
      <c r="R205" s="12"/>
      <c r="S205" s="12"/>
      <c r="T205" s="52">
        <v>45197.0</v>
      </c>
      <c r="U205" s="52">
        <v>45197.0</v>
      </c>
      <c r="V205" s="52">
        <v>45201.0</v>
      </c>
      <c r="W205" s="30"/>
      <c r="X205" s="30"/>
      <c r="Y205" s="31"/>
      <c r="Z205" s="31"/>
      <c r="AA205" s="31"/>
      <c r="AB205" s="74" t="s">
        <v>921</v>
      </c>
      <c r="AC205" s="74"/>
    </row>
    <row r="206" ht="16.5" customHeight="1">
      <c r="A206" s="48" t="s">
        <v>922</v>
      </c>
      <c r="B206" s="53" t="s">
        <v>911</v>
      </c>
      <c r="C206" s="47">
        <v>0.0</v>
      </c>
      <c r="D206" s="70" t="s">
        <v>923</v>
      </c>
      <c r="E206" s="55" t="s">
        <v>79</v>
      </c>
      <c r="F206" s="32" t="s">
        <v>33</v>
      </c>
      <c r="G206" s="32" t="s">
        <v>35</v>
      </c>
      <c r="H206" s="71" t="s">
        <v>35</v>
      </c>
      <c r="I206" s="71" t="s">
        <v>36</v>
      </c>
      <c r="J206" s="34" t="s">
        <v>49</v>
      </c>
      <c r="K206" s="57" t="s">
        <v>38</v>
      </c>
      <c r="L206" s="72">
        <v>9780.0</v>
      </c>
      <c r="M206" s="22"/>
      <c r="N206" s="73"/>
      <c r="O206" s="28">
        <v>45209.0</v>
      </c>
      <c r="P206" s="35" t="s">
        <v>914</v>
      </c>
      <c r="Q206" s="12"/>
      <c r="R206" s="12"/>
      <c r="S206" s="12"/>
      <c r="T206" s="52">
        <v>45197.0</v>
      </c>
      <c r="U206" s="52">
        <v>45197.0</v>
      </c>
      <c r="V206" s="52">
        <v>45201.0</v>
      </c>
      <c r="W206" s="30"/>
      <c r="X206" s="30"/>
      <c r="Y206" s="31"/>
      <c r="Z206" s="31"/>
      <c r="AA206" s="31"/>
      <c r="AB206" s="74" t="s">
        <v>924</v>
      </c>
      <c r="AC206" s="74"/>
    </row>
    <row r="207" ht="16.5" customHeight="1">
      <c r="A207" s="48" t="s">
        <v>925</v>
      </c>
      <c r="B207" s="53" t="s">
        <v>911</v>
      </c>
      <c r="C207" s="47">
        <v>0.0</v>
      </c>
      <c r="D207" s="70" t="s">
        <v>926</v>
      </c>
      <c r="E207" s="55" t="s">
        <v>79</v>
      </c>
      <c r="F207" s="32" t="s">
        <v>33</v>
      </c>
      <c r="G207" s="32" t="s">
        <v>35</v>
      </c>
      <c r="H207" s="71" t="s">
        <v>35</v>
      </c>
      <c r="I207" s="71" t="s">
        <v>36</v>
      </c>
      <c r="J207" s="34" t="s">
        <v>49</v>
      </c>
      <c r="K207" s="57" t="s">
        <v>38</v>
      </c>
      <c r="L207" s="72">
        <v>9780.0</v>
      </c>
      <c r="M207" s="22"/>
      <c r="N207" s="73"/>
      <c r="O207" s="28">
        <v>45209.0</v>
      </c>
      <c r="P207" s="35" t="s">
        <v>914</v>
      </c>
      <c r="Q207" s="12"/>
      <c r="R207" s="12"/>
      <c r="S207" s="12"/>
      <c r="T207" s="52">
        <v>45197.0</v>
      </c>
      <c r="U207" s="52">
        <v>45197.0</v>
      </c>
      <c r="V207" s="52">
        <v>45201.0</v>
      </c>
      <c r="W207" s="30"/>
      <c r="X207" s="30"/>
      <c r="Y207" s="31"/>
      <c r="Z207" s="31"/>
      <c r="AA207" s="31"/>
      <c r="AB207" s="74" t="s">
        <v>927</v>
      </c>
      <c r="AC207" s="74"/>
    </row>
    <row r="208" ht="16.5" customHeight="1">
      <c r="A208" s="48" t="s">
        <v>928</v>
      </c>
      <c r="B208" s="53" t="s">
        <v>911</v>
      </c>
      <c r="C208" s="47">
        <v>0.0</v>
      </c>
      <c r="D208" s="70" t="s">
        <v>929</v>
      </c>
      <c r="E208" s="55" t="s">
        <v>217</v>
      </c>
      <c r="F208" s="32" t="s">
        <v>33</v>
      </c>
      <c r="G208" s="32" t="s">
        <v>35</v>
      </c>
      <c r="H208" s="71" t="s">
        <v>35</v>
      </c>
      <c r="I208" s="71" t="s">
        <v>36</v>
      </c>
      <c r="J208" s="34" t="s">
        <v>49</v>
      </c>
      <c r="K208" s="57" t="s">
        <v>38</v>
      </c>
      <c r="L208" s="72">
        <v>9848.0</v>
      </c>
      <c r="M208" s="22"/>
      <c r="N208" s="76"/>
      <c r="O208" s="28">
        <v>45218.0</v>
      </c>
      <c r="P208" s="35" t="s">
        <v>914</v>
      </c>
      <c r="Q208" s="12"/>
      <c r="R208" s="12"/>
      <c r="S208" s="12"/>
      <c r="T208" s="52">
        <v>45197.0</v>
      </c>
      <c r="U208" s="52">
        <v>45197.0</v>
      </c>
      <c r="V208" s="52">
        <v>45217.0</v>
      </c>
      <c r="W208" s="30"/>
      <c r="X208" s="30"/>
      <c r="Y208" s="31"/>
      <c r="Z208" s="31"/>
      <c r="AA208" s="31"/>
      <c r="AB208" s="74" t="s">
        <v>930</v>
      </c>
      <c r="AC208" s="74"/>
    </row>
    <row r="209" ht="16.5" customHeight="1">
      <c r="A209" s="48" t="s">
        <v>931</v>
      </c>
      <c r="B209" s="53" t="s">
        <v>932</v>
      </c>
      <c r="C209" s="47">
        <v>0.0</v>
      </c>
      <c r="D209" s="70" t="s">
        <v>933</v>
      </c>
      <c r="E209" s="55" t="s">
        <v>213</v>
      </c>
      <c r="F209" s="32" t="s">
        <v>33</v>
      </c>
      <c r="G209" s="32" t="s">
        <v>35</v>
      </c>
      <c r="H209" s="71" t="s">
        <v>35</v>
      </c>
      <c r="I209" s="71" t="s">
        <v>36</v>
      </c>
      <c r="J209" s="34" t="s">
        <v>92</v>
      </c>
      <c r="K209" s="57" t="s">
        <v>38</v>
      </c>
      <c r="L209" s="72">
        <v>9773.0</v>
      </c>
      <c r="M209" s="27"/>
      <c r="N209" s="73"/>
      <c r="O209" s="28">
        <v>45204.0</v>
      </c>
      <c r="P209" s="26"/>
      <c r="Q209" s="12"/>
      <c r="R209" s="12"/>
      <c r="S209" s="12"/>
      <c r="T209" s="52">
        <v>45197.0</v>
      </c>
      <c r="U209" s="52">
        <v>45201.0</v>
      </c>
      <c r="V209" s="52">
        <v>45203.0</v>
      </c>
      <c r="W209" s="30"/>
      <c r="X209" s="30"/>
      <c r="Y209" s="31"/>
      <c r="Z209" s="31"/>
      <c r="AA209" s="31"/>
      <c r="AB209" s="74" t="s">
        <v>934</v>
      </c>
      <c r="AC209" s="74"/>
    </row>
    <row r="210" ht="16.5" customHeight="1">
      <c r="A210" s="48" t="s">
        <v>935</v>
      </c>
      <c r="B210" s="53" t="s">
        <v>936</v>
      </c>
      <c r="C210" s="47">
        <v>0.0</v>
      </c>
      <c r="D210" s="70" t="s">
        <v>937</v>
      </c>
      <c r="E210" s="55" t="s">
        <v>664</v>
      </c>
      <c r="F210" s="32" t="s">
        <v>48</v>
      </c>
      <c r="G210" s="32" t="s">
        <v>35</v>
      </c>
      <c r="H210" s="71" t="s">
        <v>35</v>
      </c>
      <c r="I210" s="71" t="s">
        <v>36</v>
      </c>
      <c r="J210" s="34" t="s">
        <v>92</v>
      </c>
      <c r="K210" s="57" t="s">
        <v>38</v>
      </c>
      <c r="L210" s="72">
        <v>10268.0</v>
      </c>
      <c r="M210" s="22"/>
      <c r="N210" s="73"/>
      <c r="O210" s="28">
        <v>45310.0</v>
      </c>
      <c r="P210" s="35" t="s">
        <v>938</v>
      </c>
      <c r="Q210" s="12"/>
      <c r="R210" s="12"/>
      <c r="S210" s="12"/>
      <c r="T210" s="52">
        <v>45198.0</v>
      </c>
      <c r="U210" s="52">
        <v>45307.0</v>
      </c>
      <c r="V210" s="52">
        <v>45310.0</v>
      </c>
      <c r="W210" s="30"/>
      <c r="X210" s="30"/>
      <c r="Y210" s="31"/>
      <c r="Z210" s="31"/>
      <c r="AA210" s="31"/>
      <c r="AB210" s="74" t="s">
        <v>939</v>
      </c>
      <c r="AC210" s="74"/>
    </row>
    <row r="211" ht="16.5" customHeight="1">
      <c r="A211" s="48" t="s">
        <v>940</v>
      </c>
      <c r="B211" s="53" t="s">
        <v>941</v>
      </c>
      <c r="C211" s="47">
        <v>0.0</v>
      </c>
      <c r="D211" s="70" t="s">
        <v>942</v>
      </c>
      <c r="E211" s="55" t="s">
        <v>268</v>
      </c>
      <c r="F211" s="32" t="s">
        <v>33</v>
      </c>
      <c r="G211" s="32" t="s">
        <v>35</v>
      </c>
      <c r="H211" s="71" t="s">
        <v>35</v>
      </c>
      <c r="I211" s="71" t="s">
        <v>36</v>
      </c>
      <c r="J211" s="34" t="s">
        <v>434</v>
      </c>
      <c r="K211" s="57" t="s">
        <v>38</v>
      </c>
      <c r="L211" s="72">
        <v>9772.0</v>
      </c>
      <c r="M211" s="22"/>
      <c r="N211" s="73"/>
      <c r="O211" s="28">
        <v>45204.0</v>
      </c>
      <c r="P211" s="35" t="s">
        <v>943</v>
      </c>
      <c r="Q211" s="12"/>
      <c r="R211" s="12"/>
      <c r="S211" s="12"/>
      <c r="T211" s="52">
        <v>45198.0</v>
      </c>
      <c r="U211" s="52">
        <v>45198.0</v>
      </c>
      <c r="V211" s="52">
        <v>45203.0</v>
      </c>
      <c r="W211" s="30"/>
      <c r="X211" s="30"/>
      <c r="Y211" s="31"/>
      <c r="Z211" s="31"/>
      <c r="AA211" s="31"/>
      <c r="AB211" s="74" t="s">
        <v>944</v>
      </c>
      <c r="AC211" s="74"/>
    </row>
    <row r="212" ht="16.5" customHeight="1">
      <c r="A212" s="48" t="s">
        <v>945</v>
      </c>
      <c r="B212" s="53" t="s">
        <v>946</v>
      </c>
      <c r="C212" s="47">
        <v>0.0</v>
      </c>
      <c r="D212" s="70" t="s">
        <v>947</v>
      </c>
      <c r="E212" s="55" t="s">
        <v>453</v>
      </c>
      <c r="F212" s="32" t="s">
        <v>244</v>
      </c>
      <c r="G212" s="32" t="s">
        <v>35</v>
      </c>
      <c r="H212" s="71" t="s">
        <v>35</v>
      </c>
      <c r="I212" s="71" t="s">
        <v>36</v>
      </c>
      <c r="J212" s="34" t="s">
        <v>49</v>
      </c>
      <c r="K212" s="57" t="s">
        <v>38</v>
      </c>
      <c r="L212" s="72">
        <v>9849.0</v>
      </c>
      <c r="M212" s="27"/>
      <c r="N212" s="76"/>
      <c r="O212" s="28">
        <v>45218.0</v>
      </c>
      <c r="P212" s="26"/>
      <c r="Q212" s="12"/>
      <c r="R212" s="12"/>
      <c r="S212" s="12"/>
      <c r="T212" s="52">
        <v>45198.0</v>
      </c>
      <c r="U212" s="52">
        <v>45210.0</v>
      </c>
      <c r="V212" s="52">
        <v>45217.0</v>
      </c>
      <c r="W212" s="30"/>
      <c r="X212" s="30"/>
      <c r="Y212" s="31"/>
      <c r="Z212" s="31"/>
      <c r="AA212" s="31"/>
      <c r="AB212" s="74" t="s">
        <v>948</v>
      </c>
      <c r="AC212" s="74"/>
    </row>
    <row r="213" ht="16.5" customHeight="1">
      <c r="A213" s="48" t="s">
        <v>949</v>
      </c>
      <c r="B213" s="53" t="s">
        <v>946</v>
      </c>
      <c r="C213" s="47">
        <v>0.0</v>
      </c>
      <c r="D213" s="70" t="s">
        <v>950</v>
      </c>
      <c r="E213" s="55" t="s">
        <v>453</v>
      </c>
      <c r="F213" s="32" t="s">
        <v>244</v>
      </c>
      <c r="G213" s="32" t="s">
        <v>35</v>
      </c>
      <c r="H213" s="71" t="s">
        <v>35</v>
      </c>
      <c r="I213" s="71" t="s">
        <v>36</v>
      </c>
      <c r="J213" s="34" t="s">
        <v>49</v>
      </c>
      <c r="K213" s="57" t="s">
        <v>38</v>
      </c>
      <c r="L213" s="72">
        <v>9849.0</v>
      </c>
      <c r="M213" s="27"/>
      <c r="N213" s="76"/>
      <c r="O213" s="28">
        <v>45218.0</v>
      </c>
      <c r="P213" s="26"/>
      <c r="Q213" s="12"/>
      <c r="R213" s="12"/>
      <c r="S213" s="12"/>
      <c r="T213" s="52">
        <v>45198.0</v>
      </c>
      <c r="U213" s="52">
        <v>45210.0</v>
      </c>
      <c r="V213" s="52">
        <v>45217.0</v>
      </c>
      <c r="W213" s="30"/>
      <c r="X213" s="30"/>
      <c r="Y213" s="31"/>
      <c r="Z213" s="31"/>
      <c r="AA213" s="31"/>
      <c r="AB213" s="74" t="s">
        <v>951</v>
      </c>
      <c r="AC213" s="74"/>
    </row>
    <row r="214" ht="16.5" customHeight="1">
      <c r="A214" s="48" t="s">
        <v>952</v>
      </c>
      <c r="B214" s="53" t="s">
        <v>946</v>
      </c>
      <c r="C214" s="47">
        <v>0.0</v>
      </c>
      <c r="D214" s="70" t="s">
        <v>953</v>
      </c>
      <c r="E214" s="55" t="s">
        <v>453</v>
      </c>
      <c r="F214" s="32" t="s">
        <v>244</v>
      </c>
      <c r="G214" s="32" t="s">
        <v>35</v>
      </c>
      <c r="H214" s="71" t="s">
        <v>35</v>
      </c>
      <c r="I214" s="71" t="s">
        <v>36</v>
      </c>
      <c r="J214" s="34" t="s">
        <v>49</v>
      </c>
      <c r="K214" s="57" t="s">
        <v>38</v>
      </c>
      <c r="L214" s="72">
        <v>9849.0</v>
      </c>
      <c r="M214" s="27"/>
      <c r="N214" s="76"/>
      <c r="O214" s="28">
        <v>45218.0</v>
      </c>
      <c r="P214" s="26"/>
      <c r="Q214" s="12"/>
      <c r="R214" s="12"/>
      <c r="S214" s="12"/>
      <c r="T214" s="52">
        <v>45198.0</v>
      </c>
      <c r="U214" s="52">
        <v>45210.0</v>
      </c>
      <c r="V214" s="52">
        <v>45217.0</v>
      </c>
      <c r="W214" s="30"/>
      <c r="X214" s="30"/>
      <c r="Y214" s="31"/>
      <c r="Z214" s="31"/>
      <c r="AA214" s="31"/>
      <c r="AB214" s="74" t="s">
        <v>954</v>
      </c>
      <c r="AC214" s="74"/>
    </row>
    <row r="215" ht="16.5" customHeight="1">
      <c r="A215" s="48" t="s">
        <v>955</v>
      </c>
      <c r="B215" s="53" t="s">
        <v>946</v>
      </c>
      <c r="C215" s="47">
        <v>0.0</v>
      </c>
      <c r="D215" s="70" t="s">
        <v>956</v>
      </c>
      <c r="E215" s="55" t="s">
        <v>453</v>
      </c>
      <c r="F215" s="32" t="s">
        <v>244</v>
      </c>
      <c r="G215" s="32" t="s">
        <v>35</v>
      </c>
      <c r="H215" s="71" t="s">
        <v>35</v>
      </c>
      <c r="I215" s="71" t="s">
        <v>36</v>
      </c>
      <c r="J215" s="34" t="s">
        <v>49</v>
      </c>
      <c r="K215" s="57" t="s">
        <v>38</v>
      </c>
      <c r="L215" s="72">
        <v>9849.0</v>
      </c>
      <c r="M215" s="27"/>
      <c r="N215" s="76"/>
      <c r="O215" s="28">
        <v>45218.0</v>
      </c>
      <c r="P215" s="26"/>
      <c r="Q215" s="12"/>
      <c r="R215" s="12"/>
      <c r="S215" s="12"/>
      <c r="T215" s="52">
        <v>45198.0</v>
      </c>
      <c r="U215" s="52">
        <v>45210.0</v>
      </c>
      <c r="V215" s="52">
        <v>45217.0</v>
      </c>
      <c r="W215" s="30"/>
      <c r="X215" s="30"/>
      <c r="Y215" s="31"/>
      <c r="Z215" s="31"/>
      <c r="AA215" s="31"/>
      <c r="AB215" s="74" t="s">
        <v>957</v>
      </c>
      <c r="AC215" s="74"/>
    </row>
    <row r="216" ht="16.5" customHeight="1">
      <c r="A216" s="48" t="s">
        <v>958</v>
      </c>
      <c r="B216" s="53" t="s">
        <v>946</v>
      </c>
      <c r="C216" s="47">
        <v>0.0</v>
      </c>
      <c r="D216" s="70" t="s">
        <v>959</v>
      </c>
      <c r="E216" s="55" t="s">
        <v>453</v>
      </c>
      <c r="F216" s="32" t="s">
        <v>244</v>
      </c>
      <c r="G216" s="32" t="s">
        <v>35</v>
      </c>
      <c r="H216" s="71" t="s">
        <v>35</v>
      </c>
      <c r="I216" s="71" t="s">
        <v>36</v>
      </c>
      <c r="J216" s="34" t="s">
        <v>49</v>
      </c>
      <c r="K216" s="57" t="s">
        <v>38</v>
      </c>
      <c r="L216" s="72">
        <v>9849.0</v>
      </c>
      <c r="M216" s="27"/>
      <c r="N216" s="76"/>
      <c r="O216" s="28">
        <v>45218.0</v>
      </c>
      <c r="P216" s="26"/>
      <c r="Q216" s="12"/>
      <c r="R216" s="12"/>
      <c r="S216" s="12"/>
      <c r="T216" s="52">
        <v>45198.0</v>
      </c>
      <c r="U216" s="52">
        <v>45210.0</v>
      </c>
      <c r="V216" s="52">
        <v>45217.0</v>
      </c>
      <c r="W216" s="30"/>
      <c r="X216" s="30"/>
      <c r="Y216" s="31"/>
      <c r="Z216" s="31"/>
      <c r="AA216" s="31"/>
      <c r="AB216" s="74" t="s">
        <v>960</v>
      </c>
      <c r="AC216" s="74"/>
    </row>
    <row r="217" ht="16.5" customHeight="1">
      <c r="A217" s="48" t="s">
        <v>961</v>
      </c>
      <c r="B217" s="53" t="s">
        <v>946</v>
      </c>
      <c r="C217" s="47">
        <v>0.0</v>
      </c>
      <c r="D217" s="70" t="s">
        <v>962</v>
      </c>
      <c r="E217" s="55" t="s">
        <v>453</v>
      </c>
      <c r="F217" s="32" t="s">
        <v>244</v>
      </c>
      <c r="G217" s="32" t="s">
        <v>35</v>
      </c>
      <c r="H217" s="71" t="s">
        <v>35</v>
      </c>
      <c r="I217" s="71" t="s">
        <v>36</v>
      </c>
      <c r="J217" s="34" t="s">
        <v>49</v>
      </c>
      <c r="K217" s="57" t="s">
        <v>38</v>
      </c>
      <c r="L217" s="72">
        <v>9849.0</v>
      </c>
      <c r="M217" s="27"/>
      <c r="N217" s="76"/>
      <c r="O217" s="28">
        <v>45218.0</v>
      </c>
      <c r="P217" s="26"/>
      <c r="Q217" s="12"/>
      <c r="R217" s="12"/>
      <c r="S217" s="12"/>
      <c r="T217" s="52">
        <v>45198.0</v>
      </c>
      <c r="U217" s="52">
        <v>45210.0</v>
      </c>
      <c r="V217" s="52">
        <v>45217.0</v>
      </c>
      <c r="W217" s="30"/>
      <c r="X217" s="30"/>
      <c r="Y217" s="31"/>
      <c r="Z217" s="31"/>
      <c r="AA217" s="31"/>
      <c r="AB217" s="74" t="s">
        <v>963</v>
      </c>
      <c r="AC217" s="74"/>
    </row>
    <row r="218" ht="16.5" customHeight="1">
      <c r="A218" s="48" t="s">
        <v>964</v>
      </c>
      <c r="B218" s="53" t="s">
        <v>946</v>
      </c>
      <c r="C218" s="47">
        <v>0.0</v>
      </c>
      <c r="D218" s="70" t="s">
        <v>965</v>
      </c>
      <c r="E218" s="55" t="s">
        <v>453</v>
      </c>
      <c r="F218" s="32" t="s">
        <v>244</v>
      </c>
      <c r="G218" s="32" t="s">
        <v>35</v>
      </c>
      <c r="H218" s="71" t="s">
        <v>35</v>
      </c>
      <c r="I218" s="71" t="s">
        <v>36</v>
      </c>
      <c r="J218" s="34" t="s">
        <v>49</v>
      </c>
      <c r="K218" s="57" t="s">
        <v>38</v>
      </c>
      <c r="L218" s="72">
        <v>9849.0</v>
      </c>
      <c r="M218" s="27"/>
      <c r="N218" s="76"/>
      <c r="O218" s="28">
        <v>45218.0</v>
      </c>
      <c r="P218" s="26"/>
      <c r="Q218" s="12"/>
      <c r="R218" s="12"/>
      <c r="S218" s="12"/>
      <c r="T218" s="52">
        <v>45198.0</v>
      </c>
      <c r="U218" s="52">
        <v>45210.0</v>
      </c>
      <c r="V218" s="52">
        <v>45217.0</v>
      </c>
      <c r="W218" s="30"/>
      <c r="X218" s="30"/>
      <c r="Y218" s="31"/>
      <c r="Z218" s="31"/>
      <c r="AA218" s="31"/>
      <c r="AB218" s="74" t="s">
        <v>966</v>
      </c>
      <c r="AC218" s="74"/>
    </row>
    <row r="219" ht="16.5" customHeight="1">
      <c r="A219" s="48" t="s">
        <v>967</v>
      </c>
      <c r="B219" s="53" t="s">
        <v>946</v>
      </c>
      <c r="C219" s="47">
        <v>0.0</v>
      </c>
      <c r="D219" s="70" t="s">
        <v>968</v>
      </c>
      <c r="E219" s="55" t="s">
        <v>453</v>
      </c>
      <c r="F219" s="32" t="s">
        <v>244</v>
      </c>
      <c r="G219" s="32" t="s">
        <v>35</v>
      </c>
      <c r="H219" s="71" t="s">
        <v>35</v>
      </c>
      <c r="I219" s="71" t="s">
        <v>36</v>
      </c>
      <c r="J219" s="34" t="s">
        <v>49</v>
      </c>
      <c r="K219" s="57" t="s">
        <v>38</v>
      </c>
      <c r="L219" s="72">
        <v>9849.0</v>
      </c>
      <c r="M219" s="27"/>
      <c r="N219" s="76"/>
      <c r="O219" s="28">
        <v>45218.0</v>
      </c>
      <c r="P219" s="26"/>
      <c r="Q219" s="12"/>
      <c r="R219" s="12"/>
      <c r="S219" s="12"/>
      <c r="T219" s="52">
        <v>45198.0</v>
      </c>
      <c r="U219" s="52">
        <v>45210.0</v>
      </c>
      <c r="V219" s="52">
        <v>45217.0</v>
      </c>
      <c r="W219" s="30"/>
      <c r="X219" s="30"/>
      <c r="Y219" s="31"/>
      <c r="Z219" s="31"/>
      <c r="AA219" s="31"/>
      <c r="AB219" s="74" t="s">
        <v>969</v>
      </c>
      <c r="AC219" s="74"/>
    </row>
    <row r="220" ht="16.5" customHeight="1">
      <c r="A220" s="48" t="s">
        <v>970</v>
      </c>
      <c r="B220" s="53" t="s">
        <v>946</v>
      </c>
      <c r="C220" s="47">
        <v>0.0</v>
      </c>
      <c r="D220" s="70" t="s">
        <v>971</v>
      </c>
      <c r="E220" s="55" t="s">
        <v>453</v>
      </c>
      <c r="F220" s="32" t="s">
        <v>244</v>
      </c>
      <c r="G220" s="32" t="s">
        <v>35</v>
      </c>
      <c r="H220" s="71" t="s">
        <v>35</v>
      </c>
      <c r="I220" s="71" t="s">
        <v>36</v>
      </c>
      <c r="J220" s="34" t="s">
        <v>49</v>
      </c>
      <c r="K220" s="57" t="s">
        <v>38</v>
      </c>
      <c r="L220" s="72">
        <v>9849.0</v>
      </c>
      <c r="M220" s="27"/>
      <c r="N220" s="76"/>
      <c r="O220" s="28">
        <v>45218.0</v>
      </c>
      <c r="P220" s="26"/>
      <c r="Q220" s="12"/>
      <c r="R220" s="12"/>
      <c r="S220" s="12"/>
      <c r="T220" s="52">
        <v>45198.0</v>
      </c>
      <c r="U220" s="52">
        <v>45210.0</v>
      </c>
      <c r="V220" s="52">
        <v>45217.0</v>
      </c>
      <c r="W220" s="30"/>
      <c r="X220" s="30"/>
      <c r="Y220" s="31"/>
      <c r="Z220" s="31"/>
      <c r="AA220" s="31"/>
      <c r="AB220" s="74" t="s">
        <v>972</v>
      </c>
      <c r="AC220" s="74"/>
    </row>
    <row r="221" ht="16.5" customHeight="1">
      <c r="A221" s="48" t="s">
        <v>973</v>
      </c>
      <c r="B221" s="53" t="s">
        <v>974</v>
      </c>
      <c r="C221" s="47">
        <v>0.0</v>
      </c>
      <c r="D221" s="70" t="s">
        <v>975</v>
      </c>
      <c r="E221" s="55" t="s">
        <v>165</v>
      </c>
      <c r="F221" s="32" t="s">
        <v>33</v>
      </c>
      <c r="G221" s="32" t="s">
        <v>34</v>
      </c>
      <c r="H221" s="71" t="s">
        <v>35</v>
      </c>
      <c r="I221" s="71" t="s">
        <v>36</v>
      </c>
      <c r="J221" s="34" t="s">
        <v>203</v>
      </c>
      <c r="K221" s="57" t="s">
        <v>38</v>
      </c>
      <c r="L221" s="72">
        <v>9860.0</v>
      </c>
      <c r="M221" s="27"/>
      <c r="N221" s="73"/>
      <c r="O221" s="28">
        <v>45223.0</v>
      </c>
      <c r="P221" s="26"/>
      <c r="Q221" s="12"/>
      <c r="R221" s="12"/>
      <c r="S221" s="12"/>
      <c r="T221" s="52">
        <v>45198.0</v>
      </c>
      <c r="U221" s="52">
        <v>45198.0</v>
      </c>
      <c r="V221" s="52">
        <v>45202.0</v>
      </c>
      <c r="W221" s="30"/>
      <c r="X221" s="30"/>
      <c r="Y221" s="31"/>
      <c r="Z221" s="31"/>
      <c r="AA221" s="31"/>
      <c r="AB221" s="74" t="s">
        <v>976</v>
      </c>
      <c r="AC221" s="74"/>
    </row>
    <row r="222" ht="16.5" customHeight="1">
      <c r="A222" s="48" t="s">
        <v>977</v>
      </c>
      <c r="B222" s="53" t="s">
        <v>974</v>
      </c>
      <c r="C222" s="47">
        <v>0.0</v>
      </c>
      <c r="D222" s="70" t="s">
        <v>978</v>
      </c>
      <c r="E222" s="55" t="s">
        <v>979</v>
      </c>
      <c r="F222" s="32" t="s">
        <v>33</v>
      </c>
      <c r="G222" s="32" t="s">
        <v>34</v>
      </c>
      <c r="H222" s="71" t="s">
        <v>980</v>
      </c>
      <c r="I222" s="71" t="s">
        <v>36</v>
      </c>
      <c r="J222" s="34" t="s">
        <v>203</v>
      </c>
      <c r="K222" s="57" t="s">
        <v>38</v>
      </c>
      <c r="L222" s="72">
        <v>9993.0</v>
      </c>
      <c r="M222" s="27"/>
      <c r="N222" s="76"/>
      <c r="O222" s="28">
        <v>45252.0</v>
      </c>
      <c r="P222" s="26"/>
      <c r="Q222" s="12"/>
      <c r="R222" s="12"/>
      <c r="S222" s="12"/>
      <c r="T222" s="52">
        <v>45198.0</v>
      </c>
      <c r="U222" s="52">
        <v>45246.0</v>
      </c>
      <c r="V222" s="52">
        <v>45246.0</v>
      </c>
      <c r="W222" s="30"/>
      <c r="X222" s="30"/>
      <c r="Y222" s="31"/>
      <c r="Z222" s="31"/>
      <c r="AA222" s="31"/>
      <c r="AB222" s="74" t="s">
        <v>981</v>
      </c>
      <c r="AC222" s="74"/>
    </row>
    <row r="223" ht="16.5" customHeight="1">
      <c r="A223" s="48" t="s">
        <v>982</v>
      </c>
      <c r="B223" s="53" t="s">
        <v>974</v>
      </c>
      <c r="C223" s="47">
        <v>0.0</v>
      </c>
      <c r="D223" s="70" t="s">
        <v>983</v>
      </c>
      <c r="E223" s="55" t="s">
        <v>98</v>
      </c>
      <c r="F223" s="32" t="s">
        <v>33</v>
      </c>
      <c r="G223" s="32" t="s">
        <v>35</v>
      </c>
      <c r="H223" s="71" t="s">
        <v>35</v>
      </c>
      <c r="I223" s="71" t="s">
        <v>984</v>
      </c>
      <c r="J223" s="34" t="s">
        <v>203</v>
      </c>
      <c r="K223" s="57" t="s">
        <v>38</v>
      </c>
      <c r="L223" s="72"/>
      <c r="M223" s="22"/>
      <c r="N223" s="26"/>
      <c r="O223" s="28"/>
      <c r="P223" s="35" t="s">
        <v>985</v>
      </c>
      <c r="Q223" s="12"/>
      <c r="R223" s="12"/>
      <c r="S223" s="12"/>
      <c r="T223" s="52">
        <v>45198.0</v>
      </c>
      <c r="U223" s="29"/>
      <c r="V223" s="29"/>
      <c r="W223" s="30"/>
      <c r="X223" s="30"/>
      <c r="Y223" s="31"/>
      <c r="Z223" s="31"/>
      <c r="AA223" s="31"/>
      <c r="AB223" s="74" t="s">
        <v>986</v>
      </c>
      <c r="AC223" s="74"/>
    </row>
    <row r="224" ht="16.5" customHeight="1">
      <c r="A224" s="48" t="s">
        <v>987</v>
      </c>
      <c r="B224" s="53" t="s">
        <v>974</v>
      </c>
      <c r="C224" s="47">
        <v>0.0</v>
      </c>
      <c r="D224" s="70" t="s">
        <v>983</v>
      </c>
      <c r="E224" s="55" t="s">
        <v>988</v>
      </c>
      <c r="F224" s="32" t="s">
        <v>33</v>
      </c>
      <c r="G224" s="32" t="s">
        <v>35</v>
      </c>
      <c r="H224" s="71" t="s">
        <v>35</v>
      </c>
      <c r="I224" s="71" t="s">
        <v>984</v>
      </c>
      <c r="J224" s="34" t="s">
        <v>203</v>
      </c>
      <c r="K224" s="57" t="s">
        <v>38</v>
      </c>
      <c r="L224" s="72"/>
      <c r="M224" s="22"/>
      <c r="N224" s="26"/>
      <c r="O224" s="28"/>
      <c r="P224" s="35" t="s">
        <v>985</v>
      </c>
      <c r="Q224" s="12"/>
      <c r="R224" s="12"/>
      <c r="S224" s="12"/>
      <c r="T224" s="52">
        <v>45198.0</v>
      </c>
      <c r="U224" s="29"/>
      <c r="V224" s="29"/>
      <c r="W224" s="30"/>
      <c r="X224" s="30"/>
      <c r="Y224" s="31"/>
      <c r="Z224" s="31"/>
      <c r="AA224" s="31"/>
      <c r="AB224" s="74" t="s">
        <v>989</v>
      </c>
      <c r="AC224" s="74"/>
    </row>
    <row r="225" ht="16.5" customHeight="1">
      <c r="A225" s="48" t="s">
        <v>990</v>
      </c>
      <c r="B225" s="53" t="s">
        <v>991</v>
      </c>
      <c r="C225" s="47">
        <v>0.0</v>
      </c>
      <c r="D225" s="70" t="s">
        <v>992</v>
      </c>
      <c r="E225" s="55" t="s">
        <v>408</v>
      </c>
      <c r="F225" s="32" t="s">
        <v>33</v>
      </c>
      <c r="G225" s="32" t="s">
        <v>35</v>
      </c>
      <c r="H225" s="71" t="s">
        <v>35</v>
      </c>
      <c r="I225" s="71" t="s">
        <v>36</v>
      </c>
      <c r="J225" s="34" t="s">
        <v>37</v>
      </c>
      <c r="K225" s="57" t="s">
        <v>993</v>
      </c>
      <c r="L225" s="72">
        <v>9771.0</v>
      </c>
      <c r="M225" s="22"/>
      <c r="N225" s="73"/>
      <c r="O225" s="28">
        <v>45204.0</v>
      </c>
      <c r="P225" s="35" t="s">
        <v>994</v>
      </c>
      <c r="Q225" s="12"/>
      <c r="R225" s="12"/>
      <c r="S225" s="12"/>
      <c r="T225" s="52">
        <v>45198.0</v>
      </c>
      <c r="U225" s="52">
        <v>45201.0</v>
      </c>
      <c r="V225" s="52">
        <v>45203.0</v>
      </c>
      <c r="W225" s="30"/>
      <c r="X225" s="30"/>
      <c r="Y225" s="31"/>
      <c r="Z225" s="31"/>
      <c r="AA225" s="31"/>
      <c r="AB225" s="74" t="s">
        <v>995</v>
      </c>
      <c r="AC225" s="74"/>
    </row>
    <row r="226" ht="16.5" customHeight="1">
      <c r="A226" s="48" t="s">
        <v>996</v>
      </c>
      <c r="B226" s="53" t="s">
        <v>498</v>
      </c>
      <c r="C226" s="47">
        <v>0.0</v>
      </c>
      <c r="D226" s="70" t="s">
        <v>997</v>
      </c>
      <c r="E226" s="55" t="s">
        <v>79</v>
      </c>
      <c r="F226" s="32" t="s">
        <v>33</v>
      </c>
      <c r="G226" s="32" t="s">
        <v>34</v>
      </c>
      <c r="H226" s="71" t="s">
        <v>35</v>
      </c>
      <c r="I226" s="71" t="s">
        <v>36</v>
      </c>
      <c r="J226" s="34" t="s">
        <v>420</v>
      </c>
      <c r="K226" s="57" t="s">
        <v>38</v>
      </c>
      <c r="L226" s="72">
        <v>9770.0</v>
      </c>
      <c r="M226" s="22"/>
      <c r="N226" s="73"/>
      <c r="O226" s="28">
        <v>45204.0</v>
      </c>
      <c r="P226" s="35" t="s">
        <v>998</v>
      </c>
      <c r="Q226" s="12"/>
      <c r="R226" s="12"/>
      <c r="S226" s="12"/>
      <c r="T226" s="52">
        <v>45198.0</v>
      </c>
      <c r="U226" s="52">
        <v>45201.0</v>
      </c>
      <c r="V226" s="52">
        <v>45203.0</v>
      </c>
      <c r="W226" s="30"/>
      <c r="X226" s="30"/>
      <c r="Y226" s="31"/>
      <c r="Z226" s="31"/>
      <c r="AA226" s="31"/>
      <c r="AB226" s="74" t="s">
        <v>999</v>
      </c>
      <c r="AC226" s="74"/>
    </row>
    <row r="227" ht="16.5" customHeight="1">
      <c r="A227" s="48" t="s">
        <v>1000</v>
      </c>
      <c r="B227" s="53" t="s">
        <v>498</v>
      </c>
      <c r="C227" s="47">
        <v>0.0</v>
      </c>
      <c r="D227" s="70" t="s">
        <v>1001</v>
      </c>
      <c r="E227" s="55" t="s">
        <v>301</v>
      </c>
      <c r="F227" s="32" t="s">
        <v>33</v>
      </c>
      <c r="G227" s="32" t="s">
        <v>34</v>
      </c>
      <c r="H227" s="71" t="s">
        <v>35</v>
      </c>
      <c r="I227" s="71" t="s">
        <v>36</v>
      </c>
      <c r="J227" s="34" t="s">
        <v>420</v>
      </c>
      <c r="K227" s="57" t="s">
        <v>38</v>
      </c>
      <c r="L227" s="72">
        <v>9770.0</v>
      </c>
      <c r="M227" s="22"/>
      <c r="N227" s="73"/>
      <c r="O227" s="28">
        <v>45204.0</v>
      </c>
      <c r="P227" s="35" t="s">
        <v>998</v>
      </c>
      <c r="Q227" s="12"/>
      <c r="R227" s="12"/>
      <c r="S227" s="12"/>
      <c r="T227" s="52">
        <v>45198.0</v>
      </c>
      <c r="U227" s="52">
        <v>45201.0</v>
      </c>
      <c r="V227" s="52">
        <v>45203.0</v>
      </c>
      <c r="W227" s="30"/>
      <c r="X227" s="30"/>
      <c r="Y227" s="31"/>
      <c r="Z227" s="31"/>
      <c r="AA227" s="31"/>
      <c r="AB227" s="74" t="s">
        <v>1002</v>
      </c>
      <c r="AC227" s="74"/>
    </row>
    <row r="228" ht="16.5" customHeight="1">
      <c r="A228" s="48" t="s">
        <v>1003</v>
      </c>
      <c r="B228" s="53" t="s">
        <v>498</v>
      </c>
      <c r="C228" s="47">
        <v>0.0</v>
      </c>
      <c r="D228" s="70" t="s">
        <v>1004</v>
      </c>
      <c r="E228" s="55" t="s">
        <v>511</v>
      </c>
      <c r="F228" s="32" t="s">
        <v>33</v>
      </c>
      <c r="G228" s="32" t="s">
        <v>34</v>
      </c>
      <c r="H228" s="71" t="s">
        <v>35</v>
      </c>
      <c r="I228" s="71" t="s">
        <v>36</v>
      </c>
      <c r="J228" s="34" t="s">
        <v>420</v>
      </c>
      <c r="K228" s="57" t="s">
        <v>38</v>
      </c>
      <c r="L228" s="72">
        <v>9770.0</v>
      </c>
      <c r="M228" s="22"/>
      <c r="N228" s="73"/>
      <c r="O228" s="28">
        <v>45204.0</v>
      </c>
      <c r="P228" s="35" t="s">
        <v>998</v>
      </c>
      <c r="Q228" s="12"/>
      <c r="R228" s="12"/>
      <c r="S228" s="12"/>
      <c r="T228" s="52">
        <v>45198.0</v>
      </c>
      <c r="U228" s="52">
        <v>45201.0</v>
      </c>
      <c r="V228" s="52">
        <v>45203.0</v>
      </c>
      <c r="W228" s="30"/>
      <c r="X228" s="30"/>
      <c r="Y228" s="31"/>
      <c r="Z228" s="31"/>
      <c r="AA228" s="31"/>
      <c r="AB228" s="74" t="s">
        <v>1005</v>
      </c>
      <c r="AC228" s="74"/>
    </row>
    <row r="229" ht="16.5" customHeight="1">
      <c r="A229" s="48" t="s">
        <v>1006</v>
      </c>
      <c r="B229" s="53" t="s">
        <v>401</v>
      </c>
      <c r="C229" s="47">
        <v>0.0</v>
      </c>
      <c r="D229" s="70" t="s">
        <v>1007</v>
      </c>
      <c r="E229" s="55" t="s">
        <v>117</v>
      </c>
      <c r="F229" s="32" t="s">
        <v>33</v>
      </c>
      <c r="G229" s="32" t="s">
        <v>35</v>
      </c>
      <c r="H229" s="71" t="s">
        <v>35</v>
      </c>
      <c r="I229" s="71" t="s">
        <v>665</v>
      </c>
      <c r="J229" s="34" t="s">
        <v>65</v>
      </c>
      <c r="K229" s="57" t="s">
        <v>38</v>
      </c>
      <c r="L229" s="72">
        <v>9784.0</v>
      </c>
      <c r="M229" s="22"/>
      <c r="N229" s="73"/>
      <c r="O229" s="28">
        <v>45210.0</v>
      </c>
      <c r="P229" s="35" t="s">
        <v>1008</v>
      </c>
      <c r="Q229" s="12"/>
      <c r="R229" s="12"/>
      <c r="S229" s="12"/>
      <c r="T229" s="52">
        <v>45201.0</v>
      </c>
      <c r="U229" s="52">
        <v>45202.0</v>
      </c>
      <c r="V229" s="52">
        <v>45205.0</v>
      </c>
      <c r="W229" s="30"/>
      <c r="X229" s="30"/>
      <c r="Y229" s="31"/>
      <c r="Z229" s="31"/>
      <c r="AA229" s="31"/>
      <c r="AB229" s="74" t="s">
        <v>1009</v>
      </c>
      <c r="AC229" s="74"/>
    </row>
    <row r="230" ht="16.5" customHeight="1">
      <c r="A230" s="48" t="s">
        <v>1010</v>
      </c>
      <c r="B230" s="53" t="s">
        <v>401</v>
      </c>
      <c r="C230" s="47">
        <v>0.0</v>
      </c>
      <c r="D230" s="70" t="s">
        <v>1011</v>
      </c>
      <c r="E230" s="55" t="s">
        <v>383</v>
      </c>
      <c r="F230" s="32" t="s">
        <v>33</v>
      </c>
      <c r="G230" s="32" t="s">
        <v>35</v>
      </c>
      <c r="H230" s="71" t="s">
        <v>35</v>
      </c>
      <c r="I230" s="71" t="s">
        <v>665</v>
      </c>
      <c r="J230" s="34" t="s">
        <v>65</v>
      </c>
      <c r="K230" s="57" t="s">
        <v>38</v>
      </c>
      <c r="L230" s="72">
        <v>9830.0</v>
      </c>
      <c r="M230" s="22"/>
      <c r="N230" s="76"/>
      <c r="O230" s="28">
        <v>45217.0</v>
      </c>
      <c r="P230" s="35" t="s">
        <v>1012</v>
      </c>
      <c r="Q230" s="12"/>
      <c r="R230" s="12"/>
      <c r="S230" s="12"/>
      <c r="T230" s="52">
        <v>45201.0</v>
      </c>
      <c r="U230" s="52">
        <v>45209.0</v>
      </c>
      <c r="V230" s="52">
        <v>45216.0</v>
      </c>
      <c r="W230" s="30"/>
      <c r="X230" s="30"/>
      <c r="Y230" s="31"/>
      <c r="Z230" s="31"/>
      <c r="AA230" s="31"/>
      <c r="AB230" s="74" t="s">
        <v>1013</v>
      </c>
      <c r="AC230" s="74"/>
    </row>
    <row r="231" ht="16.5" customHeight="1">
      <c r="A231" s="48" t="s">
        <v>1014</v>
      </c>
      <c r="B231" s="53" t="s">
        <v>401</v>
      </c>
      <c r="C231" s="47">
        <v>0.0</v>
      </c>
      <c r="D231" s="70" t="s">
        <v>1015</v>
      </c>
      <c r="E231" s="55" t="s">
        <v>117</v>
      </c>
      <c r="F231" s="32" t="s">
        <v>33</v>
      </c>
      <c r="G231" s="32" t="s">
        <v>35</v>
      </c>
      <c r="H231" s="71" t="s">
        <v>35</v>
      </c>
      <c r="I231" s="71" t="s">
        <v>665</v>
      </c>
      <c r="J231" s="34" t="s">
        <v>65</v>
      </c>
      <c r="K231" s="57" t="s">
        <v>38</v>
      </c>
      <c r="L231" s="72">
        <v>9785.0</v>
      </c>
      <c r="M231" s="22"/>
      <c r="N231" s="73"/>
      <c r="O231" s="28">
        <v>45210.0</v>
      </c>
      <c r="P231" s="35" t="s">
        <v>1016</v>
      </c>
      <c r="Q231" s="12"/>
      <c r="R231" s="12"/>
      <c r="S231" s="12"/>
      <c r="T231" s="52">
        <v>45201.0</v>
      </c>
      <c r="U231" s="52">
        <v>45202.0</v>
      </c>
      <c r="V231" s="52">
        <v>45205.0</v>
      </c>
      <c r="W231" s="30"/>
      <c r="X231" s="30"/>
      <c r="Y231" s="31"/>
      <c r="Z231" s="31"/>
      <c r="AA231" s="31"/>
      <c r="AB231" s="74" t="s">
        <v>1017</v>
      </c>
      <c r="AC231" s="74"/>
    </row>
    <row r="232" ht="16.5" customHeight="1">
      <c r="A232" s="48" t="s">
        <v>1018</v>
      </c>
      <c r="B232" s="53" t="s">
        <v>401</v>
      </c>
      <c r="C232" s="47">
        <v>0.0</v>
      </c>
      <c r="D232" s="70" t="s">
        <v>1019</v>
      </c>
      <c r="E232" s="55" t="s">
        <v>338</v>
      </c>
      <c r="F232" s="32" t="s">
        <v>33</v>
      </c>
      <c r="G232" s="32" t="s">
        <v>35</v>
      </c>
      <c r="H232" s="71" t="s">
        <v>35</v>
      </c>
      <c r="I232" s="71" t="s">
        <v>665</v>
      </c>
      <c r="J232" s="34" t="s">
        <v>65</v>
      </c>
      <c r="K232" s="57" t="s">
        <v>38</v>
      </c>
      <c r="L232" s="72">
        <v>9786.0</v>
      </c>
      <c r="M232" s="22"/>
      <c r="N232" s="73"/>
      <c r="O232" s="28">
        <v>45210.0</v>
      </c>
      <c r="P232" s="35" t="s">
        <v>1020</v>
      </c>
      <c r="Q232" s="12"/>
      <c r="R232" s="12"/>
      <c r="S232" s="12"/>
      <c r="T232" s="52">
        <v>45201.0</v>
      </c>
      <c r="U232" s="52">
        <v>45202.0</v>
      </c>
      <c r="V232" s="52">
        <v>45203.0</v>
      </c>
      <c r="W232" s="30"/>
      <c r="X232" s="30"/>
      <c r="Y232" s="31"/>
      <c r="Z232" s="31"/>
      <c r="AA232" s="31"/>
      <c r="AB232" s="74" t="s">
        <v>1021</v>
      </c>
      <c r="AC232" s="74"/>
    </row>
    <row r="233" ht="16.5" customHeight="1">
      <c r="A233" s="48" t="s">
        <v>1022</v>
      </c>
      <c r="B233" s="53" t="s">
        <v>401</v>
      </c>
      <c r="C233" s="47">
        <v>0.0</v>
      </c>
      <c r="D233" s="70" t="s">
        <v>1023</v>
      </c>
      <c r="E233" s="55" t="s">
        <v>338</v>
      </c>
      <c r="F233" s="32" t="s">
        <v>33</v>
      </c>
      <c r="G233" s="32" t="s">
        <v>35</v>
      </c>
      <c r="H233" s="71" t="s">
        <v>35</v>
      </c>
      <c r="I233" s="71" t="s">
        <v>665</v>
      </c>
      <c r="J233" s="34" t="s">
        <v>65</v>
      </c>
      <c r="K233" s="57" t="s">
        <v>38</v>
      </c>
      <c r="L233" s="72">
        <v>9787.0</v>
      </c>
      <c r="M233" s="22"/>
      <c r="N233" s="76"/>
      <c r="O233" s="28">
        <v>45210.0</v>
      </c>
      <c r="P233" s="35" t="s">
        <v>1024</v>
      </c>
      <c r="Q233" s="12"/>
      <c r="R233" s="12"/>
      <c r="S233" s="12"/>
      <c r="T233" s="52">
        <v>45201.0</v>
      </c>
      <c r="U233" s="52">
        <v>45202.0</v>
      </c>
      <c r="V233" s="52">
        <v>45209.0</v>
      </c>
      <c r="W233" s="30"/>
      <c r="X233" s="30"/>
      <c r="Y233" s="31"/>
      <c r="Z233" s="31"/>
      <c r="AA233" s="31"/>
      <c r="AB233" s="74" t="s">
        <v>1025</v>
      </c>
      <c r="AC233" s="74"/>
    </row>
    <row r="234" ht="16.5" customHeight="1">
      <c r="A234" s="48" t="s">
        <v>1026</v>
      </c>
      <c r="B234" s="53" t="s">
        <v>401</v>
      </c>
      <c r="C234" s="47">
        <v>0.0</v>
      </c>
      <c r="D234" s="70"/>
      <c r="E234" s="55" t="s">
        <v>1027</v>
      </c>
      <c r="F234" s="32" t="s">
        <v>33</v>
      </c>
      <c r="G234" s="32" t="s">
        <v>35</v>
      </c>
      <c r="H234" s="71" t="s">
        <v>35</v>
      </c>
      <c r="I234" s="71" t="s">
        <v>36</v>
      </c>
      <c r="J234" s="34" t="s">
        <v>65</v>
      </c>
      <c r="K234" s="57" t="s">
        <v>38</v>
      </c>
      <c r="L234" s="72">
        <v>9846.0</v>
      </c>
      <c r="M234" s="22"/>
      <c r="N234" s="76"/>
      <c r="O234" s="28">
        <v>45219.0</v>
      </c>
      <c r="P234" s="35" t="s">
        <v>1028</v>
      </c>
      <c r="Q234" s="12"/>
      <c r="R234" s="12"/>
      <c r="S234" s="12"/>
      <c r="T234" s="52">
        <v>45201.0</v>
      </c>
      <c r="U234" s="52">
        <v>45209.0</v>
      </c>
      <c r="V234" s="52">
        <v>45217.0</v>
      </c>
      <c r="W234" s="30"/>
      <c r="X234" s="30"/>
      <c r="Y234" s="31"/>
      <c r="Z234" s="31"/>
      <c r="AA234" s="31"/>
      <c r="AB234" s="74" t="s">
        <v>1029</v>
      </c>
      <c r="AC234" s="74"/>
    </row>
    <row r="235" ht="16.5" customHeight="1">
      <c r="A235" s="48" t="s">
        <v>1030</v>
      </c>
      <c r="B235" s="53" t="s">
        <v>401</v>
      </c>
      <c r="C235" s="47">
        <v>0.0</v>
      </c>
      <c r="D235" s="70" t="s">
        <v>1031</v>
      </c>
      <c r="E235" s="55" t="s">
        <v>79</v>
      </c>
      <c r="F235" s="32" t="s">
        <v>33</v>
      </c>
      <c r="G235" s="32" t="s">
        <v>35</v>
      </c>
      <c r="H235" s="71" t="s">
        <v>35</v>
      </c>
      <c r="I235" s="71" t="s">
        <v>665</v>
      </c>
      <c r="J235" s="34" t="s">
        <v>65</v>
      </c>
      <c r="K235" s="57" t="s">
        <v>38</v>
      </c>
      <c r="L235" s="72">
        <v>9788.0</v>
      </c>
      <c r="M235" s="22"/>
      <c r="N235" s="73"/>
      <c r="O235" s="28">
        <v>45210.0</v>
      </c>
      <c r="P235" s="35" t="s">
        <v>1032</v>
      </c>
      <c r="Q235" s="12"/>
      <c r="R235" s="12"/>
      <c r="S235" s="12"/>
      <c r="T235" s="52">
        <v>45201.0</v>
      </c>
      <c r="U235" s="52">
        <v>45202.0</v>
      </c>
      <c r="V235" s="52">
        <v>45205.0</v>
      </c>
      <c r="W235" s="30"/>
      <c r="X235" s="30"/>
      <c r="Y235" s="31"/>
      <c r="Z235" s="31"/>
      <c r="AA235" s="31"/>
      <c r="AB235" s="74" t="s">
        <v>1033</v>
      </c>
      <c r="AC235" s="74"/>
    </row>
    <row r="236" ht="16.5" customHeight="1">
      <c r="A236" s="48" t="s">
        <v>1034</v>
      </c>
      <c r="B236" s="53" t="s">
        <v>401</v>
      </c>
      <c r="C236" s="47">
        <v>0.0</v>
      </c>
      <c r="D236" s="70" t="s">
        <v>1035</v>
      </c>
      <c r="E236" s="55" t="s">
        <v>79</v>
      </c>
      <c r="F236" s="32" t="s">
        <v>33</v>
      </c>
      <c r="G236" s="32" t="s">
        <v>35</v>
      </c>
      <c r="H236" s="71" t="s">
        <v>35</v>
      </c>
      <c r="I236" s="71" t="s">
        <v>665</v>
      </c>
      <c r="J236" s="34" t="s">
        <v>65</v>
      </c>
      <c r="K236" s="57" t="s">
        <v>38</v>
      </c>
      <c r="L236" s="72">
        <v>9789.0</v>
      </c>
      <c r="M236" s="22"/>
      <c r="N236" s="73"/>
      <c r="O236" s="28">
        <v>45210.0</v>
      </c>
      <c r="P236" s="35" t="s">
        <v>1036</v>
      </c>
      <c r="Q236" s="12"/>
      <c r="R236" s="12"/>
      <c r="S236" s="12"/>
      <c r="T236" s="52">
        <v>45201.0</v>
      </c>
      <c r="U236" s="52">
        <v>45202.0</v>
      </c>
      <c r="V236" s="52">
        <v>45203.0</v>
      </c>
      <c r="W236" s="30"/>
      <c r="X236" s="30"/>
      <c r="Y236" s="31"/>
      <c r="Z236" s="31"/>
      <c r="AA236" s="31"/>
      <c r="AB236" s="74" t="s">
        <v>1037</v>
      </c>
      <c r="AC236" s="74"/>
    </row>
    <row r="237" ht="16.5" customHeight="1">
      <c r="A237" s="48" t="s">
        <v>1038</v>
      </c>
      <c r="B237" s="53" t="s">
        <v>401</v>
      </c>
      <c r="C237" s="47">
        <v>0.0</v>
      </c>
      <c r="D237" s="70" t="s">
        <v>1039</v>
      </c>
      <c r="E237" s="55" t="s">
        <v>1040</v>
      </c>
      <c r="F237" s="32" t="s">
        <v>33</v>
      </c>
      <c r="G237" s="32" t="s">
        <v>35</v>
      </c>
      <c r="H237" s="71" t="s">
        <v>35</v>
      </c>
      <c r="I237" s="71" t="s">
        <v>665</v>
      </c>
      <c r="J237" s="34" t="s">
        <v>65</v>
      </c>
      <c r="K237" s="57" t="s">
        <v>38</v>
      </c>
      <c r="L237" s="72">
        <v>9790.0</v>
      </c>
      <c r="M237" s="22"/>
      <c r="N237" s="76"/>
      <c r="O237" s="28">
        <v>45210.0</v>
      </c>
      <c r="P237" s="35" t="s">
        <v>1041</v>
      </c>
      <c r="Q237" s="12"/>
      <c r="R237" s="12"/>
      <c r="S237" s="12"/>
      <c r="T237" s="52">
        <v>45201.0</v>
      </c>
      <c r="U237" s="52">
        <v>45202.0</v>
      </c>
      <c r="V237" s="52">
        <v>45209.0</v>
      </c>
      <c r="W237" s="30"/>
      <c r="X237" s="30"/>
      <c r="Y237" s="31"/>
      <c r="Z237" s="31"/>
      <c r="AA237" s="31"/>
      <c r="AB237" s="74" t="s">
        <v>1042</v>
      </c>
      <c r="AC237" s="74"/>
    </row>
    <row r="238" ht="16.5" customHeight="1">
      <c r="A238" s="48" t="s">
        <v>1043</v>
      </c>
      <c r="B238" s="53" t="s">
        <v>401</v>
      </c>
      <c r="C238" s="47">
        <v>0.0</v>
      </c>
      <c r="D238" s="70" t="s">
        <v>1044</v>
      </c>
      <c r="E238" s="55" t="s">
        <v>383</v>
      </c>
      <c r="F238" s="32" t="s">
        <v>33</v>
      </c>
      <c r="G238" s="32" t="s">
        <v>35</v>
      </c>
      <c r="H238" s="71" t="s">
        <v>35</v>
      </c>
      <c r="I238" s="71" t="s">
        <v>665</v>
      </c>
      <c r="J238" s="34" t="s">
        <v>65</v>
      </c>
      <c r="K238" s="57" t="s">
        <v>38</v>
      </c>
      <c r="L238" s="72">
        <v>9831.0</v>
      </c>
      <c r="M238" s="22"/>
      <c r="N238" s="76"/>
      <c r="O238" s="28">
        <v>45217.0</v>
      </c>
      <c r="P238" s="35" t="s">
        <v>1045</v>
      </c>
      <c r="Q238" s="12"/>
      <c r="R238" s="12"/>
      <c r="S238" s="12"/>
      <c r="T238" s="52">
        <v>45201.0</v>
      </c>
      <c r="U238" s="52">
        <v>45209.0</v>
      </c>
      <c r="V238" s="52">
        <v>45216.0</v>
      </c>
      <c r="W238" s="30"/>
      <c r="X238" s="30"/>
      <c r="Y238" s="31"/>
      <c r="Z238" s="31"/>
      <c r="AA238" s="31"/>
      <c r="AB238" s="74" t="s">
        <v>1046</v>
      </c>
      <c r="AC238" s="74"/>
    </row>
    <row r="239" ht="16.5" customHeight="1">
      <c r="A239" s="48" t="s">
        <v>1047</v>
      </c>
      <c r="B239" s="53" t="s">
        <v>401</v>
      </c>
      <c r="C239" s="47">
        <v>0.0</v>
      </c>
      <c r="D239" s="70" t="s">
        <v>1048</v>
      </c>
      <c r="E239" s="55" t="s">
        <v>1027</v>
      </c>
      <c r="F239" s="32" t="s">
        <v>33</v>
      </c>
      <c r="G239" s="32" t="s">
        <v>35</v>
      </c>
      <c r="H239" s="71" t="s">
        <v>35</v>
      </c>
      <c r="I239" s="71" t="s">
        <v>665</v>
      </c>
      <c r="J239" s="34" t="s">
        <v>65</v>
      </c>
      <c r="K239" s="57" t="s">
        <v>38</v>
      </c>
      <c r="L239" s="72">
        <v>9832.0</v>
      </c>
      <c r="M239" s="22"/>
      <c r="N239" s="76"/>
      <c r="O239" s="28">
        <v>45217.0</v>
      </c>
      <c r="P239" s="35" t="s">
        <v>1049</v>
      </c>
      <c r="Q239" s="12"/>
      <c r="R239" s="12"/>
      <c r="S239" s="12"/>
      <c r="T239" s="52">
        <v>45201.0</v>
      </c>
      <c r="U239" s="52">
        <v>45209.0</v>
      </c>
      <c r="V239" s="52">
        <v>45216.0</v>
      </c>
      <c r="W239" s="30"/>
      <c r="X239" s="30"/>
      <c r="Y239" s="31"/>
      <c r="Z239" s="31"/>
      <c r="AA239" s="31"/>
      <c r="AB239" s="74" t="s">
        <v>1050</v>
      </c>
      <c r="AC239" s="74"/>
    </row>
    <row r="240" ht="16.5" customHeight="1">
      <c r="A240" s="48" t="s">
        <v>1051</v>
      </c>
      <c r="B240" s="53" t="s">
        <v>401</v>
      </c>
      <c r="C240" s="47">
        <v>0.0</v>
      </c>
      <c r="D240" s="70" t="s">
        <v>1052</v>
      </c>
      <c r="E240" s="55" t="s">
        <v>232</v>
      </c>
      <c r="F240" s="32" t="s">
        <v>33</v>
      </c>
      <c r="G240" s="32" t="s">
        <v>35</v>
      </c>
      <c r="H240" s="71" t="s">
        <v>35</v>
      </c>
      <c r="I240" s="71" t="s">
        <v>665</v>
      </c>
      <c r="J240" s="34" t="s">
        <v>65</v>
      </c>
      <c r="K240" s="57" t="s">
        <v>38</v>
      </c>
      <c r="L240" s="72">
        <v>9791.0</v>
      </c>
      <c r="M240" s="22"/>
      <c r="N240" s="26"/>
      <c r="O240" s="28">
        <v>45210.0</v>
      </c>
      <c r="P240" s="35" t="s">
        <v>1053</v>
      </c>
      <c r="Q240" s="12"/>
      <c r="R240" s="12"/>
      <c r="S240" s="12"/>
      <c r="T240" s="52">
        <v>45201.0</v>
      </c>
      <c r="U240" s="29"/>
      <c r="V240" s="29"/>
      <c r="W240" s="30"/>
      <c r="X240" s="30"/>
      <c r="Y240" s="31"/>
      <c r="Z240" s="31"/>
      <c r="AA240" s="31"/>
      <c r="AB240" s="74" t="s">
        <v>1054</v>
      </c>
      <c r="AC240" s="74"/>
    </row>
    <row r="241" ht="16.5" customHeight="1">
      <c r="A241" s="48" t="s">
        <v>1055</v>
      </c>
      <c r="B241" s="53" t="s">
        <v>388</v>
      </c>
      <c r="C241" s="47">
        <v>0.0</v>
      </c>
      <c r="D241" s="70" t="s">
        <v>1056</v>
      </c>
      <c r="E241" s="55" t="s">
        <v>491</v>
      </c>
      <c r="F241" s="32" t="s">
        <v>33</v>
      </c>
      <c r="G241" s="32" t="s">
        <v>35</v>
      </c>
      <c r="H241" s="71" t="s">
        <v>35</v>
      </c>
      <c r="I241" s="71" t="s">
        <v>36</v>
      </c>
      <c r="J241" s="34" t="s">
        <v>65</v>
      </c>
      <c r="K241" s="57" t="s">
        <v>38</v>
      </c>
      <c r="L241" s="72">
        <v>9781.0</v>
      </c>
      <c r="M241" s="27"/>
      <c r="N241" s="76"/>
      <c r="O241" s="28">
        <v>45209.0</v>
      </c>
      <c r="P241" s="26"/>
      <c r="Q241" s="12"/>
      <c r="R241" s="12"/>
      <c r="S241" s="12"/>
      <c r="T241" s="52">
        <v>45201.0</v>
      </c>
      <c r="U241" s="52">
        <v>45202.0</v>
      </c>
      <c r="V241" s="52">
        <v>45209.0</v>
      </c>
      <c r="W241" s="30"/>
      <c r="X241" s="30"/>
      <c r="Y241" s="31"/>
      <c r="Z241" s="31"/>
      <c r="AA241" s="31"/>
      <c r="AB241" s="74" t="s">
        <v>1057</v>
      </c>
      <c r="AC241" s="74"/>
    </row>
    <row r="242" ht="16.5" customHeight="1">
      <c r="A242" s="48" t="s">
        <v>1058</v>
      </c>
      <c r="B242" s="53" t="s">
        <v>388</v>
      </c>
      <c r="C242" s="47">
        <v>0.0</v>
      </c>
      <c r="D242" s="70" t="s">
        <v>1059</v>
      </c>
      <c r="E242" s="55" t="s">
        <v>383</v>
      </c>
      <c r="F242" s="32" t="s">
        <v>33</v>
      </c>
      <c r="G242" s="32" t="s">
        <v>35</v>
      </c>
      <c r="H242" s="71" t="s">
        <v>35</v>
      </c>
      <c r="I242" s="71" t="s">
        <v>36</v>
      </c>
      <c r="J242" s="34" t="s">
        <v>65</v>
      </c>
      <c r="K242" s="57" t="s">
        <v>38</v>
      </c>
      <c r="L242" s="72">
        <v>9781.0</v>
      </c>
      <c r="M242" s="27"/>
      <c r="N242" s="73"/>
      <c r="O242" s="28">
        <v>45209.0</v>
      </c>
      <c r="P242" s="26"/>
      <c r="Q242" s="12"/>
      <c r="R242" s="12"/>
      <c r="S242" s="12"/>
      <c r="T242" s="52">
        <v>45201.0</v>
      </c>
      <c r="U242" s="52">
        <v>45202.0</v>
      </c>
      <c r="V242" s="52">
        <v>45203.0</v>
      </c>
      <c r="W242" s="30"/>
      <c r="X242" s="30"/>
      <c r="Y242" s="31"/>
      <c r="Z242" s="31"/>
      <c r="AA242" s="31"/>
      <c r="AB242" s="74" t="s">
        <v>1060</v>
      </c>
      <c r="AC242" s="74"/>
    </row>
    <row r="243" ht="16.5" customHeight="1">
      <c r="A243" s="48" t="s">
        <v>1061</v>
      </c>
      <c r="B243" s="53" t="s">
        <v>1062</v>
      </c>
      <c r="C243" s="47">
        <v>0.0</v>
      </c>
      <c r="D243" s="70" t="s">
        <v>1063</v>
      </c>
      <c r="E243" s="55" t="s">
        <v>117</v>
      </c>
      <c r="F243" s="32" t="s">
        <v>33</v>
      </c>
      <c r="G243" s="32" t="s">
        <v>35</v>
      </c>
      <c r="H243" s="71" t="s">
        <v>35</v>
      </c>
      <c r="I243" s="71" t="s">
        <v>36</v>
      </c>
      <c r="J243" s="34" t="s">
        <v>92</v>
      </c>
      <c r="K243" s="57" t="s">
        <v>38</v>
      </c>
      <c r="L243" s="72">
        <v>9800.0</v>
      </c>
      <c r="M243" s="27"/>
      <c r="N243" s="76"/>
      <c r="O243" s="28">
        <v>45210.0</v>
      </c>
      <c r="P243" s="26"/>
      <c r="Q243" s="12"/>
      <c r="R243" s="12"/>
      <c r="S243" s="12"/>
      <c r="T243" s="52">
        <v>45202.0</v>
      </c>
      <c r="U243" s="52">
        <v>45204.0</v>
      </c>
      <c r="V243" s="52">
        <v>45210.0</v>
      </c>
      <c r="W243" s="30"/>
      <c r="X243" s="30"/>
      <c r="Y243" s="31"/>
      <c r="Z243" s="31"/>
      <c r="AA243" s="31"/>
      <c r="AB243" s="74" t="s">
        <v>1064</v>
      </c>
      <c r="AC243" s="74"/>
    </row>
    <row r="244" ht="16.5" customHeight="1">
      <c r="A244" s="48" t="s">
        <v>1065</v>
      </c>
      <c r="B244" s="53" t="s">
        <v>241</v>
      </c>
      <c r="C244" s="47">
        <v>0.0</v>
      </c>
      <c r="D244" s="70" t="s">
        <v>1066</v>
      </c>
      <c r="E244" s="55" t="s">
        <v>257</v>
      </c>
      <c r="F244" s="32" t="s">
        <v>244</v>
      </c>
      <c r="G244" s="32" t="s">
        <v>35</v>
      </c>
      <c r="H244" s="71" t="s">
        <v>35</v>
      </c>
      <c r="I244" s="71" t="s">
        <v>36</v>
      </c>
      <c r="J244" s="34" t="s">
        <v>718</v>
      </c>
      <c r="K244" s="57" t="s">
        <v>38</v>
      </c>
      <c r="L244" s="72">
        <v>9817.0</v>
      </c>
      <c r="M244" s="27"/>
      <c r="N244" s="76"/>
      <c r="O244" s="28">
        <v>45212.0</v>
      </c>
      <c r="P244" s="26"/>
      <c r="Q244" s="12"/>
      <c r="R244" s="12"/>
      <c r="S244" s="12"/>
      <c r="T244" s="52">
        <v>45202.0</v>
      </c>
      <c r="U244" s="52">
        <v>45202.0</v>
      </c>
      <c r="V244" s="52">
        <v>45212.0</v>
      </c>
      <c r="W244" s="30"/>
      <c r="X244" s="30"/>
      <c r="Y244" s="31"/>
      <c r="Z244" s="31"/>
      <c r="AA244" s="31"/>
      <c r="AB244" s="74" t="s">
        <v>1067</v>
      </c>
      <c r="AC244" s="74"/>
    </row>
    <row r="245" ht="16.5" customHeight="1">
      <c r="A245" s="48" t="s">
        <v>1068</v>
      </c>
      <c r="B245" s="53" t="s">
        <v>1069</v>
      </c>
      <c r="C245" s="47">
        <v>0.0</v>
      </c>
      <c r="D245" s="70" t="s">
        <v>1070</v>
      </c>
      <c r="E245" s="55" t="s">
        <v>184</v>
      </c>
      <c r="F245" s="32" t="s">
        <v>48</v>
      </c>
      <c r="G245" s="32" t="s">
        <v>35</v>
      </c>
      <c r="H245" s="71" t="s">
        <v>35</v>
      </c>
      <c r="I245" s="71" t="s">
        <v>36</v>
      </c>
      <c r="J245" s="34" t="s">
        <v>65</v>
      </c>
      <c r="K245" s="57" t="s">
        <v>38</v>
      </c>
      <c r="L245" s="72">
        <v>10222.0</v>
      </c>
      <c r="M245" s="27"/>
      <c r="N245" s="73"/>
      <c r="O245" s="28">
        <v>45308.0</v>
      </c>
      <c r="P245" s="26"/>
      <c r="Q245" s="12"/>
      <c r="R245" s="12"/>
      <c r="S245" s="12"/>
      <c r="T245" s="52">
        <v>45202.0</v>
      </c>
      <c r="U245" s="52">
        <v>45305.0</v>
      </c>
      <c r="V245" s="52">
        <v>45308.0</v>
      </c>
      <c r="W245" s="30"/>
      <c r="X245" s="30"/>
      <c r="Y245" s="31"/>
      <c r="Z245" s="31"/>
      <c r="AA245" s="31"/>
      <c r="AB245" s="74" t="s">
        <v>1071</v>
      </c>
      <c r="AC245" s="74"/>
    </row>
    <row r="246" ht="16.5" customHeight="1">
      <c r="A246" s="48" t="s">
        <v>1072</v>
      </c>
      <c r="B246" s="53" t="s">
        <v>1069</v>
      </c>
      <c r="C246" s="47">
        <v>0.0</v>
      </c>
      <c r="D246" s="70" t="s">
        <v>1073</v>
      </c>
      <c r="E246" s="55" t="s">
        <v>184</v>
      </c>
      <c r="F246" s="32" t="s">
        <v>48</v>
      </c>
      <c r="G246" s="32" t="s">
        <v>35</v>
      </c>
      <c r="H246" s="71" t="s">
        <v>35</v>
      </c>
      <c r="I246" s="71" t="s">
        <v>36</v>
      </c>
      <c r="J246" s="34" t="s">
        <v>65</v>
      </c>
      <c r="K246" s="57" t="s">
        <v>38</v>
      </c>
      <c r="L246" s="72">
        <v>10222.0</v>
      </c>
      <c r="M246" s="27"/>
      <c r="N246" s="73"/>
      <c r="O246" s="28">
        <v>45308.0</v>
      </c>
      <c r="P246" s="26"/>
      <c r="Q246" s="12"/>
      <c r="R246" s="12"/>
      <c r="S246" s="12"/>
      <c r="T246" s="52">
        <v>45202.0</v>
      </c>
      <c r="U246" s="52">
        <v>45305.0</v>
      </c>
      <c r="V246" s="52">
        <v>45308.0</v>
      </c>
      <c r="W246" s="30"/>
      <c r="X246" s="30"/>
      <c r="Y246" s="31"/>
      <c r="Z246" s="31"/>
      <c r="AA246" s="31"/>
      <c r="AB246" s="74" t="s">
        <v>1074</v>
      </c>
      <c r="AC246" s="74"/>
    </row>
    <row r="247" ht="16.5" customHeight="1">
      <c r="A247" s="48" t="s">
        <v>1075</v>
      </c>
      <c r="B247" s="53" t="s">
        <v>974</v>
      </c>
      <c r="C247" s="47">
        <v>0.0</v>
      </c>
      <c r="D247" s="70" t="s">
        <v>1076</v>
      </c>
      <c r="E247" s="55" t="s">
        <v>1077</v>
      </c>
      <c r="F247" s="32" t="s">
        <v>33</v>
      </c>
      <c r="G247" s="32" t="s">
        <v>34</v>
      </c>
      <c r="H247" s="71" t="s">
        <v>35</v>
      </c>
      <c r="I247" s="71" t="s">
        <v>36</v>
      </c>
      <c r="J247" s="34" t="s">
        <v>49</v>
      </c>
      <c r="K247" s="57" t="s">
        <v>38</v>
      </c>
      <c r="L247" s="72">
        <v>11261.0</v>
      </c>
      <c r="M247" s="22" t="s">
        <v>50</v>
      </c>
      <c r="N247" s="35" t="s">
        <v>99</v>
      </c>
      <c r="O247" s="28">
        <v>45506.45743055556</v>
      </c>
      <c r="P247" s="35" t="s">
        <v>1078</v>
      </c>
      <c r="Q247" s="12"/>
      <c r="R247" s="14" t="s">
        <v>73</v>
      </c>
      <c r="S247" s="14" t="s">
        <v>50</v>
      </c>
      <c r="T247" s="52">
        <v>45202.0</v>
      </c>
      <c r="U247" s="52">
        <v>45503.60600694444</v>
      </c>
      <c r="V247" s="52">
        <v>45505.74077546296</v>
      </c>
      <c r="W247" s="30"/>
      <c r="X247" s="30"/>
      <c r="Y247" s="31"/>
      <c r="Z247" s="31"/>
      <c r="AA247" s="31"/>
      <c r="AB247" s="74" t="s">
        <v>1079</v>
      </c>
      <c r="AC247" s="74"/>
    </row>
    <row r="248" ht="16.5" customHeight="1">
      <c r="A248" s="48" t="s">
        <v>1080</v>
      </c>
      <c r="B248" s="53" t="s">
        <v>974</v>
      </c>
      <c r="C248" s="47">
        <v>0.0</v>
      </c>
      <c r="D248" s="70" t="s">
        <v>1081</v>
      </c>
      <c r="E248" s="55" t="s">
        <v>1077</v>
      </c>
      <c r="F248" s="32" t="s">
        <v>33</v>
      </c>
      <c r="G248" s="32" t="s">
        <v>34</v>
      </c>
      <c r="H248" s="71" t="s">
        <v>35</v>
      </c>
      <c r="I248" s="71" t="s">
        <v>36</v>
      </c>
      <c r="J248" s="34" t="s">
        <v>49</v>
      </c>
      <c r="K248" s="57" t="s">
        <v>38</v>
      </c>
      <c r="L248" s="72">
        <v>11261.0</v>
      </c>
      <c r="M248" s="22" t="s">
        <v>50</v>
      </c>
      <c r="N248" s="35" t="s">
        <v>99</v>
      </c>
      <c r="O248" s="28">
        <v>45506.4575</v>
      </c>
      <c r="P248" s="35" t="s">
        <v>1078</v>
      </c>
      <c r="Q248" s="12"/>
      <c r="R248" s="14" t="s">
        <v>73</v>
      </c>
      <c r="S248" s="14" t="s">
        <v>101</v>
      </c>
      <c r="T248" s="52">
        <v>45202.0</v>
      </c>
      <c r="U248" s="52">
        <v>45503.606041666666</v>
      </c>
      <c r="V248" s="52">
        <v>45506.33466435185</v>
      </c>
      <c r="W248" s="30"/>
      <c r="X248" s="30"/>
      <c r="Y248" s="31"/>
      <c r="Z248" s="31"/>
      <c r="AA248" s="31"/>
      <c r="AB248" s="74" t="s">
        <v>1082</v>
      </c>
      <c r="AC248" s="74"/>
    </row>
    <row r="249" ht="16.5" customHeight="1">
      <c r="A249" s="48" t="s">
        <v>1083</v>
      </c>
      <c r="B249" s="53" t="s">
        <v>974</v>
      </c>
      <c r="C249" s="47">
        <v>0.0</v>
      </c>
      <c r="D249" s="70" t="s">
        <v>1084</v>
      </c>
      <c r="E249" s="55" t="s">
        <v>213</v>
      </c>
      <c r="F249" s="32" t="s">
        <v>33</v>
      </c>
      <c r="G249" s="32" t="s">
        <v>34</v>
      </c>
      <c r="H249" s="71" t="s">
        <v>35</v>
      </c>
      <c r="I249" s="71" t="s">
        <v>36</v>
      </c>
      <c r="J249" s="34" t="s">
        <v>49</v>
      </c>
      <c r="K249" s="57" t="s">
        <v>38</v>
      </c>
      <c r="L249" s="72">
        <v>11261.0</v>
      </c>
      <c r="M249" s="22" t="s">
        <v>50</v>
      </c>
      <c r="N249" s="35" t="s">
        <v>99</v>
      </c>
      <c r="O249" s="28">
        <v>45506.45758101852</v>
      </c>
      <c r="P249" s="35" t="s">
        <v>1078</v>
      </c>
      <c r="Q249" s="12"/>
      <c r="R249" s="14" t="s">
        <v>73</v>
      </c>
      <c r="S249" s="14" t="s">
        <v>101</v>
      </c>
      <c r="T249" s="52">
        <v>45202.0</v>
      </c>
      <c r="U249" s="52">
        <v>45503.60606481481</v>
      </c>
      <c r="V249" s="52">
        <v>45505.50373842593</v>
      </c>
      <c r="W249" s="30"/>
      <c r="X249" s="30"/>
      <c r="Y249" s="31"/>
      <c r="Z249" s="31"/>
      <c r="AA249" s="31"/>
      <c r="AB249" s="74" t="s">
        <v>1085</v>
      </c>
      <c r="AC249" s="74"/>
    </row>
    <row r="250" ht="16.5" customHeight="1">
      <c r="A250" s="48" t="s">
        <v>1086</v>
      </c>
      <c r="B250" s="53" t="s">
        <v>169</v>
      </c>
      <c r="C250" s="47">
        <v>0.0</v>
      </c>
      <c r="D250" s="70" t="s">
        <v>1087</v>
      </c>
      <c r="E250" s="55" t="s">
        <v>184</v>
      </c>
      <c r="F250" s="32" t="s">
        <v>48</v>
      </c>
      <c r="G250" s="32" t="s">
        <v>35</v>
      </c>
      <c r="H250" s="71" t="s">
        <v>35</v>
      </c>
      <c r="I250" s="71" t="s">
        <v>36</v>
      </c>
      <c r="J250" s="34" t="s">
        <v>65</v>
      </c>
      <c r="K250" s="57" t="s">
        <v>38</v>
      </c>
      <c r="L250" s="72" t="s">
        <v>1088</v>
      </c>
      <c r="M250" s="22"/>
      <c r="N250" s="73"/>
      <c r="O250" s="28">
        <v>45308.0</v>
      </c>
      <c r="P250" s="35" t="s">
        <v>1089</v>
      </c>
      <c r="Q250" s="12"/>
      <c r="R250" s="12"/>
      <c r="S250" s="12"/>
      <c r="T250" s="52">
        <v>45203.0</v>
      </c>
      <c r="U250" s="52">
        <v>45305.0</v>
      </c>
      <c r="V250" s="52">
        <v>45308.0</v>
      </c>
      <c r="W250" s="30"/>
      <c r="X250" s="30"/>
      <c r="Y250" s="31"/>
      <c r="Z250" s="31"/>
      <c r="AA250" s="31"/>
      <c r="AB250" s="74" t="s">
        <v>1090</v>
      </c>
      <c r="AC250" s="74"/>
    </row>
    <row r="251" ht="16.5" customHeight="1">
      <c r="A251" s="48" t="s">
        <v>1091</v>
      </c>
      <c r="B251" s="53" t="s">
        <v>336</v>
      </c>
      <c r="C251" s="47">
        <v>0.0</v>
      </c>
      <c r="D251" s="70"/>
      <c r="E251" s="55" t="s">
        <v>338</v>
      </c>
      <c r="F251" s="32" t="s">
        <v>33</v>
      </c>
      <c r="G251" s="32" t="s">
        <v>34</v>
      </c>
      <c r="H251" s="71" t="s">
        <v>35</v>
      </c>
      <c r="I251" s="71" t="s">
        <v>36</v>
      </c>
      <c r="J251" s="34" t="s">
        <v>339</v>
      </c>
      <c r="K251" s="57" t="s">
        <v>38</v>
      </c>
      <c r="L251" s="72">
        <v>9856.0</v>
      </c>
      <c r="M251" s="22"/>
      <c r="N251" s="76"/>
      <c r="O251" s="28">
        <v>45219.0</v>
      </c>
      <c r="P251" s="35" t="s">
        <v>1092</v>
      </c>
      <c r="Q251" s="12"/>
      <c r="R251" s="12"/>
      <c r="S251" s="12"/>
      <c r="T251" s="52">
        <v>45203.0</v>
      </c>
      <c r="U251" s="52">
        <v>45203.0</v>
      </c>
      <c r="V251" s="52">
        <v>45218.0</v>
      </c>
      <c r="W251" s="30"/>
      <c r="X251" s="30"/>
      <c r="Y251" s="31"/>
      <c r="Z251" s="31"/>
      <c r="AA251" s="31"/>
      <c r="AB251" s="74" t="s">
        <v>1093</v>
      </c>
      <c r="AC251" s="74"/>
    </row>
    <row r="252" ht="16.5" customHeight="1">
      <c r="A252" s="48" t="s">
        <v>1094</v>
      </c>
      <c r="B252" s="53" t="s">
        <v>1095</v>
      </c>
      <c r="C252" s="47">
        <v>0.0</v>
      </c>
      <c r="D252" s="70" t="s">
        <v>1096</v>
      </c>
      <c r="E252" s="55" t="s">
        <v>1097</v>
      </c>
      <c r="F252" s="32" t="s">
        <v>33</v>
      </c>
      <c r="G252" s="32" t="s">
        <v>35</v>
      </c>
      <c r="H252" s="71" t="s">
        <v>35</v>
      </c>
      <c r="I252" s="71" t="s">
        <v>36</v>
      </c>
      <c r="J252" s="34" t="s">
        <v>1098</v>
      </c>
      <c r="K252" s="57" t="s">
        <v>38</v>
      </c>
      <c r="L252" s="72">
        <v>9888.0</v>
      </c>
      <c r="M252" s="22"/>
      <c r="N252" s="76"/>
      <c r="O252" s="28">
        <v>45225.0</v>
      </c>
      <c r="P252" s="35" t="s">
        <v>1098</v>
      </c>
      <c r="Q252" s="12"/>
      <c r="R252" s="12"/>
      <c r="S252" s="12"/>
      <c r="T252" s="52">
        <v>45204.0</v>
      </c>
      <c r="U252" s="52">
        <v>45204.0</v>
      </c>
      <c r="V252" s="52">
        <v>45219.0</v>
      </c>
      <c r="W252" s="30"/>
      <c r="X252" s="30"/>
      <c r="Y252" s="31"/>
      <c r="Z252" s="31"/>
      <c r="AA252" s="31"/>
      <c r="AB252" s="74" t="s">
        <v>1099</v>
      </c>
      <c r="AC252" s="74"/>
    </row>
    <row r="253" ht="16.5" customHeight="1">
      <c r="A253" s="48" t="s">
        <v>1100</v>
      </c>
      <c r="B253" s="53" t="s">
        <v>1095</v>
      </c>
      <c r="C253" s="47">
        <v>0.0</v>
      </c>
      <c r="D253" s="70" t="s">
        <v>1101</v>
      </c>
      <c r="E253" s="55" t="s">
        <v>1097</v>
      </c>
      <c r="F253" s="32" t="s">
        <v>33</v>
      </c>
      <c r="G253" s="32" t="s">
        <v>35</v>
      </c>
      <c r="H253" s="71" t="s">
        <v>35</v>
      </c>
      <c r="I253" s="71" t="s">
        <v>36</v>
      </c>
      <c r="J253" s="34" t="s">
        <v>1098</v>
      </c>
      <c r="K253" s="57" t="s">
        <v>38</v>
      </c>
      <c r="L253" s="72">
        <v>9888.0</v>
      </c>
      <c r="M253" s="22"/>
      <c r="N253" s="76"/>
      <c r="O253" s="28">
        <v>45225.0</v>
      </c>
      <c r="P253" s="35" t="s">
        <v>1098</v>
      </c>
      <c r="Q253" s="12"/>
      <c r="R253" s="12"/>
      <c r="S253" s="12"/>
      <c r="T253" s="52">
        <v>45202.0</v>
      </c>
      <c r="U253" s="52">
        <v>45204.0</v>
      </c>
      <c r="V253" s="52">
        <v>45217.0</v>
      </c>
      <c r="W253" s="30"/>
      <c r="X253" s="30"/>
      <c r="Y253" s="31"/>
      <c r="Z253" s="31"/>
      <c r="AA253" s="31"/>
      <c r="AB253" s="74" t="s">
        <v>1102</v>
      </c>
      <c r="AC253" s="74"/>
    </row>
    <row r="254" ht="16.5" customHeight="1">
      <c r="A254" s="48" t="s">
        <v>1103</v>
      </c>
      <c r="B254" s="53" t="s">
        <v>1104</v>
      </c>
      <c r="C254" s="47">
        <v>0.0</v>
      </c>
      <c r="D254" s="70" t="s">
        <v>1105</v>
      </c>
      <c r="E254" s="55" t="s">
        <v>268</v>
      </c>
      <c r="F254" s="32" t="s">
        <v>33</v>
      </c>
      <c r="G254" s="32" t="s">
        <v>368</v>
      </c>
      <c r="H254" s="71" t="s">
        <v>35</v>
      </c>
      <c r="I254" s="71" t="s">
        <v>36</v>
      </c>
      <c r="J254" s="34" t="s">
        <v>434</v>
      </c>
      <c r="K254" s="57" t="s">
        <v>38</v>
      </c>
      <c r="L254" s="72">
        <v>9797.0</v>
      </c>
      <c r="M254" s="27"/>
      <c r="N254" s="76"/>
      <c r="O254" s="28">
        <v>45210.0</v>
      </c>
      <c r="P254" s="26"/>
      <c r="Q254" s="12"/>
      <c r="R254" s="12"/>
      <c r="S254" s="12"/>
      <c r="T254" s="52">
        <v>45203.0</v>
      </c>
      <c r="U254" s="52">
        <v>45203.0</v>
      </c>
      <c r="V254" s="52">
        <v>45209.0</v>
      </c>
      <c r="W254" s="30"/>
      <c r="X254" s="30"/>
      <c r="Y254" s="31"/>
      <c r="Z254" s="31"/>
      <c r="AA254" s="31"/>
      <c r="AB254" s="74" t="s">
        <v>1106</v>
      </c>
      <c r="AC254" s="74"/>
    </row>
    <row r="255" ht="16.5" customHeight="1">
      <c r="A255" s="48" t="s">
        <v>1107</v>
      </c>
      <c r="B255" s="53" t="s">
        <v>115</v>
      </c>
      <c r="C255" s="47">
        <v>0.0</v>
      </c>
      <c r="D255" s="70" t="s">
        <v>1108</v>
      </c>
      <c r="E255" s="55" t="s">
        <v>117</v>
      </c>
      <c r="F255" s="32" t="s">
        <v>33</v>
      </c>
      <c r="G255" s="32" t="s">
        <v>35</v>
      </c>
      <c r="H255" s="71" t="s">
        <v>35</v>
      </c>
      <c r="I255" s="71" t="s">
        <v>36</v>
      </c>
      <c r="J255" s="34" t="s">
        <v>92</v>
      </c>
      <c r="K255" s="57" t="s">
        <v>38</v>
      </c>
      <c r="L255" s="72">
        <v>9823.0</v>
      </c>
      <c r="M255" s="27"/>
      <c r="N255" s="76"/>
      <c r="O255" s="28">
        <v>45219.0</v>
      </c>
      <c r="P255" s="26"/>
      <c r="Q255" s="12"/>
      <c r="R255" s="12"/>
      <c r="S255" s="12"/>
      <c r="T255" s="52">
        <v>45203.0</v>
      </c>
      <c r="U255" s="52">
        <v>45203.0</v>
      </c>
      <c r="V255" s="52">
        <v>45215.0</v>
      </c>
      <c r="W255" s="30"/>
      <c r="X255" s="30"/>
      <c r="Y255" s="31"/>
      <c r="Z255" s="31"/>
      <c r="AA255" s="31"/>
      <c r="AB255" s="74" t="s">
        <v>1109</v>
      </c>
      <c r="AC255" s="74"/>
    </row>
    <row r="256" ht="16.5" customHeight="1">
      <c r="A256" s="48" t="s">
        <v>1110</v>
      </c>
      <c r="B256" s="53" t="s">
        <v>498</v>
      </c>
      <c r="C256" s="47">
        <v>0.0</v>
      </c>
      <c r="D256" s="70" t="s">
        <v>1111</v>
      </c>
      <c r="E256" s="55" t="s">
        <v>213</v>
      </c>
      <c r="F256" s="32" t="s">
        <v>33</v>
      </c>
      <c r="G256" s="32" t="s">
        <v>34</v>
      </c>
      <c r="H256" s="71" t="s">
        <v>35</v>
      </c>
      <c r="I256" s="71" t="s">
        <v>36</v>
      </c>
      <c r="J256" s="34" t="s">
        <v>420</v>
      </c>
      <c r="K256" s="57" t="s">
        <v>38</v>
      </c>
      <c r="L256" s="72">
        <v>9822.0</v>
      </c>
      <c r="M256" s="27"/>
      <c r="N256" s="76"/>
      <c r="O256" s="28">
        <v>45215.0</v>
      </c>
      <c r="P256" s="26"/>
      <c r="Q256" s="12"/>
      <c r="R256" s="12"/>
      <c r="S256" s="12"/>
      <c r="T256" s="52">
        <v>45203.0</v>
      </c>
      <c r="U256" s="52">
        <v>45203.0</v>
      </c>
      <c r="V256" s="52">
        <v>45215.0</v>
      </c>
      <c r="W256" s="30"/>
      <c r="X256" s="30"/>
      <c r="Y256" s="31"/>
      <c r="Z256" s="31"/>
      <c r="AA256" s="31"/>
      <c r="AB256" s="74" t="s">
        <v>1112</v>
      </c>
      <c r="AC256" s="74"/>
    </row>
    <row r="257" ht="16.5" customHeight="1">
      <c r="A257" s="48" t="s">
        <v>1113</v>
      </c>
      <c r="B257" s="53" t="s">
        <v>498</v>
      </c>
      <c r="C257" s="47">
        <v>0.0</v>
      </c>
      <c r="D257" s="70" t="s">
        <v>1114</v>
      </c>
      <c r="E257" s="55" t="s">
        <v>338</v>
      </c>
      <c r="F257" s="32" t="s">
        <v>33</v>
      </c>
      <c r="G257" s="32" t="s">
        <v>34</v>
      </c>
      <c r="H257" s="71" t="s">
        <v>35</v>
      </c>
      <c r="I257" s="71" t="s">
        <v>36</v>
      </c>
      <c r="J257" s="34" t="s">
        <v>420</v>
      </c>
      <c r="K257" s="57" t="s">
        <v>38</v>
      </c>
      <c r="L257" s="72">
        <v>9845.0</v>
      </c>
      <c r="M257" s="22"/>
      <c r="N257" s="76"/>
      <c r="O257" s="28">
        <v>45218.0</v>
      </c>
      <c r="P257" s="35" t="s">
        <v>1115</v>
      </c>
      <c r="Q257" s="12"/>
      <c r="R257" s="12"/>
      <c r="S257" s="12"/>
      <c r="T257" s="52">
        <v>45203.0</v>
      </c>
      <c r="U257" s="52">
        <v>45203.0</v>
      </c>
      <c r="V257" s="52">
        <v>45209.0</v>
      </c>
      <c r="W257" s="30"/>
      <c r="X257" s="30"/>
      <c r="Y257" s="31"/>
      <c r="Z257" s="31"/>
      <c r="AA257" s="31"/>
      <c r="AB257" s="74" t="s">
        <v>1116</v>
      </c>
      <c r="AC257" s="74"/>
    </row>
    <row r="258" ht="16.5" customHeight="1">
      <c r="A258" s="48" t="s">
        <v>1117</v>
      </c>
      <c r="B258" s="53" t="s">
        <v>498</v>
      </c>
      <c r="C258" s="47">
        <v>0.0</v>
      </c>
      <c r="D258" s="70" t="s">
        <v>1118</v>
      </c>
      <c r="E258" s="55" t="s">
        <v>1119</v>
      </c>
      <c r="F258" s="32" t="s">
        <v>33</v>
      </c>
      <c r="G258" s="32" t="s">
        <v>34</v>
      </c>
      <c r="H258" s="71" t="s">
        <v>35</v>
      </c>
      <c r="I258" s="71" t="s">
        <v>36</v>
      </c>
      <c r="J258" s="34" t="s">
        <v>420</v>
      </c>
      <c r="K258" s="57" t="s">
        <v>38</v>
      </c>
      <c r="L258" s="72">
        <v>9845.0</v>
      </c>
      <c r="M258" s="22"/>
      <c r="N258" s="76"/>
      <c r="O258" s="28">
        <v>45218.0</v>
      </c>
      <c r="P258" s="35" t="s">
        <v>1115</v>
      </c>
      <c r="Q258" s="12"/>
      <c r="R258" s="12"/>
      <c r="S258" s="12"/>
      <c r="T258" s="52">
        <v>45203.0</v>
      </c>
      <c r="U258" s="52">
        <v>45203.0</v>
      </c>
      <c r="V258" s="52">
        <v>45216.0</v>
      </c>
      <c r="W258" s="30"/>
      <c r="X258" s="30"/>
      <c r="Y258" s="31"/>
      <c r="Z258" s="31"/>
      <c r="AA258" s="31"/>
      <c r="AB258" s="74" t="s">
        <v>1120</v>
      </c>
      <c r="AC258" s="74"/>
    </row>
    <row r="259" ht="16.5" customHeight="1">
      <c r="A259" s="48" t="s">
        <v>1121</v>
      </c>
      <c r="B259" s="53" t="s">
        <v>1122</v>
      </c>
      <c r="C259" s="47">
        <v>0.0</v>
      </c>
      <c r="D259" s="70" t="s">
        <v>1123</v>
      </c>
      <c r="E259" s="55" t="s">
        <v>1040</v>
      </c>
      <c r="F259" s="32" t="s">
        <v>33</v>
      </c>
      <c r="G259" s="32" t="s">
        <v>35</v>
      </c>
      <c r="H259" s="71" t="s">
        <v>35</v>
      </c>
      <c r="I259" s="71" t="s">
        <v>36</v>
      </c>
      <c r="J259" s="34" t="s">
        <v>92</v>
      </c>
      <c r="K259" s="57" t="s">
        <v>38</v>
      </c>
      <c r="L259" s="72">
        <v>9795.0</v>
      </c>
      <c r="M259" s="22"/>
      <c r="N259" s="76"/>
      <c r="O259" s="28">
        <v>45215.0</v>
      </c>
      <c r="P259" s="35" t="s">
        <v>1124</v>
      </c>
      <c r="Q259" s="12"/>
      <c r="R259" s="12"/>
      <c r="S259" s="12"/>
      <c r="T259" s="52">
        <v>45203.0</v>
      </c>
      <c r="U259" s="52">
        <v>45203.0</v>
      </c>
      <c r="V259" s="52">
        <v>45209.0</v>
      </c>
      <c r="W259" s="30"/>
      <c r="X259" s="30"/>
      <c r="Y259" s="31"/>
      <c r="Z259" s="31"/>
      <c r="AA259" s="31"/>
      <c r="AB259" s="74" t="s">
        <v>1125</v>
      </c>
      <c r="AC259" s="74"/>
    </row>
    <row r="260" ht="16.5" customHeight="1">
      <c r="A260" s="48" t="s">
        <v>1126</v>
      </c>
      <c r="B260" s="53" t="s">
        <v>1127</v>
      </c>
      <c r="C260" s="47">
        <v>0.0</v>
      </c>
      <c r="D260" s="70" t="s">
        <v>1128</v>
      </c>
      <c r="E260" s="55" t="s">
        <v>301</v>
      </c>
      <c r="F260" s="32" t="s">
        <v>33</v>
      </c>
      <c r="G260" s="32" t="s">
        <v>35</v>
      </c>
      <c r="H260" s="71" t="s">
        <v>35</v>
      </c>
      <c r="I260" s="71" t="s">
        <v>36</v>
      </c>
      <c r="J260" s="34" t="s">
        <v>92</v>
      </c>
      <c r="K260" s="57" t="s">
        <v>38</v>
      </c>
      <c r="L260" s="72">
        <v>9794.0</v>
      </c>
      <c r="M260" s="22"/>
      <c r="N260" s="76"/>
      <c r="O260" s="28">
        <v>45217.0</v>
      </c>
      <c r="P260" s="35" t="s">
        <v>1124</v>
      </c>
      <c r="Q260" s="12"/>
      <c r="R260" s="12"/>
      <c r="S260" s="12"/>
      <c r="T260" s="52">
        <v>45203.0</v>
      </c>
      <c r="U260" s="52">
        <v>45203.0</v>
      </c>
      <c r="V260" s="52">
        <v>45209.0</v>
      </c>
      <c r="W260" s="30"/>
      <c r="X260" s="30"/>
      <c r="Y260" s="31"/>
      <c r="Z260" s="31"/>
      <c r="AA260" s="31"/>
      <c r="AB260" s="74" t="s">
        <v>1129</v>
      </c>
      <c r="AC260" s="74"/>
    </row>
    <row r="261" ht="16.5" customHeight="1">
      <c r="A261" s="48" t="s">
        <v>1130</v>
      </c>
      <c r="B261" s="53" t="s">
        <v>1131</v>
      </c>
      <c r="C261" s="47">
        <v>0.0</v>
      </c>
      <c r="D261" s="70" t="s">
        <v>1132</v>
      </c>
      <c r="E261" s="55" t="s">
        <v>383</v>
      </c>
      <c r="F261" s="32" t="s">
        <v>33</v>
      </c>
      <c r="G261" s="32" t="s">
        <v>35</v>
      </c>
      <c r="H261" s="71" t="s">
        <v>35</v>
      </c>
      <c r="I261" s="71" t="s">
        <v>36</v>
      </c>
      <c r="J261" s="34" t="s">
        <v>65</v>
      </c>
      <c r="K261" s="57" t="s">
        <v>38</v>
      </c>
      <c r="L261" s="72">
        <v>9793.0</v>
      </c>
      <c r="M261" s="22"/>
      <c r="N261" s="76"/>
      <c r="O261" s="28">
        <v>45210.0</v>
      </c>
      <c r="P261" s="35" t="s">
        <v>1133</v>
      </c>
      <c r="Q261" s="12"/>
      <c r="R261" s="12"/>
      <c r="S261" s="12"/>
      <c r="T261" s="52">
        <v>45203.0</v>
      </c>
      <c r="U261" s="52">
        <v>45203.0</v>
      </c>
      <c r="V261" s="52">
        <v>45209.0</v>
      </c>
      <c r="W261" s="30"/>
      <c r="X261" s="30"/>
      <c r="Y261" s="31"/>
      <c r="Z261" s="31"/>
      <c r="AA261" s="31"/>
      <c r="AB261" s="74" t="s">
        <v>1134</v>
      </c>
      <c r="AC261" s="74"/>
    </row>
    <row r="262" ht="16.5" customHeight="1">
      <c r="A262" s="48" t="s">
        <v>1135</v>
      </c>
      <c r="B262" s="53" t="s">
        <v>1136</v>
      </c>
      <c r="C262" s="47">
        <v>0.0</v>
      </c>
      <c r="D262" s="70" t="s">
        <v>1137</v>
      </c>
      <c r="E262" s="55" t="s">
        <v>257</v>
      </c>
      <c r="F262" s="32" t="s">
        <v>244</v>
      </c>
      <c r="G262" s="32" t="s">
        <v>35</v>
      </c>
      <c r="H262" s="71" t="s">
        <v>35</v>
      </c>
      <c r="I262" s="71" t="s">
        <v>36</v>
      </c>
      <c r="J262" s="34" t="s">
        <v>65</v>
      </c>
      <c r="K262" s="57" t="s">
        <v>38</v>
      </c>
      <c r="L262" s="72">
        <v>9829.0</v>
      </c>
      <c r="M262" s="27"/>
      <c r="N262" s="76"/>
      <c r="O262" s="28">
        <v>45217.0</v>
      </c>
      <c r="P262" s="26"/>
      <c r="Q262" s="12"/>
      <c r="R262" s="12"/>
      <c r="S262" s="12"/>
      <c r="T262" s="52">
        <v>45203.0</v>
      </c>
      <c r="U262" s="52">
        <v>45204.0</v>
      </c>
      <c r="V262" s="52">
        <v>45215.0</v>
      </c>
      <c r="W262" s="30"/>
      <c r="X262" s="30"/>
      <c r="Y262" s="31"/>
      <c r="Z262" s="31"/>
      <c r="AA262" s="31"/>
      <c r="AB262" s="74" t="s">
        <v>1138</v>
      </c>
      <c r="AC262" s="74"/>
    </row>
    <row r="263" ht="16.5" customHeight="1">
      <c r="A263" s="48" t="s">
        <v>1139</v>
      </c>
      <c r="B263" s="53" t="s">
        <v>1136</v>
      </c>
      <c r="C263" s="47">
        <v>0.0</v>
      </c>
      <c r="D263" s="70" t="s">
        <v>1140</v>
      </c>
      <c r="E263" s="55" t="s">
        <v>257</v>
      </c>
      <c r="F263" s="32" t="s">
        <v>244</v>
      </c>
      <c r="G263" s="32" t="s">
        <v>35</v>
      </c>
      <c r="H263" s="71" t="s">
        <v>35</v>
      </c>
      <c r="I263" s="71" t="s">
        <v>36</v>
      </c>
      <c r="J263" s="34" t="s">
        <v>65</v>
      </c>
      <c r="K263" s="57" t="s">
        <v>38</v>
      </c>
      <c r="L263" s="72">
        <v>9829.0</v>
      </c>
      <c r="M263" s="27"/>
      <c r="N263" s="76"/>
      <c r="O263" s="28">
        <v>45217.0</v>
      </c>
      <c r="P263" s="26"/>
      <c r="Q263" s="12"/>
      <c r="R263" s="12"/>
      <c r="S263" s="12"/>
      <c r="T263" s="52">
        <v>45203.0</v>
      </c>
      <c r="U263" s="52">
        <v>45204.0</v>
      </c>
      <c r="V263" s="52">
        <v>45216.0</v>
      </c>
      <c r="W263" s="30"/>
      <c r="X263" s="30"/>
      <c r="Y263" s="31"/>
      <c r="Z263" s="31"/>
      <c r="AA263" s="31"/>
      <c r="AB263" s="74" t="s">
        <v>1141</v>
      </c>
      <c r="AC263" s="74"/>
    </row>
    <row r="264" ht="16.5" customHeight="1">
      <c r="A264" s="48" t="s">
        <v>1142</v>
      </c>
      <c r="B264" s="53" t="s">
        <v>880</v>
      </c>
      <c r="C264" s="47">
        <v>0.0</v>
      </c>
      <c r="D264" s="70" t="s">
        <v>1143</v>
      </c>
      <c r="E264" s="55" t="s">
        <v>171</v>
      </c>
      <c r="F264" s="32" t="s">
        <v>48</v>
      </c>
      <c r="G264" s="32" t="s">
        <v>35</v>
      </c>
      <c r="H264" s="71" t="s">
        <v>35</v>
      </c>
      <c r="I264" s="71" t="s">
        <v>36</v>
      </c>
      <c r="J264" s="34" t="s">
        <v>65</v>
      </c>
      <c r="K264" s="57" t="s">
        <v>38</v>
      </c>
      <c r="L264" s="72"/>
      <c r="M264" s="27"/>
      <c r="N264" s="73"/>
      <c r="O264" s="28">
        <v>45324.0</v>
      </c>
      <c r="P264" s="26"/>
      <c r="Q264" s="12"/>
      <c r="R264" s="12"/>
      <c r="S264" s="12"/>
      <c r="T264" s="52">
        <v>45203.0</v>
      </c>
      <c r="U264" s="52">
        <v>45321.0</v>
      </c>
      <c r="V264" s="52">
        <v>45324.0</v>
      </c>
      <c r="W264" s="30"/>
      <c r="X264" s="30"/>
      <c r="Y264" s="31"/>
      <c r="Z264" s="31"/>
      <c r="AA264" s="31"/>
      <c r="AB264" s="74" t="s">
        <v>1144</v>
      </c>
      <c r="AC264" s="74"/>
    </row>
    <row r="265" ht="16.5" customHeight="1">
      <c r="A265" s="48" t="s">
        <v>1145</v>
      </c>
      <c r="B265" s="53" t="s">
        <v>880</v>
      </c>
      <c r="C265" s="47">
        <v>0.0</v>
      </c>
      <c r="D265" s="70" t="s">
        <v>1146</v>
      </c>
      <c r="E265" s="55" t="s">
        <v>171</v>
      </c>
      <c r="F265" s="32" t="s">
        <v>48</v>
      </c>
      <c r="G265" s="32" t="s">
        <v>35</v>
      </c>
      <c r="H265" s="71" t="s">
        <v>35</v>
      </c>
      <c r="I265" s="71" t="s">
        <v>36</v>
      </c>
      <c r="J265" s="34" t="s">
        <v>65</v>
      </c>
      <c r="K265" s="57" t="s">
        <v>38</v>
      </c>
      <c r="L265" s="72"/>
      <c r="M265" s="27"/>
      <c r="N265" s="73"/>
      <c r="O265" s="28">
        <v>45324.0</v>
      </c>
      <c r="P265" s="26"/>
      <c r="Q265" s="12"/>
      <c r="R265" s="12"/>
      <c r="S265" s="12"/>
      <c r="T265" s="52">
        <v>45203.0</v>
      </c>
      <c r="U265" s="52">
        <v>45321.0</v>
      </c>
      <c r="V265" s="52">
        <v>45324.0</v>
      </c>
      <c r="W265" s="30"/>
      <c r="X265" s="30"/>
      <c r="Y265" s="31"/>
      <c r="Z265" s="31"/>
      <c r="AA265" s="31"/>
      <c r="AB265" s="74" t="s">
        <v>1147</v>
      </c>
      <c r="AC265" s="74"/>
    </row>
    <row r="266" ht="16.5" customHeight="1">
      <c r="A266" s="48" t="s">
        <v>1148</v>
      </c>
      <c r="B266" s="53" t="s">
        <v>880</v>
      </c>
      <c r="C266" s="47">
        <v>90.0</v>
      </c>
      <c r="D266" s="70" t="s">
        <v>1149</v>
      </c>
      <c r="E266" s="55" t="s">
        <v>91</v>
      </c>
      <c r="F266" s="32" t="s">
        <v>48</v>
      </c>
      <c r="G266" s="32" t="s">
        <v>35</v>
      </c>
      <c r="H266" s="71" t="s">
        <v>35</v>
      </c>
      <c r="I266" s="71" t="s">
        <v>36</v>
      </c>
      <c r="J266" s="34" t="s">
        <v>65</v>
      </c>
      <c r="K266" s="57" t="s">
        <v>38</v>
      </c>
      <c r="L266" s="72">
        <v>10447.0</v>
      </c>
      <c r="M266" s="27"/>
      <c r="N266" s="73"/>
      <c r="O266" s="28">
        <v>45358.0</v>
      </c>
      <c r="P266" s="26"/>
      <c r="Q266" s="12"/>
      <c r="R266" s="12"/>
      <c r="S266" s="12"/>
      <c r="T266" s="52">
        <v>45203.0</v>
      </c>
      <c r="U266" s="52">
        <v>45355.0</v>
      </c>
      <c r="V266" s="52">
        <v>45355.0</v>
      </c>
      <c r="W266" s="30"/>
      <c r="X266" s="30"/>
      <c r="Y266" s="31"/>
      <c r="Z266" s="31"/>
      <c r="AA266" s="31"/>
      <c r="AB266" s="74" t="s">
        <v>1150</v>
      </c>
      <c r="AC266" s="74"/>
    </row>
    <row r="267" ht="16.5" customHeight="1">
      <c r="A267" s="48" t="s">
        <v>1151</v>
      </c>
      <c r="B267" s="53" t="s">
        <v>880</v>
      </c>
      <c r="C267" s="47">
        <v>90.0</v>
      </c>
      <c r="D267" s="70" t="s">
        <v>1152</v>
      </c>
      <c r="E267" s="55" t="s">
        <v>91</v>
      </c>
      <c r="F267" s="32" t="s">
        <v>48</v>
      </c>
      <c r="G267" s="32" t="s">
        <v>35</v>
      </c>
      <c r="H267" s="71" t="s">
        <v>35</v>
      </c>
      <c r="I267" s="71" t="s">
        <v>36</v>
      </c>
      <c r="J267" s="34" t="s">
        <v>65</v>
      </c>
      <c r="K267" s="57" t="s">
        <v>38</v>
      </c>
      <c r="L267" s="72">
        <v>10448.0</v>
      </c>
      <c r="M267" s="22"/>
      <c r="N267" s="73"/>
      <c r="O267" s="28">
        <v>45358.0</v>
      </c>
      <c r="P267" s="35" t="s">
        <v>1153</v>
      </c>
      <c r="Q267" s="12"/>
      <c r="R267" s="12"/>
      <c r="S267" s="12"/>
      <c r="T267" s="52">
        <v>45203.0</v>
      </c>
      <c r="U267" s="52">
        <v>45353.0</v>
      </c>
      <c r="V267" s="52">
        <v>45357.0</v>
      </c>
      <c r="W267" s="30"/>
      <c r="X267" s="30"/>
      <c r="Y267" s="31"/>
      <c r="Z267" s="31"/>
      <c r="AA267" s="31"/>
      <c r="AB267" s="74" t="s">
        <v>1154</v>
      </c>
      <c r="AC267" s="74"/>
    </row>
    <row r="268" ht="16.5" customHeight="1">
      <c r="A268" s="48" t="s">
        <v>1155</v>
      </c>
      <c r="B268" s="53" t="s">
        <v>1156</v>
      </c>
      <c r="C268" s="47">
        <v>0.0</v>
      </c>
      <c r="D268" s="70" t="s">
        <v>1157</v>
      </c>
      <c r="E268" s="55" t="s">
        <v>1027</v>
      </c>
      <c r="F268" s="32" t="s">
        <v>33</v>
      </c>
      <c r="G268" s="32" t="s">
        <v>34</v>
      </c>
      <c r="H268" s="71" t="s">
        <v>35</v>
      </c>
      <c r="I268" s="71" t="s">
        <v>36</v>
      </c>
      <c r="J268" s="34" t="s">
        <v>718</v>
      </c>
      <c r="K268" s="57" t="s">
        <v>38</v>
      </c>
      <c r="L268" s="72">
        <v>9806.0</v>
      </c>
      <c r="M268" s="22"/>
      <c r="N268" s="76"/>
      <c r="O268" s="28">
        <v>45217.0</v>
      </c>
      <c r="P268" s="35" t="s">
        <v>1158</v>
      </c>
      <c r="Q268" s="12"/>
      <c r="R268" s="12"/>
      <c r="S268" s="12"/>
      <c r="T268" s="52">
        <v>45203.0</v>
      </c>
      <c r="U268" s="52">
        <v>45204.0</v>
      </c>
      <c r="V268" s="52">
        <v>45210.0</v>
      </c>
      <c r="W268" s="30"/>
      <c r="X268" s="30"/>
      <c r="Y268" s="31"/>
      <c r="Z268" s="31"/>
      <c r="AA268" s="31"/>
      <c r="AB268" s="74" t="s">
        <v>1159</v>
      </c>
      <c r="AC268" s="74"/>
    </row>
    <row r="269" ht="16.5" customHeight="1">
      <c r="A269" s="48" t="s">
        <v>1160</v>
      </c>
      <c r="B269" s="53" t="s">
        <v>1161</v>
      </c>
      <c r="C269" s="47">
        <v>0.0</v>
      </c>
      <c r="D269" s="70" t="s">
        <v>1162</v>
      </c>
      <c r="E269" s="55" t="s">
        <v>1163</v>
      </c>
      <c r="F269" s="32" t="s">
        <v>33</v>
      </c>
      <c r="G269" s="32" t="s">
        <v>35</v>
      </c>
      <c r="H269" s="71" t="s">
        <v>35</v>
      </c>
      <c r="I269" s="71" t="s">
        <v>36</v>
      </c>
      <c r="J269" s="34" t="s">
        <v>37</v>
      </c>
      <c r="K269" s="57" t="s">
        <v>1164</v>
      </c>
      <c r="L269" s="72">
        <v>9844.0</v>
      </c>
      <c r="M269" s="22"/>
      <c r="N269" s="76"/>
      <c r="O269" s="28">
        <v>45219.0</v>
      </c>
      <c r="P269" s="35" t="s">
        <v>1165</v>
      </c>
      <c r="Q269" s="12"/>
      <c r="R269" s="12"/>
      <c r="S269" s="12"/>
      <c r="T269" s="52">
        <v>45203.0</v>
      </c>
      <c r="U269" s="52">
        <v>45204.0</v>
      </c>
      <c r="V269" s="52">
        <v>45217.0</v>
      </c>
      <c r="W269" s="30"/>
      <c r="X269" s="30"/>
      <c r="Y269" s="31"/>
      <c r="Z269" s="31"/>
      <c r="AA269" s="31"/>
      <c r="AB269" s="74" t="s">
        <v>1166</v>
      </c>
      <c r="AC269" s="74"/>
    </row>
    <row r="270" ht="16.5" customHeight="1">
      <c r="A270" s="48" t="s">
        <v>1167</v>
      </c>
      <c r="B270" s="53" t="s">
        <v>1168</v>
      </c>
      <c r="C270" s="47">
        <v>0.0</v>
      </c>
      <c r="D270" s="70" t="s">
        <v>1169</v>
      </c>
      <c r="E270" s="55" t="s">
        <v>177</v>
      </c>
      <c r="F270" s="32" t="s">
        <v>48</v>
      </c>
      <c r="G270" s="32" t="s">
        <v>35</v>
      </c>
      <c r="H270" s="71" t="s">
        <v>35</v>
      </c>
      <c r="I270" s="71" t="s">
        <v>36</v>
      </c>
      <c r="J270" s="34" t="s">
        <v>1170</v>
      </c>
      <c r="K270" s="57" t="s">
        <v>38</v>
      </c>
      <c r="L270" s="72">
        <v>10257.0</v>
      </c>
      <c r="M270" s="27"/>
      <c r="N270" s="73"/>
      <c r="O270" s="28">
        <v>45310.0</v>
      </c>
      <c r="P270" s="26"/>
      <c r="Q270" s="12"/>
      <c r="R270" s="12"/>
      <c r="S270" s="12"/>
      <c r="T270" s="52">
        <v>45203.0</v>
      </c>
      <c r="U270" s="52">
        <v>45307.0</v>
      </c>
      <c r="V270" s="52">
        <v>45310.0</v>
      </c>
      <c r="W270" s="30"/>
      <c r="X270" s="30"/>
      <c r="Y270" s="31"/>
      <c r="Z270" s="31"/>
      <c r="AA270" s="31"/>
      <c r="AB270" s="74" t="s">
        <v>1171</v>
      </c>
      <c r="AC270" s="74"/>
    </row>
    <row r="271" ht="16.5" customHeight="1">
      <c r="A271" s="48" t="s">
        <v>1172</v>
      </c>
      <c r="B271" s="53" t="s">
        <v>1168</v>
      </c>
      <c r="C271" s="47">
        <v>0.0</v>
      </c>
      <c r="D271" s="70" t="s">
        <v>1173</v>
      </c>
      <c r="E271" s="55" t="s">
        <v>177</v>
      </c>
      <c r="F271" s="32" t="s">
        <v>48</v>
      </c>
      <c r="G271" s="32" t="s">
        <v>35</v>
      </c>
      <c r="H271" s="71" t="s">
        <v>35</v>
      </c>
      <c r="I271" s="71" t="s">
        <v>36</v>
      </c>
      <c r="J271" s="34" t="s">
        <v>65</v>
      </c>
      <c r="K271" s="57" t="s">
        <v>38</v>
      </c>
      <c r="L271" s="72">
        <v>12193.0</v>
      </c>
      <c r="M271" s="22" t="s">
        <v>50</v>
      </c>
      <c r="N271" s="35" t="s">
        <v>149</v>
      </c>
      <c r="O271" s="28">
        <v>45642.62954861111</v>
      </c>
      <c r="P271" s="35" t="s">
        <v>1174</v>
      </c>
      <c r="Q271" s="12"/>
      <c r="R271" s="12"/>
      <c r="S271" s="12"/>
      <c r="T271" s="52">
        <v>45203.0</v>
      </c>
      <c r="U271" s="52">
        <v>45307.0</v>
      </c>
      <c r="V271" s="52">
        <v>45310.0</v>
      </c>
      <c r="W271" s="30"/>
      <c r="X271" s="30"/>
      <c r="Y271" s="31"/>
      <c r="Z271" s="31"/>
      <c r="AA271" s="31"/>
      <c r="AB271" s="74" t="s">
        <v>1175</v>
      </c>
      <c r="AC271" s="74"/>
    </row>
    <row r="272" ht="16.5" customHeight="1">
      <c r="A272" s="48" t="s">
        <v>1172</v>
      </c>
      <c r="B272" s="53" t="s">
        <v>1168</v>
      </c>
      <c r="C272" s="47">
        <v>0.0</v>
      </c>
      <c r="D272" s="70" t="s">
        <v>1173</v>
      </c>
      <c r="E272" s="55" t="s">
        <v>177</v>
      </c>
      <c r="F272" s="32" t="s">
        <v>48</v>
      </c>
      <c r="G272" s="32" t="s">
        <v>35</v>
      </c>
      <c r="H272" s="71" t="s">
        <v>35</v>
      </c>
      <c r="I272" s="71" t="s">
        <v>36</v>
      </c>
      <c r="J272" s="34" t="s">
        <v>1170</v>
      </c>
      <c r="K272" s="57" t="s">
        <v>38</v>
      </c>
      <c r="L272" s="72">
        <v>10257.0</v>
      </c>
      <c r="M272" s="22"/>
      <c r="N272" s="73"/>
      <c r="O272" s="28">
        <v>45310.0</v>
      </c>
      <c r="P272" s="35" t="s">
        <v>1176</v>
      </c>
      <c r="Q272" s="12"/>
      <c r="R272" s="12"/>
      <c r="S272" s="12"/>
      <c r="T272" s="52">
        <v>45203.0</v>
      </c>
      <c r="U272" s="52">
        <v>45307.0</v>
      </c>
      <c r="V272" s="52">
        <v>45310.0</v>
      </c>
      <c r="W272" s="30"/>
      <c r="X272" s="30"/>
      <c r="Y272" s="31"/>
      <c r="Z272" s="31"/>
      <c r="AA272" s="31"/>
      <c r="AB272" s="74" t="s">
        <v>1177</v>
      </c>
      <c r="AC272" s="74"/>
    </row>
    <row r="273" ht="16.5" customHeight="1">
      <c r="A273" s="48" t="s">
        <v>1178</v>
      </c>
      <c r="B273" s="53" t="s">
        <v>1179</v>
      </c>
      <c r="C273" s="47">
        <v>0.0</v>
      </c>
      <c r="D273" s="70" t="s">
        <v>1180</v>
      </c>
      <c r="E273" s="55" t="s">
        <v>301</v>
      </c>
      <c r="F273" s="32" t="s">
        <v>33</v>
      </c>
      <c r="G273" s="32" t="s">
        <v>34</v>
      </c>
      <c r="H273" s="71" t="s">
        <v>35</v>
      </c>
      <c r="I273" s="71" t="s">
        <v>36</v>
      </c>
      <c r="J273" s="34" t="s">
        <v>420</v>
      </c>
      <c r="K273" s="57" t="s">
        <v>38</v>
      </c>
      <c r="L273" s="72">
        <v>9792.0</v>
      </c>
      <c r="M273" s="27"/>
      <c r="N273" s="76"/>
      <c r="O273" s="28">
        <v>45210.0</v>
      </c>
      <c r="P273" s="26"/>
      <c r="Q273" s="12"/>
      <c r="R273" s="12"/>
      <c r="S273" s="12"/>
      <c r="T273" s="52">
        <v>45204.0</v>
      </c>
      <c r="U273" s="52">
        <v>45205.0</v>
      </c>
      <c r="V273" s="52">
        <v>45209.0</v>
      </c>
      <c r="W273" s="30"/>
      <c r="X273" s="30"/>
      <c r="Y273" s="31"/>
      <c r="Z273" s="31"/>
      <c r="AA273" s="31"/>
      <c r="AB273" s="74" t="s">
        <v>1181</v>
      </c>
      <c r="AC273" s="74"/>
    </row>
    <row r="274" ht="16.5" customHeight="1">
      <c r="A274" s="48" t="s">
        <v>1182</v>
      </c>
      <c r="B274" s="53" t="s">
        <v>104</v>
      </c>
      <c r="C274" s="47">
        <v>0.0</v>
      </c>
      <c r="D274" s="70" t="s">
        <v>1183</v>
      </c>
      <c r="E274" s="55" t="s">
        <v>79</v>
      </c>
      <c r="F274" s="32" t="s">
        <v>33</v>
      </c>
      <c r="G274" s="32" t="s">
        <v>368</v>
      </c>
      <c r="H274" s="71" t="s">
        <v>35</v>
      </c>
      <c r="I274" s="71" t="s">
        <v>36</v>
      </c>
      <c r="J274" s="34" t="s">
        <v>37</v>
      </c>
      <c r="K274" s="57" t="s">
        <v>1184</v>
      </c>
      <c r="L274" s="72">
        <v>9821.0</v>
      </c>
      <c r="M274" s="27"/>
      <c r="N274" s="76"/>
      <c r="O274" s="28">
        <v>45215.0</v>
      </c>
      <c r="P274" s="26"/>
      <c r="Q274" s="12"/>
      <c r="R274" s="12"/>
      <c r="S274" s="12"/>
      <c r="T274" s="52">
        <v>45204.0</v>
      </c>
      <c r="U274" s="52">
        <v>45208.0</v>
      </c>
      <c r="V274" s="52">
        <v>45212.0</v>
      </c>
      <c r="W274" s="30"/>
      <c r="X274" s="30"/>
      <c r="Y274" s="31"/>
      <c r="Z274" s="31"/>
      <c r="AA274" s="31"/>
      <c r="AB274" s="74" t="s">
        <v>1185</v>
      </c>
      <c r="AC274" s="74"/>
    </row>
    <row r="275" ht="16.5" customHeight="1">
      <c r="A275" s="48" t="s">
        <v>1186</v>
      </c>
      <c r="B275" s="53" t="s">
        <v>1187</v>
      </c>
      <c r="C275" s="47">
        <v>0.0</v>
      </c>
      <c r="D275" s="70" t="s">
        <v>1188</v>
      </c>
      <c r="E275" s="55" t="s">
        <v>338</v>
      </c>
      <c r="F275" s="32" t="s">
        <v>33</v>
      </c>
      <c r="G275" s="32" t="s">
        <v>35</v>
      </c>
      <c r="H275" s="71" t="s">
        <v>35</v>
      </c>
      <c r="I275" s="71" t="s">
        <v>36</v>
      </c>
      <c r="J275" s="34" t="s">
        <v>49</v>
      </c>
      <c r="K275" s="57" t="s">
        <v>38</v>
      </c>
      <c r="L275" s="72">
        <v>9887.0</v>
      </c>
      <c r="M275" s="22"/>
      <c r="N275" s="76"/>
      <c r="O275" s="28">
        <v>45226.0</v>
      </c>
      <c r="P275" s="35" t="s">
        <v>1189</v>
      </c>
      <c r="Q275" s="12"/>
      <c r="R275" s="12"/>
      <c r="S275" s="12"/>
      <c r="T275" s="52">
        <v>45204.0</v>
      </c>
      <c r="U275" s="52">
        <v>45210.0</v>
      </c>
      <c r="V275" s="52">
        <v>45216.0</v>
      </c>
      <c r="W275" s="30"/>
      <c r="X275" s="30"/>
      <c r="Y275" s="31"/>
      <c r="Z275" s="31"/>
      <c r="AA275" s="31"/>
      <c r="AB275" s="74" t="s">
        <v>1190</v>
      </c>
      <c r="AC275" s="74"/>
    </row>
    <row r="276" ht="16.5" customHeight="1">
      <c r="A276" s="48" t="s">
        <v>1191</v>
      </c>
      <c r="B276" s="53" t="s">
        <v>1192</v>
      </c>
      <c r="C276" s="47">
        <v>0.0</v>
      </c>
      <c r="D276" s="70" t="s">
        <v>1193</v>
      </c>
      <c r="E276" s="55" t="s">
        <v>338</v>
      </c>
      <c r="F276" s="32" t="s">
        <v>33</v>
      </c>
      <c r="G276" s="32" t="s">
        <v>35</v>
      </c>
      <c r="H276" s="71" t="s">
        <v>35</v>
      </c>
      <c r="I276" s="71" t="s">
        <v>36</v>
      </c>
      <c r="J276" s="34" t="s">
        <v>65</v>
      </c>
      <c r="K276" s="57" t="s">
        <v>38</v>
      </c>
      <c r="L276" s="72">
        <v>9805.0</v>
      </c>
      <c r="M276" s="27"/>
      <c r="N276" s="76"/>
      <c r="O276" s="28">
        <v>45217.0</v>
      </c>
      <c r="P276" s="26"/>
      <c r="Q276" s="12"/>
      <c r="R276" s="12"/>
      <c r="S276" s="12"/>
      <c r="T276" s="52">
        <v>45204.0</v>
      </c>
      <c r="U276" s="52">
        <v>45205.0</v>
      </c>
      <c r="V276" s="52">
        <v>45210.0</v>
      </c>
      <c r="W276" s="30"/>
      <c r="X276" s="30"/>
      <c r="Y276" s="31"/>
      <c r="Z276" s="31"/>
      <c r="AA276" s="31"/>
      <c r="AB276" s="74" t="s">
        <v>1194</v>
      </c>
      <c r="AC276" s="74"/>
    </row>
    <row r="277" ht="16.5" customHeight="1">
      <c r="A277" s="48" t="s">
        <v>1195</v>
      </c>
      <c r="B277" s="53" t="s">
        <v>169</v>
      </c>
      <c r="C277" s="47">
        <v>0.0</v>
      </c>
      <c r="D277" s="70" t="s">
        <v>1196</v>
      </c>
      <c r="E277" s="55" t="s">
        <v>184</v>
      </c>
      <c r="F277" s="32" t="s">
        <v>48</v>
      </c>
      <c r="G277" s="32" t="s">
        <v>35</v>
      </c>
      <c r="H277" s="71" t="s">
        <v>35</v>
      </c>
      <c r="I277" s="71" t="s">
        <v>36</v>
      </c>
      <c r="J277" s="34" t="s">
        <v>65</v>
      </c>
      <c r="K277" s="57" t="s">
        <v>38</v>
      </c>
      <c r="L277" s="72" t="s">
        <v>1197</v>
      </c>
      <c r="M277" s="27"/>
      <c r="N277" s="73"/>
      <c r="O277" s="28">
        <v>45308.0</v>
      </c>
      <c r="P277" s="26"/>
      <c r="Q277" s="12"/>
      <c r="R277" s="12"/>
      <c r="S277" s="12"/>
      <c r="T277" s="52">
        <v>45204.0</v>
      </c>
      <c r="U277" s="52">
        <v>45305.0</v>
      </c>
      <c r="V277" s="52">
        <v>45308.0</v>
      </c>
      <c r="W277" s="30"/>
      <c r="X277" s="30"/>
      <c r="Y277" s="31"/>
      <c r="Z277" s="31"/>
      <c r="AA277" s="31"/>
      <c r="AB277" s="74" t="s">
        <v>1198</v>
      </c>
      <c r="AC277" s="74"/>
    </row>
    <row r="278" ht="16.5" customHeight="1">
      <c r="A278" s="48" t="s">
        <v>1199</v>
      </c>
      <c r="B278" s="53" t="s">
        <v>911</v>
      </c>
      <c r="C278" s="47">
        <v>0.0</v>
      </c>
      <c r="D278" s="70" t="s">
        <v>1200</v>
      </c>
      <c r="E278" s="55" t="s">
        <v>1119</v>
      </c>
      <c r="F278" s="32" t="s">
        <v>33</v>
      </c>
      <c r="G278" s="32" t="s">
        <v>35</v>
      </c>
      <c r="H278" s="71" t="s">
        <v>35</v>
      </c>
      <c r="I278" s="71" t="s">
        <v>36</v>
      </c>
      <c r="J278" s="34" t="s">
        <v>49</v>
      </c>
      <c r="K278" s="57" t="s">
        <v>49</v>
      </c>
      <c r="L278" s="72">
        <v>9801.0</v>
      </c>
      <c r="M278" s="22"/>
      <c r="N278" s="76"/>
      <c r="O278" s="28">
        <v>45212.0</v>
      </c>
      <c r="P278" s="35" t="s">
        <v>1201</v>
      </c>
      <c r="Q278" s="12"/>
      <c r="R278" s="12"/>
      <c r="S278" s="12"/>
      <c r="T278" s="52">
        <v>45204.0</v>
      </c>
      <c r="U278" s="52">
        <v>45205.0</v>
      </c>
      <c r="V278" s="52">
        <v>45209.0</v>
      </c>
      <c r="W278" s="30"/>
      <c r="X278" s="30"/>
      <c r="Y278" s="31"/>
      <c r="Z278" s="31"/>
      <c r="AA278" s="31"/>
      <c r="AB278" s="74" t="s">
        <v>1202</v>
      </c>
      <c r="AC278" s="74"/>
    </row>
    <row r="279" ht="16.5" customHeight="1">
      <c r="A279" s="48" t="s">
        <v>1203</v>
      </c>
      <c r="B279" s="53" t="s">
        <v>911</v>
      </c>
      <c r="C279" s="47">
        <v>0.0</v>
      </c>
      <c r="D279" s="70" t="s">
        <v>1204</v>
      </c>
      <c r="E279" s="55" t="s">
        <v>1119</v>
      </c>
      <c r="F279" s="32" t="s">
        <v>33</v>
      </c>
      <c r="G279" s="32" t="s">
        <v>35</v>
      </c>
      <c r="H279" s="71" t="s">
        <v>35</v>
      </c>
      <c r="I279" s="71" t="s">
        <v>36</v>
      </c>
      <c r="J279" s="34" t="s">
        <v>49</v>
      </c>
      <c r="K279" s="57" t="s">
        <v>49</v>
      </c>
      <c r="L279" s="72">
        <v>9801.0</v>
      </c>
      <c r="M279" s="22"/>
      <c r="N279" s="76"/>
      <c r="O279" s="28">
        <v>45212.0</v>
      </c>
      <c r="P279" s="35" t="s">
        <v>1201</v>
      </c>
      <c r="Q279" s="12"/>
      <c r="R279" s="12"/>
      <c r="S279" s="12"/>
      <c r="T279" s="52">
        <v>45204.0</v>
      </c>
      <c r="U279" s="52">
        <v>45205.0</v>
      </c>
      <c r="V279" s="52">
        <v>45209.0</v>
      </c>
      <c r="W279" s="30"/>
      <c r="X279" s="30"/>
      <c r="Y279" s="31"/>
      <c r="Z279" s="31"/>
      <c r="AA279" s="31"/>
      <c r="AB279" s="74" t="s">
        <v>1205</v>
      </c>
      <c r="AC279" s="74"/>
    </row>
    <row r="280" ht="16.5" customHeight="1">
      <c r="A280" s="48" t="s">
        <v>1206</v>
      </c>
      <c r="B280" s="53" t="s">
        <v>911</v>
      </c>
      <c r="C280" s="47">
        <v>0.0</v>
      </c>
      <c r="D280" s="70" t="s">
        <v>1207</v>
      </c>
      <c r="E280" s="55" t="s">
        <v>1119</v>
      </c>
      <c r="F280" s="32" t="s">
        <v>33</v>
      </c>
      <c r="G280" s="32" t="s">
        <v>35</v>
      </c>
      <c r="H280" s="71" t="s">
        <v>35</v>
      </c>
      <c r="I280" s="71" t="s">
        <v>36</v>
      </c>
      <c r="J280" s="34" t="s">
        <v>49</v>
      </c>
      <c r="K280" s="57" t="s">
        <v>49</v>
      </c>
      <c r="L280" s="72">
        <v>9801.0</v>
      </c>
      <c r="M280" s="22"/>
      <c r="N280" s="76"/>
      <c r="O280" s="28">
        <v>45212.0</v>
      </c>
      <c r="P280" s="35" t="s">
        <v>1201</v>
      </c>
      <c r="Q280" s="12"/>
      <c r="R280" s="12"/>
      <c r="S280" s="12"/>
      <c r="T280" s="52">
        <v>45204.0</v>
      </c>
      <c r="U280" s="52">
        <v>45205.0</v>
      </c>
      <c r="V280" s="52">
        <v>45209.0</v>
      </c>
      <c r="W280" s="30"/>
      <c r="X280" s="30"/>
      <c r="Y280" s="31"/>
      <c r="Z280" s="31"/>
      <c r="AA280" s="31"/>
      <c r="AB280" s="74" t="s">
        <v>1208</v>
      </c>
      <c r="AC280" s="74"/>
    </row>
    <row r="281" ht="16.5" customHeight="1">
      <c r="A281" s="48" t="s">
        <v>1209</v>
      </c>
      <c r="B281" s="53" t="s">
        <v>911</v>
      </c>
      <c r="C281" s="47">
        <v>0.0</v>
      </c>
      <c r="D281" s="70" t="s">
        <v>1210</v>
      </c>
      <c r="E281" s="55" t="s">
        <v>1119</v>
      </c>
      <c r="F281" s="32" t="s">
        <v>33</v>
      </c>
      <c r="G281" s="32" t="s">
        <v>35</v>
      </c>
      <c r="H281" s="71" t="s">
        <v>35</v>
      </c>
      <c r="I281" s="71" t="s">
        <v>36</v>
      </c>
      <c r="J281" s="34" t="s">
        <v>49</v>
      </c>
      <c r="K281" s="57" t="s">
        <v>49</v>
      </c>
      <c r="L281" s="72">
        <v>9801.0</v>
      </c>
      <c r="M281" s="22"/>
      <c r="N281" s="76"/>
      <c r="O281" s="28">
        <v>45212.0</v>
      </c>
      <c r="P281" s="35" t="s">
        <v>1201</v>
      </c>
      <c r="Q281" s="12"/>
      <c r="R281" s="12"/>
      <c r="S281" s="12"/>
      <c r="T281" s="52">
        <v>45204.0</v>
      </c>
      <c r="U281" s="52">
        <v>45205.0</v>
      </c>
      <c r="V281" s="52">
        <v>45209.0</v>
      </c>
      <c r="W281" s="30"/>
      <c r="X281" s="30"/>
      <c r="Y281" s="31"/>
      <c r="Z281" s="31"/>
      <c r="AA281" s="31"/>
      <c r="AB281" s="74" t="s">
        <v>1211</v>
      </c>
      <c r="AC281" s="74"/>
    </row>
    <row r="282" ht="16.5" customHeight="1">
      <c r="A282" s="48" t="s">
        <v>1212</v>
      </c>
      <c r="B282" s="53" t="s">
        <v>911</v>
      </c>
      <c r="C282" s="47">
        <v>0.0</v>
      </c>
      <c r="D282" s="70" t="s">
        <v>1213</v>
      </c>
      <c r="E282" s="55" t="s">
        <v>1119</v>
      </c>
      <c r="F282" s="32" t="s">
        <v>33</v>
      </c>
      <c r="G282" s="32" t="s">
        <v>35</v>
      </c>
      <c r="H282" s="71" t="s">
        <v>35</v>
      </c>
      <c r="I282" s="71" t="s">
        <v>36</v>
      </c>
      <c r="J282" s="34" t="s">
        <v>49</v>
      </c>
      <c r="K282" s="57" t="s">
        <v>49</v>
      </c>
      <c r="L282" s="72">
        <v>9801.0</v>
      </c>
      <c r="M282" s="22"/>
      <c r="N282" s="76"/>
      <c r="O282" s="28">
        <v>45212.0</v>
      </c>
      <c r="P282" s="35" t="s">
        <v>1201</v>
      </c>
      <c r="Q282" s="12"/>
      <c r="R282" s="12"/>
      <c r="S282" s="12"/>
      <c r="T282" s="52">
        <v>45204.0</v>
      </c>
      <c r="U282" s="52">
        <v>45205.0</v>
      </c>
      <c r="V282" s="52">
        <v>45209.0</v>
      </c>
      <c r="W282" s="30"/>
      <c r="X282" s="30"/>
      <c r="Y282" s="31"/>
      <c r="Z282" s="31"/>
      <c r="AA282" s="31"/>
      <c r="AB282" s="74" t="s">
        <v>1214</v>
      </c>
      <c r="AC282" s="74"/>
    </row>
    <row r="283" ht="16.5" customHeight="1">
      <c r="A283" s="48" t="s">
        <v>1215</v>
      </c>
      <c r="B283" s="53" t="s">
        <v>911</v>
      </c>
      <c r="C283" s="47">
        <v>0.0</v>
      </c>
      <c r="D283" s="70" t="s">
        <v>1216</v>
      </c>
      <c r="E283" s="55" t="s">
        <v>1119</v>
      </c>
      <c r="F283" s="32" t="s">
        <v>33</v>
      </c>
      <c r="G283" s="32" t="s">
        <v>35</v>
      </c>
      <c r="H283" s="71" t="s">
        <v>35</v>
      </c>
      <c r="I283" s="71" t="s">
        <v>36</v>
      </c>
      <c r="J283" s="34" t="s">
        <v>49</v>
      </c>
      <c r="K283" s="57" t="s">
        <v>49</v>
      </c>
      <c r="L283" s="72">
        <v>9801.0</v>
      </c>
      <c r="M283" s="22"/>
      <c r="N283" s="76"/>
      <c r="O283" s="28">
        <v>45212.0</v>
      </c>
      <c r="P283" s="35" t="s">
        <v>1201</v>
      </c>
      <c r="Q283" s="12"/>
      <c r="R283" s="12"/>
      <c r="S283" s="12"/>
      <c r="T283" s="52">
        <v>45204.0</v>
      </c>
      <c r="U283" s="52">
        <v>45205.0</v>
      </c>
      <c r="V283" s="52">
        <v>45209.0</v>
      </c>
      <c r="W283" s="30"/>
      <c r="X283" s="30"/>
      <c r="Y283" s="31"/>
      <c r="Z283" s="31"/>
      <c r="AA283" s="31"/>
      <c r="AB283" s="74" t="s">
        <v>1217</v>
      </c>
      <c r="AC283" s="74"/>
    </row>
    <row r="284" ht="16.5" customHeight="1">
      <c r="A284" s="48" t="s">
        <v>1218</v>
      </c>
      <c r="B284" s="53" t="s">
        <v>911</v>
      </c>
      <c r="C284" s="47">
        <v>0.0</v>
      </c>
      <c r="D284" s="70" t="s">
        <v>1219</v>
      </c>
      <c r="E284" s="55" t="s">
        <v>1119</v>
      </c>
      <c r="F284" s="32" t="s">
        <v>33</v>
      </c>
      <c r="G284" s="32" t="s">
        <v>35</v>
      </c>
      <c r="H284" s="71" t="s">
        <v>35</v>
      </c>
      <c r="I284" s="71" t="s">
        <v>36</v>
      </c>
      <c r="J284" s="34" t="s">
        <v>49</v>
      </c>
      <c r="K284" s="57" t="s">
        <v>49</v>
      </c>
      <c r="L284" s="72">
        <v>9801.0</v>
      </c>
      <c r="M284" s="22"/>
      <c r="N284" s="76"/>
      <c r="O284" s="28">
        <v>45212.0</v>
      </c>
      <c r="P284" s="35" t="s">
        <v>1201</v>
      </c>
      <c r="Q284" s="12"/>
      <c r="R284" s="12"/>
      <c r="S284" s="12"/>
      <c r="T284" s="52">
        <v>45204.0</v>
      </c>
      <c r="U284" s="52">
        <v>45205.0</v>
      </c>
      <c r="V284" s="52">
        <v>45209.0</v>
      </c>
      <c r="W284" s="30"/>
      <c r="X284" s="30"/>
      <c r="Y284" s="31"/>
      <c r="Z284" s="31"/>
      <c r="AA284" s="31"/>
      <c r="AB284" s="74" t="s">
        <v>1220</v>
      </c>
      <c r="AC284" s="74"/>
    </row>
    <row r="285" ht="16.5" customHeight="1">
      <c r="A285" s="48" t="s">
        <v>1221</v>
      </c>
      <c r="B285" s="53" t="s">
        <v>911</v>
      </c>
      <c r="C285" s="47">
        <v>0.0</v>
      </c>
      <c r="D285" s="70" t="s">
        <v>1222</v>
      </c>
      <c r="E285" s="55" t="s">
        <v>1119</v>
      </c>
      <c r="F285" s="32" t="s">
        <v>33</v>
      </c>
      <c r="G285" s="32" t="s">
        <v>35</v>
      </c>
      <c r="H285" s="71" t="s">
        <v>35</v>
      </c>
      <c r="I285" s="71" t="s">
        <v>36</v>
      </c>
      <c r="J285" s="34" t="s">
        <v>49</v>
      </c>
      <c r="K285" s="57" t="s">
        <v>49</v>
      </c>
      <c r="L285" s="72">
        <v>9801.0</v>
      </c>
      <c r="M285" s="22"/>
      <c r="N285" s="76"/>
      <c r="O285" s="28">
        <v>45212.0</v>
      </c>
      <c r="P285" s="35" t="s">
        <v>1201</v>
      </c>
      <c r="Q285" s="12"/>
      <c r="R285" s="12"/>
      <c r="S285" s="12"/>
      <c r="T285" s="52">
        <v>45204.0</v>
      </c>
      <c r="U285" s="52">
        <v>45205.0</v>
      </c>
      <c r="V285" s="52">
        <v>45209.0</v>
      </c>
      <c r="W285" s="30"/>
      <c r="X285" s="30"/>
      <c r="Y285" s="31"/>
      <c r="Z285" s="31"/>
      <c r="AA285" s="31"/>
      <c r="AB285" s="74" t="s">
        <v>1223</v>
      </c>
      <c r="AC285" s="74"/>
    </row>
    <row r="286" ht="16.5" customHeight="1">
      <c r="A286" s="48" t="s">
        <v>1224</v>
      </c>
      <c r="B286" s="53" t="s">
        <v>911</v>
      </c>
      <c r="C286" s="47">
        <v>0.0</v>
      </c>
      <c r="D286" s="70" t="s">
        <v>1225</v>
      </c>
      <c r="E286" s="55" t="s">
        <v>1119</v>
      </c>
      <c r="F286" s="32" t="s">
        <v>33</v>
      </c>
      <c r="G286" s="32" t="s">
        <v>35</v>
      </c>
      <c r="H286" s="71" t="s">
        <v>35</v>
      </c>
      <c r="I286" s="71" t="s">
        <v>36</v>
      </c>
      <c r="J286" s="34" t="s">
        <v>49</v>
      </c>
      <c r="K286" s="57" t="s">
        <v>49</v>
      </c>
      <c r="L286" s="72">
        <v>9801.0</v>
      </c>
      <c r="M286" s="22"/>
      <c r="N286" s="76"/>
      <c r="O286" s="28">
        <v>45212.0</v>
      </c>
      <c r="P286" s="35" t="s">
        <v>1201</v>
      </c>
      <c r="Q286" s="12"/>
      <c r="R286" s="12"/>
      <c r="S286" s="12"/>
      <c r="T286" s="52">
        <v>45204.0</v>
      </c>
      <c r="U286" s="52">
        <v>45205.0</v>
      </c>
      <c r="V286" s="52">
        <v>45209.0</v>
      </c>
      <c r="W286" s="30"/>
      <c r="X286" s="30"/>
      <c r="Y286" s="31"/>
      <c r="Z286" s="31"/>
      <c r="AA286" s="31"/>
      <c r="AB286" s="74" t="s">
        <v>1226</v>
      </c>
      <c r="AC286" s="74"/>
    </row>
    <row r="287" ht="16.5" customHeight="1">
      <c r="A287" s="48" t="s">
        <v>1227</v>
      </c>
      <c r="B287" s="53" t="s">
        <v>911</v>
      </c>
      <c r="C287" s="47">
        <v>0.0</v>
      </c>
      <c r="D287" s="70" t="s">
        <v>1228</v>
      </c>
      <c r="E287" s="55" t="s">
        <v>1119</v>
      </c>
      <c r="F287" s="32" t="s">
        <v>33</v>
      </c>
      <c r="G287" s="32" t="s">
        <v>35</v>
      </c>
      <c r="H287" s="71" t="s">
        <v>35</v>
      </c>
      <c r="I287" s="71" t="s">
        <v>36</v>
      </c>
      <c r="J287" s="34" t="s">
        <v>49</v>
      </c>
      <c r="K287" s="57" t="s">
        <v>49</v>
      </c>
      <c r="L287" s="72">
        <v>9801.0</v>
      </c>
      <c r="M287" s="22"/>
      <c r="N287" s="76"/>
      <c r="O287" s="28">
        <v>45212.0</v>
      </c>
      <c r="P287" s="35" t="s">
        <v>1201</v>
      </c>
      <c r="Q287" s="12"/>
      <c r="R287" s="12"/>
      <c r="S287" s="12"/>
      <c r="T287" s="52">
        <v>45204.0</v>
      </c>
      <c r="U287" s="52">
        <v>45205.0</v>
      </c>
      <c r="V287" s="52">
        <v>45209.0</v>
      </c>
      <c r="W287" s="30"/>
      <c r="X287" s="30"/>
      <c r="Y287" s="31"/>
      <c r="Z287" s="31"/>
      <c r="AA287" s="31"/>
      <c r="AB287" s="74" t="s">
        <v>1229</v>
      </c>
      <c r="AC287" s="74"/>
    </row>
    <row r="288" ht="16.5" customHeight="1">
      <c r="A288" s="48" t="s">
        <v>1230</v>
      </c>
      <c r="B288" s="53" t="s">
        <v>287</v>
      </c>
      <c r="C288" s="47">
        <v>0.0</v>
      </c>
      <c r="D288" s="70" t="s">
        <v>1231</v>
      </c>
      <c r="E288" s="55" t="s">
        <v>251</v>
      </c>
      <c r="F288" s="32" t="s">
        <v>33</v>
      </c>
      <c r="G288" s="32" t="s">
        <v>34</v>
      </c>
      <c r="H288" s="71" t="s">
        <v>35</v>
      </c>
      <c r="I288" s="71" t="s">
        <v>36</v>
      </c>
      <c r="J288" s="34" t="s">
        <v>92</v>
      </c>
      <c r="K288" s="57" t="s">
        <v>38</v>
      </c>
      <c r="L288" s="72">
        <v>9820.0</v>
      </c>
      <c r="M288" s="22"/>
      <c r="N288" s="76"/>
      <c r="O288" s="28">
        <v>45217.0</v>
      </c>
      <c r="P288" s="35" t="s">
        <v>1232</v>
      </c>
      <c r="Q288" s="12"/>
      <c r="R288" s="12"/>
      <c r="S288" s="12"/>
      <c r="T288" s="52">
        <v>45204.0</v>
      </c>
      <c r="U288" s="52">
        <v>45205.0</v>
      </c>
      <c r="V288" s="52">
        <v>45212.0</v>
      </c>
      <c r="W288" s="30"/>
      <c r="X288" s="30"/>
      <c r="Y288" s="31"/>
      <c r="Z288" s="31"/>
      <c r="AA288" s="31"/>
      <c r="AB288" s="74" t="s">
        <v>1233</v>
      </c>
      <c r="AC288" s="74"/>
    </row>
    <row r="289" ht="16.5" customHeight="1">
      <c r="A289" s="48" t="s">
        <v>1234</v>
      </c>
      <c r="B289" s="53" t="s">
        <v>299</v>
      </c>
      <c r="C289" s="47">
        <v>0.0</v>
      </c>
      <c r="D289" s="70" t="s">
        <v>1235</v>
      </c>
      <c r="E289" s="55" t="s">
        <v>913</v>
      </c>
      <c r="F289" s="32" t="s">
        <v>33</v>
      </c>
      <c r="G289" s="32" t="s">
        <v>35</v>
      </c>
      <c r="H289" s="71" t="s">
        <v>35</v>
      </c>
      <c r="I289" s="71" t="s">
        <v>36</v>
      </c>
      <c r="J289" s="34" t="s">
        <v>92</v>
      </c>
      <c r="K289" s="57" t="s">
        <v>38</v>
      </c>
      <c r="L289" s="72">
        <v>9843.0</v>
      </c>
      <c r="M289" s="22"/>
      <c r="N289" s="76"/>
      <c r="O289" s="28">
        <v>45219.0</v>
      </c>
      <c r="P289" s="35" t="s">
        <v>1236</v>
      </c>
      <c r="Q289" s="12"/>
      <c r="R289" s="12"/>
      <c r="S289" s="12"/>
      <c r="T289" s="52">
        <v>45204.0</v>
      </c>
      <c r="U289" s="52">
        <v>45208.0</v>
      </c>
      <c r="V289" s="52">
        <v>45217.0</v>
      </c>
      <c r="W289" s="30"/>
      <c r="X289" s="30"/>
      <c r="Y289" s="31"/>
      <c r="Z289" s="31"/>
      <c r="AA289" s="31"/>
      <c r="AB289" s="74" t="s">
        <v>1237</v>
      </c>
      <c r="AC289" s="74"/>
    </row>
    <row r="290" ht="16.5" customHeight="1">
      <c r="A290" s="48" t="s">
        <v>1238</v>
      </c>
      <c r="B290" s="53" t="s">
        <v>1239</v>
      </c>
      <c r="C290" s="47">
        <v>0.0</v>
      </c>
      <c r="D290" s="70" t="s">
        <v>1240</v>
      </c>
      <c r="E290" s="55" t="s">
        <v>1119</v>
      </c>
      <c r="F290" s="32" t="s">
        <v>33</v>
      </c>
      <c r="G290" s="32" t="s">
        <v>35</v>
      </c>
      <c r="H290" s="71" t="s">
        <v>35</v>
      </c>
      <c r="I290" s="71" t="s">
        <v>36</v>
      </c>
      <c r="J290" s="34" t="s">
        <v>37</v>
      </c>
      <c r="K290" s="57" t="s">
        <v>38</v>
      </c>
      <c r="L290" s="72">
        <v>9802.0</v>
      </c>
      <c r="M290" s="22"/>
      <c r="N290" s="76"/>
      <c r="O290" s="28">
        <v>45216.0</v>
      </c>
      <c r="P290" s="35" t="s">
        <v>1241</v>
      </c>
      <c r="Q290" s="12"/>
      <c r="R290" s="12"/>
      <c r="S290" s="12"/>
      <c r="T290" s="52">
        <v>45205.0</v>
      </c>
      <c r="U290" s="52">
        <v>45205.0</v>
      </c>
      <c r="V290" s="52">
        <v>45210.0</v>
      </c>
      <c r="W290" s="30"/>
      <c r="X290" s="30"/>
      <c r="Y290" s="31"/>
      <c r="Z290" s="31"/>
      <c r="AA290" s="31"/>
      <c r="AB290" s="74" t="s">
        <v>1242</v>
      </c>
      <c r="AC290" s="74"/>
    </row>
    <row r="291" ht="16.5" customHeight="1">
      <c r="A291" s="48" t="s">
        <v>1243</v>
      </c>
      <c r="B291" s="53" t="s">
        <v>482</v>
      </c>
      <c r="C291" s="47">
        <v>0.0</v>
      </c>
      <c r="D291" s="70" t="s">
        <v>1244</v>
      </c>
      <c r="E291" s="55" t="s">
        <v>184</v>
      </c>
      <c r="F291" s="32" t="s">
        <v>48</v>
      </c>
      <c r="G291" s="32" t="s">
        <v>35</v>
      </c>
      <c r="H291" s="71" t="s">
        <v>35</v>
      </c>
      <c r="I291" s="71" t="s">
        <v>36</v>
      </c>
      <c r="J291" s="34" t="s">
        <v>65</v>
      </c>
      <c r="K291" s="57" t="s">
        <v>38</v>
      </c>
      <c r="L291" s="72">
        <v>10221.0</v>
      </c>
      <c r="M291" s="22"/>
      <c r="N291" s="73"/>
      <c r="O291" s="28">
        <v>45308.0</v>
      </c>
      <c r="P291" s="35" t="s">
        <v>1241</v>
      </c>
      <c r="Q291" s="12"/>
      <c r="R291" s="12"/>
      <c r="S291" s="12"/>
      <c r="T291" s="52">
        <v>45205.0</v>
      </c>
      <c r="U291" s="52">
        <v>45305.0</v>
      </c>
      <c r="V291" s="52">
        <v>45308.0</v>
      </c>
      <c r="W291" s="30"/>
      <c r="X291" s="30"/>
      <c r="Y291" s="31"/>
      <c r="Z291" s="31"/>
      <c r="AA291" s="31"/>
      <c r="AB291" s="74" t="s">
        <v>1245</v>
      </c>
      <c r="AC291" s="74"/>
    </row>
    <row r="292" ht="16.5" customHeight="1">
      <c r="A292" s="48" t="s">
        <v>1246</v>
      </c>
      <c r="B292" s="53" t="s">
        <v>1247</v>
      </c>
      <c r="C292" s="47">
        <v>0.0</v>
      </c>
      <c r="D292" s="70"/>
      <c r="E292" s="55" t="s">
        <v>1248</v>
      </c>
      <c r="F292" s="32" t="s">
        <v>33</v>
      </c>
      <c r="G292" s="32" t="s">
        <v>35</v>
      </c>
      <c r="H292" s="71" t="s">
        <v>35</v>
      </c>
      <c r="I292" s="71" t="s">
        <v>36</v>
      </c>
      <c r="J292" s="34" t="s">
        <v>65</v>
      </c>
      <c r="K292" s="57" t="s">
        <v>38</v>
      </c>
      <c r="L292" s="72">
        <v>9782.0</v>
      </c>
      <c r="M292" s="22"/>
      <c r="N292" s="76"/>
      <c r="O292" s="28">
        <v>45209.0</v>
      </c>
      <c r="P292" s="35" t="s">
        <v>1249</v>
      </c>
      <c r="Q292" s="12"/>
      <c r="R292" s="12"/>
      <c r="S292" s="12"/>
      <c r="T292" s="52">
        <v>45205.0</v>
      </c>
      <c r="U292" s="52">
        <v>45205.0</v>
      </c>
      <c r="V292" s="52">
        <v>45209.0</v>
      </c>
      <c r="W292" s="30"/>
      <c r="X292" s="30"/>
      <c r="Y292" s="31"/>
      <c r="Z292" s="31"/>
      <c r="AA292" s="31"/>
      <c r="AB292" s="74" t="s">
        <v>1250</v>
      </c>
      <c r="AC292" s="74"/>
    </row>
    <row r="293" ht="16.5" customHeight="1">
      <c r="A293" s="48" t="s">
        <v>1251</v>
      </c>
      <c r="B293" s="53" t="s">
        <v>1252</v>
      </c>
      <c r="C293" s="47">
        <v>0.0</v>
      </c>
      <c r="D293" s="70" t="s">
        <v>1253</v>
      </c>
      <c r="E293" s="55" t="s">
        <v>491</v>
      </c>
      <c r="F293" s="32" t="s">
        <v>33</v>
      </c>
      <c r="G293" s="32" t="s">
        <v>35</v>
      </c>
      <c r="H293" s="71" t="s">
        <v>35</v>
      </c>
      <c r="I293" s="71" t="s">
        <v>36</v>
      </c>
      <c r="J293" s="34" t="s">
        <v>65</v>
      </c>
      <c r="K293" s="57" t="s">
        <v>38</v>
      </c>
      <c r="L293" s="72">
        <v>9877.0</v>
      </c>
      <c r="M293" s="27"/>
      <c r="N293" s="76"/>
      <c r="O293" s="28">
        <v>45224.0</v>
      </c>
      <c r="P293" s="26"/>
      <c r="Q293" s="12"/>
      <c r="R293" s="12"/>
      <c r="S293" s="12"/>
      <c r="T293" s="52">
        <v>45205.0</v>
      </c>
      <c r="U293" s="52">
        <v>45222.0</v>
      </c>
      <c r="V293" s="52">
        <v>45223.0</v>
      </c>
      <c r="W293" s="30"/>
      <c r="X293" s="30"/>
      <c r="Y293" s="31"/>
      <c r="Z293" s="31"/>
      <c r="AA293" s="31"/>
      <c r="AB293" s="74" t="s">
        <v>1254</v>
      </c>
      <c r="AC293" s="74"/>
    </row>
    <row r="294" ht="16.5" customHeight="1">
      <c r="A294" s="48" t="s">
        <v>1255</v>
      </c>
      <c r="B294" s="53" t="s">
        <v>287</v>
      </c>
      <c r="C294" s="47">
        <v>0.0</v>
      </c>
      <c r="D294" s="70" t="s">
        <v>1256</v>
      </c>
      <c r="E294" s="55" t="s">
        <v>79</v>
      </c>
      <c r="F294" s="32" t="s">
        <v>33</v>
      </c>
      <c r="G294" s="32" t="s">
        <v>34</v>
      </c>
      <c r="H294" s="71" t="s">
        <v>35</v>
      </c>
      <c r="I294" s="71" t="s">
        <v>36</v>
      </c>
      <c r="J294" s="34" t="s">
        <v>92</v>
      </c>
      <c r="K294" s="57" t="s">
        <v>38</v>
      </c>
      <c r="L294" s="72">
        <v>9819.0</v>
      </c>
      <c r="M294" s="27"/>
      <c r="N294" s="76"/>
      <c r="O294" s="28">
        <v>45217.0</v>
      </c>
      <c r="P294" s="26"/>
      <c r="Q294" s="12"/>
      <c r="R294" s="12"/>
      <c r="S294" s="12"/>
      <c r="T294" s="52">
        <v>45206.0</v>
      </c>
      <c r="U294" s="52">
        <v>45208.0</v>
      </c>
      <c r="V294" s="52">
        <v>45212.0</v>
      </c>
      <c r="W294" s="30"/>
      <c r="X294" s="30"/>
      <c r="Y294" s="31"/>
      <c r="Z294" s="31"/>
      <c r="AA294" s="31"/>
      <c r="AB294" s="74" t="s">
        <v>1257</v>
      </c>
      <c r="AC294" s="74"/>
    </row>
    <row r="295" ht="16.5" customHeight="1">
      <c r="A295" s="48" t="s">
        <v>1258</v>
      </c>
      <c r="B295" s="53" t="s">
        <v>392</v>
      </c>
      <c r="C295" s="47">
        <v>0.0</v>
      </c>
      <c r="D295" s="70" t="s">
        <v>1259</v>
      </c>
      <c r="E295" s="55" t="s">
        <v>383</v>
      </c>
      <c r="F295" s="32" t="s">
        <v>33</v>
      </c>
      <c r="G295" s="32" t="s">
        <v>35</v>
      </c>
      <c r="H295" s="71" t="s">
        <v>35</v>
      </c>
      <c r="I295" s="71" t="s">
        <v>36</v>
      </c>
      <c r="J295" s="34" t="s">
        <v>65</v>
      </c>
      <c r="K295" s="57" t="s">
        <v>38</v>
      </c>
      <c r="L295" s="72">
        <v>9815.0</v>
      </c>
      <c r="M295" s="27"/>
      <c r="N295" s="76"/>
      <c r="O295" s="28">
        <v>45212.0</v>
      </c>
      <c r="P295" s="26"/>
      <c r="Q295" s="12"/>
      <c r="R295" s="12"/>
      <c r="S295" s="12"/>
      <c r="T295" s="52">
        <v>45206.0</v>
      </c>
      <c r="U295" s="52">
        <v>45208.0</v>
      </c>
      <c r="V295" s="52">
        <v>45212.0</v>
      </c>
      <c r="W295" s="30"/>
      <c r="X295" s="30"/>
      <c r="Y295" s="31"/>
      <c r="Z295" s="31"/>
      <c r="AA295" s="31"/>
      <c r="AB295" s="74" t="s">
        <v>1260</v>
      </c>
      <c r="AC295" s="74"/>
    </row>
    <row r="296" ht="16.5" customHeight="1">
      <c r="A296" s="48" t="s">
        <v>1261</v>
      </c>
      <c r="B296" s="53" t="s">
        <v>287</v>
      </c>
      <c r="C296" s="47">
        <v>0.0</v>
      </c>
      <c r="D296" s="70" t="s">
        <v>1262</v>
      </c>
      <c r="E296" s="55" t="s">
        <v>213</v>
      </c>
      <c r="F296" s="32" t="s">
        <v>33</v>
      </c>
      <c r="G296" s="32" t="s">
        <v>34</v>
      </c>
      <c r="H296" s="71" t="s">
        <v>35</v>
      </c>
      <c r="I296" s="71" t="s">
        <v>36</v>
      </c>
      <c r="J296" s="34" t="s">
        <v>92</v>
      </c>
      <c r="K296" s="57" t="s">
        <v>38</v>
      </c>
      <c r="L296" s="72">
        <v>9828.0</v>
      </c>
      <c r="M296" s="22"/>
      <c r="N296" s="76"/>
      <c r="O296" s="28">
        <v>45223.0</v>
      </c>
      <c r="P296" s="35" t="s">
        <v>1263</v>
      </c>
      <c r="Q296" s="12"/>
      <c r="R296" s="12"/>
      <c r="S296" s="12"/>
      <c r="T296" s="52">
        <v>45208.0</v>
      </c>
      <c r="U296" s="52">
        <v>45208.0</v>
      </c>
      <c r="V296" s="52">
        <v>45216.0</v>
      </c>
      <c r="W296" s="30"/>
      <c r="X296" s="30"/>
      <c r="Y296" s="31"/>
      <c r="Z296" s="31"/>
      <c r="AA296" s="31"/>
      <c r="AB296" s="74" t="s">
        <v>1264</v>
      </c>
      <c r="AC296" s="74"/>
    </row>
    <row r="297" ht="16.5" customHeight="1">
      <c r="A297" s="48" t="s">
        <v>1265</v>
      </c>
      <c r="B297" s="53" t="s">
        <v>1266</v>
      </c>
      <c r="C297" s="47">
        <v>0.0</v>
      </c>
      <c r="D297" s="70" t="s">
        <v>1267</v>
      </c>
      <c r="E297" s="55" t="s">
        <v>1268</v>
      </c>
      <c r="F297" s="32" t="s">
        <v>33</v>
      </c>
      <c r="G297" s="32" t="s">
        <v>35</v>
      </c>
      <c r="H297" s="71" t="s">
        <v>35</v>
      </c>
      <c r="I297" s="71" t="s">
        <v>36</v>
      </c>
      <c r="J297" s="34" t="s">
        <v>37</v>
      </c>
      <c r="K297" s="57" t="s">
        <v>1269</v>
      </c>
      <c r="L297" s="72">
        <v>9803.0</v>
      </c>
      <c r="M297" s="27"/>
      <c r="N297" s="76"/>
      <c r="O297" s="28">
        <v>45217.0</v>
      </c>
      <c r="P297" s="26"/>
      <c r="Q297" s="12"/>
      <c r="R297" s="12"/>
      <c r="S297" s="12"/>
      <c r="T297" s="52">
        <v>45208.0</v>
      </c>
      <c r="U297" s="52">
        <v>45208.0</v>
      </c>
      <c r="V297" s="52">
        <v>45210.0</v>
      </c>
      <c r="W297" s="30"/>
      <c r="X297" s="30"/>
      <c r="Y297" s="31"/>
      <c r="Z297" s="31"/>
      <c r="AA297" s="31"/>
      <c r="AB297" s="74" t="s">
        <v>1270</v>
      </c>
      <c r="AC297" s="74"/>
    </row>
    <row r="298" ht="16.5" customHeight="1">
      <c r="A298" s="48" t="s">
        <v>1271</v>
      </c>
      <c r="B298" s="53" t="s">
        <v>1272</v>
      </c>
      <c r="C298" s="47">
        <v>0.0</v>
      </c>
      <c r="D298" s="70" t="s">
        <v>1273</v>
      </c>
      <c r="E298" s="55" t="s">
        <v>383</v>
      </c>
      <c r="F298" s="32" t="s">
        <v>33</v>
      </c>
      <c r="G298" s="32" t="s">
        <v>35</v>
      </c>
      <c r="H298" s="71" t="s">
        <v>35</v>
      </c>
      <c r="I298" s="71" t="s">
        <v>36</v>
      </c>
      <c r="J298" s="34" t="s">
        <v>65</v>
      </c>
      <c r="K298" s="57" t="s">
        <v>38</v>
      </c>
      <c r="L298" s="72">
        <v>9842.0</v>
      </c>
      <c r="M298" s="27"/>
      <c r="N298" s="76"/>
      <c r="O298" s="28">
        <v>45219.0</v>
      </c>
      <c r="P298" s="26"/>
      <c r="Q298" s="12"/>
      <c r="R298" s="12"/>
      <c r="S298" s="12"/>
      <c r="T298" s="52">
        <v>45208.0</v>
      </c>
      <c r="U298" s="52">
        <v>45209.0</v>
      </c>
      <c r="V298" s="52">
        <v>45216.0</v>
      </c>
      <c r="W298" s="30"/>
      <c r="X298" s="30"/>
      <c r="Y298" s="31"/>
      <c r="Z298" s="31"/>
      <c r="AA298" s="31"/>
      <c r="AB298" s="74" t="s">
        <v>1274</v>
      </c>
      <c r="AC298" s="74"/>
    </row>
    <row r="299" ht="16.5" customHeight="1">
      <c r="A299" s="48" t="s">
        <v>1275</v>
      </c>
      <c r="B299" s="53" t="s">
        <v>1276</v>
      </c>
      <c r="C299" s="47">
        <v>0.0</v>
      </c>
      <c r="D299" s="70" t="s">
        <v>1277</v>
      </c>
      <c r="E299" s="55" t="s">
        <v>165</v>
      </c>
      <c r="F299" s="32" t="s">
        <v>33</v>
      </c>
      <c r="G299" s="32" t="s">
        <v>35</v>
      </c>
      <c r="H299" s="71" t="s">
        <v>35</v>
      </c>
      <c r="I299" s="71" t="s">
        <v>36</v>
      </c>
      <c r="J299" s="34" t="s">
        <v>49</v>
      </c>
      <c r="K299" s="57" t="s">
        <v>38</v>
      </c>
      <c r="L299" s="72">
        <v>10179.0</v>
      </c>
      <c r="M299" s="27"/>
      <c r="N299" s="76"/>
      <c r="O299" s="28">
        <v>45295.0</v>
      </c>
      <c r="P299" s="26"/>
      <c r="Q299" s="12"/>
      <c r="R299" s="12"/>
      <c r="S299" s="12"/>
      <c r="T299" s="52">
        <v>45208.0</v>
      </c>
      <c r="U299" s="52">
        <v>45280.0</v>
      </c>
      <c r="V299" s="52">
        <v>45289.0</v>
      </c>
      <c r="W299" s="30"/>
      <c r="X299" s="30"/>
      <c r="Y299" s="31"/>
      <c r="Z299" s="31"/>
      <c r="AA299" s="31"/>
      <c r="AB299" s="74" t="s">
        <v>1278</v>
      </c>
      <c r="AC299" s="74"/>
    </row>
    <row r="300" ht="16.5" customHeight="1">
      <c r="A300" s="48" t="s">
        <v>1279</v>
      </c>
      <c r="B300" s="53" t="s">
        <v>1280</v>
      </c>
      <c r="C300" s="47">
        <v>0.0</v>
      </c>
      <c r="D300" s="70" t="s">
        <v>1281</v>
      </c>
      <c r="E300" s="55" t="s">
        <v>171</v>
      </c>
      <c r="F300" s="32" t="s">
        <v>48</v>
      </c>
      <c r="G300" s="32" t="s">
        <v>35</v>
      </c>
      <c r="H300" s="71" t="s">
        <v>35</v>
      </c>
      <c r="I300" s="71" t="s">
        <v>36</v>
      </c>
      <c r="J300" s="34" t="s">
        <v>420</v>
      </c>
      <c r="K300" s="57" t="s">
        <v>38</v>
      </c>
      <c r="L300" s="72" t="s">
        <v>1282</v>
      </c>
      <c r="M300" s="27"/>
      <c r="N300" s="73"/>
      <c r="O300" s="28">
        <v>45308.0</v>
      </c>
      <c r="P300" s="26"/>
      <c r="Q300" s="12"/>
      <c r="R300" s="12"/>
      <c r="S300" s="12"/>
      <c r="T300" s="52">
        <v>45209.0</v>
      </c>
      <c r="U300" s="52">
        <v>45305.0</v>
      </c>
      <c r="V300" s="52">
        <v>45308.0</v>
      </c>
      <c r="W300" s="30"/>
      <c r="X300" s="30"/>
      <c r="Y300" s="31"/>
      <c r="Z300" s="31"/>
      <c r="AA300" s="31"/>
      <c r="AB300" s="74" t="s">
        <v>1283</v>
      </c>
      <c r="AC300" s="74"/>
    </row>
    <row r="301" ht="16.5" customHeight="1">
      <c r="A301" s="48" t="s">
        <v>1284</v>
      </c>
      <c r="B301" s="53" t="s">
        <v>1280</v>
      </c>
      <c r="C301" s="47">
        <v>0.0</v>
      </c>
      <c r="D301" s="70" t="s">
        <v>1285</v>
      </c>
      <c r="E301" s="55" t="s">
        <v>171</v>
      </c>
      <c r="F301" s="32" t="s">
        <v>48</v>
      </c>
      <c r="G301" s="32" t="s">
        <v>35</v>
      </c>
      <c r="H301" s="71" t="s">
        <v>35</v>
      </c>
      <c r="I301" s="71" t="s">
        <v>36</v>
      </c>
      <c r="J301" s="34" t="s">
        <v>420</v>
      </c>
      <c r="K301" s="57" t="s">
        <v>38</v>
      </c>
      <c r="L301" s="72" t="s">
        <v>1282</v>
      </c>
      <c r="M301" s="27"/>
      <c r="N301" s="73"/>
      <c r="O301" s="28">
        <v>45308.0</v>
      </c>
      <c r="P301" s="26"/>
      <c r="Q301" s="12"/>
      <c r="R301" s="12"/>
      <c r="S301" s="12"/>
      <c r="T301" s="52">
        <v>45209.0</v>
      </c>
      <c r="U301" s="52">
        <v>45305.0</v>
      </c>
      <c r="V301" s="52">
        <v>45308.0</v>
      </c>
      <c r="W301" s="30"/>
      <c r="X301" s="30"/>
      <c r="Y301" s="31"/>
      <c r="Z301" s="31"/>
      <c r="AA301" s="31"/>
      <c r="AB301" s="74" t="s">
        <v>1286</v>
      </c>
      <c r="AC301" s="74"/>
    </row>
    <row r="302" ht="16.5" customHeight="1">
      <c r="A302" s="48" t="s">
        <v>1287</v>
      </c>
      <c r="B302" s="53" t="s">
        <v>1280</v>
      </c>
      <c r="C302" s="47">
        <v>0.0</v>
      </c>
      <c r="D302" s="70" t="s">
        <v>1288</v>
      </c>
      <c r="E302" s="55" t="s">
        <v>171</v>
      </c>
      <c r="F302" s="32" t="s">
        <v>48</v>
      </c>
      <c r="G302" s="32" t="s">
        <v>35</v>
      </c>
      <c r="H302" s="71" t="s">
        <v>35</v>
      </c>
      <c r="I302" s="71" t="s">
        <v>36</v>
      </c>
      <c r="J302" s="34" t="s">
        <v>420</v>
      </c>
      <c r="K302" s="57" t="s">
        <v>38</v>
      </c>
      <c r="L302" s="72" t="s">
        <v>1282</v>
      </c>
      <c r="M302" s="27"/>
      <c r="N302" s="73"/>
      <c r="O302" s="28">
        <v>45308.0</v>
      </c>
      <c r="P302" s="26"/>
      <c r="Q302" s="12"/>
      <c r="R302" s="12"/>
      <c r="S302" s="12"/>
      <c r="T302" s="52">
        <v>45209.0</v>
      </c>
      <c r="U302" s="52">
        <v>45305.0</v>
      </c>
      <c r="V302" s="52">
        <v>45308.0</v>
      </c>
      <c r="W302" s="30"/>
      <c r="X302" s="30"/>
      <c r="Y302" s="31"/>
      <c r="Z302" s="31"/>
      <c r="AA302" s="31"/>
      <c r="AB302" s="74" t="s">
        <v>1289</v>
      </c>
      <c r="AC302" s="74"/>
    </row>
    <row r="303" ht="16.5" customHeight="1">
      <c r="A303" s="48" t="s">
        <v>1290</v>
      </c>
      <c r="B303" s="53" t="s">
        <v>1280</v>
      </c>
      <c r="C303" s="47">
        <v>0.0</v>
      </c>
      <c r="D303" s="70" t="s">
        <v>1291</v>
      </c>
      <c r="E303" s="55" t="s">
        <v>171</v>
      </c>
      <c r="F303" s="32" t="s">
        <v>48</v>
      </c>
      <c r="G303" s="32" t="s">
        <v>35</v>
      </c>
      <c r="H303" s="71" t="s">
        <v>35</v>
      </c>
      <c r="I303" s="71" t="s">
        <v>36</v>
      </c>
      <c r="J303" s="34" t="s">
        <v>420</v>
      </c>
      <c r="K303" s="57" t="s">
        <v>38</v>
      </c>
      <c r="L303" s="72" t="s">
        <v>1282</v>
      </c>
      <c r="M303" s="27"/>
      <c r="N303" s="73"/>
      <c r="O303" s="28">
        <v>45310.0</v>
      </c>
      <c r="P303" s="26"/>
      <c r="Q303" s="12"/>
      <c r="R303" s="12"/>
      <c r="S303" s="12"/>
      <c r="T303" s="52">
        <v>45209.0</v>
      </c>
      <c r="U303" s="52">
        <v>45307.0</v>
      </c>
      <c r="V303" s="52">
        <v>45310.0</v>
      </c>
      <c r="W303" s="30"/>
      <c r="X303" s="30"/>
      <c r="Y303" s="31"/>
      <c r="Z303" s="31"/>
      <c r="AA303" s="31"/>
      <c r="AB303" s="74" t="s">
        <v>1292</v>
      </c>
      <c r="AC303" s="74"/>
    </row>
    <row r="304" ht="16.5" customHeight="1">
      <c r="A304" s="48" t="s">
        <v>1293</v>
      </c>
      <c r="B304" s="53" t="s">
        <v>1294</v>
      </c>
      <c r="C304" s="47">
        <v>0.0</v>
      </c>
      <c r="D304" s="70" t="s">
        <v>1295</v>
      </c>
      <c r="E304" s="55" t="s">
        <v>1268</v>
      </c>
      <c r="F304" s="32" t="s">
        <v>33</v>
      </c>
      <c r="G304" s="32" t="s">
        <v>35</v>
      </c>
      <c r="H304" s="71" t="s">
        <v>35</v>
      </c>
      <c r="I304" s="71" t="s">
        <v>36</v>
      </c>
      <c r="J304" s="34" t="s">
        <v>65</v>
      </c>
      <c r="K304" s="57" t="s">
        <v>38</v>
      </c>
      <c r="L304" s="72">
        <v>9804.0</v>
      </c>
      <c r="M304" s="22"/>
      <c r="N304" s="76"/>
      <c r="O304" s="28">
        <v>45210.0</v>
      </c>
      <c r="P304" s="35" t="s">
        <v>1296</v>
      </c>
      <c r="Q304" s="12"/>
      <c r="R304" s="12"/>
      <c r="S304" s="12"/>
      <c r="T304" s="52">
        <v>45209.0</v>
      </c>
      <c r="U304" s="52">
        <v>45210.0</v>
      </c>
      <c r="V304" s="52">
        <v>45210.0</v>
      </c>
      <c r="W304" s="30"/>
      <c r="X304" s="30"/>
      <c r="Y304" s="31"/>
      <c r="Z304" s="31"/>
      <c r="AA304" s="31"/>
      <c r="AB304" s="74" t="s">
        <v>1297</v>
      </c>
      <c r="AC304" s="74"/>
    </row>
    <row r="305" ht="16.5" customHeight="1">
      <c r="A305" s="48" t="s">
        <v>1298</v>
      </c>
      <c r="B305" s="53" t="s">
        <v>1299</v>
      </c>
      <c r="C305" s="47">
        <v>0.0</v>
      </c>
      <c r="D305" s="70" t="s">
        <v>1300</v>
      </c>
      <c r="E305" s="55" t="s">
        <v>243</v>
      </c>
      <c r="F305" s="32" t="s">
        <v>244</v>
      </c>
      <c r="G305" s="32" t="s">
        <v>35</v>
      </c>
      <c r="H305" s="71" t="s">
        <v>35</v>
      </c>
      <c r="I305" s="71" t="s">
        <v>36</v>
      </c>
      <c r="J305" s="34" t="s">
        <v>92</v>
      </c>
      <c r="K305" s="57" t="s">
        <v>38</v>
      </c>
      <c r="L305" s="72">
        <v>9841.0</v>
      </c>
      <c r="M305" s="27"/>
      <c r="N305" s="76"/>
      <c r="O305" s="28">
        <v>45225.0</v>
      </c>
      <c r="P305" s="26"/>
      <c r="Q305" s="12"/>
      <c r="R305" s="12"/>
      <c r="S305" s="12"/>
      <c r="T305" s="52">
        <v>45209.0</v>
      </c>
      <c r="U305" s="52">
        <v>45209.0</v>
      </c>
      <c r="V305" s="52">
        <v>45216.0</v>
      </c>
      <c r="W305" s="30"/>
      <c r="X305" s="30"/>
      <c r="Y305" s="31"/>
      <c r="Z305" s="31"/>
      <c r="AA305" s="31"/>
      <c r="AB305" s="74" t="s">
        <v>1301</v>
      </c>
      <c r="AC305" s="74"/>
    </row>
    <row r="306" ht="16.5" customHeight="1">
      <c r="A306" s="48" t="s">
        <v>1302</v>
      </c>
      <c r="B306" s="53" t="s">
        <v>974</v>
      </c>
      <c r="C306" s="47">
        <v>0.0</v>
      </c>
      <c r="D306" s="70" t="s">
        <v>1303</v>
      </c>
      <c r="E306" s="55" t="s">
        <v>1304</v>
      </c>
      <c r="F306" s="32" t="s">
        <v>33</v>
      </c>
      <c r="G306" s="32" t="s">
        <v>34</v>
      </c>
      <c r="H306" s="71" t="s">
        <v>35</v>
      </c>
      <c r="I306" s="71" t="s">
        <v>36</v>
      </c>
      <c r="J306" s="34" t="s">
        <v>203</v>
      </c>
      <c r="K306" s="57" t="s">
        <v>38</v>
      </c>
      <c r="L306" s="72">
        <v>9900.0</v>
      </c>
      <c r="M306" s="27"/>
      <c r="N306" s="76"/>
      <c r="O306" s="28">
        <v>45229.0</v>
      </c>
      <c r="P306" s="26"/>
      <c r="Q306" s="12"/>
      <c r="R306" s="12"/>
      <c r="S306" s="12"/>
      <c r="T306" s="52">
        <v>45210.0</v>
      </c>
      <c r="U306" s="52">
        <v>45210.0</v>
      </c>
      <c r="V306" s="52">
        <v>45226.0</v>
      </c>
      <c r="W306" s="30"/>
      <c r="X306" s="30"/>
      <c r="Y306" s="31"/>
      <c r="Z306" s="31"/>
      <c r="AA306" s="31"/>
      <c r="AB306" s="74" t="s">
        <v>1305</v>
      </c>
      <c r="AC306" s="74"/>
    </row>
    <row r="307" ht="16.5" customHeight="1">
      <c r="A307" s="48" t="s">
        <v>1306</v>
      </c>
      <c r="B307" s="53" t="s">
        <v>530</v>
      </c>
      <c r="C307" s="47">
        <v>0.0</v>
      </c>
      <c r="D307" s="70" t="s">
        <v>1307</v>
      </c>
      <c r="E307" s="55" t="s">
        <v>171</v>
      </c>
      <c r="F307" s="32" t="s">
        <v>48</v>
      </c>
      <c r="G307" s="32" t="s">
        <v>35</v>
      </c>
      <c r="H307" s="71" t="s">
        <v>35</v>
      </c>
      <c r="I307" s="71" t="s">
        <v>36</v>
      </c>
      <c r="J307" s="34" t="s">
        <v>92</v>
      </c>
      <c r="K307" s="57" t="s">
        <v>38</v>
      </c>
      <c r="L307" s="72">
        <v>10266.0</v>
      </c>
      <c r="M307" s="22"/>
      <c r="N307" s="73"/>
      <c r="O307" s="28">
        <v>45310.0</v>
      </c>
      <c r="P307" s="35" t="s">
        <v>1308</v>
      </c>
      <c r="Q307" s="12"/>
      <c r="R307" s="12"/>
      <c r="S307" s="12"/>
      <c r="T307" s="52">
        <v>45210.0</v>
      </c>
      <c r="U307" s="52">
        <v>45307.0</v>
      </c>
      <c r="V307" s="52">
        <v>45310.0</v>
      </c>
      <c r="W307" s="30"/>
      <c r="X307" s="30"/>
      <c r="Y307" s="31"/>
      <c r="Z307" s="31"/>
      <c r="AA307" s="31"/>
      <c r="AB307" s="74" t="s">
        <v>1309</v>
      </c>
      <c r="AC307" s="74"/>
    </row>
    <row r="308" ht="16.5" customHeight="1">
      <c r="A308" s="48" t="s">
        <v>1310</v>
      </c>
      <c r="B308" s="53" t="s">
        <v>530</v>
      </c>
      <c r="C308" s="47">
        <v>0.0</v>
      </c>
      <c r="D308" s="70" t="s">
        <v>1311</v>
      </c>
      <c r="E308" s="55" t="s">
        <v>171</v>
      </c>
      <c r="F308" s="32" t="s">
        <v>48</v>
      </c>
      <c r="G308" s="32" t="s">
        <v>35</v>
      </c>
      <c r="H308" s="71" t="s">
        <v>35</v>
      </c>
      <c r="I308" s="71" t="s">
        <v>36</v>
      </c>
      <c r="J308" s="34" t="s">
        <v>92</v>
      </c>
      <c r="K308" s="57" t="s">
        <v>38</v>
      </c>
      <c r="L308" s="72">
        <v>10266.0</v>
      </c>
      <c r="M308" s="22"/>
      <c r="N308" s="73"/>
      <c r="O308" s="28">
        <v>45310.0</v>
      </c>
      <c r="P308" s="35" t="s">
        <v>1308</v>
      </c>
      <c r="Q308" s="12"/>
      <c r="R308" s="12"/>
      <c r="S308" s="12"/>
      <c r="T308" s="52">
        <v>45210.0</v>
      </c>
      <c r="U308" s="52">
        <v>45307.0</v>
      </c>
      <c r="V308" s="52">
        <v>45310.0</v>
      </c>
      <c r="W308" s="30"/>
      <c r="X308" s="30"/>
      <c r="Y308" s="31"/>
      <c r="Z308" s="31"/>
      <c r="AA308" s="31"/>
      <c r="AB308" s="74" t="s">
        <v>1312</v>
      </c>
      <c r="AC308" s="74"/>
    </row>
    <row r="309" ht="16.5" customHeight="1">
      <c r="A309" s="48" t="s">
        <v>1313</v>
      </c>
      <c r="B309" s="53" t="s">
        <v>530</v>
      </c>
      <c r="C309" s="47">
        <v>0.0</v>
      </c>
      <c r="D309" s="70" t="s">
        <v>1314</v>
      </c>
      <c r="E309" s="55" t="s">
        <v>177</v>
      </c>
      <c r="F309" s="32" t="s">
        <v>48</v>
      </c>
      <c r="G309" s="32" t="s">
        <v>35</v>
      </c>
      <c r="H309" s="71" t="s">
        <v>35</v>
      </c>
      <c r="I309" s="71" t="s">
        <v>36</v>
      </c>
      <c r="J309" s="34" t="s">
        <v>92</v>
      </c>
      <c r="K309" s="57" t="s">
        <v>38</v>
      </c>
      <c r="L309" s="72">
        <v>10266.0</v>
      </c>
      <c r="M309" s="22"/>
      <c r="N309" s="73"/>
      <c r="O309" s="28">
        <v>45310.0</v>
      </c>
      <c r="P309" s="35" t="s">
        <v>1308</v>
      </c>
      <c r="Q309" s="12"/>
      <c r="R309" s="12"/>
      <c r="S309" s="12"/>
      <c r="T309" s="52">
        <v>45210.0</v>
      </c>
      <c r="U309" s="52">
        <v>45307.0</v>
      </c>
      <c r="V309" s="52">
        <v>45310.0</v>
      </c>
      <c r="W309" s="30"/>
      <c r="X309" s="30"/>
      <c r="Y309" s="31"/>
      <c r="Z309" s="31"/>
      <c r="AA309" s="31"/>
      <c r="AB309" s="74" t="s">
        <v>1315</v>
      </c>
      <c r="AC309" s="74"/>
    </row>
    <row r="310" ht="16.5" customHeight="1">
      <c r="A310" s="48" t="s">
        <v>1316</v>
      </c>
      <c r="B310" s="53" t="s">
        <v>530</v>
      </c>
      <c r="C310" s="47">
        <v>0.0</v>
      </c>
      <c r="D310" s="70" t="s">
        <v>1317</v>
      </c>
      <c r="E310" s="55" t="s">
        <v>177</v>
      </c>
      <c r="F310" s="32" t="s">
        <v>48</v>
      </c>
      <c r="G310" s="32" t="s">
        <v>35</v>
      </c>
      <c r="H310" s="71" t="s">
        <v>35</v>
      </c>
      <c r="I310" s="71" t="s">
        <v>36</v>
      </c>
      <c r="J310" s="34" t="s">
        <v>92</v>
      </c>
      <c r="K310" s="57" t="s">
        <v>38</v>
      </c>
      <c r="L310" s="72">
        <v>10266.0</v>
      </c>
      <c r="M310" s="22"/>
      <c r="N310" s="73"/>
      <c r="O310" s="28">
        <v>45310.0</v>
      </c>
      <c r="P310" s="35" t="s">
        <v>1308</v>
      </c>
      <c r="Q310" s="12"/>
      <c r="R310" s="12"/>
      <c r="S310" s="12"/>
      <c r="T310" s="52">
        <v>45210.0</v>
      </c>
      <c r="U310" s="52">
        <v>45307.0</v>
      </c>
      <c r="V310" s="52">
        <v>45310.0</v>
      </c>
      <c r="W310" s="30"/>
      <c r="X310" s="30"/>
      <c r="Y310" s="31"/>
      <c r="Z310" s="31"/>
      <c r="AA310" s="31"/>
      <c r="AB310" s="74" t="s">
        <v>1318</v>
      </c>
      <c r="AC310" s="74"/>
    </row>
    <row r="311" ht="16.5" customHeight="1">
      <c r="A311" s="48" t="s">
        <v>1319</v>
      </c>
      <c r="B311" s="53" t="s">
        <v>530</v>
      </c>
      <c r="C311" s="47">
        <v>0.0</v>
      </c>
      <c r="D311" s="70" t="s">
        <v>1320</v>
      </c>
      <c r="E311" s="55" t="s">
        <v>177</v>
      </c>
      <c r="F311" s="32" t="s">
        <v>48</v>
      </c>
      <c r="G311" s="32" t="s">
        <v>35</v>
      </c>
      <c r="H311" s="71" t="s">
        <v>35</v>
      </c>
      <c r="I311" s="71" t="s">
        <v>36</v>
      </c>
      <c r="J311" s="34" t="s">
        <v>92</v>
      </c>
      <c r="K311" s="57" t="s">
        <v>38</v>
      </c>
      <c r="L311" s="72">
        <v>10266.0</v>
      </c>
      <c r="M311" s="22"/>
      <c r="N311" s="73"/>
      <c r="O311" s="28">
        <v>45310.0</v>
      </c>
      <c r="P311" s="35" t="s">
        <v>1308</v>
      </c>
      <c r="Q311" s="12"/>
      <c r="R311" s="12"/>
      <c r="S311" s="12"/>
      <c r="T311" s="52">
        <v>45210.0</v>
      </c>
      <c r="U311" s="52">
        <v>45307.0</v>
      </c>
      <c r="V311" s="52">
        <v>45310.0</v>
      </c>
      <c r="W311" s="30"/>
      <c r="X311" s="30"/>
      <c r="Y311" s="31"/>
      <c r="Z311" s="31"/>
      <c r="AA311" s="31"/>
      <c r="AB311" s="74" t="s">
        <v>1321</v>
      </c>
      <c r="AC311" s="74"/>
    </row>
    <row r="312" ht="16.5" customHeight="1">
      <c r="A312" s="48" t="s">
        <v>1322</v>
      </c>
      <c r="B312" s="53" t="s">
        <v>530</v>
      </c>
      <c r="C312" s="47">
        <v>0.0</v>
      </c>
      <c r="D312" s="70" t="s">
        <v>1323</v>
      </c>
      <c r="E312" s="55" t="s">
        <v>177</v>
      </c>
      <c r="F312" s="32" t="s">
        <v>48</v>
      </c>
      <c r="G312" s="32" t="s">
        <v>35</v>
      </c>
      <c r="H312" s="71" t="s">
        <v>35</v>
      </c>
      <c r="I312" s="71" t="s">
        <v>36</v>
      </c>
      <c r="J312" s="34" t="s">
        <v>92</v>
      </c>
      <c r="K312" s="57" t="s">
        <v>38</v>
      </c>
      <c r="L312" s="72">
        <v>10266.0</v>
      </c>
      <c r="M312" s="22"/>
      <c r="N312" s="73"/>
      <c r="O312" s="28">
        <v>45310.0</v>
      </c>
      <c r="P312" s="35" t="s">
        <v>1308</v>
      </c>
      <c r="Q312" s="12"/>
      <c r="R312" s="12"/>
      <c r="S312" s="12"/>
      <c r="T312" s="52">
        <v>45210.0</v>
      </c>
      <c r="U312" s="52">
        <v>45307.0</v>
      </c>
      <c r="V312" s="52">
        <v>45310.0</v>
      </c>
      <c r="W312" s="30"/>
      <c r="X312" s="30"/>
      <c r="Y312" s="31"/>
      <c r="Z312" s="31"/>
      <c r="AA312" s="31"/>
      <c r="AB312" s="74" t="s">
        <v>1324</v>
      </c>
      <c r="AC312" s="74"/>
    </row>
    <row r="313" ht="16.5" customHeight="1">
      <c r="A313" s="48" t="s">
        <v>1325</v>
      </c>
      <c r="B313" s="53" t="s">
        <v>530</v>
      </c>
      <c r="C313" s="47">
        <v>34.0</v>
      </c>
      <c r="D313" s="70" t="s">
        <v>1326</v>
      </c>
      <c r="E313" s="55" t="s">
        <v>47</v>
      </c>
      <c r="F313" s="32" t="s">
        <v>48</v>
      </c>
      <c r="G313" s="32" t="s">
        <v>35</v>
      </c>
      <c r="H313" s="71" t="s">
        <v>35</v>
      </c>
      <c r="I313" s="71" t="s">
        <v>36</v>
      </c>
      <c r="J313" s="34" t="s">
        <v>92</v>
      </c>
      <c r="K313" s="57" t="s">
        <v>38</v>
      </c>
      <c r="L313" s="72">
        <v>10422.0</v>
      </c>
      <c r="M313" s="22"/>
      <c r="N313" s="73"/>
      <c r="O313" s="28">
        <v>45310.0</v>
      </c>
      <c r="P313" s="35" t="s">
        <v>1308</v>
      </c>
      <c r="Q313" s="12"/>
      <c r="R313" s="12"/>
      <c r="S313" s="12"/>
      <c r="T313" s="52">
        <v>45210.0</v>
      </c>
      <c r="U313" s="52">
        <v>45305.0</v>
      </c>
      <c r="V313" s="52">
        <v>45307.0</v>
      </c>
      <c r="W313" s="30"/>
      <c r="X313" s="30"/>
      <c r="Y313" s="31"/>
      <c r="Z313" s="31"/>
      <c r="AA313" s="31"/>
      <c r="AB313" s="74" t="s">
        <v>1327</v>
      </c>
      <c r="AC313" s="74"/>
    </row>
    <row r="314" ht="16.5" customHeight="1">
      <c r="A314" s="48" t="s">
        <v>1328</v>
      </c>
      <c r="B314" s="53" t="s">
        <v>1299</v>
      </c>
      <c r="C314" s="47">
        <v>0.0</v>
      </c>
      <c r="D314" s="70" t="s">
        <v>1329</v>
      </c>
      <c r="E314" s="55" t="s">
        <v>171</v>
      </c>
      <c r="F314" s="32" t="s">
        <v>48</v>
      </c>
      <c r="G314" s="32" t="s">
        <v>35</v>
      </c>
      <c r="H314" s="71" t="s">
        <v>35</v>
      </c>
      <c r="I314" s="71" t="s">
        <v>36</v>
      </c>
      <c r="J314" s="34" t="s">
        <v>92</v>
      </c>
      <c r="K314" s="57" t="s">
        <v>38</v>
      </c>
      <c r="L314" s="72">
        <v>10265.0</v>
      </c>
      <c r="M314" s="22"/>
      <c r="N314" s="73"/>
      <c r="O314" s="28">
        <v>45310.0</v>
      </c>
      <c r="P314" s="35" t="s">
        <v>1308</v>
      </c>
      <c r="Q314" s="12"/>
      <c r="R314" s="12"/>
      <c r="S314" s="12"/>
      <c r="T314" s="52">
        <v>45210.0</v>
      </c>
      <c r="U314" s="52">
        <v>45307.0</v>
      </c>
      <c r="V314" s="52">
        <v>45310.0</v>
      </c>
      <c r="W314" s="30"/>
      <c r="X314" s="30"/>
      <c r="Y314" s="31"/>
      <c r="Z314" s="31"/>
      <c r="AA314" s="31"/>
      <c r="AB314" s="74" t="s">
        <v>1330</v>
      </c>
      <c r="AC314" s="74"/>
    </row>
    <row r="315" ht="16.5" customHeight="1">
      <c r="A315" s="48" t="s">
        <v>1331</v>
      </c>
      <c r="B315" s="53" t="s">
        <v>1299</v>
      </c>
      <c r="C315" s="47">
        <v>0.0</v>
      </c>
      <c r="D315" s="70" t="s">
        <v>1332</v>
      </c>
      <c r="E315" s="55" t="s">
        <v>171</v>
      </c>
      <c r="F315" s="32" t="s">
        <v>48</v>
      </c>
      <c r="G315" s="32" t="s">
        <v>35</v>
      </c>
      <c r="H315" s="71" t="s">
        <v>35</v>
      </c>
      <c r="I315" s="71" t="s">
        <v>36</v>
      </c>
      <c r="J315" s="34" t="s">
        <v>92</v>
      </c>
      <c r="K315" s="57" t="s">
        <v>38</v>
      </c>
      <c r="L315" s="72">
        <v>10265.0</v>
      </c>
      <c r="M315" s="22"/>
      <c r="N315" s="73"/>
      <c r="O315" s="28">
        <v>45310.0</v>
      </c>
      <c r="P315" s="35" t="s">
        <v>1308</v>
      </c>
      <c r="Q315" s="12"/>
      <c r="R315" s="12"/>
      <c r="S315" s="12"/>
      <c r="T315" s="52">
        <v>45210.0</v>
      </c>
      <c r="U315" s="52">
        <v>45307.0</v>
      </c>
      <c r="V315" s="52">
        <v>45310.0</v>
      </c>
      <c r="W315" s="30"/>
      <c r="X315" s="30"/>
      <c r="Y315" s="31"/>
      <c r="Z315" s="31"/>
      <c r="AA315" s="31"/>
      <c r="AB315" s="74" t="s">
        <v>1333</v>
      </c>
      <c r="AC315" s="74"/>
    </row>
    <row r="316" ht="16.5" customHeight="1">
      <c r="A316" s="48" t="s">
        <v>1334</v>
      </c>
      <c r="B316" s="53" t="s">
        <v>1299</v>
      </c>
      <c r="C316" s="47">
        <v>0.0</v>
      </c>
      <c r="D316" s="70" t="s">
        <v>1335</v>
      </c>
      <c r="E316" s="55" t="s">
        <v>177</v>
      </c>
      <c r="F316" s="32" t="s">
        <v>48</v>
      </c>
      <c r="G316" s="32" t="s">
        <v>35</v>
      </c>
      <c r="H316" s="71" t="s">
        <v>35</v>
      </c>
      <c r="I316" s="71" t="s">
        <v>36</v>
      </c>
      <c r="J316" s="34" t="s">
        <v>92</v>
      </c>
      <c r="K316" s="57" t="s">
        <v>38</v>
      </c>
      <c r="L316" s="72">
        <v>10265.0</v>
      </c>
      <c r="M316" s="22"/>
      <c r="N316" s="73"/>
      <c r="O316" s="28">
        <v>45310.0</v>
      </c>
      <c r="P316" s="35" t="s">
        <v>1308</v>
      </c>
      <c r="Q316" s="12"/>
      <c r="R316" s="12"/>
      <c r="S316" s="12"/>
      <c r="T316" s="52">
        <v>45210.0</v>
      </c>
      <c r="U316" s="52">
        <v>45307.0</v>
      </c>
      <c r="V316" s="52">
        <v>45310.0</v>
      </c>
      <c r="W316" s="30"/>
      <c r="X316" s="30"/>
      <c r="Y316" s="31"/>
      <c r="Z316" s="31"/>
      <c r="AA316" s="31"/>
      <c r="AB316" s="74" t="s">
        <v>1336</v>
      </c>
      <c r="AC316" s="74"/>
    </row>
    <row r="317" ht="16.5" customHeight="1">
      <c r="A317" s="48" t="s">
        <v>1337</v>
      </c>
      <c r="B317" s="53" t="s">
        <v>1299</v>
      </c>
      <c r="C317" s="47">
        <v>11.0</v>
      </c>
      <c r="D317" s="70" t="s">
        <v>1338</v>
      </c>
      <c r="E317" s="55" t="s">
        <v>112</v>
      </c>
      <c r="F317" s="32" t="s">
        <v>48</v>
      </c>
      <c r="G317" s="32" t="s">
        <v>35</v>
      </c>
      <c r="H317" s="71" t="s">
        <v>35</v>
      </c>
      <c r="I317" s="71" t="s">
        <v>36</v>
      </c>
      <c r="J317" s="34" t="s">
        <v>92</v>
      </c>
      <c r="K317" s="57" t="s">
        <v>38</v>
      </c>
      <c r="L317" s="72">
        <v>10265.0</v>
      </c>
      <c r="M317" s="22"/>
      <c r="N317" s="73"/>
      <c r="O317" s="28">
        <v>45310.0</v>
      </c>
      <c r="P317" s="35" t="s">
        <v>1308</v>
      </c>
      <c r="Q317" s="12"/>
      <c r="R317" s="12"/>
      <c r="S317" s="12"/>
      <c r="T317" s="52">
        <v>45210.0</v>
      </c>
      <c r="U317" s="52">
        <v>45305.0</v>
      </c>
      <c r="V317" s="52">
        <v>45307.0</v>
      </c>
      <c r="W317" s="30"/>
      <c r="X317" s="30"/>
      <c r="Y317" s="31"/>
      <c r="Z317" s="31"/>
      <c r="AA317" s="31"/>
      <c r="AB317" s="74" t="s">
        <v>1339</v>
      </c>
      <c r="AC317" s="74"/>
    </row>
    <row r="318" ht="16.5" customHeight="1">
      <c r="A318" s="48" t="s">
        <v>1340</v>
      </c>
      <c r="B318" s="53" t="s">
        <v>1341</v>
      </c>
      <c r="C318" s="47">
        <v>0.0</v>
      </c>
      <c r="D318" s="70" t="s">
        <v>1342</v>
      </c>
      <c r="E318" s="55" t="s">
        <v>79</v>
      </c>
      <c r="F318" s="32" t="s">
        <v>33</v>
      </c>
      <c r="G318" s="32" t="s">
        <v>35</v>
      </c>
      <c r="H318" s="71" t="s">
        <v>35</v>
      </c>
      <c r="I318" s="71" t="s">
        <v>36</v>
      </c>
      <c r="J318" s="34" t="s">
        <v>37</v>
      </c>
      <c r="K318" s="57" t="s">
        <v>447</v>
      </c>
      <c r="L318" s="72">
        <v>9876.0</v>
      </c>
      <c r="M318" s="27"/>
      <c r="N318" s="76"/>
      <c r="O318" s="28">
        <v>45224.0</v>
      </c>
      <c r="P318" s="26"/>
      <c r="Q318" s="12"/>
      <c r="R318" s="12"/>
      <c r="S318" s="12"/>
      <c r="T318" s="52">
        <v>45210.0</v>
      </c>
      <c r="U318" s="52">
        <v>45217.0</v>
      </c>
      <c r="V318" s="52">
        <v>45224.0</v>
      </c>
      <c r="W318" s="30"/>
      <c r="X318" s="30"/>
      <c r="Y318" s="31"/>
      <c r="Z318" s="31"/>
      <c r="AA318" s="31"/>
      <c r="AB318" s="74" t="s">
        <v>1343</v>
      </c>
      <c r="AC318" s="74"/>
    </row>
    <row r="319" ht="16.5" customHeight="1">
      <c r="A319" s="48" t="s">
        <v>1344</v>
      </c>
      <c r="B319" s="53" t="s">
        <v>1345</v>
      </c>
      <c r="C319" s="47">
        <v>0.0</v>
      </c>
      <c r="D319" s="70" t="s">
        <v>1346</v>
      </c>
      <c r="E319" s="55" t="s">
        <v>171</v>
      </c>
      <c r="F319" s="32" t="s">
        <v>48</v>
      </c>
      <c r="G319" s="32" t="s">
        <v>35</v>
      </c>
      <c r="H319" s="71" t="s">
        <v>35</v>
      </c>
      <c r="I319" s="71" t="s">
        <v>36</v>
      </c>
      <c r="J319" s="34" t="s">
        <v>420</v>
      </c>
      <c r="K319" s="57" t="s">
        <v>38</v>
      </c>
      <c r="L319" s="72" t="s">
        <v>1347</v>
      </c>
      <c r="M319" s="27"/>
      <c r="N319" s="73"/>
      <c r="O319" s="28">
        <v>45308.0</v>
      </c>
      <c r="P319" s="26"/>
      <c r="Q319" s="12"/>
      <c r="R319" s="12"/>
      <c r="S319" s="12"/>
      <c r="T319" s="52">
        <v>45210.0</v>
      </c>
      <c r="U319" s="52">
        <v>45305.0</v>
      </c>
      <c r="V319" s="52">
        <v>45308.0</v>
      </c>
      <c r="W319" s="30"/>
      <c r="X319" s="30"/>
      <c r="Y319" s="31"/>
      <c r="Z319" s="31"/>
      <c r="AA319" s="31"/>
      <c r="AB319" s="74" t="s">
        <v>1348</v>
      </c>
      <c r="AC319" s="74"/>
    </row>
    <row r="320" ht="16.5" customHeight="1">
      <c r="A320" s="48" t="s">
        <v>1349</v>
      </c>
      <c r="B320" s="53" t="s">
        <v>1345</v>
      </c>
      <c r="C320" s="47">
        <v>0.0</v>
      </c>
      <c r="D320" s="70" t="s">
        <v>1350</v>
      </c>
      <c r="E320" s="55" t="s">
        <v>171</v>
      </c>
      <c r="F320" s="32" t="s">
        <v>48</v>
      </c>
      <c r="G320" s="32" t="s">
        <v>35</v>
      </c>
      <c r="H320" s="71" t="s">
        <v>35</v>
      </c>
      <c r="I320" s="71" t="s">
        <v>36</v>
      </c>
      <c r="J320" s="34" t="s">
        <v>420</v>
      </c>
      <c r="K320" s="57" t="s">
        <v>38</v>
      </c>
      <c r="L320" s="72" t="s">
        <v>1347</v>
      </c>
      <c r="M320" s="27"/>
      <c r="N320" s="73"/>
      <c r="O320" s="28">
        <v>45308.0</v>
      </c>
      <c r="P320" s="26"/>
      <c r="Q320" s="12"/>
      <c r="R320" s="12"/>
      <c r="S320" s="12"/>
      <c r="T320" s="52">
        <v>45210.0</v>
      </c>
      <c r="U320" s="52">
        <v>45305.0</v>
      </c>
      <c r="V320" s="52">
        <v>45308.0</v>
      </c>
      <c r="W320" s="30"/>
      <c r="X320" s="30"/>
      <c r="Y320" s="31"/>
      <c r="Z320" s="31"/>
      <c r="AA320" s="31"/>
      <c r="AB320" s="74" t="s">
        <v>1351</v>
      </c>
      <c r="AC320" s="74"/>
    </row>
    <row r="321" ht="16.5" customHeight="1">
      <c r="A321" s="48" t="s">
        <v>1352</v>
      </c>
      <c r="B321" s="53" t="s">
        <v>1345</v>
      </c>
      <c r="C321" s="47">
        <v>0.0</v>
      </c>
      <c r="D321" s="70" t="s">
        <v>1353</v>
      </c>
      <c r="E321" s="55" t="s">
        <v>177</v>
      </c>
      <c r="F321" s="32" t="s">
        <v>48</v>
      </c>
      <c r="G321" s="32" t="s">
        <v>35</v>
      </c>
      <c r="H321" s="71" t="s">
        <v>35</v>
      </c>
      <c r="I321" s="71" t="s">
        <v>36</v>
      </c>
      <c r="J321" s="34" t="s">
        <v>420</v>
      </c>
      <c r="K321" s="57" t="s">
        <v>38</v>
      </c>
      <c r="L321" s="72" t="s">
        <v>1347</v>
      </c>
      <c r="M321" s="27"/>
      <c r="N321" s="73"/>
      <c r="O321" s="28">
        <v>45308.0</v>
      </c>
      <c r="P321" s="26"/>
      <c r="Q321" s="12"/>
      <c r="R321" s="12"/>
      <c r="S321" s="12"/>
      <c r="T321" s="52">
        <v>45210.0</v>
      </c>
      <c r="U321" s="52">
        <v>45305.0</v>
      </c>
      <c r="V321" s="52">
        <v>45308.0</v>
      </c>
      <c r="W321" s="30"/>
      <c r="X321" s="30"/>
      <c r="Y321" s="31"/>
      <c r="Z321" s="31"/>
      <c r="AA321" s="31"/>
      <c r="AB321" s="74" t="s">
        <v>1354</v>
      </c>
      <c r="AC321" s="74"/>
    </row>
    <row r="322" ht="16.5" customHeight="1">
      <c r="A322" s="48" t="s">
        <v>1355</v>
      </c>
      <c r="B322" s="53" t="s">
        <v>1345</v>
      </c>
      <c r="C322" s="47">
        <v>0.0</v>
      </c>
      <c r="D322" s="70" t="s">
        <v>1356</v>
      </c>
      <c r="E322" s="55" t="s">
        <v>177</v>
      </c>
      <c r="F322" s="32" t="s">
        <v>48</v>
      </c>
      <c r="G322" s="32" t="s">
        <v>35</v>
      </c>
      <c r="H322" s="71" t="s">
        <v>35</v>
      </c>
      <c r="I322" s="71" t="s">
        <v>36</v>
      </c>
      <c r="J322" s="34" t="s">
        <v>420</v>
      </c>
      <c r="K322" s="57" t="s">
        <v>38</v>
      </c>
      <c r="L322" s="72" t="s">
        <v>1347</v>
      </c>
      <c r="M322" s="27"/>
      <c r="N322" s="73"/>
      <c r="O322" s="28">
        <v>45310.0</v>
      </c>
      <c r="P322" s="26"/>
      <c r="Q322" s="12"/>
      <c r="R322" s="12"/>
      <c r="S322" s="12"/>
      <c r="T322" s="52">
        <v>45210.0</v>
      </c>
      <c r="U322" s="52">
        <v>45307.0</v>
      </c>
      <c r="V322" s="52">
        <v>45310.0</v>
      </c>
      <c r="W322" s="30"/>
      <c r="X322" s="30"/>
      <c r="Y322" s="31"/>
      <c r="Z322" s="31"/>
      <c r="AA322" s="31"/>
      <c r="AB322" s="74" t="s">
        <v>1357</v>
      </c>
      <c r="AC322" s="74"/>
    </row>
    <row r="323" ht="16.5" customHeight="1">
      <c r="A323" s="48" t="s">
        <v>1358</v>
      </c>
      <c r="B323" s="53" t="s">
        <v>1359</v>
      </c>
      <c r="C323" s="47">
        <v>0.0</v>
      </c>
      <c r="D323" s="70" t="s">
        <v>1360</v>
      </c>
      <c r="E323" s="55" t="s">
        <v>188</v>
      </c>
      <c r="F323" s="32" t="s">
        <v>48</v>
      </c>
      <c r="G323" s="32" t="s">
        <v>35</v>
      </c>
      <c r="H323" s="71" t="s">
        <v>35</v>
      </c>
      <c r="I323" s="71" t="s">
        <v>36</v>
      </c>
      <c r="J323" s="34" t="s">
        <v>420</v>
      </c>
      <c r="K323" s="57" t="s">
        <v>38</v>
      </c>
      <c r="L323" s="72">
        <v>10228.0</v>
      </c>
      <c r="M323" s="22"/>
      <c r="N323" s="73"/>
      <c r="O323" s="28">
        <v>45308.0</v>
      </c>
      <c r="P323" s="35" t="s">
        <v>1361</v>
      </c>
      <c r="Q323" s="12"/>
      <c r="R323" s="12"/>
      <c r="S323" s="12"/>
      <c r="T323" s="52">
        <v>45211.0</v>
      </c>
      <c r="U323" s="52">
        <v>45305.0</v>
      </c>
      <c r="V323" s="52">
        <v>45308.0</v>
      </c>
      <c r="W323" s="30"/>
      <c r="X323" s="30"/>
      <c r="Y323" s="31"/>
      <c r="Z323" s="31"/>
      <c r="AA323" s="31"/>
      <c r="AB323" s="74" t="s">
        <v>1362</v>
      </c>
      <c r="AC323" s="74"/>
    </row>
    <row r="324" ht="16.5" customHeight="1">
      <c r="A324" s="48" t="s">
        <v>1363</v>
      </c>
      <c r="B324" s="53" t="s">
        <v>1359</v>
      </c>
      <c r="C324" s="47">
        <v>0.0</v>
      </c>
      <c r="D324" s="70" t="s">
        <v>1364</v>
      </c>
      <c r="E324" s="55" t="s">
        <v>188</v>
      </c>
      <c r="F324" s="32" t="s">
        <v>48</v>
      </c>
      <c r="G324" s="32" t="s">
        <v>35</v>
      </c>
      <c r="H324" s="71" t="s">
        <v>35</v>
      </c>
      <c r="I324" s="71" t="s">
        <v>36</v>
      </c>
      <c r="J324" s="34" t="s">
        <v>420</v>
      </c>
      <c r="K324" s="57" t="s">
        <v>38</v>
      </c>
      <c r="L324" s="72">
        <v>10228.0</v>
      </c>
      <c r="M324" s="22"/>
      <c r="N324" s="73"/>
      <c r="O324" s="28">
        <v>45308.0</v>
      </c>
      <c r="P324" s="35" t="s">
        <v>1365</v>
      </c>
      <c r="Q324" s="12"/>
      <c r="R324" s="12"/>
      <c r="S324" s="12"/>
      <c r="T324" s="52">
        <v>45211.0</v>
      </c>
      <c r="U324" s="52">
        <v>45305.0</v>
      </c>
      <c r="V324" s="52">
        <v>45308.0</v>
      </c>
      <c r="W324" s="30"/>
      <c r="X324" s="30"/>
      <c r="Y324" s="31"/>
      <c r="Z324" s="31"/>
      <c r="AA324" s="31"/>
      <c r="AB324" s="74" t="s">
        <v>1366</v>
      </c>
      <c r="AC324" s="74"/>
    </row>
    <row r="325" ht="16.5" customHeight="1">
      <c r="A325" s="48" t="s">
        <v>1367</v>
      </c>
      <c r="B325" s="53" t="s">
        <v>1368</v>
      </c>
      <c r="C325" s="47">
        <v>0.0</v>
      </c>
      <c r="D325" s="70" t="s">
        <v>1369</v>
      </c>
      <c r="E325" s="55" t="s">
        <v>213</v>
      </c>
      <c r="F325" s="32" t="s">
        <v>33</v>
      </c>
      <c r="G325" s="32" t="s">
        <v>35</v>
      </c>
      <c r="H325" s="71" t="s">
        <v>35</v>
      </c>
      <c r="I325" s="71" t="s">
        <v>36</v>
      </c>
      <c r="J325" s="34" t="s">
        <v>65</v>
      </c>
      <c r="K325" s="57" t="s">
        <v>38</v>
      </c>
      <c r="L325" s="72">
        <v>9908.0</v>
      </c>
      <c r="M325" s="22"/>
      <c r="N325" s="76"/>
      <c r="O325" s="28">
        <v>45217.0</v>
      </c>
      <c r="P325" s="35" t="s">
        <v>1370</v>
      </c>
      <c r="Q325" s="12"/>
      <c r="R325" s="12"/>
      <c r="S325" s="12"/>
      <c r="T325" s="52">
        <v>45212.0</v>
      </c>
      <c r="U325" s="52">
        <v>45212.0</v>
      </c>
      <c r="V325" s="52">
        <v>45214.0</v>
      </c>
      <c r="W325" s="30"/>
      <c r="X325" s="30"/>
      <c r="Y325" s="31"/>
      <c r="Z325" s="31"/>
      <c r="AA325" s="31"/>
      <c r="AB325" s="74" t="s">
        <v>1371</v>
      </c>
      <c r="AC325" s="74"/>
    </row>
    <row r="326" ht="16.5" customHeight="1">
      <c r="A326" s="48" t="s">
        <v>1372</v>
      </c>
      <c r="B326" s="53" t="s">
        <v>1373</v>
      </c>
      <c r="C326" s="47">
        <v>0.0</v>
      </c>
      <c r="D326" s="70" t="s">
        <v>1374</v>
      </c>
      <c r="E326" s="55" t="s">
        <v>171</v>
      </c>
      <c r="F326" s="32" t="s">
        <v>48</v>
      </c>
      <c r="G326" s="32" t="s">
        <v>35</v>
      </c>
      <c r="H326" s="71" t="s">
        <v>35</v>
      </c>
      <c r="I326" s="71" t="s">
        <v>36</v>
      </c>
      <c r="J326" s="34" t="s">
        <v>65</v>
      </c>
      <c r="K326" s="57" t="s">
        <v>38</v>
      </c>
      <c r="L326" s="72">
        <v>10227.0</v>
      </c>
      <c r="M326" s="22"/>
      <c r="N326" s="73"/>
      <c r="O326" s="28">
        <v>45307.0</v>
      </c>
      <c r="P326" s="35" t="s">
        <v>1375</v>
      </c>
      <c r="Q326" s="12"/>
      <c r="R326" s="12"/>
      <c r="S326" s="12"/>
      <c r="T326" s="52">
        <v>45212.0</v>
      </c>
      <c r="U326" s="52">
        <v>45304.0</v>
      </c>
      <c r="V326" s="52">
        <v>45307.0</v>
      </c>
      <c r="W326" s="30"/>
      <c r="X326" s="30"/>
      <c r="Y326" s="31"/>
      <c r="Z326" s="31"/>
      <c r="AA326" s="31"/>
      <c r="AB326" s="74" t="s">
        <v>1376</v>
      </c>
      <c r="AC326" s="74"/>
    </row>
    <row r="327" ht="16.5" customHeight="1">
      <c r="A327" s="48" t="s">
        <v>1377</v>
      </c>
      <c r="B327" s="53" t="s">
        <v>530</v>
      </c>
      <c r="C327" s="47">
        <v>0.0</v>
      </c>
      <c r="D327" s="70" t="s">
        <v>1378</v>
      </c>
      <c r="E327" s="55" t="s">
        <v>1119</v>
      </c>
      <c r="F327" s="32" t="s">
        <v>33</v>
      </c>
      <c r="G327" s="32" t="s">
        <v>35</v>
      </c>
      <c r="H327" s="71" t="s">
        <v>35</v>
      </c>
      <c r="I327" s="71" t="s">
        <v>36</v>
      </c>
      <c r="J327" s="34" t="s">
        <v>92</v>
      </c>
      <c r="K327" s="57" t="s">
        <v>38</v>
      </c>
      <c r="L327" s="72">
        <v>9874.0</v>
      </c>
      <c r="M327" s="27"/>
      <c r="N327" s="76"/>
      <c r="O327" s="28">
        <v>45225.0</v>
      </c>
      <c r="P327" s="26"/>
      <c r="Q327" s="12"/>
      <c r="R327" s="12"/>
      <c r="S327" s="12"/>
      <c r="T327" s="52">
        <v>45212.0</v>
      </c>
      <c r="U327" s="52">
        <v>45212.0</v>
      </c>
      <c r="V327" s="52">
        <v>45223.0</v>
      </c>
      <c r="W327" s="30"/>
      <c r="X327" s="30"/>
      <c r="Y327" s="31"/>
      <c r="Z327" s="31"/>
      <c r="AA327" s="31"/>
      <c r="AB327" s="74" t="s">
        <v>1379</v>
      </c>
      <c r="AC327" s="74"/>
    </row>
    <row r="328" ht="16.5" customHeight="1">
      <c r="A328" s="48" t="s">
        <v>1380</v>
      </c>
      <c r="B328" s="53" t="s">
        <v>530</v>
      </c>
      <c r="C328" s="47">
        <v>0.0</v>
      </c>
      <c r="D328" s="70" t="s">
        <v>1381</v>
      </c>
      <c r="E328" s="55" t="s">
        <v>913</v>
      </c>
      <c r="F328" s="32" t="s">
        <v>33</v>
      </c>
      <c r="G328" s="32" t="s">
        <v>35</v>
      </c>
      <c r="H328" s="71" t="s">
        <v>35</v>
      </c>
      <c r="I328" s="71" t="s">
        <v>36</v>
      </c>
      <c r="J328" s="34" t="s">
        <v>92</v>
      </c>
      <c r="K328" s="57" t="s">
        <v>38</v>
      </c>
      <c r="L328" s="72">
        <v>9874.0</v>
      </c>
      <c r="M328" s="27"/>
      <c r="N328" s="76"/>
      <c r="O328" s="28">
        <v>45225.0</v>
      </c>
      <c r="P328" s="26"/>
      <c r="Q328" s="12"/>
      <c r="R328" s="12"/>
      <c r="S328" s="12"/>
      <c r="T328" s="52">
        <v>45212.0</v>
      </c>
      <c r="U328" s="52">
        <v>45212.0</v>
      </c>
      <c r="V328" s="52">
        <v>45223.0</v>
      </c>
      <c r="W328" s="30"/>
      <c r="X328" s="30"/>
      <c r="Y328" s="31"/>
      <c r="Z328" s="31"/>
      <c r="AA328" s="31"/>
      <c r="AB328" s="74" t="s">
        <v>1382</v>
      </c>
      <c r="AC328" s="74"/>
    </row>
    <row r="329" ht="16.5" customHeight="1">
      <c r="A329" s="48" t="s">
        <v>1383</v>
      </c>
      <c r="B329" s="53" t="s">
        <v>1384</v>
      </c>
      <c r="C329" s="47">
        <v>0.0</v>
      </c>
      <c r="D329" s="70" t="s">
        <v>1385</v>
      </c>
      <c r="E329" s="55" t="s">
        <v>79</v>
      </c>
      <c r="F329" s="32" t="s">
        <v>33</v>
      </c>
      <c r="G329" s="32" t="s">
        <v>35</v>
      </c>
      <c r="H329" s="71" t="s">
        <v>35</v>
      </c>
      <c r="I329" s="71" t="s">
        <v>36</v>
      </c>
      <c r="J329" s="34" t="s">
        <v>434</v>
      </c>
      <c r="K329" s="57" t="s">
        <v>38</v>
      </c>
      <c r="L329" s="72">
        <v>9840.0</v>
      </c>
      <c r="M329" s="22"/>
      <c r="N329" s="76"/>
      <c r="O329" s="28">
        <v>45219.0</v>
      </c>
      <c r="P329" s="35" t="s">
        <v>1386</v>
      </c>
      <c r="Q329" s="12"/>
      <c r="R329" s="12"/>
      <c r="S329" s="12"/>
      <c r="T329" s="52">
        <v>45212.0</v>
      </c>
      <c r="U329" s="52">
        <v>45216.0</v>
      </c>
      <c r="V329" s="52">
        <v>45217.0</v>
      </c>
      <c r="W329" s="30"/>
      <c r="X329" s="30"/>
      <c r="Y329" s="31"/>
      <c r="Z329" s="31"/>
      <c r="AA329" s="31"/>
      <c r="AB329" s="74" t="s">
        <v>1387</v>
      </c>
      <c r="AC329" s="74"/>
    </row>
    <row r="330" ht="16.5" customHeight="1">
      <c r="A330" s="48" t="s">
        <v>1388</v>
      </c>
      <c r="B330" s="53" t="s">
        <v>548</v>
      </c>
      <c r="C330" s="47">
        <v>0.0</v>
      </c>
      <c r="D330" s="70"/>
      <c r="E330" s="55" t="s">
        <v>511</v>
      </c>
      <c r="F330" s="32" t="s">
        <v>33</v>
      </c>
      <c r="G330" s="32" t="s">
        <v>34</v>
      </c>
      <c r="H330" s="71" t="s">
        <v>35</v>
      </c>
      <c r="I330" s="71" t="s">
        <v>665</v>
      </c>
      <c r="J330" s="34" t="s">
        <v>92</v>
      </c>
      <c r="K330" s="57" t="s">
        <v>38</v>
      </c>
      <c r="L330" s="72">
        <v>9839.0</v>
      </c>
      <c r="M330" s="22"/>
      <c r="N330" s="76"/>
      <c r="O330" s="28">
        <v>45236.0</v>
      </c>
      <c r="P330" s="35" t="s">
        <v>1389</v>
      </c>
      <c r="Q330" s="12"/>
      <c r="R330" s="12"/>
      <c r="S330" s="12"/>
      <c r="T330" s="52">
        <v>45215.0</v>
      </c>
      <c r="U330" s="52">
        <v>45216.0</v>
      </c>
      <c r="V330" s="52">
        <v>45217.0</v>
      </c>
      <c r="W330" s="30"/>
      <c r="X330" s="30"/>
      <c r="Y330" s="31"/>
      <c r="Z330" s="31"/>
      <c r="AA330" s="31"/>
      <c r="AB330" s="74" t="s">
        <v>1390</v>
      </c>
      <c r="AC330" s="74"/>
    </row>
    <row r="331" ht="16.5" customHeight="1">
      <c r="A331" s="48" t="s">
        <v>1391</v>
      </c>
      <c r="B331" s="53" t="s">
        <v>1392</v>
      </c>
      <c r="C331" s="47">
        <v>0.0</v>
      </c>
      <c r="D331" s="70" t="s">
        <v>1393</v>
      </c>
      <c r="E331" s="55" t="s">
        <v>1394</v>
      </c>
      <c r="F331" s="32" t="s">
        <v>33</v>
      </c>
      <c r="G331" s="32" t="s">
        <v>35</v>
      </c>
      <c r="H331" s="71" t="s">
        <v>35</v>
      </c>
      <c r="I331" s="71" t="s">
        <v>36</v>
      </c>
      <c r="J331" s="34" t="s">
        <v>49</v>
      </c>
      <c r="K331" s="57" t="s">
        <v>38</v>
      </c>
      <c r="L331" s="72">
        <v>9873.0</v>
      </c>
      <c r="M331" s="22"/>
      <c r="N331" s="76"/>
      <c r="O331" s="28">
        <v>45224.0</v>
      </c>
      <c r="P331" s="35" t="s">
        <v>479</v>
      </c>
      <c r="Q331" s="12"/>
      <c r="R331" s="12"/>
      <c r="S331" s="12"/>
      <c r="T331" s="52">
        <v>45215.0</v>
      </c>
      <c r="U331" s="52">
        <v>45218.0</v>
      </c>
      <c r="V331" s="52">
        <v>45223.0</v>
      </c>
      <c r="W331" s="30"/>
      <c r="X331" s="30"/>
      <c r="Y331" s="31"/>
      <c r="Z331" s="31"/>
      <c r="AA331" s="31"/>
      <c r="AB331" s="74" t="s">
        <v>1395</v>
      </c>
      <c r="AC331" s="74"/>
    </row>
    <row r="332" ht="16.5" customHeight="1">
      <c r="A332" s="48" t="s">
        <v>1396</v>
      </c>
      <c r="B332" s="53" t="s">
        <v>812</v>
      </c>
      <c r="C332" s="47">
        <v>0.0</v>
      </c>
      <c r="D332" s="70" t="s">
        <v>1397</v>
      </c>
      <c r="E332" s="55" t="s">
        <v>257</v>
      </c>
      <c r="F332" s="32" t="s">
        <v>244</v>
      </c>
      <c r="G332" s="32" t="s">
        <v>35</v>
      </c>
      <c r="H332" s="71" t="s">
        <v>35</v>
      </c>
      <c r="I332" s="71" t="s">
        <v>36</v>
      </c>
      <c r="J332" s="34" t="s">
        <v>37</v>
      </c>
      <c r="K332" s="57" t="s">
        <v>38</v>
      </c>
      <c r="L332" s="72">
        <v>9859.0</v>
      </c>
      <c r="M332" s="27"/>
      <c r="N332" s="76"/>
      <c r="O332" s="28">
        <v>45223.0</v>
      </c>
      <c r="P332" s="26"/>
      <c r="Q332" s="12"/>
      <c r="R332" s="12"/>
      <c r="S332" s="12"/>
      <c r="T332" s="52">
        <v>45215.0</v>
      </c>
      <c r="U332" s="52">
        <v>45218.0</v>
      </c>
      <c r="V332" s="52">
        <v>45219.0</v>
      </c>
      <c r="W332" s="30"/>
      <c r="X332" s="30"/>
      <c r="Y332" s="31"/>
      <c r="Z332" s="31"/>
      <c r="AA332" s="31"/>
      <c r="AB332" s="74" t="s">
        <v>1398</v>
      </c>
      <c r="AC332" s="74"/>
    </row>
    <row r="333" ht="16.5" customHeight="1">
      <c r="A333" s="48" t="s">
        <v>1399</v>
      </c>
      <c r="B333" s="53" t="s">
        <v>1400</v>
      </c>
      <c r="C333" s="47">
        <v>0.0</v>
      </c>
      <c r="D333" s="70"/>
      <c r="E333" s="55" t="s">
        <v>913</v>
      </c>
      <c r="F333" s="32" t="s">
        <v>33</v>
      </c>
      <c r="G333" s="32" t="s">
        <v>34</v>
      </c>
      <c r="H333" s="71" t="s">
        <v>35</v>
      </c>
      <c r="I333" s="71" t="s">
        <v>665</v>
      </c>
      <c r="J333" s="34" t="s">
        <v>37</v>
      </c>
      <c r="K333" s="57" t="s">
        <v>38</v>
      </c>
      <c r="L333" s="72">
        <v>9938.0</v>
      </c>
      <c r="M333" s="22"/>
      <c r="N333" s="73"/>
      <c r="O333" s="28">
        <v>45240.0</v>
      </c>
      <c r="P333" s="35" t="s">
        <v>1401</v>
      </c>
      <c r="Q333" s="12"/>
      <c r="R333" s="12"/>
      <c r="S333" s="12"/>
      <c r="T333" s="52">
        <v>45215.0</v>
      </c>
      <c r="U333" s="52">
        <v>45226.0</v>
      </c>
      <c r="V333" s="52">
        <v>45239.0</v>
      </c>
      <c r="W333" s="30"/>
      <c r="X333" s="30"/>
      <c r="Y333" s="31"/>
      <c r="Z333" s="31"/>
      <c r="AA333" s="31"/>
      <c r="AB333" s="77" t="s">
        <v>1402</v>
      </c>
      <c r="AC333" s="74"/>
    </row>
    <row r="334" ht="16.5" customHeight="1">
      <c r="A334" s="48" t="s">
        <v>1403</v>
      </c>
      <c r="B334" s="53" t="s">
        <v>1400</v>
      </c>
      <c r="C334" s="47">
        <v>0.0</v>
      </c>
      <c r="D334" s="70" t="s">
        <v>1404</v>
      </c>
      <c r="E334" s="55" t="s">
        <v>117</v>
      </c>
      <c r="F334" s="32" t="s">
        <v>33</v>
      </c>
      <c r="G334" s="32" t="s">
        <v>35</v>
      </c>
      <c r="H334" s="71" t="s">
        <v>35</v>
      </c>
      <c r="I334" s="71" t="s">
        <v>36</v>
      </c>
      <c r="J334" s="34" t="s">
        <v>37</v>
      </c>
      <c r="K334" s="57" t="s">
        <v>38</v>
      </c>
      <c r="L334" s="72">
        <v>9938.0</v>
      </c>
      <c r="M334" s="27"/>
      <c r="N334" s="76"/>
      <c r="O334" s="28">
        <v>45240.0</v>
      </c>
      <c r="P334" s="26"/>
      <c r="Q334" s="12"/>
      <c r="R334" s="12"/>
      <c r="S334" s="12"/>
      <c r="T334" s="52">
        <v>45215.0</v>
      </c>
      <c r="U334" s="52">
        <v>45226.0</v>
      </c>
      <c r="V334" s="52">
        <v>45229.0</v>
      </c>
      <c r="W334" s="30"/>
      <c r="X334" s="30"/>
      <c r="Y334" s="31"/>
      <c r="Z334" s="31"/>
      <c r="AA334" s="31"/>
      <c r="AB334" s="74" t="s">
        <v>1405</v>
      </c>
      <c r="AC334" s="74"/>
    </row>
    <row r="335" ht="16.5" customHeight="1">
      <c r="A335" s="48" t="s">
        <v>1406</v>
      </c>
      <c r="B335" s="53" t="s">
        <v>388</v>
      </c>
      <c r="C335" s="47">
        <v>0.0</v>
      </c>
      <c r="D335" s="70" t="s">
        <v>1407</v>
      </c>
      <c r="E335" s="55" t="s">
        <v>461</v>
      </c>
      <c r="F335" s="32" t="s">
        <v>244</v>
      </c>
      <c r="G335" s="32" t="s">
        <v>35</v>
      </c>
      <c r="H335" s="71" t="s">
        <v>35</v>
      </c>
      <c r="I335" s="71" t="s">
        <v>36</v>
      </c>
      <c r="J335" s="34" t="s">
        <v>65</v>
      </c>
      <c r="K335" s="57" t="s">
        <v>38</v>
      </c>
      <c r="L335" s="72">
        <v>9855.0</v>
      </c>
      <c r="M335" s="22"/>
      <c r="N335" s="76"/>
      <c r="O335" s="28">
        <v>45219.0</v>
      </c>
      <c r="P335" s="35" t="s">
        <v>727</v>
      </c>
      <c r="Q335" s="12"/>
      <c r="R335" s="12"/>
      <c r="S335" s="12"/>
      <c r="T335" s="52">
        <v>45216.0</v>
      </c>
      <c r="U335" s="52">
        <v>45217.0</v>
      </c>
      <c r="V335" s="52">
        <v>45219.0</v>
      </c>
      <c r="W335" s="30"/>
      <c r="X335" s="30"/>
      <c r="Y335" s="31"/>
      <c r="Z335" s="31"/>
      <c r="AA335" s="31"/>
      <c r="AB335" s="74" t="s">
        <v>1408</v>
      </c>
      <c r="AC335" s="74"/>
    </row>
    <row r="336" ht="16.5" customHeight="1">
      <c r="A336" s="48" t="s">
        <v>1409</v>
      </c>
      <c r="B336" s="53" t="s">
        <v>1410</v>
      </c>
      <c r="C336" s="47">
        <v>0.0</v>
      </c>
      <c r="D336" s="70" t="s">
        <v>1411</v>
      </c>
      <c r="E336" s="55" t="s">
        <v>383</v>
      </c>
      <c r="F336" s="32" t="s">
        <v>33</v>
      </c>
      <c r="G336" s="32" t="s">
        <v>35</v>
      </c>
      <c r="H336" s="71" t="s">
        <v>35</v>
      </c>
      <c r="I336" s="71" t="s">
        <v>36</v>
      </c>
      <c r="J336" s="34" t="s">
        <v>65</v>
      </c>
      <c r="K336" s="57" t="s">
        <v>38</v>
      </c>
      <c r="L336" s="72">
        <v>9885.0</v>
      </c>
      <c r="M336" s="27"/>
      <c r="N336" s="76"/>
      <c r="O336" s="28">
        <v>45226.0</v>
      </c>
      <c r="P336" s="26"/>
      <c r="Q336" s="12"/>
      <c r="R336" s="12"/>
      <c r="S336" s="12"/>
      <c r="T336" s="52">
        <v>45216.0</v>
      </c>
      <c r="U336" s="52">
        <v>45217.0</v>
      </c>
      <c r="V336" s="52">
        <v>45224.0</v>
      </c>
      <c r="W336" s="30"/>
      <c r="X336" s="30"/>
      <c r="Y336" s="31"/>
      <c r="Z336" s="31"/>
      <c r="AA336" s="31"/>
      <c r="AB336" s="74" t="s">
        <v>1412</v>
      </c>
      <c r="AC336" s="74"/>
    </row>
    <row r="337" ht="16.5" customHeight="1">
      <c r="A337" s="48" t="s">
        <v>1413</v>
      </c>
      <c r="B337" s="53" t="s">
        <v>1414</v>
      </c>
      <c r="C337" s="47">
        <v>0.0</v>
      </c>
      <c r="D337" s="70"/>
      <c r="E337" s="55" t="s">
        <v>98</v>
      </c>
      <c r="F337" s="32" t="s">
        <v>33</v>
      </c>
      <c r="G337" s="32" t="s">
        <v>35</v>
      </c>
      <c r="H337" s="71" t="s">
        <v>35</v>
      </c>
      <c r="I337" s="71" t="s">
        <v>665</v>
      </c>
      <c r="J337" s="34" t="s">
        <v>37</v>
      </c>
      <c r="K337" s="57" t="s">
        <v>1415</v>
      </c>
      <c r="L337" s="72">
        <v>9872.0</v>
      </c>
      <c r="M337" s="22"/>
      <c r="N337" s="76"/>
      <c r="O337" s="28">
        <v>45224.0</v>
      </c>
      <c r="P337" s="35" t="s">
        <v>1416</v>
      </c>
      <c r="Q337" s="12"/>
      <c r="R337" s="12"/>
      <c r="S337" s="12"/>
      <c r="T337" s="52">
        <v>45216.0</v>
      </c>
      <c r="U337" s="52">
        <v>45217.0</v>
      </c>
      <c r="V337" s="52">
        <v>45218.0</v>
      </c>
      <c r="W337" s="30"/>
      <c r="X337" s="30"/>
      <c r="Y337" s="31"/>
      <c r="Z337" s="31"/>
      <c r="AA337" s="31"/>
      <c r="AB337" s="74" t="s">
        <v>1417</v>
      </c>
      <c r="AC337" s="74"/>
    </row>
    <row r="338" ht="16.5" customHeight="1">
      <c r="A338" s="48" t="s">
        <v>1418</v>
      </c>
      <c r="B338" s="53" t="s">
        <v>1414</v>
      </c>
      <c r="C338" s="47">
        <v>0.0</v>
      </c>
      <c r="D338" s="70"/>
      <c r="E338" s="55" t="s">
        <v>98</v>
      </c>
      <c r="F338" s="32" t="s">
        <v>33</v>
      </c>
      <c r="G338" s="32" t="s">
        <v>35</v>
      </c>
      <c r="H338" s="71" t="s">
        <v>35</v>
      </c>
      <c r="I338" s="71" t="s">
        <v>665</v>
      </c>
      <c r="J338" s="34" t="s">
        <v>37</v>
      </c>
      <c r="K338" s="57" t="s">
        <v>1415</v>
      </c>
      <c r="L338" s="72">
        <v>9872.0</v>
      </c>
      <c r="M338" s="22"/>
      <c r="N338" s="76"/>
      <c r="O338" s="28">
        <v>45224.0</v>
      </c>
      <c r="P338" s="35" t="s">
        <v>1419</v>
      </c>
      <c r="Q338" s="12"/>
      <c r="R338" s="12"/>
      <c r="S338" s="12"/>
      <c r="T338" s="52">
        <v>45216.0</v>
      </c>
      <c r="U338" s="52">
        <v>45217.0</v>
      </c>
      <c r="V338" s="52">
        <v>45223.0</v>
      </c>
      <c r="W338" s="30"/>
      <c r="X338" s="30"/>
      <c r="Y338" s="31"/>
      <c r="Z338" s="31"/>
      <c r="AA338" s="31"/>
      <c r="AB338" s="74" t="s">
        <v>1420</v>
      </c>
      <c r="AC338" s="74"/>
    </row>
    <row r="339" ht="16.5" customHeight="1">
      <c r="A339" s="48" t="s">
        <v>1421</v>
      </c>
      <c r="B339" s="53" t="s">
        <v>381</v>
      </c>
      <c r="C339" s="47">
        <v>0.0</v>
      </c>
      <c r="D339" s="70" t="s">
        <v>1422</v>
      </c>
      <c r="E339" s="55" t="s">
        <v>79</v>
      </c>
      <c r="F339" s="32" t="s">
        <v>33</v>
      </c>
      <c r="G339" s="32" t="s">
        <v>35</v>
      </c>
      <c r="H339" s="71" t="s">
        <v>35</v>
      </c>
      <c r="I339" s="71" t="s">
        <v>36</v>
      </c>
      <c r="J339" s="34" t="s">
        <v>37</v>
      </c>
      <c r="K339" s="57" t="s">
        <v>384</v>
      </c>
      <c r="L339" s="72">
        <v>9854.0</v>
      </c>
      <c r="M339" s="27"/>
      <c r="N339" s="76"/>
      <c r="O339" s="28">
        <v>45219.0</v>
      </c>
      <c r="P339" s="26"/>
      <c r="Q339" s="12"/>
      <c r="R339" s="12"/>
      <c r="S339" s="12"/>
      <c r="T339" s="52">
        <v>45216.0</v>
      </c>
      <c r="U339" s="52">
        <v>45216.0</v>
      </c>
      <c r="V339" s="52">
        <v>45218.0</v>
      </c>
      <c r="W339" s="30"/>
      <c r="X339" s="30"/>
      <c r="Y339" s="31"/>
      <c r="Z339" s="31"/>
      <c r="AA339" s="31"/>
      <c r="AB339" s="74" t="s">
        <v>1423</v>
      </c>
      <c r="AC339" s="74"/>
    </row>
    <row r="340" ht="16.5" customHeight="1">
      <c r="A340" s="48" t="s">
        <v>1424</v>
      </c>
      <c r="B340" s="53" t="s">
        <v>381</v>
      </c>
      <c r="C340" s="47">
        <v>0.0</v>
      </c>
      <c r="D340" s="70" t="s">
        <v>1425</v>
      </c>
      <c r="E340" s="55" t="s">
        <v>1394</v>
      </c>
      <c r="F340" s="32" t="s">
        <v>33</v>
      </c>
      <c r="G340" s="32" t="s">
        <v>368</v>
      </c>
      <c r="H340" s="71" t="s">
        <v>35</v>
      </c>
      <c r="I340" s="71" t="s">
        <v>36</v>
      </c>
      <c r="J340" s="34" t="s">
        <v>37</v>
      </c>
      <c r="K340" s="57" t="s">
        <v>384</v>
      </c>
      <c r="L340" s="72">
        <v>9863.0</v>
      </c>
      <c r="M340" s="27"/>
      <c r="N340" s="76"/>
      <c r="O340" s="28">
        <v>45223.0</v>
      </c>
      <c r="P340" s="26"/>
      <c r="Q340" s="12"/>
      <c r="R340" s="12"/>
      <c r="S340" s="12"/>
      <c r="T340" s="52">
        <v>45216.0</v>
      </c>
      <c r="U340" s="52">
        <v>45216.0</v>
      </c>
      <c r="V340" s="52">
        <v>45222.0</v>
      </c>
      <c r="W340" s="30"/>
      <c r="X340" s="30"/>
      <c r="Y340" s="31"/>
      <c r="Z340" s="31"/>
      <c r="AA340" s="31"/>
      <c r="AB340" s="74" t="s">
        <v>1426</v>
      </c>
      <c r="AC340" s="74"/>
    </row>
    <row r="341" ht="16.5" customHeight="1">
      <c r="A341" s="48" t="s">
        <v>1427</v>
      </c>
      <c r="B341" s="53" t="s">
        <v>1428</v>
      </c>
      <c r="C341" s="47">
        <v>0.0</v>
      </c>
      <c r="D341" s="70" t="s">
        <v>1429</v>
      </c>
      <c r="E341" s="55" t="s">
        <v>545</v>
      </c>
      <c r="F341" s="32" t="s">
        <v>33</v>
      </c>
      <c r="G341" s="32" t="s">
        <v>35</v>
      </c>
      <c r="H341" s="71" t="s">
        <v>35</v>
      </c>
      <c r="I341" s="71" t="s">
        <v>36</v>
      </c>
      <c r="J341" s="34" t="s">
        <v>37</v>
      </c>
      <c r="K341" s="57" t="s">
        <v>1430</v>
      </c>
      <c r="L341" s="72">
        <v>9858.0</v>
      </c>
      <c r="M341" s="22"/>
      <c r="N341" s="76"/>
      <c r="O341" s="28">
        <v>45223.0</v>
      </c>
      <c r="P341" s="35" t="s">
        <v>1431</v>
      </c>
      <c r="Q341" s="12"/>
      <c r="R341" s="12"/>
      <c r="S341" s="12"/>
      <c r="T341" s="52">
        <v>45216.0</v>
      </c>
      <c r="U341" s="52">
        <v>45217.0</v>
      </c>
      <c r="V341" s="52">
        <v>45222.0</v>
      </c>
      <c r="W341" s="30"/>
      <c r="X341" s="30"/>
      <c r="Y341" s="31"/>
      <c r="Z341" s="31"/>
      <c r="AA341" s="31"/>
      <c r="AB341" s="74" t="s">
        <v>1432</v>
      </c>
      <c r="AC341" s="74"/>
    </row>
    <row r="342" ht="16.5" customHeight="1">
      <c r="A342" s="48" t="s">
        <v>1433</v>
      </c>
      <c r="B342" s="53" t="s">
        <v>1434</v>
      </c>
      <c r="C342" s="47">
        <v>0.0</v>
      </c>
      <c r="D342" s="70" t="s">
        <v>1435</v>
      </c>
      <c r="E342" s="55" t="s">
        <v>79</v>
      </c>
      <c r="F342" s="32" t="s">
        <v>33</v>
      </c>
      <c r="G342" s="32" t="s">
        <v>34</v>
      </c>
      <c r="H342" s="71" t="s">
        <v>35</v>
      </c>
      <c r="I342" s="71" t="s">
        <v>36</v>
      </c>
      <c r="J342" s="34" t="s">
        <v>49</v>
      </c>
      <c r="K342" s="57" t="s">
        <v>38</v>
      </c>
      <c r="L342" s="72">
        <v>9853.0</v>
      </c>
      <c r="M342" s="22"/>
      <c r="N342" s="76"/>
      <c r="O342" s="28">
        <v>45219.0</v>
      </c>
      <c r="P342" s="35" t="s">
        <v>1436</v>
      </c>
      <c r="Q342" s="12"/>
      <c r="R342" s="12"/>
      <c r="S342" s="12"/>
      <c r="T342" s="52">
        <v>45216.0</v>
      </c>
      <c r="U342" s="52">
        <v>45217.0</v>
      </c>
      <c r="V342" s="52">
        <v>45219.0</v>
      </c>
      <c r="W342" s="30"/>
      <c r="X342" s="30"/>
      <c r="Y342" s="31"/>
      <c r="Z342" s="31"/>
      <c r="AA342" s="31"/>
      <c r="AB342" s="74" t="s">
        <v>1437</v>
      </c>
      <c r="AC342" s="74"/>
    </row>
    <row r="343" ht="16.5" customHeight="1">
      <c r="A343" s="48" t="s">
        <v>1438</v>
      </c>
      <c r="B343" s="53" t="s">
        <v>1439</v>
      </c>
      <c r="C343" s="47">
        <v>0.0</v>
      </c>
      <c r="D343" s="70" t="s">
        <v>1440</v>
      </c>
      <c r="E343" s="55" t="s">
        <v>213</v>
      </c>
      <c r="F343" s="32" t="s">
        <v>33</v>
      </c>
      <c r="G343" s="32" t="s">
        <v>34</v>
      </c>
      <c r="H343" s="71" t="s">
        <v>35</v>
      </c>
      <c r="I343" s="71" t="s">
        <v>36</v>
      </c>
      <c r="J343" s="34" t="s">
        <v>203</v>
      </c>
      <c r="K343" s="57" t="s">
        <v>38</v>
      </c>
      <c r="L343" s="72">
        <v>9871.0</v>
      </c>
      <c r="M343" s="22"/>
      <c r="N343" s="76"/>
      <c r="O343" s="28">
        <v>45224.0</v>
      </c>
      <c r="P343" s="35" t="s">
        <v>1436</v>
      </c>
      <c r="Q343" s="12"/>
      <c r="R343" s="12"/>
      <c r="S343" s="12"/>
      <c r="T343" s="52">
        <v>45216.0</v>
      </c>
      <c r="U343" s="52">
        <v>45217.0</v>
      </c>
      <c r="V343" s="52">
        <v>45223.0</v>
      </c>
      <c r="W343" s="30"/>
      <c r="X343" s="30"/>
      <c r="Y343" s="31"/>
      <c r="Z343" s="31"/>
      <c r="AA343" s="31"/>
      <c r="AB343" s="74" t="s">
        <v>1441</v>
      </c>
      <c r="AC343" s="74"/>
    </row>
    <row r="344" ht="16.5" customHeight="1">
      <c r="A344" s="48" t="s">
        <v>1442</v>
      </c>
      <c r="B344" s="53" t="s">
        <v>818</v>
      </c>
      <c r="C344" s="47">
        <v>0.0</v>
      </c>
      <c r="D344" s="70" t="s">
        <v>1443</v>
      </c>
      <c r="E344" s="55" t="s">
        <v>243</v>
      </c>
      <c r="F344" s="32" t="s">
        <v>244</v>
      </c>
      <c r="G344" s="32" t="s">
        <v>35</v>
      </c>
      <c r="H344" s="71" t="s">
        <v>35</v>
      </c>
      <c r="I344" s="71" t="s">
        <v>36</v>
      </c>
      <c r="J344" s="34" t="s">
        <v>49</v>
      </c>
      <c r="K344" s="57" t="s">
        <v>38</v>
      </c>
      <c r="L344" s="72">
        <v>9838.0</v>
      </c>
      <c r="M344" s="22"/>
      <c r="N344" s="76"/>
      <c r="O344" s="28">
        <v>45219.0</v>
      </c>
      <c r="P344" s="35" t="s">
        <v>1444</v>
      </c>
      <c r="Q344" s="12"/>
      <c r="R344" s="12"/>
      <c r="S344" s="12"/>
      <c r="T344" s="52">
        <v>45216.0</v>
      </c>
      <c r="U344" s="52">
        <v>45217.0</v>
      </c>
      <c r="V344" s="52">
        <v>45217.0</v>
      </c>
      <c r="W344" s="30"/>
      <c r="X344" s="30"/>
      <c r="Y344" s="31"/>
      <c r="Z344" s="31"/>
      <c r="AA344" s="31"/>
      <c r="AB344" s="74" t="s">
        <v>1445</v>
      </c>
      <c r="AC344" s="74"/>
    </row>
    <row r="345" ht="16.5" customHeight="1">
      <c r="A345" s="48" t="s">
        <v>1446</v>
      </c>
      <c r="B345" s="53" t="s">
        <v>1447</v>
      </c>
      <c r="C345" s="47">
        <v>0.0</v>
      </c>
      <c r="D345" s="70" t="s">
        <v>1448</v>
      </c>
      <c r="E345" s="55" t="s">
        <v>213</v>
      </c>
      <c r="F345" s="32" t="s">
        <v>33</v>
      </c>
      <c r="G345" s="32" t="s">
        <v>35</v>
      </c>
      <c r="H345" s="71" t="s">
        <v>35</v>
      </c>
      <c r="I345" s="71" t="s">
        <v>36</v>
      </c>
      <c r="J345" s="34" t="s">
        <v>420</v>
      </c>
      <c r="K345" s="57" t="s">
        <v>38</v>
      </c>
      <c r="L345" s="72">
        <v>9857.0</v>
      </c>
      <c r="M345" s="27"/>
      <c r="N345" s="76"/>
      <c r="O345" s="28">
        <v>45223.0</v>
      </c>
      <c r="P345" s="26"/>
      <c r="Q345" s="12"/>
      <c r="R345" s="12"/>
      <c r="S345" s="12"/>
      <c r="T345" s="52">
        <v>45216.0</v>
      </c>
      <c r="U345" s="52">
        <v>45217.0</v>
      </c>
      <c r="V345" s="52">
        <v>45222.0</v>
      </c>
      <c r="W345" s="30"/>
      <c r="X345" s="30"/>
      <c r="Y345" s="31"/>
      <c r="Z345" s="31"/>
      <c r="AA345" s="31"/>
      <c r="AB345" s="74" t="s">
        <v>1449</v>
      </c>
      <c r="AC345" s="74"/>
    </row>
    <row r="346" ht="16.5" customHeight="1">
      <c r="A346" s="48" t="s">
        <v>1450</v>
      </c>
      <c r="B346" s="53" t="s">
        <v>818</v>
      </c>
      <c r="C346" s="47">
        <v>0.0</v>
      </c>
      <c r="D346" s="70" t="s">
        <v>1451</v>
      </c>
      <c r="E346" s="55" t="s">
        <v>268</v>
      </c>
      <c r="F346" s="32" t="s">
        <v>33</v>
      </c>
      <c r="G346" s="32" t="s">
        <v>35</v>
      </c>
      <c r="H346" s="71" t="s">
        <v>35</v>
      </c>
      <c r="I346" s="71" t="s">
        <v>36</v>
      </c>
      <c r="J346" s="34" t="s">
        <v>49</v>
      </c>
      <c r="K346" s="57" t="s">
        <v>38</v>
      </c>
      <c r="L346" s="72">
        <v>9852.0</v>
      </c>
      <c r="M346" s="22"/>
      <c r="N346" s="76"/>
      <c r="O346" s="28">
        <v>45219.0</v>
      </c>
      <c r="P346" s="35" t="s">
        <v>1452</v>
      </c>
      <c r="Q346" s="12"/>
      <c r="R346" s="12"/>
      <c r="S346" s="12"/>
      <c r="T346" s="52">
        <v>45216.0</v>
      </c>
      <c r="U346" s="52">
        <v>45217.0</v>
      </c>
      <c r="V346" s="52">
        <v>45219.0</v>
      </c>
      <c r="W346" s="30"/>
      <c r="X346" s="30"/>
      <c r="Y346" s="31"/>
      <c r="Z346" s="31"/>
      <c r="AA346" s="31"/>
      <c r="AB346" s="74" t="s">
        <v>1453</v>
      </c>
      <c r="AC346" s="74"/>
    </row>
    <row r="347" ht="16.5" customHeight="1">
      <c r="A347" s="48" t="s">
        <v>1454</v>
      </c>
      <c r="B347" s="53" t="s">
        <v>1455</v>
      </c>
      <c r="C347" s="47">
        <v>0.0</v>
      </c>
      <c r="D347" s="70" t="s">
        <v>1456</v>
      </c>
      <c r="E347" s="55" t="s">
        <v>1457</v>
      </c>
      <c r="F347" s="32" t="s">
        <v>33</v>
      </c>
      <c r="G347" s="32" t="s">
        <v>35</v>
      </c>
      <c r="H347" s="71" t="s">
        <v>35</v>
      </c>
      <c r="I347" s="71" t="s">
        <v>36</v>
      </c>
      <c r="J347" s="34" t="s">
        <v>65</v>
      </c>
      <c r="K347" s="57" t="s">
        <v>38</v>
      </c>
      <c r="L347" s="72">
        <v>9865.0</v>
      </c>
      <c r="M347" s="22"/>
      <c r="N347" s="76"/>
      <c r="O347" s="28">
        <v>45226.0</v>
      </c>
      <c r="P347" s="35" t="s">
        <v>1458</v>
      </c>
      <c r="Q347" s="12"/>
      <c r="R347" s="12"/>
      <c r="S347" s="12"/>
      <c r="T347" s="52">
        <v>45216.0</v>
      </c>
      <c r="U347" s="52">
        <v>45217.0</v>
      </c>
      <c r="V347" s="52">
        <v>45223.0</v>
      </c>
      <c r="W347" s="30"/>
      <c r="X347" s="30"/>
      <c r="Y347" s="31"/>
      <c r="Z347" s="31"/>
      <c r="AA347" s="31"/>
      <c r="AB347" s="74" t="s">
        <v>1459</v>
      </c>
      <c r="AC347" s="74"/>
    </row>
    <row r="348" ht="16.5" customHeight="1">
      <c r="A348" s="48" t="s">
        <v>1460</v>
      </c>
      <c r="B348" s="53" t="s">
        <v>1461</v>
      </c>
      <c r="C348" s="47">
        <v>0.0</v>
      </c>
      <c r="D348" s="70" t="s">
        <v>1462</v>
      </c>
      <c r="E348" s="55" t="s">
        <v>1027</v>
      </c>
      <c r="F348" s="32" t="s">
        <v>33</v>
      </c>
      <c r="G348" s="32" t="s">
        <v>35</v>
      </c>
      <c r="H348" s="71" t="s">
        <v>35</v>
      </c>
      <c r="I348" s="71" t="s">
        <v>36</v>
      </c>
      <c r="J348" s="34" t="s">
        <v>65</v>
      </c>
      <c r="K348" s="57" t="s">
        <v>38</v>
      </c>
      <c r="L348" s="72">
        <v>9851.0</v>
      </c>
      <c r="M348" s="22"/>
      <c r="N348" s="76"/>
      <c r="O348" s="28">
        <v>45219.0</v>
      </c>
      <c r="P348" s="35" t="s">
        <v>1463</v>
      </c>
      <c r="Q348" s="12"/>
      <c r="R348" s="12"/>
      <c r="S348" s="12"/>
      <c r="T348" s="52">
        <v>45216.0</v>
      </c>
      <c r="U348" s="52">
        <v>45217.0</v>
      </c>
      <c r="V348" s="52">
        <v>45219.0</v>
      </c>
      <c r="W348" s="30"/>
      <c r="X348" s="30"/>
      <c r="Y348" s="31"/>
      <c r="Z348" s="31"/>
      <c r="AA348" s="31"/>
      <c r="AB348" s="74" t="s">
        <v>1464</v>
      </c>
      <c r="AC348" s="74"/>
    </row>
    <row r="349" ht="16.5" customHeight="1">
      <c r="A349" s="48" t="s">
        <v>1465</v>
      </c>
      <c r="B349" s="53" t="s">
        <v>1466</v>
      </c>
      <c r="C349" s="47">
        <v>0.0</v>
      </c>
      <c r="D349" s="70" t="s">
        <v>1467</v>
      </c>
      <c r="E349" s="55" t="s">
        <v>1468</v>
      </c>
      <c r="F349" s="32" t="s">
        <v>244</v>
      </c>
      <c r="G349" s="32" t="s">
        <v>35</v>
      </c>
      <c r="H349" s="71" t="s">
        <v>35</v>
      </c>
      <c r="I349" s="71" t="s">
        <v>36</v>
      </c>
      <c r="J349" s="34" t="s">
        <v>203</v>
      </c>
      <c r="K349" s="57" t="s">
        <v>38</v>
      </c>
      <c r="L349" s="72">
        <v>9899.0</v>
      </c>
      <c r="M349" s="22"/>
      <c r="N349" s="76"/>
      <c r="O349" s="28">
        <v>45229.0</v>
      </c>
      <c r="P349" s="35" t="s">
        <v>1469</v>
      </c>
      <c r="Q349" s="12"/>
      <c r="R349" s="12"/>
      <c r="S349" s="12"/>
      <c r="T349" s="52">
        <v>45217.0</v>
      </c>
      <c r="U349" s="52">
        <v>45222.0</v>
      </c>
      <c r="V349" s="52">
        <v>45224.0</v>
      </c>
      <c r="W349" s="30"/>
      <c r="X349" s="30"/>
      <c r="Y349" s="31"/>
      <c r="Z349" s="31"/>
      <c r="AA349" s="31"/>
      <c r="AB349" s="74" t="s">
        <v>1470</v>
      </c>
      <c r="AC349" s="74"/>
    </row>
    <row r="350" ht="16.5" customHeight="1">
      <c r="A350" s="48" t="s">
        <v>1471</v>
      </c>
      <c r="B350" s="53" t="s">
        <v>1466</v>
      </c>
      <c r="C350" s="47">
        <v>0.0</v>
      </c>
      <c r="D350" s="70" t="s">
        <v>1472</v>
      </c>
      <c r="E350" s="55" t="s">
        <v>804</v>
      </c>
      <c r="F350" s="32" t="s">
        <v>244</v>
      </c>
      <c r="G350" s="32" t="s">
        <v>35</v>
      </c>
      <c r="H350" s="71" t="s">
        <v>35</v>
      </c>
      <c r="I350" s="71" t="s">
        <v>36</v>
      </c>
      <c r="J350" s="34" t="s">
        <v>203</v>
      </c>
      <c r="K350" s="57" t="s">
        <v>38</v>
      </c>
      <c r="L350" s="72">
        <v>9899.0</v>
      </c>
      <c r="M350" s="22"/>
      <c r="N350" s="76"/>
      <c r="O350" s="28">
        <v>45229.0</v>
      </c>
      <c r="P350" s="35" t="s">
        <v>1469</v>
      </c>
      <c r="Q350" s="12"/>
      <c r="R350" s="12"/>
      <c r="S350" s="12"/>
      <c r="T350" s="52">
        <v>45217.0</v>
      </c>
      <c r="U350" s="52">
        <v>45222.0</v>
      </c>
      <c r="V350" s="52">
        <v>45224.0</v>
      </c>
      <c r="W350" s="30"/>
      <c r="X350" s="30"/>
      <c r="Y350" s="31"/>
      <c r="Z350" s="31"/>
      <c r="AA350" s="31"/>
      <c r="AB350" s="74" t="s">
        <v>1473</v>
      </c>
      <c r="AC350" s="74"/>
    </row>
    <row r="351" ht="16.5" customHeight="1">
      <c r="A351" s="48" t="s">
        <v>1474</v>
      </c>
      <c r="B351" s="53" t="s">
        <v>1466</v>
      </c>
      <c r="C351" s="47">
        <v>0.0</v>
      </c>
      <c r="D351" s="70" t="s">
        <v>1475</v>
      </c>
      <c r="E351" s="55" t="s">
        <v>804</v>
      </c>
      <c r="F351" s="32" t="s">
        <v>244</v>
      </c>
      <c r="G351" s="32" t="s">
        <v>35</v>
      </c>
      <c r="H351" s="71" t="s">
        <v>35</v>
      </c>
      <c r="I351" s="71" t="s">
        <v>36</v>
      </c>
      <c r="J351" s="34" t="s">
        <v>203</v>
      </c>
      <c r="K351" s="57" t="s">
        <v>38</v>
      </c>
      <c r="L351" s="72">
        <v>9899.0</v>
      </c>
      <c r="M351" s="22"/>
      <c r="N351" s="76"/>
      <c r="O351" s="28">
        <v>45229.0</v>
      </c>
      <c r="P351" s="35" t="s">
        <v>1469</v>
      </c>
      <c r="Q351" s="12"/>
      <c r="R351" s="12"/>
      <c r="S351" s="12"/>
      <c r="T351" s="52">
        <v>45217.0</v>
      </c>
      <c r="U351" s="52">
        <v>45222.0</v>
      </c>
      <c r="V351" s="52">
        <v>45224.0</v>
      </c>
      <c r="W351" s="30"/>
      <c r="X351" s="30"/>
      <c r="Y351" s="31"/>
      <c r="Z351" s="31"/>
      <c r="AA351" s="31"/>
      <c r="AB351" s="74" t="s">
        <v>1476</v>
      </c>
      <c r="AC351" s="74"/>
    </row>
    <row r="352" ht="16.5" customHeight="1">
      <c r="A352" s="48" t="s">
        <v>1477</v>
      </c>
      <c r="B352" s="53" t="s">
        <v>1466</v>
      </c>
      <c r="C352" s="47">
        <v>0.0</v>
      </c>
      <c r="D352" s="70" t="s">
        <v>1478</v>
      </c>
      <c r="E352" s="55" t="s">
        <v>804</v>
      </c>
      <c r="F352" s="32" t="s">
        <v>244</v>
      </c>
      <c r="G352" s="32" t="s">
        <v>35</v>
      </c>
      <c r="H352" s="71" t="s">
        <v>35</v>
      </c>
      <c r="I352" s="71" t="s">
        <v>36</v>
      </c>
      <c r="J352" s="34" t="s">
        <v>203</v>
      </c>
      <c r="K352" s="57" t="s">
        <v>38</v>
      </c>
      <c r="L352" s="72">
        <v>9899.0</v>
      </c>
      <c r="M352" s="22"/>
      <c r="N352" s="76"/>
      <c r="O352" s="28">
        <v>45229.0</v>
      </c>
      <c r="P352" s="35" t="s">
        <v>1469</v>
      </c>
      <c r="Q352" s="12"/>
      <c r="R352" s="12"/>
      <c r="S352" s="12"/>
      <c r="T352" s="52">
        <v>45217.0</v>
      </c>
      <c r="U352" s="52">
        <v>45222.0</v>
      </c>
      <c r="V352" s="52">
        <v>45224.0</v>
      </c>
      <c r="W352" s="30"/>
      <c r="X352" s="30"/>
      <c r="Y352" s="31"/>
      <c r="Z352" s="31"/>
      <c r="AA352" s="31"/>
      <c r="AB352" s="74" t="s">
        <v>1479</v>
      </c>
      <c r="AC352" s="74"/>
    </row>
    <row r="353" ht="16.5" customHeight="1">
      <c r="A353" s="48" t="s">
        <v>1480</v>
      </c>
      <c r="B353" s="53" t="s">
        <v>1466</v>
      </c>
      <c r="C353" s="47">
        <v>0.0</v>
      </c>
      <c r="D353" s="70" t="s">
        <v>1481</v>
      </c>
      <c r="E353" s="55" t="s">
        <v>804</v>
      </c>
      <c r="F353" s="32" t="s">
        <v>244</v>
      </c>
      <c r="G353" s="32" t="s">
        <v>35</v>
      </c>
      <c r="H353" s="71" t="s">
        <v>35</v>
      </c>
      <c r="I353" s="71" t="s">
        <v>36</v>
      </c>
      <c r="J353" s="34" t="s">
        <v>203</v>
      </c>
      <c r="K353" s="57" t="s">
        <v>38</v>
      </c>
      <c r="L353" s="72">
        <v>9899.0</v>
      </c>
      <c r="M353" s="22"/>
      <c r="N353" s="76"/>
      <c r="O353" s="28">
        <v>45229.0</v>
      </c>
      <c r="P353" s="35" t="s">
        <v>1469</v>
      </c>
      <c r="Q353" s="12"/>
      <c r="R353" s="12"/>
      <c r="S353" s="12"/>
      <c r="T353" s="52">
        <v>45217.0</v>
      </c>
      <c r="U353" s="52">
        <v>45222.0</v>
      </c>
      <c r="V353" s="52">
        <v>45226.0</v>
      </c>
      <c r="W353" s="30"/>
      <c r="X353" s="30"/>
      <c r="Y353" s="31"/>
      <c r="Z353" s="31"/>
      <c r="AA353" s="31"/>
      <c r="AB353" s="74" t="s">
        <v>1482</v>
      </c>
      <c r="AC353" s="74"/>
    </row>
    <row r="354" ht="16.5" customHeight="1">
      <c r="A354" s="48" t="s">
        <v>1483</v>
      </c>
      <c r="B354" s="53" t="s">
        <v>89</v>
      </c>
      <c r="C354" s="47">
        <v>0.0</v>
      </c>
      <c r="D354" s="70" t="s">
        <v>1484</v>
      </c>
      <c r="E354" s="55" t="s">
        <v>177</v>
      </c>
      <c r="F354" s="32" t="s">
        <v>48</v>
      </c>
      <c r="G354" s="32" t="s">
        <v>35</v>
      </c>
      <c r="H354" s="71" t="s">
        <v>35</v>
      </c>
      <c r="I354" s="71" t="s">
        <v>36</v>
      </c>
      <c r="J354" s="34" t="s">
        <v>65</v>
      </c>
      <c r="K354" s="57" t="s">
        <v>38</v>
      </c>
      <c r="L354" s="72">
        <v>10263.0</v>
      </c>
      <c r="M354" s="27"/>
      <c r="N354" s="73"/>
      <c r="O354" s="28">
        <v>45310.0</v>
      </c>
      <c r="P354" s="26"/>
      <c r="Q354" s="12"/>
      <c r="R354" s="12"/>
      <c r="S354" s="12"/>
      <c r="T354" s="52">
        <v>45217.0</v>
      </c>
      <c r="U354" s="52">
        <v>45310.0</v>
      </c>
      <c r="V354" s="52">
        <v>45310.0</v>
      </c>
      <c r="W354" s="30"/>
      <c r="X354" s="30"/>
      <c r="Y354" s="31"/>
      <c r="Z354" s="31"/>
      <c r="AA354" s="31"/>
      <c r="AB354" s="74" t="s">
        <v>1485</v>
      </c>
      <c r="AC354" s="74"/>
    </row>
    <row r="355" ht="16.5" customHeight="1">
      <c r="A355" s="48" t="s">
        <v>1486</v>
      </c>
      <c r="B355" s="53" t="s">
        <v>272</v>
      </c>
      <c r="C355" s="47">
        <v>0.0</v>
      </c>
      <c r="D355" s="70"/>
      <c r="E355" s="55" t="s">
        <v>701</v>
      </c>
      <c r="F355" s="32" t="s">
        <v>33</v>
      </c>
      <c r="G355" s="32" t="s">
        <v>35</v>
      </c>
      <c r="H355" s="71" t="s">
        <v>35</v>
      </c>
      <c r="I355" s="71" t="s">
        <v>665</v>
      </c>
      <c r="J355" s="34" t="s">
        <v>718</v>
      </c>
      <c r="K355" s="57" t="s">
        <v>38</v>
      </c>
      <c r="L355" s="72">
        <v>9886.0</v>
      </c>
      <c r="M355" s="22"/>
      <c r="N355" s="76"/>
      <c r="O355" s="28">
        <v>45226.0</v>
      </c>
      <c r="P355" s="35" t="s">
        <v>1487</v>
      </c>
      <c r="Q355" s="12"/>
      <c r="R355" s="12"/>
      <c r="S355" s="12"/>
      <c r="T355" s="52">
        <v>45217.0</v>
      </c>
      <c r="U355" s="52">
        <v>45222.0</v>
      </c>
      <c r="V355" s="52">
        <v>45224.0</v>
      </c>
      <c r="W355" s="30"/>
      <c r="X355" s="30"/>
      <c r="Y355" s="31"/>
      <c r="Z355" s="31"/>
      <c r="AA355" s="31"/>
      <c r="AB355" s="74" t="s">
        <v>1488</v>
      </c>
      <c r="AC355" s="74"/>
    </row>
    <row r="356" ht="16.5" customHeight="1">
      <c r="A356" s="48" t="s">
        <v>1489</v>
      </c>
      <c r="B356" s="53" t="s">
        <v>1299</v>
      </c>
      <c r="C356" s="47">
        <v>0.0</v>
      </c>
      <c r="D356" s="70" t="s">
        <v>1490</v>
      </c>
      <c r="E356" s="55" t="s">
        <v>257</v>
      </c>
      <c r="F356" s="32" t="s">
        <v>244</v>
      </c>
      <c r="G356" s="32" t="s">
        <v>35</v>
      </c>
      <c r="H356" s="71" t="s">
        <v>35</v>
      </c>
      <c r="I356" s="71" t="s">
        <v>36</v>
      </c>
      <c r="J356" s="34" t="s">
        <v>92</v>
      </c>
      <c r="K356" s="57" t="s">
        <v>38</v>
      </c>
      <c r="L356" s="72">
        <v>9898.0</v>
      </c>
      <c r="M356" s="27"/>
      <c r="N356" s="76"/>
      <c r="O356" s="28">
        <v>45231.0</v>
      </c>
      <c r="P356" s="26"/>
      <c r="Q356" s="12"/>
      <c r="R356" s="12"/>
      <c r="S356" s="12"/>
      <c r="T356" s="52">
        <v>45218.0</v>
      </c>
      <c r="U356" s="52">
        <v>45218.0</v>
      </c>
      <c r="V356" s="52">
        <v>45226.0</v>
      </c>
      <c r="W356" s="30"/>
      <c r="X356" s="30"/>
      <c r="Y356" s="31"/>
      <c r="Z356" s="31"/>
      <c r="AA356" s="31"/>
      <c r="AB356" s="74" t="s">
        <v>1491</v>
      </c>
      <c r="AC356" s="74"/>
    </row>
    <row r="357" ht="16.5" customHeight="1">
      <c r="A357" s="48" t="s">
        <v>1492</v>
      </c>
      <c r="B357" s="53" t="s">
        <v>1493</v>
      </c>
      <c r="C357" s="47">
        <v>0.0</v>
      </c>
      <c r="D357" s="70" t="s">
        <v>1494</v>
      </c>
      <c r="E357" s="55" t="s">
        <v>177</v>
      </c>
      <c r="F357" s="32" t="s">
        <v>48</v>
      </c>
      <c r="G357" s="32" t="s">
        <v>35</v>
      </c>
      <c r="H357" s="71" t="s">
        <v>35</v>
      </c>
      <c r="I357" s="71" t="s">
        <v>36</v>
      </c>
      <c r="J357" s="34" t="s">
        <v>65</v>
      </c>
      <c r="K357" s="57" t="s">
        <v>38</v>
      </c>
      <c r="L357" s="72">
        <v>10378.0</v>
      </c>
      <c r="M357" s="27"/>
      <c r="N357" s="73"/>
      <c r="O357" s="28">
        <v>45310.0</v>
      </c>
      <c r="P357" s="26"/>
      <c r="Q357" s="12"/>
      <c r="R357" s="12"/>
      <c r="S357" s="12"/>
      <c r="T357" s="52">
        <v>45218.0</v>
      </c>
      <c r="U357" s="52">
        <v>45310.0</v>
      </c>
      <c r="V357" s="52">
        <v>45310.0</v>
      </c>
      <c r="W357" s="30"/>
      <c r="X357" s="30"/>
      <c r="Y357" s="31"/>
      <c r="Z357" s="31"/>
      <c r="AA357" s="31"/>
      <c r="AB357" s="74" t="s">
        <v>1495</v>
      </c>
      <c r="AC357" s="74"/>
    </row>
    <row r="358" ht="16.5" customHeight="1">
      <c r="A358" s="48" t="s">
        <v>1496</v>
      </c>
      <c r="B358" s="53" t="s">
        <v>1497</v>
      </c>
      <c r="C358" s="47">
        <v>0.0</v>
      </c>
      <c r="D358" s="70" t="s">
        <v>1498</v>
      </c>
      <c r="E358" s="55" t="s">
        <v>177</v>
      </c>
      <c r="F358" s="32" t="s">
        <v>48</v>
      </c>
      <c r="G358" s="32" t="s">
        <v>35</v>
      </c>
      <c r="H358" s="71" t="s">
        <v>35</v>
      </c>
      <c r="I358" s="71" t="s">
        <v>36</v>
      </c>
      <c r="J358" s="34" t="s">
        <v>65</v>
      </c>
      <c r="K358" s="57" t="s">
        <v>38</v>
      </c>
      <c r="L358" s="72">
        <v>10270.0</v>
      </c>
      <c r="M358" s="27"/>
      <c r="N358" s="73"/>
      <c r="O358" s="28">
        <v>45310.0</v>
      </c>
      <c r="P358" s="26"/>
      <c r="Q358" s="12"/>
      <c r="R358" s="12"/>
      <c r="S358" s="12"/>
      <c r="T358" s="52">
        <v>45218.0</v>
      </c>
      <c r="U358" s="52">
        <v>45307.0</v>
      </c>
      <c r="V358" s="52">
        <v>45310.0</v>
      </c>
      <c r="W358" s="30"/>
      <c r="X358" s="30"/>
      <c r="Y358" s="31"/>
      <c r="Z358" s="31"/>
      <c r="AA358" s="31"/>
      <c r="AB358" s="74" t="s">
        <v>1499</v>
      </c>
      <c r="AC358" s="74"/>
    </row>
    <row r="359" ht="16.5" customHeight="1">
      <c r="A359" s="48" t="s">
        <v>1500</v>
      </c>
      <c r="B359" s="53" t="s">
        <v>1497</v>
      </c>
      <c r="C359" s="47">
        <v>0.0</v>
      </c>
      <c r="D359" s="70" t="s">
        <v>1501</v>
      </c>
      <c r="E359" s="55" t="s">
        <v>171</v>
      </c>
      <c r="F359" s="32" t="s">
        <v>48</v>
      </c>
      <c r="G359" s="32" t="s">
        <v>35</v>
      </c>
      <c r="H359" s="71" t="s">
        <v>35</v>
      </c>
      <c r="I359" s="71" t="s">
        <v>36</v>
      </c>
      <c r="J359" s="34" t="s">
        <v>65</v>
      </c>
      <c r="K359" s="57" t="s">
        <v>38</v>
      </c>
      <c r="L359" s="72">
        <v>10270.0</v>
      </c>
      <c r="M359" s="27"/>
      <c r="N359" s="73"/>
      <c r="O359" s="28">
        <v>45310.0</v>
      </c>
      <c r="P359" s="26"/>
      <c r="Q359" s="12"/>
      <c r="R359" s="12"/>
      <c r="S359" s="12"/>
      <c r="T359" s="52">
        <v>45218.0</v>
      </c>
      <c r="U359" s="52">
        <v>45307.0</v>
      </c>
      <c r="V359" s="52">
        <v>45310.0</v>
      </c>
      <c r="W359" s="30"/>
      <c r="X359" s="30"/>
      <c r="Y359" s="31"/>
      <c r="Z359" s="31"/>
      <c r="AA359" s="31"/>
      <c r="AB359" s="74" t="s">
        <v>1502</v>
      </c>
      <c r="AC359" s="74"/>
    </row>
    <row r="360" ht="16.5" customHeight="1">
      <c r="A360" s="48" t="s">
        <v>1503</v>
      </c>
      <c r="B360" s="53" t="s">
        <v>1504</v>
      </c>
      <c r="C360" s="47">
        <v>0.0</v>
      </c>
      <c r="D360" s="70" t="s">
        <v>1505</v>
      </c>
      <c r="E360" s="55" t="s">
        <v>913</v>
      </c>
      <c r="F360" s="32" t="s">
        <v>33</v>
      </c>
      <c r="G360" s="32" t="s">
        <v>35</v>
      </c>
      <c r="H360" s="71" t="s">
        <v>35</v>
      </c>
      <c r="I360" s="71" t="s">
        <v>36</v>
      </c>
      <c r="J360" s="34" t="s">
        <v>37</v>
      </c>
      <c r="K360" s="57" t="s">
        <v>1506</v>
      </c>
      <c r="L360" s="72">
        <v>9957.0</v>
      </c>
      <c r="M360" s="22"/>
      <c r="N360" s="76"/>
      <c r="O360" s="28">
        <v>45244.0</v>
      </c>
      <c r="P360" s="35" t="s">
        <v>1507</v>
      </c>
      <c r="Q360" s="12"/>
      <c r="R360" s="12"/>
      <c r="S360" s="12"/>
      <c r="T360" s="52">
        <v>45218.0</v>
      </c>
      <c r="U360" s="52">
        <v>45222.0</v>
      </c>
      <c r="V360" s="52">
        <v>45244.0</v>
      </c>
      <c r="W360" s="30"/>
      <c r="X360" s="30"/>
      <c r="Y360" s="31"/>
      <c r="Z360" s="31"/>
      <c r="AA360" s="31"/>
      <c r="AB360" s="74" t="s">
        <v>1508</v>
      </c>
      <c r="AC360" s="74"/>
    </row>
    <row r="361" ht="16.5" customHeight="1">
      <c r="A361" s="48" t="s">
        <v>1509</v>
      </c>
      <c r="B361" s="53" t="s">
        <v>1510</v>
      </c>
      <c r="C361" s="47">
        <v>0.0</v>
      </c>
      <c r="D361" s="70" t="s">
        <v>1511</v>
      </c>
      <c r="E361" s="55" t="s">
        <v>491</v>
      </c>
      <c r="F361" s="32" t="s">
        <v>33</v>
      </c>
      <c r="G361" s="32" t="s">
        <v>35</v>
      </c>
      <c r="H361" s="71" t="s">
        <v>35</v>
      </c>
      <c r="I361" s="71" t="s">
        <v>36</v>
      </c>
      <c r="J361" s="34" t="s">
        <v>65</v>
      </c>
      <c r="K361" s="57" t="s">
        <v>38</v>
      </c>
      <c r="L361" s="72">
        <v>9991.0</v>
      </c>
      <c r="M361" s="22"/>
      <c r="N361" s="76"/>
      <c r="O361" s="28">
        <v>45252.0</v>
      </c>
      <c r="P361" s="35" t="s">
        <v>1512</v>
      </c>
      <c r="Q361" s="12"/>
      <c r="R361" s="12"/>
      <c r="S361" s="12"/>
      <c r="T361" s="52">
        <v>45218.0</v>
      </c>
      <c r="U361" s="52">
        <v>45223.0</v>
      </c>
      <c r="V361" s="52">
        <v>45223.0</v>
      </c>
      <c r="W361" s="30"/>
      <c r="X361" s="30"/>
      <c r="Y361" s="31"/>
      <c r="Z361" s="31"/>
      <c r="AA361" s="31"/>
      <c r="AB361" s="74" t="s">
        <v>1513</v>
      </c>
      <c r="AC361" s="74"/>
    </row>
    <row r="362" ht="16.5" customHeight="1">
      <c r="A362" s="48" t="s">
        <v>1514</v>
      </c>
      <c r="B362" s="53" t="s">
        <v>1510</v>
      </c>
      <c r="C362" s="47">
        <v>0.0</v>
      </c>
      <c r="D362" s="70" t="s">
        <v>1515</v>
      </c>
      <c r="E362" s="55" t="s">
        <v>491</v>
      </c>
      <c r="F362" s="32" t="s">
        <v>33</v>
      </c>
      <c r="G362" s="32" t="s">
        <v>35</v>
      </c>
      <c r="H362" s="71" t="s">
        <v>35</v>
      </c>
      <c r="I362" s="71" t="s">
        <v>36</v>
      </c>
      <c r="J362" s="34" t="s">
        <v>65</v>
      </c>
      <c r="K362" s="57" t="s">
        <v>38</v>
      </c>
      <c r="L362" s="72">
        <v>9991.0</v>
      </c>
      <c r="M362" s="22"/>
      <c r="N362" s="76"/>
      <c r="O362" s="28">
        <v>45252.0</v>
      </c>
      <c r="P362" s="35" t="s">
        <v>1512</v>
      </c>
      <c r="Q362" s="12"/>
      <c r="R362" s="12"/>
      <c r="S362" s="12"/>
      <c r="T362" s="52">
        <v>45218.0</v>
      </c>
      <c r="U362" s="52">
        <v>45223.0</v>
      </c>
      <c r="V362" s="52">
        <v>45226.0</v>
      </c>
      <c r="W362" s="30"/>
      <c r="X362" s="30"/>
      <c r="Y362" s="31"/>
      <c r="Z362" s="31"/>
      <c r="AA362" s="31"/>
      <c r="AB362" s="74" t="s">
        <v>1516</v>
      </c>
      <c r="AC362" s="74"/>
    </row>
    <row r="363" ht="16.5" customHeight="1">
      <c r="A363" s="48" t="s">
        <v>1517</v>
      </c>
      <c r="B363" s="53" t="s">
        <v>1518</v>
      </c>
      <c r="C363" s="47">
        <v>0.0</v>
      </c>
      <c r="D363" s="70" t="s">
        <v>1519</v>
      </c>
      <c r="E363" s="55" t="s">
        <v>1520</v>
      </c>
      <c r="F363" s="32" t="s">
        <v>33</v>
      </c>
      <c r="G363" s="32" t="s">
        <v>35</v>
      </c>
      <c r="H363" s="71" t="s">
        <v>35</v>
      </c>
      <c r="I363" s="71" t="s">
        <v>36</v>
      </c>
      <c r="J363" s="34" t="s">
        <v>92</v>
      </c>
      <c r="K363" s="57" t="s">
        <v>38</v>
      </c>
      <c r="L363" s="72">
        <v>9884.0</v>
      </c>
      <c r="M363" s="22"/>
      <c r="N363" s="76"/>
      <c r="O363" s="28">
        <v>45237.0</v>
      </c>
      <c r="P363" s="35" t="s">
        <v>1521</v>
      </c>
      <c r="Q363" s="12"/>
      <c r="R363" s="12"/>
      <c r="S363" s="12"/>
      <c r="T363" s="52">
        <v>45218.0</v>
      </c>
      <c r="U363" s="52">
        <v>45219.0</v>
      </c>
      <c r="V363" s="52">
        <v>45224.0</v>
      </c>
      <c r="W363" s="30"/>
      <c r="X363" s="30"/>
      <c r="Y363" s="31"/>
      <c r="Z363" s="31"/>
      <c r="AA363" s="31"/>
      <c r="AB363" s="74" t="s">
        <v>1522</v>
      </c>
      <c r="AC363" s="74"/>
    </row>
    <row r="364" ht="16.5" customHeight="1">
      <c r="A364" s="48" t="s">
        <v>1523</v>
      </c>
      <c r="B364" s="53" t="s">
        <v>287</v>
      </c>
      <c r="C364" s="47">
        <v>0.0</v>
      </c>
      <c r="D364" s="70" t="s">
        <v>1524</v>
      </c>
      <c r="E364" s="55" t="s">
        <v>545</v>
      </c>
      <c r="F364" s="32" t="s">
        <v>33</v>
      </c>
      <c r="G364" s="32" t="s">
        <v>34</v>
      </c>
      <c r="H364" s="71" t="s">
        <v>35</v>
      </c>
      <c r="I364" s="71" t="s">
        <v>36</v>
      </c>
      <c r="J364" s="34" t="s">
        <v>92</v>
      </c>
      <c r="K364" s="57" t="s">
        <v>38</v>
      </c>
      <c r="L364" s="72">
        <v>9870.0</v>
      </c>
      <c r="M364" s="22"/>
      <c r="N364" s="76"/>
      <c r="O364" s="28">
        <v>45224.0</v>
      </c>
      <c r="P364" s="35" t="s">
        <v>1525</v>
      </c>
      <c r="Q364" s="12"/>
      <c r="R364" s="12"/>
      <c r="S364" s="12"/>
      <c r="T364" s="52">
        <v>45219.0</v>
      </c>
      <c r="U364" s="52">
        <v>45219.0</v>
      </c>
      <c r="V364" s="52">
        <v>45224.0</v>
      </c>
      <c r="W364" s="30"/>
      <c r="X364" s="30"/>
      <c r="Y364" s="31"/>
      <c r="Z364" s="31"/>
      <c r="AA364" s="31"/>
      <c r="AB364" s="74" t="s">
        <v>1526</v>
      </c>
      <c r="AC364" s="74"/>
    </row>
    <row r="365" ht="16.5" customHeight="1">
      <c r="A365" s="48" t="s">
        <v>1527</v>
      </c>
      <c r="B365" s="53" t="s">
        <v>1528</v>
      </c>
      <c r="C365" s="47">
        <v>0.0</v>
      </c>
      <c r="D365" s="70" t="s">
        <v>1529</v>
      </c>
      <c r="E365" s="55" t="s">
        <v>1530</v>
      </c>
      <c r="F365" s="32" t="s">
        <v>33</v>
      </c>
      <c r="G365" s="32" t="s">
        <v>35</v>
      </c>
      <c r="H365" s="71" t="s">
        <v>35</v>
      </c>
      <c r="I365" s="71" t="s">
        <v>36</v>
      </c>
      <c r="J365" s="34" t="s">
        <v>92</v>
      </c>
      <c r="K365" s="57" t="s">
        <v>38</v>
      </c>
      <c r="L365" s="72">
        <v>9988.0</v>
      </c>
      <c r="M365" s="22"/>
      <c r="N365" s="76"/>
      <c r="O365" s="28">
        <v>45251.0</v>
      </c>
      <c r="P365" s="35" t="s">
        <v>1531</v>
      </c>
      <c r="Q365" s="12"/>
      <c r="R365" s="12"/>
      <c r="S365" s="12"/>
      <c r="T365" s="52">
        <v>45219.0</v>
      </c>
      <c r="U365" s="52">
        <v>45223.0</v>
      </c>
      <c r="V365" s="52">
        <v>45229.0</v>
      </c>
      <c r="W365" s="30"/>
      <c r="X365" s="30"/>
      <c r="Y365" s="31"/>
      <c r="Z365" s="31"/>
      <c r="AA365" s="31"/>
      <c r="AB365" s="74" t="s">
        <v>1532</v>
      </c>
      <c r="AC365" s="74"/>
    </row>
    <row r="366" ht="16.5" customHeight="1">
      <c r="A366" s="48" t="s">
        <v>1533</v>
      </c>
      <c r="B366" s="53" t="s">
        <v>1534</v>
      </c>
      <c r="C366" s="47">
        <v>0.0</v>
      </c>
      <c r="D366" s="70" t="s">
        <v>1535</v>
      </c>
      <c r="E366" s="55" t="s">
        <v>550</v>
      </c>
      <c r="F366" s="32" t="s">
        <v>33</v>
      </c>
      <c r="G366" s="32" t="s">
        <v>34</v>
      </c>
      <c r="H366" s="71" t="s">
        <v>35</v>
      </c>
      <c r="I366" s="71" t="s">
        <v>36</v>
      </c>
      <c r="J366" s="34" t="s">
        <v>37</v>
      </c>
      <c r="K366" s="57" t="s">
        <v>1506</v>
      </c>
      <c r="L366" s="72">
        <v>9883.0</v>
      </c>
      <c r="M366" s="27"/>
      <c r="N366" s="76"/>
      <c r="O366" s="28">
        <v>45226.0</v>
      </c>
      <c r="P366" s="26"/>
      <c r="Q366" s="12"/>
      <c r="R366" s="12"/>
      <c r="S366" s="12"/>
      <c r="T366" s="52">
        <v>45219.0</v>
      </c>
      <c r="U366" s="52">
        <v>45219.0</v>
      </c>
      <c r="V366" s="52">
        <v>45224.0</v>
      </c>
      <c r="W366" s="30"/>
      <c r="X366" s="30"/>
      <c r="Y366" s="31"/>
      <c r="Z366" s="31"/>
      <c r="AA366" s="31"/>
      <c r="AB366" s="74" t="s">
        <v>1536</v>
      </c>
      <c r="AC366" s="74"/>
    </row>
    <row r="367" ht="16.5" customHeight="1">
      <c r="A367" s="48" t="s">
        <v>1537</v>
      </c>
      <c r="B367" s="53" t="s">
        <v>851</v>
      </c>
      <c r="C367" s="47">
        <v>0.0</v>
      </c>
      <c r="D367" s="70" t="s">
        <v>1538</v>
      </c>
      <c r="E367" s="55" t="s">
        <v>545</v>
      </c>
      <c r="F367" s="32" t="s">
        <v>33</v>
      </c>
      <c r="G367" s="32" t="s">
        <v>34</v>
      </c>
      <c r="H367" s="71" t="s">
        <v>35</v>
      </c>
      <c r="I367" s="71" t="s">
        <v>36</v>
      </c>
      <c r="J367" s="34" t="s">
        <v>420</v>
      </c>
      <c r="K367" s="57" t="s">
        <v>38</v>
      </c>
      <c r="L367" s="72">
        <v>9869.0</v>
      </c>
      <c r="M367" s="27"/>
      <c r="N367" s="76"/>
      <c r="O367" s="28">
        <v>45224.0</v>
      </c>
      <c r="P367" s="26"/>
      <c r="Q367" s="12"/>
      <c r="R367" s="12"/>
      <c r="S367" s="12"/>
      <c r="T367" s="52">
        <v>45222.0</v>
      </c>
      <c r="U367" s="52">
        <v>45222.0</v>
      </c>
      <c r="V367" s="52">
        <v>45224.0</v>
      </c>
      <c r="W367" s="30"/>
      <c r="X367" s="30"/>
      <c r="Y367" s="31"/>
      <c r="Z367" s="31"/>
      <c r="AA367" s="31"/>
      <c r="AB367" s="74" t="s">
        <v>1539</v>
      </c>
      <c r="AC367" s="74"/>
    </row>
    <row r="368" ht="16.5" customHeight="1">
      <c r="A368" s="48" t="s">
        <v>1540</v>
      </c>
      <c r="B368" s="53" t="s">
        <v>530</v>
      </c>
      <c r="C368" s="47">
        <v>0.0</v>
      </c>
      <c r="D368" s="70" t="s">
        <v>1541</v>
      </c>
      <c r="E368" s="55" t="s">
        <v>301</v>
      </c>
      <c r="F368" s="32" t="s">
        <v>33</v>
      </c>
      <c r="G368" s="32" t="s">
        <v>35</v>
      </c>
      <c r="H368" s="71" t="s">
        <v>35</v>
      </c>
      <c r="I368" s="71" t="s">
        <v>36</v>
      </c>
      <c r="J368" s="34" t="s">
        <v>92</v>
      </c>
      <c r="K368" s="57" t="s">
        <v>38</v>
      </c>
      <c r="L368" s="72">
        <v>9882.0</v>
      </c>
      <c r="M368" s="22"/>
      <c r="N368" s="76"/>
      <c r="O368" s="28">
        <v>45225.0</v>
      </c>
      <c r="P368" s="35" t="s">
        <v>1542</v>
      </c>
      <c r="Q368" s="12"/>
      <c r="R368" s="12"/>
      <c r="S368" s="12"/>
      <c r="T368" s="52">
        <v>45222.0</v>
      </c>
      <c r="U368" s="52">
        <v>45222.0</v>
      </c>
      <c r="V368" s="52">
        <v>45224.0</v>
      </c>
      <c r="W368" s="30"/>
      <c r="X368" s="30"/>
      <c r="Y368" s="31"/>
      <c r="Z368" s="31"/>
      <c r="AA368" s="31"/>
      <c r="AB368" s="74" t="s">
        <v>1543</v>
      </c>
      <c r="AC368" s="74"/>
    </row>
    <row r="369" ht="16.5" customHeight="1">
      <c r="A369" s="48" t="s">
        <v>1544</v>
      </c>
      <c r="B369" s="53" t="s">
        <v>716</v>
      </c>
      <c r="C369" s="47">
        <v>0.0</v>
      </c>
      <c r="D369" s="70" t="s">
        <v>1545</v>
      </c>
      <c r="E369" s="55" t="s">
        <v>177</v>
      </c>
      <c r="F369" s="32" t="s">
        <v>48</v>
      </c>
      <c r="G369" s="32" t="s">
        <v>35</v>
      </c>
      <c r="H369" s="71" t="s">
        <v>35</v>
      </c>
      <c r="I369" s="71" t="s">
        <v>36</v>
      </c>
      <c r="J369" s="34" t="s">
        <v>49</v>
      </c>
      <c r="K369" s="57" t="s">
        <v>38</v>
      </c>
      <c r="L369" s="72">
        <v>10284.0</v>
      </c>
      <c r="M369" s="22"/>
      <c r="N369" s="73"/>
      <c r="O369" s="28">
        <v>45313.0</v>
      </c>
      <c r="P369" s="35" t="s">
        <v>1546</v>
      </c>
      <c r="Q369" s="12"/>
      <c r="R369" s="12"/>
      <c r="S369" s="12"/>
      <c r="T369" s="52">
        <v>45222.0</v>
      </c>
      <c r="U369" s="52">
        <v>45310.0</v>
      </c>
      <c r="V369" s="52">
        <v>45313.0</v>
      </c>
      <c r="W369" s="30"/>
      <c r="X369" s="30"/>
      <c r="Y369" s="31"/>
      <c r="Z369" s="31"/>
      <c r="AA369" s="31"/>
      <c r="AB369" s="74" t="s">
        <v>1547</v>
      </c>
      <c r="AC369" s="74"/>
    </row>
    <row r="370" ht="16.5" customHeight="1">
      <c r="A370" s="48" t="s">
        <v>1548</v>
      </c>
      <c r="B370" s="53" t="s">
        <v>1549</v>
      </c>
      <c r="C370" s="47">
        <v>0.0</v>
      </c>
      <c r="D370" s="70" t="s">
        <v>1550</v>
      </c>
      <c r="E370" s="55" t="s">
        <v>664</v>
      </c>
      <c r="F370" s="32" t="s">
        <v>48</v>
      </c>
      <c r="G370" s="32" t="s">
        <v>35</v>
      </c>
      <c r="H370" s="71" t="s">
        <v>35</v>
      </c>
      <c r="I370" s="71" t="s">
        <v>36</v>
      </c>
      <c r="J370" s="34" t="s">
        <v>65</v>
      </c>
      <c r="K370" s="57" t="s">
        <v>38</v>
      </c>
      <c r="L370" s="72">
        <v>10225.0</v>
      </c>
      <c r="M370" s="22"/>
      <c r="N370" s="73"/>
      <c r="O370" s="28">
        <v>45310.0</v>
      </c>
      <c r="P370" s="35" t="s">
        <v>1551</v>
      </c>
      <c r="Q370" s="12"/>
      <c r="R370" s="12"/>
      <c r="S370" s="12"/>
      <c r="T370" s="52">
        <v>45222.0</v>
      </c>
      <c r="U370" s="52">
        <v>45307.0</v>
      </c>
      <c r="V370" s="52">
        <v>45310.0</v>
      </c>
      <c r="W370" s="30"/>
      <c r="X370" s="30"/>
      <c r="Y370" s="31"/>
      <c r="Z370" s="31"/>
      <c r="AA370" s="31"/>
      <c r="AB370" s="74" t="s">
        <v>1552</v>
      </c>
      <c r="AC370" s="74"/>
    </row>
    <row r="371" ht="16.5" customHeight="1">
      <c r="A371" s="48" t="s">
        <v>1553</v>
      </c>
      <c r="B371" s="53" t="s">
        <v>725</v>
      </c>
      <c r="C371" s="47">
        <v>0.0</v>
      </c>
      <c r="D371" s="70" t="s">
        <v>1554</v>
      </c>
      <c r="E371" s="55" t="s">
        <v>408</v>
      </c>
      <c r="F371" s="32" t="s">
        <v>33</v>
      </c>
      <c r="G371" s="32" t="s">
        <v>34</v>
      </c>
      <c r="H371" s="71" t="s">
        <v>35</v>
      </c>
      <c r="I371" s="71" t="s">
        <v>36</v>
      </c>
      <c r="J371" s="34" t="s">
        <v>203</v>
      </c>
      <c r="K371" s="57" t="s">
        <v>38</v>
      </c>
      <c r="L371" s="72">
        <v>9868.0</v>
      </c>
      <c r="M371" s="22"/>
      <c r="N371" s="76"/>
      <c r="O371" s="28">
        <v>45224.0</v>
      </c>
      <c r="P371" s="35" t="s">
        <v>1555</v>
      </c>
      <c r="Q371" s="12"/>
      <c r="R371" s="12"/>
      <c r="S371" s="12"/>
      <c r="T371" s="52">
        <v>45222.0</v>
      </c>
      <c r="U371" s="52">
        <v>45223.0</v>
      </c>
      <c r="V371" s="52">
        <v>45224.0</v>
      </c>
      <c r="W371" s="30"/>
      <c r="X371" s="30"/>
      <c r="Y371" s="31"/>
      <c r="Z371" s="31"/>
      <c r="AA371" s="31"/>
      <c r="AB371" s="74" t="s">
        <v>1556</v>
      </c>
      <c r="AC371" s="74"/>
    </row>
    <row r="372" ht="16.5" customHeight="1">
      <c r="A372" s="48" t="s">
        <v>1557</v>
      </c>
      <c r="B372" s="53" t="s">
        <v>1558</v>
      </c>
      <c r="C372" s="47">
        <v>0.0</v>
      </c>
      <c r="D372" s="70" t="s">
        <v>1559</v>
      </c>
      <c r="E372" s="55" t="s">
        <v>453</v>
      </c>
      <c r="F372" s="32" t="s">
        <v>244</v>
      </c>
      <c r="G372" s="32" t="s">
        <v>35</v>
      </c>
      <c r="H372" s="71" t="s">
        <v>35</v>
      </c>
      <c r="I372" s="71" t="s">
        <v>36</v>
      </c>
      <c r="J372" s="34" t="s">
        <v>203</v>
      </c>
      <c r="K372" s="57" t="s">
        <v>38</v>
      </c>
      <c r="L372" s="72">
        <v>9897.0</v>
      </c>
      <c r="M372" s="22"/>
      <c r="N372" s="76"/>
      <c r="O372" s="28">
        <v>45229.0</v>
      </c>
      <c r="P372" s="35" t="s">
        <v>1560</v>
      </c>
      <c r="Q372" s="12"/>
      <c r="R372" s="12"/>
      <c r="S372" s="12"/>
      <c r="T372" s="52">
        <v>45222.0</v>
      </c>
      <c r="U372" s="52">
        <v>45222.0</v>
      </c>
      <c r="V372" s="52">
        <v>45229.0</v>
      </c>
      <c r="W372" s="30"/>
      <c r="X372" s="30"/>
      <c r="Y372" s="31"/>
      <c r="Z372" s="31"/>
      <c r="AA372" s="31"/>
      <c r="AB372" s="74" t="s">
        <v>1561</v>
      </c>
      <c r="AC372" s="74"/>
    </row>
    <row r="373" ht="16.5" customHeight="1">
      <c r="A373" s="48" t="s">
        <v>1562</v>
      </c>
      <c r="B373" s="53" t="s">
        <v>1558</v>
      </c>
      <c r="C373" s="47">
        <v>0.0</v>
      </c>
      <c r="D373" s="70" t="s">
        <v>1563</v>
      </c>
      <c r="E373" s="55" t="s">
        <v>453</v>
      </c>
      <c r="F373" s="32" t="s">
        <v>244</v>
      </c>
      <c r="G373" s="32" t="s">
        <v>35</v>
      </c>
      <c r="H373" s="71" t="s">
        <v>35</v>
      </c>
      <c r="I373" s="71" t="s">
        <v>36</v>
      </c>
      <c r="J373" s="34" t="s">
        <v>203</v>
      </c>
      <c r="K373" s="57" t="s">
        <v>38</v>
      </c>
      <c r="L373" s="72">
        <v>9897.0</v>
      </c>
      <c r="M373" s="22"/>
      <c r="N373" s="76"/>
      <c r="O373" s="28">
        <v>45229.0</v>
      </c>
      <c r="P373" s="35" t="s">
        <v>1560</v>
      </c>
      <c r="Q373" s="12"/>
      <c r="R373" s="12"/>
      <c r="S373" s="12"/>
      <c r="T373" s="52">
        <v>45222.0</v>
      </c>
      <c r="U373" s="52">
        <v>45222.0</v>
      </c>
      <c r="V373" s="52">
        <v>45229.0</v>
      </c>
      <c r="W373" s="30"/>
      <c r="X373" s="30"/>
      <c r="Y373" s="31"/>
      <c r="Z373" s="31"/>
      <c r="AA373" s="31"/>
      <c r="AB373" s="74" t="s">
        <v>1564</v>
      </c>
      <c r="AC373" s="74"/>
    </row>
    <row r="374" ht="16.5" customHeight="1">
      <c r="A374" s="48" t="s">
        <v>1565</v>
      </c>
      <c r="B374" s="53" t="s">
        <v>1558</v>
      </c>
      <c r="C374" s="47">
        <v>0.0</v>
      </c>
      <c r="D374" s="70" t="s">
        <v>1566</v>
      </c>
      <c r="E374" s="55" t="s">
        <v>453</v>
      </c>
      <c r="F374" s="32" t="s">
        <v>244</v>
      </c>
      <c r="G374" s="32" t="s">
        <v>35</v>
      </c>
      <c r="H374" s="71" t="s">
        <v>35</v>
      </c>
      <c r="I374" s="71" t="s">
        <v>36</v>
      </c>
      <c r="J374" s="34" t="s">
        <v>203</v>
      </c>
      <c r="K374" s="57" t="s">
        <v>38</v>
      </c>
      <c r="L374" s="72">
        <v>9897.0</v>
      </c>
      <c r="M374" s="22"/>
      <c r="N374" s="76"/>
      <c r="O374" s="28">
        <v>45229.0</v>
      </c>
      <c r="P374" s="35" t="s">
        <v>1560</v>
      </c>
      <c r="Q374" s="12"/>
      <c r="R374" s="12"/>
      <c r="S374" s="12"/>
      <c r="T374" s="52">
        <v>45222.0</v>
      </c>
      <c r="U374" s="52">
        <v>45222.0</v>
      </c>
      <c r="V374" s="52">
        <v>45229.0</v>
      </c>
      <c r="W374" s="30"/>
      <c r="X374" s="30"/>
      <c r="Y374" s="31"/>
      <c r="Z374" s="31"/>
      <c r="AA374" s="31"/>
      <c r="AB374" s="74" t="s">
        <v>1567</v>
      </c>
      <c r="AC374" s="74"/>
    </row>
    <row r="375" ht="16.5" customHeight="1">
      <c r="A375" s="48" t="s">
        <v>1568</v>
      </c>
      <c r="B375" s="53" t="s">
        <v>1569</v>
      </c>
      <c r="C375" s="47">
        <v>0.0</v>
      </c>
      <c r="D375" s="70" t="s">
        <v>1570</v>
      </c>
      <c r="E375" s="55" t="s">
        <v>213</v>
      </c>
      <c r="F375" s="32" t="s">
        <v>33</v>
      </c>
      <c r="G375" s="32" t="s">
        <v>35</v>
      </c>
      <c r="H375" s="71" t="s">
        <v>35</v>
      </c>
      <c r="I375" s="71" t="s">
        <v>36</v>
      </c>
      <c r="J375" s="34" t="s">
        <v>37</v>
      </c>
      <c r="K375" s="57" t="s">
        <v>1098</v>
      </c>
      <c r="L375" s="72">
        <v>9912.0</v>
      </c>
      <c r="M375" s="22"/>
      <c r="N375" s="73"/>
      <c r="O375" s="28">
        <v>45236.0</v>
      </c>
      <c r="P375" s="35" t="s">
        <v>1571</v>
      </c>
      <c r="Q375" s="12"/>
      <c r="R375" s="12"/>
      <c r="S375" s="12"/>
      <c r="T375" s="52">
        <v>45223.0</v>
      </c>
      <c r="U375" s="52">
        <v>45223.0</v>
      </c>
      <c r="V375" s="52">
        <v>45231.0</v>
      </c>
      <c r="W375" s="30"/>
      <c r="X375" s="30"/>
      <c r="Y375" s="31"/>
      <c r="Z375" s="31"/>
      <c r="AA375" s="31"/>
      <c r="AB375" s="74" t="s">
        <v>1572</v>
      </c>
      <c r="AC375" s="74"/>
    </row>
    <row r="376" ht="16.5" customHeight="1">
      <c r="A376" s="48" t="s">
        <v>1573</v>
      </c>
      <c r="B376" s="53" t="s">
        <v>631</v>
      </c>
      <c r="C376" s="47">
        <v>0.0</v>
      </c>
      <c r="D376" s="70" t="s">
        <v>1031</v>
      </c>
      <c r="E376" s="55" t="s">
        <v>79</v>
      </c>
      <c r="F376" s="32" t="s">
        <v>33</v>
      </c>
      <c r="G376" s="32" t="s">
        <v>35</v>
      </c>
      <c r="H376" s="71" t="s">
        <v>35</v>
      </c>
      <c r="I376" s="71" t="s">
        <v>36</v>
      </c>
      <c r="J376" s="34" t="s">
        <v>65</v>
      </c>
      <c r="K376" s="57" t="s">
        <v>38</v>
      </c>
      <c r="L376" s="72">
        <v>9875.0</v>
      </c>
      <c r="M376" s="22"/>
      <c r="N376" s="76"/>
      <c r="O376" s="28">
        <v>45224.0</v>
      </c>
      <c r="P376" s="35" t="s">
        <v>1574</v>
      </c>
      <c r="Q376" s="12"/>
      <c r="R376" s="12"/>
      <c r="S376" s="12"/>
      <c r="T376" s="52">
        <v>45223.0</v>
      </c>
      <c r="U376" s="52">
        <v>45223.0</v>
      </c>
      <c r="V376" s="52">
        <v>45224.0</v>
      </c>
      <c r="W376" s="30"/>
      <c r="X376" s="30"/>
      <c r="Y376" s="31"/>
      <c r="Z376" s="31"/>
      <c r="AA376" s="31"/>
      <c r="AB376" s="74" t="s">
        <v>1575</v>
      </c>
      <c r="AC376" s="74"/>
    </row>
    <row r="377" ht="16.5" customHeight="1">
      <c r="A377" s="48" t="s">
        <v>1576</v>
      </c>
      <c r="B377" s="53" t="s">
        <v>734</v>
      </c>
      <c r="C377" s="47">
        <v>0.0</v>
      </c>
      <c r="D377" s="70" t="s">
        <v>1577</v>
      </c>
      <c r="E377" s="55" t="s">
        <v>165</v>
      </c>
      <c r="F377" s="32" t="s">
        <v>33</v>
      </c>
      <c r="G377" s="32" t="s">
        <v>34</v>
      </c>
      <c r="H377" s="71" t="s">
        <v>35</v>
      </c>
      <c r="I377" s="71" t="s">
        <v>36</v>
      </c>
      <c r="J377" s="34" t="s">
        <v>203</v>
      </c>
      <c r="K377" s="57" t="s">
        <v>38</v>
      </c>
      <c r="L377" s="72">
        <v>9867.0</v>
      </c>
      <c r="M377" s="22"/>
      <c r="N377" s="76"/>
      <c r="O377" s="28">
        <v>45224.0</v>
      </c>
      <c r="P377" s="35" t="s">
        <v>1578</v>
      </c>
      <c r="Q377" s="12"/>
      <c r="R377" s="12"/>
      <c r="S377" s="12"/>
      <c r="T377" s="52">
        <v>45223.0</v>
      </c>
      <c r="U377" s="52">
        <v>45223.0</v>
      </c>
      <c r="V377" s="52">
        <v>45224.0</v>
      </c>
      <c r="W377" s="30"/>
      <c r="X377" s="30"/>
      <c r="Y377" s="31"/>
      <c r="Z377" s="31"/>
      <c r="AA377" s="31"/>
      <c r="AB377" s="74" t="s">
        <v>1579</v>
      </c>
      <c r="AC377" s="74"/>
    </row>
    <row r="378" ht="16.5" customHeight="1">
      <c r="A378" s="48" t="s">
        <v>1580</v>
      </c>
      <c r="B378" s="53" t="s">
        <v>734</v>
      </c>
      <c r="C378" s="47">
        <v>0.0</v>
      </c>
      <c r="D378" s="70"/>
      <c r="E378" s="55" t="s">
        <v>268</v>
      </c>
      <c r="F378" s="32" t="s">
        <v>33</v>
      </c>
      <c r="G378" s="32" t="s">
        <v>34</v>
      </c>
      <c r="H378" s="71" t="s">
        <v>35</v>
      </c>
      <c r="I378" s="71" t="s">
        <v>36</v>
      </c>
      <c r="J378" s="34" t="s">
        <v>203</v>
      </c>
      <c r="K378" s="57" t="s">
        <v>38</v>
      </c>
      <c r="L378" s="72">
        <v>9867.0</v>
      </c>
      <c r="M378" s="22"/>
      <c r="N378" s="76"/>
      <c r="O378" s="28">
        <v>45224.0</v>
      </c>
      <c r="P378" s="35" t="s">
        <v>1581</v>
      </c>
      <c r="Q378" s="12"/>
      <c r="R378" s="12"/>
      <c r="S378" s="12"/>
      <c r="T378" s="52">
        <v>45223.0</v>
      </c>
      <c r="U378" s="52">
        <v>45223.0</v>
      </c>
      <c r="V378" s="52">
        <v>45224.0</v>
      </c>
      <c r="W378" s="30"/>
      <c r="X378" s="30"/>
      <c r="Y378" s="31"/>
      <c r="Z378" s="31"/>
      <c r="AA378" s="31"/>
      <c r="AB378" s="74" t="s">
        <v>1582</v>
      </c>
      <c r="AC378" s="74"/>
    </row>
    <row r="379" ht="16.5" customHeight="1">
      <c r="A379" s="48" t="s">
        <v>1583</v>
      </c>
      <c r="B379" s="53" t="s">
        <v>1584</v>
      </c>
      <c r="C379" s="47">
        <v>0.0</v>
      </c>
      <c r="D379" s="70" t="s">
        <v>1585</v>
      </c>
      <c r="E379" s="55" t="s">
        <v>165</v>
      </c>
      <c r="F379" s="32" t="s">
        <v>244</v>
      </c>
      <c r="G379" s="32" t="s">
        <v>35</v>
      </c>
      <c r="H379" s="71" t="s">
        <v>35</v>
      </c>
      <c r="I379" s="71" t="s">
        <v>36</v>
      </c>
      <c r="J379" s="34" t="s">
        <v>203</v>
      </c>
      <c r="K379" s="57" t="s">
        <v>38</v>
      </c>
      <c r="L379" s="72">
        <v>9881.0</v>
      </c>
      <c r="M379" s="22"/>
      <c r="N379" s="76"/>
      <c r="O379" s="28">
        <v>45226.0</v>
      </c>
      <c r="P379" s="35" t="s">
        <v>1586</v>
      </c>
      <c r="Q379" s="12"/>
      <c r="R379" s="12"/>
      <c r="S379" s="12"/>
      <c r="T379" s="52">
        <v>45223.0</v>
      </c>
      <c r="U379" s="52">
        <v>45224.0</v>
      </c>
      <c r="V379" s="52">
        <v>45224.0</v>
      </c>
      <c r="W379" s="30"/>
      <c r="X379" s="30"/>
      <c r="Y379" s="31"/>
      <c r="Z379" s="31"/>
      <c r="AA379" s="31"/>
      <c r="AB379" s="74" t="s">
        <v>1587</v>
      </c>
      <c r="AC379" s="74"/>
    </row>
    <row r="380" ht="16.5" customHeight="1">
      <c r="A380" s="48" t="s">
        <v>1588</v>
      </c>
      <c r="B380" s="53" t="s">
        <v>498</v>
      </c>
      <c r="C380" s="47">
        <v>0.0</v>
      </c>
      <c r="D380" s="70" t="s">
        <v>1589</v>
      </c>
      <c r="E380" s="55" t="s">
        <v>511</v>
      </c>
      <c r="F380" s="32" t="s">
        <v>33</v>
      </c>
      <c r="G380" s="32" t="s">
        <v>34</v>
      </c>
      <c r="H380" s="71" t="s">
        <v>35</v>
      </c>
      <c r="I380" s="71" t="s">
        <v>36</v>
      </c>
      <c r="J380" s="34" t="s">
        <v>420</v>
      </c>
      <c r="K380" s="57" t="s">
        <v>38</v>
      </c>
      <c r="L380" s="72">
        <v>9968.0</v>
      </c>
      <c r="M380" s="22"/>
      <c r="N380" s="76"/>
      <c r="O380" s="28">
        <v>45246.0</v>
      </c>
      <c r="P380" s="35" t="s">
        <v>1590</v>
      </c>
      <c r="Q380" s="12"/>
      <c r="R380" s="12"/>
      <c r="S380" s="12"/>
      <c r="T380" s="52">
        <v>45224.0</v>
      </c>
      <c r="U380" s="52">
        <v>45224.0</v>
      </c>
      <c r="V380" s="52">
        <v>45225.0</v>
      </c>
      <c r="W380" s="30"/>
      <c r="X380" s="30"/>
      <c r="Y380" s="31"/>
      <c r="Z380" s="31"/>
      <c r="AA380" s="31"/>
      <c r="AB380" s="74" t="s">
        <v>1591</v>
      </c>
      <c r="AC380" s="74"/>
    </row>
    <row r="381" ht="16.5" customHeight="1">
      <c r="A381" s="48" t="s">
        <v>1592</v>
      </c>
      <c r="B381" s="53" t="s">
        <v>1593</v>
      </c>
      <c r="C381" s="47">
        <v>0.0</v>
      </c>
      <c r="D381" s="70" t="s">
        <v>1594</v>
      </c>
      <c r="E381" s="55" t="s">
        <v>1595</v>
      </c>
      <c r="F381" s="32" t="s">
        <v>33</v>
      </c>
      <c r="G381" s="32" t="s">
        <v>34</v>
      </c>
      <c r="H381" s="71" t="s">
        <v>35</v>
      </c>
      <c r="I381" s="71" t="s">
        <v>36</v>
      </c>
      <c r="J381" s="34" t="s">
        <v>37</v>
      </c>
      <c r="K381" s="57" t="s">
        <v>1596</v>
      </c>
      <c r="L381" s="72">
        <v>9880.0</v>
      </c>
      <c r="M381" s="22"/>
      <c r="N381" s="76"/>
      <c r="O381" s="28">
        <v>45226.0</v>
      </c>
      <c r="P381" s="35" t="s">
        <v>1597</v>
      </c>
      <c r="Q381" s="12"/>
      <c r="R381" s="12"/>
      <c r="S381" s="12"/>
      <c r="T381" s="52">
        <v>45224.0</v>
      </c>
      <c r="U381" s="52">
        <v>45224.0</v>
      </c>
      <c r="V381" s="52">
        <v>45225.0</v>
      </c>
      <c r="W381" s="30"/>
      <c r="X381" s="30"/>
      <c r="Y381" s="31"/>
      <c r="Z381" s="31"/>
      <c r="AA381" s="31"/>
      <c r="AB381" s="74" t="s">
        <v>1598</v>
      </c>
      <c r="AC381" s="74"/>
    </row>
    <row r="382" ht="16.5" customHeight="1">
      <c r="A382" s="48" t="s">
        <v>1599</v>
      </c>
      <c r="B382" s="53" t="s">
        <v>498</v>
      </c>
      <c r="C382" s="47">
        <v>0.0</v>
      </c>
      <c r="D382" s="70" t="s">
        <v>1600</v>
      </c>
      <c r="E382" s="55" t="s">
        <v>213</v>
      </c>
      <c r="F382" s="32" t="s">
        <v>33</v>
      </c>
      <c r="G382" s="32" t="s">
        <v>34</v>
      </c>
      <c r="H382" s="71" t="s">
        <v>35</v>
      </c>
      <c r="I382" s="71" t="s">
        <v>36</v>
      </c>
      <c r="J382" s="34" t="s">
        <v>420</v>
      </c>
      <c r="K382" s="57" t="s">
        <v>38</v>
      </c>
      <c r="L382" s="72">
        <v>9879.0</v>
      </c>
      <c r="M382" s="27"/>
      <c r="N382" s="76"/>
      <c r="O382" s="28">
        <v>45226.0</v>
      </c>
      <c r="P382" s="26"/>
      <c r="Q382" s="12"/>
      <c r="R382" s="12"/>
      <c r="S382" s="12"/>
      <c r="T382" s="52">
        <v>45224.0</v>
      </c>
      <c r="U382" s="52">
        <v>45224.0</v>
      </c>
      <c r="V382" s="52">
        <v>45224.0</v>
      </c>
      <c r="W382" s="30"/>
      <c r="X382" s="30"/>
      <c r="Y382" s="31"/>
      <c r="Z382" s="31"/>
      <c r="AA382" s="31"/>
      <c r="AB382" s="74" t="s">
        <v>1601</v>
      </c>
      <c r="AC382" s="74"/>
    </row>
    <row r="383" ht="16.5" customHeight="1">
      <c r="A383" s="48" t="s">
        <v>1602</v>
      </c>
      <c r="B383" s="53" t="s">
        <v>1410</v>
      </c>
      <c r="C383" s="47">
        <v>0.0</v>
      </c>
      <c r="D383" s="70" t="s">
        <v>1603</v>
      </c>
      <c r="E383" s="55" t="s">
        <v>243</v>
      </c>
      <c r="F383" s="32" t="s">
        <v>244</v>
      </c>
      <c r="G383" s="32" t="s">
        <v>35</v>
      </c>
      <c r="H383" s="71" t="s">
        <v>35</v>
      </c>
      <c r="I383" s="71" t="s">
        <v>36</v>
      </c>
      <c r="J383" s="34" t="s">
        <v>65</v>
      </c>
      <c r="K383" s="57" t="s">
        <v>38</v>
      </c>
      <c r="L383" s="72">
        <v>9896.0</v>
      </c>
      <c r="M383" s="27"/>
      <c r="N383" s="76"/>
      <c r="O383" s="28">
        <v>45229.0</v>
      </c>
      <c r="P383" s="26"/>
      <c r="Q383" s="12"/>
      <c r="R383" s="12"/>
      <c r="S383" s="12"/>
      <c r="T383" s="52">
        <v>45224.0</v>
      </c>
      <c r="U383" s="52">
        <v>45225.0</v>
      </c>
      <c r="V383" s="52">
        <v>45229.0</v>
      </c>
      <c r="W383" s="30"/>
      <c r="X383" s="30"/>
      <c r="Y383" s="31"/>
      <c r="Z383" s="31"/>
      <c r="AA383" s="31"/>
      <c r="AB383" s="74" t="s">
        <v>1604</v>
      </c>
      <c r="AC383" s="74"/>
    </row>
    <row r="384" ht="16.5" customHeight="1">
      <c r="A384" s="48" t="s">
        <v>1605</v>
      </c>
      <c r="B384" s="53" t="s">
        <v>802</v>
      </c>
      <c r="C384" s="47">
        <v>0.0</v>
      </c>
      <c r="D384" s="70" t="s">
        <v>1606</v>
      </c>
      <c r="E384" s="55" t="s">
        <v>892</v>
      </c>
      <c r="F384" s="32" t="s">
        <v>244</v>
      </c>
      <c r="G384" s="32" t="s">
        <v>35</v>
      </c>
      <c r="H384" s="71" t="s">
        <v>35</v>
      </c>
      <c r="I384" s="71" t="s">
        <v>36</v>
      </c>
      <c r="J384" s="34" t="s">
        <v>718</v>
      </c>
      <c r="K384" s="57" t="s">
        <v>38</v>
      </c>
      <c r="L384" s="72">
        <v>9895.0</v>
      </c>
      <c r="M384" s="22"/>
      <c r="N384" s="76"/>
      <c r="O384" s="28">
        <v>45229.0</v>
      </c>
      <c r="P384" s="35" t="s">
        <v>1607</v>
      </c>
      <c r="Q384" s="12"/>
      <c r="R384" s="12"/>
      <c r="S384" s="12"/>
      <c r="T384" s="52">
        <v>45224.0</v>
      </c>
      <c r="U384" s="52">
        <v>45225.0</v>
      </c>
      <c r="V384" s="52">
        <v>45226.0</v>
      </c>
      <c r="W384" s="30"/>
      <c r="X384" s="30"/>
      <c r="Y384" s="31"/>
      <c r="Z384" s="31"/>
      <c r="AA384" s="31"/>
      <c r="AB384" s="74" t="s">
        <v>1608</v>
      </c>
      <c r="AC384" s="74"/>
    </row>
    <row r="385" ht="16.5" customHeight="1">
      <c r="A385" s="48" t="s">
        <v>1609</v>
      </c>
      <c r="B385" s="53" t="s">
        <v>1179</v>
      </c>
      <c r="C385" s="47">
        <v>0.0</v>
      </c>
      <c r="D385" s="70" t="s">
        <v>1610</v>
      </c>
      <c r="E385" s="55" t="s">
        <v>177</v>
      </c>
      <c r="F385" s="32" t="s">
        <v>48</v>
      </c>
      <c r="G385" s="32" t="s">
        <v>35</v>
      </c>
      <c r="H385" s="71" t="s">
        <v>35</v>
      </c>
      <c r="I385" s="71" t="s">
        <v>36</v>
      </c>
      <c r="J385" s="34" t="s">
        <v>65</v>
      </c>
      <c r="K385" s="57" t="s">
        <v>38</v>
      </c>
      <c r="L385" s="72" t="s">
        <v>1611</v>
      </c>
      <c r="M385" s="22"/>
      <c r="N385" s="73"/>
      <c r="O385" s="28">
        <v>45308.0</v>
      </c>
      <c r="P385" s="35" t="s">
        <v>1612</v>
      </c>
      <c r="Q385" s="12"/>
      <c r="R385" s="12"/>
      <c r="S385" s="12"/>
      <c r="T385" s="52">
        <v>45225.0</v>
      </c>
      <c r="U385" s="52">
        <v>45305.0</v>
      </c>
      <c r="V385" s="52">
        <v>45308.0</v>
      </c>
      <c r="W385" s="30"/>
      <c r="X385" s="30"/>
      <c r="Y385" s="31"/>
      <c r="Z385" s="31"/>
      <c r="AA385" s="31"/>
      <c r="AB385" s="74" t="s">
        <v>1613</v>
      </c>
      <c r="AC385" s="74"/>
    </row>
    <row r="386" ht="16.5" customHeight="1">
      <c r="A386" s="48" t="s">
        <v>1614</v>
      </c>
      <c r="B386" s="53" t="s">
        <v>1615</v>
      </c>
      <c r="C386" s="47">
        <v>0.0</v>
      </c>
      <c r="D386" s="70" t="s">
        <v>1616</v>
      </c>
      <c r="E386" s="55" t="s">
        <v>177</v>
      </c>
      <c r="F386" s="32" t="s">
        <v>48</v>
      </c>
      <c r="G386" s="32" t="s">
        <v>35</v>
      </c>
      <c r="H386" s="71" t="s">
        <v>35</v>
      </c>
      <c r="I386" s="71" t="s">
        <v>36</v>
      </c>
      <c r="J386" s="34" t="s">
        <v>92</v>
      </c>
      <c r="K386" s="57" t="s">
        <v>38</v>
      </c>
      <c r="L386" s="72" t="s">
        <v>1617</v>
      </c>
      <c r="M386" s="27"/>
      <c r="N386" s="73"/>
      <c r="O386" s="28">
        <v>45309.0</v>
      </c>
      <c r="P386" s="26"/>
      <c r="Q386" s="12"/>
      <c r="R386" s="12"/>
      <c r="S386" s="12"/>
      <c r="T386" s="52">
        <v>45225.0</v>
      </c>
      <c r="U386" s="52">
        <v>45306.0</v>
      </c>
      <c r="V386" s="52">
        <v>45309.0</v>
      </c>
      <c r="W386" s="30"/>
      <c r="X386" s="30"/>
      <c r="Y386" s="31"/>
      <c r="Z386" s="31"/>
      <c r="AA386" s="31"/>
      <c r="AB386" s="74" t="s">
        <v>1618</v>
      </c>
      <c r="AC386" s="74"/>
    </row>
    <row r="387" ht="16.5" customHeight="1">
      <c r="A387" s="48" t="s">
        <v>1619</v>
      </c>
      <c r="B387" s="53" t="s">
        <v>1615</v>
      </c>
      <c r="C387" s="47">
        <v>0.0</v>
      </c>
      <c r="D387" s="70" t="s">
        <v>1620</v>
      </c>
      <c r="E387" s="55" t="s">
        <v>177</v>
      </c>
      <c r="F387" s="32" t="s">
        <v>48</v>
      </c>
      <c r="G387" s="32" t="s">
        <v>35</v>
      </c>
      <c r="H387" s="71" t="s">
        <v>35</v>
      </c>
      <c r="I387" s="71" t="s">
        <v>36</v>
      </c>
      <c r="J387" s="34" t="s">
        <v>92</v>
      </c>
      <c r="K387" s="57" t="s">
        <v>38</v>
      </c>
      <c r="L387" s="72" t="s">
        <v>1617</v>
      </c>
      <c r="M387" s="27"/>
      <c r="N387" s="73"/>
      <c r="O387" s="28">
        <v>45309.0</v>
      </c>
      <c r="P387" s="26"/>
      <c r="Q387" s="12"/>
      <c r="R387" s="12"/>
      <c r="S387" s="12"/>
      <c r="T387" s="52">
        <v>45225.0</v>
      </c>
      <c r="U387" s="52">
        <v>45306.0</v>
      </c>
      <c r="V387" s="52">
        <v>45309.0</v>
      </c>
      <c r="W387" s="30"/>
      <c r="X387" s="30"/>
      <c r="Y387" s="31"/>
      <c r="Z387" s="31"/>
      <c r="AA387" s="31"/>
      <c r="AB387" s="74" t="s">
        <v>1621</v>
      </c>
      <c r="AC387" s="74"/>
    </row>
    <row r="388" ht="16.5" customHeight="1">
      <c r="A388" s="48" t="s">
        <v>1622</v>
      </c>
      <c r="B388" s="53" t="s">
        <v>1623</v>
      </c>
      <c r="C388" s="47">
        <v>0.0</v>
      </c>
      <c r="D388" s="70" t="s">
        <v>1624</v>
      </c>
      <c r="E388" s="55" t="s">
        <v>988</v>
      </c>
      <c r="F388" s="32" t="s">
        <v>33</v>
      </c>
      <c r="G388" s="32" t="s">
        <v>35</v>
      </c>
      <c r="H388" s="71" t="s">
        <v>35</v>
      </c>
      <c r="I388" s="71" t="s">
        <v>36</v>
      </c>
      <c r="J388" s="34" t="s">
        <v>37</v>
      </c>
      <c r="K388" s="57" t="s">
        <v>1625</v>
      </c>
      <c r="L388" s="72">
        <v>9894.0</v>
      </c>
      <c r="M388" s="27"/>
      <c r="N388" s="76"/>
      <c r="O388" s="28">
        <v>45229.0</v>
      </c>
      <c r="P388" s="26"/>
      <c r="Q388" s="12"/>
      <c r="R388" s="12"/>
      <c r="S388" s="12"/>
      <c r="T388" s="52">
        <v>45225.0</v>
      </c>
      <c r="U388" s="52">
        <v>45226.0</v>
      </c>
      <c r="V388" s="52">
        <v>45229.0</v>
      </c>
      <c r="W388" s="30"/>
      <c r="X388" s="30"/>
      <c r="Y388" s="31"/>
      <c r="Z388" s="31"/>
      <c r="AA388" s="31"/>
      <c r="AB388" s="74" t="s">
        <v>1626</v>
      </c>
      <c r="AC388" s="74"/>
    </row>
    <row r="389" ht="16.5" customHeight="1">
      <c r="A389" s="48" t="s">
        <v>1627</v>
      </c>
      <c r="B389" s="53" t="s">
        <v>1628</v>
      </c>
      <c r="C389" s="47">
        <v>0.0</v>
      </c>
      <c r="D389" s="70" t="s">
        <v>1629</v>
      </c>
      <c r="E389" s="55" t="s">
        <v>1630</v>
      </c>
      <c r="F389" s="32" t="s">
        <v>244</v>
      </c>
      <c r="G389" s="32" t="s">
        <v>35</v>
      </c>
      <c r="H389" s="71" t="s">
        <v>35</v>
      </c>
      <c r="I389" s="71" t="s">
        <v>36</v>
      </c>
      <c r="J389" s="34" t="s">
        <v>37</v>
      </c>
      <c r="K389" s="57" t="s">
        <v>142</v>
      </c>
      <c r="L389" s="72">
        <v>10023.0</v>
      </c>
      <c r="M389" s="22"/>
      <c r="N389" s="76"/>
      <c r="O389" s="28">
        <v>45259.0</v>
      </c>
      <c r="P389" s="35" t="s">
        <v>1631</v>
      </c>
      <c r="Q389" s="12"/>
      <c r="R389" s="12"/>
      <c r="S389" s="12"/>
      <c r="T389" s="52">
        <v>45225.0</v>
      </c>
      <c r="U389" s="52">
        <v>45247.0</v>
      </c>
      <c r="V389" s="52">
        <v>45258.0</v>
      </c>
      <c r="W389" s="30"/>
      <c r="X389" s="30"/>
      <c r="Y389" s="31"/>
      <c r="Z389" s="31"/>
      <c r="AA389" s="31"/>
      <c r="AB389" s="74" t="s">
        <v>1632</v>
      </c>
      <c r="AC389" s="74"/>
    </row>
    <row r="390" ht="16.5" customHeight="1">
      <c r="A390" s="48" t="s">
        <v>1633</v>
      </c>
      <c r="B390" s="53" t="s">
        <v>1634</v>
      </c>
      <c r="C390" s="47">
        <v>0.0</v>
      </c>
      <c r="D390" s="70" t="s">
        <v>1635</v>
      </c>
      <c r="E390" s="55" t="s">
        <v>184</v>
      </c>
      <c r="F390" s="32" t="s">
        <v>48</v>
      </c>
      <c r="G390" s="32" t="s">
        <v>35</v>
      </c>
      <c r="H390" s="71" t="s">
        <v>35</v>
      </c>
      <c r="I390" s="71" t="s">
        <v>36</v>
      </c>
      <c r="J390" s="34" t="s">
        <v>37</v>
      </c>
      <c r="K390" s="57" t="s">
        <v>1636</v>
      </c>
      <c r="L390" s="72">
        <v>10328.0</v>
      </c>
      <c r="M390" s="22"/>
      <c r="N390" s="73"/>
      <c r="O390" s="28">
        <v>45323.0</v>
      </c>
      <c r="P390" s="35" t="s">
        <v>1637</v>
      </c>
      <c r="Q390" s="12"/>
      <c r="R390" s="12"/>
      <c r="S390" s="12"/>
      <c r="T390" s="52">
        <v>45225.0</v>
      </c>
      <c r="U390" s="52">
        <v>45320.0</v>
      </c>
      <c r="V390" s="52">
        <v>45323.0</v>
      </c>
      <c r="W390" s="30"/>
      <c r="X390" s="30"/>
      <c r="Y390" s="31"/>
      <c r="Z390" s="31"/>
      <c r="AA390" s="31"/>
      <c r="AB390" s="74" t="s">
        <v>1638</v>
      </c>
      <c r="AC390" s="74"/>
    </row>
    <row r="391" ht="16.5" customHeight="1">
      <c r="A391" s="48" t="s">
        <v>1639</v>
      </c>
      <c r="B391" s="53" t="s">
        <v>1640</v>
      </c>
      <c r="C391" s="47">
        <v>0.0</v>
      </c>
      <c r="D391" s="70"/>
      <c r="E391" s="55" t="s">
        <v>177</v>
      </c>
      <c r="F391" s="32" t="s">
        <v>48</v>
      </c>
      <c r="G391" s="32" t="s">
        <v>35</v>
      </c>
      <c r="H391" s="71" t="s">
        <v>35</v>
      </c>
      <c r="I391" s="71" t="s">
        <v>665</v>
      </c>
      <c r="J391" s="34" t="s">
        <v>37</v>
      </c>
      <c r="K391" s="57" t="s">
        <v>1636</v>
      </c>
      <c r="L391" s="72">
        <v>10267.0</v>
      </c>
      <c r="M391" s="22"/>
      <c r="N391" s="73"/>
      <c r="O391" s="28">
        <v>45310.0</v>
      </c>
      <c r="P391" s="35" t="s">
        <v>1641</v>
      </c>
      <c r="Q391" s="12"/>
      <c r="R391" s="12"/>
      <c r="S391" s="12"/>
      <c r="T391" s="52">
        <v>45225.0</v>
      </c>
      <c r="U391" s="52">
        <v>45307.0</v>
      </c>
      <c r="V391" s="52">
        <v>45310.0</v>
      </c>
      <c r="W391" s="30"/>
      <c r="X391" s="30"/>
      <c r="Y391" s="31"/>
      <c r="Z391" s="31"/>
      <c r="AA391" s="31"/>
      <c r="AB391" s="74" t="s">
        <v>1642</v>
      </c>
      <c r="AC391" s="74"/>
    </row>
    <row r="392" ht="16.5" customHeight="1">
      <c r="A392" s="48" t="s">
        <v>1643</v>
      </c>
      <c r="B392" s="53" t="s">
        <v>169</v>
      </c>
      <c r="C392" s="47">
        <v>0.0</v>
      </c>
      <c r="D392" s="70" t="s">
        <v>1644</v>
      </c>
      <c r="E392" s="55" t="s">
        <v>453</v>
      </c>
      <c r="F392" s="32" t="s">
        <v>244</v>
      </c>
      <c r="G392" s="32" t="s">
        <v>35</v>
      </c>
      <c r="H392" s="71" t="s">
        <v>35</v>
      </c>
      <c r="I392" s="71" t="s">
        <v>36</v>
      </c>
      <c r="J392" s="34" t="s">
        <v>65</v>
      </c>
      <c r="K392" s="57" t="s">
        <v>38</v>
      </c>
      <c r="L392" s="72">
        <v>9907.0</v>
      </c>
      <c r="M392" s="27"/>
      <c r="N392" s="73"/>
      <c r="O392" s="28">
        <v>45236.0</v>
      </c>
      <c r="P392" s="26"/>
      <c r="Q392" s="12"/>
      <c r="R392" s="12"/>
      <c r="S392" s="12"/>
      <c r="T392" s="52">
        <v>45225.0</v>
      </c>
      <c r="U392" s="52">
        <v>45226.0</v>
      </c>
      <c r="V392" s="52">
        <v>45231.0</v>
      </c>
      <c r="W392" s="30"/>
      <c r="X392" s="30"/>
      <c r="Y392" s="31"/>
      <c r="Z392" s="31"/>
      <c r="AA392" s="31"/>
      <c r="AB392" s="74" t="s">
        <v>1645</v>
      </c>
      <c r="AC392" s="74"/>
    </row>
    <row r="393" ht="16.5" customHeight="1">
      <c r="A393" s="48" t="s">
        <v>1646</v>
      </c>
      <c r="B393" s="53" t="s">
        <v>1647</v>
      </c>
      <c r="C393" s="47">
        <v>0.0</v>
      </c>
      <c r="D393" s="70" t="s">
        <v>1648</v>
      </c>
      <c r="E393" s="55" t="s">
        <v>177</v>
      </c>
      <c r="F393" s="32" t="s">
        <v>48</v>
      </c>
      <c r="G393" s="32" t="s">
        <v>35</v>
      </c>
      <c r="H393" s="71" t="s">
        <v>35</v>
      </c>
      <c r="I393" s="71" t="s">
        <v>36</v>
      </c>
      <c r="J393" s="34" t="s">
        <v>339</v>
      </c>
      <c r="K393" s="57" t="s">
        <v>38</v>
      </c>
      <c r="L393" s="72">
        <v>10252.0</v>
      </c>
      <c r="M393" s="22"/>
      <c r="N393" s="73"/>
      <c r="O393" s="28">
        <v>45309.0</v>
      </c>
      <c r="P393" s="35" t="s">
        <v>1649</v>
      </c>
      <c r="Q393" s="12"/>
      <c r="R393" s="12"/>
      <c r="S393" s="12"/>
      <c r="T393" s="52">
        <v>45225.0</v>
      </c>
      <c r="U393" s="52">
        <v>45306.0</v>
      </c>
      <c r="V393" s="52">
        <v>45309.0</v>
      </c>
      <c r="W393" s="30"/>
      <c r="X393" s="30"/>
      <c r="Y393" s="31"/>
      <c r="Z393" s="31"/>
      <c r="AA393" s="31"/>
      <c r="AB393" s="74" t="s">
        <v>1650</v>
      </c>
      <c r="AC393" s="74"/>
    </row>
    <row r="394" ht="16.5" customHeight="1">
      <c r="A394" s="48" t="s">
        <v>1651</v>
      </c>
      <c r="B394" s="53" t="s">
        <v>1652</v>
      </c>
      <c r="C394" s="47">
        <v>0.0</v>
      </c>
      <c r="D394" s="70" t="s">
        <v>1653</v>
      </c>
      <c r="E394" s="55" t="s">
        <v>213</v>
      </c>
      <c r="F394" s="32" t="s">
        <v>33</v>
      </c>
      <c r="G394" s="32" t="s">
        <v>35</v>
      </c>
      <c r="H394" s="71" t="s">
        <v>35</v>
      </c>
      <c r="I394" s="71" t="s">
        <v>36</v>
      </c>
      <c r="J394" s="34" t="s">
        <v>339</v>
      </c>
      <c r="K394" s="57" t="s">
        <v>38</v>
      </c>
      <c r="L394" s="72">
        <v>9945.0</v>
      </c>
      <c r="M394" s="22"/>
      <c r="N394" s="76"/>
      <c r="O394" s="28">
        <v>45243.0</v>
      </c>
      <c r="P394" s="35" t="s">
        <v>1654</v>
      </c>
      <c r="Q394" s="12"/>
      <c r="R394" s="12"/>
      <c r="S394" s="12"/>
      <c r="T394" s="52">
        <v>45225.0</v>
      </c>
      <c r="U394" s="52">
        <v>45229.0</v>
      </c>
      <c r="V394" s="52">
        <v>45240.0</v>
      </c>
      <c r="W394" s="30"/>
      <c r="X394" s="30"/>
      <c r="Y394" s="31"/>
      <c r="Z394" s="31"/>
      <c r="AA394" s="31"/>
      <c r="AB394" s="74" t="s">
        <v>1655</v>
      </c>
      <c r="AC394" s="74"/>
    </row>
    <row r="395" ht="16.5" customHeight="1">
      <c r="A395" s="48" t="s">
        <v>1656</v>
      </c>
      <c r="B395" s="53" t="s">
        <v>818</v>
      </c>
      <c r="C395" s="47">
        <v>0.0</v>
      </c>
      <c r="D395" s="70" t="s">
        <v>1657</v>
      </c>
      <c r="E395" s="55" t="s">
        <v>171</v>
      </c>
      <c r="F395" s="32" t="s">
        <v>48</v>
      </c>
      <c r="G395" s="32" t="s">
        <v>35</v>
      </c>
      <c r="H395" s="71" t="s">
        <v>35</v>
      </c>
      <c r="I395" s="71" t="s">
        <v>36</v>
      </c>
      <c r="J395" s="34" t="s">
        <v>49</v>
      </c>
      <c r="K395" s="57" t="s">
        <v>38</v>
      </c>
      <c r="L395" s="72">
        <v>10254.0</v>
      </c>
      <c r="M395" s="22"/>
      <c r="N395" s="73"/>
      <c r="O395" s="28">
        <v>45309.0</v>
      </c>
      <c r="P395" s="35" t="s">
        <v>1658</v>
      </c>
      <c r="Q395" s="12"/>
      <c r="R395" s="12"/>
      <c r="S395" s="12"/>
      <c r="T395" s="52">
        <v>45225.0</v>
      </c>
      <c r="U395" s="52">
        <v>45306.0</v>
      </c>
      <c r="V395" s="52">
        <v>45309.0</v>
      </c>
      <c r="W395" s="30"/>
      <c r="X395" s="30"/>
      <c r="Y395" s="31"/>
      <c r="Z395" s="31"/>
      <c r="AA395" s="31"/>
      <c r="AB395" s="74" t="s">
        <v>1659</v>
      </c>
      <c r="AC395" s="74"/>
    </row>
    <row r="396" ht="16.5" customHeight="1">
      <c r="A396" s="48" t="s">
        <v>1660</v>
      </c>
      <c r="B396" s="53" t="s">
        <v>818</v>
      </c>
      <c r="C396" s="47">
        <v>0.0</v>
      </c>
      <c r="D396" s="70" t="s">
        <v>1661</v>
      </c>
      <c r="E396" s="55" t="s">
        <v>171</v>
      </c>
      <c r="F396" s="32" t="s">
        <v>48</v>
      </c>
      <c r="G396" s="32" t="s">
        <v>35</v>
      </c>
      <c r="H396" s="71" t="s">
        <v>35</v>
      </c>
      <c r="I396" s="71" t="s">
        <v>36</v>
      </c>
      <c r="J396" s="34" t="s">
        <v>49</v>
      </c>
      <c r="K396" s="57" t="s">
        <v>38</v>
      </c>
      <c r="L396" s="72">
        <v>10254.0</v>
      </c>
      <c r="M396" s="22"/>
      <c r="N396" s="73"/>
      <c r="O396" s="28">
        <v>45309.0</v>
      </c>
      <c r="P396" s="35" t="s">
        <v>1658</v>
      </c>
      <c r="Q396" s="12"/>
      <c r="R396" s="12"/>
      <c r="S396" s="12"/>
      <c r="T396" s="52">
        <v>45225.0</v>
      </c>
      <c r="U396" s="52">
        <v>45306.0</v>
      </c>
      <c r="V396" s="52">
        <v>45309.0</v>
      </c>
      <c r="W396" s="30"/>
      <c r="X396" s="30"/>
      <c r="Y396" s="31"/>
      <c r="Z396" s="31"/>
      <c r="AA396" s="31"/>
      <c r="AB396" s="74" t="s">
        <v>1662</v>
      </c>
      <c r="AC396" s="74"/>
    </row>
    <row r="397" ht="16.5" customHeight="1">
      <c r="A397" s="48" t="s">
        <v>1663</v>
      </c>
      <c r="B397" s="53" t="s">
        <v>818</v>
      </c>
      <c r="C397" s="47">
        <v>0.0</v>
      </c>
      <c r="D397" s="70" t="s">
        <v>1664</v>
      </c>
      <c r="E397" s="55" t="s">
        <v>171</v>
      </c>
      <c r="F397" s="32" t="s">
        <v>48</v>
      </c>
      <c r="G397" s="32" t="s">
        <v>35</v>
      </c>
      <c r="H397" s="71" t="s">
        <v>35</v>
      </c>
      <c r="I397" s="71" t="s">
        <v>36</v>
      </c>
      <c r="J397" s="34" t="s">
        <v>49</v>
      </c>
      <c r="K397" s="57" t="s">
        <v>38</v>
      </c>
      <c r="L397" s="72">
        <v>10254.0</v>
      </c>
      <c r="M397" s="22"/>
      <c r="N397" s="73"/>
      <c r="O397" s="28">
        <v>45309.0</v>
      </c>
      <c r="P397" s="35" t="s">
        <v>1658</v>
      </c>
      <c r="Q397" s="12"/>
      <c r="R397" s="12"/>
      <c r="S397" s="12"/>
      <c r="T397" s="52">
        <v>45225.0</v>
      </c>
      <c r="U397" s="52">
        <v>45306.0</v>
      </c>
      <c r="V397" s="52">
        <v>45309.0</v>
      </c>
      <c r="W397" s="30"/>
      <c r="X397" s="30"/>
      <c r="Y397" s="31"/>
      <c r="Z397" s="31"/>
      <c r="AA397" s="31"/>
      <c r="AB397" s="74" t="s">
        <v>1665</v>
      </c>
      <c r="AC397" s="74"/>
    </row>
    <row r="398" ht="16.5" customHeight="1">
      <c r="A398" s="48" t="s">
        <v>1666</v>
      </c>
      <c r="B398" s="53" t="s">
        <v>818</v>
      </c>
      <c r="C398" s="47">
        <v>0.0</v>
      </c>
      <c r="D398" s="70" t="s">
        <v>1667</v>
      </c>
      <c r="E398" s="55" t="s">
        <v>177</v>
      </c>
      <c r="F398" s="32" t="s">
        <v>48</v>
      </c>
      <c r="G398" s="32" t="s">
        <v>35</v>
      </c>
      <c r="H398" s="71" t="s">
        <v>35</v>
      </c>
      <c r="I398" s="71" t="s">
        <v>36</v>
      </c>
      <c r="J398" s="34" t="s">
        <v>49</v>
      </c>
      <c r="K398" s="57" t="s">
        <v>38</v>
      </c>
      <c r="L398" s="72">
        <v>10254.0</v>
      </c>
      <c r="M398" s="22"/>
      <c r="N398" s="73"/>
      <c r="O398" s="28">
        <v>45309.0</v>
      </c>
      <c r="P398" s="35" t="s">
        <v>1658</v>
      </c>
      <c r="Q398" s="12"/>
      <c r="R398" s="12"/>
      <c r="S398" s="12"/>
      <c r="T398" s="52">
        <v>45225.0</v>
      </c>
      <c r="U398" s="52">
        <v>45306.0</v>
      </c>
      <c r="V398" s="52">
        <v>45309.0</v>
      </c>
      <c r="W398" s="30"/>
      <c r="X398" s="30"/>
      <c r="Y398" s="31"/>
      <c r="Z398" s="31"/>
      <c r="AA398" s="31"/>
      <c r="AB398" s="74" t="s">
        <v>1668</v>
      </c>
      <c r="AC398" s="74"/>
    </row>
    <row r="399" ht="16.5" customHeight="1">
      <c r="A399" s="48" t="s">
        <v>1669</v>
      </c>
      <c r="B399" s="53" t="s">
        <v>818</v>
      </c>
      <c r="C399" s="47">
        <v>0.0</v>
      </c>
      <c r="D399" s="70" t="s">
        <v>1670</v>
      </c>
      <c r="E399" s="55" t="s">
        <v>177</v>
      </c>
      <c r="F399" s="32" t="s">
        <v>48</v>
      </c>
      <c r="G399" s="32" t="s">
        <v>35</v>
      </c>
      <c r="H399" s="71" t="s">
        <v>35</v>
      </c>
      <c r="I399" s="71" t="s">
        <v>36</v>
      </c>
      <c r="J399" s="34" t="s">
        <v>49</v>
      </c>
      <c r="K399" s="57" t="s">
        <v>38</v>
      </c>
      <c r="L399" s="72">
        <v>10254.0</v>
      </c>
      <c r="M399" s="22"/>
      <c r="N399" s="73"/>
      <c r="O399" s="28">
        <v>45309.0</v>
      </c>
      <c r="P399" s="35" t="s">
        <v>1658</v>
      </c>
      <c r="Q399" s="12"/>
      <c r="R399" s="12"/>
      <c r="S399" s="12"/>
      <c r="T399" s="52">
        <v>45225.0</v>
      </c>
      <c r="U399" s="52">
        <v>45306.0</v>
      </c>
      <c r="V399" s="52">
        <v>45309.0</v>
      </c>
      <c r="W399" s="30"/>
      <c r="X399" s="30"/>
      <c r="Y399" s="31"/>
      <c r="Z399" s="31"/>
      <c r="AA399" s="31"/>
      <c r="AB399" s="74" t="s">
        <v>1671</v>
      </c>
      <c r="AC399" s="74"/>
    </row>
    <row r="400" ht="16.5" customHeight="1">
      <c r="A400" s="48" t="s">
        <v>1672</v>
      </c>
      <c r="B400" s="53" t="s">
        <v>818</v>
      </c>
      <c r="C400" s="47">
        <v>0.0</v>
      </c>
      <c r="D400" s="70" t="s">
        <v>1673</v>
      </c>
      <c r="E400" s="55" t="s">
        <v>177</v>
      </c>
      <c r="F400" s="32" t="s">
        <v>48</v>
      </c>
      <c r="G400" s="32" t="s">
        <v>35</v>
      </c>
      <c r="H400" s="71" t="s">
        <v>35</v>
      </c>
      <c r="I400" s="71" t="s">
        <v>36</v>
      </c>
      <c r="J400" s="34" t="s">
        <v>49</v>
      </c>
      <c r="K400" s="57" t="s">
        <v>38</v>
      </c>
      <c r="L400" s="72">
        <v>10254.0</v>
      </c>
      <c r="M400" s="22"/>
      <c r="N400" s="73"/>
      <c r="O400" s="28">
        <v>45309.0</v>
      </c>
      <c r="P400" s="35" t="s">
        <v>1658</v>
      </c>
      <c r="Q400" s="12"/>
      <c r="R400" s="12"/>
      <c r="S400" s="12"/>
      <c r="T400" s="52">
        <v>45225.0</v>
      </c>
      <c r="U400" s="52">
        <v>45306.0</v>
      </c>
      <c r="V400" s="52">
        <v>45309.0</v>
      </c>
      <c r="W400" s="30"/>
      <c r="X400" s="30"/>
      <c r="Y400" s="31"/>
      <c r="Z400" s="31"/>
      <c r="AA400" s="31"/>
      <c r="AB400" s="74" t="s">
        <v>1674</v>
      </c>
      <c r="AC400" s="74"/>
    </row>
    <row r="401" ht="16.5" customHeight="1">
      <c r="A401" s="48" t="s">
        <v>1675</v>
      </c>
      <c r="B401" s="53" t="s">
        <v>1676</v>
      </c>
      <c r="C401" s="47">
        <v>0.0</v>
      </c>
      <c r="D401" s="70" t="s">
        <v>1677</v>
      </c>
      <c r="E401" s="55" t="s">
        <v>184</v>
      </c>
      <c r="F401" s="32" t="s">
        <v>48</v>
      </c>
      <c r="G401" s="32" t="s">
        <v>35</v>
      </c>
      <c r="H401" s="71" t="s">
        <v>35</v>
      </c>
      <c r="I401" s="71" t="s">
        <v>36</v>
      </c>
      <c r="J401" s="34" t="s">
        <v>65</v>
      </c>
      <c r="K401" s="57" t="s">
        <v>38</v>
      </c>
      <c r="L401" s="72">
        <v>10253.0</v>
      </c>
      <c r="M401" s="22"/>
      <c r="N401" s="73"/>
      <c r="O401" s="28">
        <v>45310.0</v>
      </c>
      <c r="P401" s="35" t="s">
        <v>1678</v>
      </c>
      <c r="Q401" s="12"/>
      <c r="R401" s="12"/>
      <c r="S401" s="12"/>
      <c r="T401" s="52">
        <v>45226.0</v>
      </c>
      <c r="U401" s="52">
        <v>45307.0</v>
      </c>
      <c r="V401" s="52">
        <v>45310.0</v>
      </c>
      <c r="W401" s="30"/>
      <c r="X401" s="30"/>
      <c r="Y401" s="31"/>
      <c r="Z401" s="31"/>
      <c r="AA401" s="31"/>
      <c r="AB401" s="74" t="s">
        <v>1679</v>
      </c>
      <c r="AC401" s="74"/>
    </row>
    <row r="402" ht="16.5" customHeight="1">
      <c r="A402" s="48" t="s">
        <v>1680</v>
      </c>
      <c r="B402" s="53" t="s">
        <v>1681</v>
      </c>
      <c r="C402" s="47">
        <v>0.0</v>
      </c>
      <c r="D402" s="70"/>
      <c r="E402" s="55" t="s">
        <v>1682</v>
      </c>
      <c r="F402" s="32" t="s">
        <v>244</v>
      </c>
      <c r="G402" s="32" t="s">
        <v>35</v>
      </c>
      <c r="H402" s="71" t="s">
        <v>35</v>
      </c>
      <c r="I402" s="71" t="s">
        <v>36</v>
      </c>
      <c r="J402" s="34" t="s">
        <v>92</v>
      </c>
      <c r="K402" s="57" t="s">
        <v>38</v>
      </c>
      <c r="L402" s="72">
        <v>9893.0</v>
      </c>
      <c r="M402" s="22"/>
      <c r="N402" s="76"/>
      <c r="O402" s="28">
        <v>45229.0</v>
      </c>
      <c r="P402" s="35" t="s">
        <v>1683</v>
      </c>
      <c r="Q402" s="12"/>
      <c r="R402" s="12"/>
      <c r="S402" s="12"/>
      <c r="T402" s="52">
        <v>45226.0</v>
      </c>
      <c r="U402" s="52">
        <v>45226.0</v>
      </c>
      <c r="V402" s="52">
        <v>45229.0</v>
      </c>
      <c r="W402" s="30"/>
      <c r="X402" s="30"/>
      <c r="Y402" s="31"/>
      <c r="Z402" s="31"/>
      <c r="AA402" s="31"/>
      <c r="AB402" s="74" t="s">
        <v>1684</v>
      </c>
      <c r="AC402" s="74"/>
    </row>
    <row r="403" ht="16.5" customHeight="1">
      <c r="A403" s="48" t="s">
        <v>1685</v>
      </c>
      <c r="B403" s="53" t="s">
        <v>1686</v>
      </c>
      <c r="C403" s="47">
        <v>0.0</v>
      </c>
      <c r="D403" s="70" t="s">
        <v>1687</v>
      </c>
      <c r="E403" s="55" t="s">
        <v>338</v>
      </c>
      <c r="F403" s="32" t="s">
        <v>33</v>
      </c>
      <c r="G403" s="32" t="s">
        <v>35</v>
      </c>
      <c r="H403" s="71" t="s">
        <v>35</v>
      </c>
      <c r="I403" s="71" t="s">
        <v>36</v>
      </c>
      <c r="J403" s="34" t="s">
        <v>37</v>
      </c>
      <c r="K403" s="57" t="s">
        <v>1688</v>
      </c>
      <c r="L403" s="72">
        <v>9906.0</v>
      </c>
      <c r="M403" s="27"/>
      <c r="N403" s="76"/>
      <c r="O403" s="28">
        <v>45231.0</v>
      </c>
      <c r="P403" s="26"/>
      <c r="Q403" s="12"/>
      <c r="R403" s="12"/>
      <c r="S403" s="12"/>
      <c r="T403" s="52">
        <v>45226.0</v>
      </c>
      <c r="U403" s="52">
        <v>45226.0</v>
      </c>
      <c r="V403" s="52">
        <v>45229.0</v>
      </c>
      <c r="W403" s="30"/>
      <c r="X403" s="30"/>
      <c r="Y403" s="31"/>
      <c r="Z403" s="31"/>
      <c r="AA403" s="31"/>
      <c r="AB403" s="74" t="s">
        <v>1689</v>
      </c>
      <c r="AC403" s="74"/>
    </row>
    <row r="404" ht="16.5" customHeight="1">
      <c r="A404" s="48" t="s">
        <v>1690</v>
      </c>
      <c r="B404" s="53" t="s">
        <v>1691</v>
      </c>
      <c r="C404" s="47">
        <v>0.0</v>
      </c>
      <c r="D404" s="70" t="s">
        <v>1692</v>
      </c>
      <c r="E404" s="55" t="s">
        <v>1693</v>
      </c>
      <c r="F404" s="32" t="s">
        <v>48</v>
      </c>
      <c r="G404" s="32" t="s">
        <v>35</v>
      </c>
      <c r="H404" s="71" t="s">
        <v>35</v>
      </c>
      <c r="I404" s="71" t="s">
        <v>36</v>
      </c>
      <c r="J404" s="34" t="s">
        <v>65</v>
      </c>
      <c r="K404" s="57" t="s">
        <v>38</v>
      </c>
      <c r="L404" s="72" t="s">
        <v>1694</v>
      </c>
      <c r="M404" s="27"/>
      <c r="N404" s="73"/>
      <c r="O404" s="28">
        <v>45308.0</v>
      </c>
      <c r="P404" s="26"/>
      <c r="Q404" s="12"/>
      <c r="R404" s="12"/>
      <c r="S404" s="12"/>
      <c r="T404" s="52">
        <v>45226.0</v>
      </c>
      <c r="U404" s="52">
        <v>45305.0</v>
      </c>
      <c r="V404" s="52">
        <v>45308.0</v>
      </c>
      <c r="W404" s="30"/>
      <c r="X404" s="30"/>
      <c r="Y404" s="31"/>
      <c r="Z404" s="31"/>
      <c r="AA404" s="31"/>
      <c r="AB404" s="74" t="s">
        <v>1695</v>
      </c>
      <c r="AC404" s="74"/>
    </row>
    <row r="405" ht="16.5" customHeight="1">
      <c r="A405" s="48" t="s">
        <v>1696</v>
      </c>
      <c r="B405" s="53" t="s">
        <v>1697</v>
      </c>
      <c r="C405" s="47">
        <v>0.0</v>
      </c>
      <c r="D405" s="70" t="s">
        <v>1698</v>
      </c>
      <c r="E405" s="55" t="s">
        <v>243</v>
      </c>
      <c r="F405" s="32" t="s">
        <v>244</v>
      </c>
      <c r="G405" s="32" t="s">
        <v>35</v>
      </c>
      <c r="H405" s="71" t="s">
        <v>35</v>
      </c>
      <c r="I405" s="71" t="s">
        <v>36</v>
      </c>
      <c r="J405" s="34" t="s">
        <v>65</v>
      </c>
      <c r="K405" s="57" t="s">
        <v>38</v>
      </c>
      <c r="L405" s="72">
        <v>9925.0</v>
      </c>
      <c r="M405" s="27"/>
      <c r="N405" s="73"/>
      <c r="O405" s="28">
        <v>45238.0</v>
      </c>
      <c r="P405" s="26"/>
      <c r="Q405" s="12"/>
      <c r="R405" s="12"/>
      <c r="S405" s="12"/>
      <c r="T405" s="52">
        <v>45229.0</v>
      </c>
      <c r="U405" s="52">
        <v>45229.0</v>
      </c>
      <c r="V405" s="52">
        <v>45236.0</v>
      </c>
      <c r="W405" s="30"/>
      <c r="X405" s="30"/>
      <c r="Y405" s="31"/>
      <c r="Z405" s="31"/>
      <c r="AA405" s="31"/>
      <c r="AB405" s="74" t="s">
        <v>1699</v>
      </c>
      <c r="AC405" s="74"/>
    </row>
    <row r="406" ht="16.5" customHeight="1">
      <c r="A406" s="48" t="s">
        <v>1700</v>
      </c>
      <c r="B406" s="53" t="s">
        <v>1701</v>
      </c>
      <c r="C406" s="47">
        <v>0.0</v>
      </c>
      <c r="D406" s="70" t="s">
        <v>1702</v>
      </c>
      <c r="E406" s="55" t="s">
        <v>506</v>
      </c>
      <c r="F406" s="32" t="s">
        <v>33</v>
      </c>
      <c r="G406" s="32" t="s">
        <v>35</v>
      </c>
      <c r="H406" s="71" t="s">
        <v>35</v>
      </c>
      <c r="I406" s="71" t="s">
        <v>36</v>
      </c>
      <c r="J406" s="34" t="s">
        <v>1703</v>
      </c>
      <c r="K406" s="57" t="s">
        <v>38</v>
      </c>
      <c r="L406" s="72">
        <v>9904.0</v>
      </c>
      <c r="M406" s="22"/>
      <c r="N406" s="73"/>
      <c r="O406" s="28">
        <v>45231.0</v>
      </c>
      <c r="P406" s="35" t="s">
        <v>1704</v>
      </c>
      <c r="Q406" s="12"/>
      <c r="R406" s="12"/>
      <c r="S406" s="12"/>
      <c r="T406" s="52">
        <v>45229.0</v>
      </c>
      <c r="U406" s="52">
        <v>45229.0</v>
      </c>
      <c r="V406" s="52">
        <v>45231.0</v>
      </c>
      <c r="W406" s="30"/>
      <c r="X406" s="30"/>
      <c r="Y406" s="31"/>
      <c r="Z406" s="31"/>
      <c r="AA406" s="31"/>
      <c r="AB406" s="74" t="s">
        <v>1705</v>
      </c>
      <c r="AC406" s="74"/>
    </row>
    <row r="407" ht="16.5" customHeight="1">
      <c r="A407" s="48" t="s">
        <v>1706</v>
      </c>
      <c r="B407" s="53" t="s">
        <v>1414</v>
      </c>
      <c r="C407" s="47">
        <v>0.0</v>
      </c>
      <c r="D407" s="70" t="s">
        <v>1707</v>
      </c>
      <c r="E407" s="55" t="s">
        <v>1119</v>
      </c>
      <c r="F407" s="32" t="s">
        <v>33</v>
      </c>
      <c r="G407" s="32" t="s">
        <v>35</v>
      </c>
      <c r="H407" s="71" t="s">
        <v>35</v>
      </c>
      <c r="I407" s="71" t="s">
        <v>36</v>
      </c>
      <c r="J407" s="34" t="s">
        <v>37</v>
      </c>
      <c r="K407" s="57" t="s">
        <v>38</v>
      </c>
      <c r="L407" s="72">
        <v>9956.0</v>
      </c>
      <c r="M407" s="22"/>
      <c r="N407" s="76"/>
      <c r="O407" s="28">
        <v>45244.0</v>
      </c>
      <c r="P407" s="35" t="s">
        <v>1708</v>
      </c>
      <c r="Q407" s="12"/>
      <c r="R407" s="12"/>
      <c r="S407" s="12"/>
      <c r="T407" s="52">
        <v>45229.0</v>
      </c>
      <c r="U407" s="52">
        <v>45237.0</v>
      </c>
      <c r="V407" s="52">
        <v>45244.0</v>
      </c>
      <c r="W407" s="30"/>
      <c r="X407" s="30"/>
      <c r="Y407" s="31"/>
      <c r="Z407" s="31"/>
      <c r="AA407" s="31"/>
      <c r="AB407" s="74" t="s">
        <v>1709</v>
      </c>
      <c r="AC407" s="74"/>
    </row>
    <row r="408" ht="16.5" customHeight="1">
      <c r="A408" s="48" t="s">
        <v>1710</v>
      </c>
      <c r="B408" s="53" t="s">
        <v>1414</v>
      </c>
      <c r="C408" s="47">
        <v>0.0</v>
      </c>
      <c r="D408" s="70" t="s">
        <v>1711</v>
      </c>
      <c r="E408" s="55" t="s">
        <v>1119</v>
      </c>
      <c r="F408" s="32" t="s">
        <v>33</v>
      </c>
      <c r="G408" s="32" t="s">
        <v>35</v>
      </c>
      <c r="H408" s="71" t="s">
        <v>35</v>
      </c>
      <c r="I408" s="71" t="s">
        <v>36</v>
      </c>
      <c r="J408" s="34" t="s">
        <v>37</v>
      </c>
      <c r="K408" s="57" t="s">
        <v>38</v>
      </c>
      <c r="L408" s="72">
        <v>9956.0</v>
      </c>
      <c r="M408" s="22"/>
      <c r="N408" s="76"/>
      <c r="O408" s="28">
        <v>45244.0</v>
      </c>
      <c r="P408" s="35" t="s">
        <v>1708</v>
      </c>
      <c r="Q408" s="12"/>
      <c r="R408" s="12"/>
      <c r="S408" s="12"/>
      <c r="T408" s="52">
        <v>45229.0</v>
      </c>
      <c r="U408" s="52">
        <v>45237.0</v>
      </c>
      <c r="V408" s="52">
        <v>45243.0</v>
      </c>
      <c r="W408" s="30"/>
      <c r="X408" s="30"/>
      <c r="Y408" s="31"/>
      <c r="Z408" s="31"/>
      <c r="AA408" s="31"/>
      <c r="AB408" s="74" t="s">
        <v>1712</v>
      </c>
      <c r="AC408" s="74"/>
    </row>
    <row r="409" ht="16.5" customHeight="1">
      <c r="A409" s="48" t="s">
        <v>1713</v>
      </c>
      <c r="B409" s="53" t="s">
        <v>858</v>
      </c>
      <c r="C409" s="47">
        <v>0.0</v>
      </c>
      <c r="D409" s="70" t="s">
        <v>1714</v>
      </c>
      <c r="E409" s="55" t="s">
        <v>79</v>
      </c>
      <c r="F409" s="32" t="s">
        <v>33</v>
      </c>
      <c r="G409" s="32" t="s">
        <v>35</v>
      </c>
      <c r="H409" s="71" t="s">
        <v>35</v>
      </c>
      <c r="I409" s="71" t="s">
        <v>36</v>
      </c>
      <c r="J409" s="34" t="s">
        <v>420</v>
      </c>
      <c r="K409" s="57" t="s">
        <v>38</v>
      </c>
      <c r="L409" s="72">
        <v>9905.0</v>
      </c>
      <c r="M409" s="27"/>
      <c r="N409" s="73"/>
      <c r="O409" s="28">
        <v>45231.0</v>
      </c>
      <c r="P409" s="26"/>
      <c r="Q409" s="12"/>
      <c r="R409" s="12"/>
      <c r="S409" s="12"/>
      <c r="T409" s="52">
        <v>45229.0</v>
      </c>
      <c r="U409" s="52">
        <v>45229.0</v>
      </c>
      <c r="V409" s="52">
        <v>45231.0</v>
      </c>
      <c r="W409" s="30"/>
      <c r="X409" s="30"/>
      <c r="Y409" s="31"/>
      <c r="Z409" s="31"/>
      <c r="AA409" s="31"/>
      <c r="AB409" s="74" t="s">
        <v>1715</v>
      </c>
      <c r="AC409" s="74"/>
    </row>
    <row r="410" ht="16.5" customHeight="1">
      <c r="A410" s="48" t="s">
        <v>1716</v>
      </c>
      <c r="B410" s="53" t="s">
        <v>1717</v>
      </c>
      <c r="C410" s="47">
        <v>0.0</v>
      </c>
      <c r="D410" s="70" t="s">
        <v>1718</v>
      </c>
      <c r="E410" s="55" t="s">
        <v>79</v>
      </c>
      <c r="F410" s="32" t="s">
        <v>33</v>
      </c>
      <c r="G410" s="32" t="s">
        <v>35</v>
      </c>
      <c r="H410" s="71" t="s">
        <v>35</v>
      </c>
      <c r="I410" s="71" t="s">
        <v>36</v>
      </c>
      <c r="J410" s="34" t="s">
        <v>339</v>
      </c>
      <c r="K410" s="57" t="s">
        <v>38</v>
      </c>
      <c r="L410" s="72">
        <v>10043.0</v>
      </c>
      <c r="M410" s="22"/>
      <c r="N410" s="76"/>
      <c r="O410" s="28">
        <v>45260.0</v>
      </c>
      <c r="P410" s="35" t="s">
        <v>1719</v>
      </c>
      <c r="Q410" s="12"/>
      <c r="R410" s="12"/>
      <c r="S410" s="12"/>
      <c r="T410" s="52">
        <v>45229.0</v>
      </c>
      <c r="U410" s="52">
        <v>45259.0</v>
      </c>
      <c r="V410" s="52">
        <v>45260.0</v>
      </c>
      <c r="W410" s="30"/>
      <c r="X410" s="30"/>
      <c r="Y410" s="31"/>
      <c r="Z410" s="31"/>
      <c r="AA410" s="31"/>
      <c r="AB410" s="74" t="s">
        <v>1720</v>
      </c>
      <c r="AC410" s="74"/>
    </row>
    <row r="411" ht="16.5" customHeight="1">
      <c r="A411" s="48" t="s">
        <v>1721</v>
      </c>
      <c r="B411" s="53" t="s">
        <v>1722</v>
      </c>
      <c r="C411" s="47">
        <v>0.0</v>
      </c>
      <c r="D411" s="70" t="s">
        <v>1723</v>
      </c>
      <c r="E411" s="55" t="s">
        <v>1724</v>
      </c>
      <c r="F411" s="32" t="s">
        <v>33</v>
      </c>
      <c r="G411" s="32" t="s">
        <v>35</v>
      </c>
      <c r="H411" s="71" t="s">
        <v>35</v>
      </c>
      <c r="I411" s="71" t="s">
        <v>36</v>
      </c>
      <c r="J411" s="34" t="s">
        <v>37</v>
      </c>
      <c r="K411" s="57" t="s">
        <v>38</v>
      </c>
      <c r="L411" s="72">
        <v>9955.0</v>
      </c>
      <c r="M411" s="27"/>
      <c r="N411" s="76"/>
      <c r="O411" s="28">
        <v>45244.0</v>
      </c>
      <c r="P411" s="26"/>
      <c r="Q411" s="12"/>
      <c r="R411" s="12"/>
      <c r="S411" s="12"/>
      <c r="T411" s="52">
        <v>45229.0</v>
      </c>
      <c r="U411" s="52">
        <v>45236.0</v>
      </c>
      <c r="V411" s="52">
        <v>45244.0</v>
      </c>
      <c r="W411" s="30"/>
      <c r="X411" s="30"/>
      <c r="Y411" s="31"/>
      <c r="Z411" s="31"/>
      <c r="AA411" s="31"/>
      <c r="AB411" s="74" t="s">
        <v>1725</v>
      </c>
      <c r="AC411" s="74"/>
    </row>
    <row r="412" ht="16.5" customHeight="1">
      <c r="A412" s="48" t="s">
        <v>1726</v>
      </c>
      <c r="B412" s="53" t="s">
        <v>1681</v>
      </c>
      <c r="C412" s="47">
        <v>0.0</v>
      </c>
      <c r="D412" s="70" t="s">
        <v>1727</v>
      </c>
      <c r="E412" s="55" t="s">
        <v>177</v>
      </c>
      <c r="F412" s="32" t="s">
        <v>48</v>
      </c>
      <c r="G412" s="32" t="s">
        <v>35</v>
      </c>
      <c r="H412" s="71" t="s">
        <v>35</v>
      </c>
      <c r="I412" s="71" t="s">
        <v>36</v>
      </c>
      <c r="J412" s="34" t="s">
        <v>92</v>
      </c>
      <c r="K412" s="57" t="s">
        <v>38</v>
      </c>
      <c r="L412" s="72">
        <v>10272.0</v>
      </c>
      <c r="M412" s="22"/>
      <c r="N412" s="73"/>
      <c r="O412" s="28">
        <v>45313.0</v>
      </c>
      <c r="P412" s="35" t="s">
        <v>1728</v>
      </c>
      <c r="Q412" s="12"/>
      <c r="R412" s="12"/>
      <c r="S412" s="12"/>
      <c r="T412" s="52">
        <v>45229.0</v>
      </c>
      <c r="U412" s="52">
        <v>45309.0</v>
      </c>
      <c r="V412" s="52">
        <v>45313.0</v>
      </c>
      <c r="W412" s="30"/>
      <c r="X412" s="30"/>
      <c r="Y412" s="31"/>
      <c r="Z412" s="31"/>
      <c r="AA412" s="31"/>
      <c r="AB412" s="74" t="s">
        <v>1729</v>
      </c>
      <c r="AC412" s="74"/>
    </row>
    <row r="413" ht="16.5" customHeight="1">
      <c r="A413" s="48" t="s">
        <v>1730</v>
      </c>
      <c r="B413" s="53" t="s">
        <v>498</v>
      </c>
      <c r="C413" s="47">
        <v>0.0</v>
      </c>
      <c r="D413" s="70" t="s">
        <v>1731</v>
      </c>
      <c r="E413" s="55" t="s">
        <v>117</v>
      </c>
      <c r="F413" s="32" t="s">
        <v>33</v>
      </c>
      <c r="G413" s="32" t="s">
        <v>35</v>
      </c>
      <c r="H413" s="71" t="s">
        <v>35</v>
      </c>
      <c r="I413" s="71" t="s">
        <v>36</v>
      </c>
      <c r="J413" s="34" t="s">
        <v>420</v>
      </c>
      <c r="K413" s="57" t="s">
        <v>38</v>
      </c>
      <c r="L413" s="72">
        <v>9918.0</v>
      </c>
      <c r="M413" s="27"/>
      <c r="N413" s="73"/>
      <c r="O413" s="28">
        <v>45237.0</v>
      </c>
      <c r="P413" s="26"/>
      <c r="Q413" s="12"/>
      <c r="R413" s="12"/>
      <c r="S413" s="12"/>
      <c r="T413" s="52">
        <v>45229.0</v>
      </c>
      <c r="U413" s="52">
        <v>45230.0</v>
      </c>
      <c r="V413" s="52">
        <v>45237.0</v>
      </c>
      <c r="W413" s="30"/>
      <c r="X413" s="30"/>
      <c r="Y413" s="31"/>
      <c r="Z413" s="31"/>
      <c r="AA413" s="31"/>
      <c r="AB413" s="74" t="s">
        <v>1732</v>
      </c>
      <c r="AC413" s="74"/>
    </row>
    <row r="414" ht="16.5" customHeight="1">
      <c r="A414" s="48" t="s">
        <v>1733</v>
      </c>
      <c r="B414" s="53" t="s">
        <v>1373</v>
      </c>
      <c r="C414" s="47">
        <v>0.0</v>
      </c>
      <c r="D414" s="70" t="s">
        <v>1734</v>
      </c>
      <c r="E414" s="55" t="s">
        <v>232</v>
      </c>
      <c r="F414" s="32" t="s">
        <v>33</v>
      </c>
      <c r="G414" s="32" t="s">
        <v>34</v>
      </c>
      <c r="H414" s="71" t="s">
        <v>35</v>
      </c>
      <c r="I414" s="71" t="s">
        <v>36</v>
      </c>
      <c r="J414" s="34" t="s">
        <v>65</v>
      </c>
      <c r="K414" s="57" t="s">
        <v>38</v>
      </c>
      <c r="L414" s="72">
        <v>9954.0</v>
      </c>
      <c r="M414" s="27"/>
      <c r="N414" s="76"/>
      <c r="O414" s="28">
        <v>45244.0</v>
      </c>
      <c r="P414" s="26"/>
      <c r="Q414" s="12"/>
      <c r="R414" s="12"/>
      <c r="S414" s="12"/>
      <c r="T414" s="52">
        <v>45229.0</v>
      </c>
      <c r="U414" s="52">
        <v>45230.0</v>
      </c>
      <c r="V414" s="52">
        <v>45244.0</v>
      </c>
      <c r="W414" s="30"/>
      <c r="X414" s="30"/>
      <c r="Y414" s="31"/>
      <c r="Z414" s="31"/>
      <c r="AA414" s="31"/>
      <c r="AB414" s="74" t="s">
        <v>1735</v>
      </c>
      <c r="AC414" s="74"/>
    </row>
    <row r="415" ht="16.5" customHeight="1">
      <c r="A415" s="48" t="s">
        <v>1736</v>
      </c>
      <c r="B415" s="53" t="s">
        <v>388</v>
      </c>
      <c r="C415" s="47">
        <v>0.0</v>
      </c>
      <c r="D415" s="70" t="s">
        <v>1737</v>
      </c>
      <c r="E415" s="55" t="s">
        <v>453</v>
      </c>
      <c r="F415" s="32" t="s">
        <v>244</v>
      </c>
      <c r="G415" s="32" t="s">
        <v>35</v>
      </c>
      <c r="H415" s="71" t="s">
        <v>35</v>
      </c>
      <c r="I415" s="71" t="s">
        <v>36</v>
      </c>
      <c r="J415" s="34" t="s">
        <v>65</v>
      </c>
      <c r="K415" s="57" t="s">
        <v>38</v>
      </c>
      <c r="L415" s="72">
        <v>9930.0</v>
      </c>
      <c r="M415" s="27"/>
      <c r="N415" s="73"/>
      <c r="O415" s="28">
        <v>45239.0</v>
      </c>
      <c r="P415" s="26"/>
      <c r="Q415" s="12"/>
      <c r="R415" s="12"/>
      <c r="S415" s="12"/>
      <c r="T415" s="52">
        <v>45229.0</v>
      </c>
      <c r="U415" s="52">
        <v>45230.0</v>
      </c>
      <c r="V415" s="52">
        <v>45239.0</v>
      </c>
      <c r="W415" s="30"/>
      <c r="X415" s="30"/>
      <c r="Y415" s="31"/>
      <c r="Z415" s="31"/>
      <c r="AA415" s="31"/>
      <c r="AB415" s="74" t="s">
        <v>1738</v>
      </c>
      <c r="AC415" s="74"/>
    </row>
    <row r="416" ht="16.5" customHeight="1">
      <c r="A416" s="48" t="s">
        <v>1739</v>
      </c>
      <c r="B416" s="53" t="s">
        <v>1740</v>
      </c>
      <c r="C416" s="47">
        <v>0.0</v>
      </c>
      <c r="D416" s="70" t="s">
        <v>1741</v>
      </c>
      <c r="E416" s="55" t="s">
        <v>165</v>
      </c>
      <c r="F416" s="32" t="s">
        <v>33</v>
      </c>
      <c r="G416" s="32" t="s">
        <v>35</v>
      </c>
      <c r="H416" s="71" t="s">
        <v>35</v>
      </c>
      <c r="I416" s="71" t="s">
        <v>36</v>
      </c>
      <c r="J416" s="34" t="s">
        <v>65</v>
      </c>
      <c r="K416" s="57" t="s">
        <v>38</v>
      </c>
      <c r="L416" s="72">
        <v>9909.0</v>
      </c>
      <c r="M416" s="27"/>
      <c r="N416" s="73"/>
      <c r="O416" s="28">
        <v>45236.0</v>
      </c>
      <c r="P416" s="26"/>
      <c r="Q416" s="12"/>
      <c r="R416" s="12"/>
      <c r="S416" s="12"/>
      <c r="T416" s="52">
        <v>45229.0</v>
      </c>
      <c r="U416" s="52">
        <v>45230.0</v>
      </c>
      <c r="V416" s="52">
        <v>45231.0</v>
      </c>
      <c r="W416" s="30"/>
      <c r="X416" s="30"/>
      <c r="Y416" s="31"/>
      <c r="Z416" s="31"/>
      <c r="AA416" s="31"/>
      <c r="AB416" s="74" t="s">
        <v>1742</v>
      </c>
      <c r="AC416" s="74"/>
    </row>
    <row r="417" ht="16.5" customHeight="1">
      <c r="A417" s="48" t="s">
        <v>1743</v>
      </c>
      <c r="B417" s="53" t="s">
        <v>1740</v>
      </c>
      <c r="C417" s="47">
        <v>0.0</v>
      </c>
      <c r="D417" s="70" t="s">
        <v>1744</v>
      </c>
      <c r="E417" s="55" t="s">
        <v>165</v>
      </c>
      <c r="F417" s="32" t="s">
        <v>33</v>
      </c>
      <c r="G417" s="32" t="s">
        <v>35</v>
      </c>
      <c r="H417" s="71" t="s">
        <v>35</v>
      </c>
      <c r="I417" s="71" t="s">
        <v>36</v>
      </c>
      <c r="J417" s="34" t="s">
        <v>65</v>
      </c>
      <c r="K417" s="57" t="s">
        <v>38</v>
      </c>
      <c r="L417" s="72">
        <v>9909.0</v>
      </c>
      <c r="M417" s="27"/>
      <c r="N417" s="73"/>
      <c r="O417" s="28">
        <v>45236.0</v>
      </c>
      <c r="P417" s="26"/>
      <c r="Q417" s="12"/>
      <c r="R417" s="12"/>
      <c r="S417" s="12"/>
      <c r="T417" s="52">
        <v>45229.0</v>
      </c>
      <c r="U417" s="52">
        <v>45230.0</v>
      </c>
      <c r="V417" s="52">
        <v>45231.0</v>
      </c>
      <c r="W417" s="30"/>
      <c r="X417" s="30"/>
      <c r="Y417" s="31"/>
      <c r="Z417" s="31"/>
      <c r="AA417" s="31"/>
      <c r="AB417" s="74" t="s">
        <v>1745</v>
      </c>
      <c r="AC417" s="74"/>
    </row>
    <row r="418" ht="16.5" customHeight="1">
      <c r="A418" s="48" t="s">
        <v>1746</v>
      </c>
      <c r="B418" s="53" t="s">
        <v>1740</v>
      </c>
      <c r="C418" s="47">
        <v>0.0</v>
      </c>
      <c r="D418" s="70" t="s">
        <v>1747</v>
      </c>
      <c r="E418" s="55" t="s">
        <v>165</v>
      </c>
      <c r="F418" s="32" t="s">
        <v>33</v>
      </c>
      <c r="G418" s="32" t="s">
        <v>35</v>
      </c>
      <c r="H418" s="71" t="s">
        <v>35</v>
      </c>
      <c r="I418" s="71" t="s">
        <v>36</v>
      </c>
      <c r="J418" s="34" t="s">
        <v>65</v>
      </c>
      <c r="K418" s="57" t="s">
        <v>38</v>
      </c>
      <c r="L418" s="72">
        <v>9909.0</v>
      </c>
      <c r="M418" s="27"/>
      <c r="N418" s="73"/>
      <c r="O418" s="28">
        <v>45236.0</v>
      </c>
      <c r="P418" s="26"/>
      <c r="Q418" s="12"/>
      <c r="R418" s="12"/>
      <c r="S418" s="12"/>
      <c r="T418" s="52">
        <v>45229.0</v>
      </c>
      <c r="U418" s="52">
        <v>45230.0</v>
      </c>
      <c r="V418" s="52">
        <v>45231.0</v>
      </c>
      <c r="W418" s="30"/>
      <c r="X418" s="30"/>
      <c r="Y418" s="31"/>
      <c r="Z418" s="31"/>
      <c r="AA418" s="31"/>
      <c r="AB418" s="74" t="s">
        <v>1748</v>
      </c>
      <c r="AC418" s="74"/>
    </row>
    <row r="419" ht="16.5" customHeight="1">
      <c r="A419" s="48" t="s">
        <v>1749</v>
      </c>
      <c r="B419" s="53" t="s">
        <v>1740</v>
      </c>
      <c r="C419" s="47">
        <v>0.0</v>
      </c>
      <c r="D419" s="70" t="s">
        <v>1750</v>
      </c>
      <c r="E419" s="55" t="s">
        <v>165</v>
      </c>
      <c r="F419" s="32" t="s">
        <v>33</v>
      </c>
      <c r="G419" s="32" t="s">
        <v>35</v>
      </c>
      <c r="H419" s="71" t="s">
        <v>35</v>
      </c>
      <c r="I419" s="71" t="s">
        <v>36</v>
      </c>
      <c r="J419" s="34" t="s">
        <v>65</v>
      </c>
      <c r="K419" s="57" t="s">
        <v>38</v>
      </c>
      <c r="L419" s="72">
        <v>9909.0</v>
      </c>
      <c r="M419" s="27"/>
      <c r="N419" s="73"/>
      <c r="O419" s="28">
        <v>45236.0</v>
      </c>
      <c r="P419" s="26"/>
      <c r="Q419" s="12"/>
      <c r="R419" s="12"/>
      <c r="S419" s="12"/>
      <c r="T419" s="52">
        <v>45229.0</v>
      </c>
      <c r="U419" s="52">
        <v>45230.0</v>
      </c>
      <c r="V419" s="52">
        <v>45231.0</v>
      </c>
      <c r="W419" s="30"/>
      <c r="X419" s="30"/>
      <c r="Y419" s="31"/>
      <c r="Z419" s="31"/>
      <c r="AA419" s="31"/>
      <c r="AB419" s="74" t="s">
        <v>1751</v>
      </c>
      <c r="AC419" s="74"/>
    </row>
    <row r="420" ht="16.5" customHeight="1">
      <c r="A420" s="48" t="s">
        <v>1752</v>
      </c>
      <c r="B420" s="53" t="s">
        <v>1740</v>
      </c>
      <c r="C420" s="47">
        <v>0.0</v>
      </c>
      <c r="D420" s="70" t="s">
        <v>1753</v>
      </c>
      <c r="E420" s="55" t="s">
        <v>165</v>
      </c>
      <c r="F420" s="32" t="s">
        <v>33</v>
      </c>
      <c r="G420" s="32" t="s">
        <v>35</v>
      </c>
      <c r="H420" s="71" t="s">
        <v>35</v>
      </c>
      <c r="I420" s="71" t="s">
        <v>36</v>
      </c>
      <c r="J420" s="34" t="s">
        <v>65</v>
      </c>
      <c r="K420" s="57" t="s">
        <v>38</v>
      </c>
      <c r="L420" s="72">
        <v>9909.0</v>
      </c>
      <c r="M420" s="27"/>
      <c r="N420" s="73"/>
      <c r="O420" s="28">
        <v>45236.0</v>
      </c>
      <c r="P420" s="26"/>
      <c r="Q420" s="12"/>
      <c r="R420" s="12"/>
      <c r="S420" s="12"/>
      <c r="T420" s="52">
        <v>45229.0</v>
      </c>
      <c r="U420" s="52">
        <v>45230.0</v>
      </c>
      <c r="V420" s="52">
        <v>45231.0</v>
      </c>
      <c r="W420" s="30"/>
      <c r="X420" s="30"/>
      <c r="Y420" s="31"/>
      <c r="Z420" s="31"/>
      <c r="AA420" s="31"/>
      <c r="AB420" s="74" t="s">
        <v>1754</v>
      </c>
      <c r="AC420" s="74"/>
    </row>
    <row r="421" ht="16.5" customHeight="1">
      <c r="A421" s="48" t="s">
        <v>1755</v>
      </c>
      <c r="B421" s="53" t="s">
        <v>1740</v>
      </c>
      <c r="C421" s="47">
        <v>0.0</v>
      </c>
      <c r="D421" s="70" t="s">
        <v>1756</v>
      </c>
      <c r="E421" s="55" t="s">
        <v>79</v>
      </c>
      <c r="F421" s="32" t="s">
        <v>33</v>
      </c>
      <c r="G421" s="32" t="s">
        <v>35</v>
      </c>
      <c r="H421" s="71" t="s">
        <v>35</v>
      </c>
      <c r="I421" s="71" t="s">
        <v>36</v>
      </c>
      <c r="J421" s="34" t="s">
        <v>65</v>
      </c>
      <c r="K421" s="57" t="s">
        <v>38</v>
      </c>
      <c r="L421" s="72">
        <v>9909.0</v>
      </c>
      <c r="M421" s="27"/>
      <c r="N421" s="73"/>
      <c r="O421" s="28">
        <v>45236.0</v>
      </c>
      <c r="P421" s="26"/>
      <c r="Q421" s="12"/>
      <c r="R421" s="12"/>
      <c r="S421" s="12"/>
      <c r="T421" s="52">
        <v>45229.0</v>
      </c>
      <c r="U421" s="52">
        <v>45230.0</v>
      </c>
      <c r="V421" s="52">
        <v>45236.0</v>
      </c>
      <c r="W421" s="30"/>
      <c r="X421" s="30"/>
      <c r="Y421" s="31"/>
      <c r="Z421" s="31"/>
      <c r="AA421" s="31"/>
      <c r="AB421" s="74" t="s">
        <v>1757</v>
      </c>
      <c r="AC421" s="74"/>
    </row>
    <row r="422" ht="16.5" customHeight="1">
      <c r="A422" s="48" t="s">
        <v>1758</v>
      </c>
      <c r="B422" s="53" t="s">
        <v>1759</v>
      </c>
      <c r="C422" s="47">
        <v>0.0</v>
      </c>
      <c r="D422" s="70" t="s">
        <v>1760</v>
      </c>
      <c r="E422" s="55" t="s">
        <v>171</v>
      </c>
      <c r="F422" s="32" t="s">
        <v>48</v>
      </c>
      <c r="G422" s="32" t="s">
        <v>35</v>
      </c>
      <c r="H422" s="71" t="s">
        <v>35</v>
      </c>
      <c r="I422" s="71" t="s">
        <v>36</v>
      </c>
      <c r="J422" s="34" t="s">
        <v>37</v>
      </c>
      <c r="K422" s="57" t="s">
        <v>1761</v>
      </c>
      <c r="L422" s="72">
        <v>10235.0</v>
      </c>
      <c r="M422" s="22"/>
      <c r="N422" s="73"/>
      <c r="O422" s="28">
        <v>45308.0</v>
      </c>
      <c r="P422" s="35" t="s">
        <v>1762</v>
      </c>
      <c r="Q422" s="12"/>
      <c r="R422" s="12"/>
      <c r="S422" s="12"/>
      <c r="T422" s="52">
        <v>45230.0</v>
      </c>
      <c r="U422" s="52">
        <v>45305.0</v>
      </c>
      <c r="V422" s="52">
        <v>45308.0</v>
      </c>
      <c r="W422" s="30"/>
      <c r="X422" s="30"/>
      <c r="Y422" s="31"/>
      <c r="Z422" s="31"/>
      <c r="AA422" s="31"/>
      <c r="AB422" s="74" t="s">
        <v>1763</v>
      </c>
      <c r="AC422" s="74"/>
    </row>
    <row r="423" ht="16.5" customHeight="1">
      <c r="A423" s="48" t="s">
        <v>1764</v>
      </c>
      <c r="B423" s="53" t="s">
        <v>498</v>
      </c>
      <c r="C423" s="47">
        <v>0.0</v>
      </c>
      <c r="D423" s="70" t="s">
        <v>1765</v>
      </c>
      <c r="E423" s="55" t="s">
        <v>301</v>
      </c>
      <c r="F423" s="32" t="s">
        <v>33</v>
      </c>
      <c r="G423" s="32" t="s">
        <v>34</v>
      </c>
      <c r="H423" s="71" t="s">
        <v>35</v>
      </c>
      <c r="I423" s="71" t="s">
        <v>36</v>
      </c>
      <c r="J423" s="34" t="s">
        <v>420</v>
      </c>
      <c r="K423" s="57" t="s">
        <v>38</v>
      </c>
      <c r="L423" s="72">
        <v>9937.0</v>
      </c>
      <c r="M423" s="27"/>
      <c r="N423" s="73"/>
      <c r="O423" s="28">
        <v>45240.0</v>
      </c>
      <c r="P423" s="26"/>
      <c r="Q423" s="12"/>
      <c r="R423" s="12"/>
      <c r="S423" s="12"/>
      <c r="T423" s="52">
        <v>45230.0</v>
      </c>
      <c r="U423" s="52">
        <v>45230.0</v>
      </c>
      <c r="V423" s="52">
        <v>45239.0</v>
      </c>
      <c r="W423" s="30"/>
      <c r="X423" s="30"/>
      <c r="Y423" s="31"/>
      <c r="Z423" s="31"/>
      <c r="AA423" s="31"/>
      <c r="AB423" s="74" t="s">
        <v>1766</v>
      </c>
      <c r="AC423" s="74"/>
    </row>
    <row r="424" ht="16.5" customHeight="1">
      <c r="A424" s="48" t="s">
        <v>1767</v>
      </c>
      <c r="B424" s="53" t="s">
        <v>1768</v>
      </c>
      <c r="C424" s="47">
        <v>0.0</v>
      </c>
      <c r="D424" s="70" t="s">
        <v>1769</v>
      </c>
      <c r="E424" s="55" t="s">
        <v>177</v>
      </c>
      <c r="F424" s="32" t="s">
        <v>48</v>
      </c>
      <c r="G424" s="32" t="s">
        <v>35</v>
      </c>
      <c r="H424" s="71" t="s">
        <v>35</v>
      </c>
      <c r="I424" s="71" t="s">
        <v>36</v>
      </c>
      <c r="J424" s="34" t="s">
        <v>37</v>
      </c>
      <c r="K424" s="57" t="s">
        <v>38</v>
      </c>
      <c r="L424" s="72">
        <v>10259.0</v>
      </c>
      <c r="M424" s="22"/>
      <c r="N424" s="73"/>
      <c r="O424" s="28">
        <v>45309.0</v>
      </c>
      <c r="P424" s="35" t="s">
        <v>1770</v>
      </c>
      <c r="Q424" s="12"/>
      <c r="R424" s="12"/>
      <c r="S424" s="12"/>
      <c r="T424" s="52">
        <v>45230.0</v>
      </c>
      <c r="U424" s="52">
        <v>45308.0</v>
      </c>
      <c r="V424" s="52">
        <v>45309.0</v>
      </c>
      <c r="W424" s="30"/>
      <c r="X424" s="30"/>
      <c r="Y424" s="31"/>
      <c r="Z424" s="31"/>
      <c r="AA424" s="31"/>
      <c r="AB424" s="74" t="s">
        <v>1771</v>
      </c>
      <c r="AC424" s="74"/>
    </row>
    <row r="425" ht="16.5" customHeight="1">
      <c r="A425" s="48" t="s">
        <v>1772</v>
      </c>
      <c r="B425" s="53" t="s">
        <v>1768</v>
      </c>
      <c r="C425" s="47">
        <v>0.0</v>
      </c>
      <c r="D425" s="70" t="s">
        <v>1773</v>
      </c>
      <c r="E425" s="55" t="s">
        <v>177</v>
      </c>
      <c r="F425" s="32" t="s">
        <v>48</v>
      </c>
      <c r="G425" s="32" t="s">
        <v>35</v>
      </c>
      <c r="H425" s="71" t="s">
        <v>35</v>
      </c>
      <c r="I425" s="71" t="s">
        <v>36</v>
      </c>
      <c r="J425" s="34" t="s">
        <v>37</v>
      </c>
      <c r="K425" s="57" t="s">
        <v>38</v>
      </c>
      <c r="L425" s="72">
        <v>10259.0</v>
      </c>
      <c r="M425" s="22"/>
      <c r="N425" s="73"/>
      <c r="O425" s="28">
        <v>45309.0</v>
      </c>
      <c r="P425" s="35" t="s">
        <v>1770</v>
      </c>
      <c r="Q425" s="12"/>
      <c r="R425" s="12"/>
      <c r="S425" s="12"/>
      <c r="T425" s="52">
        <v>45230.0</v>
      </c>
      <c r="U425" s="52">
        <v>45308.0</v>
      </c>
      <c r="V425" s="52">
        <v>45309.0</v>
      </c>
      <c r="W425" s="30"/>
      <c r="X425" s="30"/>
      <c r="Y425" s="31"/>
      <c r="Z425" s="31"/>
      <c r="AA425" s="31"/>
      <c r="AB425" s="74" t="s">
        <v>1774</v>
      </c>
      <c r="AC425" s="74"/>
    </row>
    <row r="426" ht="16.5" customHeight="1">
      <c r="A426" s="48" t="s">
        <v>1775</v>
      </c>
      <c r="B426" s="53" t="s">
        <v>1768</v>
      </c>
      <c r="C426" s="47">
        <v>0.0</v>
      </c>
      <c r="D426" s="70" t="s">
        <v>1776</v>
      </c>
      <c r="E426" s="55" t="s">
        <v>177</v>
      </c>
      <c r="F426" s="32" t="s">
        <v>48</v>
      </c>
      <c r="G426" s="32" t="s">
        <v>35</v>
      </c>
      <c r="H426" s="71" t="s">
        <v>35</v>
      </c>
      <c r="I426" s="71" t="s">
        <v>36</v>
      </c>
      <c r="J426" s="34" t="s">
        <v>37</v>
      </c>
      <c r="K426" s="57" t="s">
        <v>38</v>
      </c>
      <c r="L426" s="72">
        <v>10259.0</v>
      </c>
      <c r="M426" s="22"/>
      <c r="N426" s="73"/>
      <c r="O426" s="28">
        <v>45309.0</v>
      </c>
      <c r="P426" s="35" t="s">
        <v>1770</v>
      </c>
      <c r="Q426" s="12"/>
      <c r="R426" s="12"/>
      <c r="S426" s="12"/>
      <c r="T426" s="52">
        <v>45230.0</v>
      </c>
      <c r="U426" s="52">
        <v>45308.0</v>
      </c>
      <c r="V426" s="52">
        <v>45309.0</v>
      </c>
      <c r="W426" s="30"/>
      <c r="X426" s="30"/>
      <c r="Y426" s="31"/>
      <c r="Z426" s="31"/>
      <c r="AA426" s="31"/>
      <c r="AB426" s="74" t="s">
        <v>1777</v>
      </c>
      <c r="AC426" s="74"/>
    </row>
    <row r="427" ht="16.5" customHeight="1">
      <c r="A427" s="48" t="s">
        <v>1778</v>
      </c>
      <c r="B427" s="53" t="s">
        <v>1768</v>
      </c>
      <c r="C427" s="47">
        <v>0.0</v>
      </c>
      <c r="D427" s="70" t="s">
        <v>1779</v>
      </c>
      <c r="E427" s="55" t="s">
        <v>177</v>
      </c>
      <c r="F427" s="32" t="s">
        <v>48</v>
      </c>
      <c r="G427" s="32" t="s">
        <v>35</v>
      </c>
      <c r="H427" s="71" t="s">
        <v>35</v>
      </c>
      <c r="I427" s="71" t="s">
        <v>36</v>
      </c>
      <c r="J427" s="34" t="s">
        <v>37</v>
      </c>
      <c r="K427" s="57" t="s">
        <v>38</v>
      </c>
      <c r="L427" s="72">
        <v>10259.0</v>
      </c>
      <c r="M427" s="22"/>
      <c r="N427" s="73"/>
      <c r="O427" s="28">
        <v>45310.0</v>
      </c>
      <c r="P427" s="35" t="s">
        <v>1770</v>
      </c>
      <c r="Q427" s="12"/>
      <c r="R427" s="12"/>
      <c r="S427" s="12"/>
      <c r="T427" s="52">
        <v>45230.0</v>
      </c>
      <c r="U427" s="52">
        <v>45308.0</v>
      </c>
      <c r="V427" s="52">
        <v>45310.0</v>
      </c>
      <c r="W427" s="30"/>
      <c r="X427" s="30"/>
      <c r="Y427" s="31"/>
      <c r="Z427" s="31"/>
      <c r="AA427" s="31"/>
      <c r="AB427" s="74" t="s">
        <v>1780</v>
      </c>
      <c r="AC427" s="74"/>
    </row>
    <row r="428" ht="16.5" customHeight="1">
      <c r="A428" s="48" t="s">
        <v>1781</v>
      </c>
      <c r="B428" s="53" t="s">
        <v>1782</v>
      </c>
      <c r="C428" s="47">
        <v>0.0</v>
      </c>
      <c r="D428" s="70" t="s">
        <v>1783</v>
      </c>
      <c r="E428" s="55" t="s">
        <v>550</v>
      </c>
      <c r="F428" s="32" t="s">
        <v>33</v>
      </c>
      <c r="G428" s="32" t="s">
        <v>35</v>
      </c>
      <c r="H428" s="71" t="s">
        <v>35</v>
      </c>
      <c r="I428" s="71" t="s">
        <v>36</v>
      </c>
      <c r="J428" s="34" t="s">
        <v>92</v>
      </c>
      <c r="K428" s="57" t="s">
        <v>38</v>
      </c>
      <c r="L428" s="72">
        <v>9936.0</v>
      </c>
      <c r="M428" s="22"/>
      <c r="N428" s="73"/>
      <c r="O428" s="28">
        <v>45240.0</v>
      </c>
      <c r="P428" s="35" t="s">
        <v>1784</v>
      </c>
      <c r="Q428" s="12"/>
      <c r="R428" s="12"/>
      <c r="S428" s="12"/>
      <c r="T428" s="52">
        <v>45230.0</v>
      </c>
      <c r="U428" s="52">
        <v>45231.0</v>
      </c>
      <c r="V428" s="52">
        <v>45239.0</v>
      </c>
      <c r="W428" s="30"/>
      <c r="X428" s="30"/>
      <c r="Y428" s="31"/>
      <c r="Z428" s="31"/>
      <c r="AA428" s="31"/>
      <c r="AB428" s="74" t="s">
        <v>1785</v>
      </c>
      <c r="AC428" s="74"/>
    </row>
    <row r="429" ht="16.5" customHeight="1">
      <c r="A429" s="48" t="s">
        <v>1786</v>
      </c>
      <c r="B429" s="53" t="s">
        <v>388</v>
      </c>
      <c r="C429" s="47">
        <v>0.0</v>
      </c>
      <c r="D429" s="70" t="s">
        <v>1787</v>
      </c>
      <c r="E429" s="55" t="s">
        <v>165</v>
      </c>
      <c r="F429" s="32" t="s">
        <v>33</v>
      </c>
      <c r="G429" s="32" t="s">
        <v>35</v>
      </c>
      <c r="H429" s="71" t="s">
        <v>35</v>
      </c>
      <c r="I429" s="71" t="s">
        <v>36</v>
      </c>
      <c r="J429" s="34" t="s">
        <v>65</v>
      </c>
      <c r="K429" s="57" t="s">
        <v>38</v>
      </c>
      <c r="L429" s="72">
        <v>9944.0</v>
      </c>
      <c r="M429" s="27"/>
      <c r="N429" s="76"/>
      <c r="O429" s="28">
        <v>45243.0</v>
      </c>
      <c r="P429" s="26"/>
      <c r="Q429" s="12"/>
      <c r="R429" s="12"/>
      <c r="S429" s="12"/>
      <c r="T429" s="52">
        <v>45230.0</v>
      </c>
      <c r="U429" s="52">
        <v>45236.0</v>
      </c>
      <c r="V429" s="52">
        <v>45240.0</v>
      </c>
      <c r="W429" s="30"/>
      <c r="X429" s="30"/>
      <c r="Y429" s="31"/>
      <c r="Z429" s="31"/>
      <c r="AA429" s="31"/>
      <c r="AB429" s="74" t="s">
        <v>1788</v>
      </c>
      <c r="AC429" s="74"/>
    </row>
    <row r="430" ht="16.5" customHeight="1">
      <c r="A430" s="48" t="s">
        <v>1789</v>
      </c>
      <c r="B430" s="53" t="s">
        <v>388</v>
      </c>
      <c r="C430" s="47">
        <v>0.0</v>
      </c>
      <c r="D430" s="70" t="s">
        <v>1790</v>
      </c>
      <c r="E430" s="55" t="s">
        <v>165</v>
      </c>
      <c r="F430" s="32" t="s">
        <v>33</v>
      </c>
      <c r="G430" s="32" t="s">
        <v>35</v>
      </c>
      <c r="H430" s="71" t="s">
        <v>35</v>
      </c>
      <c r="I430" s="71" t="s">
        <v>36</v>
      </c>
      <c r="J430" s="34" t="s">
        <v>65</v>
      </c>
      <c r="K430" s="57" t="s">
        <v>38</v>
      </c>
      <c r="L430" s="72">
        <v>9944.0</v>
      </c>
      <c r="M430" s="27"/>
      <c r="N430" s="76"/>
      <c r="O430" s="28">
        <v>45243.0</v>
      </c>
      <c r="P430" s="26"/>
      <c r="Q430" s="12"/>
      <c r="R430" s="12"/>
      <c r="S430" s="12"/>
      <c r="T430" s="52">
        <v>45230.0</v>
      </c>
      <c r="U430" s="52">
        <v>45236.0</v>
      </c>
      <c r="V430" s="52">
        <v>45240.0</v>
      </c>
      <c r="W430" s="30"/>
      <c r="X430" s="30"/>
      <c r="Y430" s="31"/>
      <c r="Z430" s="31"/>
      <c r="AA430" s="31"/>
      <c r="AB430" s="74" t="s">
        <v>1791</v>
      </c>
      <c r="AC430" s="74"/>
    </row>
    <row r="431" ht="16.5" customHeight="1">
      <c r="A431" s="48" t="s">
        <v>1792</v>
      </c>
      <c r="B431" s="53" t="s">
        <v>388</v>
      </c>
      <c r="C431" s="47">
        <v>0.0</v>
      </c>
      <c r="D431" s="70" t="s">
        <v>1793</v>
      </c>
      <c r="E431" s="55" t="s">
        <v>165</v>
      </c>
      <c r="F431" s="32" t="s">
        <v>33</v>
      </c>
      <c r="G431" s="32" t="s">
        <v>35</v>
      </c>
      <c r="H431" s="71" t="s">
        <v>35</v>
      </c>
      <c r="I431" s="71" t="s">
        <v>36</v>
      </c>
      <c r="J431" s="34" t="s">
        <v>65</v>
      </c>
      <c r="K431" s="57" t="s">
        <v>38</v>
      </c>
      <c r="L431" s="72">
        <v>9944.0</v>
      </c>
      <c r="M431" s="27"/>
      <c r="N431" s="76"/>
      <c r="O431" s="28">
        <v>45243.0</v>
      </c>
      <c r="P431" s="26"/>
      <c r="Q431" s="12"/>
      <c r="R431" s="12"/>
      <c r="S431" s="12"/>
      <c r="T431" s="52">
        <v>45230.0</v>
      </c>
      <c r="U431" s="52">
        <v>45236.0</v>
      </c>
      <c r="V431" s="52">
        <v>45240.0</v>
      </c>
      <c r="W431" s="30"/>
      <c r="X431" s="30"/>
      <c r="Y431" s="31"/>
      <c r="Z431" s="31"/>
      <c r="AA431" s="31"/>
      <c r="AB431" s="74" t="s">
        <v>1794</v>
      </c>
      <c r="AC431" s="74"/>
    </row>
    <row r="432" ht="16.5" customHeight="1">
      <c r="A432" s="48" t="s">
        <v>1795</v>
      </c>
      <c r="B432" s="53" t="s">
        <v>388</v>
      </c>
      <c r="C432" s="47">
        <v>0.0</v>
      </c>
      <c r="D432" s="70" t="s">
        <v>1796</v>
      </c>
      <c r="E432" s="55" t="s">
        <v>165</v>
      </c>
      <c r="F432" s="32" t="s">
        <v>33</v>
      </c>
      <c r="G432" s="32" t="s">
        <v>35</v>
      </c>
      <c r="H432" s="71" t="s">
        <v>35</v>
      </c>
      <c r="I432" s="71" t="s">
        <v>36</v>
      </c>
      <c r="J432" s="34" t="s">
        <v>65</v>
      </c>
      <c r="K432" s="57" t="s">
        <v>38</v>
      </c>
      <c r="L432" s="72">
        <v>9944.0</v>
      </c>
      <c r="M432" s="27"/>
      <c r="N432" s="76"/>
      <c r="O432" s="28">
        <v>45243.0</v>
      </c>
      <c r="P432" s="26"/>
      <c r="Q432" s="12"/>
      <c r="R432" s="12"/>
      <c r="S432" s="12"/>
      <c r="T432" s="52">
        <v>45230.0</v>
      </c>
      <c r="U432" s="52">
        <v>45236.0</v>
      </c>
      <c r="V432" s="52">
        <v>45240.0</v>
      </c>
      <c r="W432" s="30"/>
      <c r="X432" s="30"/>
      <c r="Y432" s="31"/>
      <c r="Z432" s="31"/>
      <c r="AA432" s="31"/>
      <c r="AB432" s="74" t="s">
        <v>1797</v>
      </c>
      <c r="AC432" s="74"/>
    </row>
    <row r="433" ht="16.5" customHeight="1">
      <c r="A433" s="48" t="s">
        <v>1798</v>
      </c>
      <c r="B433" s="53" t="s">
        <v>1179</v>
      </c>
      <c r="C433" s="47">
        <v>0.0</v>
      </c>
      <c r="D433" s="70" t="s">
        <v>1799</v>
      </c>
      <c r="E433" s="55" t="s">
        <v>1693</v>
      </c>
      <c r="F433" s="32" t="s">
        <v>48</v>
      </c>
      <c r="G433" s="32" t="s">
        <v>35</v>
      </c>
      <c r="H433" s="71" t="s">
        <v>35</v>
      </c>
      <c r="I433" s="71" t="s">
        <v>36</v>
      </c>
      <c r="J433" s="34" t="s">
        <v>65</v>
      </c>
      <c r="K433" s="57" t="s">
        <v>38</v>
      </c>
      <c r="L433" s="72" t="s">
        <v>1800</v>
      </c>
      <c r="M433" s="27"/>
      <c r="N433" s="73"/>
      <c r="O433" s="28">
        <v>45315.0</v>
      </c>
      <c r="P433" s="26"/>
      <c r="Q433" s="12"/>
      <c r="R433" s="12"/>
      <c r="S433" s="12"/>
      <c r="T433" s="52">
        <v>45230.0</v>
      </c>
      <c r="U433" s="52">
        <v>45312.0</v>
      </c>
      <c r="V433" s="52">
        <v>45315.0</v>
      </c>
      <c r="W433" s="30"/>
      <c r="X433" s="30"/>
      <c r="Y433" s="31"/>
      <c r="Z433" s="31"/>
      <c r="AA433" s="31"/>
      <c r="AB433" s="74" t="s">
        <v>1801</v>
      </c>
      <c r="AC433" s="74"/>
    </row>
    <row r="434" ht="16.5" customHeight="1">
      <c r="A434" s="48" t="s">
        <v>1802</v>
      </c>
      <c r="B434" s="53" t="s">
        <v>1803</v>
      </c>
      <c r="C434" s="47">
        <v>0.0</v>
      </c>
      <c r="D434" s="70" t="s">
        <v>1804</v>
      </c>
      <c r="E434" s="55" t="s">
        <v>79</v>
      </c>
      <c r="F434" s="32" t="s">
        <v>33</v>
      </c>
      <c r="G434" s="32" t="s">
        <v>35</v>
      </c>
      <c r="H434" s="71" t="s">
        <v>35</v>
      </c>
      <c r="I434" s="71" t="s">
        <v>36</v>
      </c>
      <c r="J434" s="34" t="s">
        <v>65</v>
      </c>
      <c r="K434" s="57" t="s">
        <v>38</v>
      </c>
      <c r="L434" s="72">
        <v>9924.0</v>
      </c>
      <c r="M434" s="22"/>
      <c r="N434" s="73"/>
      <c r="O434" s="28">
        <v>45238.0</v>
      </c>
      <c r="P434" s="35" t="s">
        <v>1805</v>
      </c>
      <c r="Q434" s="12"/>
      <c r="R434" s="12"/>
      <c r="S434" s="12"/>
      <c r="T434" s="52">
        <v>45231.0</v>
      </c>
      <c r="U434" s="52">
        <v>45236.0</v>
      </c>
      <c r="V434" s="52">
        <v>45237.0</v>
      </c>
      <c r="W434" s="30"/>
      <c r="X434" s="30"/>
      <c r="Y434" s="31"/>
      <c r="Z434" s="31"/>
      <c r="AA434" s="31"/>
      <c r="AB434" s="74" t="s">
        <v>1806</v>
      </c>
      <c r="AC434" s="74"/>
    </row>
    <row r="435" ht="16.5" customHeight="1">
      <c r="A435" s="48" t="s">
        <v>1807</v>
      </c>
      <c r="B435" s="53" t="s">
        <v>1803</v>
      </c>
      <c r="C435" s="47">
        <v>0.0</v>
      </c>
      <c r="D435" s="70" t="s">
        <v>1808</v>
      </c>
      <c r="E435" s="55" t="s">
        <v>79</v>
      </c>
      <c r="F435" s="32" t="s">
        <v>33</v>
      </c>
      <c r="G435" s="32" t="s">
        <v>35</v>
      </c>
      <c r="H435" s="71" t="s">
        <v>35</v>
      </c>
      <c r="I435" s="71" t="s">
        <v>36</v>
      </c>
      <c r="J435" s="34" t="s">
        <v>65</v>
      </c>
      <c r="K435" s="57" t="s">
        <v>38</v>
      </c>
      <c r="L435" s="72">
        <v>9924.0</v>
      </c>
      <c r="M435" s="22"/>
      <c r="N435" s="73"/>
      <c r="O435" s="28">
        <v>45238.0</v>
      </c>
      <c r="P435" s="35" t="s">
        <v>1805</v>
      </c>
      <c r="Q435" s="12"/>
      <c r="R435" s="12"/>
      <c r="S435" s="12"/>
      <c r="T435" s="52">
        <v>45231.0</v>
      </c>
      <c r="U435" s="52">
        <v>45236.0</v>
      </c>
      <c r="V435" s="52">
        <v>45237.0</v>
      </c>
      <c r="W435" s="30"/>
      <c r="X435" s="30"/>
      <c r="Y435" s="31"/>
      <c r="Z435" s="31"/>
      <c r="AA435" s="31"/>
      <c r="AB435" s="74" t="s">
        <v>1809</v>
      </c>
      <c r="AC435" s="74"/>
    </row>
    <row r="436" ht="16.5" customHeight="1">
      <c r="A436" s="48" t="s">
        <v>1810</v>
      </c>
      <c r="B436" s="53" t="s">
        <v>1811</v>
      </c>
      <c r="C436" s="47">
        <v>0.0</v>
      </c>
      <c r="D436" s="70" t="s">
        <v>1812</v>
      </c>
      <c r="E436" s="55" t="s">
        <v>79</v>
      </c>
      <c r="F436" s="32" t="s">
        <v>33</v>
      </c>
      <c r="G436" s="32" t="s">
        <v>34</v>
      </c>
      <c r="H436" s="71" t="s">
        <v>35</v>
      </c>
      <c r="I436" s="71" t="s">
        <v>36</v>
      </c>
      <c r="J436" s="34" t="s">
        <v>37</v>
      </c>
      <c r="K436" s="57" t="s">
        <v>1506</v>
      </c>
      <c r="L436" s="72">
        <v>9929.0</v>
      </c>
      <c r="M436" s="22"/>
      <c r="N436" s="73"/>
      <c r="O436" s="28">
        <v>45240.0</v>
      </c>
      <c r="P436" s="35" t="s">
        <v>1813</v>
      </c>
      <c r="Q436" s="12"/>
      <c r="R436" s="12"/>
      <c r="S436" s="12"/>
      <c r="T436" s="52">
        <v>45231.0</v>
      </c>
      <c r="U436" s="52">
        <v>45231.0</v>
      </c>
      <c r="V436" s="52">
        <v>45238.0</v>
      </c>
      <c r="W436" s="30"/>
      <c r="X436" s="30"/>
      <c r="Y436" s="31"/>
      <c r="Z436" s="31"/>
      <c r="AA436" s="31"/>
      <c r="AB436" s="74" t="s">
        <v>1814</v>
      </c>
      <c r="AC436" s="74"/>
    </row>
    <row r="437" ht="16.5" customHeight="1">
      <c r="A437" s="48" t="s">
        <v>1815</v>
      </c>
      <c r="B437" s="53" t="s">
        <v>1816</v>
      </c>
      <c r="C437" s="47">
        <v>0.0</v>
      </c>
      <c r="D437" s="70" t="s">
        <v>1817</v>
      </c>
      <c r="E437" s="55" t="s">
        <v>1119</v>
      </c>
      <c r="F437" s="32" t="s">
        <v>33</v>
      </c>
      <c r="G437" s="32" t="s">
        <v>35</v>
      </c>
      <c r="H437" s="71" t="s">
        <v>35</v>
      </c>
      <c r="I437" s="71" t="s">
        <v>36</v>
      </c>
      <c r="J437" s="34" t="s">
        <v>37</v>
      </c>
      <c r="K437" s="57" t="s">
        <v>238</v>
      </c>
      <c r="L437" s="72">
        <v>9943.0</v>
      </c>
      <c r="M437" s="22"/>
      <c r="N437" s="76"/>
      <c r="O437" s="28">
        <v>45243.0</v>
      </c>
      <c r="P437" s="35" t="s">
        <v>1818</v>
      </c>
      <c r="Q437" s="12"/>
      <c r="R437" s="12"/>
      <c r="S437" s="12"/>
      <c r="T437" s="52">
        <v>45231.0</v>
      </c>
      <c r="U437" s="52">
        <v>45236.0</v>
      </c>
      <c r="V437" s="52">
        <v>45240.0</v>
      </c>
      <c r="W437" s="30"/>
      <c r="X437" s="30"/>
      <c r="Y437" s="31"/>
      <c r="Z437" s="31"/>
      <c r="AA437" s="31"/>
      <c r="AB437" s="74" t="s">
        <v>1819</v>
      </c>
      <c r="AC437" s="74"/>
    </row>
    <row r="438" ht="16.5" customHeight="1">
      <c r="A438" s="48" t="s">
        <v>1820</v>
      </c>
      <c r="B438" s="53" t="s">
        <v>802</v>
      </c>
      <c r="C438" s="47">
        <v>0.0</v>
      </c>
      <c r="D438" s="70" t="s">
        <v>1821</v>
      </c>
      <c r="E438" s="55" t="s">
        <v>532</v>
      </c>
      <c r="F438" s="32" t="s">
        <v>244</v>
      </c>
      <c r="G438" s="32" t="s">
        <v>35</v>
      </c>
      <c r="H438" s="71" t="s">
        <v>35</v>
      </c>
      <c r="I438" s="71" t="s">
        <v>36</v>
      </c>
      <c r="J438" s="34" t="s">
        <v>37</v>
      </c>
      <c r="K438" s="57" t="s">
        <v>238</v>
      </c>
      <c r="L438" s="72">
        <v>9967.0</v>
      </c>
      <c r="M438" s="22"/>
      <c r="N438" s="76"/>
      <c r="O438" s="28">
        <v>45246.0</v>
      </c>
      <c r="P438" s="35" t="s">
        <v>1822</v>
      </c>
      <c r="Q438" s="12"/>
      <c r="R438" s="12"/>
      <c r="S438" s="12"/>
      <c r="T438" s="52">
        <v>45231.0</v>
      </c>
      <c r="U438" s="52">
        <v>45238.0</v>
      </c>
      <c r="V438" s="52">
        <v>45244.0</v>
      </c>
      <c r="W438" s="30"/>
      <c r="X438" s="30"/>
      <c r="Y438" s="31"/>
      <c r="Z438" s="31"/>
      <c r="AA438" s="31"/>
      <c r="AB438" s="74" t="s">
        <v>1823</v>
      </c>
      <c r="AC438" s="74"/>
    </row>
    <row r="439" ht="16.5" customHeight="1">
      <c r="A439" s="48" t="s">
        <v>1824</v>
      </c>
      <c r="B439" s="53" t="s">
        <v>802</v>
      </c>
      <c r="C439" s="47">
        <v>0.0</v>
      </c>
      <c r="D439" s="70" t="s">
        <v>1825</v>
      </c>
      <c r="E439" s="55" t="s">
        <v>804</v>
      </c>
      <c r="F439" s="32" t="s">
        <v>244</v>
      </c>
      <c r="G439" s="32" t="s">
        <v>35</v>
      </c>
      <c r="H439" s="71" t="s">
        <v>35</v>
      </c>
      <c r="I439" s="71" t="s">
        <v>36</v>
      </c>
      <c r="J439" s="34" t="s">
        <v>37</v>
      </c>
      <c r="K439" s="57" t="s">
        <v>238</v>
      </c>
      <c r="L439" s="72">
        <v>9967.0</v>
      </c>
      <c r="M439" s="22"/>
      <c r="N439" s="76"/>
      <c r="O439" s="28">
        <v>45246.0</v>
      </c>
      <c r="P439" s="35" t="s">
        <v>1822</v>
      </c>
      <c r="Q439" s="12"/>
      <c r="R439" s="12"/>
      <c r="S439" s="12"/>
      <c r="T439" s="52">
        <v>45231.0</v>
      </c>
      <c r="U439" s="52">
        <v>45238.0</v>
      </c>
      <c r="V439" s="52">
        <v>45243.0</v>
      </c>
      <c r="W439" s="30"/>
      <c r="X439" s="30"/>
      <c r="Y439" s="31"/>
      <c r="Z439" s="31"/>
      <c r="AA439" s="31"/>
      <c r="AB439" s="74" t="s">
        <v>1826</v>
      </c>
      <c r="AC439" s="74"/>
    </row>
    <row r="440" ht="16.5" customHeight="1">
      <c r="A440" s="48" t="s">
        <v>1827</v>
      </c>
      <c r="B440" s="53" t="s">
        <v>802</v>
      </c>
      <c r="C440" s="47">
        <v>0.0</v>
      </c>
      <c r="D440" s="70" t="s">
        <v>1828</v>
      </c>
      <c r="E440" s="55" t="s">
        <v>804</v>
      </c>
      <c r="F440" s="32" t="s">
        <v>244</v>
      </c>
      <c r="G440" s="32" t="s">
        <v>35</v>
      </c>
      <c r="H440" s="71" t="s">
        <v>35</v>
      </c>
      <c r="I440" s="71" t="s">
        <v>36</v>
      </c>
      <c r="J440" s="34" t="s">
        <v>37</v>
      </c>
      <c r="K440" s="57" t="s">
        <v>238</v>
      </c>
      <c r="L440" s="72">
        <v>9967.0</v>
      </c>
      <c r="M440" s="22"/>
      <c r="N440" s="76"/>
      <c r="O440" s="28">
        <v>45246.0</v>
      </c>
      <c r="P440" s="35" t="s">
        <v>1822</v>
      </c>
      <c r="Q440" s="12"/>
      <c r="R440" s="12"/>
      <c r="S440" s="12"/>
      <c r="T440" s="52">
        <v>45231.0</v>
      </c>
      <c r="U440" s="52">
        <v>45238.0</v>
      </c>
      <c r="V440" s="52">
        <v>45244.0</v>
      </c>
      <c r="W440" s="30"/>
      <c r="X440" s="30"/>
      <c r="Y440" s="31"/>
      <c r="Z440" s="31"/>
      <c r="AA440" s="31"/>
      <c r="AB440" s="74" t="s">
        <v>1829</v>
      </c>
      <c r="AC440" s="74"/>
    </row>
    <row r="441" ht="16.5" customHeight="1">
      <c r="A441" s="48" t="s">
        <v>1830</v>
      </c>
      <c r="B441" s="53" t="s">
        <v>802</v>
      </c>
      <c r="C441" s="47">
        <v>0.0</v>
      </c>
      <c r="D441" s="70" t="s">
        <v>1831</v>
      </c>
      <c r="E441" s="55" t="s">
        <v>804</v>
      </c>
      <c r="F441" s="32" t="s">
        <v>244</v>
      </c>
      <c r="G441" s="32" t="s">
        <v>35</v>
      </c>
      <c r="H441" s="71" t="s">
        <v>35</v>
      </c>
      <c r="I441" s="71" t="s">
        <v>36</v>
      </c>
      <c r="J441" s="34" t="s">
        <v>37</v>
      </c>
      <c r="K441" s="57" t="s">
        <v>238</v>
      </c>
      <c r="L441" s="72">
        <v>9967.0</v>
      </c>
      <c r="M441" s="22"/>
      <c r="N441" s="76"/>
      <c r="O441" s="28">
        <v>45246.0</v>
      </c>
      <c r="P441" s="35" t="s">
        <v>1822</v>
      </c>
      <c r="Q441" s="12"/>
      <c r="R441" s="12"/>
      <c r="S441" s="12"/>
      <c r="T441" s="52">
        <v>45231.0</v>
      </c>
      <c r="U441" s="52">
        <v>45238.0</v>
      </c>
      <c r="V441" s="52">
        <v>45245.0</v>
      </c>
      <c r="W441" s="30"/>
      <c r="X441" s="30"/>
      <c r="Y441" s="31"/>
      <c r="Z441" s="31"/>
      <c r="AA441" s="31"/>
      <c r="AB441" s="74" t="s">
        <v>1832</v>
      </c>
      <c r="AC441" s="74"/>
    </row>
    <row r="442" ht="16.5" customHeight="1">
      <c r="A442" s="48" t="s">
        <v>1833</v>
      </c>
      <c r="B442" s="53" t="s">
        <v>802</v>
      </c>
      <c r="C442" s="47">
        <v>0.0</v>
      </c>
      <c r="D442" s="70" t="s">
        <v>1834</v>
      </c>
      <c r="E442" s="55" t="s">
        <v>804</v>
      </c>
      <c r="F442" s="32" t="s">
        <v>244</v>
      </c>
      <c r="G442" s="32" t="s">
        <v>35</v>
      </c>
      <c r="H442" s="71" t="s">
        <v>35</v>
      </c>
      <c r="I442" s="71" t="s">
        <v>36</v>
      </c>
      <c r="J442" s="34" t="s">
        <v>37</v>
      </c>
      <c r="K442" s="57" t="s">
        <v>238</v>
      </c>
      <c r="L442" s="72">
        <v>9967.0</v>
      </c>
      <c r="M442" s="27"/>
      <c r="N442" s="76"/>
      <c r="O442" s="28">
        <v>45246.0</v>
      </c>
      <c r="P442" s="26"/>
      <c r="Q442" s="12"/>
      <c r="R442" s="12"/>
      <c r="S442" s="12"/>
      <c r="T442" s="52">
        <v>45231.0</v>
      </c>
      <c r="U442" s="52">
        <v>45238.0</v>
      </c>
      <c r="V442" s="52">
        <v>45245.0</v>
      </c>
      <c r="W442" s="30"/>
      <c r="X442" s="30"/>
      <c r="Y442" s="31"/>
      <c r="Z442" s="31"/>
      <c r="AA442" s="31"/>
      <c r="AB442" s="74" t="s">
        <v>1835</v>
      </c>
      <c r="AC442" s="74"/>
    </row>
    <row r="443" ht="16.5" customHeight="1">
      <c r="A443" s="48" t="s">
        <v>1836</v>
      </c>
      <c r="B443" s="53" t="s">
        <v>1837</v>
      </c>
      <c r="C443" s="47">
        <v>0.0</v>
      </c>
      <c r="D443" s="70" t="s">
        <v>1838</v>
      </c>
      <c r="E443" s="55" t="s">
        <v>98</v>
      </c>
      <c r="F443" s="32" t="s">
        <v>33</v>
      </c>
      <c r="G443" s="32" t="s">
        <v>35</v>
      </c>
      <c r="H443" s="71" t="s">
        <v>35</v>
      </c>
      <c r="I443" s="71" t="s">
        <v>36</v>
      </c>
      <c r="J443" s="34" t="s">
        <v>37</v>
      </c>
      <c r="K443" s="57" t="s">
        <v>447</v>
      </c>
      <c r="L443" s="72">
        <v>9935.0</v>
      </c>
      <c r="M443" s="22"/>
      <c r="N443" s="73"/>
      <c r="O443" s="28">
        <v>45240.0</v>
      </c>
      <c r="P443" s="35" t="s">
        <v>1839</v>
      </c>
      <c r="Q443" s="12"/>
      <c r="R443" s="12"/>
      <c r="S443" s="12"/>
      <c r="T443" s="52">
        <v>45231.0</v>
      </c>
      <c r="U443" s="52">
        <v>45237.0</v>
      </c>
      <c r="V443" s="52">
        <v>45237.0</v>
      </c>
      <c r="W443" s="30"/>
      <c r="X443" s="30"/>
      <c r="Y443" s="31"/>
      <c r="Z443" s="31"/>
      <c r="AA443" s="31"/>
      <c r="AB443" s="74" t="s">
        <v>1840</v>
      </c>
      <c r="AC443" s="74"/>
    </row>
    <row r="444" ht="16.5" customHeight="1">
      <c r="A444" s="48" t="s">
        <v>1841</v>
      </c>
      <c r="B444" s="53" t="s">
        <v>477</v>
      </c>
      <c r="C444" s="47">
        <v>0.0</v>
      </c>
      <c r="D444" s="70" t="s">
        <v>1842</v>
      </c>
      <c r="E444" s="55" t="s">
        <v>251</v>
      </c>
      <c r="F444" s="32" t="s">
        <v>33</v>
      </c>
      <c r="G444" s="32" t="s">
        <v>34</v>
      </c>
      <c r="H444" s="71" t="s">
        <v>35</v>
      </c>
      <c r="I444" s="71" t="s">
        <v>36</v>
      </c>
      <c r="J444" s="34" t="s">
        <v>65</v>
      </c>
      <c r="K444" s="57" t="s">
        <v>38</v>
      </c>
      <c r="L444" s="72">
        <v>9923.0</v>
      </c>
      <c r="M444" s="22"/>
      <c r="N444" s="73"/>
      <c r="O444" s="28">
        <v>45238.0</v>
      </c>
      <c r="P444" s="35" t="s">
        <v>1843</v>
      </c>
      <c r="Q444" s="12"/>
      <c r="R444" s="12"/>
      <c r="S444" s="12"/>
      <c r="T444" s="52">
        <v>45231.0</v>
      </c>
      <c r="U444" s="52">
        <v>45236.0</v>
      </c>
      <c r="V444" s="52">
        <v>45237.0</v>
      </c>
      <c r="W444" s="30"/>
      <c r="X444" s="30"/>
      <c r="Y444" s="31"/>
      <c r="Z444" s="31"/>
      <c r="AA444" s="31"/>
      <c r="AB444" s="74" t="s">
        <v>1844</v>
      </c>
      <c r="AC444" s="74"/>
    </row>
    <row r="445" ht="16.5" customHeight="1">
      <c r="A445" s="48" t="s">
        <v>1845</v>
      </c>
      <c r="B445" s="53" t="s">
        <v>818</v>
      </c>
      <c r="C445" s="47">
        <v>0.0</v>
      </c>
      <c r="D445" s="70"/>
      <c r="E445" s="55" t="s">
        <v>383</v>
      </c>
      <c r="F445" s="32" t="s">
        <v>33</v>
      </c>
      <c r="G445" s="32" t="s">
        <v>35</v>
      </c>
      <c r="H445" s="71" t="s">
        <v>35</v>
      </c>
      <c r="I445" s="71" t="s">
        <v>665</v>
      </c>
      <c r="J445" s="34" t="s">
        <v>49</v>
      </c>
      <c r="K445" s="57" t="s">
        <v>38</v>
      </c>
      <c r="L445" s="72">
        <v>9917.0</v>
      </c>
      <c r="M445" s="22"/>
      <c r="N445" s="73"/>
      <c r="O445" s="28">
        <v>45237.0</v>
      </c>
      <c r="P445" s="35" t="s">
        <v>1846</v>
      </c>
      <c r="Q445" s="12"/>
      <c r="R445" s="12"/>
      <c r="S445" s="12"/>
      <c r="T445" s="52">
        <v>45233.0</v>
      </c>
      <c r="U445" s="52">
        <v>45236.0</v>
      </c>
      <c r="V445" s="52">
        <v>45237.0</v>
      </c>
      <c r="W445" s="30"/>
      <c r="X445" s="30"/>
      <c r="Y445" s="31"/>
      <c r="Z445" s="31"/>
      <c r="AA445" s="31"/>
      <c r="AB445" s="74" t="s">
        <v>1847</v>
      </c>
      <c r="AC445" s="74"/>
    </row>
    <row r="446" ht="16.5" customHeight="1">
      <c r="A446" s="48" t="s">
        <v>1848</v>
      </c>
      <c r="B446" s="53" t="s">
        <v>1849</v>
      </c>
      <c r="C446" s="47">
        <v>0.0</v>
      </c>
      <c r="D446" s="70" t="s">
        <v>1850</v>
      </c>
      <c r="E446" s="55" t="s">
        <v>257</v>
      </c>
      <c r="F446" s="32" t="s">
        <v>244</v>
      </c>
      <c r="G446" s="32" t="s">
        <v>35</v>
      </c>
      <c r="H446" s="71" t="s">
        <v>35</v>
      </c>
      <c r="I446" s="71" t="s">
        <v>36</v>
      </c>
      <c r="J446" s="34" t="s">
        <v>203</v>
      </c>
      <c r="K446" s="57" t="s">
        <v>38</v>
      </c>
      <c r="L446" s="72">
        <v>9966.0</v>
      </c>
      <c r="M446" s="22"/>
      <c r="N446" s="76"/>
      <c r="O446" s="28">
        <v>45247.0</v>
      </c>
      <c r="P446" s="35" t="s">
        <v>1851</v>
      </c>
      <c r="Q446" s="12"/>
      <c r="R446" s="12"/>
      <c r="S446" s="12"/>
      <c r="T446" s="52">
        <v>45233.0</v>
      </c>
      <c r="U446" s="52">
        <v>45236.0</v>
      </c>
      <c r="V446" s="52">
        <v>45245.0</v>
      </c>
      <c r="W446" s="30"/>
      <c r="X446" s="30"/>
      <c r="Y446" s="31"/>
      <c r="Z446" s="31"/>
      <c r="AA446" s="31"/>
      <c r="AB446" s="74" t="s">
        <v>1852</v>
      </c>
      <c r="AC446" s="74"/>
    </row>
    <row r="447" ht="16.5" customHeight="1">
      <c r="A447" s="48" t="s">
        <v>1853</v>
      </c>
      <c r="B447" s="53" t="s">
        <v>1849</v>
      </c>
      <c r="C447" s="47">
        <v>0.0</v>
      </c>
      <c r="D447" s="70" t="s">
        <v>1854</v>
      </c>
      <c r="E447" s="55" t="s">
        <v>243</v>
      </c>
      <c r="F447" s="32" t="s">
        <v>244</v>
      </c>
      <c r="G447" s="32" t="s">
        <v>35</v>
      </c>
      <c r="H447" s="71" t="s">
        <v>35</v>
      </c>
      <c r="I447" s="71" t="s">
        <v>36</v>
      </c>
      <c r="J447" s="34" t="s">
        <v>203</v>
      </c>
      <c r="K447" s="57" t="s">
        <v>38</v>
      </c>
      <c r="L447" s="72">
        <v>9966.0</v>
      </c>
      <c r="M447" s="22"/>
      <c r="N447" s="76"/>
      <c r="O447" s="28">
        <v>45247.0</v>
      </c>
      <c r="P447" s="35" t="s">
        <v>1851</v>
      </c>
      <c r="Q447" s="12"/>
      <c r="R447" s="12"/>
      <c r="S447" s="12"/>
      <c r="T447" s="52">
        <v>45233.0</v>
      </c>
      <c r="U447" s="52">
        <v>45236.0</v>
      </c>
      <c r="V447" s="52">
        <v>45240.0</v>
      </c>
      <c r="W447" s="30"/>
      <c r="X447" s="30"/>
      <c r="Y447" s="31"/>
      <c r="Z447" s="31"/>
      <c r="AA447" s="31"/>
      <c r="AB447" s="74" t="s">
        <v>1855</v>
      </c>
      <c r="AC447" s="74"/>
    </row>
    <row r="448" ht="16.5" customHeight="1">
      <c r="A448" s="48" t="s">
        <v>1856</v>
      </c>
      <c r="B448" s="53" t="s">
        <v>1299</v>
      </c>
      <c r="C448" s="47">
        <v>0.0</v>
      </c>
      <c r="D448" s="70" t="s">
        <v>1857</v>
      </c>
      <c r="E448" s="55" t="s">
        <v>1858</v>
      </c>
      <c r="F448" s="32" t="s">
        <v>33</v>
      </c>
      <c r="G448" s="32" t="s">
        <v>35</v>
      </c>
      <c r="H448" s="71" t="s">
        <v>35</v>
      </c>
      <c r="I448" s="71" t="s">
        <v>36</v>
      </c>
      <c r="J448" s="34" t="s">
        <v>92</v>
      </c>
      <c r="K448" s="57" t="s">
        <v>38</v>
      </c>
      <c r="L448" s="72">
        <v>9976.0</v>
      </c>
      <c r="M448" s="27"/>
      <c r="N448" s="76"/>
      <c r="O448" s="28">
        <v>45259.0</v>
      </c>
      <c r="P448" s="26"/>
      <c r="Q448" s="12"/>
      <c r="R448" s="12"/>
      <c r="S448" s="12"/>
      <c r="T448" s="52">
        <v>45235.0</v>
      </c>
      <c r="U448" s="52">
        <v>45236.0</v>
      </c>
      <c r="V448" s="52">
        <v>45247.0</v>
      </c>
      <c r="W448" s="30"/>
      <c r="X448" s="30"/>
      <c r="Y448" s="31"/>
      <c r="Z448" s="31"/>
      <c r="AA448" s="31"/>
      <c r="AB448" s="74" t="s">
        <v>1859</v>
      </c>
      <c r="AC448" s="74"/>
    </row>
    <row r="449" ht="16.5" customHeight="1">
      <c r="A449" s="48" t="s">
        <v>1860</v>
      </c>
      <c r="B449" s="53" t="s">
        <v>1861</v>
      </c>
      <c r="C449" s="47">
        <v>0.0</v>
      </c>
      <c r="D449" s="70" t="s">
        <v>1862</v>
      </c>
      <c r="E449" s="55" t="s">
        <v>257</v>
      </c>
      <c r="F449" s="32" t="s">
        <v>244</v>
      </c>
      <c r="G449" s="32" t="s">
        <v>35</v>
      </c>
      <c r="H449" s="71" t="s">
        <v>35</v>
      </c>
      <c r="I449" s="71" t="s">
        <v>36</v>
      </c>
      <c r="J449" s="34" t="s">
        <v>420</v>
      </c>
      <c r="K449" s="57" t="s">
        <v>38</v>
      </c>
      <c r="L449" s="72">
        <v>9965.0</v>
      </c>
      <c r="M449" s="22"/>
      <c r="N449" s="76"/>
      <c r="O449" s="28">
        <v>45246.0</v>
      </c>
      <c r="P449" s="35" t="s">
        <v>1863</v>
      </c>
      <c r="Q449" s="12"/>
      <c r="R449" s="12"/>
      <c r="S449" s="12"/>
      <c r="T449" s="52">
        <v>45235.0</v>
      </c>
      <c r="U449" s="52">
        <v>45236.0</v>
      </c>
      <c r="V449" s="52">
        <v>45245.0</v>
      </c>
      <c r="W449" s="30"/>
      <c r="X449" s="30"/>
      <c r="Y449" s="31"/>
      <c r="Z449" s="31"/>
      <c r="AA449" s="31"/>
      <c r="AB449" s="74" t="s">
        <v>1864</v>
      </c>
      <c r="AC449" s="74"/>
    </row>
    <row r="450" ht="16.5" customHeight="1">
      <c r="A450" s="48" t="s">
        <v>1865</v>
      </c>
      <c r="B450" s="53" t="s">
        <v>1866</v>
      </c>
      <c r="C450" s="47">
        <v>0.0</v>
      </c>
      <c r="D450" s="70" t="s">
        <v>1867</v>
      </c>
      <c r="E450" s="55" t="s">
        <v>243</v>
      </c>
      <c r="F450" s="32" t="s">
        <v>244</v>
      </c>
      <c r="G450" s="32" t="s">
        <v>35</v>
      </c>
      <c r="H450" s="71" t="s">
        <v>35</v>
      </c>
      <c r="I450" s="71" t="s">
        <v>36</v>
      </c>
      <c r="J450" s="34" t="s">
        <v>258</v>
      </c>
      <c r="K450" s="57" t="s">
        <v>38</v>
      </c>
      <c r="L450" s="72">
        <v>9964.0</v>
      </c>
      <c r="M450" s="27"/>
      <c r="N450" s="76"/>
      <c r="O450" s="28">
        <v>45246.0</v>
      </c>
      <c r="P450" s="26"/>
      <c r="Q450" s="12"/>
      <c r="R450" s="12"/>
      <c r="S450" s="12"/>
      <c r="T450" s="52">
        <v>45235.0</v>
      </c>
      <c r="U450" s="52">
        <v>45238.0</v>
      </c>
      <c r="V450" s="52">
        <v>45244.0</v>
      </c>
      <c r="W450" s="30"/>
      <c r="X450" s="30"/>
      <c r="Y450" s="31"/>
      <c r="Z450" s="31"/>
      <c r="AA450" s="31"/>
      <c r="AB450" s="74" t="s">
        <v>1868</v>
      </c>
      <c r="AC450" s="74"/>
    </row>
    <row r="451" ht="16.5" customHeight="1">
      <c r="A451" s="48" t="s">
        <v>1869</v>
      </c>
      <c r="B451" s="53" t="s">
        <v>498</v>
      </c>
      <c r="C451" s="47">
        <v>0.0</v>
      </c>
      <c r="D451" s="70" t="s">
        <v>1870</v>
      </c>
      <c r="E451" s="55" t="s">
        <v>338</v>
      </c>
      <c r="F451" s="32" t="s">
        <v>33</v>
      </c>
      <c r="G451" s="32" t="s">
        <v>34</v>
      </c>
      <c r="H451" s="71" t="s">
        <v>35</v>
      </c>
      <c r="I451" s="71" t="s">
        <v>36</v>
      </c>
      <c r="J451" s="34" t="s">
        <v>420</v>
      </c>
      <c r="K451" s="57" t="s">
        <v>38</v>
      </c>
      <c r="L451" s="72">
        <v>9922.0</v>
      </c>
      <c r="M451" s="27"/>
      <c r="N451" s="73"/>
      <c r="O451" s="28">
        <v>45238.0</v>
      </c>
      <c r="P451" s="26"/>
      <c r="Q451" s="12"/>
      <c r="R451" s="12"/>
      <c r="S451" s="12"/>
      <c r="T451" s="52">
        <v>45235.0</v>
      </c>
      <c r="U451" s="52">
        <v>45236.0</v>
      </c>
      <c r="V451" s="52">
        <v>45237.0</v>
      </c>
      <c r="W451" s="30"/>
      <c r="X451" s="30"/>
      <c r="Y451" s="31"/>
      <c r="Z451" s="31"/>
      <c r="AA451" s="31"/>
      <c r="AB451" s="74" t="s">
        <v>1871</v>
      </c>
      <c r="AC451" s="74"/>
    </row>
    <row r="452" ht="16.5" customHeight="1">
      <c r="A452" s="48" t="s">
        <v>1872</v>
      </c>
      <c r="B452" s="53" t="s">
        <v>1873</v>
      </c>
      <c r="C452" s="47">
        <v>0.0</v>
      </c>
      <c r="D452" s="70" t="s">
        <v>1874</v>
      </c>
      <c r="E452" s="55" t="s">
        <v>713</v>
      </c>
      <c r="F452" s="32" t="s">
        <v>33</v>
      </c>
      <c r="G452" s="32" t="s">
        <v>34</v>
      </c>
      <c r="H452" s="71" t="s">
        <v>35</v>
      </c>
      <c r="I452" s="71" t="s">
        <v>36</v>
      </c>
      <c r="J452" s="34" t="s">
        <v>339</v>
      </c>
      <c r="K452" s="57" t="s">
        <v>38</v>
      </c>
      <c r="L452" s="72">
        <v>9921.0</v>
      </c>
      <c r="M452" s="22"/>
      <c r="N452" s="73"/>
      <c r="O452" s="28">
        <v>45238.0</v>
      </c>
      <c r="P452" s="35" t="s">
        <v>1875</v>
      </c>
      <c r="Q452" s="12"/>
      <c r="R452" s="12"/>
      <c r="S452" s="12"/>
      <c r="T452" s="52">
        <v>45236.0</v>
      </c>
      <c r="U452" s="52">
        <v>45236.0</v>
      </c>
      <c r="V452" s="52">
        <v>45237.0</v>
      </c>
      <c r="W452" s="30"/>
      <c r="X452" s="30"/>
      <c r="Y452" s="31"/>
      <c r="Z452" s="31"/>
      <c r="AA452" s="31"/>
      <c r="AB452" s="74" t="s">
        <v>1876</v>
      </c>
      <c r="AC452" s="74"/>
    </row>
    <row r="453" ht="16.5" customHeight="1">
      <c r="A453" s="48" t="s">
        <v>1877</v>
      </c>
      <c r="B453" s="53" t="s">
        <v>299</v>
      </c>
      <c r="C453" s="47">
        <v>0.0</v>
      </c>
      <c r="D453" s="70" t="s">
        <v>1878</v>
      </c>
      <c r="E453" s="55" t="s">
        <v>511</v>
      </c>
      <c r="F453" s="32" t="s">
        <v>33</v>
      </c>
      <c r="G453" s="32" t="s">
        <v>35</v>
      </c>
      <c r="H453" s="71" t="s">
        <v>35</v>
      </c>
      <c r="I453" s="71" t="s">
        <v>36</v>
      </c>
      <c r="J453" s="34" t="s">
        <v>92</v>
      </c>
      <c r="K453" s="57" t="s">
        <v>38</v>
      </c>
      <c r="L453" s="72">
        <v>9916.0</v>
      </c>
      <c r="M453" s="22"/>
      <c r="N453" s="73"/>
      <c r="O453" s="28"/>
      <c r="P453" s="35" t="s">
        <v>1879</v>
      </c>
      <c r="Q453" s="12"/>
      <c r="R453" s="12"/>
      <c r="S453" s="12"/>
      <c r="T453" s="52">
        <v>45236.0</v>
      </c>
      <c r="U453" s="52">
        <v>45236.0</v>
      </c>
      <c r="V453" s="52">
        <v>45237.0</v>
      </c>
      <c r="W453" s="30"/>
      <c r="X453" s="30"/>
      <c r="Y453" s="31"/>
      <c r="Z453" s="31"/>
      <c r="AA453" s="31"/>
      <c r="AB453" s="74" t="s">
        <v>1880</v>
      </c>
      <c r="AC453" s="74"/>
    </row>
    <row r="454" ht="16.5" customHeight="1">
      <c r="A454" s="48" t="s">
        <v>1881</v>
      </c>
      <c r="B454" s="53" t="s">
        <v>1882</v>
      </c>
      <c r="C454" s="47">
        <v>0.0</v>
      </c>
      <c r="D454" s="70" t="s">
        <v>1883</v>
      </c>
      <c r="E454" s="55" t="s">
        <v>453</v>
      </c>
      <c r="F454" s="32" t="s">
        <v>244</v>
      </c>
      <c r="G454" s="32" t="s">
        <v>35</v>
      </c>
      <c r="H454" s="71" t="s">
        <v>35</v>
      </c>
      <c r="I454" s="71" t="s">
        <v>36</v>
      </c>
      <c r="J454" s="34" t="s">
        <v>65</v>
      </c>
      <c r="K454" s="57" t="s">
        <v>38</v>
      </c>
      <c r="L454" s="72">
        <v>9963.0</v>
      </c>
      <c r="M454" s="27"/>
      <c r="N454" s="76"/>
      <c r="O454" s="28">
        <v>45246.0</v>
      </c>
      <c r="P454" s="26"/>
      <c r="Q454" s="12"/>
      <c r="R454" s="12"/>
      <c r="S454" s="12"/>
      <c r="T454" s="52">
        <v>45236.0</v>
      </c>
      <c r="U454" s="52">
        <v>45236.0</v>
      </c>
      <c r="V454" s="52">
        <v>45245.0</v>
      </c>
      <c r="W454" s="30"/>
      <c r="X454" s="30"/>
      <c r="Y454" s="31"/>
      <c r="Z454" s="31"/>
      <c r="AA454" s="31"/>
      <c r="AB454" s="74" t="s">
        <v>1884</v>
      </c>
      <c r="AC454" s="74"/>
    </row>
    <row r="455" ht="16.5" customHeight="1">
      <c r="A455" s="48" t="s">
        <v>1885</v>
      </c>
      <c r="B455" s="53" t="s">
        <v>1886</v>
      </c>
      <c r="C455" s="47">
        <v>0.0</v>
      </c>
      <c r="D455" s="70" t="s">
        <v>1887</v>
      </c>
      <c r="E455" s="55" t="s">
        <v>408</v>
      </c>
      <c r="F455" s="32" t="s">
        <v>33</v>
      </c>
      <c r="G455" s="32" t="s">
        <v>34</v>
      </c>
      <c r="H455" s="71" t="s">
        <v>35</v>
      </c>
      <c r="I455" s="71" t="s">
        <v>36</v>
      </c>
      <c r="J455" s="34" t="s">
        <v>49</v>
      </c>
      <c r="K455" s="57" t="s">
        <v>38</v>
      </c>
      <c r="L455" s="72">
        <v>9985.0</v>
      </c>
      <c r="M455" s="27"/>
      <c r="N455" s="76"/>
      <c r="O455" s="28">
        <v>45252.0</v>
      </c>
      <c r="P455" s="26"/>
      <c r="Q455" s="12"/>
      <c r="R455" s="12"/>
      <c r="S455" s="12"/>
      <c r="T455" s="52">
        <v>45236.0</v>
      </c>
      <c r="U455" s="52">
        <v>45240.0</v>
      </c>
      <c r="V455" s="52">
        <v>45243.0</v>
      </c>
      <c r="W455" s="30"/>
      <c r="X455" s="30"/>
      <c r="Y455" s="31"/>
      <c r="Z455" s="31"/>
      <c r="AA455" s="31"/>
      <c r="AB455" s="74" t="s">
        <v>1888</v>
      </c>
      <c r="AC455" s="74"/>
    </row>
    <row r="456" ht="16.5" customHeight="1">
      <c r="A456" s="48" t="s">
        <v>1889</v>
      </c>
      <c r="B456" s="53" t="s">
        <v>1886</v>
      </c>
      <c r="C456" s="47">
        <v>0.0</v>
      </c>
      <c r="D456" s="70" t="s">
        <v>1890</v>
      </c>
      <c r="E456" s="55" t="s">
        <v>213</v>
      </c>
      <c r="F456" s="32" t="s">
        <v>33</v>
      </c>
      <c r="G456" s="32" t="s">
        <v>34</v>
      </c>
      <c r="H456" s="71" t="s">
        <v>35</v>
      </c>
      <c r="I456" s="71" t="s">
        <v>36</v>
      </c>
      <c r="J456" s="34" t="s">
        <v>49</v>
      </c>
      <c r="K456" s="57" t="s">
        <v>38</v>
      </c>
      <c r="L456" s="72">
        <v>9985.0</v>
      </c>
      <c r="M456" s="27"/>
      <c r="N456" s="76"/>
      <c r="O456" s="28">
        <v>45252.0</v>
      </c>
      <c r="P456" s="26"/>
      <c r="Q456" s="12"/>
      <c r="R456" s="12"/>
      <c r="S456" s="12"/>
      <c r="T456" s="52">
        <v>45236.0</v>
      </c>
      <c r="U456" s="52">
        <v>45240.0</v>
      </c>
      <c r="V456" s="52">
        <v>45247.0</v>
      </c>
      <c r="W456" s="30"/>
      <c r="X456" s="30"/>
      <c r="Y456" s="31"/>
      <c r="Z456" s="31"/>
      <c r="AA456" s="31"/>
      <c r="AB456" s="74" t="s">
        <v>1891</v>
      </c>
      <c r="AC456" s="74"/>
    </row>
    <row r="457" ht="16.5" customHeight="1">
      <c r="A457" s="48" t="s">
        <v>1892</v>
      </c>
      <c r="B457" s="53" t="s">
        <v>1886</v>
      </c>
      <c r="C457" s="47">
        <v>0.0</v>
      </c>
      <c r="D457" s="70" t="s">
        <v>1893</v>
      </c>
      <c r="E457" s="55" t="s">
        <v>461</v>
      </c>
      <c r="F457" s="32" t="s">
        <v>244</v>
      </c>
      <c r="G457" s="32" t="s">
        <v>35</v>
      </c>
      <c r="H457" s="71" t="s">
        <v>35</v>
      </c>
      <c r="I457" s="71" t="s">
        <v>36</v>
      </c>
      <c r="J457" s="34" t="s">
        <v>49</v>
      </c>
      <c r="K457" s="57" t="s">
        <v>38</v>
      </c>
      <c r="L457" s="72">
        <v>9985.0</v>
      </c>
      <c r="M457" s="27"/>
      <c r="N457" s="76"/>
      <c r="O457" s="28">
        <v>45252.0</v>
      </c>
      <c r="P457" s="26"/>
      <c r="Q457" s="12"/>
      <c r="R457" s="12"/>
      <c r="S457" s="12"/>
      <c r="T457" s="52">
        <v>45236.0</v>
      </c>
      <c r="U457" s="52">
        <v>45240.0</v>
      </c>
      <c r="V457" s="52">
        <v>45245.0</v>
      </c>
      <c r="W457" s="30"/>
      <c r="X457" s="30"/>
      <c r="Y457" s="31"/>
      <c r="Z457" s="31"/>
      <c r="AA457" s="31"/>
      <c r="AB457" s="74" t="s">
        <v>1894</v>
      </c>
      <c r="AC457" s="74"/>
    </row>
    <row r="458" ht="16.5" customHeight="1">
      <c r="A458" s="48" t="s">
        <v>1895</v>
      </c>
      <c r="B458" s="53" t="s">
        <v>818</v>
      </c>
      <c r="C458" s="47">
        <v>0.0</v>
      </c>
      <c r="D458" s="70" t="s">
        <v>1896</v>
      </c>
      <c r="E458" s="55" t="s">
        <v>453</v>
      </c>
      <c r="F458" s="32" t="s">
        <v>244</v>
      </c>
      <c r="G458" s="32" t="s">
        <v>35</v>
      </c>
      <c r="H458" s="71" t="s">
        <v>35</v>
      </c>
      <c r="I458" s="71" t="s">
        <v>36</v>
      </c>
      <c r="J458" s="34" t="s">
        <v>49</v>
      </c>
      <c r="K458" s="57" t="s">
        <v>38</v>
      </c>
      <c r="L458" s="72">
        <v>9953.0</v>
      </c>
      <c r="M458" s="22"/>
      <c r="N458" s="76"/>
      <c r="O458" s="28">
        <v>45244.0</v>
      </c>
      <c r="P458" s="35" t="s">
        <v>1897</v>
      </c>
      <c r="Q458" s="12"/>
      <c r="R458" s="12"/>
      <c r="S458" s="12"/>
      <c r="T458" s="52">
        <v>45236.0</v>
      </c>
      <c r="U458" s="52">
        <v>45237.0</v>
      </c>
      <c r="V458" s="52">
        <v>45243.0</v>
      </c>
      <c r="W458" s="30"/>
      <c r="X458" s="30"/>
      <c r="Y458" s="31"/>
      <c r="Z458" s="31"/>
      <c r="AA458" s="31"/>
      <c r="AB458" s="74" t="s">
        <v>1898</v>
      </c>
      <c r="AC458" s="74"/>
    </row>
    <row r="459" ht="16.5" customHeight="1">
      <c r="A459" s="48" t="s">
        <v>1899</v>
      </c>
      <c r="B459" s="53" t="s">
        <v>818</v>
      </c>
      <c r="C459" s="47">
        <v>0.0</v>
      </c>
      <c r="D459" s="70"/>
      <c r="E459" s="55" t="s">
        <v>453</v>
      </c>
      <c r="F459" s="32" t="s">
        <v>244</v>
      </c>
      <c r="G459" s="32" t="s">
        <v>35</v>
      </c>
      <c r="H459" s="71" t="s">
        <v>35</v>
      </c>
      <c r="I459" s="71" t="s">
        <v>36</v>
      </c>
      <c r="J459" s="34" t="s">
        <v>49</v>
      </c>
      <c r="K459" s="57" t="s">
        <v>38</v>
      </c>
      <c r="L459" s="72">
        <v>9953.0</v>
      </c>
      <c r="M459" s="22"/>
      <c r="N459" s="76"/>
      <c r="O459" s="28">
        <v>45244.0</v>
      </c>
      <c r="P459" s="35" t="s">
        <v>1900</v>
      </c>
      <c r="Q459" s="12"/>
      <c r="R459" s="12"/>
      <c r="S459" s="12"/>
      <c r="T459" s="52">
        <v>45236.0</v>
      </c>
      <c r="U459" s="52">
        <v>45237.0</v>
      </c>
      <c r="V459" s="52">
        <v>45243.0</v>
      </c>
      <c r="W459" s="30"/>
      <c r="X459" s="30"/>
      <c r="Y459" s="31"/>
      <c r="Z459" s="31"/>
      <c r="AA459" s="31"/>
      <c r="AB459" s="74" t="s">
        <v>1901</v>
      </c>
      <c r="AC459" s="74"/>
    </row>
    <row r="460" ht="16.5" customHeight="1">
      <c r="A460" s="48" t="s">
        <v>1902</v>
      </c>
      <c r="B460" s="53" t="s">
        <v>725</v>
      </c>
      <c r="C460" s="47">
        <v>0.0</v>
      </c>
      <c r="D460" s="70" t="s">
        <v>1903</v>
      </c>
      <c r="E460" s="55" t="s">
        <v>1077</v>
      </c>
      <c r="F460" s="32" t="s">
        <v>33</v>
      </c>
      <c r="G460" s="32" t="s">
        <v>34</v>
      </c>
      <c r="H460" s="71" t="s">
        <v>35</v>
      </c>
      <c r="I460" s="71" t="s">
        <v>36</v>
      </c>
      <c r="J460" s="34" t="s">
        <v>203</v>
      </c>
      <c r="K460" s="57" t="s">
        <v>38</v>
      </c>
      <c r="L460" s="72">
        <v>9952.0</v>
      </c>
      <c r="M460" s="27"/>
      <c r="N460" s="76"/>
      <c r="O460" s="28">
        <v>45244.0</v>
      </c>
      <c r="P460" s="26"/>
      <c r="Q460" s="12"/>
      <c r="R460" s="12"/>
      <c r="S460" s="12"/>
      <c r="T460" s="52">
        <v>45236.0</v>
      </c>
      <c r="U460" s="52">
        <v>45236.0</v>
      </c>
      <c r="V460" s="52">
        <v>45243.0</v>
      </c>
      <c r="W460" s="30"/>
      <c r="X460" s="30"/>
      <c r="Y460" s="31"/>
      <c r="Z460" s="31"/>
      <c r="AA460" s="31"/>
      <c r="AB460" s="74" t="s">
        <v>1904</v>
      </c>
      <c r="AC460" s="74"/>
    </row>
    <row r="461" ht="16.5" customHeight="1">
      <c r="A461" s="48" t="s">
        <v>1905</v>
      </c>
      <c r="B461" s="53" t="s">
        <v>818</v>
      </c>
      <c r="C461" s="47">
        <v>0.0</v>
      </c>
      <c r="D461" s="70" t="s">
        <v>1906</v>
      </c>
      <c r="E461" s="55" t="s">
        <v>550</v>
      </c>
      <c r="F461" s="32" t="s">
        <v>33</v>
      </c>
      <c r="G461" s="32" t="s">
        <v>35</v>
      </c>
      <c r="H461" s="71" t="s">
        <v>35</v>
      </c>
      <c r="I461" s="71" t="s">
        <v>36</v>
      </c>
      <c r="J461" s="34" t="s">
        <v>49</v>
      </c>
      <c r="K461" s="57" t="s">
        <v>38</v>
      </c>
      <c r="L461" s="72">
        <v>9962.0</v>
      </c>
      <c r="M461" s="22"/>
      <c r="N461" s="76"/>
      <c r="O461" s="28">
        <v>45246.0</v>
      </c>
      <c r="P461" s="35" t="s">
        <v>1907</v>
      </c>
      <c r="Q461" s="12"/>
      <c r="R461" s="12"/>
      <c r="S461" s="12"/>
      <c r="T461" s="52">
        <v>45236.0</v>
      </c>
      <c r="U461" s="52">
        <v>45236.0</v>
      </c>
      <c r="V461" s="52">
        <v>45245.0</v>
      </c>
      <c r="W461" s="30"/>
      <c r="X461" s="30"/>
      <c r="Y461" s="31"/>
      <c r="Z461" s="31"/>
      <c r="AA461" s="31"/>
      <c r="AB461" s="74" t="s">
        <v>1908</v>
      </c>
      <c r="AC461" s="74"/>
    </row>
    <row r="462" ht="16.5" customHeight="1">
      <c r="A462" s="48" t="s">
        <v>1909</v>
      </c>
      <c r="B462" s="53" t="s">
        <v>418</v>
      </c>
      <c r="C462" s="47">
        <v>0.0</v>
      </c>
      <c r="D462" s="70" t="s">
        <v>1910</v>
      </c>
      <c r="E462" s="55" t="s">
        <v>1911</v>
      </c>
      <c r="F462" s="32" t="s">
        <v>244</v>
      </c>
      <c r="G462" s="32" t="s">
        <v>35</v>
      </c>
      <c r="H462" s="71" t="s">
        <v>35</v>
      </c>
      <c r="I462" s="71" t="s">
        <v>36</v>
      </c>
      <c r="J462" s="34" t="s">
        <v>718</v>
      </c>
      <c r="K462" s="57" t="s">
        <v>38</v>
      </c>
      <c r="L462" s="72">
        <v>9931.0</v>
      </c>
      <c r="M462" s="22"/>
      <c r="N462" s="73"/>
      <c r="O462" s="28">
        <v>45240.0</v>
      </c>
      <c r="P462" s="35" t="s">
        <v>1912</v>
      </c>
      <c r="Q462" s="12"/>
      <c r="R462" s="12"/>
      <c r="S462" s="12"/>
      <c r="T462" s="52">
        <v>45237.0</v>
      </c>
      <c r="U462" s="52">
        <v>45237.0</v>
      </c>
      <c r="V462" s="52">
        <v>45239.0</v>
      </c>
      <c r="W462" s="30"/>
      <c r="X462" s="30"/>
      <c r="Y462" s="31"/>
      <c r="Z462" s="31"/>
      <c r="AA462" s="31"/>
      <c r="AB462" s="74" t="s">
        <v>1913</v>
      </c>
      <c r="AC462" s="74"/>
    </row>
    <row r="463" ht="16.5" customHeight="1">
      <c r="A463" s="48" t="s">
        <v>1914</v>
      </c>
      <c r="B463" s="53" t="s">
        <v>418</v>
      </c>
      <c r="C463" s="47">
        <v>0.0</v>
      </c>
      <c r="D463" s="70" t="s">
        <v>1915</v>
      </c>
      <c r="E463" s="55" t="s">
        <v>1911</v>
      </c>
      <c r="F463" s="32" t="s">
        <v>244</v>
      </c>
      <c r="G463" s="32" t="s">
        <v>35</v>
      </c>
      <c r="H463" s="71" t="s">
        <v>35</v>
      </c>
      <c r="I463" s="71" t="s">
        <v>36</v>
      </c>
      <c r="J463" s="34" t="s">
        <v>718</v>
      </c>
      <c r="K463" s="57" t="s">
        <v>38</v>
      </c>
      <c r="L463" s="72">
        <v>9931.0</v>
      </c>
      <c r="M463" s="22"/>
      <c r="N463" s="73"/>
      <c r="O463" s="28">
        <v>45240.0</v>
      </c>
      <c r="P463" s="35" t="s">
        <v>1912</v>
      </c>
      <c r="Q463" s="12"/>
      <c r="R463" s="12"/>
      <c r="S463" s="12"/>
      <c r="T463" s="52">
        <v>45237.0</v>
      </c>
      <c r="U463" s="52">
        <v>45237.0</v>
      </c>
      <c r="V463" s="52">
        <v>45239.0</v>
      </c>
      <c r="W463" s="30"/>
      <c r="X463" s="30"/>
      <c r="Y463" s="31"/>
      <c r="Z463" s="31"/>
      <c r="AA463" s="31"/>
      <c r="AB463" s="74" t="s">
        <v>1916</v>
      </c>
      <c r="AC463" s="74"/>
    </row>
    <row r="464" ht="16.5" customHeight="1">
      <c r="A464" s="48" t="s">
        <v>1917</v>
      </c>
      <c r="B464" s="53" t="s">
        <v>1918</v>
      </c>
      <c r="C464" s="47">
        <v>0.0</v>
      </c>
      <c r="D464" s="70" t="s">
        <v>1919</v>
      </c>
      <c r="E464" s="55" t="s">
        <v>213</v>
      </c>
      <c r="F464" s="32" t="s">
        <v>33</v>
      </c>
      <c r="G464" s="32" t="s">
        <v>35</v>
      </c>
      <c r="H464" s="71" t="s">
        <v>35</v>
      </c>
      <c r="I464" s="71" t="s">
        <v>36</v>
      </c>
      <c r="J464" s="34" t="s">
        <v>1098</v>
      </c>
      <c r="K464" s="57" t="s">
        <v>38</v>
      </c>
      <c r="L464" s="72">
        <v>9942.0</v>
      </c>
      <c r="M464" s="27"/>
      <c r="N464" s="73"/>
      <c r="O464" s="28">
        <v>45243.0</v>
      </c>
      <c r="P464" s="26"/>
      <c r="Q464" s="12"/>
      <c r="R464" s="12"/>
      <c r="S464" s="12"/>
      <c r="T464" s="52">
        <v>45237.0</v>
      </c>
      <c r="U464" s="52">
        <v>45237.0</v>
      </c>
      <c r="V464" s="52">
        <v>45238.0</v>
      </c>
      <c r="W464" s="30"/>
      <c r="X464" s="30"/>
      <c r="Y464" s="31"/>
      <c r="Z464" s="31"/>
      <c r="AA464" s="31"/>
      <c r="AB464" s="74" t="s">
        <v>1920</v>
      </c>
      <c r="AC464" s="74"/>
    </row>
    <row r="465" ht="16.5" customHeight="1">
      <c r="A465" s="48" t="s">
        <v>1921</v>
      </c>
      <c r="B465" s="53" t="s">
        <v>1918</v>
      </c>
      <c r="C465" s="47">
        <v>0.0</v>
      </c>
      <c r="D465" s="70" t="s">
        <v>1922</v>
      </c>
      <c r="E465" s="55" t="s">
        <v>213</v>
      </c>
      <c r="F465" s="32" t="s">
        <v>33</v>
      </c>
      <c r="G465" s="32" t="s">
        <v>35</v>
      </c>
      <c r="H465" s="71" t="s">
        <v>35</v>
      </c>
      <c r="I465" s="71" t="s">
        <v>665</v>
      </c>
      <c r="J465" s="34" t="s">
        <v>1098</v>
      </c>
      <c r="K465" s="57" t="s">
        <v>38</v>
      </c>
      <c r="L465" s="72" t="s">
        <v>1923</v>
      </c>
      <c r="M465" s="27"/>
      <c r="N465" s="73"/>
      <c r="O465" s="28">
        <v>45351.0</v>
      </c>
      <c r="P465" s="26"/>
      <c r="Q465" s="12"/>
      <c r="R465" s="12"/>
      <c r="S465" s="12"/>
      <c r="T465" s="52">
        <v>45237.0</v>
      </c>
      <c r="U465" s="52">
        <v>45237.0</v>
      </c>
      <c r="V465" s="52">
        <v>45238.0</v>
      </c>
      <c r="W465" s="30"/>
      <c r="X465" s="30"/>
      <c r="Y465" s="31"/>
      <c r="Z465" s="31"/>
      <c r="AA465" s="31"/>
      <c r="AB465" s="74" t="s">
        <v>1924</v>
      </c>
      <c r="AC465" s="74"/>
    </row>
    <row r="466" ht="16.5" customHeight="1">
      <c r="A466" s="48" t="s">
        <v>1925</v>
      </c>
      <c r="B466" s="53" t="s">
        <v>1918</v>
      </c>
      <c r="C466" s="47">
        <v>0.0</v>
      </c>
      <c r="D466" s="70" t="s">
        <v>1926</v>
      </c>
      <c r="E466" s="55" t="s">
        <v>213</v>
      </c>
      <c r="F466" s="32" t="s">
        <v>33</v>
      </c>
      <c r="G466" s="32" t="s">
        <v>35</v>
      </c>
      <c r="H466" s="71" t="s">
        <v>35</v>
      </c>
      <c r="I466" s="71" t="s">
        <v>36</v>
      </c>
      <c r="J466" s="34" t="s">
        <v>65</v>
      </c>
      <c r="K466" s="57" t="s">
        <v>38</v>
      </c>
      <c r="L466" s="72" t="s">
        <v>1923</v>
      </c>
      <c r="M466" s="27"/>
      <c r="N466" s="73"/>
      <c r="O466" s="28">
        <v>45243.0</v>
      </c>
      <c r="P466" s="26"/>
      <c r="Q466" s="12"/>
      <c r="R466" s="12"/>
      <c r="S466" s="12"/>
      <c r="T466" s="52">
        <v>45237.0</v>
      </c>
      <c r="U466" s="52">
        <v>45237.0</v>
      </c>
      <c r="V466" s="52">
        <v>45238.0</v>
      </c>
      <c r="W466" s="30"/>
      <c r="X466" s="30"/>
      <c r="Y466" s="31"/>
      <c r="Z466" s="31"/>
      <c r="AA466" s="31"/>
      <c r="AB466" s="74" t="s">
        <v>1927</v>
      </c>
      <c r="AC466" s="74"/>
    </row>
    <row r="467" ht="16.5" customHeight="1">
      <c r="A467" s="48" t="s">
        <v>1928</v>
      </c>
      <c r="B467" s="53" t="s">
        <v>1918</v>
      </c>
      <c r="C467" s="47">
        <v>0.0</v>
      </c>
      <c r="D467" s="70" t="s">
        <v>1929</v>
      </c>
      <c r="E467" s="55" t="s">
        <v>338</v>
      </c>
      <c r="F467" s="32" t="s">
        <v>33</v>
      </c>
      <c r="G467" s="32" t="s">
        <v>35</v>
      </c>
      <c r="H467" s="71" t="s">
        <v>35</v>
      </c>
      <c r="I467" s="71" t="s">
        <v>36</v>
      </c>
      <c r="J467" s="34" t="s">
        <v>65</v>
      </c>
      <c r="K467" s="57" t="s">
        <v>38</v>
      </c>
      <c r="L467" s="72">
        <v>9942.0</v>
      </c>
      <c r="M467" s="27"/>
      <c r="N467" s="73"/>
      <c r="O467" s="28">
        <v>45243.0</v>
      </c>
      <c r="P467" s="26"/>
      <c r="Q467" s="12"/>
      <c r="R467" s="12"/>
      <c r="S467" s="12"/>
      <c r="T467" s="52">
        <v>45237.0</v>
      </c>
      <c r="U467" s="52">
        <v>45237.0</v>
      </c>
      <c r="V467" s="52">
        <v>45238.0</v>
      </c>
      <c r="W467" s="30"/>
      <c r="X467" s="30"/>
      <c r="Y467" s="31"/>
      <c r="Z467" s="31"/>
      <c r="AA467" s="31"/>
      <c r="AB467" s="74" t="s">
        <v>1930</v>
      </c>
      <c r="AC467" s="74"/>
    </row>
    <row r="468" ht="16.5" customHeight="1">
      <c r="A468" s="48" t="s">
        <v>1931</v>
      </c>
      <c r="B468" s="53" t="s">
        <v>1918</v>
      </c>
      <c r="C468" s="47">
        <v>0.0</v>
      </c>
      <c r="D468" s="70" t="s">
        <v>1932</v>
      </c>
      <c r="E468" s="55" t="s">
        <v>338</v>
      </c>
      <c r="F468" s="32" t="s">
        <v>33</v>
      </c>
      <c r="G468" s="32" t="s">
        <v>35</v>
      </c>
      <c r="H468" s="71" t="s">
        <v>35</v>
      </c>
      <c r="I468" s="71" t="s">
        <v>665</v>
      </c>
      <c r="J468" s="34" t="s">
        <v>1098</v>
      </c>
      <c r="K468" s="57" t="s">
        <v>38</v>
      </c>
      <c r="L468" s="72" t="s">
        <v>1923</v>
      </c>
      <c r="M468" s="27"/>
      <c r="N468" s="73"/>
      <c r="O468" s="28">
        <v>45351.0</v>
      </c>
      <c r="P468" s="26"/>
      <c r="Q468" s="12"/>
      <c r="R468" s="12"/>
      <c r="S468" s="12"/>
      <c r="T468" s="52">
        <v>45237.0</v>
      </c>
      <c r="U468" s="52">
        <v>45237.0</v>
      </c>
      <c r="V468" s="52">
        <v>45238.0</v>
      </c>
      <c r="W468" s="30"/>
      <c r="X468" s="30"/>
      <c r="Y468" s="31"/>
      <c r="Z468" s="31"/>
      <c r="AA468" s="31"/>
      <c r="AB468" s="74" t="s">
        <v>1933</v>
      </c>
      <c r="AC468" s="74"/>
    </row>
    <row r="469" ht="16.5" customHeight="1">
      <c r="A469" s="48" t="s">
        <v>1934</v>
      </c>
      <c r="B469" s="53" t="s">
        <v>1918</v>
      </c>
      <c r="C469" s="47">
        <v>0.0</v>
      </c>
      <c r="D469" s="70" t="s">
        <v>1935</v>
      </c>
      <c r="E469" s="55" t="s">
        <v>338</v>
      </c>
      <c r="F469" s="32" t="s">
        <v>33</v>
      </c>
      <c r="G469" s="32" t="s">
        <v>35</v>
      </c>
      <c r="H469" s="71" t="s">
        <v>35</v>
      </c>
      <c r="I469" s="71" t="s">
        <v>665</v>
      </c>
      <c r="J469" s="34" t="s">
        <v>1098</v>
      </c>
      <c r="K469" s="57" t="s">
        <v>38</v>
      </c>
      <c r="L469" s="72" t="s">
        <v>1923</v>
      </c>
      <c r="M469" s="27"/>
      <c r="N469" s="73"/>
      <c r="O469" s="28">
        <v>45351.0</v>
      </c>
      <c r="P469" s="26"/>
      <c r="Q469" s="12"/>
      <c r="R469" s="12"/>
      <c r="S469" s="12"/>
      <c r="T469" s="52">
        <v>45237.0</v>
      </c>
      <c r="U469" s="52">
        <v>45237.0</v>
      </c>
      <c r="V469" s="52">
        <v>45238.0</v>
      </c>
      <c r="W469" s="30"/>
      <c r="X469" s="30"/>
      <c r="Y469" s="31"/>
      <c r="Z469" s="31"/>
      <c r="AA469" s="31"/>
      <c r="AB469" s="74" t="s">
        <v>1936</v>
      </c>
      <c r="AC469" s="74"/>
    </row>
    <row r="470" ht="16.5" customHeight="1">
      <c r="A470" s="48" t="s">
        <v>1937</v>
      </c>
      <c r="B470" s="53" t="s">
        <v>1938</v>
      </c>
      <c r="C470" s="47">
        <v>0.0</v>
      </c>
      <c r="D470" s="70" t="s">
        <v>1939</v>
      </c>
      <c r="E470" s="55" t="s">
        <v>511</v>
      </c>
      <c r="F470" s="32" t="s">
        <v>33</v>
      </c>
      <c r="G470" s="32" t="s">
        <v>35</v>
      </c>
      <c r="H470" s="71" t="s">
        <v>35</v>
      </c>
      <c r="I470" s="71" t="s">
        <v>36</v>
      </c>
      <c r="J470" s="34" t="s">
        <v>1938</v>
      </c>
      <c r="K470" s="57" t="s">
        <v>38</v>
      </c>
      <c r="L470" s="72">
        <v>9934.0</v>
      </c>
      <c r="M470" s="27"/>
      <c r="N470" s="76"/>
      <c r="O470" s="28">
        <v>45240.0</v>
      </c>
      <c r="P470" s="26"/>
      <c r="Q470" s="12"/>
      <c r="R470" s="12"/>
      <c r="S470" s="12"/>
      <c r="T470" s="52">
        <v>45237.0</v>
      </c>
      <c r="U470" s="52">
        <v>45237.0</v>
      </c>
      <c r="V470" s="52">
        <v>45240.0</v>
      </c>
      <c r="W470" s="30"/>
      <c r="X470" s="30"/>
      <c r="Y470" s="31"/>
      <c r="Z470" s="31"/>
      <c r="AA470" s="31"/>
      <c r="AB470" s="74" t="s">
        <v>1940</v>
      </c>
      <c r="AC470" s="74"/>
    </row>
    <row r="471" ht="16.5" customHeight="1">
      <c r="A471" s="48" t="s">
        <v>1941</v>
      </c>
      <c r="B471" s="53" t="s">
        <v>669</v>
      </c>
      <c r="C471" s="47">
        <v>0.0</v>
      </c>
      <c r="D471" s="70" t="s">
        <v>1942</v>
      </c>
      <c r="E471" s="55" t="s">
        <v>701</v>
      </c>
      <c r="F471" s="32" t="s">
        <v>33</v>
      </c>
      <c r="G471" s="32" t="s">
        <v>35</v>
      </c>
      <c r="H471" s="71" t="s">
        <v>35</v>
      </c>
      <c r="I471" s="71" t="s">
        <v>36</v>
      </c>
      <c r="J471" s="34" t="s">
        <v>65</v>
      </c>
      <c r="K471" s="57" t="s">
        <v>38</v>
      </c>
      <c r="L471" s="72">
        <v>9961.0</v>
      </c>
      <c r="M471" s="27"/>
      <c r="N471" s="73"/>
      <c r="O471" s="28">
        <v>45257.0</v>
      </c>
      <c r="P471" s="26"/>
      <c r="Q471" s="12"/>
      <c r="R471" s="12"/>
      <c r="S471" s="12"/>
      <c r="T471" s="52">
        <v>45237.0</v>
      </c>
      <c r="U471" s="52">
        <v>45238.0</v>
      </c>
      <c r="V471" s="52">
        <v>45239.0</v>
      </c>
      <c r="W471" s="30"/>
      <c r="X471" s="30"/>
      <c r="Y471" s="31"/>
      <c r="Z471" s="31"/>
      <c r="AA471" s="31"/>
      <c r="AB471" s="74" t="s">
        <v>1943</v>
      </c>
      <c r="AC471" s="74"/>
    </row>
    <row r="472" ht="16.5" customHeight="1">
      <c r="A472" s="48" t="s">
        <v>1944</v>
      </c>
      <c r="B472" s="53" t="s">
        <v>669</v>
      </c>
      <c r="C472" s="47">
        <v>0.0</v>
      </c>
      <c r="D472" s="70" t="s">
        <v>1945</v>
      </c>
      <c r="E472" s="55" t="s">
        <v>251</v>
      </c>
      <c r="F472" s="32" t="s">
        <v>33</v>
      </c>
      <c r="G472" s="32" t="s">
        <v>35</v>
      </c>
      <c r="H472" s="71" t="s">
        <v>35</v>
      </c>
      <c r="I472" s="71" t="s">
        <v>36</v>
      </c>
      <c r="J472" s="34" t="s">
        <v>65</v>
      </c>
      <c r="K472" s="57" t="s">
        <v>38</v>
      </c>
      <c r="L472" s="72">
        <v>9961.0</v>
      </c>
      <c r="M472" s="27"/>
      <c r="N472" s="76"/>
      <c r="O472" s="28">
        <v>45257.0</v>
      </c>
      <c r="P472" s="26"/>
      <c r="Q472" s="12"/>
      <c r="R472" s="12"/>
      <c r="S472" s="12"/>
      <c r="T472" s="52">
        <v>45237.0</v>
      </c>
      <c r="U472" s="52">
        <v>45238.0</v>
      </c>
      <c r="V472" s="52">
        <v>45245.0</v>
      </c>
      <c r="W472" s="30"/>
      <c r="X472" s="30"/>
      <c r="Y472" s="31"/>
      <c r="Z472" s="31"/>
      <c r="AA472" s="31"/>
      <c r="AB472" s="74" t="s">
        <v>1946</v>
      </c>
      <c r="AC472" s="74"/>
    </row>
    <row r="473" ht="16.5" customHeight="1">
      <c r="A473" s="48" t="s">
        <v>1947</v>
      </c>
      <c r="B473" s="53" t="s">
        <v>1299</v>
      </c>
      <c r="C473" s="47">
        <v>0.0</v>
      </c>
      <c r="D473" s="70" t="s">
        <v>1948</v>
      </c>
      <c r="E473" s="55" t="s">
        <v>79</v>
      </c>
      <c r="F473" s="32" t="s">
        <v>33</v>
      </c>
      <c r="G473" s="32" t="s">
        <v>35</v>
      </c>
      <c r="H473" s="71" t="s">
        <v>35</v>
      </c>
      <c r="I473" s="71" t="s">
        <v>36</v>
      </c>
      <c r="J473" s="34" t="s">
        <v>92</v>
      </c>
      <c r="K473" s="57" t="s">
        <v>38</v>
      </c>
      <c r="L473" s="72">
        <v>9933.0</v>
      </c>
      <c r="M473" s="27"/>
      <c r="N473" s="73"/>
      <c r="O473" s="28">
        <v>45244.0</v>
      </c>
      <c r="P473" s="26"/>
      <c r="Q473" s="12"/>
      <c r="R473" s="12"/>
      <c r="S473" s="12"/>
      <c r="T473" s="52">
        <v>45237.0</v>
      </c>
      <c r="U473" s="52">
        <v>45238.0</v>
      </c>
      <c r="V473" s="52">
        <v>45239.0</v>
      </c>
      <c r="W473" s="30"/>
      <c r="X473" s="30"/>
      <c r="Y473" s="31"/>
      <c r="Z473" s="31"/>
      <c r="AA473" s="31"/>
      <c r="AB473" s="74" t="s">
        <v>1949</v>
      </c>
      <c r="AC473" s="74"/>
    </row>
    <row r="474" ht="16.5" customHeight="1">
      <c r="A474" s="48" t="s">
        <v>1950</v>
      </c>
      <c r="B474" s="53" t="s">
        <v>1447</v>
      </c>
      <c r="C474" s="47">
        <v>0.0</v>
      </c>
      <c r="D474" s="70" t="s">
        <v>1951</v>
      </c>
      <c r="E474" s="55" t="s">
        <v>713</v>
      </c>
      <c r="F474" s="32" t="s">
        <v>33</v>
      </c>
      <c r="G474" s="32" t="s">
        <v>34</v>
      </c>
      <c r="H474" s="71" t="s">
        <v>35</v>
      </c>
      <c r="I474" s="71" t="s">
        <v>36</v>
      </c>
      <c r="J474" s="34" t="s">
        <v>420</v>
      </c>
      <c r="K474" s="57" t="s">
        <v>38</v>
      </c>
      <c r="L474" s="72">
        <v>9928.0</v>
      </c>
      <c r="M474" s="22"/>
      <c r="N474" s="73"/>
      <c r="O474" s="28">
        <v>45239.0</v>
      </c>
      <c r="P474" s="35" t="s">
        <v>1952</v>
      </c>
      <c r="Q474" s="12"/>
      <c r="R474" s="12"/>
      <c r="S474" s="12"/>
      <c r="T474" s="52">
        <v>45237.0</v>
      </c>
      <c r="U474" s="52">
        <v>45238.0</v>
      </c>
      <c r="V474" s="52">
        <v>45239.0</v>
      </c>
      <c r="W474" s="30"/>
      <c r="X474" s="30"/>
      <c r="Y474" s="31"/>
      <c r="Z474" s="31"/>
      <c r="AA474" s="31"/>
      <c r="AB474" s="74" t="s">
        <v>1953</v>
      </c>
      <c r="AC474" s="74"/>
    </row>
    <row r="475" ht="16.5" customHeight="1">
      <c r="A475" s="48" t="s">
        <v>1954</v>
      </c>
      <c r="B475" s="53" t="s">
        <v>1955</v>
      </c>
      <c r="C475" s="47">
        <v>0.0</v>
      </c>
      <c r="D475" s="70" t="s">
        <v>1956</v>
      </c>
      <c r="E475" s="55" t="s">
        <v>731</v>
      </c>
      <c r="F475" s="32" t="s">
        <v>33</v>
      </c>
      <c r="G475" s="32" t="s">
        <v>35</v>
      </c>
      <c r="H475" s="71" t="s">
        <v>35</v>
      </c>
      <c r="I475" s="71" t="s">
        <v>36</v>
      </c>
      <c r="J475" s="34" t="s">
        <v>37</v>
      </c>
      <c r="K475" s="57" t="s">
        <v>38</v>
      </c>
      <c r="L475" s="72" t="s">
        <v>1957</v>
      </c>
      <c r="M475" s="22"/>
      <c r="N475" s="73"/>
      <c r="O475" s="28">
        <v>45271.0</v>
      </c>
      <c r="P475" s="35" t="s">
        <v>1158</v>
      </c>
      <c r="Q475" s="12"/>
      <c r="R475" s="12"/>
      <c r="S475" s="12"/>
      <c r="T475" s="52">
        <v>45237.0</v>
      </c>
      <c r="U475" s="52">
        <v>45266.0</v>
      </c>
      <c r="V475" s="52">
        <v>45268.0</v>
      </c>
      <c r="W475" s="30"/>
      <c r="X475" s="30"/>
      <c r="Y475" s="31"/>
      <c r="Z475" s="31"/>
      <c r="AA475" s="31"/>
      <c r="AB475" s="74" t="s">
        <v>1958</v>
      </c>
      <c r="AC475" s="74"/>
    </row>
    <row r="476" ht="16.5" customHeight="1">
      <c r="A476" s="48" t="s">
        <v>1959</v>
      </c>
      <c r="B476" s="53" t="s">
        <v>1510</v>
      </c>
      <c r="C476" s="47">
        <v>0.0</v>
      </c>
      <c r="D476" s="70" t="s">
        <v>1960</v>
      </c>
      <c r="E476" s="55" t="s">
        <v>882</v>
      </c>
      <c r="F476" s="32" t="s">
        <v>33</v>
      </c>
      <c r="G476" s="32" t="s">
        <v>35</v>
      </c>
      <c r="H476" s="71" t="s">
        <v>35</v>
      </c>
      <c r="I476" s="71" t="s">
        <v>36</v>
      </c>
      <c r="J476" s="34" t="s">
        <v>65</v>
      </c>
      <c r="K476" s="57" t="s">
        <v>38</v>
      </c>
      <c r="L476" s="72">
        <v>10049.0</v>
      </c>
      <c r="M476" s="22"/>
      <c r="N476" s="76"/>
      <c r="O476" s="28">
        <v>45267.0</v>
      </c>
      <c r="P476" s="35" t="s">
        <v>1961</v>
      </c>
      <c r="Q476" s="12"/>
      <c r="R476" s="12"/>
      <c r="S476" s="12"/>
      <c r="T476" s="52">
        <v>45237.0</v>
      </c>
      <c r="U476" s="52">
        <v>45259.0</v>
      </c>
      <c r="V476" s="52">
        <v>45260.0</v>
      </c>
      <c r="W476" s="30"/>
      <c r="X476" s="30"/>
      <c r="Y476" s="31"/>
      <c r="Z476" s="31"/>
      <c r="AA476" s="31"/>
      <c r="AB476" s="74" t="s">
        <v>1962</v>
      </c>
      <c r="AC476" s="74"/>
    </row>
    <row r="477" ht="16.5" customHeight="1">
      <c r="A477" s="48" t="s">
        <v>1963</v>
      </c>
      <c r="B477" s="53" t="s">
        <v>1964</v>
      </c>
      <c r="C477" s="47">
        <v>0.0</v>
      </c>
      <c r="D477" s="70" t="s">
        <v>1019</v>
      </c>
      <c r="E477" s="55" t="s">
        <v>338</v>
      </c>
      <c r="F477" s="32" t="s">
        <v>33</v>
      </c>
      <c r="G477" s="32" t="s">
        <v>35</v>
      </c>
      <c r="H477" s="71" t="s">
        <v>35</v>
      </c>
      <c r="I477" s="71" t="s">
        <v>36</v>
      </c>
      <c r="J477" s="34" t="s">
        <v>65</v>
      </c>
      <c r="K477" s="57" t="s">
        <v>38</v>
      </c>
      <c r="L477" s="72">
        <v>9948.0</v>
      </c>
      <c r="M477" s="22"/>
      <c r="N477" s="76"/>
      <c r="O477" s="28">
        <v>45243.0</v>
      </c>
      <c r="P477" s="35" t="s">
        <v>1965</v>
      </c>
      <c r="Q477" s="12"/>
      <c r="R477" s="12"/>
      <c r="S477" s="12"/>
      <c r="T477" s="52">
        <v>45237.0</v>
      </c>
      <c r="U477" s="52">
        <v>45238.0</v>
      </c>
      <c r="V477" s="52">
        <v>45240.0</v>
      </c>
      <c r="W477" s="30"/>
      <c r="X477" s="30"/>
      <c r="Y477" s="31"/>
      <c r="Z477" s="31"/>
      <c r="AA477" s="31"/>
      <c r="AB477" s="74" t="s">
        <v>1966</v>
      </c>
      <c r="AC477" s="74"/>
    </row>
    <row r="478" ht="16.5" customHeight="1">
      <c r="A478" s="48" t="s">
        <v>1967</v>
      </c>
      <c r="B478" s="53" t="s">
        <v>818</v>
      </c>
      <c r="C478" s="47">
        <v>0.0</v>
      </c>
      <c r="D478" s="70" t="s">
        <v>1968</v>
      </c>
      <c r="E478" s="55" t="s">
        <v>184</v>
      </c>
      <c r="F478" s="32" t="s">
        <v>48</v>
      </c>
      <c r="G478" s="32" t="s">
        <v>35</v>
      </c>
      <c r="H478" s="71" t="s">
        <v>35</v>
      </c>
      <c r="I478" s="71" t="s">
        <v>36</v>
      </c>
      <c r="J478" s="34" t="s">
        <v>49</v>
      </c>
      <c r="K478" s="57" t="s">
        <v>38</v>
      </c>
      <c r="L478" s="72">
        <v>10255.0</v>
      </c>
      <c r="M478" s="22"/>
      <c r="N478" s="73"/>
      <c r="O478" s="28">
        <v>45309.0</v>
      </c>
      <c r="P478" s="35" t="s">
        <v>1969</v>
      </c>
      <c r="Q478" s="12"/>
      <c r="R478" s="12"/>
      <c r="S478" s="12"/>
      <c r="T478" s="52">
        <v>45237.0</v>
      </c>
      <c r="U478" s="52">
        <v>45306.0</v>
      </c>
      <c r="V478" s="52">
        <v>45309.0</v>
      </c>
      <c r="W478" s="30"/>
      <c r="X478" s="30"/>
      <c r="Y478" s="31"/>
      <c r="Z478" s="31"/>
      <c r="AA478" s="31"/>
      <c r="AB478" s="74" t="s">
        <v>1970</v>
      </c>
      <c r="AC478" s="74"/>
    </row>
    <row r="479" ht="16.5" customHeight="1">
      <c r="A479" s="48" t="s">
        <v>1971</v>
      </c>
      <c r="B479" s="53" t="s">
        <v>1972</v>
      </c>
      <c r="C479" s="47">
        <v>0.0</v>
      </c>
      <c r="D479" s="70"/>
      <c r="E479" s="55" t="s">
        <v>491</v>
      </c>
      <c r="F479" s="32" t="s">
        <v>33</v>
      </c>
      <c r="G479" s="32" t="s">
        <v>35</v>
      </c>
      <c r="H479" s="71" t="s">
        <v>35</v>
      </c>
      <c r="I479" s="71" t="s">
        <v>665</v>
      </c>
      <c r="J479" s="34" t="s">
        <v>65</v>
      </c>
      <c r="K479" s="57" t="s">
        <v>38</v>
      </c>
      <c r="L479" s="72">
        <v>9970.0</v>
      </c>
      <c r="M479" s="22"/>
      <c r="N479" s="76"/>
      <c r="O479" s="28">
        <v>45247.0</v>
      </c>
      <c r="P479" s="35" t="s">
        <v>1973</v>
      </c>
      <c r="Q479" s="12"/>
      <c r="R479" s="12"/>
      <c r="S479" s="12"/>
      <c r="T479" s="52">
        <v>45237.0</v>
      </c>
      <c r="U479" s="52">
        <v>45239.0</v>
      </c>
      <c r="V479" s="52">
        <v>45246.0</v>
      </c>
      <c r="W479" s="30"/>
      <c r="X479" s="30"/>
      <c r="Y479" s="31"/>
      <c r="Z479" s="31"/>
      <c r="AA479" s="31"/>
      <c r="AB479" s="74" t="s">
        <v>1974</v>
      </c>
      <c r="AC479" s="74"/>
    </row>
    <row r="480" ht="16.5" customHeight="1">
      <c r="A480" s="48" t="s">
        <v>1975</v>
      </c>
      <c r="B480" s="53" t="s">
        <v>1972</v>
      </c>
      <c r="C480" s="47">
        <v>0.0</v>
      </c>
      <c r="D480" s="70"/>
      <c r="E480" s="55" t="s">
        <v>491</v>
      </c>
      <c r="F480" s="32" t="s">
        <v>33</v>
      </c>
      <c r="G480" s="32" t="s">
        <v>35</v>
      </c>
      <c r="H480" s="71" t="s">
        <v>35</v>
      </c>
      <c r="I480" s="71" t="s">
        <v>665</v>
      </c>
      <c r="J480" s="34" t="s">
        <v>65</v>
      </c>
      <c r="K480" s="57" t="s">
        <v>38</v>
      </c>
      <c r="L480" s="72">
        <v>9970.0</v>
      </c>
      <c r="M480" s="22"/>
      <c r="N480" s="76"/>
      <c r="O480" s="28">
        <v>45247.0</v>
      </c>
      <c r="P480" s="35" t="s">
        <v>1976</v>
      </c>
      <c r="Q480" s="12"/>
      <c r="R480" s="12"/>
      <c r="S480" s="12"/>
      <c r="T480" s="52">
        <v>45237.0</v>
      </c>
      <c r="U480" s="52">
        <v>45239.0</v>
      </c>
      <c r="V480" s="52">
        <v>45246.0</v>
      </c>
      <c r="W480" s="30"/>
      <c r="X480" s="30"/>
      <c r="Y480" s="31"/>
      <c r="Z480" s="31"/>
      <c r="AA480" s="31"/>
      <c r="AB480" s="74" t="s">
        <v>1977</v>
      </c>
      <c r="AC480" s="74"/>
    </row>
    <row r="481" ht="16.5" customHeight="1">
      <c r="A481" s="48" t="s">
        <v>1978</v>
      </c>
      <c r="B481" s="53" t="s">
        <v>1972</v>
      </c>
      <c r="C481" s="47">
        <v>0.0</v>
      </c>
      <c r="D481" s="70"/>
      <c r="E481" s="55" t="s">
        <v>491</v>
      </c>
      <c r="F481" s="32" t="s">
        <v>33</v>
      </c>
      <c r="G481" s="32" t="s">
        <v>35</v>
      </c>
      <c r="H481" s="71" t="s">
        <v>35</v>
      </c>
      <c r="I481" s="71" t="s">
        <v>665</v>
      </c>
      <c r="J481" s="34" t="s">
        <v>65</v>
      </c>
      <c r="K481" s="57" t="s">
        <v>38</v>
      </c>
      <c r="L481" s="72">
        <v>9970.0</v>
      </c>
      <c r="M481" s="22"/>
      <c r="N481" s="76"/>
      <c r="O481" s="28">
        <v>45247.0</v>
      </c>
      <c r="P481" s="35" t="s">
        <v>1979</v>
      </c>
      <c r="Q481" s="12"/>
      <c r="R481" s="12"/>
      <c r="S481" s="12"/>
      <c r="T481" s="52">
        <v>45237.0</v>
      </c>
      <c r="U481" s="52">
        <v>45239.0</v>
      </c>
      <c r="V481" s="52">
        <v>45246.0</v>
      </c>
      <c r="W481" s="30"/>
      <c r="X481" s="30"/>
      <c r="Y481" s="31"/>
      <c r="Z481" s="31"/>
      <c r="AA481" s="31"/>
      <c r="AB481" s="74" t="s">
        <v>1980</v>
      </c>
      <c r="AC481" s="74"/>
    </row>
    <row r="482" ht="16.5" customHeight="1">
      <c r="A482" s="48" t="s">
        <v>1981</v>
      </c>
      <c r="B482" s="53" t="s">
        <v>1982</v>
      </c>
      <c r="C482" s="47">
        <v>0.0</v>
      </c>
      <c r="D482" s="70" t="s">
        <v>1983</v>
      </c>
      <c r="E482" s="55" t="s">
        <v>511</v>
      </c>
      <c r="F482" s="32" t="s">
        <v>33</v>
      </c>
      <c r="G482" s="32" t="s">
        <v>35</v>
      </c>
      <c r="H482" s="71" t="s">
        <v>35</v>
      </c>
      <c r="I482" s="71" t="s">
        <v>36</v>
      </c>
      <c r="J482" s="34" t="s">
        <v>339</v>
      </c>
      <c r="K482" s="57" t="s">
        <v>38</v>
      </c>
      <c r="L482" s="72">
        <v>9927.0</v>
      </c>
      <c r="M482" s="22"/>
      <c r="N482" s="73"/>
      <c r="O482" s="28">
        <v>45239.0</v>
      </c>
      <c r="P482" s="35" t="s">
        <v>1984</v>
      </c>
      <c r="Q482" s="12"/>
      <c r="R482" s="12"/>
      <c r="S482" s="12"/>
      <c r="T482" s="52">
        <v>45238.0</v>
      </c>
      <c r="U482" s="52">
        <v>45238.0</v>
      </c>
      <c r="V482" s="52">
        <v>45239.0</v>
      </c>
      <c r="W482" s="30"/>
      <c r="X482" s="30"/>
      <c r="Y482" s="31"/>
      <c r="Z482" s="31"/>
      <c r="AA482" s="31"/>
      <c r="AB482" s="74" t="s">
        <v>1985</v>
      </c>
      <c r="AC482" s="74"/>
    </row>
    <row r="483" ht="16.5" customHeight="1">
      <c r="A483" s="48" t="s">
        <v>1986</v>
      </c>
      <c r="B483" s="53" t="s">
        <v>388</v>
      </c>
      <c r="C483" s="47">
        <v>0.0</v>
      </c>
      <c r="D483" s="70" t="s">
        <v>1987</v>
      </c>
      <c r="E483" s="55" t="s">
        <v>243</v>
      </c>
      <c r="F483" s="32" t="s">
        <v>244</v>
      </c>
      <c r="G483" s="32" t="s">
        <v>35</v>
      </c>
      <c r="H483" s="71" t="s">
        <v>35</v>
      </c>
      <c r="I483" s="71" t="s">
        <v>36</v>
      </c>
      <c r="J483" s="34" t="s">
        <v>65</v>
      </c>
      <c r="K483" s="57" t="s">
        <v>38</v>
      </c>
      <c r="L483" s="72">
        <v>9951.0</v>
      </c>
      <c r="M483" s="27"/>
      <c r="N483" s="76"/>
      <c r="O483" s="28">
        <v>45244.0</v>
      </c>
      <c r="P483" s="26"/>
      <c r="Q483" s="12"/>
      <c r="R483" s="12"/>
      <c r="S483" s="12"/>
      <c r="T483" s="52">
        <v>45238.0</v>
      </c>
      <c r="U483" s="52">
        <v>45239.0</v>
      </c>
      <c r="V483" s="52">
        <v>45244.0</v>
      </c>
      <c r="W483" s="30"/>
      <c r="X483" s="30"/>
      <c r="Y483" s="31"/>
      <c r="Z483" s="31"/>
      <c r="AA483" s="31"/>
      <c r="AB483" s="74" t="s">
        <v>1988</v>
      </c>
      <c r="AC483" s="74"/>
    </row>
    <row r="484" ht="16.5" customHeight="1">
      <c r="A484" s="48" t="s">
        <v>1989</v>
      </c>
      <c r="B484" s="53" t="s">
        <v>1990</v>
      </c>
      <c r="C484" s="47">
        <v>0.0</v>
      </c>
      <c r="D484" s="70" t="s">
        <v>1991</v>
      </c>
      <c r="E484" s="55" t="s">
        <v>338</v>
      </c>
      <c r="F484" s="32" t="s">
        <v>33</v>
      </c>
      <c r="G484" s="32" t="s">
        <v>34</v>
      </c>
      <c r="H484" s="71" t="s">
        <v>35</v>
      </c>
      <c r="I484" s="71" t="s">
        <v>36</v>
      </c>
      <c r="J484" s="34" t="s">
        <v>203</v>
      </c>
      <c r="K484" s="57" t="s">
        <v>38</v>
      </c>
      <c r="L484" s="72">
        <v>9950.0</v>
      </c>
      <c r="M484" s="27"/>
      <c r="N484" s="76"/>
      <c r="O484" s="28">
        <v>45244.0</v>
      </c>
      <c r="P484" s="26"/>
      <c r="Q484" s="12"/>
      <c r="R484" s="12"/>
      <c r="S484" s="12"/>
      <c r="T484" s="52">
        <v>45238.0</v>
      </c>
      <c r="U484" s="52">
        <v>45239.0</v>
      </c>
      <c r="V484" s="52">
        <v>45243.0</v>
      </c>
      <c r="W484" s="30"/>
      <c r="X484" s="30"/>
      <c r="Y484" s="31"/>
      <c r="Z484" s="31"/>
      <c r="AA484" s="31"/>
      <c r="AB484" s="74" t="s">
        <v>1992</v>
      </c>
      <c r="AC484" s="74"/>
    </row>
    <row r="485" ht="16.5" customHeight="1">
      <c r="A485" s="48" t="s">
        <v>1993</v>
      </c>
      <c r="B485" s="53" t="s">
        <v>1701</v>
      </c>
      <c r="C485" s="47">
        <v>0.0</v>
      </c>
      <c r="D485" s="70" t="s">
        <v>1048</v>
      </c>
      <c r="E485" s="55" t="s">
        <v>1027</v>
      </c>
      <c r="F485" s="32" t="s">
        <v>33</v>
      </c>
      <c r="G485" s="32" t="s">
        <v>35</v>
      </c>
      <c r="H485" s="71" t="s">
        <v>35</v>
      </c>
      <c r="I485" s="71" t="s">
        <v>36</v>
      </c>
      <c r="J485" s="34" t="s">
        <v>65</v>
      </c>
      <c r="K485" s="57" t="s">
        <v>38</v>
      </c>
      <c r="L485" s="72">
        <v>9947.0</v>
      </c>
      <c r="M485" s="27"/>
      <c r="N485" s="76"/>
      <c r="O485" s="28">
        <v>45243.0</v>
      </c>
      <c r="P485" s="26"/>
      <c r="Q485" s="12"/>
      <c r="R485" s="12"/>
      <c r="S485" s="12"/>
      <c r="T485" s="52">
        <v>45237.0</v>
      </c>
      <c r="U485" s="52">
        <v>45237.0</v>
      </c>
      <c r="V485" s="52">
        <v>45243.0</v>
      </c>
      <c r="W485" s="30"/>
      <c r="X485" s="30"/>
      <c r="Y485" s="31"/>
      <c r="Z485" s="31"/>
      <c r="AA485" s="31"/>
      <c r="AB485" s="74" t="s">
        <v>1994</v>
      </c>
      <c r="AC485" s="74"/>
    </row>
    <row r="486" ht="16.5" customHeight="1">
      <c r="A486" s="48" t="s">
        <v>1995</v>
      </c>
      <c r="B486" s="53" t="s">
        <v>1996</v>
      </c>
      <c r="C486" s="47">
        <v>0.0</v>
      </c>
      <c r="D486" s="70" t="s">
        <v>1997</v>
      </c>
      <c r="E486" s="55" t="s">
        <v>1520</v>
      </c>
      <c r="F486" s="32" t="s">
        <v>33</v>
      </c>
      <c r="G486" s="32" t="s">
        <v>35</v>
      </c>
      <c r="H486" s="71" t="s">
        <v>35</v>
      </c>
      <c r="I486" s="71" t="s">
        <v>36</v>
      </c>
      <c r="J486" s="34" t="s">
        <v>65</v>
      </c>
      <c r="K486" s="57" t="s">
        <v>38</v>
      </c>
      <c r="L486" s="72">
        <v>9984.0</v>
      </c>
      <c r="M486" s="22"/>
      <c r="N486" s="76"/>
      <c r="O486" s="28">
        <v>45251.0</v>
      </c>
      <c r="P486" s="35" t="s">
        <v>1998</v>
      </c>
      <c r="Q486" s="12"/>
      <c r="R486" s="12"/>
      <c r="S486" s="12"/>
      <c r="T486" s="52">
        <v>45237.0</v>
      </c>
      <c r="U486" s="52">
        <v>45246.0</v>
      </c>
      <c r="V486" s="52">
        <v>45250.0</v>
      </c>
      <c r="W486" s="30"/>
      <c r="X486" s="30"/>
      <c r="Y486" s="31"/>
      <c r="Z486" s="31"/>
      <c r="AA486" s="31"/>
      <c r="AB486" s="74" t="s">
        <v>1999</v>
      </c>
      <c r="AC486" s="74"/>
    </row>
    <row r="487" ht="16.5" customHeight="1">
      <c r="A487" s="48" t="s">
        <v>2000</v>
      </c>
      <c r="B487" s="53" t="s">
        <v>2001</v>
      </c>
      <c r="C487" s="47">
        <v>0.0</v>
      </c>
      <c r="D487" s="70" t="s">
        <v>2002</v>
      </c>
      <c r="E487" s="55" t="s">
        <v>491</v>
      </c>
      <c r="F487" s="32" t="s">
        <v>33</v>
      </c>
      <c r="G487" s="32" t="s">
        <v>34</v>
      </c>
      <c r="H487" s="71" t="s">
        <v>980</v>
      </c>
      <c r="I487" s="71" t="s">
        <v>36</v>
      </c>
      <c r="J487" s="34" t="s">
        <v>203</v>
      </c>
      <c r="K487" s="57" t="s">
        <v>38</v>
      </c>
      <c r="L487" s="72">
        <v>9969.0</v>
      </c>
      <c r="M487" s="22"/>
      <c r="N487" s="76"/>
      <c r="O487" s="28">
        <v>45247.0</v>
      </c>
      <c r="P487" s="35" t="s">
        <v>2003</v>
      </c>
      <c r="Q487" s="12"/>
      <c r="R487" s="12"/>
      <c r="S487" s="12"/>
      <c r="T487" s="52">
        <v>45237.0</v>
      </c>
      <c r="U487" s="52">
        <v>45240.0</v>
      </c>
      <c r="V487" s="52">
        <v>45246.0</v>
      </c>
      <c r="W487" s="30"/>
      <c r="X487" s="30"/>
      <c r="Y487" s="31"/>
      <c r="Z487" s="31"/>
      <c r="AA487" s="31"/>
      <c r="AB487" s="77" t="s">
        <v>2004</v>
      </c>
      <c r="AC487" s="74"/>
    </row>
    <row r="488" ht="16.5" customHeight="1">
      <c r="A488" s="48" t="s">
        <v>2005</v>
      </c>
      <c r="B488" s="53" t="s">
        <v>2001</v>
      </c>
      <c r="C488" s="47">
        <v>0.0</v>
      </c>
      <c r="D488" s="70" t="s">
        <v>2006</v>
      </c>
      <c r="E488" s="55" t="s">
        <v>491</v>
      </c>
      <c r="F488" s="32" t="s">
        <v>33</v>
      </c>
      <c r="G488" s="32" t="s">
        <v>34</v>
      </c>
      <c r="H488" s="71" t="s">
        <v>980</v>
      </c>
      <c r="I488" s="71" t="s">
        <v>36</v>
      </c>
      <c r="J488" s="34" t="s">
        <v>203</v>
      </c>
      <c r="K488" s="57" t="s">
        <v>38</v>
      </c>
      <c r="L488" s="72">
        <v>9969.0</v>
      </c>
      <c r="M488" s="22"/>
      <c r="N488" s="76"/>
      <c r="O488" s="28">
        <v>45247.0</v>
      </c>
      <c r="P488" s="35" t="s">
        <v>2003</v>
      </c>
      <c r="Q488" s="12"/>
      <c r="R488" s="12"/>
      <c r="S488" s="12"/>
      <c r="T488" s="52">
        <v>45239.0</v>
      </c>
      <c r="U488" s="52">
        <v>45240.0</v>
      </c>
      <c r="V488" s="52">
        <v>45246.0</v>
      </c>
      <c r="W488" s="30"/>
      <c r="X488" s="30"/>
      <c r="Y488" s="31"/>
      <c r="Z488" s="31"/>
      <c r="AA488" s="31"/>
      <c r="AB488" s="74" t="s">
        <v>2007</v>
      </c>
      <c r="AC488" s="74"/>
    </row>
    <row r="489" ht="16.5" customHeight="1">
      <c r="A489" s="48" t="s">
        <v>2008</v>
      </c>
      <c r="B489" s="53" t="s">
        <v>1127</v>
      </c>
      <c r="C489" s="47">
        <v>0.0</v>
      </c>
      <c r="D489" s="70" t="s">
        <v>2009</v>
      </c>
      <c r="E489" s="55" t="s">
        <v>117</v>
      </c>
      <c r="F489" s="32" t="s">
        <v>33</v>
      </c>
      <c r="G489" s="32" t="s">
        <v>35</v>
      </c>
      <c r="H489" s="71" t="s">
        <v>35</v>
      </c>
      <c r="I489" s="71" t="s">
        <v>36</v>
      </c>
      <c r="J489" s="34" t="s">
        <v>92</v>
      </c>
      <c r="K489" s="57" t="s">
        <v>38</v>
      </c>
      <c r="L489" s="72">
        <v>9975.0</v>
      </c>
      <c r="M489" s="27"/>
      <c r="N489" s="76"/>
      <c r="O489" s="28">
        <v>45253.0</v>
      </c>
      <c r="P489" s="26"/>
      <c r="Q489" s="12"/>
      <c r="R489" s="12"/>
      <c r="S489" s="12"/>
      <c r="T489" s="52">
        <v>45239.0</v>
      </c>
      <c r="U489" s="52">
        <v>45240.0</v>
      </c>
      <c r="V489" s="52">
        <v>45247.0</v>
      </c>
      <c r="W489" s="30"/>
      <c r="X489" s="30"/>
      <c r="Y489" s="31"/>
      <c r="Z489" s="31"/>
      <c r="AA489" s="31"/>
      <c r="AB489" s="74" t="s">
        <v>2010</v>
      </c>
      <c r="AC489" s="74"/>
    </row>
    <row r="490" ht="16.5" customHeight="1">
      <c r="A490" s="48" t="s">
        <v>2011</v>
      </c>
      <c r="B490" s="53" t="s">
        <v>1359</v>
      </c>
      <c r="C490" s="47">
        <v>0.0</v>
      </c>
      <c r="D490" s="70" t="s">
        <v>2012</v>
      </c>
      <c r="E490" s="55" t="s">
        <v>511</v>
      </c>
      <c r="F490" s="32" t="s">
        <v>33</v>
      </c>
      <c r="G490" s="32" t="s">
        <v>35</v>
      </c>
      <c r="H490" s="71" t="s">
        <v>35</v>
      </c>
      <c r="I490" s="71" t="s">
        <v>36</v>
      </c>
      <c r="J490" s="34" t="s">
        <v>37</v>
      </c>
      <c r="K490" s="57" t="s">
        <v>38</v>
      </c>
      <c r="L490" s="72">
        <v>9949.0</v>
      </c>
      <c r="M490" s="22"/>
      <c r="N490" s="76"/>
      <c r="O490" s="28">
        <v>45244.0</v>
      </c>
      <c r="P490" s="35" t="s">
        <v>2013</v>
      </c>
      <c r="Q490" s="12"/>
      <c r="R490" s="12"/>
      <c r="S490" s="12"/>
      <c r="T490" s="52">
        <v>45239.0</v>
      </c>
      <c r="U490" s="52">
        <v>45240.0</v>
      </c>
      <c r="V490" s="52">
        <v>45243.0</v>
      </c>
      <c r="W490" s="30"/>
      <c r="X490" s="30"/>
      <c r="Y490" s="31"/>
      <c r="Z490" s="31"/>
      <c r="AA490" s="31"/>
      <c r="AB490" s="74" t="s">
        <v>2014</v>
      </c>
      <c r="AC490" s="74"/>
    </row>
    <row r="491" ht="16.5" customHeight="1">
      <c r="A491" s="48" t="s">
        <v>2015</v>
      </c>
      <c r="B491" s="53" t="s">
        <v>1359</v>
      </c>
      <c r="C491" s="47">
        <v>0.0</v>
      </c>
      <c r="D491" s="70" t="s">
        <v>2016</v>
      </c>
      <c r="E491" s="55" t="s">
        <v>511</v>
      </c>
      <c r="F491" s="32" t="s">
        <v>33</v>
      </c>
      <c r="G491" s="32" t="s">
        <v>35</v>
      </c>
      <c r="H491" s="71" t="s">
        <v>35</v>
      </c>
      <c r="I491" s="71" t="s">
        <v>36</v>
      </c>
      <c r="J491" s="34" t="s">
        <v>37</v>
      </c>
      <c r="K491" s="57" t="s">
        <v>38</v>
      </c>
      <c r="L491" s="72">
        <v>9949.0</v>
      </c>
      <c r="M491" s="22"/>
      <c r="N491" s="76"/>
      <c r="O491" s="28">
        <v>45244.0</v>
      </c>
      <c r="P491" s="35" t="s">
        <v>2017</v>
      </c>
      <c r="Q491" s="12"/>
      <c r="R491" s="12"/>
      <c r="S491" s="12"/>
      <c r="T491" s="52">
        <v>45239.0</v>
      </c>
      <c r="U491" s="52">
        <v>45240.0</v>
      </c>
      <c r="V491" s="52">
        <v>45243.0</v>
      </c>
      <c r="W491" s="30"/>
      <c r="X491" s="30"/>
      <c r="Y491" s="31"/>
      <c r="Z491" s="31"/>
      <c r="AA491" s="31"/>
      <c r="AB491" s="74" t="s">
        <v>2018</v>
      </c>
      <c r="AC491" s="74"/>
    </row>
    <row r="492" ht="16.5" customHeight="1">
      <c r="A492" s="48" t="s">
        <v>2019</v>
      </c>
      <c r="B492" s="53" t="s">
        <v>548</v>
      </c>
      <c r="C492" s="47">
        <v>0.0</v>
      </c>
      <c r="D492" s="70" t="s">
        <v>2020</v>
      </c>
      <c r="E492" s="55" t="s">
        <v>664</v>
      </c>
      <c r="F492" s="32" t="s">
        <v>48</v>
      </c>
      <c r="G492" s="32" t="s">
        <v>35</v>
      </c>
      <c r="H492" s="71" t="s">
        <v>35</v>
      </c>
      <c r="I492" s="71" t="s">
        <v>36</v>
      </c>
      <c r="J492" s="34" t="s">
        <v>92</v>
      </c>
      <c r="K492" s="57" t="s">
        <v>38</v>
      </c>
      <c r="L492" s="72">
        <v>10315.0</v>
      </c>
      <c r="M492" s="22"/>
      <c r="N492" s="73"/>
      <c r="O492" s="28">
        <v>45351.0</v>
      </c>
      <c r="P492" s="35" t="s">
        <v>2021</v>
      </c>
      <c r="Q492" s="12"/>
      <c r="R492" s="12"/>
      <c r="S492" s="12"/>
      <c r="T492" s="52">
        <v>45239.0</v>
      </c>
      <c r="U492" s="52">
        <v>45314.0</v>
      </c>
      <c r="V492" s="52">
        <v>45315.0</v>
      </c>
      <c r="W492" s="30"/>
      <c r="X492" s="30"/>
      <c r="Y492" s="31"/>
      <c r="Z492" s="31"/>
      <c r="AA492" s="31"/>
      <c r="AB492" s="74" t="s">
        <v>2022</v>
      </c>
      <c r="AC492" s="74"/>
    </row>
    <row r="493" ht="16.5" customHeight="1">
      <c r="A493" s="48" t="s">
        <v>2023</v>
      </c>
      <c r="B493" s="53" t="s">
        <v>1168</v>
      </c>
      <c r="C493" s="47">
        <v>0.0</v>
      </c>
      <c r="D493" s="70" t="s">
        <v>2024</v>
      </c>
      <c r="E493" s="55" t="s">
        <v>511</v>
      </c>
      <c r="F493" s="32"/>
      <c r="G493" s="32" t="s">
        <v>34</v>
      </c>
      <c r="H493" s="71" t="s">
        <v>35</v>
      </c>
      <c r="I493" s="71" t="s">
        <v>36</v>
      </c>
      <c r="J493" s="34" t="s">
        <v>1170</v>
      </c>
      <c r="K493" s="57" t="s">
        <v>38</v>
      </c>
      <c r="L493" s="72">
        <v>10042.0</v>
      </c>
      <c r="M493" s="22"/>
      <c r="N493" s="76"/>
      <c r="O493" s="28">
        <v>45260.0</v>
      </c>
      <c r="P493" s="35" t="s">
        <v>2025</v>
      </c>
      <c r="Q493" s="12"/>
      <c r="R493" s="12"/>
      <c r="S493" s="12"/>
      <c r="T493" s="52">
        <v>45240.0</v>
      </c>
      <c r="U493" s="52">
        <v>45243.0</v>
      </c>
      <c r="V493" s="52">
        <v>45244.0</v>
      </c>
      <c r="W493" s="30"/>
      <c r="X493" s="30"/>
      <c r="Y493" s="31"/>
      <c r="Z493" s="31"/>
      <c r="AA493" s="31"/>
      <c r="AB493" s="74" t="s">
        <v>2026</v>
      </c>
      <c r="AC493" s="74"/>
    </row>
    <row r="494" ht="16.5" customHeight="1">
      <c r="A494" s="48" t="s">
        <v>2027</v>
      </c>
      <c r="B494" s="53" t="s">
        <v>1168</v>
      </c>
      <c r="C494" s="47">
        <v>0.0</v>
      </c>
      <c r="D494" s="70" t="s">
        <v>2028</v>
      </c>
      <c r="E494" s="55" t="s">
        <v>511</v>
      </c>
      <c r="F494" s="32" t="s">
        <v>33</v>
      </c>
      <c r="G494" s="32" t="s">
        <v>34</v>
      </c>
      <c r="H494" s="71" t="s">
        <v>35</v>
      </c>
      <c r="I494" s="71" t="s">
        <v>36</v>
      </c>
      <c r="J494" s="34" t="s">
        <v>1170</v>
      </c>
      <c r="K494" s="57" t="s">
        <v>38</v>
      </c>
      <c r="L494" s="72">
        <v>10042.0</v>
      </c>
      <c r="M494" s="22"/>
      <c r="N494" s="76"/>
      <c r="O494" s="28">
        <v>45260.0</v>
      </c>
      <c r="P494" s="35" t="s">
        <v>2025</v>
      </c>
      <c r="Q494" s="12"/>
      <c r="R494" s="12"/>
      <c r="S494" s="12"/>
      <c r="T494" s="52">
        <v>45240.0</v>
      </c>
      <c r="U494" s="52">
        <v>45243.0</v>
      </c>
      <c r="V494" s="52">
        <v>45251.0</v>
      </c>
      <c r="W494" s="30"/>
      <c r="X494" s="30"/>
      <c r="Y494" s="31"/>
      <c r="Z494" s="31"/>
      <c r="AA494" s="31"/>
      <c r="AB494" s="74" t="s">
        <v>2029</v>
      </c>
      <c r="AC494" s="74"/>
    </row>
    <row r="495" ht="16.5" customHeight="1">
      <c r="A495" s="48" t="s">
        <v>2030</v>
      </c>
      <c r="B495" s="53" t="s">
        <v>1168</v>
      </c>
      <c r="C495" s="47">
        <v>0.0</v>
      </c>
      <c r="D495" s="70" t="s">
        <v>2031</v>
      </c>
      <c r="E495" s="55" t="s">
        <v>1119</v>
      </c>
      <c r="F495" s="32" t="s">
        <v>33</v>
      </c>
      <c r="G495" s="32" t="s">
        <v>34</v>
      </c>
      <c r="H495" s="71" t="s">
        <v>35</v>
      </c>
      <c r="I495" s="71" t="s">
        <v>36</v>
      </c>
      <c r="J495" s="34" t="s">
        <v>1170</v>
      </c>
      <c r="K495" s="57" t="s">
        <v>38</v>
      </c>
      <c r="L495" s="72">
        <v>10042.0</v>
      </c>
      <c r="M495" s="22"/>
      <c r="N495" s="76"/>
      <c r="O495" s="28">
        <v>45260.0</v>
      </c>
      <c r="P495" s="35" t="s">
        <v>2025</v>
      </c>
      <c r="Q495" s="12"/>
      <c r="R495" s="12"/>
      <c r="S495" s="12"/>
      <c r="T495" s="52">
        <v>45240.0</v>
      </c>
      <c r="U495" s="52">
        <v>45243.0</v>
      </c>
      <c r="V495" s="52">
        <v>45256.0</v>
      </c>
      <c r="W495" s="30"/>
      <c r="X495" s="30"/>
      <c r="Y495" s="31"/>
      <c r="Z495" s="31"/>
      <c r="AA495" s="31"/>
      <c r="AB495" s="74" t="s">
        <v>2032</v>
      </c>
      <c r="AC495" s="74"/>
    </row>
    <row r="496" ht="16.5" customHeight="1">
      <c r="A496" s="48" t="s">
        <v>2033</v>
      </c>
      <c r="B496" s="53" t="s">
        <v>299</v>
      </c>
      <c r="C496" s="47">
        <v>0.0</v>
      </c>
      <c r="D496" s="70" t="s">
        <v>2034</v>
      </c>
      <c r="E496" s="55" t="s">
        <v>545</v>
      </c>
      <c r="F496" s="32" t="s">
        <v>33</v>
      </c>
      <c r="G496" s="32" t="s">
        <v>35</v>
      </c>
      <c r="H496" s="71" t="s">
        <v>35</v>
      </c>
      <c r="I496" s="71" t="s">
        <v>36</v>
      </c>
      <c r="J496" s="34" t="s">
        <v>92</v>
      </c>
      <c r="K496" s="57" t="s">
        <v>38</v>
      </c>
      <c r="L496" s="72">
        <v>9983.0</v>
      </c>
      <c r="M496" s="27"/>
      <c r="N496" s="76"/>
      <c r="O496" s="28">
        <v>45253.0</v>
      </c>
      <c r="P496" s="26"/>
      <c r="Q496" s="12"/>
      <c r="R496" s="12"/>
      <c r="S496" s="12"/>
      <c r="T496" s="52">
        <v>45240.0</v>
      </c>
      <c r="U496" s="52">
        <v>45243.0</v>
      </c>
      <c r="V496" s="52">
        <v>45250.0</v>
      </c>
      <c r="W496" s="30"/>
      <c r="X496" s="30"/>
      <c r="Y496" s="31"/>
      <c r="Z496" s="31"/>
      <c r="AA496" s="31"/>
      <c r="AB496" s="74" t="s">
        <v>2035</v>
      </c>
      <c r="AC496" s="74"/>
    </row>
    <row r="497" ht="16.5" customHeight="1">
      <c r="A497" s="48" t="s">
        <v>2036</v>
      </c>
      <c r="B497" s="53" t="s">
        <v>548</v>
      </c>
      <c r="C497" s="47">
        <v>0.0</v>
      </c>
      <c r="D497" s="70" t="s">
        <v>2037</v>
      </c>
      <c r="E497" s="55" t="s">
        <v>664</v>
      </c>
      <c r="F497" s="32" t="s">
        <v>48</v>
      </c>
      <c r="G497" s="32" t="s">
        <v>35</v>
      </c>
      <c r="H497" s="71" t="s">
        <v>35</v>
      </c>
      <c r="I497" s="71" t="s">
        <v>36</v>
      </c>
      <c r="J497" s="34" t="s">
        <v>92</v>
      </c>
      <c r="K497" s="57" t="s">
        <v>38</v>
      </c>
      <c r="L497" s="72">
        <v>10307.0</v>
      </c>
      <c r="M497" s="27"/>
      <c r="N497" s="73"/>
      <c r="O497" s="28">
        <v>45351.0</v>
      </c>
      <c r="P497" s="26"/>
      <c r="Q497" s="12"/>
      <c r="R497" s="12"/>
      <c r="S497" s="12"/>
      <c r="T497" s="52">
        <v>45240.0</v>
      </c>
      <c r="U497" s="52">
        <v>45314.0</v>
      </c>
      <c r="V497" s="52">
        <v>45315.0</v>
      </c>
      <c r="W497" s="30"/>
      <c r="X497" s="30"/>
      <c r="Y497" s="31"/>
      <c r="Z497" s="31"/>
      <c r="AA497" s="31"/>
      <c r="AB497" s="74" t="s">
        <v>2038</v>
      </c>
      <c r="AC497" s="74"/>
    </row>
    <row r="498" ht="16.5" customHeight="1">
      <c r="A498" s="48" t="s">
        <v>2039</v>
      </c>
      <c r="B498" s="53" t="s">
        <v>2040</v>
      </c>
      <c r="C498" s="47">
        <v>0.0</v>
      </c>
      <c r="D498" s="70" t="s">
        <v>2041</v>
      </c>
      <c r="E498" s="55" t="s">
        <v>165</v>
      </c>
      <c r="F498" s="32" t="s">
        <v>33</v>
      </c>
      <c r="G498" s="32" t="s">
        <v>35</v>
      </c>
      <c r="H498" s="71" t="s">
        <v>35</v>
      </c>
      <c r="I498" s="71" t="s">
        <v>36</v>
      </c>
      <c r="J498" s="34" t="s">
        <v>37</v>
      </c>
      <c r="K498" s="57" t="s">
        <v>447</v>
      </c>
      <c r="L498" s="72">
        <v>10005.0</v>
      </c>
      <c r="M498" s="27"/>
      <c r="N498" s="76"/>
      <c r="O498" s="28">
        <v>45254.0</v>
      </c>
      <c r="P498" s="26"/>
      <c r="Q498" s="12"/>
      <c r="R498" s="12"/>
      <c r="S498" s="12"/>
      <c r="T498" s="52">
        <v>45243.0</v>
      </c>
      <c r="U498" s="52">
        <v>45246.0</v>
      </c>
      <c r="V498" s="52">
        <v>45251.0</v>
      </c>
      <c r="W498" s="30"/>
      <c r="X498" s="30"/>
      <c r="Y498" s="31"/>
      <c r="Z498" s="31"/>
      <c r="AA498" s="31"/>
      <c r="AB498" s="74" t="s">
        <v>2042</v>
      </c>
      <c r="AC498" s="74"/>
    </row>
    <row r="499" ht="16.5" customHeight="1">
      <c r="A499" s="48" t="s">
        <v>2043</v>
      </c>
      <c r="B499" s="53" t="s">
        <v>1768</v>
      </c>
      <c r="C499" s="47">
        <v>0.0</v>
      </c>
      <c r="D499" s="70" t="s">
        <v>2044</v>
      </c>
      <c r="E499" s="55" t="s">
        <v>511</v>
      </c>
      <c r="F499" s="32" t="s">
        <v>33</v>
      </c>
      <c r="G499" s="32" t="s">
        <v>35</v>
      </c>
      <c r="H499" s="71" t="s">
        <v>35</v>
      </c>
      <c r="I499" s="71" t="s">
        <v>36</v>
      </c>
      <c r="J499" s="34" t="s">
        <v>37</v>
      </c>
      <c r="K499" s="57" t="s">
        <v>38</v>
      </c>
      <c r="L499" s="72">
        <v>10004.0</v>
      </c>
      <c r="M499" s="22"/>
      <c r="N499" s="76"/>
      <c r="O499" s="28">
        <v>45254.0</v>
      </c>
      <c r="P499" s="35" t="s">
        <v>2045</v>
      </c>
      <c r="Q499" s="12"/>
      <c r="R499" s="12"/>
      <c r="S499" s="12"/>
      <c r="T499" s="52">
        <v>45243.0</v>
      </c>
      <c r="U499" s="52">
        <v>45243.0</v>
      </c>
      <c r="V499" s="52">
        <v>45252.0</v>
      </c>
      <c r="W499" s="30"/>
      <c r="X499" s="30"/>
      <c r="Y499" s="31"/>
      <c r="Z499" s="31"/>
      <c r="AA499" s="31"/>
      <c r="AB499" s="74" t="s">
        <v>2046</v>
      </c>
      <c r="AC499" s="74"/>
    </row>
    <row r="500" ht="16.5" customHeight="1">
      <c r="A500" s="48" t="s">
        <v>2047</v>
      </c>
      <c r="B500" s="53" t="s">
        <v>1127</v>
      </c>
      <c r="C500" s="47">
        <v>0.0</v>
      </c>
      <c r="D500" s="70" t="s">
        <v>2048</v>
      </c>
      <c r="E500" s="55" t="s">
        <v>213</v>
      </c>
      <c r="F500" s="32" t="s">
        <v>33</v>
      </c>
      <c r="G500" s="32" t="s">
        <v>35</v>
      </c>
      <c r="H500" s="71" t="s">
        <v>35</v>
      </c>
      <c r="I500" s="71" t="s">
        <v>36</v>
      </c>
      <c r="J500" s="34" t="s">
        <v>92</v>
      </c>
      <c r="K500" s="57" t="s">
        <v>38</v>
      </c>
      <c r="L500" s="72">
        <v>9982.0</v>
      </c>
      <c r="M500" s="27"/>
      <c r="N500" s="76"/>
      <c r="O500" s="28">
        <v>45271.0</v>
      </c>
      <c r="P500" s="26"/>
      <c r="Q500" s="12"/>
      <c r="R500" s="12"/>
      <c r="S500" s="12"/>
      <c r="T500" s="52">
        <v>45243.0</v>
      </c>
      <c r="U500" s="52">
        <v>45243.0</v>
      </c>
      <c r="V500" s="52">
        <v>45247.0</v>
      </c>
      <c r="W500" s="30"/>
      <c r="X500" s="30"/>
      <c r="Y500" s="31"/>
      <c r="Z500" s="31"/>
      <c r="AA500" s="31"/>
      <c r="AB500" s="74" t="s">
        <v>2049</v>
      </c>
      <c r="AC500" s="74"/>
    </row>
    <row r="501" ht="16.5" customHeight="1">
      <c r="A501" s="48" t="s">
        <v>2050</v>
      </c>
      <c r="B501" s="53" t="s">
        <v>2051</v>
      </c>
      <c r="C501" s="47">
        <v>0.0</v>
      </c>
      <c r="D501" s="70" t="s">
        <v>2052</v>
      </c>
      <c r="E501" s="55" t="s">
        <v>165</v>
      </c>
      <c r="F501" s="32" t="s">
        <v>33</v>
      </c>
      <c r="G501" s="32" t="s">
        <v>35</v>
      </c>
      <c r="H501" s="71" t="s">
        <v>35</v>
      </c>
      <c r="I501" s="71" t="s">
        <v>36</v>
      </c>
      <c r="J501" s="34" t="s">
        <v>37</v>
      </c>
      <c r="K501" s="57" t="s">
        <v>447</v>
      </c>
      <c r="L501" s="72">
        <v>10062.0</v>
      </c>
      <c r="M501" s="22"/>
      <c r="N501" s="76"/>
      <c r="O501" s="28">
        <v>45264.0</v>
      </c>
      <c r="P501" s="35" t="s">
        <v>2053</v>
      </c>
      <c r="Q501" s="12"/>
      <c r="R501" s="12"/>
      <c r="S501" s="12"/>
      <c r="T501" s="52">
        <v>45243.0</v>
      </c>
      <c r="U501" s="52">
        <v>45247.0</v>
      </c>
      <c r="V501" s="52">
        <v>45259.0</v>
      </c>
      <c r="W501" s="30"/>
      <c r="X501" s="30"/>
      <c r="Y501" s="31"/>
      <c r="Z501" s="31"/>
      <c r="AA501" s="31"/>
      <c r="AB501" s="74" t="s">
        <v>2054</v>
      </c>
      <c r="AC501" s="74"/>
    </row>
    <row r="502" ht="16.5" customHeight="1">
      <c r="A502" s="48" t="s">
        <v>2055</v>
      </c>
      <c r="B502" s="53" t="s">
        <v>631</v>
      </c>
      <c r="C502" s="47">
        <v>0.0</v>
      </c>
      <c r="D502" s="70"/>
      <c r="E502" s="55" t="s">
        <v>79</v>
      </c>
      <c r="F502" s="32" t="s">
        <v>33</v>
      </c>
      <c r="G502" s="32" t="s">
        <v>35</v>
      </c>
      <c r="H502" s="71" t="s">
        <v>35</v>
      </c>
      <c r="I502" s="71" t="s">
        <v>36</v>
      </c>
      <c r="J502" s="34" t="s">
        <v>65</v>
      </c>
      <c r="K502" s="57" t="s">
        <v>38</v>
      </c>
      <c r="L502" s="72">
        <v>9958.0</v>
      </c>
      <c r="M502" s="22"/>
      <c r="N502" s="76"/>
      <c r="O502" s="28">
        <v>45244.0</v>
      </c>
      <c r="P502" s="35" t="s">
        <v>2056</v>
      </c>
      <c r="Q502" s="12"/>
      <c r="R502" s="12"/>
      <c r="S502" s="12"/>
      <c r="T502" s="52">
        <v>45243.0</v>
      </c>
      <c r="U502" s="52">
        <v>45244.0</v>
      </c>
      <c r="V502" s="52">
        <v>45244.0</v>
      </c>
      <c r="W502" s="30"/>
      <c r="X502" s="30"/>
      <c r="Y502" s="31"/>
      <c r="Z502" s="31"/>
      <c r="AA502" s="31"/>
      <c r="AB502" s="74" t="s">
        <v>2057</v>
      </c>
      <c r="AC502" s="74"/>
    </row>
    <row r="503" ht="16.5" customHeight="1">
      <c r="A503" s="48" t="s">
        <v>2058</v>
      </c>
      <c r="B503" s="53" t="s">
        <v>631</v>
      </c>
      <c r="C503" s="47">
        <v>0.0</v>
      </c>
      <c r="D503" s="70"/>
      <c r="E503" s="55" t="s">
        <v>213</v>
      </c>
      <c r="F503" s="32" t="s">
        <v>33</v>
      </c>
      <c r="G503" s="32" t="s">
        <v>35</v>
      </c>
      <c r="H503" s="71" t="s">
        <v>35</v>
      </c>
      <c r="I503" s="71" t="s">
        <v>36</v>
      </c>
      <c r="J503" s="34" t="s">
        <v>65</v>
      </c>
      <c r="K503" s="57" t="s">
        <v>38</v>
      </c>
      <c r="L503" s="72">
        <v>9958.0</v>
      </c>
      <c r="M503" s="22"/>
      <c r="N503" s="76"/>
      <c r="O503" s="28">
        <v>45244.0</v>
      </c>
      <c r="P503" s="35" t="s">
        <v>2056</v>
      </c>
      <c r="Q503" s="12"/>
      <c r="R503" s="12"/>
      <c r="S503" s="12"/>
      <c r="T503" s="52">
        <v>45243.0</v>
      </c>
      <c r="U503" s="52">
        <v>45244.0</v>
      </c>
      <c r="V503" s="52">
        <v>45244.0</v>
      </c>
      <c r="W503" s="30"/>
      <c r="X503" s="30"/>
      <c r="Y503" s="31"/>
      <c r="Z503" s="31"/>
      <c r="AA503" s="31"/>
      <c r="AB503" s="74" t="s">
        <v>2059</v>
      </c>
      <c r="AC503" s="74"/>
    </row>
    <row r="504" ht="16.5" customHeight="1">
      <c r="A504" s="48" t="s">
        <v>2060</v>
      </c>
      <c r="B504" s="53" t="s">
        <v>2061</v>
      </c>
      <c r="C504" s="47">
        <v>0.0</v>
      </c>
      <c r="D504" s="70" t="s">
        <v>2062</v>
      </c>
      <c r="E504" s="55" t="s">
        <v>681</v>
      </c>
      <c r="F504" s="32" t="s">
        <v>244</v>
      </c>
      <c r="G504" s="32" t="s">
        <v>35</v>
      </c>
      <c r="H504" s="71" t="s">
        <v>35</v>
      </c>
      <c r="I504" s="71" t="s">
        <v>665</v>
      </c>
      <c r="J504" s="34" t="s">
        <v>420</v>
      </c>
      <c r="K504" s="57" t="s">
        <v>38</v>
      </c>
      <c r="L504" s="72">
        <v>9960.0</v>
      </c>
      <c r="M504" s="27"/>
      <c r="N504" s="76"/>
      <c r="O504" s="28">
        <v>45246.0</v>
      </c>
      <c r="P504" s="26"/>
      <c r="Q504" s="12"/>
      <c r="R504" s="12"/>
      <c r="S504" s="12"/>
      <c r="T504" s="52">
        <v>45243.0</v>
      </c>
      <c r="U504" s="52">
        <v>45244.0</v>
      </c>
      <c r="V504" s="52">
        <v>45245.0</v>
      </c>
      <c r="W504" s="30"/>
      <c r="X504" s="30"/>
      <c r="Y504" s="31"/>
      <c r="Z504" s="31"/>
      <c r="AA504" s="31"/>
      <c r="AB504" s="74" t="s">
        <v>2063</v>
      </c>
      <c r="AC504" s="74"/>
    </row>
    <row r="505" ht="16.5" customHeight="1">
      <c r="A505" s="48" t="s">
        <v>2064</v>
      </c>
      <c r="B505" s="53" t="s">
        <v>886</v>
      </c>
      <c r="C505" s="47">
        <v>0.0</v>
      </c>
      <c r="D505" s="70" t="s">
        <v>2065</v>
      </c>
      <c r="E505" s="55" t="s">
        <v>453</v>
      </c>
      <c r="F505" s="32" t="s">
        <v>244</v>
      </c>
      <c r="G505" s="32" t="s">
        <v>35</v>
      </c>
      <c r="H505" s="71" t="s">
        <v>35</v>
      </c>
      <c r="I505" s="71" t="s">
        <v>36</v>
      </c>
      <c r="J505" s="34" t="s">
        <v>65</v>
      </c>
      <c r="K505" s="57" t="s">
        <v>38</v>
      </c>
      <c r="L505" s="72">
        <v>10003.0</v>
      </c>
      <c r="M505" s="27"/>
      <c r="N505" s="76"/>
      <c r="O505" s="28">
        <v>45254.0</v>
      </c>
      <c r="P505" s="26"/>
      <c r="Q505" s="12"/>
      <c r="R505" s="12"/>
      <c r="S505" s="12"/>
      <c r="T505" s="52">
        <v>45244.0</v>
      </c>
      <c r="U505" s="52">
        <v>45244.0</v>
      </c>
      <c r="V505" s="52">
        <v>45254.0</v>
      </c>
      <c r="W505" s="30"/>
      <c r="X505" s="30"/>
      <c r="Y505" s="31"/>
      <c r="Z505" s="31"/>
      <c r="AA505" s="31"/>
      <c r="AB505" s="74" t="s">
        <v>2066</v>
      </c>
      <c r="AC505" s="74"/>
    </row>
    <row r="506" ht="16.5" customHeight="1">
      <c r="A506" s="48" t="s">
        <v>2067</v>
      </c>
      <c r="B506" s="53" t="s">
        <v>2068</v>
      </c>
      <c r="C506" s="47">
        <v>0.0</v>
      </c>
      <c r="D506" s="70" t="s">
        <v>2069</v>
      </c>
      <c r="E506" s="55" t="s">
        <v>171</v>
      </c>
      <c r="F506" s="32" t="s">
        <v>48</v>
      </c>
      <c r="G506" s="32" t="s">
        <v>35</v>
      </c>
      <c r="H506" s="71" t="s">
        <v>35</v>
      </c>
      <c r="I506" s="71" t="s">
        <v>36</v>
      </c>
      <c r="J506" s="34" t="s">
        <v>718</v>
      </c>
      <c r="K506" s="57" t="s">
        <v>38</v>
      </c>
      <c r="L506" s="72">
        <v>10275.0</v>
      </c>
      <c r="M506" s="27"/>
      <c r="N506" s="73"/>
      <c r="O506" s="28">
        <v>45310.0</v>
      </c>
      <c r="P506" s="26"/>
      <c r="Q506" s="12"/>
      <c r="R506" s="12"/>
      <c r="S506" s="12"/>
      <c r="T506" s="52">
        <v>45244.0</v>
      </c>
      <c r="U506" s="52">
        <v>45307.0</v>
      </c>
      <c r="V506" s="52">
        <v>45310.0</v>
      </c>
      <c r="W506" s="30"/>
      <c r="X506" s="30"/>
      <c r="Y506" s="31"/>
      <c r="Z506" s="31"/>
      <c r="AA506" s="31"/>
      <c r="AB506" s="74" t="s">
        <v>2070</v>
      </c>
      <c r="AC506" s="74"/>
    </row>
    <row r="507" ht="16.5" customHeight="1">
      <c r="A507" s="48" t="s">
        <v>2071</v>
      </c>
      <c r="B507" s="53" t="s">
        <v>2072</v>
      </c>
      <c r="C507" s="47">
        <v>0.0</v>
      </c>
      <c r="D507" s="70" t="s">
        <v>2073</v>
      </c>
      <c r="E507" s="55" t="s">
        <v>232</v>
      </c>
      <c r="F507" s="32" t="s">
        <v>33</v>
      </c>
      <c r="G507" s="32" t="s">
        <v>35</v>
      </c>
      <c r="H507" s="71" t="s">
        <v>35</v>
      </c>
      <c r="I507" s="71" t="s">
        <v>36</v>
      </c>
      <c r="J507" s="34" t="s">
        <v>65</v>
      </c>
      <c r="K507" s="57" t="s">
        <v>38</v>
      </c>
      <c r="L507" s="72">
        <v>9981.0</v>
      </c>
      <c r="M507" s="27"/>
      <c r="N507" s="76"/>
      <c r="O507" s="28">
        <v>45251.0</v>
      </c>
      <c r="P507" s="26"/>
      <c r="Q507" s="12"/>
      <c r="R507" s="12"/>
      <c r="S507" s="12"/>
      <c r="T507" s="52">
        <v>45244.0</v>
      </c>
      <c r="U507" s="52">
        <v>45244.0</v>
      </c>
      <c r="V507" s="52">
        <v>45250.0</v>
      </c>
      <c r="W507" s="30"/>
      <c r="X507" s="30"/>
      <c r="Y507" s="31"/>
      <c r="Z507" s="31"/>
      <c r="AA507" s="31"/>
      <c r="AB507" s="74" t="s">
        <v>2074</v>
      </c>
      <c r="AC507" s="74"/>
    </row>
    <row r="508" ht="16.5" customHeight="1">
      <c r="A508" s="48" t="s">
        <v>2075</v>
      </c>
      <c r="B508" s="53" t="s">
        <v>1615</v>
      </c>
      <c r="C508" s="47">
        <v>0.0</v>
      </c>
      <c r="D508" s="70" t="s">
        <v>2076</v>
      </c>
      <c r="E508" s="55" t="s">
        <v>177</v>
      </c>
      <c r="F508" s="32" t="s">
        <v>48</v>
      </c>
      <c r="G508" s="32" t="s">
        <v>35</v>
      </c>
      <c r="H508" s="71" t="s">
        <v>35</v>
      </c>
      <c r="I508" s="71" t="s">
        <v>36</v>
      </c>
      <c r="J508" s="34" t="s">
        <v>92</v>
      </c>
      <c r="K508" s="57" t="s">
        <v>38</v>
      </c>
      <c r="L508" s="72">
        <v>10288.0</v>
      </c>
      <c r="M508" s="27"/>
      <c r="N508" s="73"/>
      <c r="O508" s="28">
        <v>45314.0</v>
      </c>
      <c r="P508" s="26"/>
      <c r="Q508" s="12"/>
      <c r="R508" s="12"/>
      <c r="S508" s="12"/>
      <c r="T508" s="52">
        <v>45244.0</v>
      </c>
      <c r="U508" s="52">
        <v>45311.0</v>
      </c>
      <c r="V508" s="52">
        <v>45314.0</v>
      </c>
      <c r="W508" s="30"/>
      <c r="X508" s="30"/>
      <c r="Y508" s="31"/>
      <c r="Z508" s="31"/>
      <c r="AA508" s="31"/>
      <c r="AB508" s="74" t="s">
        <v>2077</v>
      </c>
      <c r="AC508" s="74"/>
    </row>
    <row r="509" ht="16.5" customHeight="1">
      <c r="A509" s="48" t="s">
        <v>2078</v>
      </c>
      <c r="B509" s="53" t="s">
        <v>241</v>
      </c>
      <c r="C509" s="47">
        <v>0.0</v>
      </c>
      <c r="D509" s="70" t="s">
        <v>2079</v>
      </c>
      <c r="E509" s="55" t="s">
        <v>79</v>
      </c>
      <c r="F509" s="32" t="s">
        <v>33</v>
      </c>
      <c r="G509" s="32" t="s">
        <v>35</v>
      </c>
      <c r="H509" s="71" t="s">
        <v>35</v>
      </c>
      <c r="I509" s="71" t="s">
        <v>36</v>
      </c>
      <c r="J509" s="34" t="s">
        <v>245</v>
      </c>
      <c r="K509" s="57" t="s">
        <v>38</v>
      </c>
      <c r="L509" s="72">
        <v>9980.0</v>
      </c>
      <c r="M509" s="27"/>
      <c r="N509" s="76"/>
      <c r="O509" s="28">
        <v>45252.0</v>
      </c>
      <c r="P509" s="26"/>
      <c r="Q509" s="12"/>
      <c r="R509" s="12"/>
      <c r="S509" s="12"/>
      <c r="T509" s="52">
        <v>45245.0</v>
      </c>
      <c r="U509" s="52">
        <v>45246.0</v>
      </c>
      <c r="V509" s="52">
        <v>45247.0</v>
      </c>
      <c r="W509" s="30"/>
      <c r="X509" s="30"/>
      <c r="Y509" s="31"/>
      <c r="Z509" s="31"/>
      <c r="AA509" s="31"/>
      <c r="AB509" s="74" t="s">
        <v>2080</v>
      </c>
      <c r="AC509" s="74"/>
    </row>
    <row r="510" ht="16.5" customHeight="1">
      <c r="A510" s="48" t="s">
        <v>2081</v>
      </c>
      <c r="B510" s="53" t="s">
        <v>896</v>
      </c>
      <c r="C510" s="47">
        <v>0.0</v>
      </c>
      <c r="D510" s="70" t="s">
        <v>2082</v>
      </c>
      <c r="E510" s="55" t="s">
        <v>491</v>
      </c>
      <c r="F510" s="32" t="s">
        <v>33</v>
      </c>
      <c r="G510" s="32" t="s">
        <v>35</v>
      </c>
      <c r="H510" s="71" t="s">
        <v>35</v>
      </c>
      <c r="I510" s="71" t="s">
        <v>36</v>
      </c>
      <c r="J510" s="34" t="s">
        <v>420</v>
      </c>
      <c r="K510" s="57" t="s">
        <v>38</v>
      </c>
      <c r="L510" s="72">
        <v>10021.0</v>
      </c>
      <c r="M510" s="27"/>
      <c r="N510" s="76"/>
      <c r="O510" s="28">
        <v>45259.0</v>
      </c>
      <c r="P510" s="26"/>
      <c r="Q510" s="12"/>
      <c r="R510" s="12"/>
      <c r="S510" s="12"/>
      <c r="T510" s="52">
        <v>45246.0</v>
      </c>
      <c r="U510" s="52">
        <v>45250.0</v>
      </c>
      <c r="V510" s="52">
        <v>45259.0</v>
      </c>
      <c r="W510" s="30"/>
      <c r="X510" s="30"/>
      <c r="Y510" s="31"/>
      <c r="Z510" s="31"/>
      <c r="AA510" s="31"/>
      <c r="AB510" s="74" t="s">
        <v>2083</v>
      </c>
      <c r="AC510" s="74"/>
    </row>
    <row r="511" ht="16.5" customHeight="1">
      <c r="A511" s="48" t="s">
        <v>2084</v>
      </c>
      <c r="B511" s="53" t="s">
        <v>896</v>
      </c>
      <c r="C511" s="47">
        <v>0.0</v>
      </c>
      <c r="D511" s="70" t="s">
        <v>2085</v>
      </c>
      <c r="E511" s="55" t="s">
        <v>491</v>
      </c>
      <c r="F511" s="32" t="s">
        <v>33</v>
      </c>
      <c r="G511" s="32" t="s">
        <v>35</v>
      </c>
      <c r="H511" s="71" t="s">
        <v>35</v>
      </c>
      <c r="I511" s="71" t="s">
        <v>36</v>
      </c>
      <c r="J511" s="34" t="s">
        <v>420</v>
      </c>
      <c r="K511" s="57" t="s">
        <v>38</v>
      </c>
      <c r="L511" s="72">
        <v>10021.0</v>
      </c>
      <c r="M511" s="27"/>
      <c r="N511" s="76"/>
      <c r="O511" s="28">
        <v>45259.0</v>
      </c>
      <c r="P511" s="26"/>
      <c r="Q511" s="12"/>
      <c r="R511" s="12"/>
      <c r="S511" s="12"/>
      <c r="T511" s="52">
        <v>45246.0</v>
      </c>
      <c r="U511" s="52">
        <v>45250.0</v>
      </c>
      <c r="V511" s="52">
        <v>45259.0</v>
      </c>
      <c r="W511" s="30"/>
      <c r="X511" s="30"/>
      <c r="Y511" s="31"/>
      <c r="Z511" s="31"/>
      <c r="AA511" s="31"/>
      <c r="AB511" s="74" t="s">
        <v>2086</v>
      </c>
      <c r="AC511" s="74"/>
    </row>
    <row r="512" ht="16.5" customHeight="1">
      <c r="A512" s="48" t="s">
        <v>2087</v>
      </c>
      <c r="B512" s="53" t="s">
        <v>896</v>
      </c>
      <c r="C512" s="47">
        <v>0.0</v>
      </c>
      <c r="D512" s="70" t="s">
        <v>2088</v>
      </c>
      <c r="E512" s="55" t="s">
        <v>2089</v>
      </c>
      <c r="F512" s="32" t="s">
        <v>33</v>
      </c>
      <c r="G512" s="32" t="s">
        <v>35</v>
      </c>
      <c r="H512" s="71" t="s">
        <v>35</v>
      </c>
      <c r="I512" s="71" t="s">
        <v>36</v>
      </c>
      <c r="J512" s="34" t="s">
        <v>420</v>
      </c>
      <c r="K512" s="57" t="s">
        <v>38</v>
      </c>
      <c r="L512" s="72">
        <v>10021.0</v>
      </c>
      <c r="M512" s="27"/>
      <c r="N512" s="76"/>
      <c r="O512" s="28">
        <v>45259.0</v>
      </c>
      <c r="P512" s="26"/>
      <c r="Q512" s="12"/>
      <c r="R512" s="12"/>
      <c r="S512" s="12"/>
      <c r="T512" s="52">
        <v>45246.0</v>
      </c>
      <c r="U512" s="52">
        <v>45250.0</v>
      </c>
      <c r="V512" s="52">
        <v>45258.0</v>
      </c>
      <c r="W512" s="30"/>
      <c r="X512" s="30"/>
      <c r="Y512" s="31"/>
      <c r="Z512" s="31"/>
      <c r="AA512" s="31"/>
      <c r="AB512" s="74" t="s">
        <v>2090</v>
      </c>
      <c r="AC512" s="74"/>
    </row>
    <row r="513" ht="16.5" customHeight="1">
      <c r="A513" s="48" t="s">
        <v>2091</v>
      </c>
      <c r="B513" s="53" t="s">
        <v>716</v>
      </c>
      <c r="C513" s="47">
        <v>0.0</v>
      </c>
      <c r="D513" s="70" t="s">
        <v>2092</v>
      </c>
      <c r="E513" s="55" t="s">
        <v>701</v>
      </c>
      <c r="F513" s="32" t="s">
        <v>33</v>
      </c>
      <c r="G513" s="32" t="s">
        <v>34</v>
      </c>
      <c r="H513" s="71" t="s">
        <v>35</v>
      </c>
      <c r="I513" s="71" t="s">
        <v>36</v>
      </c>
      <c r="J513" s="34" t="s">
        <v>718</v>
      </c>
      <c r="K513" s="57" t="s">
        <v>38</v>
      </c>
      <c r="L513" s="72">
        <v>10002.0</v>
      </c>
      <c r="M513" s="27"/>
      <c r="N513" s="76"/>
      <c r="O513" s="28">
        <v>45254.0</v>
      </c>
      <c r="P513" s="26"/>
      <c r="Q513" s="12"/>
      <c r="R513" s="12"/>
      <c r="S513" s="12"/>
      <c r="T513" s="52">
        <v>45246.0</v>
      </c>
      <c r="U513" s="52">
        <v>45246.0</v>
      </c>
      <c r="V513" s="52">
        <v>45251.0</v>
      </c>
      <c r="W513" s="30"/>
      <c r="X513" s="30"/>
      <c r="Y513" s="31"/>
      <c r="Z513" s="31"/>
      <c r="AA513" s="31"/>
      <c r="AB513" s="74" t="s">
        <v>2093</v>
      </c>
      <c r="AC513" s="74"/>
    </row>
    <row r="514" ht="16.5" customHeight="1">
      <c r="A514" s="48" t="s">
        <v>2094</v>
      </c>
      <c r="B514" s="53" t="s">
        <v>716</v>
      </c>
      <c r="C514" s="47">
        <v>0.0</v>
      </c>
      <c r="D514" s="70" t="s">
        <v>2095</v>
      </c>
      <c r="E514" s="55" t="s">
        <v>79</v>
      </c>
      <c r="F514" s="32" t="s">
        <v>33</v>
      </c>
      <c r="G514" s="32" t="s">
        <v>368</v>
      </c>
      <c r="H514" s="71" t="s">
        <v>35</v>
      </c>
      <c r="I514" s="71" t="s">
        <v>36</v>
      </c>
      <c r="J514" s="34" t="s">
        <v>420</v>
      </c>
      <c r="K514" s="57" t="s">
        <v>38</v>
      </c>
      <c r="L514" s="72">
        <v>9987.0</v>
      </c>
      <c r="M514" s="27"/>
      <c r="N514" s="76"/>
      <c r="O514" s="28">
        <v>45251.0</v>
      </c>
      <c r="P514" s="26"/>
      <c r="Q514" s="12"/>
      <c r="R514" s="12"/>
      <c r="S514" s="12"/>
      <c r="T514" s="52">
        <v>45246.0</v>
      </c>
      <c r="U514" s="52">
        <v>45246.0</v>
      </c>
      <c r="V514" s="52">
        <v>45251.0</v>
      </c>
      <c r="W514" s="30"/>
      <c r="X514" s="30"/>
      <c r="Y514" s="31"/>
      <c r="Z514" s="31"/>
      <c r="AA514" s="31"/>
      <c r="AB514" s="74" t="s">
        <v>2096</v>
      </c>
      <c r="AC514" s="74"/>
    </row>
    <row r="515" ht="16.5" customHeight="1">
      <c r="A515" s="48" t="s">
        <v>2097</v>
      </c>
      <c r="B515" s="53" t="s">
        <v>1803</v>
      </c>
      <c r="C515" s="47">
        <v>0.0</v>
      </c>
      <c r="D515" s="70" t="s">
        <v>2098</v>
      </c>
      <c r="E515" s="55" t="s">
        <v>701</v>
      </c>
      <c r="F515" s="32" t="s">
        <v>33</v>
      </c>
      <c r="G515" s="32" t="s">
        <v>35</v>
      </c>
      <c r="H515" s="71" t="s">
        <v>35</v>
      </c>
      <c r="I515" s="71" t="s">
        <v>36</v>
      </c>
      <c r="J515" s="34" t="s">
        <v>65</v>
      </c>
      <c r="K515" s="57" t="s">
        <v>38</v>
      </c>
      <c r="L515" s="72">
        <v>9979.0</v>
      </c>
      <c r="M515" s="27"/>
      <c r="N515" s="76"/>
      <c r="O515" s="28">
        <v>45251.0</v>
      </c>
      <c r="P515" s="26"/>
      <c r="Q515" s="12"/>
      <c r="R515" s="12"/>
      <c r="S515" s="12"/>
      <c r="T515" s="52">
        <v>45246.0</v>
      </c>
      <c r="U515" s="52">
        <v>45246.0</v>
      </c>
      <c r="V515" s="52">
        <v>45250.0</v>
      </c>
      <c r="W515" s="30"/>
      <c r="X515" s="30"/>
      <c r="Y515" s="31"/>
      <c r="Z515" s="31"/>
      <c r="AA515" s="31"/>
      <c r="AB515" s="74" t="s">
        <v>2099</v>
      </c>
      <c r="AC515" s="74"/>
    </row>
    <row r="516" ht="16.5" customHeight="1">
      <c r="A516" s="48" t="s">
        <v>2100</v>
      </c>
      <c r="B516" s="53" t="s">
        <v>299</v>
      </c>
      <c r="C516" s="47">
        <v>0.0</v>
      </c>
      <c r="D516" s="70" t="s">
        <v>2101</v>
      </c>
      <c r="E516" s="55" t="s">
        <v>301</v>
      </c>
      <c r="F516" s="32" t="s">
        <v>33</v>
      </c>
      <c r="G516" s="32" t="s">
        <v>35</v>
      </c>
      <c r="H516" s="71" t="s">
        <v>35</v>
      </c>
      <c r="I516" s="71" t="s">
        <v>36</v>
      </c>
      <c r="J516" s="34" t="s">
        <v>92</v>
      </c>
      <c r="K516" s="57" t="s">
        <v>38</v>
      </c>
      <c r="L516" s="72">
        <v>9978.0</v>
      </c>
      <c r="M516" s="27"/>
      <c r="N516" s="76"/>
      <c r="O516" s="28">
        <v>45253.0</v>
      </c>
      <c r="P516" s="26"/>
      <c r="Q516" s="12"/>
      <c r="R516" s="12"/>
      <c r="S516" s="12"/>
      <c r="T516" s="52">
        <v>45246.0</v>
      </c>
      <c r="U516" s="52">
        <v>45246.0</v>
      </c>
      <c r="V516" s="52">
        <v>45250.0</v>
      </c>
      <c r="W516" s="30"/>
      <c r="X516" s="30"/>
      <c r="Y516" s="31"/>
      <c r="Z516" s="31"/>
      <c r="AA516" s="31"/>
      <c r="AB516" s="74" t="s">
        <v>2102</v>
      </c>
      <c r="AC516" s="74"/>
    </row>
    <row r="517" ht="16.5" customHeight="1">
      <c r="A517" s="48" t="s">
        <v>2103</v>
      </c>
      <c r="B517" s="53" t="s">
        <v>2104</v>
      </c>
      <c r="C517" s="47">
        <v>0.0</v>
      </c>
      <c r="D517" s="70" t="s">
        <v>2105</v>
      </c>
      <c r="E517" s="55" t="s">
        <v>2106</v>
      </c>
      <c r="F517" s="32" t="s">
        <v>244</v>
      </c>
      <c r="G517" s="32" t="s">
        <v>35</v>
      </c>
      <c r="H517" s="71" t="s">
        <v>35</v>
      </c>
      <c r="I517" s="71" t="s">
        <v>36</v>
      </c>
      <c r="J517" s="34" t="s">
        <v>37</v>
      </c>
      <c r="K517" s="57" t="s">
        <v>38</v>
      </c>
      <c r="L517" s="72">
        <v>10044.0</v>
      </c>
      <c r="M517" s="27"/>
      <c r="N517" s="76"/>
      <c r="O517" s="28">
        <v>45260.0</v>
      </c>
      <c r="P517" s="26"/>
      <c r="Q517" s="12"/>
      <c r="R517" s="12"/>
      <c r="S517" s="12"/>
      <c r="T517" s="52">
        <v>45246.0</v>
      </c>
      <c r="U517" s="52">
        <v>45251.0</v>
      </c>
      <c r="V517" s="52">
        <v>45254.0</v>
      </c>
      <c r="W517" s="30"/>
      <c r="X517" s="30"/>
      <c r="Y517" s="31"/>
      <c r="Z517" s="31"/>
      <c r="AA517" s="31"/>
      <c r="AB517" s="74" t="s">
        <v>2107</v>
      </c>
      <c r="AC517" s="74"/>
    </row>
    <row r="518" ht="16.5" customHeight="1">
      <c r="A518" s="48" t="s">
        <v>2108</v>
      </c>
      <c r="B518" s="53" t="s">
        <v>2104</v>
      </c>
      <c r="C518" s="47">
        <v>0.0</v>
      </c>
      <c r="D518" s="70" t="s">
        <v>2109</v>
      </c>
      <c r="E518" s="55" t="s">
        <v>2106</v>
      </c>
      <c r="F518" s="32" t="s">
        <v>244</v>
      </c>
      <c r="G518" s="32" t="s">
        <v>35</v>
      </c>
      <c r="H518" s="71" t="s">
        <v>35</v>
      </c>
      <c r="I518" s="71" t="s">
        <v>36</v>
      </c>
      <c r="J518" s="34" t="s">
        <v>37</v>
      </c>
      <c r="K518" s="57" t="s">
        <v>38</v>
      </c>
      <c r="L518" s="72">
        <v>10044.0</v>
      </c>
      <c r="M518" s="27"/>
      <c r="N518" s="76"/>
      <c r="O518" s="28">
        <v>45260.0</v>
      </c>
      <c r="P518" s="26"/>
      <c r="Q518" s="12"/>
      <c r="R518" s="12"/>
      <c r="S518" s="12"/>
      <c r="T518" s="52">
        <v>45246.0</v>
      </c>
      <c r="U518" s="52">
        <v>45251.0</v>
      </c>
      <c r="V518" s="52">
        <v>45260.0</v>
      </c>
      <c r="W518" s="30"/>
      <c r="X518" s="30"/>
      <c r="Y518" s="31"/>
      <c r="Z518" s="31"/>
      <c r="AA518" s="31"/>
      <c r="AB518" s="74" t="s">
        <v>2110</v>
      </c>
      <c r="AC518" s="74"/>
    </row>
    <row r="519" ht="16.5" customHeight="1">
      <c r="A519" s="48" t="s">
        <v>2111</v>
      </c>
      <c r="B519" s="53" t="s">
        <v>2104</v>
      </c>
      <c r="C519" s="47">
        <v>0.0</v>
      </c>
      <c r="D519" s="70" t="s">
        <v>2112</v>
      </c>
      <c r="E519" s="55" t="s">
        <v>453</v>
      </c>
      <c r="F519" s="32" t="s">
        <v>244</v>
      </c>
      <c r="G519" s="32" t="s">
        <v>35</v>
      </c>
      <c r="H519" s="71" t="s">
        <v>35</v>
      </c>
      <c r="I519" s="71" t="s">
        <v>36</v>
      </c>
      <c r="J519" s="34" t="s">
        <v>37</v>
      </c>
      <c r="K519" s="57" t="s">
        <v>38</v>
      </c>
      <c r="L519" s="72">
        <v>10093.0</v>
      </c>
      <c r="M519" s="27"/>
      <c r="N519" s="76"/>
      <c r="O519" s="28">
        <v>45268.0</v>
      </c>
      <c r="P519" s="26"/>
      <c r="Q519" s="12"/>
      <c r="R519" s="12"/>
      <c r="S519" s="12"/>
      <c r="T519" s="52">
        <v>45246.0</v>
      </c>
      <c r="U519" s="52">
        <v>45251.0</v>
      </c>
      <c r="V519" s="52">
        <v>45260.0</v>
      </c>
      <c r="W519" s="30"/>
      <c r="X519" s="30"/>
      <c r="Y519" s="31"/>
      <c r="Z519" s="31"/>
      <c r="AA519" s="31"/>
      <c r="AB519" s="74" t="s">
        <v>2113</v>
      </c>
      <c r="AC519" s="74"/>
    </row>
    <row r="520" ht="16.5" customHeight="1">
      <c r="A520" s="48" t="s">
        <v>2114</v>
      </c>
      <c r="B520" s="53" t="s">
        <v>2115</v>
      </c>
      <c r="C520" s="47">
        <v>0.0</v>
      </c>
      <c r="D520" s="70" t="s">
        <v>2116</v>
      </c>
      <c r="E520" s="55" t="s">
        <v>117</v>
      </c>
      <c r="F520" s="32" t="s">
        <v>33</v>
      </c>
      <c r="G520" s="32" t="s">
        <v>35</v>
      </c>
      <c r="H520" s="71" t="s">
        <v>35</v>
      </c>
      <c r="I520" s="71" t="s">
        <v>36</v>
      </c>
      <c r="J520" s="34" t="s">
        <v>37</v>
      </c>
      <c r="K520" s="57" t="s">
        <v>38</v>
      </c>
      <c r="L520" s="72">
        <v>9974.0</v>
      </c>
      <c r="M520" s="27"/>
      <c r="N520" s="76"/>
      <c r="O520" s="28">
        <v>45250.0</v>
      </c>
      <c r="P520" s="26"/>
      <c r="Q520" s="12"/>
      <c r="R520" s="12"/>
      <c r="S520" s="12"/>
      <c r="T520" s="52">
        <v>45246.0</v>
      </c>
      <c r="U520" s="52">
        <v>45247.0</v>
      </c>
      <c r="V520" s="52">
        <v>45247.0</v>
      </c>
      <c r="W520" s="30"/>
      <c r="X520" s="30"/>
      <c r="Y520" s="31"/>
      <c r="Z520" s="31"/>
      <c r="AA520" s="31"/>
      <c r="AB520" s="74" t="s">
        <v>2117</v>
      </c>
      <c r="AC520" s="74"/>
    </row>
    <row r="521" ht="16.5" customHeight="1">
      <c r="A521" s="48" t="s">
        <v>2118</v>
      </c>
      <c r="B521" s="53" t="s">
        <v>880</v>
      </c>
      <c r="C521" s="47">
        <v>0.0</v>
      </c>
      <c r="D521" s="70" t="s">
        <v>1052</v>
      </c>
      <c r="E521" s="55" t="s">
        <v>232</v>
      </c>
      <c r="F521" s="32" t="s">
        <v>33</v>
      </c>
      <c r="G521" s="32" t="s">
        <v>35</v>
      </c>
      <c r="H521" s="71" t="s">
        <v>35</v>
      </c>
      <c r="I521" s="71" t="s">
        <v>36</v>
      </c>
      <c r="J521" s="34" t="s">
        <v>65</v>
      </c>
      <c r="K521" s="57" t="s">
        <v>38</v>
      </c>
      <c r="L521" s="72">
        <v>9972.0</v>
      </c>
      <c r="M521" s="22"/>
      <c r="N521" s="76"/>
      <c r="O521" s="28">
        <v>45247.0</v>
      </c>
      <c r="P521" s="35" t="s">
        <v>2119</v>
      </c>
      <c r="Q521" s="12"/>
      <c r="R521" s="12"/>
      <c r="S521" s="12"/>
      <c r="T521" s="52">
        <v>45246.0</v>
      </c>
      <c r="U521" s="52">
        <v>45247.0</v>
      </c>
      <c r="V521" s="52">
        <v>45247.0</v>
      </c>
      <c r="W521" s="30"/>
      <c r="X521" s="30"/>
      <c r="Y521" s="31"/>
      <c r="Z521" s="31"/>
      <c r="AA521" s="31"/>
      <c r="AB521" s="74" t="s">
        <v>2120</v>
      </c>
      <c r="AC521" s="74"/>
    </row>
    <row r="522" ht="16.5" customHeight="1">
      <c r="A522" s="48" t="s">
        <v>2121</v>
      </c>
      <c r="B522" s="53" t="s">
        <v>2122</v>
      </c>
      <c r="C522" s="47">
        <v>0.0</v>
      </c>
      <c r="D522" s="70" t="s">
        <v>2123</v>
      </c>
      <c r="E522" s="55" t="s">
        <v>79</v>
      </c>
      <c r="F522" s="32" t="s">
        <v>33</v>
      </c>
      <c r="G522" s="32" t="s">
        <v>34</v>
      </c>
      <c r="H522" s="71" t="s">
        <v>35</v>
      </c>
      <c r="I522" s="71" t="s">
        <v>36</v>
      </c>
      <c r="J522" s="34" t="s">
        <v>92</v>
      </c>
      <c r="K522" s="57" t="s">
        <v>38</v>
      </c>
      <c r="L522" s="72">
        <v>9977.0</v>
      </c>
      <c r="M522" s="22"/>
      <c r="N522" s="76"/>
      <c r="O522" s="28">
        <v>45251.0</v>
      </c>
      <c r="P522" s="35" t="s">
        <v>2124</v>
      </c>
      <c r="Q522" s="12"/>
      <c r="R522" s="12"/>
      <c r="S522" s="12"/>
      <c r="T522" s="52">
        <v>45247.0</v>
      </c>
      <c r="U522" s="52">
        <v>45250.0</v>
      </c>
      <c r="V522" s="52">
        <v>45250.0</v>
      </c>
      <c r="W522" s="30"/>
      <c r="X522" s="30"/>
      <c r="Y522" s="31"/>
      <c r="Z522" s="31"/>
      <c r="AA522" s="31"/>
      <c r="AB522" s="74" t="s">
        <v>2125</v>
      </c>
      <c r="AC522" s="74"/>
    </row>
    <row r="523" ht="16.5" customHeight="1">
      <c r="A523" s="48" t="s">
        <v>2126</v>
      </c>
      <c r="B523" s="53" t="s">
        <v>169</v>
      </c>
      <c r="C523" s="47">
        <v>0.0</v>
      </c>
      <c r="D523" s="70" t="s">
        <v>2127</v>
      </c>
      <c r="E523" s="55" t="s">
        <v>171</v>
      </c>
      <c r="F523" s="32" t="s">
        <v>48</v>
      </c>
      <c r="G523" s="32" t="s">
        <v>35</v>
      </c>
      <c r="H523" s="71" t="s">
        <v>35</v>
      </c>
      <c r="I523" s="71" t="s">
        <v>36</v>
      </c>
      <c r="J523" s="34" t="s">
        <v>65</v>
      </c>
      <c r="K523" s="57" t="s">
        <v>38</v>
      </c>
      <c r="L523" s="72" t="s">
        <v>2128</v>
      </c>
      <c r="M523" s="27"/>
      <c r="N523" s="73"/>
      <c r="O523" s="28">
        <v>45308.0</v>
      </c>
      <c r="P523" s="26"/>
      <c r="Q523" s="12"/>
      <c r="R523" s="12"/>
      <c r="S523" s="12"/>
      <c r="T523" s="52">
        <v>45247.0</v>
      </c>
      <c r="U523" s="52">
        <v>45305.0</v>
      </c>
      <c r="V523" s="52">
        <v>45308.0</v>
      </c>
      <c r="W523" s="30"/>
      <c r="X523" s="30"/>
      <c r="Y523" s="31"/>
      <c r="Z523" s="31"/>
      <c r="AA523" s="31"/>
      <c r="AB523" s="74" t="s">
        <v>2129</v>
      </c>
      <c r="AC523" s="74"/>
    </row>
    <row r="524" ht="16.5" customHeight="1">
      <c r="A524" s="48" t="s">
        <v>2130</v>
      </c>
      <c r="B524" s="53" t="s">
        <v>169</v>
      </c>
      <c r="C524" s="47">
        <v>0.0</v>
      </c>
      <c r="D524" s="70" t="s">
        <v>2131</v>
      </c>
      <c r="E524" s="55" t="s">
        <v>171</v>
      </c>
      <c r="F524" s="32" t="s">
        <v>48</v>
      </c>
      <c r="G524" s="32" t="s">
        <v>35</v>
      </c>
      <c r="H524" s="71" t="s">
        <v>35</v>
      </c>
      <c r="I524" s="71" t="s">
        <v>36</v>
      </c>
      <c r="J524" s="34" t="s">
        <v>65</v>
      </c>
      <c r="K524" s="57" t="s">
        <v>38</v>
      </c>
      <c r="L524" s="72" t="s">
        <v>2128</v>
      </c>
      <c r="M524" s="27"/>
      <c r="N524" s="73"/>
      <c r="O524" s="28">
        <v>45308.0</v>
      </c>
      <c r="P524" s="26"/>
      <c r="Q524" s="12"/>
      <c r="R524" s="12"/>
      <c r="S524" s="12"/>
      <c r="T524" s="52">
        <v>45247.0</v>
      </c>
      <c r="U524" s="52">
        <v>45305.0</v>
      </c>
      <c r="V524" s="52">
        <v>45308.0</v>
      </c>
      <c r="W524" s="30"/>
      <c r="X524" s="30"/>
      <c r="Y524" s="31"/>
      <c r="Z524" s="31"/>
      <c r="AA524" s="31"/>
      <c r="AB524" s="74" t="s">
        <v>2132</v>
      </c>
      <c r="AC524" s="74"/>
    </row>
    <row r="525" ht="16.5" customHeight="1">
      <c r="A525" s="48" t="s">
        <v>2133</v>
      </c>
      <c r="B525" s="53" t="s">
        <v>2134</v>
      </c>
      <c r="C525" s="47">
        <v>0.0</v>
      </c>
      <c r="D525" s="70" t="s">
        <v>2135</v>
      </c>
      <c r="E525" s="55" t="s">
        <v>491</v>
      </c>
      <c r="F525" s="32" t="s">
        <v>33</v>
      </c>
      <c r="G525" s="32" t="s">
        <v>35</v>
      </c>
      <c r="H525" s="71" t="s">
        <v>35</v>
      </c>
      <c r="I525" s="71" t="s">
        <v>36</v>
      </c>
      <c r="J525" s="34" t="s">
        <v>65</v>
      </c>
      <c r="K525" s="57" t="s">
        <v>38</v>
      </c>
      <c r="L525" s="72">
        <v>10087.0</v>
      </c>
      <c r="M525" s="27"/>
      <c r="N525" s="73"/>
      <c r="O525" s="28">
        <v>45267.0</v>
      </c>
      <c r="P525" s="26"/>
      <c r="Q525" s="12"/>
      <c r="R525" s="12"/>
      <c r="S525" s="12"/>
      <c r="T525" s="52">
        <v>45247.0</v>
      </c>
      <c r="U525" s="52">
        <v>45251.0</v>
      </c>
      <c r="V525" s="52">
        <v>45266.0</v>
      </c>
      <c r="W525" s="30"/>
      <c r="X525" s="30"/>
      <c r="Y525" s="31"/>
      <c r="Z525" s="31"/>
      <c r="AA525" s="31"/>
      <c r="AB525" s="74" t="s">
        <v>2136</v>
      </c>
      <c r="AC525" s="74"/>
    </row>
    <row r="526" ht="16.5" customHeight="1">
      <c r="A526" s="48" t="s">
        <v>2137</v>
      </c>
      <c r="B526" s="53" t="s">
        <v>2138</v>
      </c>
      <c r="C526" s="47">
        <v>0.0</v>
      </c>
      <c r="D526" s="70" t="s">
        <v>2139</v>
      </c>
      <c r="E526" s="55" t="s">
        <v>177</v>
      </c>
      <c r="F526" s="32" t="s">
        <v>48</v>
      </c>
      <c r="G526" s="32" t="s">
        <v>35</v>
      </c>
      <c r="H526" s="71" t="s">
        <v>35</v>
      </c>
      <c r="I526" s="71" t="s">
        <v>36</v>
      </c>
      <c r="J526" s="34" t="s">
        <v>65</v>
      </c>
      <c r="K526" s="57" t="s">
        <v>38</v>
      </c>
      <c r="L526" s="72">
        <v>10299.0</v>
      </c>
      <c r="M526" s="27"/>
      <c r="N526" s="73"/>
      <c r="O526" s="28">
        <v>45316.0</v>
      </c>
      <c r="P526" s="26"/>
      <c r="Q526" s="12"/>
      <c r="R526" s="12"/>
      <c r="S526" s="12"/>
      <c r="T526" s="52">
        <v>45247.0</v>
      </c>
      <c r="U526" s="52">
        <v>45313.0</v>
      </c>
      <c r="V526" s="52">
        <v>45315.0</v>
      </c>
      <c r="W526" s="30"/>
      <c r="X526" s="30"/>
      <c r="Y526" s="31"/>
      <c r="Z526" s="31"/>
      <c r="AA526" s="31"/>
      <c r="AB526" s="74" t="s">
        <v>2140</v>
      </c>
      <c r="AC526" s="74"/>
    </row>
    <row r="527" ht="16.5" customHeight="1">
      <c r="A527" s="48" t="s">
        <v>2141</v>
      </c>
      <c r="B527" s="53" t="s">
        <v>2142</v>
      </c>
      <c r="C527" s="47">
        <v>0.0</v>
      </c>
      <c r="D527" s="70" t="s">
        <v>2143</v>
      </c>
      <c r="E527" s="55" t="s">
        <v>1027</v>
      </c>
      <c r="F527" s="32" t="s">
        <v>33</v>
      </c>
      <c r="G527" s="32" t="s">
        <v>35</v>
      </c>
      <c r="H527" s="71" t="s">
        <v>35</v>
      </c>
      <c r="I527" s="71" t="s">
        <v>36</v>
      </c>
      <c r="J527" s="34" t="s">
        <v>65</v>
      </c>
      <c r="K527" s="57" t="s">
        <v>38</v>
      </c>
      <c r="L527" s="72">
        <v>10011.0</v>
      </c>
      <c r="M527" s="27"/>
      <c r="N527" s="76"/>
      <c r="O527" s="28">
        <v>45257.0</v>
      </c>
      <c r="P527" s="26"/>
      <c r="Q527" s="12"/>
      <c r="R527" s="12"/>
      <c r="S527" s="12"/>
      <c r="T527" s="52">
        <v>45247.0</v>
      </c>
      <c r="U527" s="52">
        <v>45250.0</v>
      </c>
      <c r="V527" s="52">
        <v>45257.0</v>
      </c>
      <c r="W527" s="30"/>
      <c r="X527" s="30"/>
      <c r="Y527" s="31"/>
      <c r="Z527" s="31"/>
      <c r="AA527" s="31"/>
      <c r="AB527" s="74" t="s">
        <v>2144</v>
      </c>
      <c r="AC527" s="74"/>
    </row>
    <row r="528" ht="16.5" customHeight="1">
      <c r="A528" s="48" t="s">
        <v>2145</v>
      </c>
      <c r="B528" s="53" t="s">
        <v>2146</v>
      </c>
      <c r="C528" s="47">
        <v>0.0</v>
      </c>
      <c r="D528" s="70" t="s">
        <v>1110</v>
      </c>
      <c r="E528" s="55" t="s">
        <v>289</v>
      </c>
      <c r="F528" s="32" t="s">
        <v>33</v>
      </c>
      <c r="G528" s="32" t="s">
        <v>34</v>
      </c>
      <c r="H528" s="71" t="s">
        <v>35</v>
      </c>
      <c r="I528" s="71" t="s">
        <v>36</v>
      </c>
      <c r="J528" s="34" t="s">
        <v>339</v>
      </c>
      <c r="K528" s="57" t="s">
        <v>38</v>
      </c>
      <c r="L528" s="72">
        <v>12548.0</v>
      </c>
      <c r="M528" s="22" t="s">
        <v>50</v>
      </c>
      <c r="N528" s="35" t="s">
        <v>2147</v>
      </c>
      <c r="O528" s="28">
        <v>45688.6853587963</v>
      </c>
      <c r="P528" s="35" t="s">
        <v>2148</v>
      </c>
      <c r="Q528" s="14" t="s">
        <v>67</v>
      </c>
      <c r="R528" s="14" t="s">
        <v>67</v>
      </c>
      <c r="S528" s="12"/>
      <c r="T528" s="52">
        <v>45645.461064814815</v>
      </c>
      <c r="U528" s="52">
        <v>45645.46165509259</v>
      </c>
      <c r="V528" s="29"/>
      <c r="W528" s="30"/>
      <c r="X528" s="14" t="s">
        <v>2149</v>
      </c>
      <c r="Y528" s="31"/>
      <c r="Z528" s="31"/>
      <c r="AA528" s="31"/>
      <c r="AB528" s="74" t="s">
        <v>2150</v>
      </c>
      <c r="AC528" s="74"/>
    </row>
    <row r="529" ht="16.5" customHeight="1">
      <c r="A529" s="48" t="s">
        <v>2151</v>
      </c>
      <c r="B529" s="53" t="s">
        <v>2146</v>
      </c>
      <c r="C529" s="47">
        <v>0.0</v>
      </c>
      <c r="D529" s="70" t="s">
        <v>2152</v>
      </c>
      <c r="E529" s="55" t="s">
        <v>289</v>
      </c>
      <c r="F529" s="32" t="s">
        <v>33</v>
      </c>
      <c r="G529" s="32" t="s">
        <v>34</v>
      </c>
      <c r="H529" s="71" t="s">
        <v>35</v>
      </c>
      <c r="I529" s="71" t="s">
        <v>36</v>
      </c>
      <c r="J529" s="34" t="s">
        <v>339</v>
      </c>
      <c r="K529" s="57" t="s">
        <v>38</v>
      </c>
      <c r="L529" s="72">
        <v>12548.0</v>
      </c>
      <c r="M529" s="22" t="s">
        <v>50</v>
      </c>
      <c r="N529" s="35" t="s">
        <v>2147</v>
      </c>
      <c r="O529" s="28">
        <v>45688.685428240744</v>
      </c>
      <c r="P529" s="35" t="s">
        <v>2148</v>
      </c>
      <c r="Q529" s="14" t="s">
        <v>67</v>
      </c>
      <c r="R529" s="14" t="s">
        <v>67</v>
      </c>
      <c r="S529" s="14" t="s">
        <v>101</v>
      </c>
      <c r="T529" s="52">
        <v>45645.4612037037</v>
      </c>
      <c r="U529" s="52">
        <v>45645.461701388886</v>
      </c>
      <c r="V529" s="52">
        <v>45685.80155092593</v>
      </c>
      <c r="W529" s="30"/>
      <c r="X529" s="14" t="s">
        <v>2149</v>
      </c>
      <c r="Y529" s="31"/>
      <c r="Z529" s="31"/>
      <c r="AA529" s="31"/>
      <c r="AB529" s="74" t="s">
        <v>2153</v>
      </c>
      <c r="AC529" s="74"/>
    </row>
    <row r="530" ht="16.5" customHeight="1">
      <c r="A530" s="48" t="s">
        <v>2154</v>
      </c>
      <c r="B530" s="53" t="s">
        <v>2155</v>
      </c>
      <c r="C530" s="47">
        <v>0.0</v>
      </c>
      <c r="D530" s="70" t="s">
        <v>2156</v>
      </c>
      <c r="E530" s="55" t="s">
        <v>383</v>
      </c>
      <c r="F530" s="32" t="s">
        <v>33</v>
      </c>
      <c r="G530" s="32" t="s">
        <v>35</v>
      </c>
      <c r="H530" s="71" t="s">
        <v>35</v>
      </c>
      <c r="I530" s="71" t="s">
        <v>36</v>
      </c>
      <c r="J530" s="34" t="s">
        <v>258</v>
      </c>
      <c r="K530" s="57" t="s">
        <v>38</v>
      </c>
      <c r="L530" s="72">
        <v>10001.0</v>
      </c>
      <c r="M530" s="22"/>
      <c r="N530" s="76"/>
      <c r="O530" s="28">
        <v>45254.0</v>
      </c>
      <c r="P530" s="35" t="s">
        <v>2157</v>
      </c>
      <c r="Q530" s="12"/>
      <c r="R530" s="12"/>
      <c r="S530" s="12"/>
      <c r="T530" s="52">
        <v>45250.0</v>
      </c>
      <c r="U530" s="52">
        <v>45250.0</v>
      </c>
      <c r="V530" s="52">
        <v>45252.0</v>
      </c>
      <c r="W530" s="30"/>
      <c r="X530" s="30"/>
      <c r="Y530" s="31"/>
      <c r="Z530" s="31"/>
      <c r="AA530" s="31"/>
      <c r="AB530" s="74" t="s">
        <v>2158</v>
      </c>
      <c r="AC530" s="74"/>
    </row>
    <row r="531" ht="16.5" customHeight="1">
      <c r="A531" s="48" t="s">
        <v>2159</v>
      </c>
      <c r="B531" s="53" t="s">
        <v>2160</v>
      </c>
      <c r="C531" s="47">
        <v>0.0</v>
      </c>
      <c r="D531" s="70" t="s">
        <v>2161</v>
      </c>
      <c r="E531" s="55" t="s">
        <v>713</v>
      </c>
      <c r="F531" s="32" t="s">
        <v>33</v>
      </c>
      <c r="G531" s="32" t="s">
        <v>34</v>
      </c>
      <c r="H531" s="71" t="s">
        <v>980</v>
      </c>
      <c r="I531" s="71" t="s">
        <v>36</v>
      </c>
      <c r="J531" s="34" t="s">
        <v>49</v>
      </c>
      <c r="K531" s="57" t="s">
        <v>38</v>
      </c>
      <c r="L531" s="72" t="s">
        <v>2162</v>
      </c>
      <c r="M531" s="22"/>
      <c r="N531" s="73"/>
      <c r="O531" s="28">
        <v>45273.0</v>
      </c>
      <c r="P531" s="35" t="s">
        <v>2163</v>
      </c>
      <c r="Q531" s="12"/>
      <c r="R531" s="12"/>
      <c r="S531" s="12"/>
      <c r="T531" s="52">
        <v>45250.0</v>
      </c>
      <c r="U531" s="52">
        <v>45250.0</v>
      </c>
      <c r="V531" s="52">
        <v>45266.0</v>
      </c>
      <c r="W531" s="30"/>
      <c r="X531" s="30"/>
      <c r="Y531" s="31"/>
      <c r="Z531" s="31"/>
      <c r="AA531" s="31"/>
      <c r="AB531" s="74" t="s">
        <v>2164</v>
      </c>
      <c r="AC531" s="74"/>
    </row>
    <row r="532" ht="16.5" customHeight="1">
      <c r="A532" s="48" t="s">
        <v>2165</v>
      </c>
      <c r="B532" s="53" t="s">
        <v>2160</v>
      </c>
      <c r="C532" s="47">
        <v>0.0</v>
      </c>
      <c r="D532" s="70" t="s">
        <v>2166</v>
      </c>
      <c r="E532" s="55" t="s">
        <v>2167</v>
      </c>
      <c r="F532" s="32" t="s">
        <v>33</v>
      </c>
      <c r="G532" s="32" t="s">
        <v>34</v>
      </c>
      <c r="H532" s="71" t="s">
        <v>980</v>
      </c>
      <c r="I532" s="71" t="s">
        <v>36</v>
      </c>
      <c r="J532" s="34" t="s">
        <v>49</v>
      </c>
      <c r="K532" s="57" t="s">
        <v>38</v>
      </c>
      <c r="L532" s="72" t="s">
        <v>2162</v>
      </c>
      <c r="M532" s="22"/>
      <c r="N532" s="73"/>
      <c r="O532" s="28">
        <v>45273.0</v>
      </c>
      <c r="P532" s="35" t="s">
        <v>2163</v>
      </c>
      <c r="Q532" s="12"/>
      <c r="R532" s="12"/>
      <c r="S532" s="12"/>
      <c r="T532" s="52">
        <v>45250.0</v>
      </c>
      <c r="U532" s="52">
        <v>45250.0</v>
      </c>
      <c r="V532" s="52">
        <v>45261.0</v>
      </c>
      <c r="W532" s="30"/>
      <c r="X532" s="30"/>
      <c r="Y532" s="31"/>
      <c r="Z532" s="31"/>
      <c r="AA532" s="31"/>
      <c r="AB532" s="74" t="s">
        <v>2168</v>
      </c>
      <c r="AC532" s="74"/>
    </row>
    <row r="533" ht="16.5" customHeight="1">
      <c r="A533" s="48" t="s">
        <v>2169</v>
      </c>
      <c r="B533" s="53" t="s">
        <v>2160</v>
      </c>
      <c r="C533" s="47">
        <v>0.0</v>
      </c>
      <c r="D533" s="70" t="s">
        <v>2170</v>
      </c>
      <c r="E533" s="55" t="s">
        <v>2167</v>
      </c>
      <c r="F533" s="32" t="s">
        <v>33</v>
      </c>
      <c r="G533" s="32" t="s">
        <v>34</v>
      </c>
      <c r="H533" s="71" t="s">
        <v>980</v>
      </c>
      <c r="I533" s="71" t="s">
        <v>36</v>
      </c>
      <c r="J533" s="34" t="s">
        <v>49</v>
      </c>
      <c r="K533" s="57" t="s">
        <v>38</v>
      </c>
      <c r="L533" s="72" t="s">
        <v>2162</v>
      </c>
      <c r="M533" s="22"/>
      <c r="N533" s="73"/>
      <c r="O533" s="28">
        <v>45273.0</v>
      </c>
      <c r="P533" s="35" t="s">
        <v>2163</v>
      </c>
      <c r="Q533" s="12"/>
      <c r="R533" s="12"/>
      <c r="S533" s="12"/>
      <c r="T533" s="52">
        <v>45250.0</v>
      </c>
      <c r="U533" s="52">
        <v>45250.0</v>
      </c>
      <c r="V533" s="52">
        <v>45261.0</v>
      </c>
      <c r="W533" s="30"/>
      <c r="X533" s="30"/>
      <c r="Y533" s="31"/>
      <c r="Z533" s="31"/>
      <c r="AA533" s="31"/>
      <c r="AB533" s="74" t="s">
        <v>2171</v>
      </c>
      <c r="AC533" s="74"/>
    </row>
    <row r="534" ht="16.5" customHeight="1">
      <c r="A534" s="48" t="s">
        <v>2172</v>
      </c>
      <c r="B534" s="53" t="s">
        <v>2160</v>
      </c>
      <c r="C534" s="47">
        <v>0.0</v>
      </c>
      <c r="D534" s="70" t="s">
        <v>2173</v>
      </c>
      <c r="E534" s="55" t="s">
        <v>2167</v>
      </c>
      <c r="F534" s="32" t="s">
        <v>33</v>
      </c>
      <c r="G534" s="32" t="s">
        <v>34</v>
      </c>
      <c r="H534" s="71" t="s">
        <v>980</v>
      </c>
      <c r="I534" s="71" t="s">
        <v>36</v>
      </c>
      <c r="J534" s="34" t="s">
        <v>49</v>
      </c>
      <c r="K534" s="57" t="s">
        <v>38</v>
      </c>
      <c r="L534" s="72" t="s">
        <v>2162</v>
      </c>
      <c r="M534" s="22"/>
      <c r="N534" s="73"/>
      <c r="O534" s="28">
        <v>45273.0</v>
      </c>
      <c r="P534" s="35" t="s">
        <v>2163</v>
      </c>
      <c r="Q534" s="12"/>
      <c r="R534" s="12"/>
      <c r="S534" s="12"/>
      <c r="T534" s="52">
        <v>45250.0</v>
      </c>
      <c r="U534" s="52">
        <v>45250.0</v>
      </c>
      <c r="V534" s="52">
        <v>45261.0</v>
      </c>
      <c r="W534" s="30"/>
      <c r="X534" s="30"/>
      <c r="Y534" s="31"/>
      <c r="Z534" s="31"/>
      <c r="AA534" s="31"/>
      <c r="AB534" s="74" t="s">
        <v>2174</v>
      </c>
      <c r="AC534" s="74"/>
    </row>
    <row r="535" ht="16.5" customHeight="1">
      <c r="A535" s="48" t="s">
        <v>2175</v>
      </c>
      <c r="B535" s="53" t="s">
        <v>974</v>
      </c>
      <c r="C535" s="47">
        <v>0.0</v>
      </c>
      <c r="D535" s="70" t="s">
        <v>2176</v>
      </c>
      <c r="E535" s="55" t="s">
        <v>408</v>
      </c>
      <c r="F535" s="32" t="s">
        <v>33</v>
      </c>
      <c r="G535" s="32" t="s">
        <v>34</v>
      </c>
      <c r="H535" s="71" t="s">
        <v>35</v>
      </c>
      <c r="I535" s="71" t="s">
        <v>36</v>
      </c>
      <c r="J535" s="34" t="s">
        <v>203</v>
      </c>
      <c r="K535" s="57" t="s">
        <v>38</v>
      </c>
      <c r="L535" s="72">
        <v>10000.0</v>
      </c>
      <c r="M535" s="22"/>
      <c r="N535" s="76"/>
      <c r="O535" s="28">
        <v>45254.0</v>
      </c>
      <c r="P535" s="35" t="s">
        <v>2177</v>
      </c>
      <c r="Q535" s="12"/>
      <c r="R535" s="12"/>
      <c r="S535" s="12"/>
      <c r="T535" s="52">
        <v>45250.0</v>
      </c>
      <c r="U535" s="52">
        <v>45250.0</v>
      </c>
      <c r="V535" s="52">
        <v>45254.0</v>
      </c>
      <c r="W535" s="30"/>
      <c r="X535" s="30"/>
      <c r="Y535" s="31"/>
      <c r="Z535" s="31"/>
      <c r="AA535" s="31"/>
      <c r="AB535" s="74" t="s">
        <v>2178</v>
      </c>
      <c r="AC535" s="74"/>
    </row>
    <row r="536" ht="16.5" customHeight="1">
      <c r="A536" s="48" t="s">
        <v>2179</v>
      </c>
      <c r="B536" s="53" t="s">
        <v>974</v>
      </c>
      <c r="C536" s="47">
        <v>0.0</v>
      </c>
      <c r="D536" s="70" t="s">
        <v>2180</v>
      </c>
      <c r="E536" s="55" t="s">
        <v>213</v>
      </c>
      <c r="F536" s="32" t="s">
        <v>33</v>
      </c>
      <c r="G536" s="32" t="s">
        <v>34</v>
      </c>
      <c r="H536" s="71" t="s">
        <v>35</v>
      </c>
      <c r="I536" s="71" t="s">
        <v>36</v>
      </c>
      <c r="J536" s="34" t="s">
        <v>203</v>
      </c>
      <c r="K536" s="57" t="s">
        <v>38</v>
      </c>
      <c r="L536" s="72">
        <v>10060.0</v>
      </c>
      <c r="M536" s="22"/>
      <c r="N536" s="73"/>
      <c r="O536" s="28">
        <v>45264.0</v>
      </c>
      <c r="P536" s="35" t="s">
        <v>2181</v>
      </c>
      <c r="Q536" s="12"/>
      <c r="R536" s="12"/>
      <c r="S536" s="12"/>
      <c r="T536" s="52">
        <v>45250.0</v>
      </c>
      <c r="U536" s="52">
        <v>45250.0</v>
      </c>
      <c r="V536" s="52">
        <v>45264.0</v>
      </c>
      <c r="W536" s="30"/>
      <c r="X536" s="30"/>
      <c r="Y536" s="31"/>
      <c r="Z536" s="31"/>
      <c r="AA536" s="31"/>
      <c r="AB536" s="74" t="s">
        <v>2182</v>
      </c>
      <c r="AC536" s="74"/>
    </row>
    <row r="537" ht="16.5" customHeight="1">
      <c r="A537" s="48" t="s">
        <v>2183</v>
      </c>
      <c r="B537" s="53" t="s">
        <v>974</v>
      </c>
      <c r="C537" s="47">
        <v>0.0</v>
      </c>
      <c r="D537" s="70" t="s">
        <v>2184</v>
      </c>
      <c r="E537" s="55" t="s">
        <v>165</v>
      </c>
      <c r="F537" s="32" t="s">
        <v>33</v>
      </c>
      <c r="G537" s="32" t="s">
        <v>35</v>
      </c>
      <c r="H537" s="71" t="s">
        <v>35</v>
      </c>
      <c r="I537" s="71" t="s">
        <v>36</v>
      </c>
      <c r="J537" s="34" t="s">
        <v>203</v>
      </c>
      <c r="K537" s="57" t="s">
        <v>38</v>
      </c>
      <c r="L537" s="72">
        <v>10048.0</v>
      </c>
      <c r="M537" s="22"/>
      <c r="N537" s="76"/>
      <c r="O537" s="28">
        <v>45261.0</v>
      </c>
      <c r="P537" s="35" t="s">
        <v>2185</v>
      </c>
      <c r="Q537" s="12"/>
      <c r="R537" s="12"/>
      <c r="S537" s="12"/>
      <c r="T537" s="52">
        <v>45250.0</v>
      </c>
      <c r="U537" s="52">
        <v>45250.0</v>
      </c>
      <c r="V537" s="52">
        <v>45260.0</v>
      </c>
      <c r="W537" s="30"/>
      <c r="X537" s="30"/>
      <c r="Y537" s="31"/>
      <c r="Z537" s="31"/>
      <c r="AA537" s="31"/>
      <c r="AB537" s="74" t="s">
        <v>2186</v>
      </c>
      <c r="AC537" s="74"/>
    </row>
    <row r="538" ht="16.5" customHeight="1">
      <c r="A538" s="48" t="s">
        <v>2187</v>
      </c>
      <c r="B538" s="53" t="s">
        <v>2188</v>
      </c>
      <c r="C538" s="47">
        <v>0.0</v>
      </c>
      <c r="D538" s="70" t="s">
        <v>2189</v>
      </c>
      <c r="E538" s="55" t="s">
        <v>988</v>
      </c>
      <c r="F538" s="32" t="s">
        <v>33</v>
      </c>
      <c r="G538" s="32" t="s">
        <v>34</v>
      </c>
      <c r="H538" s="71" t="s">
        <v>35</v>
      </c>
      <c r="I538" s="71" t="s">
        <v>36</v>
      </c>
      <c r="J538" s="34" t="s">
        <v>434</v>
      </c>
      <c r="K538" s="57" t="s">
        <v>38</v>
      </c>
      <c r="L538" s="72">
        <v>10129.0</v>
      </c>
      <c r="M538" s="22"/>
      <c r="N538" s="76"/>
      <c r="O538" s="28">
        <v>45280.0</v>
      </c>
      <c r="P538" s="35" t="s">
        <v>2190</v>
      </c>
      <c r="Q538" s="12"/>
      <c r="R538" s="12"/>
      <c r="S538" s="12"/>
      <c r="T538" s="52">
        <v>45250.0</v>
      </c>
      <c r="U538" s="52">
        <v>45277.0</v>
      </c>
      <c r="V538" s="52">
        <v>45280.0</v>
      </c>
      <c r="W538" s="30"/>
      <c r="X538" s="30"/>
      <c r="Y538" s="31"/>
      <c r="Z538" s="31"/>
      <c r="AA538" s="31"/>
      <c r="AB538" s="74" t="s">
        <v>2191</v>
      </c>
      <c r="AC538" s="74"/>
    </row>
    <row r="539" ht="16.5" customHeight="1">
      <c r="A539" s="48" t="s">
        <v>2192</v>
      </c>
      <c r="B539" s="53" t="s">
        <v>2193</v>
      </c>
      <c r="C539" s="47">
        <v>0.0</v>
      </c>
      <c r="D539" s="70" t="s">
        <v>2194</v>
      </c>
      <c r="E539" s="55" t="s">
        <v>1119</v>
      </c>
      <c r="F539" s="32" t="s">
        <v>33</v>
      </c>
      <c r="G539" s="32" t="s">
        <v>34</v>
      </c>
      <c r="H539" s="71" t="s">
        <v>35</v>
      </c>
      <c r="I539" s="71" t="s">
        <v>36</v>
      </c>
      <c r="J539" s="34" t="s">
        <v>339</v>
      </c>
      <c r="K539" s="57" t="s">
        <v>38</v>
      </c>
      <c r="L539" s="72">
        <v>10139.0</v>
      </c>
      <c r="M539" s="22"/>
      <c r="N539" s="73"/>
      <c r="O539" s="28">
        <v>45281.0</v>
      </c>
      <c r="P539" s="35" t="s">
        <v>2195</v>
      </c>
      <c r="Q539" s="12"/>
      <c r="R539" s="12"/>
      <c r="S539" s="12"/>
      <c r="T539" s="52">
        <v>45250.0</v>
      </c>
      <c r="U539" s="52">
        <v>45252.0</v>
      </c>
      <c r="V539" s="52">
        <v>45266.0</v>
      </c>
      <c r="W539" s="30"/>
      <c r="X539" s="30"/>
      <c r="Y539" s="31"/>
      <c r="Z539" s="31"/>
      <c r="AA539" s="31"/>
      <c r="AB539" s="74" t="s">
        <v>2196</v>
      </c>
      <c r="AC539" s="74"/>
    </row>
    <row r="540" ht="16.5" customHeight="1">
      <c r="A540" s="48" t="s">
        <v>2197</v>
      </c>
      <c r="B540" s="53" t="s">
        <v>2193</v>
      </c>
      <c r="C540" s="47">
        <v>0.0</v>
      </c>
      <c r="D540" s="70" t="s">
        <v>2198</v>
      </c>
      <c r="E540" s="55" t="s">
        <v>1119</v>
      </c>
      <c r="F540" s="32" t="s">
        <v>33</v>
      </c>
      <c r="G540" s="32" t="s">
        <v>34</v>
      </c>
      <c r="H540" s="71" t="s">
        <v>35</v>
      </c>
      <c r="I540" s="71" t="s">
        <v>36</v>
      </c>
      <c r="J540" s="34" t="s">
        <v>339</v>
      </c>
      <c r="K540" s="57" t="s">
        <v>38</v>
      </c>
      <c r="L540" s="72">
        <v>10139.0</v>
      </c>
      <c r="M540" s="22"/>
      <c r="N540" s="73"/>
      <c r="O540" s="28">
        <v>45281.0</v>
      </c>
      <c r="P540" s="35" t="s">
        <v>2195</v>
      </c>
      <c r="Q540" s="12"/>
      <c r="R540" s="12"/>
      <c r="S540" s="12"/>
      <c r="T540" s="52">
        <v>45250.0</v>
      </c>
      <c r="U540" s="52">
        <v>45252.0</v>
      </c>
      <c r="V540" s="52">
        <v>45266.0</v>
      </c>
      <c r="W540" s="30"/>
      <c r="X540" s="30"/>
      <c r="Y540" s="31"/>
      <c r="Z540" s="31"/>
      <c r="AA540" s="31"/>
      <c r="AB540" s="74" t="s">
        <v>2199</v>
      </c>
      <c r="AC540" s="74"/>
    </row>
    <row r="541" ht="16.5" customHeight="1">
      <c r="A541" s="48" t="s">
        <v>2200</v>
      </c>
      <c r="B541" s="53" t="s">
        <v>2193</v>
      </c>
      <c r="C541" s="47">
        <v>0.0</v>
      </c>
      <c r="D541" s="70" t="s">
        <v>2201</v>
      </c>
      <c r="E541" s="55" t="s">
        <v>338</v>
      </c>
      <c r="F541" s="32" t="s">
        <v>33</v>
      </c>
      <c r="G541" s="32" t="s">
        <v>34</v>
      </c>
      <c r="H541" s="71" t="s">
        <v>35</v>
      </c>
      <c r="I541" s="71" t="s">
        <v>36</v>
      </c>
      <c r="J541" s="34" t="s">
        <v>339</v>
      </c>
      <c r="K541" s="57" t="s">
        <v>38</v>
      </c>
      <c r="L541" s="72">
        <v>10139.0</v>
      </c>
      <c r="M541" s="22"/>
      <c r="N541" s="76"/>
      <c r="O541" s="28">
        <v>45281.0</v>
      </c>
      <c r="P541" s="35" t="s">
        <v>2195</v>
      </c>
      <c r="Q541" s="12"/>
      <c r="R541" s="12"/>
      <c r="S541" s="12"/>
      <c r="T541" s="52">
        <v>45250.0</v>
      </c>
      <c r="U541" s="52">
        <v>45252.0</v>
      </c>
      <c r="V541" s="52">
        <v>45273.0</v>
      </c>
      <c r="W541" s="30"/>
      <c r="X541" s="30"/>
      <c r="Y541" s="31"/>
      <c r="Z541" s="31"/>
      <c r="AA541" s="31"/>
      <c r="AB541" s="74" t="s">
        <v>2202</v>
      </c>
      <c r="AC541" s="74"/>
    </row>
    <row r="542" ht="16.5" customHeight="1">
      <c r="A542" s="48" t="s">
        <v>2203</v>
      </c>
      <c r="B542" s="53" t="s">
        <v>788</v>
      </c>
      <c r="C542" s="47">
        <v>0.0</v>
      </c>
      <c r="D542" s="70" t="s">
        <v>2204</v>
      </c>
      <c r="E542" s="55" t="s">
        <v>2205</v>
      </c>
      <c r="F542" s="32" t="s">
        <v>33</v>
      </c>
      <c r="G542" s="32" t="s">
        <v>35</v>
      </c>
      <c r="H542" s="71" t="s">
        <v>35</v>
      </c>
      <c r="I542" s="71" t="s">
        <v>36</v>
      </c>
      <c r="J542" s="34" t="s">
        <v>339</v>
      </c>
      <c r="K542" s="57" t="s">
        <v>38</v>
      </c>
      <c r="L542" s="72">
        <v>10010.0</v>
      </c>
      <c r="M542" s="22"/>
      <c r="N542" s="76"/>
      <c r="O542" s="28">
        <v>45257.0</v>
      </c>
      <c r="P542" s="35" t="s">
        <v>2206</v>
      </c>
      <c r="Q542" s="12"/>
      <c r="R542" s="12"/>
      <c r="S542" s="12"/>
      <c r="T542" s="52">
        <v>45250.0</v>
      </c>
      <c r="U542" s="52">
        <v>45250.0</v>
      </c>
      <c r="V542" s="52">
        <v>45257.0</v>
      </c>
      <c r="W542" s="30"/>
      <c r="X542" s="30"/>
      <c r="Y542" s="31"/>
      <c r="Z542" s="31"/>
      <c r="AA542" s="31"/>
      <c r="AB542" s="74" t="s">
        <v>2207</v>
      </c>
      <c r="AC542" s="74"/>
    </row>
    <row r="543" ht="16.5" customHeight="1">
      <c r="A543" s="48" t="s">
        <v>2208</v>
      </c>
      <c r="B543" s="53" t="s">
        <v>2209</v>
      </c>
      <c r="C543" s="47">
        <v>0.0</v>
      </c>
      <c r="D543" s="70" t="s">
        <v>2210</v>
      </c>
      <c r="E543" s="55" t="s">
        <v>295</v>
      </c>
      <c r="F543" s="32" t="s">
        <v>33</v>
      </c>
      <c r="G543" s="32" t="s">
        <v>34</v>
      </c>
      <c r="H543" s="71" t="s">
        <v>35</v>
      </c>
      <c r="I543" s="71" t="s">
        <v>36</v>
      </c>
      <c r="J543" s="34" t="s">
        <v>420</v>
      </c>
      <c r="K543" s="57" t="s">
        <v>38</v>
      </c>
      <c r="L543" s="72">
        <v>9999.0</v>
      </c>
      <c r="M543" s="27"/>
      <c r="N543" s="76"/>
      <c r="O543" s="28">
        <v>45254.0</v>
      </c>
      <c r="P543" s="26"/>
      <c r="Q543" s="12"/>
      <c r="R543" s="12"/>
      <c r="S543" s="12"/>
      <c r="T543" s="52">
        <v>45250.0</v>
      </c>
      <c r="U543" s="52">
        <v>45250.0</v>
      </c>
      <c r="V543" s="52">
        <v>45254.0</v>
      </c>
      <c r="W543" s="30"/>
      <c r="X543" s="30"/>
      <c r="Y543" s="31"/>
      <c r="Z543" s="31"/>
      <c r="AA543" s="31"/>
      <c r="AB543" s="74" t="s">
        <v>2211</v>
      </c>
      <c r="AC543" s="74"/>
    </row>
    <row r="544" ht="16.5" customHeight="1">
      <c r="A544" s="48" t="s">
        <v>2212</v>
      </c>
      <c r="B544" s="53" t="s">
        <v>287</v>
      </c>
      <c r="C544" s="47">
        <v>0.0</v>
      </c>
      <c r="D544" s="70" t="s">
        <v>2213</v>
      </c>
      <c r="E544" s="55" t="s">
        <v>213</v>
      </c>
      <c r="F544" s="32" t="s">
        <v>33</v>
      </c>
      <c r="G544" s="32" t="s">
        <v>35</v>
      </c>
      <c r="H544" s="71" t="s">
        <v>35</v>
      </c>
      <c r="I544" s="71" t="s">
        <v>36</v>
      </c>
      <c r="J544" s="34" t="s">
        <v>92</v>
      </c>
      <c r="K544" s="57" t="s">
        <v>38</v>
      </c>
      <c r="L544" s="72">
        <v>10059.0</v>
      </c>
      <c r="M544" s="22"/>
      <c r="N544" s="73"/>
      <c r="O544" s="28">
        <v>45267.0</v>
      </c>
      <c r="P544" s="35" t="s">
        <v>2214</v>
      </c>
      <c r="Q544" s="12"/>
      <c r="R544" s="12"/>
      <c r="S544" s="12"/>
      <c r="T544" s="52">
        <v>45250.0</v>
      </c>
      <c r="U544" s="52">
        <v>45250.0</v>
      </c>
      <c r="V544" s="52">
        <v>45261.0</v>
      </c>
      <c r="W544" s="30"/>
      <c r="X544" s="30"/>
      <c r="Y544" s="31"/>
      <c r="Z544" s="31"/>
      <c r="AA544" s="31"/>
      <c r="AB544" s="74" t="s">
        <v>2215</v>
      </c>
      <c r="AC544" s="74"/>
    </row>
    <row r="545" ht="16.5" customHeight="1">
      <c r="A545" s="48" t="s">
        <v>2216</v>
      </c>
      <c r="B545" s="53" t="s">
        <v>153</v>
      </c>
      <c r="C545" s="47">
        <v>0.0</v>
      </c>
      <c r="D545" s="70" t="s">
        <v>2217</v>
      </c>
      <c r="E545" s="55" t="s">
        <v>243</v>
      </c>
      <c r="F545" s="32" t="s">
        <v>244</v>
      </c>
      <c r="G545" s="32" t="s">
        <v>35</v>
      </c>
      <c r="H545" s="71" t="s">
        <v>35</v>
      </c>
      <c r="I545" s="71" t="s">
        <v>36</v>
      </c>
      <c r="J545" s="34" t="s">
        <v>92</v>
      </c>
      <c r="K545" s="57" t="s">
        <v>38</v>
      </c>
      <c r="L545" s="72">
        <v>10009.0</v>
      </c>
      <c r="M545" s="22"/>
      <c r="N545" s="76"/>
      <c r="O545" s="28">
        <v>45258.0</v>
      </c>
      <c r="P545" s="35" t="s">
        <v>2218</v>
      </c>
      <c r="Q545" s="12"/>
      <c r="R545" s="12"/>
      <c r="S545" s="12"/>
      <c r="T545" s="52">
        <v>45250.0</v>
      </c>
      <c r="U545" s="52">
        <v>45251.0</v>
      </c>
      <c r="V545" s="52">
        <v>45258.0</v>
      </c>
      <c r="W545" s="30"/>
      <c r="X545" s="30"/>
      <c r="Y545" s="31"/>
      <c r="Z545" s="31"/>
      <c r="AA545" s="31"/>
      <c r="AB545" s="74" t="s">
        <v>2219</v>
      </c>
      <c r="AC545" s="74"/>
    </row>
    <row r="546" ht="16.5" customHeight="1">
      <c r="A546" s="48" t="s">
        <v>2220</v>
      </c>
      <c r="B546" s="53" t="s">
        <v>1299</v>
      </c>
      <c r="C546" s="47">
        <v>0.0</v>
      </c>
      <c r="D546" s="70" t="s">
        <v>2221</v>
      </c>
      <c r="E546" s="55" t="s">
        <v>243</v>
      </c>
      <c r="F546" s="32" t="s">
        <v>244</v>
      </c>
      <c r="G546" s="32" t="s">
        <v>35</v>
      </c>
      <c r="H546" s="71" t="s">
        <v>35</v>
      </c>
      <c r="I546" s="71" t="s">
        <v>36</v>
      </c>
      <c r="J546" s="34" t="s">
        <v>92</v>
      </c>
      <c r="K546" s="57" t="s">
        <v>38</v>
      </c>
      <c r="L546" s="72">
        <v>10008.0</v>
      </c>
      <c r="M546" s="27"/>
      <c r="N546" s="76"/>
      <c r="O546" s="28">
        <v>45259.0</v>
      </c>
      <c r="P546" s="26"/>
      <c r="Q546" s="12"/>
      <c r="R546" s="12"/>
      <c r="S546" s="12"/>
      <c r="T546" s="52">
        <v>45250.0</v>
      </c>
      <c r="U546" s="52">
        <v>45251.0</v>
      </c>
      <c r="V546" s="52">
        <v>45259.0</v>
      </c>
      <c r="W546" s="30"/>
      <c r="X546" s="30"/>
      <c r="Y546" s="31"/>
      <c r="Z546" s="31"/>
      <c r="AA546" s="31"/>
      <c r="AB546" s="74" t="s">
        <v>2222</v>
      </c>
      <c r="AC546" s="74"/>
    </row>
    <row r="547" ht="16.5" customHeight="1">
      <c r="A547" s="48" t="s">
        <v>2223</v>
      </c>
      <c r="B547" s="53" t="s">
        <v>1299</v>
      </c>
      <c r="C547" s="47">
        <v>0.0</v>
      </c>
      <c r="D547" s="70" t="s">
        <v>2224</v>
      </c>
      <c r="E547" s="55" t="s">
        <v>243</v>
      </c>
      <c r="F547" s="32" t="s">
        <v>244</v>
      </c>
      <c r="G547" s="32" t="s">
        <v>35</v>
      </c>
      <c r="H547" s="71" t="s">
        <v>35</v>
      </c>
      <c r="I547" s="71" t="s">
        <v>36</v>
      </c>
      <c r="J547" s="34" t="s">
        <v>92</v>
      </c>
      <c r="K547" s="57" t="s">
        <v>38</v>
      </c>
      <c r="L547" s="72">
        <v>10008.0</v>
      </c>
      <c r="M547" s="27"/>
      <c r="N547" s="76"/>
      <c r="O547" s="28">
        <v>45259.0</v>
      </c>
      <c r="P547" s="26"/>
      <c r="Q547" s="12"/>
      <c r="R547" s="12"/>
      <c r="S547" s="12"/>
      <c r="T547" s="52">
        <v>45250.0</v>
      </c>
      <c r="U547" s="52">
        <v>45251.0</v>
      </c>
      <c r="V547" s="52">
        <v>45259.0</v>
      </c>
      <c r="W547" s="30"/>
      <c r="X547" s="30"/>
      <c r="Y547" s="31"/>
      <c r="Z547" s="31"/>
      <c r="AA547" s="31"/>
      <c r="AB547" s="74" t="s">
        <v>2225</v>
      </c>
      <c r="AC547" s="74"/>
    </row>
    <row r="548" ht="16.5" customHeight="1">
      <c r="A548" s="48" t="s">
        <v>2226</v>
      </c>
      <c r="B548" s="53" t="s">
        <v>2227</v>
      </c>
      <c r="C548" s="47">
        <v>0.0</v>
      </c>
      <c r="D548" s="70" t="s">
        <v>2228</v>
      </c>
      <c r="E548" s="55" t="s">
        <v>545</v>
      </c>
      <c r="F548" s="32" t="s">
        <v>33</v>
      </c>
      <c r="G548" s="32" t="s">
        <v>35</v>
      </c>
      <c r="H548" s="71" t="s">
        <v>35</v>
      </c>
      <c r="I548" s="71" t="s">
        <v>36</v>
      </c>
      <c r="J548" s="34" t="s">
        <v>92</v>
      </c>
      <c r="K548" s="57" t="s">
        <v>38</v>
      </c>
      <c r="L548" s="72">
        <v>10007.0</v>
      </c>
      <c r="M548" s="27"/>
      <c r="N548" s="76"/>
      <c r="O548" s="28">
        <v>45255.0</v>
      </c>
      <c r="P548" s="26"/>
      <c r="Q548" s="12"/>
      <c r="R548" s="12"/>
      <c r="S548" s="12"/>
      <c r="T548" s="52">
        <v>45250.0</v>
      </c>
      <c r="U548" s="52">
        <v>45250.0</v>
      </c>
      <c r="V548" s="52">
        <v>45252.0</v>
      </c>
      <c r="W548" s="30"/>
      <c r="X548" s="30"/>
      <c r="Y548" s="31"/>
      <c r="Z548" s="31"/>
      <c r="AA548" s="31"/>
      <c r="AB548" s="74" t="s">
        <v>2229</v>
      </c>
      <c r="AC548" s="74"/>
    </row>
    <row r="549" ht="16.5" customHeight="1">
      <c r="A549" s="48" t="s">
        <v>2230</v>
      </c>
      <c r="B549" s="53" t="s">
        <v>716</v>
      </c>
      <c r="C549" s="47">
        <v>0.0</v>
      </c>
      <c r="D549" s="70" t="s">
        <v>2231</v>
      </c>
      <c r="E549" s="55" t="s">
        <v>1595</v>
      </c>
      <c r="F549" s="32" t="s">
        <v>33</v>
      </c>
      <c r="G549" s="32" t="s">
        <v>34</v>
      </c>
      <c r="H549" s="71" t="s">
        <v>35</v>
      </c>
      <c r="I549" s="71" t="s">
        <v>36</v>
      </c>
      <c r="J549" s="34" t="s">
        <v>49</v>
      </c>
      <c r="K549" s="57" t="s">
        <v>38</v>
      </c>
      <c r="L549" s="72">
        <v>10041.0</v>
      </c>
      <c r="M549" s="22"/>
      <c r="N549" s="76"/>
      <c r="O549" s="28">
        <v>45260.0</v>
      </c>
      <c r="P549" s="35" t="s">
        <v>2232</v>
      </c>
      <c r="Q549" s="12"/>
      <c r="R549" s="12"/>
      <c r="S549" s="12"/>
      <c r="T549" s="52">
        <v>45251.0</v>
      </c>
      <c r="U549" s="52">
        <v>45251.0</v>
      </c>
      <c r="V549" s="52">
        <v>45260.0</v>
      </c>
      <c r="W549" s="30"/>
      <c r="X549" s="30"/>
      <c r="Y549" s="31"/>
      <c r="Z549" s="31"/>
      <c r="AA549" s="31"/>
      <c r="AB549" s="74" t="s">
        <v>2233</v>
      </c>
      <c r="AC549" s="74"/>
    </row>
    <row r="550" ht="16.5" customHeight="1">
      <c r="A550" s="48" t="s">
        <v>2234</v>
      </c>
      <c r="B550" s="53" t="s">
        <v>716</v>
      </c>
      <c r="C550" s="47">
        <v>0.0</v>
      </c>
      <c r="D550" s="70" t="s">
        <v>2235</v>
      </c>
      <c r="E550" s="55" t="s">
        <v>165</v>
      </c>
      <c r="F550" s="32" t="s">
        <v>33</v>
      </c>
      <c r="G550" s="32" t="s">
        <v>34</v>
      </c>
      <c r="H550" s="71" t="s">
        <v>35</v>
      </c>
      <c r="I550" s="71" t="s">
        <v>36</v>
      </c>
      <c r="J550" s="34" t="s">
        <v>718</v>
      </c>
      <c r="K550" s="57" t="s">
        <v>38</v>
      </c>
      <c r="L550" s="72" t="s">
        <v>2236</v>
      </c>
      <c r="M550" s="22"/>
      <c r="N550" s="73"/>
      <c r="O550" s="28">
        <v>45272.0</v>
      </c>
      <c r="P550" s="35" t="s">
        <v>2237</v>
      </c>
      <c r="Q550" s="12"/>
      <c r="R550" s="12"/>
      <c r="S550" s="12"/>
      <c r="T550" s="52">
        <v>45251.0</v>
      </c>
      <c r="U550" s="52">
        <v>45251.0</v>
      </c>
      <c r="V550" s="52">
        <v>45266.0</v>
      </c>
      <c r="W550" s="30"/>
      <c r="X550" s="30"/>
      <c r="Y550" s="31"/>
      <c r="Z550" s="31"/>
      <c r="AA550" s="31"/>
      <c r="AB550" s="74" t="s">
        <v>2238</v>
      </c>
      <c r="AC550" s="74"/>
    </row>
    <row r="551" ht="16.5" customHeight="1">
      <c r="A551" s="48" t="s">
        <v>2239</v>
      </c>
      <c r="B551" s="53" t="s">
        <v>1701</v>
      </c>
      <c r="C551" s="47">
        <v>0.0</v>
      </c>
      <c r="D551" s="70" t="s">
        <v>2240</v>
      </c>
      <c r="E551" s="55" t="s">
        <v>338</v>
      </c>
      <c r="F551" s="32" t="s">
        <v>33</v>
      </c>
      <c r="G551" s="32" t="s">
        <v>34</v>
      </c>
      <c r="H551" s="71" t="s">
        <v>35</v>
      </c>
      <c r="I551" s="71" t="s">
        <v>36</v>
      </c>
      <c r="J551" s="34" t="s">
        <v>65</v>
      </c>
      <c r="K551" s="57" t="s">
        <v>38</v>
      </c>
      <c r="L551" s="72">
        <v>10058.0</v>
      </c>
      <c r="M551" s="27"/>
      <c r="N551" s="73"/>
      <c r="O551" s="28">
        <v>45264.0</v>
      </c>
      <c r="P551" s="26"/>
      <c r="Q551" s="12"/>
      <c r="R551" s="12"/>
      <c r="S551" s="12"/>
      <c r="T551" s="52">
        <v>45251.0</v>
      </c>
      <c r="U551" s="52">
        <v>45257.0</v>
      </c>
      <c r="V551" s="52">
        <v>45264.0</v>
      </c>
      <c r="W551" s="30"/>
      <c r="X551" s="30"/>
      <c r="Y551" s="31"/>
      <c r="Z551" s="31"/>
      <c r="AA551" s="31"/>
      <c r="AB551" s="74" t="s">
        <v>2241</v>
      </c>
      <c r="AC551" s="74"/>
    </row>
    <row r="552" ht="16.5" customHeight="1">
      <c r="A552" s="48" t="s">
        <v>2242</v>
      </c>
      <c r="B552" s="53" t="s">
        <v>381</v>
      </c>
      <c r="C552" s="47">
        <v>0.0</v>
      </c>
      <c r="D552" s="70" t="s">
        <v>2243</v>
      </c>
      <c r="E552" s="55" t="s">
        <v>491</v>
      </c>
      <c r="F552" s="32" t="s">
        <v>33</v>
      </c>
      <c r="G552" s="32" t="s">
        <v>35</v>
      </c>
      <c r="H552" s="71" t="s">
        <v>35</v>
      </c>
      <c r="I552" s="71" t="s">
        <v>36</v>
      </c>
      <c r="J552" s="34" t="s">
        <v>37</v>
      </c>
      <c r="K552" s="57" t="s">
        <v>384</v>
      </c>
      <c r="L552" s="72">
        <v>10020.0</v>
      </c>
      <c r="M552" s="22"/>
      <c r="N552" s="76"/>
      <c r="O552" s="28">
        <v>45259.0</v>
      </c>
      <c r="P552" s="35" t="s">
        <v>2244</v>
      </c>
      <c r="Q552" s="12"/>
      <c r="R552" s="12"/>
      <c r="S552" s="12"/>
      <c r="T552" s="52">
        <v>45251.0</v>
      </c>
      <c r="U552" s="52">
        <v>45252.0</v>
      </c>
      <c r="V552" s="52">
        <v>45259.0</v>
      </c>
      <c r="W552" s="30"/>
      <c r="X552" s="30"/>
      <c r="Y552" s="31"/>
      <c r="Z552" s="31"/>
      <c r="AA552" s="31"/>
      <c r="AB552" s="74" t="s">
        <v>2245</v>
      </c>
      <c r="AC552" s="74"/>
    </row>
    <row r="553" ht="16.5" customHeight="1">
      <c r="A553" s="48" t="s">
        <v>2246</v>
      </c>
      <c r="B553" s="53" t="s">
        <v>1768</v>
      </c>
      <c r="C553" s="47">
        <v>0.0</v>
      </c>
      <c r="D553" s="70" t="s">
        <v>2247</v>
      </c>
      <c r="E553" s="55" t="s">
        <v>461</v>
      </c>
      <c r="F553" s="32" t="s">
        <v>244</v>
      </c>
      <c r="G553" s="32" t="s">
        <v>35</v>
      </c>
      <c r="H553" s="71" t="s">
        <v>35</v>
      </c>
      <c r="I553" s="71" t="s">
        <v>36</v>
      </c>
      <c r="J553" s="34" t="s">
        <v>37</v>
      </c>
      <c r="K553" s="57" t="s">
        <v>38</v>
      </c>
      <c r="L553" s="72">
        <v>10019.0</v>
      </c>
      <c r="M553" s="27"/>
      <c r="N553" s="76"/>
      <c r="O553" s="28">
        <v>45259.0</v>
      </c>
      <c r="P553" s="26"/>
      <c r="Q553" s="12"/>
      <c r="R553" s="12"/>
      <c r="S553" s="12"/>
      <c r="T553" s="52">
        <v>45251.0</v>
      </c>
      <c r="U553" s="52">
        <v>45251.0</v>
      </c>
      <c r="V553" s="52">
        <v>45258.0</v>
      </c>
      <c r="W553" s="30"/>
      <c r="X553" s="30"/>
      <c r="Y553" s="31"/>
      <c r="Z553" s="31"/>
      <c r="AA553" s="31"/>
      <c r="AB553" s="74" t="s">
        <v>2248</v>
      </c>
      <c r="AC553" s="74"/>
    </row>
    <row r="554" ht="16.5" customHeight="1">
      <c r="A554" s="48" t="s">
        <v>2249</v>
      </c>
      <c r="B554" s="53" t="s">
        <v>886</v>
      </c>
      <c r="C554" s="47">
        <v>0.0</v>
      </c>
      <c r="D554" s="70" t="s">
        <v>2250</v>
      </c>
      <c r="E554" s="55" t="s">
        <v>794</v>
      </c>
      <c r="F554" s="32" t="s">
        <v>33</v>
      </c>
      <c r="G554" s="32" t="s">
        <v>34</v>
      </c>
      <c r="H554" s="71" t="s">
        <v>35</v>
      </c>
      <c r="I554" s="71" t="s">
        <v>36</v>
      </c>
      <c r="J554" s="34" t="s">
        <v>65</v>
      </c>
      <c r="K554" s="57" t="s">
        <v>38</v>
      </c>
      <c r="L554" s="72">
        <v>10131.0</v>
      </c>
      <c r="M554" s="27"/>
      <c r="N554" s="76"/>
      <c r="O554" s="28">
        <v>45281.0</v>
      </c>
      <c r="P554" s="26"/>
      <c r="Q554" s="12"/>
      <c r="R554" s="12"/>
      <c r="S554" s="12"/>
      <c r="T554" s="52">
        <v>45251.0</v>
      </c>
      <c r="U554" s="52">
        <v>45253.0</v>
      </c>
      <c r="V554" s="52">
        <v>45278.0</v>
      </c>
      <c r="W554" s="30"/>
      <c r="X554" s="30"/>
      <c r="Y554" s="31"/>
      <c r="Z554" s="31"/>
      <c r="AA554" s="31"/>
      <c r="AB554" s="74" t="s">
        <v>2251</v>
      </c>
      <c r="AC554" s="74"/>
    </row>
    <row r="555" ht="16.5" customHeight="1">
      <c r="A555" s="48" t="s">
        <v>2252</v>
      </c>
      <c r="B555" s="53" t="s">
        <v>886</v>
      </c>
      <c r="C555" s="47">
        <v>0.0</v>
      </c>
      <c r="D555" s="70" t="s">
        <v>2253</v>
      </c>
      <c r="E555" s="55" t="s">
        <v>2254</v>
      </c>
      <c r="F555" s="32" t="s">
        <v>33</v>
      </c>
      <c r="G555" s="32" t="s">
        <v>34</v>
      </c>
      <c r="H555" s="71" t="s">
        <v>35</v>
      </c>
      <c r="I555" s="71" t="s">
        <v>36</v>
      </c>
      <c r="J555" s="34" t="s">
        <v>65</v>
      </c>
      <c r="K555" s="57" t="s">
        <v>38</v>
      </c>
      <c r="L555" s="72">
        <v>10131.0</v>
      </c>
      <c r="M555" s="27"/>
      <c r="N555" s="76"/>
      <c r="O555" s="28">
        <v>45281.0</v>
      </c>
      <c r="P555" s="26"/>
      <c r="Q555" s="12"/>
      <c r="R555" s="12"/>
      <c r="S555" s="12"/>
      <c r="T555" s="52">
        <v>45251.0</v>
      </c>
      <c r="U555" s="52">
        <v>45253.0</v>
      </c>
      <c r="V555" s="52">
        <v>45280.0</v>
      </c>
      <c r="W555" s="30"/>
      <c r="X555" s="30"/>
      <c r="Y555" s="31"/>
      <c r="Z555" s="31"/>
      <c r="AA555" s="31"/>
      <c r="AB555" s="74" t="s">
        <v>2255</v>
      </c>
      <c r="AC555" s="74"/>
    </row>
    <row r="556" ht="16.5" customHeight="1">
      <c r="A556" s="48" t="s">
        <v>2256</v>
      </c>
      <c r="B556" s="53" t="s">
        <v>388</v>
      </c>
      <c r="C556" s="47">
        <v>0.0</v>
      </c>
      <c r="D556" s="70" t="s">
        <v>2257</v>
      </c>
      <c r="E556" s="55" t="s">
        <v>681</v>
      </c>
      <c r="F556" s="32" t="s">
        <v>244</v>
      </c>
      <c r="G556" s="32" t="s">
        <v>35</v>
      </c>
      <c r="H556" s="71" t="s">
        <v>35</v>
      </c>
      <c r="I556" s="71" t="s">
        <v>36</v>
      </c>
      <c r="J556" s="34" t="s">
        <v>65</v>
      </c>
      <c r="K556" s="57" t="s">
        <v>38</v>
      </c>
      <c r="L556" s="72">
        <v>10018.0</v>
      </c>
      <c r="M556" s="27"/>
      <c r="N556" s="76"/>
      <c r="O556" s="28">
        <v>45259.0</v>
      </c>
      <c r="P556" s="26"/>
      <c r="Q556" s="12"/>
      <c r="R556" s="12"/>
      <c r="S556" s="12"/>
      <c r="T556" s="52">
        <v>45251.0</v>
      </c>
      <c r="U556" s="52">
        <v>45253.0</v>
      </c>
      <c r="V556" s="52">
        <v>45259.0</v>
      </c>
      <c r="W556" s="30"/>
      <c r="X556" s="30"/>
      <c r="Y556" s="31"/>
      <c r="Z556" s="31"/>
      <c r="AA556" s="31"/>
      <c r="AB556" s="74" t="s">
        <v>2258</v>
      </c>
      <c r="AC556" s="74"/>
    </row>
    <row r="557" ht="16.5" customHeight="1">
      <c r="A557" s="48" t="s">
        <v>2259</v>
      </c>
      <c r="B557" s="53" t="s">
        <v>1384</v>
      </c>
      <c r="C557" s="47">
        <v>0.0</v>
      </c>
      <c r="D557" s="70" t="s">
        <v>2260</v>
      </c>
      <c r="E557" s="55" t="s">
        <v>731</v>
      </c>
      <c r="F557" s="32" t="s">
        <v>33</v>
      </c>
      <c r="G557" s="32" t="s">
        <v>35</v>
      </c>
      <c r="H557" s="71" t="s">
        <v>35</v>
      </c>
      <c r="I557" s="71" t="s">
        <v>36</v>
      </c>
      <c r="J557" s="34" t="s">
        <v>49</v>
      </c>
      <c r="K557" s="57" t="s">
        <v>38</v>
      </c>
      <c r="L557" s="72">
        <v>10110.0</v>
      </c>
      <c r="M557" s="22"/>
      <c r="N557" s="76"/>
      <c r="O557" s="28">
        <v>45274.0</v>
      </c>
      <c r="P557" s="35" t="s">
        <v>2261</v>
      </c>
      <c r="Q557" s="12"/>
      <c r="R557" s="12"/>
      <c r="S557" s="12"/>
      <c r="T557" s="52">
        <v>45251.0</v>
      </c>
      <c r="U557" s="52">
        <v>45252.0</v>
      </c>
      <c r="V557" s="52">
        <v>45273.0</v>
      </c>
      <c r="W557" s="30"/>
      <c r="X557" s="30"/>
      <c r="Y557" s="31"/>
      <c r="Z557" s="31"/>
      <c r="AA557" s="31"/>
      <c r="AB557" s="74" t="s">
        <v>2262</v>
      </c>
      <c r="AC557" s="74"/>
    </row>
    <row r="558" ht="16.5" customHeight="1">
      <c r="A558" s="48" t="s">
        <v>2263</v>
      </c>
      <c r="B558" s="53" t="s">
        <v>1384</v>
      </c>
      <c r="C558" s="47">
        <v>0.0</v>
      </c>
      <c r="D558" s="70" t="s">
        <v>2264</v>
      </c>
      <c r="E558" s="55" t="s">
        <v>165</v>
      </c>
      <c r="F558" s="32" t="s">
        <v>33</v>
      </c>
      <c r="G558" s="32" t="s">
        <v>35</v>
      </c>
      <c r="H558" s="71" t="s">
        <v>35</v>
      </c>
      <c r="I558" s="71" t="s">
        <v>36</v>
      </c>
      <c r="J558" s="34" t="s">
        <v>49</v>
      </c>
      <c r="K558" s="57" t="s">
        <v>38</v>
      </c>
      <c r="L558" s="72">
        <v>10110.0</v>
      </c>
      <c r="M558" s="22"/>
      <c r="N558" s="73"/>
      <c r="O558" s="28">
        <v>45274.0</v>
      </c>
      <c r="P558" s="35" t="s">
        <v>2261</v>
      </c>
      <c r="Q558" s="12"/>
      <c r="R558" s="12"/>
      <c r="S558" s="12"/>
      <c r="T558" s="52">
        <v>45251.0</v>
      </c>
      <c r="U558" s="52">
        <v>45252.0</v>
      </c>
      <c r="V558" s="52">
        <v>45266.0</v>
      </c>
      <c r="W558" s="30"/>
      <c r="X558" s="30"/>
      <c r="Y558" s="31"/>
      <c r="Z558" s="31"/>
      <c r="AA558" s="31"/>
      <c r="AB558" s="74" t="s">
        <v>2265</v>
      </c>
      <c r="AC558" s="74"/>
    </row>
    <row r="559" ht="16.5" customHeight="1">
      <c r="A559" s="48" t="s">
        <v>2266</v>
      </c>
      <c r="B559" s="53" t="s">
        <v>1384</v>
      </c>
      <c r="C559" s="47">
        <v>0.0</v>
      </c>
      <c r="D559" s="70" t="s">
        <v>2267</v>
      </c>
      <c r="E559" s="55" t="s">
        <v>165</v>
      </c>
      <c r="F559" s="32" t="s">
        <v>33</v>
      </c>
      <c r="G559" s="32" t="s">
        <v>35</v>
      </c>
      <c r="H559" s="71" t="s">
        <v>35</v>
      </c>
      <c r="I559" s="71" t="s">
        <v>36</v>
      </c>
      <c r="J559" s="34" t="s">
        <v>49</v>
      </c>
      <c r="K559" s="57" t="s">
        <v>38</v>
      </c>
      <c r="L559" s="72">
        <v>10110.0</v>
      </c>
      <c r="M559" s="22"/>
      <c r="N559" s="73"/>
      <c r="O559" s="28">
        <v>45274.0</v>
      </c>
      <c r="P559" s="35" t="s">
        <v>2261</v>
      </c>
      <c r="Q559" s="12"/>
      <c r="R559" s="12"/>
      <c r="S559" s="12"/>
      <c r="T559" s="52">
        <v>45251.0</v>
      </c>
      <c r="U559" s="52">
        <v>45252.0</v>
      </c>
      <c r="V559" s="52">
        <v>45266.0</v>
      </c>
      <c r="W559" s="30"/>
      <c r="X559" s="30"/>
      <c r="Y559" s="31"/>
      <c r="Z559" s="31"/>
      <c r="AA559" s="31"/>
      <c r="AB559" s="74" t="s">
        <v>2268</v>
      </c>
      <c r="AC559" s="74"/>
    </row>
    <row r="560" ht="16.5" customHeight="1">
      <c r="A560" s="48" t="s">
        <v>2269</v>
      </c>
      <c r="B560" s="53" t="s">
        <v>2270</v>
      </c>
      <c r="C560" s="47">
        <v>0.0</v>
      </c>
      <c r="D560" s="70" t="s">
        <v>2271</v>
      </c>
      <c r="E560" s="55" t="s">
        <v>251</v>
      </c>
      <c r="F560" s="32" t="s">
        <v>33</v>
      </c>
      <c r="G560" s="32" t="s">
        <v>35</v>
      </c>
      <c r="H560" s="71" t="s">
        <v>35</v>
      </c>
      <c r="I560" s="71" t="s">
        <v>36</v>
      </c>
      <c r="J560" s="34" t="s">
        <v>65</v>
      </c>
      <c r="K560" s="57" t="s">
        <v>38</v>
      </c>
      <c r="L560" s="72">
        <v>10017.0</v>
      </c>
      <c r="M560" s="27"/>
      <c r="N560" s="76"/>
      <c r="O560" s="28">
        <v>45259.0</v>
      </c>
      <c r="P560" s="26"/>
      <c r="Q560" s="12"/>
      <c r="R560" s="12"/>
      <c r="S560" s="12"/>
      <c r="T560" s="52">
        <v>45258.0</v>
      </c>
      <c r="U560" s="52">
        <v>45258.0</v>
      </c>
      <c r="V560" s="52">
        <v>45259.0</v>
      </c>
      <c r="W560" s="30"/>
      <c r="X560" s="30"/>
      <c r="Y560" s="31"/>
      <c r="Z560" s="31"/>
      <c r="AA560" s="31"/>
      <c r="AB560" s="74" t="s">
        <v>2272</v>
      </c>
      <c r="AC560" s="74"/>
    </row>
    <row r="561" ht="16.5" customHeight="1">
      <c r="A561" s="48" t="s">
        <v>2273</v>
      </c>
      <c r="B561" s="53" t="s">
        <v>2274</v>
      </c>
      <c r="C561" s="47">
        <v>0.0</v>
      </c>
      <c r="D561" s="70" t="s">
        <v>2275</v>
      </c>
      <c r="E561" s="55" t="s">
        <v>117</v>
      </c>
      <c r="F561" s="32" t="s">
        <v>33</v>
      </c>
      <c r="G561" s="32" t="s">
        <v>34</v>
      </c>
      <c r="H561" s="71" t="s">
        <v>35</v>
      </c>
      <c r="I561" s="71" t="s">
        <v>36</v>
      </c>
      <c r="J561" s="34" t="s">
        <v>37</v>
      </c>
      <c r="K561" s="57" t="s">
        <v>238</v>
      </c>
      <c r="L561" s="72">
        <v>10082.0</v>
      </c>
      <c r="M561" s="27"/>
      <c r="N561" s="73"/>
      <c r="O561" s="28">
        <v>45266.0</v>
      </c>
      <c r="P561" s="26"/>
      <c r="Q561" s="12"/>
      <c r="R561" s="12"/>
      <c r="S561" s="12"/>
      <c r="T561" s="52">
        <v>45252.0</v>
      </c>
      <c r="U561" s="52">
        <v>45260.0</v>
      </c>
      <c r="V561" s="52">
        <v>45265.0</v>
      </c>
      <c r="W561" s="30"/>
      <c r="X561" s="30"/>
      <c r="Y561" s="31"/>
      <c r="Z561" s="31"/>
      <c r="AA561" s="31"/>
      <c r="AB561" s="74" t="s">
        <v>2276</v>
      </c>
      <c r="AC561" s="74"/>
    </row>
    <row r="562" ht="16.5" customHeight="1">
      <c r="A562" s="48" t="s">
        <v>2277</v>
      </c>
      <c r="B562" s="53" t="s">
        <v>498</v>
      </c>
      <c r="C562" s="47">
        <v>0.0</v>
      </c>
      <c r="D562" s="70" t="s">
        <v>2278</v>
      </c>
      <c r="E562" s="55" t="s">
        <v>295</v>
      </c>
      <c r="F562" s="32" t="s">
        <v>33</v>
      </c>
      <c r="G562" s="32" t="s">
        <v>34</v>
      </c>
      <c r="H562" s="71" t="s">
        <v>35</v>
      </c>
      <c r="I562" s="71" t="s">
        <v>36</v>
      </c>
      <c r="J562" s="34" t="s">
        <v>420</v>
      </c>
      <c r="K562" s="57" t="s">
        <v>38</v>
      </c>
      <c r="L562" s="72">
        <v>10016.0</v>
      </c>
      <c r="M562" s="27"/>
      <c r="N562" s="76"/>
      <c r="O562" s="28">
        <v>45259.0</v>
      </c>
      <c r="P562" s="26"/>
      <c r="Q562" s="12"/>
      <c r="R562" s="12"/>
      <c r="S562" s="12"/>
      <c r="T562" s="52">
        <v>45253.0</v>
      </c>
      <c r="U562" s="52">
        <v>45253.0</v>
      </c>
      <c r="V562" s="52">
        <v>45258.0</v>
      </c>
      <c r="W562" s="30"/>
      <c r="X562" s="30"/>
      <c r="Y562" s="31"/>
      <c r="Z562" s="31"/>
      <c r="AA562" s="31"/>
      <c r="AB562" s="74" t="s">
        <v>2279</v>
      </c>
      <c r="AC562" s="74"/>
    </row>
    <row r="563" ht="16.5" customHeight="1">
      <c r="A563" s="48" t="s">
        <v>2280</v>
      </c>
      <c r="B563" s="53" t="s">
        <v>287</v>
      </c>
      <c r="C563" s="47">
        <v>0.0</v>
      </c>
      <c r="D563" s="70" t="s">
        <v>2281</v>
      </c>
      <c r="E563" s="55" t="s">
        <v>301</v>
      </c>
      <c r="F563" s="32" t="s">
        <v>33</v>
      </c>
      <c r="G563" s="32" t="s">
        <v>35</v>
      </c>
      <c r="H563" s="71" t="s">
        <v>35</v>
      </c>
      <c r="I563" s="71" t="s">
        <v>36</v>
      </c>
      <c r="J563" s="34" t="s">
        <v>92</v>
      </c>
      <c r="K563" s="57" t="s">
        <v>38</v>
      </c>
      <c r="L563" s="72">
        <v>10040.0</v>
      </c>
      <c r="M563" s="27"/>
      <c r="N563" s="76"/>
      <c r="O563" s="28">
        <v>45267.0</v>
      </c>
      <c r="P563" s="26"/>
      <c r="Q563" s="12"/>
      <c r="R563" s="12"/>
      <c r="S563" s="12"/>
      <c r="T563" s="52">
        <v>45253.0</v>
      </c>
      <c r="U563" s="52">
        <v>45253.0</v>
      </c>
      <c r="V563" s="52">
        <v>45259.0</v>
      </c>
      <c r="W563" s="30"/>
      <c r="X563" s="30"/>
      <c r="Y563" s="31"/>
      <c r="Z563" s="31"/>
      <c r="AA563" s="31"/>
      <c r="AB563" s="74" t="s">
        <v>2282</v>
      </c>
      <c r="AC563" s="74"/>
    </row>
    <row r="564" ht="16.5" customHeight="1">
      <c r="A564" s="48" t="s">
        <v>2283</v>
      </c>
      <c r="B564" s="53" t="s">
        <v>287</v>
      </c>
      <c r="C564" s="47">
        <v>0.0</v>
      </c>
      <c r="D564" s="70" t="s">
        <v>2284</v>
      </c>
      <c r="E564" s="55" t="s">
        <v>79</v>
      </c>
      <c r="F564" s="32" t="s">
        <v>33</v>
      </c>
      <c r="G564" s="32" t="s">
        <v>35</v>
      </c>
      <c r="H564" s="71" t="s">
        <v>35</v>
      </c>
      <c r="I564" s="71" t="s">
        <v>36</v>
      </c>
      <c r="J564" s="34" t="s">
        <v>92</v>
      </c>
      <c r="K564" s="57" t="s">
        <v>38</v>
      </c>
      <c r="L564" s="72">
        <v>10039.0</v>
      </c>
      <c r="M564" s="27"/>
      <c r="N564" s="76"/>
      <c r="O564" s="28">
        <v>45267.0</v>
      </c>
      <c r="P564" s="26"/>
      <c r="Q564" s="12"/>
      <c r="R564" s="12"/>
      <c r="S564" s="12"/>
      <c r="T564" s="52">
        <v>45253.0</v>
      </c>
      <c r="U564" s="52">
        <v>45253.0</v>
      </c>
      <c r="V564" s="52">
        <v>45259.0</v>
      </c>
      <c r="W564" s="30"/>
      <c r="X564" s="30"/>
      <c r="Y564" s="31"/>
      <c r="Z564" s="31"/>
      <c r="AA564" s="31"/>
      <c r="AB564" s="74" t="s">
        <v>2285</v>
      </c>
      <c r="AC564" s="74"/>
    </row>
    <row r="565" ht="16.5" customHeight="1">
      <c r="A565" s="48" t="s">
        <v>2286</v>
      </c>
      <c r="B565" s="53" t="s">
        <v>530</v>
      </c>
      <c r="C565" s="47">
        <v>0.0</v>
      </c>
      <c r="D565" s="70" t="s">
        <v>2287</v>
      </c>
      <c r="E565" s="55" t="s">
        <v>2288</v>
      </c>
      <c r="F565" s="32" t="s">
        <v>33</v>
      </c>
      <c r="G565" s="32" t="s">
        <v>34</v>
      </c>
      <c r="H565" s="71" t="s">
        <v>35</v>
      </c>
      <c r="I565" s="71" t="s">
        <v>36</v>
      </c>
      <c r="J565" s="34" t="s">
        <v>37</v>
      </c>
      <c r="K565" s="57" t="s">
        <v>38</v>
      </c>
      <c r="L565" s="72">
        <v>10182.0</v>
      </c>
      <c r="M565" s="22"/>
      <c r="N565" s="73"/>
      <c r="O565" s="28">
        <v>45296.0</v>
      </c>
      <c r="P565" s="35" t="s">
        <v>2289</v>
      </c>
      <c r="Q565" s="12"/>
      <c r="R565" s="12"/>
      <c r="S565" s="12"/>
      <c r="T565" s="52">
        <v>45253.0</v>
      </c>
      <c r="U565" s="52">
        <v>45291.0</v>
      </c>
      <c r="V565" s="52">
        <v>45293.0</v>
      </c>
      <c r="W565" s="30"/>
      <c r="X565" s="30"/>
      <c r="Y565" s="31"/>
      <c r="Z565" s="31"/>
      <c r="AA565" s="31"/>
      <c r="AB565" s="74" t="s">
        <v>2290</v>
      </c>
      <c r="AC565" s="74"/>
    </row>
    <row r="566" ht="16.5" customHeight="1">
      <c r="A566" s="48" t="s">
        <v>2291</v>
      </c>
      <c r="B566" s="53" t="s">
        <v>2292</v>
      </c>
      <c r="C566" s="47">
        <v>0.0</v>
      </c>
      <c r="D566" s="70" t="s">
        <v>2293</v>
      </c>
      <c r="E566" s="55" t="s">
        <v>453</v>
      </c>
      <c r="F566" s="32" t="s">
        <v>244</v>
      </c>
      <c r="G566" s="32" t="s">
        <v>35</v>
      </c>
      <c r="H566" s="71" t="s">
        <v>35</v>
      </c>
      <c r="I566" s="71" t="s">
        <v>36</v>
      </c>
      <c r="J566" s="34" t="s">
        <v>37</v>
      </c>
      <c r="K566" s="57" t="s">
        <v>447</v>
      </c>
      <c r="L566" s="72" t="s">
        <v>2294</v>
      </c>
      <c r="M566" s="22"/>
      <c r="N566" s="73"/>
      <c r="O566" s="28">
        <v>45271.0</v>
      </c>
      <c r="P566" s="35" t="s">
        <v>2295</v>
      </c>
      <c r="Q566" s="12"/>
      <c r="R566" s="12"/>
      <c r="S566" s="12"/>
      <c r="T566" s="52">
        <v>45253.0</v>
      </c>
      <c r="U566" s="52">
        <v>45253.0</v>
      </c>
      <c r="V566" s="52">
        <v>45268.0</v>
      </c>
      <c r="W566" s="30"/>
      <c r="X566" s="30"/>
      <c r="Y566" s="31"/>
      <c r="Z566" s="31"/>
      <c r="AA566" s="31"/>
      <c r="AB566" s="74" t="s">
        <v>2296</v>
      </c>
      <c r="AC566" s="74"/>
    </row>
    <row r="567" ht="16.5" customHeight="1">
      <c r="A567" s="48" t="s">
        <v>2297</v>
      </c>
      <c r="B567" s="53" t="s">
        <v>2292</v>
      </c>
      <c r="C567" s="47">
        <v>0.0</v>
      </c>
      <c r="D567" s="70" t="s">
        <v>2298</v>
      </c>
      <c r="E567" s="55" t="s">
        <v>453</v>
      </c>
      <c r="F567" s="32" t="s">
        <v>244</v>
      </c>
      <c r="G567" s="32" t="s">
        <v>35</v>
      </c>
      <c r="H567" s="71" t="s">
        <v>35</v>
      </c>
      <c r="I567" s="71" t="s">
        <v>36</v>
      </c>
      <c r="J567" s="34" t="s">
        <v>37</v>
      </c>
      <c r="K567" s="57" t="s">
        <v>447</v>
      </c>
      <c r="L567" s="72" t="s">
        <v>2294</v>
      </c>
      <c r="M567" s="22"/>
      <c r="N567" s="73"/>
      <c r="O567" s="28">
        <v>45271.0</v>
      </c>
      <c r="P567" s="35" t="s">
        <v>2295</v>
      </c>
      <c r="Q567" s="12"/>
      <c r="R567" s="12"/>
      <c r="S567" s="12"/>
      <c r="T567" s="52">
        <v>45253.0</v>
      </c>
      <c r="U567" s="52">
        <v>45253.0</v>
      </c>
      <c r="V567" s="52">
        <v>45268.0</v>
      </c>
      <c r="W567" s="30"/>
      <c r="X567" s="30"/>
      <c r="Y567" s="31"/>
      <c r="Z567" s="31"/>
      <c r="AA567" s="31"/>
      <c r="AB567" s="74" t="s">
        <v>2299</v>
      </c>
      <c r="AC567" s="74"/>
    </row>
    <row r="568" ht="16.5" customHeight="1">
      <c r="A568" s="48" t="s">
        <v>2300</v>
      </c>
      <c r="B568" s="53" t="s">
        <v>2292</v>
      </c>
      <c r="C568" s="47">
        <v>0.0</v>
      </c>
      <c r="D568" s="70" t="s">
        <v>2301</v>
      </c>
      <c r="E568" s="55" t="s">
        <v>453</v>
      </c>
      <c r="F568" s="32" t="s">
        <v>244</v>
      </c>
      <c r="G568" s="32" t="s">
        <v>35</v>
      </c>
      <c r="H568" s="71" t="s">
        <v>35</v>
      </c>
      <c r="I568" s="71" t="s">
        <v>36</v>
      </c>
      <c r="J568" s="34" t="s">
        <v>37</v>
      </c>
      <c r="K568" s="57" t="s">
        <v>447</v>
      </c>
      <c r="L568" s="72" t="s">
        <v>2294</v>
      </c>
      <c r="M568" s="22"/>
      <c r="N568" s="73"/>
      <c r="O568" s="28">
        <v>45271.0</v>
      </c>
      <c r="P568" s="35" t="s">
        <v>2295</v>
      </c>
      <c r="Q568" s="12"/>
      <c r="R568" s="12"/>
      <c r="S568" s="12"/>
      <c r="T568" s="52">
        <v>45253.0</v>
      </c>
      <c r="U568" s="52">
        <v>45253.0</v>
      </c>
      <c r="V568" s="52">
        <v>45268.0</v>
      </c>
      <c r="W568" s="30"/>
      <c r="X568" s="30"/>
      <c r="Y568" s="31"/>
      <c r="Z568" s="31"/>
      <c r="AA568" s="31"/>
      <c r="AB568" s="74" t="s">
        <v>2302</v>
      </c>
      <c r="AC568" s="74"/>
    </row>
    <row r="569" ht="16.5" customHeight="1">
      <c r="A569" s="48" t="s">
        <v>2303</v>
      </c>
      <c r="B569" s="53" t="s">
        <v>2292</v>
      </c>
      <c r="C569" s="47">
        <v>0.0</v>
      </c>
      <c r="D569" s="70" t="s">
        <v>2304</v>
      </c>
      <c r="E569" s="55" t="s">
        <v>453</v>
      </c>
      <c r="F569" s="32" t="s">
        <v>244</v>
      </c>
      <c r="G569" s="32" t="s">
        <v>35</v>
      </c>
      <c r="H569" s="71" t="s">
        <v>35</v>
      </c>
      <c r="I569" s="71" t="s">
        <v>36</v>
      </c>
      <c r="J569" s="34" t="s">
        <v>37</v>
      </c>
      <c r="K569" s="57" t="s">
        <v>447</v>
      </c>
      <c r="L569" s="72" t="s">
        <v>2294</v>
      </c>
      <c r="M569" s="22"/>
      <c r="N569" s="73"/>
      <c r="O569" s="28">
        <v>45271.0</v>
      </c>
      <c r="P569" s="35" t="s">
        <v>2295</v>
      </c>
      <c r="Q569" s="12"/>
      <c r="R569" s="12"/>
      <c r="S569" s="12"/>
      <c r="T569" s="52">
        <v>45253.0</v>
      </c>
      <c r="U569" s="52">
        <v>45253.0</v>
      </c>
      <c r="V569" s="52">
        <v>45268.0</v>
      </c>
      <c r="W569" s="30"/>
      <c r="X569" s="30"/>
      <c r="Y569" s="31"/>
      <c r="Z569" s="31"/>
      <c r="AA569" s="31"/>
      <c r="AB569" s="74" t="s">
        <v>2305</v>
      </c>
      <c r="AC569" s="74"/>
    </row>
    <row r="570" ht="16.5" customHeight="1">
      <c r="A570" s="48" t="s">
        <v>2306</v>
      </c>
      <c r="B570" s="53" t="s">
        <v>2307</v>
      </c>
      <c r="C570" s="47">
        <v>0.0</v>
      </c>
      <c r="D570" s="70" t="s">
        <v>2308</v>
      </c>
      <c r="E570" s="55" t="s">
        <v>117</v>
      </c>
      <c r="F570" s="32" t="s">
        <v>33</v>
      </c>
      <c r="G570" s="32" t="s">
        <v>35</v>
      </c>
      <c r="H570" s="71" t="s">
        <v>35</v>
      </c>
      <c r="I570" s="71" t="s">
        <v>36</v>
      </c>
      <c r="J570" s="34" t="s">
        <v>65</v>
      </c>
      <c r="K570" s="57" t="s">
        <v>38</v>
      </c>
      <c r="L570" s="72">
        <v>10015.0</v>
      </c>
      <c r="M570" s="22"/>
      <c r="N570" s="76"/>
      <c r="O570" s="28">
        <v>45259.0</v>
      </c>
      <c r="P570" s="35" t="s">
        <v>2309</v>
      </c>
      <c r="Q570" s="12"/>
      <c r="R570" s="12"/>
      <c r="S570" s="12"/>
      <c r="T570" s="52">
        <v>45253.0</v>
      </c>
      <c r="U570" s="52">
        <v>45253.0</v>
      </c>
      <c r="V570" s="52">
        <v>45258.0</v>
      </c>
      <c r="W570" s="30"/>
      <c r="X570" s="30"/>
      <c r="Y570" s="31"/>
      <c r="Z570" s="31"/>
      <c r="AA570" s="31"/>
      <c r="AB570" s="74" t="s">
        <v>2310</v>
      </c>
      <c r="AC570" s="74"/>
    </row>
    <row r="571" ht="16.5" customHeight="1">
      <c r="A571" s="48" t="s">
        <v>2311</v>
      </c>
      <c r="B571" s="53" t="s">
        <v>784</v>
      </c>
      <c r="C571" s="47">
        <v>0.0</v>
      </c>
      <c r="D571" s="70" t="s">
        <v>2312</v>
      </c>
      <c r="E571" s="55" t="s">
        <v>338</v>
      </c>
      <c r="F571" s="32" t="s">
        <v>33</v>
      </c>
      <c r="G571" s="32" t="s">
        <v>35</v>
      </c>
      <c r="H571" s="71" t="s">
        <v>35</v>
      </c>
      <c r="I571" s="71" t="s">
        <v>36</v>
      </c>
      <c r="J571" s="34" t="s">
        <v>37</v>
      </c>
      <c r="K571" s="57" t="s">
        <v>447</v>
      </c>
      <c r="L571" s="72">
        <v>10014.0</v>
      </c>
      <c r="M571" s="22"/>
      <c r="N571" s="35"/>
      <c r="O571" s="28">
        <v>45259.0</v>
      </c>
      <c r="P571" s="35" t="s">
        <v>2313</v>
      </c>
      <c r="Q571" s="12"/>
      <c r="R571" s="12"/>
      <c r="S571" s="12"/>
      <c r="T571" s="52">
        <v>45253.0</v>
      </c>
      <c r="U571" s="52">
        <v>45254.0</v>
      </c>
      <c r="V571" s="14" t="s">
        <v>2314</v>
      </c>
      <c r="W571" s="30"/>
      <c r="X571" s="30"/>
      <c r="Y571" s="31"/>
      <c r="Z571" s="31"/>
      <c r="AA571" s="31"/>
      <c r="AB571" s="74" t="s">
        <v>2315</v>
      </c>
      <c r="AC571" s="74"/>
    </row>
    <row r="572" ht="16.5" customHeight="1">
      <c r="A572" s="48" t="s">
        <v>2316</v>
      </c>
      <c r="B572" s="53" t="s">
        <v>299</v>
      </c>
      <c r="C572" s="47">
        <v>0.0</v>
      </c>
      <c r="D572" s="70" t="s">
        <v>2317</v>
      </c>
      <c r="E572" s="55" t="s">
        <v>1119</v>
      </c>
      <c r="F572" s="32" t="s">
        <v>33</v>
      </c>
      <c r="G572" s="32" t="s">
        <v>35</v>
      </c>
      <c r="H572" s="71" t="s">
        <v>35</v>
      </c>
      <c r="I572" s="71" t="s">
        <v>36</v>
      </c>
      <c r="J572" s="34" t="s">
        <v>92</v>
      </c>
      <c r="K572" s="57" t="s">
        <v>38</v>
      </c>
      <c r="L572" s="72">
        <v>10095.0</v>
      </c>
      <c r="M572" s="22"/>
      <c r="N572" s="73"/>
      <c r="O572" s="28">
        <v>45323.0</v>
      </c>
      <c r="P572" s="35" t="s">
        <v>2318</v>
      </c>
      <c r="Q572" s="12"/>
      <c r="R572" s="12"/>
      <c r="S572" s="12"/>
      <c r="T572" s="52">
        <v>45254.0</v>
      </c>
      <c r="U572" s="52">
        <v>45254.0</v>
      </c>
      <c r="V572" s="52">
        <v>45268.0</v>
      </c>
      <c r="W572" s="30"/>
      <c r="X572" s="30"/>
      <c r="Y572" s="31"/>
      <c r="Z572" s="31"/>
      <c r="AA572" s="31"/>
      <c r="AB572" s="74" t="s">
        <v>2319</v>
      </c>
      <c r="AC572" s="74"/>
    </row>
    <row r="573" ht="16.5" customHeight="1">
      <c r="A573" s="48" t="s">
        <v>2320</v>
      </c>
      <c r="B573" s="53" t="s">
        <v>299</v>
      </c>
      <c r="C573" s="47">
        <v>0.0</v>
      </c>
      <c r="D573" s="70" t="s">
        <v>2321</v>
      </c>
      <c r="E573" s="55" t="s">
        <v>511</v>
      </c>
      <c r="F573" s="32" t="s">
        <v>33</v>
      </c>
      <c r="G573" s="32" t="s">
        <v>35</v>
      </c>
      <c r="H573" s="71" t="s">
        <v>35</v>
      </c>
      <c r="I573" s="71" t="s">
        <v>36</v>
      </c>
      <c r="J573" s="34" t="s">
        <v>92</v>
      </c>
      <c r="K573" s="57" t="s">
        <v>38</v>
      </c>
      <c r="L573" s="72">
        <v>10038.0</v>
      </c>
      <c r="M573" s="22"/>
      <c r="N573" s="76"/>
      <c r="O573" s="28">
        <v>45323.0</v>
      </c>
      <c r="P573" s="35" t="s">
        <v>2322</v>
      </c>
      <c r="Q573" s="12"/>
      <c r="R573" s="12"/>
      <c r="S573" s="12"/>
      <c r="T573" s="52">
        <v>45254.0</v>
      </c>
      <c r="U573" s="52">
        <v>45254.0</v>
      </c>
      <c r="V573" s="52">
        <v>45259.0</v>
      </c>
      <c r="W573" s="30"/>
      <c r="X573" s="30"/>
      <c r="Y573" s="31"/>
      <c r="Z573" s="31"/>
      <c r="AA573" s="31"/>
      <c r="AB573" s="74" t="s">
        <v>2323</v>
      </c>
      <c r="AC573" s="74"/>
    </row>
    <row r="574" ht="16.5" customHeight="1">
      <c r="A574" s="48" t="s">
        <v>2324</v>
      </c>
      <c r="B574" s="53" t="s">
        <v>498</v>
      </c>
      <c r="C574" s="47">
        <v>0.0</v>
      </c>
      <c r="D574" s="70" t="s">
        <v>2325</v>
      </c>
      <c r="E574" s="55" t="s">
        <v>295</v>
      </c>
      <c r="F574" s="32" t="s">
        <v>33</v>
      </c>
      <c r="G574" s="32" t="s">
        <v>34</v>
      </c>
      <c r="H574" s="71" t="s">
        <v>35</v>
      </c>
      <c r="I574" s="71" t="s">
        <v>36</v>
      </c>
      <c r="J574" s="34" t="s">
        <v>420</v>
      </c>
      <c r="K574" s="57" t="s">
        <v>38</v>
      </c>
      <c r="L574" s="72">
        <v>10047.0</v>
      </c>
      <c r="M574" s="27"/>
      <c r="N574" s="76"/>
      <c r="O574" s="28">
        <v>45261.0</v>
      </c>
      <c r="P574" s="26"/>
      <c r="Q574" s="12"/>
      <c r="R574" s="12"/>
      <c r="S574" s="12"/>
      <c r="T574" s="52">
        <v>45254.0</v>
      </c>
      <c r="U574" s="52">
        <v>45254.0</v>
      </c>
      <c r="V574" s="52">
        <v>45260.0</v>
      </c>
      <c r="W574" s="30"/>
      <c r="X574" s="30"/>
      <c r="Y574" s="31"/>
      <c r="Z574" s="31"/>
      <c r="AA574" s="31"/>
      <c r="AB574" s="74" t="s">
        <v>2326</v>
      </c>
      <c r="AC574" s="74"/>
    </row>
    <row r="575" ht="16.5" customHeight="1">
      <c r="A575" s="48" t="s">
        <v>2327</v>
      </c>
      <c r="B575" s="53" t="s">
        <v>1179</v>
      </c>
      <c r="C575" s="47">
        <v>0.0</v>
      </c>
      <c r="D575" s="70" t="s">
        <v>2328</v>
      </c>
      <c r="E575" s="55" t="s">
        <v>177</v>
      </c>
      <c r="F575" s="32" t="s">
        <v>48</v>
      </c>
      <c r="G575" s="32" t="s">
        <v>35</v>
      </c>
      <c r="H575" s="71" t="s">
        <v>35</v>
      </c>
      <c r="I575" s="71" t="s">
        <v>36</v>
      </c>
      <c r="J575" s="34" t="s">
        <v>65</v>
      </c>
      <c r="K575" s="57" t="s">
        <v>38</v>
      </c>
      <c r="L575" s="72">
        <v>10289.0</v>
      </c>
      <c r="M575" s="27"/>
      <c r="N575" s="73"/>
      <c r="O575" s="28">
        <v>45315.0</v>
      </c>
      <c r="P575" s="26"/>
      <c r="Q575" s="12"/>
      <c r="R575" s="12"/>
      <c r="S575" s="12"/>
      <c r="T575" s="52">
        <v>45254.0</v>
      </c>
      <c r="U575" s="52">
        <v>45312.0</v>
      </c>
      <c r="V575" s="52">
        <v>45315.0</v>
      </c>
      <c r="W575" s="30"/>
      <c r="X575" s="30"/>
      <c r="Y575" s="31"/>
      <c r="Z575" s="31"/>
      <c r="AA575" s="31"/>
      <c r="AB575" s="74" t="s">
        <v>2329</v>
      </c>
      <c r="AC575" s="74"/>
    </row>
    <row r="576" ht="16.5" customHeight="1">
      <c r="A576" s="48" t="s">
        <v>2330</v>
      </c>
      <c r="B576" s="53" t="s">
        <v>2331</v>
      </c>
      <c r="C576" s="47">
        <v>0.0</v>
      </c>
      <c r="D576" s="70" t="s">
        <v>2332</v>
      </c>
      <c r="E576" s="55" t="s">
        <v>511</v>
      </c>
      <c r="F576" s="32" t="s">
        <v>33</v>
      </c>
      <c r="G576" s="32" t="s">
        <v>35</v>
      </c>
      <c r="H576" s="71" t="s">
        <v>35</v>
      </c>
      <c r="I576" s="71" t="s">
        <v>36</v>
      </c>
      <c r="J576" s="34" t="s">
        <v>37</v>
      </c>
      <c r="K576" s="57" t="s">
        <v>1506</v>
      </c>
      <c r="L576" s="72">
        <v>10106.0</v>
      </c>
      <c r="M576" s="22"/>
      <c r="N576" s="76"/>
      <c r="O576" s="28">
        <v>45274.0</v>
      </c>
      <c r="P576" s="35" t="s">
        <v>2333</v>
      </c>
      <c r="Q576" s="12"/>
      <c r="R576" s="12"/>
      <c r="S576" s="12"/>
      <c r="T576" s="52">
        <v>45254.0</v>
      </c>
      <c r="U576" s="52">
        <v>45258.0</v>
      </c>
      <c r="V576" s="52">
        <v>45272.0</v>
      </c>
      <c r="W576" s="30"/>
      <c r="X576" s="30"/>
      <c r="Y576" s="31"/>
      <c r="Z576" s="31"/>
      <c r="AA576" s="31"/>
      <c r="AB576" s="74" t="s">
        <v>2334</v>
      </c>
      <c r="AC576" s="74"/>
    </row>
    <row r="577" ht="16.5" customHeight="1">
      <c r="A577" s="48" t="s">
        <v>2335</v>
      </c>
      <c r="B577" s="53" t="s">
        <v>1345</v>
      </c>
      <c r="C577" s="47">
        <v>0.0</v>
      </c>
      <c r="D577" s="70" t="s">
        <v>2336</v>
      </c>
      <c r="E577" s="55" t="s">
        <v>2337</v>
      </c>
      <c r="F577" s="32" t="s">
        <v>33</v>
      </c>
      <c r="G577" s="32" t="s">
        <v>35</v>
      </c>
      <c r="H577" s="71" t="s">
        <v>35</v>
      </c>
      <c r="I577" s="71" t="s">
        <v>36</v>
      </c>
      <c r="J577" s="34" t="s">
        <v>420</v>
      </c>
      <c r="K577" s="57" t="s">
        <v>38</v>
      </c>
      <c r="L577" s="72">
        <v>10125.0</v>
      </c>
      <c r="M577" s="27"/>
      <c r="N577" s="76"/>
      <c r="O577" s="28">
        <v>45279.0</v>
      </c>
      <c r="P577" s="26"/>
      <c r="Q577" s="12"/>
      <c r="R577" s="12"/>
      <c r="S577" s="12"/>
      <c r="T577" s="52">
        <v>45254.0</v>
      </c>
      <c r="U577" s="52">
        <v>45257.0</v>
      </c>
      <c r="V577" s="52">
        <v>45279.0</v>
      </c>
      <c r="W577" s="30"/>
      <c r="X577" s="30"/>
      <c r="Y577" s="31"/>
      <c r="Z577" s="31"/>
      <c r="AA577" s="31"/>
      <c r="AB577" s="74" t="s">
        <v>2338</v>
      </c>
      <c r="AC577" s="74"/>
    </row>
    <row r="578" ht="16.5" customHeight="1">
      <c r="A578" s="48" t="s">
        <v>2339</v>
      </c>
      <c r="B578" s="53" t="s">
        <v>2340</v>
      </c>
      <c r="C578" s="47">
        <v>0.0</v>
      </c>
      <c r="D578" s="70" t="s">
        <v>2341</v>
      </c>
      <c r="E578" s="55" t="s">
        <v>882</v>
      </c>
      <c r="F578" s="32" t="s">
        <v>33</v>
      </c>
      <c r="G578" s="32" t="s">
        <v>35</v>
      </c>
      <c r="H578" s="71" t="s">
        <v>35</v>
      </c>
      <c r="I578" s="71" t="s">
        <v>36</v>
      </c>
      <c r="J578" s="34" t="s">
        <v>718</v>
      </c>
      <c r="K578" s="57" t="s">
        <v>38</v>
      </c>
      <c r="L578" s="72">
        <v>10090.0</v>
      </c>
      <c r="M578" s="27"/>
      <c r="N578" s="73"/>
      <c r="O578" s="28">
        <v>45267.0</v>
      </c>
      <c r="P578" s="26"/>
      <c r="Q578" s="12"/>
      <c r="R578" s="12"/>
      <c r="S578" s="12"/>
      <c r="T578" s="52">
        <v>45254.0</v>
      </c>
      <c r="U578" s="52">
        <v>45257.0</v>
      </c>
      <c r="V578" s="52">
        <v>45267.0</v>
      </c>
      <c r="W578" s="30"/>
      <c r="X578" s="30"/>
      <c r="Y578" s="31"/>
      <c r="Z578" s="31"/>
      <c r="AA578" s="31"/>
      <c r="AB578" s="74" t="s">
        <v>2342</v>
      </c>
      <c r="AC578" s="74"/>
    </row>
    <row r="579" ht="16.5" customHeight="1">
      <c r="A579" s="48" t="s">
        <v>2343</v>
      </c>
      <c r="B579" s="53" t="s">
        <v>2340</v>
      </c>
      <c r="C579" s="47">
        <v>0.0</v>
      </c>
      <c r="D579" s="70" t="s">
        <v>2344</v>
      </c>
      <c r="E579" s="55" t="s">
        <v>882</v>
      </c>
      <c r="F579" s="32" t="s">
        <v>33</v>
      </c>
      <c r="G579" s="32" t="s">
        <v>35</v>
      </c>
      <c r="H579" s="71" t="s">
        <v>35</v>
      </c>
      <c r="I579" s="71" t="s">
        <v>36</v>
      </c>
      <c r="J579" s="34" t="s">
        <v>718</v>
      </c>
      <c r="K579" s="57" t="s">
        <v>38</v>
      </c>
      <c r="L579" s="72">
        <v>10090.0</v>
      </c>
      <c r="M579" s="27"/>
      <c r="N579" s="73"/>
      <c r="O579" s="28">
        <v>45267.0</v>
      </c>
      <c r="P579" s="26"/>
      <c r="Q579" s="12"/>
      <c r="R579" s="12"/>
      <c r="S579" s="12"/>
      <c r="T579" s="52">
        <v>45254.0</v>
      </c>
      <c r="U579" s="52">
        <v>45257.0</v>
      </c>
      <c r="V579" s="52">
        <v>45267.0</v>
      </c>
      <c r="W579" s="30"/>
      <c r="X579" s="30"/>
      <c r="Y579" s="31"/>
      <c r="Z579" s="31"/>
      <c r="AA579" s="31"/>
      <c r="AB579" s="74" t="s">
        <v>2345</v>
      </c>
      <c r="AC579" s="74"/>
    </row>
    <row r="580" ht="16.5" customHeight="1">
      <c r="A580" s="48" t="s">
        <v>2346</v>
      </c>
      <c r="B580" s="53" t="s">
        <v>2340</v>
      </c>
      <c r="C580" s="47">
        <v>0.0</v>
      </c>
      <c r="D580" s="70" t="s">
        <v>2347</v>
      </c>
      <c r="E580" s="55" t="s">
        <v>882</v>
      </c>
      <c r="F580" s="32" t="s">
        <v>33</v>
      </c>
      <c r="G580" s="32" t="s">
        <v>35</v>
      </c>
      <c r="H580" s="71" t="s">
        <v>35</v>
      </c>
      <c r="I580" s="71" t="s">
        <v>36</v>
      </c>
      <c r="J580" s="34" t="s">
        <v>718</v>
      </c>
      <c r="K580" s="57" t="s">
        <v>38</v>
      </c>
      <c r="L580" s="72">
        <v>10090.0</v>
      </c>
      <c r="M580" s="27"/>
      <c r="N580" s="73"/>
      <c r="O580" s="28">
        <v>45267.0</v>
      </c>
      <c r="P580" s="26"/>
      <c r="Q580" s="12"/>
      <c r="R580" s="12"/>
      <c r="S580" s="12"/>
      <c r="T580" s="52">
        <v>45254.0</v>
      </c>
      <c r="U580" s="52">
        <v>45257.0</v>
      </c>
      <c r="V580" s="52">
        <v>45267.0</v>
      </c>
      <c r="W580" s="30"/>
      <c r="X580" s="30"/>
      <c r="Y580" s="31"/>
      <c r="Z580" s="31"/>
      <c r="AA580" s="31"/>
      <c r="AB580" s="74" t="s">
        <v>2348</v>
      </c>
      <c r="AC580" s="74"/>
    </row>
    <row r="581" ht="16.5" customHeight="1">
      <c r="A581" s="48" t="s">
        <v>2349</v>
      </c>
      <c r="B581" s="53" t="s">
        <v>2340</v>
      </c>
      <c r="C581" s="47">
        <v>0.0</v>
      </c>
      <c r="D581" s="70" t="s">
        <v>2350</v>
      </c>
      <c r="E581" s="55" t="s">
        <v>882</v>
      </c>
      <c r="F581" s="32" t="s">
        <v>33</v>
      </c>
      <c r="G581" s="32" t="s">
        <v>35</v>
      </c>
      <c r="H581" s="71" t="s">
        <v>35</v>
      </c>
      <c r="I581" s="71" t="s">
        <v>36</v>
      </c>
      <c r="J581" s="34" t="s">
        <v>718</v>
      </c>
      <c r="K581" s="57" t="s">
        <v>38</v>
      </c>
      <c r="L581" s="72">
        <v>10090.0</v>
      </c>
      <c r="M581" s="27"/>
      <c r="N581" s="73"/>
      <c r="O581" s="28">
        <v>45267.0</v>
      </c>
      <c r="P581" s="26"/>
      <c r="Q581" s="12"/>
      <c r="R581" s="12"/>
      <c r="S581" s="12"/>
      <c r="T581" s="52">
        <v>45254.0</v>
      </c>
      <c r="U581" s="52">
        <v>45257.0</v>
      </c>
      <c r="V581" s="52">
        <v>45267.0</v>
      </c>
      <c r="W581" s="30"/>
      <c r="X581" s="30"/>
      <c r="Y581" s="31"/>
      <c r="Z581" s="31"/>
      <c r="AA581" s="31"/>
      <c r="AB581" s="74" t="s">
        <v>2351</v>
      </c>
      <c r="AC581" s="74"/>
    </row>
    <row r="582" ht="16.5" customHeight="1">
      <c r="A582" s="48" t="s">
        <v>2352</v>
      </c>
      <c r="B582" s="53" t="s">
        <v>2340</v>
      </c>
      <c r="C582" s="47">
        <v>0.0</v>
      </c>
      <c r="D582" s="70" t="s">
        <v>2353</v>
      </c>
      <c r="E582" s="55" t="s">
        <v>383</v>
      </c>
      <c r="F582" s="32" t="s">
        <v>33</v>
      </c>
      <c r="G582" s="32" t="s">
        <v>35</v>
      </c>
      <c r="H582" s="71" t="s">
        <v>35</v>
      </c>
      <c r="I582" s="71" t="s">
        <v>665</v>
      </c>
      <c r="J582" s="34" t="s">
        <v>65</v>
      </c>
      <c r="K582" s="57" t="s">
        <v>38</v>
      </c>
      <c r="L582" s="72">
        <v>10057.0</v>
      </c>
      <c r="M582" s="27"/>
      <c r="N582" s="73"/>
      <c r="O582" s="28">
        <v>45264.0</v>
      </c>
      <c r="P582" s="26"/>
      <c r="Q582" s="12"/>
      <c r="R582" s="12"/>
      <c r="S582" s="12"/>
      <c r="T582" s="52">
        <v>45254.0</v>
      </c>
      <c r="U582" s="52">
        <v>45257.0</v>
      </c>
      <c r="V582" s="52">
        <v>45264.0</v>
      </c>
      <c r="W582" s="30"/>
      <c r="X582" s="30"/>
      <c r="Y582" s="31"/>
      <c r="Z582" s="31"/>
      <c r="AA582" s="31"/>
      <c r="AB582" s="74" t="s">
        <v>2354</v>
      </c>
      <c r="AC582" s="74"/>
    </row>
    <row r="583" ht="16.5" customHeight="1">
      <c r="A583" s="48" t="s">
        <v>2355</v>
      </c>
      <c r="B583" s="53" t="s">
        <v>2356</v>
      </c>
      <c r="C583" s="47">
        <v>0.0</v>
      </c>
      <c r="D583" s="70" t="s">
        <v>2357</v>
      </c>
      <c r="E583" s="55" t="s">
        <v>165</v>
      </c>
      <c r="F583" s="32" t="s">
        <v>33</v>
      </c>
      <c r="G583" s="32" t="s">
        <v>35</v>
      </c>
      <c r="H583" s="71" t="s">
        <v>35</v>
      </c>
      <c r="I583" s="71" t="s">
        <v>36</v>
      </c>
      <c r="J583" s="34" t="s">
        <v>92</v>
      </c>
      <c r="K583" s="57" t="s">
        <v>38</v>
      </c>
      <c r="L583" s="72">
        <v>10102.0</v>
      </c>
      <c r="M583" s="27"/>
      <c r="N583" s="76"/>
      <c r="O583" s="28">
        <v>45273.0</v>
      </c>
      <c r="P583" s="26"/>
      <c r="Q583" s="12"/>
      <c r="R583" s="12"/>
      <c r="S583" s="12"/>
      <c r="T583" s="52">
        <v>45254.0</v>
      </c>
      <c r="U583" s="52">
        <v>45258.0</v>
      </c>
      <c r="V583" s="52">
        <v>45271.0</v>
      </c>
      <c r="W583" s="30"/>
      <c r="X583" s="30"/>
      <c r="Y583" s="31"/>
      <c r="Z583" s="31"/>
      <c r="AA583" s="31"/>
      <c r="AB583" s="74" t="s">
        <v>2358</v>
      </c>
      <c r="AC583" s="74"/>
    </row>
    <row r="584" ht="16.5" customHeight="1">
      <c r="A584" s="48" t="s">
        <v>2359</v>
      </c>
      <c r="B584" s="53" t="s">
        <v>818</v>
      </c>
      <c r="C584" s="47">
        <v>0.0</v>
      </c>
      <c r="D584" s="70" t="s">
        <v>2360</v>
      </c>
      <c r="E584" s="55" t="s">
        <v>461</v>
      </c>
      <c r="F584" s="32" t="s">
        <v>244</v>
      </c>
      <c r="G584" s="32" t="s">
        <v>35</v>
      </c>
      <c r="H584" s="71" t="s">
        <v>35</v>
      </c>
      <c r="I584" s="71" t="s">
        <v>36</v>
      </c>
      <c r="J584" s="34" t="s">
        <v>2361</v>
      </c>
      <c r="K584" s="57" t="s">
        <v>38</v>
      </c>
      <c r="L584" s="72">
        <v>10013.0</v>
      </c>
      <c r="M584" s="22"/>
      <c r="N584" s="76"/>
      <c r="O584" s="28">
        <v>45260.0</v>
      </c>
      <c r="P584" s="35" t="s">
        <v>2362</v>
      </c>
      <c r="Q584" s="12"/>
      <c r="R584" s="12"/>
      <c r="S584" s="12"/>
      <c r="T584" s="52">
        <v>45257.0</v>
      </c>
      <c r="U584" s="52">
        <v>45257.0</v>
      </c>
      <c r="V584" s="52">
        <v>45259.0</v>
      </c>
      <c r="W584" s="30"/>
      <c r="X584" s="30"/>
      <c r="Y584" s="31"/>
      <c r="Z584" s="31"/>
      <c r="AA584" s="31"/>
      <c r="AB584" s="74" t="s">
        <v>2363</v>
      </c>
      <c r="AC584" s="74"/>
    </row>
    <row r="585" ht="16.5" customHeight="1">
      <c r="A585" s="48" t="s">
        <v>2364</v>
      </c>
      <c r="B585" s="53" t="s">
        <v>818</v>
      </c>
      <c r="C585" s="47">
        <v>0.0</v>
      </c>
      <c r="D585" s="70" t="s">
        <v>2365</v>
      </c>
      <c r="E585" s="55" t="s">
        <v>892</v>
      </c>
      <c r="F585" s="32" t="s">
        <v>244</v>
      </c>
      <c r="G585" s="32" t="s">
        <v>35</v>
      </c>
      <c r="H585" s="71" t="s">
        <v>35</v>
      </c>
      <c r="I585" s="71" t="s">
        <v>36</v>
      </c>
      <c r="J585" s="34" t="s">
        <v>2361</v>
      </c>
      <c r="K585" s="57" t="s">
        <v>38</v>
      </c>
      <c r="L585" s="72">
        <v>10012.0</v>
      </c>
      <c r="M585" s="22"/>
      <c r="N585" s="76"/>
      <c r="O585" s="28">
        <v>45260.0</v>
      </c>
      <c r="P585" s="35" t="s">
        <v>2366</v>
      </c>
      <c r="Q585" s="12"/>
      <c r="R585" s="12"/>
      <c r="S585" s="12"/>
      <c r="T585" s="52">
        <v>45257.0</v>
      </c>
      <c r="U585" s="52">
        <v>45257.0</v>
      </c>
      <c r="V585" s="52">
        <v>45259.0</v>
      </c>
      <c r="W585" s="30"/>
      <c r="X585" s="30"/>
      <c r="Y585" s="31"/>
      <c r="Z585" s="31"/>
      <c r="AA585" s="31"/>
      <c r="AB585" s="74" t="s">
        <v>2367</v>
      </c>
      <c r="AC585" s="74"/>
    </row>
    <row r="586" ht="16.5" customHeight="1">
      <c r="A586" s="48" t="s">
        <v>2368</v>
      </c>
      <c r="B586" s="53" t="s">
        <v>115</v>
      </c>
      <c r="C586" s="47">
        <v>0.0</v>
      </c>
      <c r="D586" s="70" t="s">
        <v>2369</v>
      </c>
      <c r="E586" s="55" t="s">
        <v>511</v>
      </c>
      <c r="F586" s="32" t="s">
        <v>33</v>
      </c>
      <c r="G586" s="32" t="s">
        <v>35</v>
      </c>
      <c r="H586" s="71" t="s">
        <v>35</v>
      </c>
      <c r="I586" s="71" t="s">
        <v>36</v>
      </c>
      <c r="J586" s="34" t="s">
        <v>92</v>
      </c>
      <c r="K586" s="57" t="s">
        <v>38</v>
      </c>
      <c r="L586" s="72" t="s">
        <v>2370</v>
      </c>
      <c r="M586" s="27"/>
      <c r="N586" s="76"/>
      <c r="O586" s="28">
        <v>45309.0</v>
      </c>
      <c r="P586" s="26"/>
      <c r="Q586" s="12"/>
      <c r="R586" s="12"/>
      <c r="S586" s="12"/>
      <c r="T586" s="52">
        <v>45257.0</v>
      </c>
      <c r="U586" s="52">
        <v>45257.0</v>
      </c>
      <c r="V586" s="52">
        <v>45272.0</v>
      </c>
      <c r="W586" s="30"/>
      <c r="X586" s="30"/>
      <c r="Y586" s="31"/>
      <c r="Z586" s="31"/>
      <c r="AA586" s="31"/>
      <c r="AB586" s="74" t="s">
        <v>2371</v>
      </c>
      <c r="AC586" s="74"/>
    </row>
    <row r="587" ht="16.5" customHeight="1">
      <c r="A587" s="48" t="s">
        <v>2372</v>
      </c>
      <c r="B587" s="53" t="s">
        <v>2373</v>
      </c>
      <c r="C587" s="47">
        <v>0.0</v>
      </c>
      <c r="D587" s="70" t="s">
        <v>2374</v>
      </c>
      <c r="E587" s="55" t="s">
        <v>295</v>
      </c>
      <c r="F587" s="32" t="s">
        <v>33</v>
      </c>
      <c r="G587" s="32" t="s">
        <v>34</v>
      </c>
      <c r="H587" s="71" t="s">
        <v>35</v>
      </c>
      <c r="I587" s="71" t="s">
        <v>36</v>
      </c>
      <c r="J587" s="34" t="s">
        <v>37</v>
      </c>
      <c r="K587" s="57" t="s">
        <v>2375</v>
      </c>
      <c r="L587" s="72">
        <v>10074.0</v>
      </c>
      <c r="M587" s="27"/>
      <c r="N587" s="73"/>
      <c r="O587" s="28">
        <v>45265.0</v>
      </c>
      <c r="P587" s="26"/>
      <c r="Q587" s="12"/>
      <c r="R587" s="12"/>
      <c r="S587" s="12"/>
      <c r="T587" s="52">
        <v>45257.0</v>
      </c>
      <c r="U587" s="52">
        <v>45257.0</v>
      </c>
      <c r="V587" s="52">
        <v>45264.0</v>
      </c>
      <c r="W587" s="30"/>
      <c r="X587" s="30"/>
      <c r="Y587" s="31"/>
      <c r="Z587" s="31"/>
      <c r="AA587" s="31"/>
      <c r="AB587" s="74" t="s">
        <v>2376</v>
      </c>
      <c r="AC587" s="74"/>
    </row>
    <row r="588" ht="16.5" customHeight="1">
      <c r="A588" s="48" t="s">
        <v>2377</v>
      </c>
      <c r="B588" s="53" t="s">
        <v>2378</v>
      </c>
      <c r="C588" s="47">
        <v>0.0</v>
      </c>
      <c r="D588" s="70" t="s">
        <v>2379</v>
      </c>
      <c r="E588" s="55" t="s">
        <v>213</v>
      </c>
      <c r="F588" s="32" t="s">
        <v>33</v>
      </c>
      <c r="G588" s="32" t="s">
        <v>34</v>
      </c>
      <c r="H588" s="71" t="s">
        <v>35</v>
      </c>
      <c r="I588" s="71" t="s">
        <v>36</v>
      </c>
      <c r="J588" s="34" t="s">
        <v>37</v>
      </c>
      <c r="K588" s="57" t="s">
        <v>238</v>
      </c>
      <c r="L588" s="72">
        <v>10073.0</v>
      </c>
      <c r="M588" s="22"/>
      <c r="N588" s="73"/>
      <c r="O588" s="28">
        <v>45265.0</v>
      </c>
      <c r="P588" s="35" t="s">
        <v>2380</v>
      </c>
      <c r="Q588" s="12"/>
      <c r="R588" s="12"/>
      <c r="S588" s="12"/>
      <c r="T588" s="52">
        <v>45257.0</v>
      </c>
      <c r="U588" s="52">
        <v>45257.0</v>
      </c>
      <c r="V588" s="52">
        <v>45264.0</v>
      </c>
      <c r="W588" s="30"/>
      <c r="X588" s="30"/>
      <c r="Y588" s="31"/>
      <c r="Z588" s="31"/>
      <c r="AA588" s="31"/>
      <c r="AB588" s="74" t="s">
        <v>2381</v>
      </c>
      <c r="AC588" s="74"/>
    </row>
    <row r="589" ht="16.5" customHeight="1">
      <c r="A589" s="48" t="s">
        <v>2382</v>
      </c>
      <c r="B589" s="53" t="s">
        <v>2383</v>
      </c>
      <c r="C589" s="47">
        <v>0.0</v>
      </c>
      <c r="D589" s="70" t="s">
        <v>2384</v>
      </c>
      <c r="E589" s="55" t="s">
        <v>79</v>
      </c>
      <c r="F589" s="32" t="s">
        <v>33</v>
      </c>
      <c r="G589" s="32" t="s">
        <v>35</v>
      </c>
      <c r="H589" s="71" t="s">
        <v>35</v>
      </c>
      <c r="I589" s="71" t="s">
        <v>36</v>
      </c>
      <c r="J589" s="34" t="s">
        <v>65</v>
      </c>
      <c r="K589" s="57" t="s">
        <v>38</v>
      </c>
      <c r="L589" s="72">
        <v>10108.0</v>
      </c>
      <c r="M589" s="27"/>
      <c r="N589" s="76"/>
      <c r="O589" s="28">
        <v>45274.0</v>
      </c>
      <c r="P589" s="26"/>
      <c r="Q589" s="12"/>
      <c r="R589" s="12"/>
      <c r="S589" s="12"/>
      <c r="T589" s="52">
        <v>45257.0</v>
      </c>
      <c r="U589" s="52">
        <v>45261.0</v>
      </c>
      <c r="V589" s="52">
        <v>45273.0</v>
      </c>
      <c r="W589" s="30"/>
      <c r="X589" s="30"/>
      <c r="Y589" s="31"/>
      <c r="Z589" s="31"/>
      <c r="AA589" s="31"/>
      <c r="AB589" s="74" t="s">
        <v>2385</v>
      </c>
      <c r="AC589" s="74"/>
    </row>
    <row r="590" ht="16.5" customHeight="1">
      <c r="A590" s="48" t="s">
        <v>2386</v>
      </c>
      <c r="B590" s="53" t="s">
        <v>631</v>
      </c>
      <c r="C590" s="47">
        <v>0.0</v>
      </c>
      <c r="D590" s="70" t="s">
        <v>2387</v>
      </c>
      <c r="E590" s="55" t="s">
        <v>213</v>
      </c>
      <c r="F590" s="32" t="s">
        <v>33</v>
      </c>
      <c r="G590" s="32" t="s">
        <v>35</v>
      </c>
      <c r="H590" s="71" t="s">
        <v>35</v>
      </c>
      <c r="I590" s="71" t="s">
        <v>36</v>
      </c>
      <c r="J590" s="34" t="s">
        <v>65</v>
      </c>
      <c r="K590" s="57" t="s">
        <v>38</v>
      </c>
      <c r="L590" s="72">
        <v>10072.0</v>
      </c>
      <c r="M590" s="22"/>
      <c r="N590" s="73"/>
      <c r="O590" s="28">
        <v>45265.0</v>
      </c>
      <c r="P590" s="35" t="s">
        <v>2388</v>
      </c>
      <c r="Q590" s="12"/>
      <c r="R590" s="12"/>
      <c r="S590" s="12"/>
      <c r="T590" s="52">
        <v>45257.0</v>
      </c>
      <c r="U590" s="52">
        <v>45259.0</v>
      </c>
      <c r="V590" s="52">
        <v>45264.0</v>
      </c>
      <c r="W590" s="30"/>
      <c r="X590" s="30"/>
      <c r="Y590" s="31"/>
      <c r="Z590" s="31"/>
      <c r="AA590" s="31"/>
      <c r="AB590" s="74" t="s">
        <v>2389</v>
      </c>
      <c r="AC590" s="74"/>
    </row>
    <row r="591" ht="16.5" customHeight="1">
      <c r="A591" s="48" t="s">
        <v>2390</v>
      </c>
      <c r="B591" s="53" t="s">
        <v>2138</v>
      </c>
      <c r="C591" s="47">
        <v>0.0</v>
      </c>
      <c r="D591" s="70" t="s">
        <v>2391</v>
      </c>
      <c r="E591" s="55" t="s">
        <v>491</v>
      </c>
      <c r="F591" s="32" t="s">
        <v>33</v>
      </c>
      <c r="G591" s="32" t="s">
        <v>34</v>
      </c>
      <c r="H591" s="71" t="s">
        <v>35</v>
      </c>
      <c r="I591" s="71" t="s">
        <v>36</v>
      </c>
      <c r="J591" s="34" t="s">
        <v>65</v>
      </c>
      <c r="K591" s="57" t="s">
        <v>38</v>
      </c>
      <c r="L591" s="72">
        <v>10105.0</v>
      </c>
      <c r="M591" s="27"/>
      <c r="N591" s="76"/>
      <c r="O591" s="28">
        <v>45273.0</v>
      </c>
      <c r="P591" s="26"/>
      <c r="Q591" s="12"/>
      <c r="R591" s="12"/>
      <c r="S591" s="12"/>
      <c r="T591" s="52">
        <v>45257.0</v>
      </c>
      <c r="U591" s="52">
        <v>45259.0</v>
      </c>
      <c r="V591" s="52">
        <v>45273.0</v>
      </c>
      <c r="W591" s="30"/>
      <c r="X591" s="30"/>
      <c r="Y591" s="31"/>
      <c r="Z591" s="31"/>
      <c r="AA591" s="31"/>
      <c r="AB591" s="74" t="s">
        <v>2392</v>
      </c>
      <c r="AC591" s="74"/>
    </row>
    <row r="592" ht="16.5" customHeight="1">
      <c r="A592" s="48" t="s">
        <v>2393</v>
      </c>
      <c r="B592" s="53" t="s">
        <v>287</v>
      </c>
      <c r="C592" s="47">
        <v>0.0</v>
      </c>
      <c r="D592" s="70" t="s">
        <v>2394</v>
      </c>
      <c r="E592" s="55" t="s">
        <v>701</v>
      </c>
      <c r="F592" s="32" t="s">
        <v>33</v>
      </c>
      <c r="G592" s="32" t="s">
        <v>34</v>
      </c>
      <c r="H592" s="71" t="s">
        <v>35</v>
      </c>
      <c r="I592" s="71" t="s">
        <v>36</v>
      </c>
      <c r="J592" s="34" t="s">
        <v>92</v>
      </c>
      <c r="K592" s="57" t="s">
        <v>38</v>
      </c>
      <c r="L592" s="72" t="s">
        <v>2395</v>
      </c>
      <c r="M592" s="22"/>
      <c r="N592" s="76"/>
      <c r="O592" s="28">
        <v>45278.0</v>
      </c>
      <c r="P592" s="35" t="s">
        <v>2396</v>
      </c>
      <c r="Q592" s="12"/>
      <c r="R592" s="12"/>
      <c r="S592" s="12"/>
      <c r="T592" s="52">
        <v>45258.0</v>
      </c>
      <c r="U592" s="52">
        <v>45258.0</v>
      </c>
      <c r="V592" s="52">
        <v>45272.0</v>
      </c>
      <c r="W592" s="30"/>
      <c r="X592" s="30"/>
      <c r="Y592" s="31"/>
      <c r="Z592" s="31"/>
      <c r="AA592" s="31"/>
      <c r="AB592" s="74" t="s">
        <v>2397</v>
      </c>
      <c r="AC592" s="74"/>
    </row>
    <row r="593" ht="16.5" customHeight="1">
      <c r="A593" s="48" t="s">
        <v>2398</v>
      </c>
      <c r="B593" s="53" t="s">
        <v>1768</v>
      </c>
      <c r="C593" s="47">
        <v>0.0</v>
      </c>
      <c r="D593" s="70" t="s">
        <v>2399</v>
      </c>
      <c r="E593" s="55" t="s">
        <v>892</v>
      </c>
      <c r="F593" s="32" t="s">
        <v>244</v>
      </c>
      <c r="G593" s="32" t="s">
        <v>35</v>
      </c>
      <c r="H593" s="71" t="s">
        <v>35</v>
      </c>
      <c r="I593" s="71" t="s">
        <v>36</v>
      </c>
      <c r="J593" s="34" t="s">
        <v>37</v>
      </c>
      <c r="K593" s="57" t="s">
        <v>38</v>
      </c>
      <c r="L593" s="72">
        <v>10143.0</v>
      </c>
      <c r="M593" s="27"/>
      <c r="N593" s="76"/>
      <c r="O593" s="28">
        <v>45282.0</v>
      </c>
      <c r="P593" s="26"/>
      <c r="Q593" s="12"/>
      <c r="R593" s="12"/>
      <c r="S593" s="12"/>
      <c r="T593" s="52">
        <v>45258.0</v>
      </c>
      <c r="U593" s="52">
        <v>45258.0</v>
      </c>
      <c r="V593" s="52">
        <v>45281.0</v>
      </c>
      <c r="W593" s="30"/>
      <c r="X593" s="30"/>
      <c r="Y593" s="31"/>
      <c r="Z593" s="31"/>
      <c r="AA593" s="31"/>
      <c r="AB593" s="74" t="s">
        <v>2400</v>
      </c>
      <c r="AC593" s="74"/>
    </row>
    <row r="594" ht="16.5" customHeight="1">
      <c r="A594" s="48" t="s">
        <v>2401</v>
      </c>
      <c r="B594" s="53" t="s">
        <v>2402</v>
      </c>
      <c r="C594" s="47">
        <v>0.0</v>
      </c>
      <c r="D594" s="70" t="s">
        <v>2403</v>
      </c>
      <c r="E594" s="55" t="s">
        <v>79</v>
      </c>
      <c r="F594" s="32" t="s">
        <v>33</v>
      </c>
      <c r="G594" s="32" t="s">
        <v>35</v>
      </c>
      <c r="H594" s="71" t="s">
        <v>35</v>
      </c>
      <c r="I594" s="71" t="s">
        <v>36</v>
      </c>
      <c r="J594" s="34" t="s">
        <v>65</v>
      </c>
      <c r="K594" s="57" t="s">
        <v>38</v>
      </c>
      <c r="L594" s="72">
        <v>10056.0</v>
      </c>
      <c r="M594" s="27"/>
      <c r="N594" s="73"/>
      <c r="O594" s="28">
        <v>45264.0</v>
      </c>
      <c r="P594" s="26"/>
      <c r="Q594" s="12"/>
      <c r="R594" s="12"/>
      <c r="S594" s="12"/>
      <c r="T594" s="52">
        <v>45258.0</v>
      </c>
      <c r="U594" s="52">
        <v>45258.0</v>
      </c>
      <c r="V594" s="52">
        <v>45264.0</v>
      </c>
      <c r="W594" s="30"/>
      <c r="X594" s="30"/>
      <c r="Y594" s="31"/>
      <c r="Z594" s="31"/>
      <c r="AA594" s="31"/>
      <c r="AB594" s="74" t="s">
        <v>2404</v>
      </c>
      <c r="AC594" s="74"/>
    </row>
    <row r="595" ht="16.5" customHeight="1">
      <c r="A595" s="48" t="s">
        <v>2405</v>
      </c>
      <c r="B595" s="53" t="s">
        <v>2402</v>
      </c>
      <c r="C595" s="47">
        <v>0.0</v>
      </c>
      <c r="D595" s="70" t="s">
        <v>2406</v>
      </c>
      <c r="E595" s="55" t="s">
        <v>79</v>
      </c>
      <c r="F595" s="32" t="s">
        <v>33</v>
      </c>
      <c r="G595" s="32" t="s">
        <v>35</v>
      </c>
      <c r="H595" s="71" t="s">
        <v>35</v>
      </c>
      <c r="I595" s="71" t="s">
        <v>36</v>
      </c>
      <c r="J595" s="34" t="s">
        <v>65</v>
      </c>
      <c r="K595" s="57" t="s">
        <v>38</v>
      </c>
      <c r="L595" s="72">
        <v>10055.0</v>
      </c>
      <c r="M595" s="22"/>
      <c r="N595" s="73"/>
      <c r="O595" s="28">
        <v>45264.0</v>
      </c>
      <c r="P595" s="35" t="s">
        <v>2407</v>
      </c>
      <c r="Q595" s="12"/>
      <c r="R595" s="12"/>
      <c r="S595" s="12"/>
      <c r="T595" s="52">
        <v>45258.0</v>
      </c>
      <c r="U595" s="52">
        <v>45258.0</v>
      </c>
      <c r="V595" s="52">
        <v>45264.0</v>
      </c>
      <c r="W595" s="30"/>
      <c r="X595" s="30"/>
      <c r="Y595" s="31"/>
      <c r="Z595" s="31"/>
      <c r="AA595" s="31"/>
      <c r="AB595" s="74" t="s">
        <v>2408</v>
      </c>
      <c r="AC595" s="74"/>
    </row>
    <row r="596" ht="16.5" customHeight="1">
      <c r="A596" s="48" t="s">
        <v>2409</v>
      </c>
      <c r="B596" s="53" t="s">
        <v>2410</v>
      </c>
      <c r="C596" s="47">
        <v>0.0</v>
      </c>
      <c r="D596" s="70" t="s">
        <v>2411</v>
      </c>
      <c r="E596" s="55" t="s">
        <v>2412</v>
      </c>
      <c r="F596" s="32" t="s">
        <v>244</v>
      </c>
      <c r="G596" s="32" t="s">
        <v>35</v>
      </c>
      <c r="H596" s="71" t="s">
        <v>35</v>
      </c>
      <c r="I596" s="71" t="s">
        <v>36</v>
      </c>
      <c r="J596" s="34" t="s">
        <v>420</v>
      </c>
      <c r="K596" s="57" t="s">
        <v>38</v>
      </c>
      <c r="L596" s="72">
        <v>10112.0</v>
      </c>
      <c r="M596" s="22"/>
      <c r="N596" s="76"/>
      <c r="O596" s="28">
        <v>45274.0</v>
      </c>
      <c r="P596" s="35" t="s">
        <v>2413</v>
      </c>
      <c r="Q596" s="12"/>
      <c r="R596" s="12"/>
      <c r="S596" s="12"/>
      <c r="T596" s="52">
        <v>45258.0</v>
      </c>
      <c r="U596" s="52">
        <v>45259.0</v>
      </c>
      <c r="V596" s="52">
        <v>45274.0</v>
      </c>
      <c r="W596" s="30"/>
      <c r="X596" s="30"/>
      <c r="Y596" s="31"/>
      <c r="Z596" s="31"/>
      <c r="AA596" s="31"/>
      <c r="AB596" s="74" t="s">
        <v>2414</v>
      </c>
      <c r="AC596" s="74"/>
    </row>
    <row r="597" ht="16.5" customHeight="1">
      <c r="A597" s="48" t="s">
        <v>2415</v>
      </c>
      <c r="B597" s="53" t="s">
        <v>2416</v>
      </c>
      <c r="C597" s="47">
        <v>0.0</v>
      </c>
      <c r="D597" s="70" t="s">
        <v>2417</v>
      </c>
      <c r="E597" s="55" t="s">
        <v>1119</v>
      </c>
      <c r="F597" s="32" t="s">
        <v>33</v>
      </c>
      <c r="G597" s="32" t="s">
        <v>35</v>
      </c>
      <c r="H597" s="71" t="s">
        <v>35</v>
      </c>
      <c r="I597" s="71" t="s">
        <v>36</v>
      </c>
      <c r="J597" s="34" t="s">
        <v>65</v>
      </c>
      <c r="K597" s="57" t="s">
        <v>38</v>
      </c>
      <c r="L597" s="72">
        <v>10071.0</v>
      </c>
      <c r="M597" s="27"/>
      <c r="N597" s="73"/>
      <c r="O597" s="28">
        <v>45265.0</v>
      </c>
      <c r="P597" s="26"/>
      <c r="Q597" s="12"/>
      <c r="R597" s="12"/>
      <c r="S597" s="12"/>
      <c r="T597" s="52">
        <v>45258.0</v>
      </c>
      <c r="U597" s="52">
        <v>45260.0</v>
      </c>
      <c r="V597" s="52">
        <v>45264.0</v>
      </c>
      <c r="W597" s="30"/>
      <c r="X597" s="30"/>
      <c r="Y597" s="31"/>
      <c r="Z597" s="31"/>
      <c r="AA597" s="31"/>
      <c r="AB597" s="74" t="s">
        <v>2418</v>
      </c>
      <c r="AC597" s="74"/>
    </row>
    <row r="598" ht="16.5" customHeight="1">
      <c r="A598" s="48" t="s">
        <v>2419</v>
      </c>
      <c r="B598" s="53" t="s">
        <v>974</v>
      </c>
      <c r="C598" s="47">
        <v>0.0</v>
      </c>
      <c r="D598" s="70" t="s">
        <v>2420</v>
      </c>
      <c r="E598" s="55" t="s">
        <v>98</v>
      </c>
      <c r="F598" s="32" t="s">
        <v>33</v>
      </c>
      <c r="G598" s="32" t="s">
        <v>34</v>
      </c>
      <c r="H598" s="71" t="s">
        <v>35</v>
      </c>
      <c r="I598" s="71" t="s">
        <v>36</v>
      </c>
      <c r="J598" s="34" t="s">
        <v>203</v>
      </c>
      <c r="K598" s="57" t="s">
        <v>38</v>
      </c>
      <c r="L598" s="72">
        <v>10170.0</v>
      </c>
      <c r="M598" s="22"/>
      <c r="N598" s="73"/>
      <c r="O598" s="28">
        <v>45296.0</v>
      </c>
      <c r="P598" s="35" t="s">
        <v>2421</v>
      </c>
      <c r="Q598" s="12"/>
      <c r="R598" s="12"/>
      <c r="S598" s="12"/>
      <c r="T598" s="52">
        <v>45258.0</v>
      </c>
      <c r="U598" s="52">
        <v>45258.0</v>
      </c>
      <c r="V598" s="52">
        <v>45264.0</v>
      </c>
      <c r="W598" s="30"/>
      <c r="X598" s="30"/>
      <c r="Y598" s="31"/>
      <c r="Z598" s="31"/>
      <c r="AA598" s="31"/>
      <c r="AB598" s="74" t="s">
        <v>2422</v>
      </c>
      <c r="AC598" s="74"/>
    </row>
    <row r="599" ht="16.5" customHeight="1">
      <c r="A599" s="48" t="s">
        <v>2423</v>
      </c>
      <c r="B599" s="53" t="s">
        <v>974</v>
      </c>
      <c r="C599" s="47">
        <v>0.0</v>
      </c>
      <c r="D599" s="70" t="s">
        <v>2424</v>
      </c>
      <c r="E599" s="55" t="s">
        <v>988</v>
      </c>
      <c r="F599" s="32" t="s">
        <v>33</v>
      </c>
      <c r="G599" s="32" t="s">
        <v>34</v>
      </c>
      <c r="H599" s="71" t="s">
        <v>35</v>
      </c>
      <c r="I599" s="71" t="s">
        <v>36</v>
      </c>
      <c r="J599" s="34" t="s">
        <v>203</v>
      </c>
      <c r="K599" s="57" t="s">
        <v>38</v>
      </c>
      <c r="L599" s="72">
        <v>10170.0</v>
      </c>
      <c r="M599" s="22"/>
      <c r="N599" s="73"/>
      <c r="O599" s="28">
        <v>45296.0</v>
      </c>
      <c r="P599" s="35" t="s">
        <v>2421</v>
      </c>
      <c r="Q599" s="12"/>
      <c r="R599" s="12"/>
      <c r="S599" s="12"/>
      <c r="T599" s="52">
        <v>45258.0</v>
      </c>
      <c r="U599" s="52">
        <v>45291.0</v>
      </c>
      <c r="V599" s="52">
        <v>45301.0</v>
      </c>
      <c r="W599" s="30"/>
      <c r="X599" s="30"/>
      <c r="Y599" s="31"/>
      <c r="Z599" s="31"/>
      <c r="AA599" s="31"/>
      <c r="AB599" s="74" t="s">
        <v>2425</v>
      </c>
      <c r="AC599" s="74"/>
    </row>
    <row r="600" ht="16.5" customHeight="1">
      <c r="A600" s="48" t="s">
        <v>2426</v>
      </c>
      <c r="B600" s="53" t="s">
        <v>2402</v>
      </c>
      <c r="C600" s="47">
        <v>0.0</v>
      </c>
      <c r="D600" s="70" t="s">
        <v>2427</v>
      </c>
      <c r="E600" s="55" t="s">
        <v>79</v>
      </c>
      <c r="F600" s="32" t="s">
        <v>33</v>
      </c>
      <c r="G600" s="32" t="s">
        <v>35</v>
      </c>
      <c r="H600" s="71" t="s">
        <v>35</v>
      </c>
      <c r="I600" s="71" t="s">
        <v>36</v>
      </c>
      <c r="J600" s="34" t="s">
        <v>65</v>
      </c>
      <c r="K600" s="57" t="s">
        <v>38</v>
      </c>
      <c r="L600" s="72">
        <v>10054.0</v>
      </c>
      <c r="M600" s="27"/>
      <c r="N600" s="73"/>
      <c r="O600" s="28">
        <v>45264.0</v>
      </c>
      <c r="P600" s="26"/>
      <c r="Q600" s="12"/>
      <c r="R600" s="12"/>
      <c r="S600" s="12"/>
      <c r="T600" s="52">
        <v>45258.0</v>
      </c>
      <c r="U600" s="52">
        <v>45259.0</v>
      </c>
      <c r="V600" s="52">
        <v>45264.0</v>
      </c>
      <c r="W600" s="30"/>
      <c r="X600" s="30"/>
      <c r="Y600" s="31"/>
      <c r="Z600" s="31"/>
      <c r="AA600" s="31"/>
      <c r="AB600" s="74" t="s">
        <v>2428</v>
      </c>
      <c r="AC600" s="74"/>
    </row>
    <row r="601" ht="16.5" customHeight="1">
      <c r="A601" s="48" t="s">
        <v>2429</v>
      </c>
      <c r="B601" s="53" t="s">
        <v>1886</v>
      </c>
      <c r="C601" s="47">
        <v>0.0</v>
      </c>
      <c r="D601" s="70" t="s">
        <v>2430</v>
      </c>
      <c r="E601" s="55" t="s">
        <v>2431</v>
      </c>
      <c r="F601" s="32" t="s">
        <v>244</v>
      </c>
      <c r="G601" s="32" t="s">
        <v>35</v>
      </c>
      <c r="H601" s="71" t="s">
        <v>35</v>
      </c>
      <c r="I601" s="71" t="s">
        <v>36</v>
      </c>
      <c r="J601" s="34" t="s">
        <v>49</v>
      </c>
      <c r="K601" s="57" t="s">
        <v>38</v>
      </c>
      <c r="L601" s="72">
        <v>10070.0</v>
      </c>
      <c r="M601" s="22"/>
      <c r="N601" s="73"/>
      <c r="O601" s="28">
        <v>45265.0</v>
      </c>
      <c r="P601" s="35" t="s">
        <v>479</v>
      </c>
      <c r="Q601" s="12"/>
      <c r="R601" s="12"/>
      <c r="S601" s="12"/>
      <c r="T601" s="52">
        <v>45258.0</v>
      </c>
      <c r="U601" s="52">
        <v>45259.0</v>
      </c>
      <c r="V601" s="52">
        <v>45264.0</v>
      </c>
      <c r="W601" s="30"/>
      <c r="X601" s="30"/>
      <c r="Y601" s="31"/>
      <c r="Z601" s="31"/>
      <c r="AA601" s="31"/>
      <c r="AB601" s="74" t="s">
        <v>2432</v>
      </c>
      <c r="AC601" s="74"/>
    </row>
    <row r="602" ht="16.5" customHeight="1">
      <c r="A602" s="48" t="s">
        <v>2433</v>
      </c>
      <c r="B602" s="53" t="s">
        <v>281</v>
      </c>
      <c r="C602" s="47">
        <v>0.0</v>
      </c>
      <c r="D602" s="70" t="s">
        <v>2434</v>
      </c>
      <c r="E602" s="55" t="s">
        <v>117</v>
      </c>
      <c r="F602" s="32" t="s">
        <v>33</v>
      </c>
      <c r="G602" s="32" t="s">
        <v>35</v>
      </c>
      <c r="H602" s="71" t="s">
        <v>35</v>
      </c>
      <c r="I602" s="71" t="s">
        <v>36</v>
      </c>
      <c r="J602" s="34" t="s">
        <v>37</v>
      </c>
      <c r="K602" s="57" t="s">
        <v>283</v>
      </c>
      <c r="L602" s="72">
        <v>10053.0</v>
      </c>
      <c r="M602" s="22"/>
      <c r="N602" s="73"/>
      <c r="O602" s="28">
        <v>45264.0</v>
      </c>
      <c r="P602" s="35" t="s">
        <v>2435</v>
      </c>
      <c r="Q602" s="12"/>
      <c r="R602" s="12"/>
      <c r="S602" s="12"/>
      <c r="T602" s="52">
        <v>45258.0</v>
      </c>
      <c r="U602" s="52">
        <v>45258.0</v>
      </c>
      <c r="V602" s="52">
        <v>45264.0</v>
      </c>
      <c r="W602" s="30"/>
      <c r="X602" s="30"/>
      <c r="Y602" s="31"/>
      <c r="Z602" s="31"/>
      <c r="AA602" s="31"/>
      <c r="AB602" s="74" t="s">
        <v>2436</v>
      </c>
      <c r="AC602" s="74"/>
    </row>
    <row r="603" ht="16.5" customHeight="1">
      <c r="A603" s="48" t="s">
        <v>2437</v>
      </c>
      <c r="B603" s="53" t="s">
        <v>281</v>
      </c>
      <c r="C603" s="47">
        <v>0.0</v>
      </c>
      <c r="D603" s="70" t="s">
        <v>2438</v>
      </c>
      <c r="E603" s="55" t="s">
        <v>117</v>
      </c>
      <c r="F603" s="32" t="s">
        <v>33</v>
      </c>
      <c r="G603" s="32" t="s">
        <v>35</v>
      </c>
      <c r="H603" s="71" t="s">
        <v>35</v>
      </c>
      <c r="I603" s="71" t="s">
        <v>36</v>
      </c>
      <c r="J603" s="34" t="s">
        <v>37</v>
      </c>
      <c r="K603" s="57" t="s">
        <v>283</v>
      </c>
      <c r="L603" s="72">
        <v>10053.0</v>
      </c>
      <c r="M603" s="22"/>
      <c r="N603" s="73"/>
      <c r="O603" s="28">
        <v>45264.0</v>
      </c>
      <c r="P603" s="35" t="s">
        <v>2435</v>
      </c>
      <c r="Q603" s="12"/>
      <c r="R603" s="12"/>
      <c r="S603" s="12"/>
      <c r="T603" s="52">
        <v>45258.0</v>
      </c>
      <c r="U603" s="52">
        <v>45258.0</v>
      </c>
      <c r="V603" s="52">
        <v>45264.0</v>
      </c>
      <c r="W603" s="30"/>
      <c r="X603" s="30"/>
      <c r="Y603" s="31"/>
      <c r="Z603" s="31"/>
      <c r="AA603" s="31"/>
      <c r="AB603" s="74" t="s">
        <v>2439</v>
      </c>
      <c r="AC603" s="74"/>
    </row>
    <row r="604" ht="16.5" customHeight="1">
      <c r="A604" s="48" t="s">
        <v>2440</v>
      </c>
      <c r="B604" s="53" t="s">
        <v>2441</v>
      </c>
      <c r="C604" s="47">
        <v>0.0</v>
      </c>
      <c r="D604" s="70" t="s">
        <v>2442</v>
      </c>
      <c r="E604" s="55" t="s">
        <v>701</v>
      </c>
      <c r="F604" s="32" t="s">
        <v>33</v>
      </c>
      <c r="G604" s="32" t="s">
        <v>35</v>
      </c>
      <c r="H604" s="71" t="s">
        <v>35</v>
      </c>
      <c r="I604" s="71" t="s">
        <v>36</v>
      </c>
      <c r="J604" s="34" t="s">
        <v>37</v>
      </c>
      <c r="K604" s="57" t="s">
        <v>447</v>
      </c>
      <c r="L604" s="72">
        <v>10104.0</v>
      </c>
      <c r="M604" s="27"/>
      <c r="N604" s="76"/>
      <c r="O604" s="28">
        <v>45274.0</v>
      </c>
      <c r="P604" s="26"/>
      <c r="Q604" s="12"/>
      <c r="R604" s="12"/>
      <c r="S604" s="12"/>
      <c r="T604" s="52">
        <v>45258.0</v>
      </c>
      <c r="U604" s="52">
        <v>45259.0</v>
      </c>
      <c r="V604" s="52">
        <v>45272.0</v>
      </c>
      <c r="W604" s="30"/>
      <c r="X604" s="30"/>
      <c r="Y604" s="31"/>
      <c r="Z604" s="31"/>
      <c r="AA604" s="31"/>
      <c r="AB604" s="74" t="s">
        <v>2443</v>
      </c>
      <c r="AC604" s="74"/>
    </row>
    <row r="605" ht="16.5" customHeight="1">
      <c r="A605" s="48" t="s">
        <v>2444</v>
      </c>
      <c r="B605" s="53" t="s">
        <v>2445</v>
      </c>
      <c r="C605" s="47">
        <v>0.0</v>
      </c>
      <c r="D605" s="70" t="s">
        <v>2446</v>
      </c>
      <c r="E605" s="55" t="s">
        <v>251</v>
      </c>
      <c r="F605" s="32" t="s">
        <v>33</v>
      </c>
      <c r="G605" s="32" t="s">
        <v>35</v>
      </c>
      <c r="H605" s="71" t="s">
        <v>35</v>
      </c>
      <c r="I605" s="71" t="s">
        <v>36</v>
      </c>
      <c r="J605" s="34" t="s">
        <v>49</v>
      </c>
      <c r="K605" s="57" t="s">
        <v>38</v>
      </c>
      <c r="L605" s="72">
        <v>10069.0</v>
      </c>
      <c r="M605" s="27"/>
      <c r="N605" s="73"/>
      <c r="O605" s="28">
        <v>45265.0</v>
      </c>
      <c r="P605" s="26"/>
      <c r="Q605" s="12"/>
      <c r="R605" s="12"/>
      <c r="S605" s="12"/>
      <c r="T605" s="52">
        <v>45258.0</v>
      </c>
      <c r="U605" s="52">
        <v>45259.0</v>
      </c>
      <c r="V605" s="52">
        <v>45264.0</v>
      </c>
      <c r="W605" s="30"/>
      <c r="X605" s="30"/>
      <c r="Y605" s="31"/>
      <c r="Z605" s="31"/>
      <c r="AA605" s="31"/>
      <c r="AB605" s="74" t="s">
        <v>2447</v>
      </c>
      <c r="AC605" s="74"/>
    </row>
    <row r="606" ht="16.5" customHeight="1">
      <c r="A606" s="48" t="s">
        <v>2448</v>
      </c>
      <c r="B606" s="53" t="s">
        <v>2449</v>
      </c>
      <c r="C606" s="47">
        <v>0.0</v>
      </c>
      <c r="D606" s="70" t="s">
        <v>2450</v>
      </c>
      <c r="E606" s="55" t="s">
        <v>701</v>
      </c>
      <c r="F606" s="32" t="s">
        <v>33</v>
      </c>
      <c r="G606" s="32" t="s">
        <v>35</v>
      </c>
      <c r="H606" s="71" t="s">
        <v>35</v>
      </c>
      <c r="I606" s="71" t="s">
        <v>36</v>
      </c>
      <c r="J606" s="34" t="s">
        <v>65</v>
      </c>
      <c r="K606" s="57" t="s">
        <v>38</v>
      </c>
      <c r="L606" s="72">
        <v>10022.0</v>
      </c>
      <c r="M606" s="22"/>
      <c r="N606" s="76"/>
      <c r="O606" s="28">
        <v>45259.0</v>
      </c>
      <c r="P606" s="35" t="s">
        <v>2451</v>
      </c>
      <c r="Q606" s="12"/>
      <c r="R606" s="12"/>
      <c r="S606" s="12"/>
      <c r="T606" s="52">
        <v>45258.0</v>
      </c>
      <c r="U606" s="52">
        <v>45259.0</v>
      </c>
      <c r="V606" s="52">
        <v>45259.0</v>
      </c>
      <c r="W606" s="30"/>
      <c r="X606" s="30"/>
      <c r="Y606" s="31"/>
      <c r="Z606" s="31"/>
      <c r="AA606" s="31"/>
      <c r="AB606" s="74" t="s">
        <v>2452</v>
      </c>
      <c r="AC606" s="74"/>
    </row>
    <row r="607" ht="16.5" customHeight="1">
      <c r="A607" s="48" t="s">
        <v>2453</v>
      </c>
      <c r="B607" s="53" t="s">
        <v>2454</v>
      </c>
      <c r="C607" s="47">
        <v>0.0</v>
      </c>
      <c r="D607" s="70"/>
      <c r="E607" s="55" t="s">
        <v>79</v>
      </c>
      <c r="F607" s="32" t="s">
        <v>33</v>
      </c>
      <c r="G607" s="32" t="s">
        <v>35</v>
      </c>
      <c r="H607" s="71" t="s">
        <v>35</v>
      </c>
      <c r="I607" s="71" t="s">
        <v>665</v>
      </c>
      <c r="J607" s="34" t="s">
        <v>65</v>
      </c>
      <c r="K607" s="57" t="s">
        <v>38</v>
      </c>
      <c r="L607" s="72">
        <v>10052.0</v>
      </c>
      <c r="M607" s="22"/>
      <c r="N607" s="73"/>
      <c r="O607" s="28">
        <v>45264.0</v>
      </c>
      <c r="P607" s="35" t="s">
        <v>2455</v>
      </c>
      <c r="Q607" s="12"/>
      <c r="R607" s="12"/>
      <c r="S607" s="12"/>
      <c r="T607" s="52">
        <v>45258.0</v>
      </c>
      <c r="U607" s="52">
        <v>45259.0</v>
      </c>
      <c r="V607" s="52">
        <v>45264.0</v>
      </c>
      <c r="W607" s="30"/>
      <c r="X607" s="30"/>
      <c r="Y607" s="31"/>
      <c r="Z607" s="31"/>
      <c r="AA607" s="31"/>
      <c r="AB607" s="74" t="s">
        <v>2456</v>
      </c>
      <c r="AC607" s="74"/>
    </row>
    <row r="608" ht="16.5" customHeight="1">
      <c r="A608" s="48" t="s">
        <v>2457</v>
      </c>
      <c r="B608" s="53" t="s">
        <v>2458</v>
      </c>
      <c r="C608" s="47">
        <v>0.0</v>
      </c>
      <c r="D608" s="70" t="s">
        <v>2459</v>
      </c>
      <c r="E608" s="55" t="s">
        <v>713</v>
      </c>
      <c r="F608" s="32" t="s">
        <v>33</v>
      </c>
      <c r="G608" s="32" t="s">
        <v>34</v>
      </c>
      <c r="H608" s="71" t="s">
        <v>35</v>
      </c>
      <c r="I608" s="71" t="s">
        <v>36</v>
      </c>
      <c r="J608" s="34" t="s">
        <v>339</v>
      </c>
      <c r="K608" s="57" t="s">
        <v>38</v>
      </c>
      <c r="L608" s="72" t="s">
        <v>2460</v>
      </c>
      <c r="M608" s="22"/>
      <c r="N608" s="76"/>
      <c r="O608" s="28">
        <v>45280.0</v>
      </c>
      <c r="P608" s="35" t="s">
        <v>2461</v>
      </c>
      <c r="Q608" s="12"/>
      <c r="R608" s="12"/>
      <c r="S608" s="12"/>
      <c r="T608" s="52">
        <v>45258.0</v>
      </c>
      <c r="U608" s="52">
        <v>45259.0</v>
      </c>
      <c r="V608" s="52">
        <v>45280.0</v>
      </c>
      <c r="W608" s="30"/>
      <c r="X608" s="30"/>
      <c r="Y608" s="31"/>
      <c r="Z608" s="31"/>
      <c r="AA608" s="31"/>
      <c r="AB608" s="74" t="s">
        <v>2462</v>
      </c>
      <c r="AC608" s="74"/>
    </row>
    <row r="609" ht="16.5" customHeight="1">
      <c r="A609" s="48" t="s">
        <v>2463</v>
      </c>
      <c r="B609" s="53" t="s">
        <v>2458</v>
      </c>
      <c r="C609" s="47">
        <v>0.0</v>
      </c>
      <c r="D609" s="70" t="s">
        <v>2464</v>
      </c>
      <c r="E609" s="55" t="s">
        <v>713</v>
      </c>
      <c r="F609" s="32" t="s">
        <v>33</v>
      </c>
      <c r="G609" s="32" t="s">
        <v>34</v>
      </c>
      <c r="H609" s="71" t="s">
        <v>35</v>
      </c>
      <c r="I609" s="71" t="s">
        <v>36</v>
      </c>
      <c r="J609" s="34" t="s">
        <v>339</v>
      </c>
      <c r="K609" s="57" t="s">
        <v>38</v>
      </c>
      <c r="L609" s="72" t="s">
        <v>2460</v>
      </c>
      <c r="M609" s="22"/>
      <c r="N609" s="73"/>
      <c r="O609" s="28">
        <v>45280.0</v>
      </c>
      <c r="P609" s="35" t="s">
        <v>2461</v>
      </c>
      <c r="Q609" s="12"/>
      <c r="R609" s="12"/>
      <c r="S609" s="12"/>
      <c r="T609" s="52">
        <v>45258.0</v>
      </c>
      <c r="U609" s="52">
        <v>45259.0</v>
      </c>
      <c r="V609" s="52">
        <v>45266.0</v>
      </c>
      <c r="W609" s="30"/>
      <c r="X609" s="30"/>
      <c r="Y609" s="31"/>
      <c r="Z609" s="31"/>
      <c r="AA609" s="31"/>
      <c r="AB609" s="74" t="s">
        <v>2465</v>
      </c>
      <c r="AC609" s="74"/>
    </row>
    <row r="610" ht="16.5" customHeight="1">
      <c r="A610" s="48" t="s">
        <v>2466</v>
      </c>
      <c r="B610" s="53" t="s">
        <v>381</v>
      </c>
      <c r="C610" s="47">
        <v>0.0</v>
      </c>
      <c r="D610" s="70" t="s">
        <v>2467</v>
      </c>
      <c r="E610" s="55" t="s">
        <v>257</v>
      </c>
      <c r="F610" s="32" t="s">
        <v>244</v>
      </c>
      <c r="G610" s="32" t="s">
        <v>35</v>
      </c>
      <c r="H610" s="71" t="s">
        <v>35</v>
      </c>
      <c r="I610" s="71" t="s">
        <v>36</v>
      </c>
      <c r="J610" s="34" t="s">
        <v>37</v>
      </c>
      <c r="K610" s="57" t="s">
        <v>384</v>
      </c>
      <c r="L610" s="72">
        <v>10177.0</v>
      </c>
      <c r="M610" s="22"/>
      <c r="N610" s="76"/>
      <c r="O610" s="28">
        <v>45295.0</v>
      </c>
      <c r="P610" s="35" t="s">
        <v>2468</v>
      </c>
      <c r="Q610" s="12"/>
      <c r="R610" s="12"/>
      <c r="S610" s="12"/>
      <c r="T610" s="52">
        <v>45259.0</v>
      </c>
      <c r="U610" s="52">
        <v>45272.0</v>
      </c>
      <c r="V610" s="52">
        <v>45289.0</v>
      </c>
      <c r="W610" s="30"/>
      <c r="X610" s="30"/>
      <c r="Y610" s="31"/>
      <c r="Z610" s="31"/>
      <c r="AA610" s="31"/>
      <c r="AB610" s="74" t="s">
        <v>2469</v>
      </c>
      <c r="AC610" s="74"/>
    </row>
    <row r="611" ht="16.5" customHeight="1">
      <c r="A611" s="48" t="s">
        <v>2470</v>
      </c>
      <c r="B611" s="53" t="s">
        <v>716</v>
      </c>
      <c r="C611" s="47">
        <v>0.0</v>
      </c>
      <c r="D611" s="70" t="s">
        <v>2471</v>
      </c>
      <c r="E611" s="55" t="s">
        <v>177</v>
      </c>
      <c r="F611" s="32" t="s">
        <v>48</v>
      </c>
      <c r="G611" s="32" t="s">
        <v>35</v>
      </c>
      <c r="H611" s="71" t="s">
        <v>35</v>
      </c>
      <c r="I611" s="71" t="s">
        <v>36</v>
      </c>
      <c r="J611" s="34" t="s">
        <v>49</v>
      </c>
      <c r="K611" s="57" t="s">
        <v>38</v>
      </c>
      <c r="L611" s="72">
        <v>10248.0</v>
      </c>
      <c r="M611" s="22"/>
      <c r="N611" s="73"/>
      <c r="O611" s="28">
        <v>45309.0</v>
      </c>
      <c r="P611" s="35" t="s">
        <v>2472</v>
      </c>
      <c r="Q611" s="12"/>
      <c r="R611" s="12"/>
      <c r="S611" s="12"/>
      <c r="T611" s="52">
        <v>45259.0</v>
      </c>
      <c r="U611" s="52">
        <v>45306.0</v>
      </c>
      <c r="V611" s="52">
        <v>45309.0</v>
      </c>
      <c r="W611" s="30"/>
      <c r="X611" s="30"/>
      <c r="Y611" s="31"/>
      <c r="Z611" s="31"/>
      <c r="AA611" s="31"/>
      <c r="AB611" s="74" t="s">
        <v>2473</v>
      </c>
      <c r="AC611" s="74"/>
    </row>
    <row r="612" ht="16.5" customHeight="1">
      <c r="A612" s="48" t="s">
        <v>2474</v>
      </c>
      <c r="B612" s="53" t="s">
        <v>631</v>
      </c>
      <c r="C612" s="47">
        <v>0.0</v>
      </c>
      <c r="D612" s="70"/>
      <c r="E612" s="55" t="s">
        <v>1040</v>
      </c>
      <c r="F612" s="32" t="s">
        <v>33</v>
      </c>
      <c r="G612" s="32" t="s">
        <v>35</v>
      </c>
      <c r="H612" s="71" t="s">
        <v>35</v>
      </c>
      <c r="I612" s="71" t="s">
        <v>36</v>
      </c>
      <c r="J612" s="34" t="s">
        <v>65</v>
      </c>
      <c r="K612" s="57" t="s">
        <v>38</v>
      </c>
      <c r="L612" s="72">
        <v>10063.0</v>
      </c>
      <c r="M612" s="22"/>
      <c r="N612" s="73"/>
      <c r="O612" s="28">
        <v>45264.0</v>
      </c>
      <c r="P612" s="35" t="s">
        <v>2475</v>
      </c>
      <c r="Q612" s="12"/>
      <c r="R612" s="12"/>
      <c r="S612" s="12"/>
      <c r="T612" s="52">
        <v>45259.0</v>
      </c>
      <c r="U612" s="52">
        <v>45260.0</v>
      </c>
      <c r="V612" s="52">
        <v>45264.0</v>
      </c>
      <c r="W612" s="30"/>
      <c r="X612" s="30"/>
      <c r="Y612" s="31"/>
      <c r="Z612" s="31"/>
      <c r="AA612" s="31"/>
      <c r="AB612" s="74" t="s">
        <v>2476</v>
      </c>
      <c r="AC612" s="74"/>
    </row>
    <row r="613" ht="16.5" customHeight="1">
      <c r="A613" s="48" t="s">
        <v>2477</v>
      </c>
      <c r="B613" s="53" t="s">
        <v>169</v>
      </c>
      <c r="C613" s="47">
        <v>0.0</v>
      </c>
      <c r="D613" s="70" t="s">
        <v>2478</v>
      </c>
      <c r="E613" s="55" t="s">
        <v>701</v>
      </c>
      <c r="F613" s="32" t="s">
        <v>33</v>
      </c>
      <c r="G613" s="32" t="s">
        <v>35</v>
      </c>
      <c r="H613" s="71" t="s">
        <v>35</v>
      </c>
      <c r="I613" s="71" t="s">
        <v>36</v>
      </c>
      <c r="J613" s="34" t="s">
        <v>65</v>
      </c>
      <c r="K613" s="57" t="s">
        <v>38</v>
      </c>
      <c r="L613" s="72">
        <v>10078.0</v>
      </c>
      <c r="M613" s="27"/>
      <c r="N613" s="73"/>
      <c r="O613" s="28">
        <v>45266.0</v>
      </c>
      <c r="P613" s="26"/>
      <c r="Q613" s="12"/>
      <c r="R613" s="12"/>
      <c r="S613" s="12"/>
      <c r="T613" s="52">
        <v>45259.0</v>
      </c>
      <c r="U613" s="52">
        <v>45260.0</v>
      </c>
      <c r="V613" s="52">
        <v>45266.0</v>
      </c>
      <c r="W613" s="30"/>
      <c r="X613" s="30"/>
      <c r="Y613" s="31"/>
      <c r="Z613" s="31"/>
      <c r="AA613" s="31"/>
      <c r="AB613" s="74" t="s">
        <v>2479</v>
      </c>
      <c r="AC613" s="74"/>
    </row>
    <row r="614" ht="16.5" customHeight="1">
      <c r="A614" s="48" t="s">
        <v>2480</v>
      </c>
      <c r="B614" s="53" t="s">
        <v>2481</v>
      </c>
      <c r="C614" s="47">
        <v>0.0</v>
      </c>
      <c r="D614" s="70" t="s">
        <v>2482</v>
      </c>
      <c r="E614" s="55" t="s">
        <v>1530</v>
      </c>
      <c r="F614" s="32" t="s">
        <v>33</v>
      </c>
      <c r="G614" s="32" t="s">
        <v>34</v>
      </c>
      <c r="H614" s="71" t="s">
        <v>35</v>
      </c>
      <c r="I614" s="71" t="s">
        <v>36</v>
      </c>
      <c r="J614" s="34" t="s">
        <v>92</v>
      </c>
      <c r="K614" s="57" t="s">
        <v>38</v>
      </c>
      <c r="L614" s="72">
        <v>10085.0</v>
      </c>
      <c r="M614" s="27"/>
      <c r="N614" s="76"/>
      <c r="O614" s="28">
        <v>45267.0</v>
      </c>
      <c r="P614" s="26"/>
      <c r="Q614" s="12"/>
      <c r="R614" s="12"/>
      <c r="S614" s="12"/>
      <c r="T614" s="52">
        <v>45244.0</v>
      </c>
      <c r="U614" s="52">
        <v>45252.0</v>
      </c>
      <c r="V614" s="52">
        <v>45257.0</v>
      </c>
      <c r="W614" s="30"/>
      <c r="X614" s="30"/>
      <c r="Y614" s="31"/>
      <c r="Z614" s="31"/>
      <c r="AA614" s="31"/>
      <c r="AB614" s="74" t="s">
        <v>2483</v>
      </c>
      <c r="AC614" s="74"/>
    </row>
    <row r="615" ht="16.5" customHeight="1">
      <c r="A615" s="48" t="s">
        <v>2480</v>
      </c>
      <c r="B615" s="53" t="s">
        <v>2484</v>
      </c>
      <c r="C615" s="47">
        <v>0.0</v>
      </c>
      <c r="D615" s="70" t="s">
        <v>2485</v>
      </c>
      <c r="E615" s="55" t="s">
        <v>117</v>
      </c>
      <c r="F615" s="32" t="s">
        <v>33</v>
      </c>
      <c r="G615" s="32" t="s">
        <v>35</v>
      </c>
      <c r="H615" s="71" t="s">
        <v>35</v>
      </c>
      <c r="I615" s="71" t="s">
        <v>36</v>
      </c>
      <c r="J615" s="34" t="s">
        <v>37</v>
      </c>
      <c r="K615" s="57" t="s">
        <v>447</v>
      </c>
      <c r="L615" s="72">
        <v>10086.0</v>
      </c>
      <c r="M615" s="27"/>
      <c r="N615" s="73"/>
      <c r="O615" s="28">
        <v>45267.0</v>
      </c>
      <c r="P615" s="26"/>
      <c r="Q615" s="12"/>
      <c r="R615" s="12"/>
      <c r="S615" s="12"/>
      <c r="T615" s="52">
        <v>45259.0</v>
      </c>
      <c r="U615" s="52">
        <v>45260.0</v>
      </c>
      <c r="V615" s="52">
        <v>45266.0</v>
      </c>
      <c r="W615" s="30"/>
      <c r="X615" s="30"/>
      <c r="Y615" s="31"/>
      <c r="Z615" s="31"/>
      <c r="AA615" s="31"/>
      <c r="AB615" s="74" t="s">
        <v>2486</v>
      </c>
      <c r="AC615" s="74"/>
    </row>
    <row r="616" ht="16.5" customHeight="1">
      <c r="A616" s="48" t="s">
        <v>2487</v>
      </c>
      <c r="B616" s="53" t="s">
        <v>2488</v>
      </c>
      <c r="C616" s="47">
        <v>0.0</v>
      </c>
      <c r="D616" s="70" t="s">
        <v>2489</v>
      </c>
      <c r="E616" s="55" t="s">
        <v>165</v>
      </c>
      <c r="F616" s="32" t="s">
        <v>33</v>
      </c>
      <c r="G616" s="32" t="s">
        <v>35</v>
      </c>
      <c r="H616" s="71" t="s">
        <v>35</v>
      </c>
      <c r="I616" s="71" t="s">
        <v>36</v>
      </c>
      <c r="J616" s="34" t="s">
        <v>37</v>
      </c>
      <c r="K616" s="57" t="s">
        <v>38</v>
      </c>
      <c r="L616" s="72">
        <v>10103.0</v>
      </c>
      <c r="M616" s="27"/>
      <c r="N616" s="76"/>
      <c r="O616" s="28">
        <v>45274.0</v>
      </c>
      <c r="P616" s="26"/>
      <c r="Q616" s="12"/>
      <c r="R616" s="12"/>
      <c r="S616" s="12"/>
      <c r="T616" s="52">
        <v>45260.0</v>
      </c>
      <c r="U616" s="52">
        <v>45260.0</v>
      </c>
      <c r="V616" s="52">
        <v>45272.0</v>
      </c>
      <c r="W616" s="30"/>
      <c r="X616" s="30"/>
      <c r="Y616" s="31"/>
      <c r="Z616" s="31"/>
      <c r="AA616" s="31"/>
      <c r="AB616" s="74" t="s">
        <v>2490</v>
      </c>
      <c r="AC616" s="74"/>
    </row>
    <row r="617" ht="16.5" customHeight="1">
      <c r="A617" s="48" t="s">
        <v>2491</v>
      </c>
      <c r="B617" s="53" t="s">
        <v>2488</v>
      </c>
      <c r="C617" s="47">
        <v>0.0</v>
      </c>
      <c r="D617" s="70" t="s">
        <v>2492</v>
      </c>
      <c r="E617" s="55" t="s">
        <v>165</v>
      </c>
      <c r="F617" s="32" t="s">
        <v>33</v>
      </c>
      <c r="G617" s="32" t="s">
        <v>35</v>
      </c>
      <c r="H617" s="71" t="s">
        <v>35</v>
      </c>
      <c r="I617" s="71" t="s">
        <v>36</v>
      </c>
      <c r="J617" s="34" t="s">
        <v>37</v>
      </c>
      <c r="K617" s="57" t="s">
        <v>38</v>
      </c>
      <c r="L617" s="72">
        <v>10103.0</v>
      </c>
      <c r="M617" s="27"/>
      <c r="N617" s="76"/>
      <c r="O617" s="28">
        <v>45274.0</v>
      </c>
      <c r="P617" s="26"/>
      <c r="Q617" s="12"/>
      <c r="R617" s="12"/>
      <c r="S617" s="12"/>
      <c r="T617" s="52">
        <v>45260.0</v>
      </c>
      <c r="U617" s="52">
        <v>45260.0</v>
      </c>
      <c r="V617" s="52">
        <v>45273.0</v>
      </c>
      <c r="W617" s="30"/>
      <c r="X617" s="30"/>
      <c r="Y617" s="31"/>
      <c r="Z617" s="31"/>
      <c r="AA617" s="31"/>
      <c r="AB617" s="74" t="s">
        <v>2493</v>
      </c>
      <c r="AC617" s="74"/>
    </row>
    <row r="618" ht="16.5" customHeight="1">
      <c r="A618" s="48" t="s">
        <v>2494</v>
      </c>
      <c r="B618" s="53" t="s">
        <v>2488</v>
      </c>
      <c r="C618" s="47">
        <v>0.0</v>
      </c>
      <c r="D618" s="70" t="s">
        <v>2495</v>
      </c>
      <c r="E618" s="55" t="s">
        <v>1077</v>
      </c>
      <c r="F618" s="32" t="s">
        <v>33</v>
      </c>
      <c r="G618" s="32" t="s">
        <v>35</v>
      </c>
      <c r="H618" s="71" t="s">
        <v>35</v>
      </c>
      <c r="I618" s="71" t="s">
        <v>36</v>
      </c>
      <c r="J618" s="34" t="s">
        <v>37</v>
      </c>
      <c r="K618" s="57" t="s">
        <v>38</v>
      </c>
      <c r="L618" s="72">
        <v>10068.0</v>
      </c>
      <c r="M618" s="27"/>
      <c r="N618" s="73"/>
      <c r="O618" s="28">
        <v>45265.0</v>
      </c>
      <c r="P618" s="26"/>
      <c r="Q618" s="12"/>
      <c r="R618" s="12"/>
      <c r="S618" s="12"/>
      <c r="T618" s="52">
        <v>45260.0</v>
      </c>
      <c r="U618" s="52">
        <v>45260.0</v>
      </c>
      <c r="V618" s="52">
        <v>45264.0</v>
      </c>
      <c r="W618" s="30"/>
      <c r="X618" s="30"/>
      <c r="Y618" s="31"/>
      <c r="Z618" s="31"/>
      <c r="AA618" s="31"/>
      <c r="AB618" s="74" t="s">
        <v>2496</v>
      </c>
      <c r="AC618" s="74"/>
    </row>
    <row r="619" ht="16.5" customHeight="1">
      <c r="A619" s="48" t="s">
        <v>2497</v>
      </c>
      <c r="B619" s="53" t="s">
        <v>2498</v>
      </c>
      <c r="C619" s="47">
        <v>0.0</v>
      </c>
      <c r="D619" s="70" t="s">
        <v>2499</v>
      </c>
      <c r="E619" s="55" t="s">
        <v>117</v>
      </c>
      <c r="F619" s="32" t="s">
        <v>33</v>
      </c>
      <c r="G619" s="32" t="s">
        <v>34</v>
      </c>
      <c r="H619" s="71" t="s">
        <v>35</v>
      </c>
      <c r="I619" s="71" t="s">
        <v>36</v>
      </c>
      <c r="J619" s="34" t="s">
        <v>49</v>
      </c>
      <c r="K619" s="57" t="s">
        <v>38</v>
      </c>
      <c r="L619" s="72">
        <v>10128.0</v>
      </c>
      <c r="M619" s="22"/>
      <c r="N619" s="76"/>
      <c r="O619" s="28">
        <v>45280.0</v>
      </c>
      <c r="P619" s="35" t="s">
        <v>2500</v>
      </c>
      <c r="Q619" s="12"/>
      <c r="R619" s="12"/>
      <c r="S619" s="12"/>
      <c r="T619" s="52">
        <v>45259.0</v>
      </c>
      <c r="U619" s="52">
        <v>45260.0</v>
      </c>
      <c r="V619" s="52">
        <v>45280.0</v>
      </c>
      <c r="W619" s="30"/>
      <c r="X619" s="30"/>
      <c r="Y619" s="31"/>
      <c r="Z619" s="31"/>
      <c r="AA619" s="31"/>
      <c r="AB619" s="74" t="s">
        <v>2501</v>
      </c>
      <c r="AC619" s="74"/>
    </row>
    <row r="620" ht="16.5" customHeight="1">
      <c r="A620" s="48" t="s">
        <v>2502</v>
      </c>
      <c r="B620" s="53" t="s">
        <v>812</v>
      </c>
      <c r="C620" s="47">
        <v>0.0</v>
      </c>
      <c r="D620" s="70" t="s">
        <v>2503</v>
      </c>
      <c r="E620" s="55" t="s">
        <v>177</v>
      </c>
      <c r="F620" s="32" t="s">
        <v>48</v>
      </c>
      <c r="G620" s="32" t="s">
        <v>35</v>
      </c>
      <c r="H620" s="71" t="s">
        <v>35</v>
      </c>
      <c r="I620" s="71" t="s">
        <v>36</v>
      </c>
      <c r="J620" s="34" t="s">
        <v>37</v>
      </c>
      <c r="K620" s="57" t="s">
        <v>814</v>
      </c>
      <c r="L620" s="72" t="s">
        <v>2504</v>
      </c>
      <c r="M620" s="22"/>
      <c r="N620" s="73"/>
      <c r="O620" s="28">
        <v>45308.0</v>
      </c>
      <c r="P620" s="35" t="s">
        <v>2505</v>
      </c>
      <c r="Q620" s="12"/>
      <c r="R620" s="12"/>
      <c r="S620" s="12"/>
      <c r="T620" s="52">
        <v>45260.0</v>
      </c>
      <c r="U620" s="52">
        <v>45305.0</v>
      </c>
      <c r="V620" s="52">
        <v>45308.0</v>
      </c>
      <c r="W620" s="30"/>
      <c r="X620" s="30"/>
      <c r="Y620" s="31"/>
      <c r="Z620" s="31"/>
      <c r="AA620" s="31"/>
      <c r="AB620" s="74" t="s">
        <v>2506</v>
      </c>
      <c r="AC620" s="74"/>
    </row>
    <row r="621" ht="16.5" customHeight="1">
      <c r="A621" s="48" t="s">
        <v>2507</v>
      </c>
      <c r="B621" s="53" t="s">
        <v>1280</v>
      </c>
      <c r="C621" s="47">
        <v>0.0</v>
      </c>
      <c r="D621" s="70" t="s">
        <v>2508</v>
      </c>
      <c r="E621" s="55" t="s">
        <v>701</v>
      </c>
      <c r="F621" s="32" t="s">
        <v>33</v>
      </c>
      <c r="G621" s="32" t="s">
        <v>35</v>
      </c>
      <c r="H621" s="71" t="s">
        <v>35</v>
      </c>
      <c r="I621" s="71" t="s">
        <v>36</v>
      </c>
      <c r="J621" s="34" t="s">
        <v>420</v>
      </c>
      <c r="K621" s="57" t="s">
        <v>38</v>
      </c>
      <c r="L621" s="72">
        <v>10118.0</v>
      </c>
      <c r="M621" s="27"/>
      <c r="N621" s="76"/>
      <c r="O621" s="28">
        <v>45278.0</v>
      </c>
      <c r="P621" s="26"/>
      <c r="Q621" s="12"/>
      <c r="R621" s="12"/>
      <c r="S621" s="12"/>
      <c r="T621" s="52">
        <v>45260.0</v>
      </c>
      <c r="U621" s="52">
        <v>45272.0</v>
      </c>
      <c r="V621" s="52">
        <v>45274.0</v>
      </c>
      <c r="W621" s="30"/>
      <c r="X621" s="30"/>
      <c r="Y621" s="31"/>
      <c r="Z621" s="31"/>
      <c r="AA621" s="31"/>
      <c r="AB621" s="74" t="s">
        <v>2509</v>
      </c>
      <c r="AC621" s="74"/>
    </row>
    <row r="622" ht="16.5" customHeight="1">
      <c r="A622" s="48" t="s">
        <v>2510</v>
      </c>
      <c r="B622" s="53" t="s">
        <v>2511</v>
      </c>
      <c r="C622" s="47">
        <v>0.0</v>
      </c>
      <c r="D622" s="70" t="s">
        <v>1015</v>
      </c>
      <c r="E622" s="55" t="s">
        <v>117</v>
      </c>
      <c r="F622" s="32" t="s">
        <v>33</v>
      </c>
      <c r="G622" s="32" t="s">
        <v>35</v>
      </c>
      <c r="H622" s="71" t="s">
        <v>35</v>
      </c>
      <c r="I622" s="71" t="s">
        <v>36</v>
      </c>
      <c r="J622" s="34" t="s">
        <v>65</v>
      </c>
      <c r="K622" s="57" t="s">
        <v>38</v>
      </c>
      <c r="L622" s="72">
        <v>10079.0</v>
      </c>
      <c r="M622" s="27"/>
      <c r="N622" s="73"/>
      <c r="O622" s="28">
        <v>45266.0</v>
      </c>
      <c r="P622" s="26"/>
      <c r="Q622" s="12"/>
      <c r="R622" s="12"/>
      <c r="S622" s="12"/>
      <c r="T622" s="52">
        <v>45260.0</v>
      </c>
      <c r="U622" s="52">
        <v>45264.0</v>
      </c>
      <c r="V622" s="52">
        <v>45266.0</v>
      </c>
      <c r="W622" s="30"/>
      <c r="X622" s="30"/>
      <c r="Y622" s="31"/>
      <c r="Z622" s="31"/>
      <c r="AA622" s="31"/>
      <c r="AB622" s="74" t="s">
        <v>2512</v>
      </c>
      <c r="AC622" s="74"/>
    </row>
    <row r="623" ht="16.5" customHeight="1">
      <c r="A623" s="48" t="s">
        <v>2513</v>
      </c>
      <c r="B623" s="53" t="s">
        <v>974</v>
      </c>
      <c r="C623" s="47">
        <v>0.0</v>
      </c>
      <c r="D623" s="70" t="s">
        <v>2514</v>
      </c>
      <c r="E623" s="55" t="s">
        <v>165</v>
      </c>
      <c r="F623" s="32" t="s">
        <v>33</v>
      </c>
      <c r="G623" s="32" t="s">
        <v>34</v>
      </c>
      <c r="H623" s="71" t="s">
        <v>35</v>
      </c>
      <c r="I623" s="71" t="s">
        <v>36</v>
      </c>
      <c r="J623" s="34" t="s">
        <v>203</v>
      </c>
      <c r="K623" s="57" t="s">
        <v>38</v>
      </c>
      <c r="L623" s="72">
        <v>10147.0</v>
      </c>
      <c r="M623" s="27"/>
      <c r="N623" s="76"/>
      <c r="O623" s="28">
        <v>45288.0</v>
      </c>
      <c r="P623" s="26"/>
      <c r="Q623" s="12"/>
      <c r="R623" s="12"/>
      <c r="S623" s="12"/>
      <c r="T623" s="52">
        <v>45260.0</v>
      </c>
      <c r="U623" s="52">
        <v>45272.0</v>
      </c>
      <c r="V623" s="52">
        <v>45288.0</v>
      </c>
      <c r="W623" s="30"/>
      <c r="X623" s="30"/>
      <c r="Y623" s="31"/>
      <c r="Z623" s="31"/>
      <c r="AA623" s="31"/>
      <c r="AB623" s="74" t="s">
        <v>2515</v>
      </c>
      <c r="AC623" s="74"/>
    </row>
    <row r="624" ht="16.5" customHeight="1">
      <c r="A624" s="48" t="s">
        <v>2516</v>
      </c>
      <c r="B624" s="53" t="s">
        <v>411</v>
      </c>
      <c r="C624" s="47">
        <v>0.0</v>
      </c>
      <c r="D624" s="70" t="s">
        <v>2517</v>
      </c>
      <c r="E624" s="55" t="s">
        <v>171</v>
      </c>
      <c r="F624" s="32" t="s">
        <v>48</v>
      </c>
      <c r="G624" s="32" t="s">
        <v>35</v>
      </c>
      <c r="H624" s="71" t="s">
        <v>35</v>
      </c>
      <c r="I624" s="71" t="s">
        <v>36</v>
      </c>
      <c r="J624" s="34" t="s">
        <v>37</v>
      </c>
      <c r="K624" s="57" t="s">
        <v>413</v>
      </c>
      <c r="L624" s="72" t="s">
        <v>2518</v>
      </c>
      <c r="M624" s="22"/>
      <c r="N624" s="73"/>
      <c r="O624" s="28">
        <v>45313.0</v>
      </c>
      <c r="P624" s="35" t="s">
        <v>2519</v>
      </c>
      <c r="Q624" s="12"/>
      <c r="R624" s="12"/>
      <c r="S624" s="12"/>
      <c r="T624" s="52">
        <v>45260.0</v>
      </c>
      <c r="U624" s="52">
        <v>45310.0</v>
      </c>
      <c r="V624" s="52">
        <v>45313.0</v>
      </c>
      <c r="W624" s="30"/>
      <c r="X624" s="30"/>
      <c r="Y624" s="31"/>
      <c r="Z624" s="31"/>
      <c r="AA624" s="31"/>
      <c r="AB624" s="74" t="s">
        <v>2520</v>
      </c>
      <c r="AC624" s="74"/>
    </row>
    <row r="625" ht="16.5" customHeight="1">
      <c r="A625" s="48" t="s">
        <v>2521</v>
      </c>
      <c r="B625" s="53" t="s">
        <v>1280</v>
      </c>
      <c r="C625" s="47">
        <v>0.0</v>
      </c>
      <c r="D625" s="70" t="s">
        <v>2522</v>
      </c>
      <c r="E625" s="55" t="s">
        <v>171</v>
      </c>
      <c r="F625" s="32" t="s">
        <v>48</v>
      </c>
      <c r="G625" s="32" t="s">
        <v>35</v>
      </c>
      <c r="H625" s="71" t="s">
        <v>35</v>
      </c>
      <c r="I625" s="71" t="s">
        <v>36</v>
      </c>
      <c r="J625" s="34" t="s">
        <v>420</v>
      </c>
      <c r="K625" s="57" t="s">
        <v>38</v>
      </c>
      <c r="L625" s="72">
        <v>10262.0</v>
      </c>
      <c r="M625" s="27"/>
      <c r="N625" s="73"/>
      <c r="O625" s="28">
        <v>45310.0</v>
      </c>
      <c r="P625" s="26"/>
      <c r="Q625" s="12"/>
      <c r="R625" s="12"/>
      <c r="S625" s="12"/>
      <c r="T625" s="52">
        <v>45260.0</v>
      </c>
      <c r="U625" s="52">
        <v>45307.0</v>
      </c>
      <c r="V625" s="52">
        <v>45310.0</v>
      </c>
      <c r="W625" s="30"/>
      <c r="X625" s="30"/>
      <c r="Y625" s="31"/>
      <c r="Z625" s="31"/>
      <c r="AA625" s="31"/>
      <c r="AB625" s="74" t="s">
        <v>2523</v>
      </c>
      <c r="AC625" s="74"/>
    </row>
    <row r="626" ht="16.5" customHeight="1">
      <c r="A626" s="48" t="s">
        <v>2524</v>
      </c>
      <c r="B626" s="53" t="s">
        <v>201</v>
      </c>
      <c r="C626" s="47">
        <v>0.0</v>
      </c>
      <c r="D626" s="70" t="s">
        <v>2525</v>
      </c>
      <c r="E626" s="55" t="s">
        <v>257</v>
      </c>
      <c r="F626" s="32" t="s">
        <v>244</v>
      </c>
      <c r="G626" s="32" t="s">
        <v>35</v>
      </c>
      <c r="H626" s="71" t="s">
        <v>35</v>
      </c>
      <c r="I626" s="71" t="s">
        <v>36</v>
      </c>
      <c r="J626" s="34" t="s">
        <v>49</v>
      </c>
      <c r="K626" s="57" t="s">
        <v>38</v>
      </c>
      <c r="L626" s="72">
        <v>10146.0</v>
      </c>
      <c r="M626" s="27"/>
      <c r="N626" s="76"/>
      <c r="O626" s="28">
        <v>45288.0</v>
      </c>
      <c r="P626" s="26"/>
      <c r="Q626" s="12"/>
      <c r="R626" s="12"/>
      <c r="S626" s="12"/>
      <c r="T626" s="52">
        <v>45260.0</v>
      </c>
      <c r="U626" s="52">
        <v>45261.0</v>
      </c>
      <c r="V626" s="52">
        <v>45279.0</v>
      </c>
      <c r="W626" s="30"/>
      <c r="X626" s="30"/>
      <c r="Y626" s="31"/>
      <c r="Z626" s="31"/>
      <c r="AA626" s="31"/>
      <c r="AB626" s="74" t="s">
        <v>2526</v>
      </c>
      <c r="AC626" s="74"/>
    </row>
    <row r="627" ht="16.5" customHeight="1">
      <c r="A627" s="48" t="s">
        <v>2527</v>
      </c>
      <c r="B627" s="53" t="s">
        <v>201</v>
      </c>
      <c r="C627" s="47">
        <v>0.0</v>
      </c>
      <c r="D627" s="70"/>
      <c r="E627" s="55" t="s">
        <v>1858</v>
      </c>
      <c r="F627" s="32" t="s">
        <v>33</v>
      </c>
      <c r="G627" s="32" t="s">
        <v>35</v>
      </c>
      <c r="H627" s="71" t="s">
        <v>35</v>
      </c>
      <c r="I627" s="71" t="s">
        <v>665</v>
      </c>
      <c r="J627" s="34" t="s">
        <v>49</v>
      </c>
      <c r="K627" s="57" t="s">
        <v>38</v>
      </c>
      <c r="L627" s="72">
        <v>10146.0</v>
      </c>
      <c r="M627" s="22"/>
      <c r="N627" s="76"/>
      <c r="O627" s="28">
        <v>45288.0</v>
      </c>
      <c r="P627" s="35" t="s">
        <v>2528</v>
      </c>
      <c r="Q627" s="12"/>
      <c r="R627" s="12"/>
      <c r="S627" s="14" t="s">
        <v>2529</v>
      </c>
      <c r="T627" s="52">
        <v>45260.0</v>
      </c>
      <c r="U627" s="52">
        <v>45261.0</v>
      </c>
      <c r="V627" s="52">
        <v>45282.0</v>
      </c>
      <c r="W627" s="30"/>
      <c r="X627" s="30"/>
      <c r="Y627" s="31"/>
      <c r="Z627" s="31"/>
      <c r="AA627" s="31"/>
      <c r="AB627" s="74" t="s">
        <v>2530</v>
      </c>
      <c r="AC627" s="74"/>
    </row>
    <row r="628" ht="16.5" customHeight="1">
      <c r="A628" s="48" t="s">
        <v>2531</v>
      </c>
      <c r="B628" s="53" t="s">
        <v>201</v>
      </c>
      <c r="C628" s="47">
        <v>0.0</v>
      </c>
      <c r="D628" s="70" t="s">
        <v>2532</v>
      </c>
      <c r="E628" s="55" t="s">
        <v>213</v>
      </c>
      <c r="F628" s="32" t="s">
        <v>33</v>
      </c>
      <c r="G628" s="32" t="s">
        <v>35</v>
      </c>
      <c r="H628" s="71" t="s">
        <v>35</v>
      </c>
      <c r="I628" s="71" t="s">
        <v>36</v>
      </c>
      <c r="J628" s="34" t="s">
        <v>49</v>
      </c>
      <c r="K628" s="57" t="s">
        <v>38</v>
      </c>
      <c r="L628" s="72">
        <v>10146.0</v>
      </c>
      <c r="M628" s="27"/>
      <c r="N628" s="76"/>
      <c r="O628" s="28">
        <v>45288.0</v>
      </c>
      <c r="P628" s="26"/>
      <c r="Q628" s="12"/>
      <c r="R628" s="12"/>
      <c r="S628" s="12"/>
      <c r="T628" s="52">
        <v>45260.0</v>
      </c>
      <c r="U628" s="52">
        <v>45261.0</v>
      </c>
      <c r="V628" s="52">
        <v>45280.0</v>
      </c>
      <c r="W628" s="30"/>
      <c r="X628" s="30"/>
      <c r="Y628" s="31"/>
      <c r="Z628" s="31"/>
      <c r="AA628" s="31"/>
      <c r="AB628" s="74" t="s">
        <v>2533</v>
      </c>
      <c r="AC628" s="74"/>
    </row>
    <row r="629" ht="16.5" customHeight="1">
      <c r="A629" s="48" t="s">
        <v>2534</v>
      </c>
      <c r="B629" s="53" t="s">
        <v>201</v>
      </c>
      <c r="C629" s="47">
        <v>0.0</v>
      </c>
      <c r="D629" s="70" t="s">
        <v>2535</v>
      </c>
      <c r="E629" s="55" t="s">
        <v>213</v>
      </c>
      <c r="F629" s="32" t="s">
        <v>33</v>
      </c>
      <c r="G629" s="32" t="s">
        <v>35</v>
      </c>
      <c r="H629" s="71" t="s">
        <v>35</v>
      </c>
      <c r="I629" s="71" t="s">
        <v>36</v>
      </c>
      <c r="J629" s="34" t="s">
        <v>49</v>
      </c>
      <c r="K629" s="57" t="s">
        <v>38</v>
      </c>
      <c r="L629" s="72">
        <v>10146.0</v>
      </c>
      <c r="M629" s="27"/>
      <c r="N629" s="76"/>
      <c r="O629" s="28">
        <v>45288.0</v>
      </c>
      <c r="P629" s="26"/>
      <c r="Q629" s="12"/>
      <c r="R629" s="12"/>
      <c r="S629" s="12"/>
      <c r="T629" s="52">
        <v>45260.0</v>
      </c>
      <c r="U629" s="52">
        <v>45261.0</v>
      </c>
      <c r="V629" s="52">
        <v>45280.0</v>
      </c>
      <c r="W629" s="30"/>
      <c r="X629" s="30"/>
      <c r="Y629" s="31"/>
      <c r="Z629" s="31"/>
      <c r="AA629" s="31"/>
      <c r="AB629" s="74" t="s">
        <v>2536</v>
      </c>
      <c r="AC629" s="74"/>
    </row>
    <row r="630" ht="16.5" customHeight="1">
      <c r="A630" s="48" t="s">
        <v>2537</v>
      </c>
      <c r="B630" s="53" t="s">
        <v>201</v>
      </c>
      <c r="C630" s="47">
        <v>0.0</v>
      </c>
      <c r="D630" s="70"/>
      <c r="E630" s="55" t="s">
        <v>213</v>
      </c>
      <c r="F630" s="32" t="s">
        <v>33</v>
      </c>
      <c r="G630" s="32" t="s">
        <v>35</v>
      </c>
      <c r="H630" s="71" t="s">
        <v>35</v>
      </c>
      <c r="I630" s="71" t="s">
        <v>665</v>
      </c>
      <c r="J630" s="34" t="s">
        <v>49</v>
      </c>
      <c r="K630" s="57" t="s">
        <v>38</v>
      </c>
      <c r="L630" s="72">
        <v>10146.0</v>
      </c>
      <c r="M630" s="22"/>
      <c r="N630" s="76"/>
      <c r="O630" s="28">
        <v>45288.0</v>
      </c>
      <c r="P630" s="35" t="s">
        <v>2538</v>
      </c>
      <c r="Q630" s="12"/>
      <c r="R630" s="12"/>
      <c r="S630" s="14" t="s">
        <v>2529</v>
      </c>
      <c r="T630" s="52">
        <v>45260.0</v>
      </c>
      <c r="U630" s="52">
        <v>45261.0</v>
      </c>
      <c r="V630" s="52">
        <v>45271.0</v>
      </c>
      <c r="W630" s="30"/>
      <c r="X630" s="30"/>
      <c r="Y630" s="31"/>
      <c r="Z630" s="31"/>
      <c r="AA630" s="31"/>
      <c r="AB630" s="74" t="s">
        <v>2539</v>
      </c>
      <c r="AC630" s="74"/>
    </row>
    <row r="631" ht="16.5" customHeight="1">
      <c r="A631" s="48" t="s">
        <v>2540</v>
      </c>
      <c r="B631" s="53" t="s">
        <v>2541</v>
      </c>
      <c r="C631" s="47">
        <v>0.0</v>
      </c>
      <c r="D631" s="70" t="s">
        <v>2542</v>
      </c>
      <c r="E631" s="55" t="s">
        <v>713</v>
      </c>
      <c r="F631" s="32" t="s">
        <v>33</v>
      </c>
      <c r="G631" s="32" t="s">
        <v>35</v>
      </c>
      <c r="H631" s="71" t="s">
        <v>35</v>
      </c>
      <c r="I631" s="71" t="s">
        <v>36</v>
      </c>
      <c r="J631" s="34" t="s">
        <v>65</v>
      </c>
      <c r="K631" s="57" t="s">
        <v>38</v>
      </c>
      <c r="L631" s="72">
        <v>10127.0</v>
      </c>
      <c r="M631" s="27"/>
      <c r="N631" s="76"/>
      <c r="O631" s="28">
        <v>45281.0</v>
      </c>
      <c r="P631" s="26"/>
      <c r="Q631" s="12"/>
      <c r="R631" s="12"/>
      <c r="S631" s="12"/>
      <c r="T631" s="52">
        <v>45260.0</v>
      </c>
      <c r="U631" s="52">
        <v>45261.0</v>
      </c>
      <c r="V631" s="52">
        <v>45280.0</v>
      </c>
      <c r="W631" s="30"/>
      <c r="X631" s="30"/>
      <c r="Y631" s="31"/>
      <c r="Z631" s="31"/>
      <c r="AA631" s="31"/>
      <c r="AB631" s="74" t="s">
        <v>2543</v>
      </c>
      <c r="AC631" s="74"/>
    </row>
    <row r="632" ht="16.5" customHeight="1">
      <c r="A632" s="48" t="s">
        <v>2544</v>
      </c>
      <c r="B632" s="53" t="s">
        <v>669</v>
      </c>
      <c r="C632" s="47">
        <v>0.0</v>
      </c>
      <c r="D632" s="70" t="s">
        <v>2545</v>
      </c>
      <c r="E632" s="55" t="s">
        <v>338</v>
      </c>
      <c r="F632" s="32" t="s">
        <v>33</v>
      </c>
      <c r="G632" s="32" t="s">
        <v>35</v>
      </c>
      <c r="H632" s="71" t="s">
        <v>35</v>
      </c>
      <c r="I632" s="71" t="s">
        <v>36</v>
      </c>
      <c r="J632" s="34" t="s">
        <v>65</v>
      </c>
      <c r="K632" s="57" t="s">
        <v>38</v>
      </c>
      <c r="L632" s="72">
        <v>10109.0</v>
      </c>
      <c r="M632" s="22"/>
      <c r="N632" s="76"/>
      <c r="O632" s="28">
        <v>45274.0</v>
      </c>
      <c r="P632" s="35" t="s">
        <v>2546</v>
      </c>
      <c r="Q632" s="12"/>
      <c r="R632" s="12"/>
      <c r="S632" s="12"/>
      <c r="T632" s="52">
        <v>45260.0</v>
      </c>
      <c r="U632" s="52">
        <v>45261.0</v>
      </c>
      <c r="V632" s="52">
        <v>45273.0</v>
      </c>
      <c r="W632" s="30"/>
      <c r="X632" s="30"/>
      <c r="Y632" s="31"/>
      <c r="Z632" s="31"/>
      <c r="AA632" s="31"/>
      <c r="AB632" s="74" t="s">
        <v>2547</v>
      </c>
      <c r="AC632" s="74"/>
    </row>
    <row r="633" ht="16.5" customHeight="1">
      <c r="A633" s="48" t="s">
        <v>2548</v>
      </c>
      <c r="B633" s="53" t="s">
        <v>669</v>
      </c>
      <c r="C633" s="47">
        <v>0.0</v>
      </c>
      <c r="D633" s="70" t="s">
        <v>2549</v>
      </c>
      <c r="E633" s="55" t="s">
        <v>79</v>
      </c>
      <c r="F633" s="32" t="s">
        <v>33</v>
      </c>
      <c r="G633" s="32" t="s">
        <v>35</v>
      </c>
      <c r="H633" s="71" t="s">
        <v>35</v>
      </c>
      <c r="I633" s="71" t="s">
        <v>36</v>
      </c>
      <c r="J633" s="34" t="s">
        <v>65</v>
      </c>
      <c r="K633" s="57" t="s">
        <v>38</v>
      </c>
      <c r="L633" s="72">
        <v>10067.0</v>
      </c>
      <c r="M633" s="22"/>
      <c r="N633" s="73"/>
      <c r="O633" s="28">
        <v>45265.0</v>
      </c>
      <c r="P633" s="35" t="s">
        <v>2546</v>
      </c>
      <c r="Q633" s="12"/>
      <c r="R633" s="12"/>
      <c r="S633" s="12"/>
      <c r="T633" s="52">
        <v>45260.0</v>
      </c>
      <c r="U633" s="52">
        <v>45261.0</v>
      </c>
      <c r="V633" s="52">
        <v>45264.0</v>
      </c>
      <c r="W633" s="30"/>
      <c r="X633" s="30"/>
      <c r="Y633" s="31"/>
      <c r="Z633" s="31"/>
      <c r="AA633" s="31"/>
      <c r="AB633" s="74" t="s">
        <v>2550</v>
      </c>
      <c r="AC633" s="74"/>
    </row>
    <row r="634" ht="16.5" customHeight="1">
      <c r="A634" s="48" t="s">
        <v>2551</v>
      </c>
      <c r="B634" s="53" t="s">
        <v>2552</v>
      </c>
      <c r="C634" s="47">
        <v>0.0</v>
      </c>
      <c r="D634" s="70" t="s">
        <v>2553</v>
      </c>
      <c r="E634" s="55" t="s">
        <v>2554</v>
      </c>
      <c r="F634" s="32" t="s">
        <v>33</v>
      </c>
      <c r="G634" s="32" t="s">
        <v>35</v>
      </c>
      <c r="H634" s="71" t="s">
        <v>35</v>
      </c>
      <c r="I634" s="71" t="s">
        <v>36</v>
      </c>
      <c r="J634" s="34" t="s">
        <v>92</v>
      </c>
      <c r="K634" s="57" t="s">
        <v>38</v>
      </c>
      <c r="L634" s="72">
        <v>10144.0</v>
      </c>
      <c r="M634" s="22"/>
      <c r="N634" s="76"/>
      <c r="O634" s="28">
        <v>45286.0</v>
      </c>
      <c r="P634" s="35" t="s">
        <v>2555</v>
      </c>
      <c r="Q634" s="12"/>
      <c r="R634" s="12"/>
      <c r="S634" s="12"/>
      <c r="T634" s="52">
        <v>45260.0</v>
      </c>
      <c r="U634" s="52">
        <v>45260.0</v>
      </c>
      <c r="V634" s="52">
        <v>45282.0</v>
      </c>
      <c r="W634" s="30"/>
      <c r="X634" s="30"/>
      <c r="Y634" s="31"/>
      <c r="Z634" s="31"/>
      <c r="AA634" s="31"/>
      <c r="AB634" s="74" t="s">
        <v>2556</v>
      </c>
      <c r="AC634" s="74"/>
    </row>
    <row r="635" ht="16.5" customHeight="1">
      <c r="A635" s="48" t="s">
        <v>2557</v>
      </c>
      <c r="B635" s="53" t="s">
        <v>2552</v>
      </c>
      <c r="C635" s="47">
        <v>0.0</v>
      </c>
      <c r="D635" s="70" t="s">
        <v>2558</v>
      </c>
      <c r="E635" s="55" t="s">
        <v>2205</v>
      </c>
      <c r="F635" s="32" t="s">
        <v>33</v>
      </c>
      <c r="G635" s="32" t="s">
        <v>35</v>
      </c>
      <c r="H635" s="71" t="s">
        <v>35</v>
      </c>
      <c r="I635" s="71" t="s">
        <v>36</v>
      </c>
      <c r="J635" s="34" t="s">
        <v>92</v>
      </c>
      <c r="K635" s="57" t="s">
        <v>38</v>
      </c>
      <c r="L635" s="72">
        <v>10144.0</v>
      </c>
      <c r="M635" s="22"/>
      <c r="N635" s="76"/>
      <c r="O635" s="28">
        <v>45286.0</v>
      </c>
      <c r="P635" s="35" t="s">
        <v>2555</v>
      </c>
      <c r="Q635" s="12"/>
      <c r="R635" s="12"/>
      <c r="S635" s="12"/>
      <c r="T635" s="52">
        <v>45260.0</v>
      </c>
      <c r="U635" s="52">
        <v>45260.0</v>
      </c>
      <c r="V635" s="52">
        <v>45282.0</v>
      </c>
      <c r="W635" s="30"/>
      <c r="X635" s="30"/>
      <c r="Y635" s="31"/>
      <c r="Z635" s="31"/>
      <c r="AA635" s="31"/>
      <c r="AB635" s="74" t="s">
        <v>2559</v>
      </c>
      <c r="AC635" s="74"/>
    </row>
    <row r="636" ht="16.5" customHeight="1">
      <c r="A636" s="48" t="s">
        <v>2560</v>
      </c>
      <c r="B636" s="53" t="s">
        <v>2552</v>
      </c>
      <c r="C636" s="47">
        <v>0.0</v>
      </c>
      <c r="D636" s="70" t="s">
        <v>2561</v>
      </c>
      <c r="E636" s="55" t="s">
        <v>289</v>
      </c>
      <c r="F636" s="32" t="s">
        <v>33</v>
      </c>
      <c r="G636" s="32" t="s">
        <v>35</v>
      </c>
      <c r="H636" s="71" t="s">
        <v>35</v>
      </c>
      <c r="I636" s="71" t="s">
        <v>36</v>
      </c>
      <c r="J636" s="34" t="s">
        <v>92</v>
      </c>
      <c r="K636" s="57" t="s">
        <v>38</v>
      </c>
      <c r="L636" s="72">
        <v>10185.0</v>
      </c>
      <c r="M636" s="22"/>
      <c r="N636" s="73"/>
      <c r="O636" s="28">
        <v>45296.0</v>
      </c>
      <c r="P636" s="35" t="s">
        <v>2555</v>
      </c>
      <c r="Q636" s="12"/>
      <c r="R636" s="12"/>
      <c r="S636" s="12"/>
      <c r="T636" s="52">
        <v>45260.0</v>
      </c>
      <c r="U636" s="52">
        <v>45293.0</v>
      </c>
      <c r="V636" s="52">
        <v>45296.0</v>
      </c>
      <c r="W636" s="30"/>
      <c r="X636" s="30"/>
      <c r="Y636" s="31"/>
      <c r="Z636" s="31"/>
      <c r="AA636" s="31"/>
      <c r="AB636" s="74" t="s">
        <v>2562</v>
      </c>
      <c r="AC636" s="74"/>
    </row>
    <row r="637" ht="16.5" customHeight="1">
      <c r="A637" s="48" t="s">
        <v>2563</v>
      </c>
      <c r="B637" s="53" t="s">
        <v>2552</v>
      </c>
      <c r="C637" s="47">
        <v>0.0</v>
      </c>
      <c r="D637" s="70" t="s">
        <v>2564</v>
      </c>
      <c r="E637" s="55" t="s">
        <v>289</v>
      </c>
      <c r="F637" s="32" t="s">
        <v>33</v>
      </c>
      <c r="G637" s="32" t="s">
        <v>35</v>
      </c>
      <c r="H637" s="71" t="s">
        <v>35</v>
      </c>
      <c r="I637" s="71" t="s">
        <v>36</v>
      </c>
      <c r="J637" s="34" t="s">
        <v>92</v>
      </c>
      <c r="K637" s="57" t="s">
        <v>38</v>
      </c>
      <c r="L637" s="72">
        <v>10185.0</v>
      </c>
      <c r="M637" s="22"/>
      <c r="N637" s="73"/>
      <c r="O637" s="28">
        <v>45296.0</v>
      </c>
      <c r="P637" s="35" t="s">
        <v>2555</v>
      </c>
      <c r="Q637" s="12"/>
      <c r="R637" s="12"/>
      <c r="S637" s="12"/>
      <c r="T637" s="52">
        <v>45260.0</v>
      </c>
      <c r="U637" s="52">
        <v>45293.0</v>
      </c>
      <c r="V637" s="52">
        <v>45296.0</v>
      </c>
      <c r="W637" s="30"/>
      <c r="X637" s="30"/>
      <c r="Y637" s="31"/>
      <c r="Z637" s="31"/>
      <c r="AA637" s="31"/>
      <c r="AB637" s="74" t="s">
        <v>2565</v>
      </c>
      <c r="AC637" s="74"/>
    </row>
    <row r="638" ht="16.5" customHeight="1">
      <c r="A638" s="48" t="s">
        <v>2566</v>
      </c>
      <c r="B638" s="53" t="s">
        <v>2552</v>
      </c>
      <c r="C638" s="47">
        <v>0.0</v>
      </c>
      <c r="D638" s="70" t="s">
        <v>2567</v>
      </c>
      <c r="E638" s="55" t="s">
        <v>289</v>
      </c>
      <c r="F638" s="32" t="s">
        <v>33</v>
      </c>
      <c r="G638" s="32" t="s">
        <v>35</v>
      </c>
      <c r="H638" s="71" t="s">
        <v>35</v>
      </c>
      <c r="I638" s="71" t="s">
        <v>36</v>
      </c>
      <c r="J638" s="34" t="s">
        <v>92</v>
      </c>
      <c r="K638" s="57" t="s">
        <v>38</v>
      </c>
      <c r="L638" s="72">
        <v>10185.0</v>
      </c>
      <c r="M638" s="22"/>
      <c r="N638" s="73"/>
      <c r="O638" s="28">
        <v>45296.0</v>
      </c>
      <c r="P638" s="35" t="s">
        <v>2555</v>
      </c>
      <c r="Q638" s="12"/>
      <c r="R638" s="12"/>
      <c r="S638" s="12"/>
      <c r="T638" s="52">
        <v>45260.0</v>
      </c>
      <c r="U638" s="52">
        <v>45293.0</v>
      </c>
      <c r="V638" s="52">
        <v>45296.0</v>
      </c>
      <c r="W638" s="30"/>
      <c r="X638" s="30"/>
      <c r="Y638" s="31"/>
      <c r="Z638" s="31"/>
      <c r="AA638" s="31"/>
      <c r="AB638" s="74" t="s">
        <v>2568</v>
      </c>
      <c r="AC638" s="74"/>
    </row>
    <row r="639" ht="16.5" customHeight="1">
      <c r="A639" s="48" t="s">
        <v>2569</v>
      </c>
      <c r="B639" s="53" t="s">
        <v>2552</v>
      </c>
      <c r="C639" s="47">
        <v>0.0</v>
      </c>
      <c r="D639" s="70" t="s">
        <v>2570</v>
      </c>
      <c r="E639" s="55" t="s">
        <v>289</v>
      </c>
      <c r="F639" s="32" t="s">
        <v>33</v>
      </c>
      <c r="G639" s="32" t="s">
        <v>35</v>
      </c>
      <c r="H639" s="71" t="s">
        <v>35</v>
      </c>
      <c r="I639" s="71" t="s">
        <v>36</v>
      </c>
      <c r="J639" s="34" t="s">
        <v>92</v>
      </c>
      <c r="K639" s="57" t="s">
        <v>38</v>
      </c>
      <c r="L639" s="72">
        <v>10185.0</v>
      </c>
      <c r="M639" s="22"/>
      <c r="N639" s="73"/>
      <c r="O639" s="28">
        <v>45296.0</v>
      </c>
      <c r="P639" s="35" t="s">
        <v>2555</v>
      </c>
      <c r="Q639" s="12"/>
      <c r="R639" s="12"/>
      <c r="S639" s="12"/>
      <c r="T639" s="52">
        <v>45260.0</v>
      </c>
      <c r="U639" s="52">
        <v>45293.0</v>
      </c>
      <c r="V639" s="52">
        <v>45296.0</v>
      </c>
      <c r="W639" s="30"/>
      <c r="X639" s="30"/>
      <c r="Y639" s="31"/>
      <c r="Z639" s="31"/>
      <c r="AA639" s="31"/>
      <c r="AB639" s="74" t="s">
        <v>2571</v>
      </c>
      <c r="AC639" s="74"/>
    </row>
    <row r="640" ht="16.5" customHeight="1">
      <c r="A640" s="48" t="s">
        <v>2572</v>
      </c>
      <c r="B640" s="53" t="s">
        <v>2552</v>
      </c>
      <c r="C640" s="47">
        <v>0.0</v>
      </c>
      <c r="D640" s="70" t="s">
        <v>2573</v>
      </c>
      <c r="E640" s="55" t="s">
        <v>289</v>
      </c>
      <c r="F640" s="32" t="s">
        <v>33</v>
      </c>
      <c r="G640" s="32" t="s">
        <v>35</v>
      </c>
      <c r="H640" s="71" t="s">
        <v>35</v>
      </c>
      <c r="I640" s="71" t="s">
        <v>36</v>
      </c>
      <c r="J640" s="34" t="s">
        <v>92</v>
      </c>
      <c r="K640" s="57" t="s">
        <v>38</v>
      </c>
      <c r="L640" s="72">
        <v>10185.0</v>
      </c>
      <c r="M640" s="22"/>
      <c r="N640" s="73"/>
      <c r="O640" s="28">
        <v>45296.0</v>
      </c>
      <c r="P640" s="35" t="s">
        <v>2555</v>
      </c>
      <c r="Q640" s="12"/>
      <c r="R640" s="12"/>
      <c r="S640" s="12"/>
      <c r="T640" s="52">
        <v>45260.0</v>
      </c>
      <c r="U640" s="52">
        <v>45293.0</v>
      </c>
      <c r="V640" s="52">
        <v>45296.0</v>
      </c>
      <c r="W640" s="30"/>
      <c r="X640" s="30"/>
      <c r="Y640" s="31"/>
      <c r="Z640" s="31"/>
      <c r="AA640" s="31"/>
      <c r="AB640" s="74" t="s">
        <v>2574</v>
      </c>
      <c r="AC640" s="74"/>
    </row>
    <row r="641" ht="16.5" customHeight="1">
      <c r="A641" s="48" t="s">
        <v>2575</v>
      </c>
      <c r="B641" s="53" t="s">
        <v>2552</v>
      </c>
      <c r="C641" s="47">
        <v>0.0</v>
      </c>
      <c r="D641" s="70" t="s">
        <v>2576</v>
      </c>
      <c r="E641" s="55" t="s">
        <v>289</v>
      </c>
      <c r="F641" s="32" t="s">
        <v>33</v>
      </c>
      <c r="G641" s="32" t="s">
        <v>35</v>
      </c>
      <c r="H641" s="71" t="s">
        <v>35</v>
      </c>
      <c r="I641" s="71" t="s">
        <v>36</v>
      </c>
      <c r="J641" s="34" t="s">
        <v>92</v>
      </c>
      <c r="K641" s="57" t="s">
        <v>38</v>
      </c>
      <c r="L641" s="72">
        <v>10185.0</v>
      </c>
      <c r="M641" s="22"/>
      <c r="N641" s="73"/>
      <c r="O641" s="28">
        <v>45296.0</v>
      </c>
      <c r="P641" s="35" t="s">
        <v>2555</v>
      </c>
      <c r="Q641" s="12"/>
      <c r="R641" s="12"/>
      <c r="S641" s="12"/>
      <c r="T641" s="52">
        <v>45260.0</v>
      </c>
      <c r="U641" s="52">
        <v>45293.0</v>
      </c>
      <c r="V641" s="52">
        <v>45296.0</v>
      </c>
      <c r="W641" s="30"/>
      <c r="X641" s="30"/>
      <c r="Y641" s="31"/>
      <c r="Z641" s="31"/>
      <c r="AA641" s="31"/>
      <c r="AB641" s="74" t="s">
        <v>2577</v>
      </c>
      <c r="AC641" s="74"/>
    </row>
    <row r="642" ht="16.5" customHeight="1">
      <c r="A642" s="48" t="s">
        <v>2578</v>
      </c>
      <c r="B642" s="53" t="s">
        <v>886</v>
      </c>
      <c r="C642" s="47">
        <v>0.0</v>
      </c>
      <c r="D642" s="70" t="s">
        <v>2579</v>
      </c>
      <c r="E642" s="55" t="s">
        <v>892</v>
      </c>
      <c r="F642" s="32" t="s">
        <v>244</v>
      </c>
      <c r="G642" s="32" t="s">
        <v>35</v>
      </c>
      <c r="H642" s="71" t="s">
        <v>35</v>
      </c>
      <c r="I642" s="71" t="s">
        <v>36</v>
      </c>
      <c r="J642" s="34" t="s">
        <v>65</v>
      </c>
      <c r="K642" s="57" t="s">
        <v>38</v>
      </c>
      <c r="L642" s="72">
        <v>10141.0</v>
      </c>
      <c r="M642" s="27"/>
      <c r="N642" s="76"/>
      <c r="O642" s="28">
        <v>45281.0</v>
      </c>
      <c r="P642" s="26"/>
      <c r="Q642" s="12"/>
      <c r="R642" s="12"/>
      <c r="S642" s="12"/>
      <c r="T642" s="52">
        <v>45261.0</v>
      </c>
      <c r="U642" s="52">
        <v>45261.0</v>
      </c>
      <c r="V642" s="52">
        <v>45281.0</v>
      </c>
      <c r="W642" s="30"/>
      <c r="X642" s="30"/>
      <c r="Y642" s="31"/>
      <c r="Z642" s="31"/>
      <c r="AA642" s="31"/>
      <c r="AB642" s="74" t="s">
        <v>2580</v>
      </c>
      <c r="AC642" s="74"/>
    </row>
    <row r="643" ht="16.5" customHeight="1">
      <c r="A643" s="48" t="s">
        <v>2581</v>
      </c>
      <c r="B643" s="53" t="s">
        <v>2582</v>
      </c>
      <c r="C643" s="47">
        <v>0.0</v>
      </c>
      <c r="D643" s="70" t="s">
        <v>2583</v>
      </c>
      <c r="E643" s="55" t="s">
        <v>177</v>
      </c>
      <c r="F643" s="32" t="s">
        <v>48</v>
      </c>
      <c r="G643" s="32" t="s">
        <v>35</v>
      </c>
      <c r="H643" s="71" t="s">
        <v>35</v>
      </c>
      <c r="I643" s="71" t="s">
        <v>36</v>
      </c>
      <c r="J643" s="34" t="s">
        <v>65</v>
      </c>
      <c r="K643" s="57" t="s">
        <v>38</v>
      </c>
      <c r="L643" s="72">
        <v>10294.0</v>
      </c>
      <c r="M643" s="27"/>
      <c r="N643" s="73"/>
      <c r="O643" s="28">
        <v>45315.0</v>
      </c>
      <c r="P643" s="26"/>
      <c r="Q643" s="12"/>
      <c r="R643" s="12"/>
      <c r="S643" s="12"/>
      <c r="T643" s="52">
        <v>45261.0</v>
      </c>
      <c r="U643" s="52">
        <v>45312.0</v>
      </c>
      <c r="V643" s="52">
        <v>45313.0</v>
      </c>
      <c r="W643" s="30"/>
      <c r="X643" s="30"/>
      <c r="Y643" s="31"/>
      <c r="Z643" s="31"/>
      <c r="AA643" s="31"/>
      <c r="AB643" s="74" t="s">
        <v>2584</v>
      </c>
      <c r="AC643" s="74"/>
    </row>
    <row r="644" ht="16.5" customHeight="1">
      <c r="A644" s="48" t="s">
        <v>2585</v>
      </c>
      <c r="B644" s="53" t="s">
        <v>1127</v>
      </c>
      <c r="C644" s="47">
        <v>0.0</v>
      </c>
      <c r="D644" s="70" t="s">
        <v>2586</v>
      </c>
      <c r="E644" s="55" t="s">
        <v>79</v>
      </c>
      <c r="F644" s="32" t="s">
        <v>33</v>
      </c>
      <c r="G644" s="32" t="s">
        <v>35</v>
      </c>
      <c r="H644" s="71" t="s">
        <v>35</v>
      </c>
      <c r="I644" s="71" t="s">
        <v>36</v>
      </c>
      <c r="J644" s="34" t="s">
        <v>92</v>
      </c>
      <c r="K644" s="57" t="s">
        <v>38</v>
      </c>
      <c r="L644" s="72">
        <v>10051.0</v>
      </c>
      <c r="M644" s="27"/>
      <c r="N644" s="73"/>
      <c r="O644" s="28">
        <v>45273.0</v>
      </c>
      <c r="P644" s="26"/>
      <c r="Q644" s="12"/>
      <c r="R644" s="12"/>
      <c r="S644" s="12"/>
      <c r="T644" s="52">
        <v>45261.0</v>
      </c>
      <c r="U644" s="52">
        <v>45261.0</v>
      </c>
      <c r="V644" s="52">
        <v>45264.0</v>
      </c>
      <c r="W644" s="30"/>
      <c r="X644" s="30"/>
      <c r="Y644" s="31"/>
      <c r="Z644" s="31"/>
      <c r="AA644" s="31"/>
      <c r="AB644" s="74" t="s">
        <v>2587</v>
      </c>
      <c r="AC644" s="74"/>
    </row>
    <row r="645" ht="16.5" customHeight="1">
      <c r="A645" s="48" t="s">
        <v>2588</v>
      </c>
      <c r="B645" s="53" t="s">
        <v>1615</v>
      </c>
      <c r="C645" s="47">
        <v>0.0</v>
      </c>
      <c r="D645" s="70" t="s">
        <v>2589</v>
      </c>
      <c r="E645" s="55" t="s">
        <v>177</v>
      </c>
      <c r="F645" s="32" t="s">
        <v>48</v>
      </c>
      <c r="G645" s="32" t="s">
        <v>35</v>
      </c>
      <c r="H645" s="71" t="s">
        <v>35</v>
      </c>
      <c r="I645" s="71" t="s">
        <v>36</v>
      </c>
      <c r="J645" s="34" t="s">
        <v>92</v>
      </c>
      <c r="K645" s="57" t="s">
        <v>38</v>
      </c>
      <c r="L645" s="72">
        <v>10287.0</v>
      </c>
      <c r="M645" s="27"/>
      <c r="N645" s="73"/>
      <c r="O645" s="28">
        <v>45314.0</v>
      </c>
      <c r="P645" s="26"/>
      <c r="Q645" s="12"/>
      <c r="R645" s="12"/>
      <c r="S645" s="12"/>
      <c r="T645" s="52">
        <v>45261.0</v>
      </c>
      <c r="U645" s="52">
        <v>45311.0</v>
      </c>
      <c r="V645" s="52">
        <v>45314.0</v>
      </c>
      <c r="W645" s="30"/>
      <c r="X645" s="30"/>
      <c r="Y645" s="31"/>
      <c r="Z645" s="31"/>
      <c r="AA645" s="31"/>
      <c r="AB645" s="74" t="s">
        <v>2590</v>
      </c>
      <c r="AC645" s="74"/>
    </row>
    <row r="646" ht="16.5" customHeight="1">
      <c r="A646" s="48" t="s">
        <v>2591</v>
      </c>
      <c r="B646" s="53" t="s">
        <v>1615</v>
      </c>
      <c r="C646" s="47">
        <v>0.0</v>
      </c>
      <c r="D646" s="70"/>
      <c r="E646" s="55" t="s">
        <v>79</v>
      </c>
      <c r="F646" s="32" t="s">
        <v>33</v>
      </c>
      <c r="G646" s="32" t="s">
        <v>35</v>
      </c>
      <c r="H646" s="71" t="s">
        <v>35</v>
      </c>
      <c r="I646" s="71" t="s">
        <v>36</v>
      </c>
      <c r="J646" s="34" t="s">
        <v>92</v>
      </c>
      <c r="K646" s="57" t="s">
        <v>38</v>
      </c>
      <c r="L646" s="72">
        <v>10113.0</v>
      </c>
      <c r="M646" s="22"/>
      <c r="N646" s="76"/>
      <c r="O646" s="28">
        <v>45274.0</v>
      </c>
      <c r="P646" s="35" t="s">
        <v>2592</v>
      </c>
      <c r="Q646" s="12"/>
      <c r="R646" s="12"/>
      <c r="S646" s="12"/>
      <c r="T646" s="52">
        <v>45261.0</v>
      </c>
      <c r="U646" s="52">
        <v>45265.0</v>
      </c>
      <c r="V646" s="52">
        <v>45274.0</v>
      </c>
      <c r="W646" s="30"/>
      <c r="X646" s="30"/>
      <c r="Y646" s="31"/>
      <c r="Z646" s="31"/>
      <c r="AA646" s="31"/>
      <c r="AB646" s="74" t="s">
        <v>2593</v>
      </c>
      <c r="AC646" s="74"/>
    </row>
    <row r="647" ht="16.5" customHeight="1">
      <c r="A647" s="48" t="s">
        <v>2594</v>
      </c>
      <c r="B647" s="53" t="s">
        <v>1615</v>
      </c>
      <c r="C647" s="47">
        <v>0.0</v>
      </c>
      <c r="D647" s="70" t="s">
        <v>2595</v>
      </c>
      <c r="E647" s="55" t="s">
        <v>79</v>
      </c>
      <c r="F647" s="32" t="s">
        <v>33</v>
      </c>
      <c r="G647" s="32" t="s">
        <v>35</v>
      </c>
      <c r="H647" s="71" t="s">
        <v>35</v>
      </c>
      <c r="I647" s="71" t="s">
        <v>36</v>
      </c>
      <c r="J647" s="34" t="s">
        <v>92</v>
      </c>
      <c r="K647" s="57" t="s">
        <v>38</v>
      </c>
      <c r="L647" s="72">
        <v>10113.0</v>
      </c>
      <c r="M647" s="22"/>
      <c r="N647" s="76"/>
      <c r="O647" s="28">
        <v>45274.0</v>
      </c>
      <c r="P647" s="35" t="s">
        <v>2592</v>
      </c>
      <c r="Q647" s="12"/>
      <c r="R647" s="12"/>
      <c r="S647" s="12"/>
      <c r="T647" s="52">
        <v>45261.0</v>
      </c>
      <c r="U647" s="52">
        <v>45265.0</v>
      </c>
      <c r="V647" s="52">
        <v>45274.0</v>
      </c>
      <c r="W647" s="30"/>
      <c r="X647" s="30"/>
      <c r="Y647" s="31"/>
      <c r="Z647" s="31"/>
      <c r="AA647" s="31"/>
      <c r="AB647" s="74" t="s">
        <v>2596</v>
      </c>
      <c r="AC647" s="74"/>
    </row>
    <row r="648" ht="16.5" customHeight="1">
      <c r="A648" s="48" t="s">
        <v>2597</v>
      </c>
      <c r="B648" s="53" t="s">
        <v>2598</v>
      </c>
      <c r="C648" s="47">
        <v>0.0</v>
      </c>
      <c r="D648" s="70" t="s">
        <v>2599</v>
      </c>
      <c r="E648" s="55" t="s">
        <v>383</v>
      </c>
      <c r="F648" s="32" t="s">
        <v>33</v>
      </c>
      <c r="G648" s="32" t="s">
        <v>35</v>
      </c>
      <c r="H648" s="71" t="s">
        <v>35</v>
      </c>
      <c r="I648" s="71" t="s">
        <v>36</v>
      </c>
      <c r="J648" s="34" t="s">
        <v>2600</v>
      </c>
      <c r="K648" s="57" t="s">
        <v>38</v>
      </c>
      <c r="L648" s="72">
        <v>10142.0</v>
      </c>
      <c r="M648" s="27"/>
      <c r="N648" s="76"/>
      <c r="O648" s="28">
        <v>45287.0</v>
      </c>
      <c r="P648" s="26"/>
      <c r="Q648" s="12"/>
      <c r="R648" s="12"/>
      <c r="S648" s="12"/>
      <c r="T648" s="52">
        <v>45261.0</v>
      </c>
      <c r="U648" s="52">
        <v>45264.0</v>
      </c>
      <c r="V648" s="52">
        <v>45281.0</v>
      </c>
      <c r="W648" s="30"/>
      <c r="X648" s="30"/>
      <c r="Y648" s="31"/>
      <c r="Z648" s="31"/>
      <c r="AA648" s="31"/>
      <c r="AB648" s="74" t="s">
        <v>2601</v>
      </c>
      <c r="AC648" s="74"/>
    </row>
    <row r="649" ht="16.5" customHeight="1">
      <c r="A649" s="48" t="s">
        <v>2602</v>
      </c>
      <c r="B649" s="53" t="s">
        <v>1461</v>
      </c>
      <c r="C649" s="47">
        <v>0.0</v>
      </c>
      <c r="D649" s="70" t="s">
        <v>2603</v>
      </c>
      <c r="E649" s="55" t="s">
        <v>232</v>
      </c>
      <c r="F649" s="32" t="s">
        <v>33</v>
      </c>
      <c r="G649" s="32" t="s">
        <v>35</v>
      </c>
      <c r="H649" s="71" t="s">
        <v>35</v>
      </c>
      <c r="I649" s="71" t="s">
        <v>36</v>
      </c>
      <c r="J649" s="34" t="s">
        <v>65</v>
      </c>
      <c r="K649" s="57" t="s">
        <v>38</v>
      </c>
      <c r="L649" s="72">
        <v>10080.0</v>
      </c>
      <c r="M649" s="22"/>
      <c r="N649" s="73"/>
      <c r="O649" s="28">
        <v>45266.0</v>
      </c>
      <c r="P649" s="35" t="s">
        <v>2604</v>
      </c>
      <c r="Q649" s="12"/>
      <c r="R649" s="12"/>
      <c r="S649" s="12"/>
      <c r="T649" s="52">
        <v>45267.0</v>
      </c>
      <c r="U649" s="52">
        <v>45261.0</v>
      </c>
      <c r="V649" s="52">
        <v>45263.0</v>
      </c>
      <c r="W649" s="30"/>
      <c r="X649" s="30"/>
      <c r="Y649" s="31"/>
      <c r="Z649" s="31"/>
      <c r="AA649" s="31"/>
      <c r="AB649" s="74" t="s">
        <v>2605</v>
      </c>
      <c r="AC649" s="74"/>
    </row>
    <row r="650" ht="16.5" customHeight="1">
      <c r="A650" s="48" t="s">
        <v>2606</v>
      </c>
      <c r="B650" s="53" t="s">
        <v>104</v>
      </c>
      <c r="C650" s="47">
        <v>0.0</v>
      </c>
      <c r="D650" s="70" t="s">
        <v>2607</v>
      </c>
      <c r="E650" s="55" t="s">
        <v>251</v>
      </c>
      <c r="F650" s="32" t="s">
        <v>33</v>
      </c>
      <c r="G650" s="32" t="s">
        <v>35</v>
      </c>
      <c r="H650" s="71" t="s">
        <v>35</v>
      </c>
      <c r="I650" s="71" t="s">
        <v>36</v>
      </c>
      <c r="J650" s="34" t="s">
        <v>37</v>
      </c>
      <c r="K650" s="57" t="s">
        <v>1184</v>
      </c>
      <c r="L650" s="72">
        <v>10094.0</v>
      </c>
      <c r="M650" s="27"/>
      <c r="N650" s="73"/>
      <c r="O650" s="28">
        <v>45271.0</v>
      </c>
      <c r="P650" s="26"/>
      <c r="Q650" s="12"/>
      <c r="R650" s="12"/>
      <c r="S650" s="12"/>
      <c r="T650" s="52">
        <v>45264.0</v>
      </c>
      <c r="U650" s="52">
        <v>45265.0</v>
      </c>
      <c r="V650" s="52">
        <v>45268.0</v>
      </c>
      <c r="W650" s="30"/>
      <c r="X650" s="30"/>
      <c r="Y650" s="31"/>
      <c r="Z650" s="31"/>
      <c r="AA650" s="31"/>
      <c r="AB650" s="74" t="s">
        <v>2608</v>
      </c>
      <c r="AC650" s="74"/>
    </row>
    <row r="651" ht="16.5" customHeight="1">
      <c r="A651" s="48" t="s">
        <v>2609</v>
      </c>
      <c r="B651" s="53" t="s">
        <v>2610</v>
      </c>
      <c r="C651" s="47">
        <v>0.0</v>
      </c>
      <c r="D651" s="70"/>
      <c r="E651" s="55" t="s">
        <v>217</v>
      </c>
      <c r="F651" s="32" t="s">
        <v>33</v>
      </c>
      <c r="G651" s="32" t="s">
        <v>35</v>
      </c>
      <c r="H651" s="71" t="s">
        <v>35</v>
      </c>
      <c r="I651" s="71" t="s">
        <v>36</v>
      </c>
      <c r="J651" s="34" t="s">
        <v>65</v>
      </c>
      <c r="K651" s="57" t="s">
        <v>38</v>
      </c>
      <c r="L651" s="72">
        <v>10066.0</v>
      </c>
      <c r="M651" s="27"/>
      <c r="N651" s="73"/>
      <c r="O651" s="28">
        <v>45265.0</v>
      </c>
      <c r="P651" s="26"/>
      <c r="Q651" s="12"/>
      <c r="R651" s="12"/>
      <c r="S651" s="12"/>
      <c r="T651" s="52">
        <v>45267.0</v>
      </c>
      <c r="U651" s="52">
        <v>45265.0</v>
      </c>
      <c r="V651" s="52">
        <v>45265.0</v>
      </c>
      <c r="W651" s="30"/>
      <c r="X651" s="30"/>
      <c r="Y651" s="31"/>
      <c r="Z651" s="31"/>
      <c r="AA651" s="31"/>
      <c r="AB651" s="74" t="s">
        <v>2611</v>
      </c>
      <c r="AC651" s="74"/>
    </row>
    <row r="652" ht="16.5" customHeight="1">
      <c r="A652" s="48" t="s">
        <v>2612</v>
      </c>
      <c r="B652" s="53" t="s">
        <v>886</v>
      </c>
      <c r="C652" s="47">
        <v>0.0</v>
      </c>
      <c r="D652" s="70" t="s">
        <v>2613</v>
      </c>
      <c r="E652" s="55" t="s">
        <v>2614</v>
      </c>
      <c r="F652" s="32" t="s">
        <v>33</v>
      </c>
      <c r="G652" s="32" t="s">
        <v>34</v>
      </c>
      <c r="H652" s="71" t="s">
        <v>35</v>
      </c>
      <c r="I652" s="71" t="s">
        <v>36</v>
      </c>
      <c r="J652" s="34" t="s">
        <v>65</v>
      </c>
      <c r="K652" s="57" t="s">
        <v>38</v>
      </c>
      <c r="L652" s="72">
        <v>10081.0</v>
      </c>
      <c r="M652" s="22"/>
      <c r="N652" s="73"/>
      <c r="O652" s="28">
        <v>45266.0</v>
      </c>
      <c r="P652" s="35" t="s">
        <v>2615</v>
      </c>
      <c r="Q652" s="12"/>
      <c r="R652" s="12"/>
      <c r="S652" s="12"/>
      <c r="T652" s="52">
        <v>45267.0</v>
      </c>
      <c r="U652" s="52">
        <v>45262.0</v>
      </c>
      <c r="V652" s="52">
        <v>45266.0</v>
      </c>
      <c r="W652" s="30"/>
      <c r="X652" s="30"/>
      <c r="Y652" s="31"/>
      <c r="Z652" s="31"/>
      <c r="AA652" s="31"/>
      <c r="AB652" s="74" t="s">
        <v>2616</v>
      </c>
      <c r="AC652" s="74"/>
    </row>
    <row r="653" ht="16.5" customHeight="1">
      <c r="A653" s="48" t="s">
        <v>2617</v>
      </c>
      <c r="B653" s="53" t="s">
        <v>1676</v>
      </c>
      <c r="C653" s="47">
        <v>0.0</v>
      </c>
      <c r="D653" s="70"/>
      <c r="E653" s="55" t="s">
        <v>2618</v>
      </c>
      <c r="F653" s="32" t="s">
        <v>33</v>
      </c>
      <c r="G653" s="32" t="s">
        <v>35</v>
      </c>
      <c r="H653" s="71" t="s">
        <v>35</v>
      </c>
      <c r="I653" s="71" t="s">
        <v>665</v>
      </c>
      <c r="J653" s="34" t="s">
        <v>65</v>
      </c>
      <c r="K653" s="57" t="s">
        <v>38</v>
      </c>
      <c r="L653" s="72">
        <v>10117.0</v>
      </c>
      <c r="M653" s="22"/>
      <c r="N653" s="76"/>
      <c r="O653" s="28">
        <v>45279.0</v>
      </c>
      <c r="P653" s="35" t="s">
        <v>2619</v>
      </c>
      <c r="Q653" s="12"/>
      <c r="R653" s="12"/>
      <c r="S653" s="12"/>
      <c r="T653" s="52">
        <v>45266.0</v>
      </c>
      <c r="U653" s="52">
        <v>45266.0</v>
      </c>
      <c r="V653" s="52">
        <v>45274.0</v>
      </c>
      <c r="W653" s="30"/>
      <c r="X653" s="30"/>
      <c r="Y653" s="31"/>
      <c r="Z653" s="31"/>
      <c r="AA653" s="31"/>
      <c r="AB653" s="74" t="s">
        <v>2620</v>
      </c>
      <c r="AC653" s="74"/>
    </row>
    <row r="654" ht="16.5" customHeight="1">
      <c r="A654" s="48" t="s">
        <v>2621</v>
      </c>
      <c r="B654" s="53" t="s">
        <v>1811</v>
      </c>
      <c r="C654" s="47">
        <v>0.0</v>
      </c>
      <c r="D654" s="70" t="s">
        <v>2622</v>
      </c>
      <c r="E654" s="55" t="s">
        <v>251</v>
      </c>
      <c r="F654" s="32" t="s">
        <v>33</v>
      </c>
      <c r="G654" s="32" t="s">
        <v>34</v>
      </c>
      <c r="H654" s="71" t="s">
        <v>35</v>
      </c>
      <c r="I654" s="71" t="s">
        <v>36</v>
      </c>
      <c r="J654" s="34" t="s">
        <v>37</v>
      </c>
      <c r="K654" s="57" t="s">
        <v>38</v>
      </c>
      <c r="L654" s="72">
        <v>10172.0</v>
      </c>
      <c r="M654" s="27"/>
      <c r="N654" s="76"/>
      <c r="O654" s="28">
        <v>45295.0</v>
      </c>
      <c r="P654" s="26"/>
      <c r="Q654" s="12"/>
      <c r="R654" s="12"/>
      <c r="S654" s="12"/>
      <c r="T654" s="52">
        <v>45265.0</v>
      </c>
      <c r="U654" s="52">
        <v>45265.0</v>
      </c>
      <c r="V654" s="52">
        <v>45280.0</v>
      </c>
      <c r="W654" s="30"/>
      <c r="X654" s="30"/>
      <c r="Y654" s="31"/>
      <c r="Z654" s="31"/>
      <c r="AA654" s="31"/>
      <c r="AB654" s="74" t="s">
        <v>2623</v>
      </c>
      <c r="AC654" s="74"/>
    </row>
    <row r="655" ht="16.5" customHeight="1">
      <c r="A655" s="48" t="s">
        <v>2624</v>
      </c>
      <c r="B655" s="53" t="s">
        <v>1811</v>
      </c>
      <c r="C655" s="47">
        <v>0.0</v>
      </c>
      <c r="D655" s="70" t="s">
        <v>2625</v>
      </c>
      <c r="E655" s="55" t="s">
        <v>117</v>
      </c>
      <c r="F655" s="32" t="s">
        <v>33</v>
      </c>
      <c r="G655" s="32" t="s">
        <v>34</v>
      </c>
      <c r="H655" s="71" t="s">
        <v>35</v>
      </c>
      <c r="I655" s="71" t="s">
        <v>36</v>
      </c>
      <c r="J655" s="34" t="s">
        <v>37</v>
      </c>
      <c r="K655" s="57" t="s">
        <v>38</v>
      </c>
      <c r="L655" s="72">
        <v>10172.0</v>
      </c>
      <c r="M655" s="27"/>
      <c r="N655" s="76"/>
      <c r="O655" s="28">
        <v>45295.0</v>
      </c>
      <c r="P655" s="26"/>
      <c r="Q655" s="12"/>
      <c r="R655" s="12"/>
      <c r="S655" s="12"/>
      <c r="T655" s="52">
        <v>45265.0</v>
      </c>
      <c r="U655" s="52">
        <v>45265.0</v>
      </c>
      <c r="V655" s="52">
        <v>45279.0</v>
      </c>
      <c r="W655" s="30"/>
      <c r="X655" s="30"/>
      <c r="Y655" s="31"/>
      <c r="Z655" s="31"/>
      <c r="AA655" s="31"/>
      <c r="AB655" s="74" t="s">
        <v>2626</v>
      </c>
      <c r="AC655" s="74"/>
    </row>
    <row r="656" ht="16.5" customHeight="1">
      <c r="A656" s="48" t="s">
        <v>2627</v>
      </c>
      <c r="B656" s="53" t="s">
        <v>1811</v>
      </c>
      <c r="C656" s="47">
        <v>0.0</v>
      </c>
      <c r="D656" s="70" t="s">
        <v>2628</v>
      </c>
      <c r="E656" s="55" t="s">
        <v>117</v>
      </c>
      <c r="F656" s="32" t="s">
        <v>33</v>
      </c>
      <c r="G656" s="32" t="s">
        <v>34</v>
      </c>
      <c r="H656" s="71" t="s">
        <v>35</v>
      </c>
      <c r="I656" s="71" t="s">
        <v>36</v>
      </c>
      <c r="J656" s="34" t="s">
        <v>37</v>
      </c>
      <c r="K656" s="57" t="s">
        <v>38</v>
      </c>
      <c r="L656" s="72">
        <v>10172.0</v>
      </c>
      <c r="M656" s="27"/>
      <c r="N656" s="76"/>
      <c r="O656" s="28">
        <v>45295.0</v>
      </c>
      <c r="P656" s="26"/>
      <c r="Q656" s="12"/>
      <c r="R656" s="12"/>
      <c r="S656" s="12"/>
      <c r="T656" s="52">
        <v>45265.0</v>
      </c>
      <c r="U656" s="52">
        <v>45265.0</v>
      </c>
      <c r="V656" s="52">
        <v>45279.0</v>
      </c>
      <c r="W656" s="30"/>
      <c r="X656" s="30"/>
      <c r="Y656" s="31"/>
      <c r="Z656" s="31"/>
      <c r="AA656" s="31"/>
      <c r="AB656" s="74" t="s">
        <v>2629</v>
      </c>
      <c r="AC656" s="74"/>
    </row>
    <row r="657" ht="16.5" customHeight="1">
      <c r="A657" s="48" t="s">
        <v>2630</v>
      </c>
      <c r="B657" s="53" t="s">
        <v>1811</v>
      </c>
      <c r="C657" s="47">
        <v>0.0</v>
      </c>
      <c r="D657" s="70" t="s">
        <v>2631</v>
      </c>
      <c r="E657" s="55" t="s">
        <v>338</v>
      </c>
      <c r="F657" s="32" t="s">
        <v>33</v>
      </c>
      <c r="G657" s="32" t="s">
        <v>34</v>
      </c>
      <c r="H657" s="71" t="s">
        <v>35</v>
      </c>
      <c r="I657" s="71" t="s">
        <v>36</v>
      </c>
      <c r="J657" s="34" t="s">
        <v>37</v>
      </c>
      <c r="K657" s="57" t="s">
        <v>38</v>
      </c>
      <c r="L657" s="72">
        <v>10172.0</v>
      </c>
      <c r="M657" s="27"/>
      <c r="N657" s="76"/>
      <c r="O657" s="28">
        <v>45295.0</v>
      </c>
      <c r="P657" s="26"/>
      <c r="Q657" s="12"/>
      <c r="R657" s="12"/>
      <c r="S657" s="12"/>
      <c r="T657" s="52">
        <v>45265.0</v>
      </c>
      <c r="U657" s="52">
        <v>45265.0</v>
      </c>
      <c r="V657" s="52">
        <v>45289.0</v>
      </c>
      <c r="W657" s="30"/>
      <c r="X657" s="30"/>
      <c r="Y657" s="31"/>
      <c r="Z657" s="31"/>
      <c r="AA657" s="31"/>
      <c r="AB657" s="74" t="s">
        <v>2632</v>
      </c>
      <c r="AC657" s="74"/>
    </row>
    <row r="658" ht="16.5" customHeight="1">
      <c r="A658" s="48" t="s">
        <v>2633</v>
      </c>
      <c r="B658" s="53" t="s">
        <v>1811</v>
      </c>
      <c r="C658" s="47">
        <v>0.0</v>
      </c>
      <c r="D658" s="70" t="s">
        <v>2634</v>
      </c>
      <c r="E658" s="55" t="s">
        <v>338</v>
      </c>
      <c r="F658" s="32" t="s">
        <v>33</v>
      </c>
      <c r="G658" s="32" t="s">
        <v>34</v>
      </c>
      <c r="H658" s="71" t="s">
        <v>35</v>
      </c>
      <c r="I658" s="71" t="s">
        <v>36</v>
      </c>
      <c r="J658" s="34" t="s">
        <v>37</v>
      </c>
      <c r="K658" s="57" t="s">
        <v>38</v>
      </c>
      <c r="L658" s="72">
        <v>10172.0</v>
      </c>
      <c r="M658" s="27"/>
      <c r="N658" s="76"/>
      <c r="O658" s="28">
        <v>45295.0</v>
      </c>
      <c r="P658" s="26"/>
      <c r="Q658" s="12"/>
      <c r="R658" s="12"/>
      <c r="S658" s="12"/>
      <c r="T658" s="52">
        <v>45265.0</v>
      </c>
      <c r="U658" s="52">
        <v>45265.0</v>
      </c>
      <c r="V658" s="52">
        <v>45273.0</v>
      </c>
      <c r="W658" s="30"/>
      <c r="X658" s="30"/>
      <c r="Y658" s="31"/>
      <c r="Z658" s="31"/>
      <c r="AA658" s="31"/>
      <c r="AB658" s="74" t="s">
        <v>2635</v>
      </c>
      <c r="AC658" s="74"/>
    </row>
    <row r="659" ht="16.5" customHeight="1">
      <c r="A659" s="48" t="s">
        <v>2636</v>
      </c>
      <c r="B659" s="53" t="s">
        <v>1811</v>
      </c>
      <c r="C659" s="47">
        <v>0.0</v>
      </c>
      <c r="D659" s="70" t="s">
        <v>2637</v>
      </c>
      <c r="E659" s="55" t="s">
        <v>338</v>
      </c>
      <c r="F659" s="32" t="s">
        <v>33</v>
      </c>
      <c r="G659" s="32" t="s">
        <v>34</v>
      </c>
      <c r="H659" s="71" t="s">
        <v>35</v>
      </c>
      <c r="I659" s="71" t="s">
        <v>36</v>
      </c>
      <c r="J659" s="34" t="s">
        <v>37</v>
      </c>
      <c r="K659" s="57" t="s">
        <v>38</v>
      </c>
      <c r="L659" s="72">
        <v>10172.0</v>
      </c>
      <c r="M659" s="27"/>
      <c r="N659" s="76"/>
      <c r="O659" s="28">
        <v>45295.0</v>
      </c>
      <c r="P659" s="26"/>
      <c r="Q659" s="12"/>
      <c r="R659" s="12"/>
      <c r="S659" s="12"/>
      <c r="T659" s="52">
        <v>45265.0</v>
      </c>
      <c r="U659" s="52">
        <v>45265.0</v>
      </c>
      <c r="V659" s="52">
        <v>45273.0</v>
      </c>
      <c r="W659" s="30"/>
      <c r="X659" s="30"/>
      <c r="Y659" s="31"/>
      <c r="Z659" s="31"/>
      <c r="AA659" s="31"/>
      <c r="AB659" s="74" t="s">
        <v>2638</v>
      </c>
      <c r="AC659" s="74"/>
    </row>
    <row r="660" ht="16.5" customHeight="1">
      <c r="A660" s="48" t="s">
        <v>2639</v>
      </c>
      <c r="B660" s="53" t="s">
        <v>1811</v>
      </c>
      <c r="C660" s="47">
        <v>0.0</v>
      </c>
      <c r="D660" s="70" t="s">
        <v>2640</v>
      </c>
      <c r="E660" s="55" t="s">
        <v>338</v>
      </c>
      <c r="F660" s="32" t="s">
        <v>33</v>
      </c>
      <c r="G660" s="32" t="s">
        <v>34</v>
      </c>
      <c r="H660" s="71" t="s">
        <v>35</v>
      </c>
      <c r="I660" s="71" t="s">
        <v>36</v>
      </c>
      <c r="J660" s="34" t="s">
        <v>37</v>
      </c>
      <c r="K660" s="57" t="s">
        <v>38</v>
      </c>
      <c r="L660" s="72">
        <v>10172.0</v>
      </c>
      <c r="M660" s="27"/>
      <c r="N660" s="76"/>
      <c r="O660" s="28">
        <v>45295.0</v>
      </c>
      <c r="P660" s="26"/>
      <c r="Q660" s="12"/>
      <c r="R660" s="12"/>
      <c r="S660" s="12"/>
      <c r="T660" s="52">
        <v>45265.0</v>
      </c>
      <c r="U660" s="52">
        <v>45265.0</v>
      </c>
      <c r="V660" s="52">
        <v>45273.0</v>
      </c>
      <c r="W660" s="30"/>
      <c r="X660" s="30"/>
      <c r="Y660" s="31"/>
      <c r="Z660" s="31"/>
      <c r="AA660" s="31"/>
      <c r="AB660" s="74" t="s">
        <v>2641</v>
      </c>
      <c r="AC660" s="74"/>
    </row>
    <row r="661" ht="16.5" customHeight="1">
      <c r="A661" s="48" t="s">
        <v>2642</v>
      </c>
      <c r="B661" s="53" t="s">
        <v>2643</v>
      </c>
      <c r="C661" s="47">
        <v>0.0</v>
      </c>
      <c r="D661" s="70"/>
      <c r="E661" s="55" t="s">
        <v>251</v>
      </c>
      <c r="F661" s="32" t="s">
        <v>33</v>
      </c>
      <c r="G661" s="32" t="s">
        <v>35</v>
      </c>
      <c r="H661" s="71" t="s">
        <v>35</v>
      </c>
      <c r="I661" s="71" t="s">
        <v>36</v>
      </c>
      <c r="J661" s="34" t="s">
        <v>65</v>
      </c>
      <c r="K661" s="57" t="s">
        <v>38</v>
      </c>
      <c r="L661" s="72">
        <v>10096.0</v>
      </c>
      <c r="M661" s="27"/>
      <c r="N661" s="76"/>
      <c r="O661" s="28">
        <v>45271.0</v>
      </c>
      <c r="P661" s="26"/>
      <c r="Q661" s="12"/>
      <c r="R661" s="12"/>
      <c r="S661" s="12"/>
      <c r="T661" s="52">
        <v>45254.0</v>
      </c>
      <c r="U661" s="52">
        <v>45258.0</v>
      </c>
      <c r="V661" s="52">
        <v>45271.0</v>
      </c>
      <c r="W661" s="30"/>
      <c r="X661" s="30"/>
      <c r="Y661" s="31"/>
      <c r="Z661" s="31"/>
      <c r="AA661" s="31"/>
      <c r="AB661" s="74" t="s">
        <v>2644</v>
      </c>
      <c r="AC661" s="74"/>
    </row>
    <row r="662" ht="16.5" customHeight="1">
      <c r="A662" s="48" t="s">
        <v>2645</v>
      </c>
      <c r="B662" s="53" t="s">
        <v>2646</v>
      </c>
      <c r="C662" s="47">
        <v>0.0</v>
      </c>
      <c r="D662" s="70" t="s">
        <v>2647</v>
      </c>
      <c r="E662" s="55" t="s">
        <v>383</v>
      </c>
      <c r="F662" s="32" t="s">
        <v>33</v>
      </c>
      <c r="G662" s="32" t="s">
        <v>35</v>
      </c>
      <c r="H662" s="71" t="s">
        <v>35</v>
      </c>
      <c r="I662" s="71" t="s">
        <v>36</v>
      </c>
      <c r="J662" s="34" t="s">
        <v>65</v>
      </c>
      <c r="K662" s="57" t="s">
        <v>38</v>
      </c>
      <c r="L662" s="72">
        <v>10148.0</v>
      </c>
      <c r="M662" s="27"/>
      <c r="N662" s="76"/>
      <c r="O662" s="28">
        <v>45288.0</v>
      </c>
      <c r="P662" s="26"/>
      <c r="Q662" s="12"/>
      <c r="R662" s="12"/>
      <c r="S662" s="12"/>
      <c r="T662" s="52">
        <v>45265.0</v>
      </c>
      <c r="U662" s="52">
        <v>45266.0</v>
      </c>
      <c r="V662" s="52">
        <v>45288.0</v>
      </c>
      <c r="W662" s="30"/>
      <c r="X662" s="30"/>
      <c r="Y662" s="31"/>
      <c r="Z662" s="31"/>
      <c r="AA662" s="31"/>
      <c r="AB662" s="74" t="s">
        <v>2648</v>
      </c>
      <c r="AC662" s="74"/>
    </row>
    <row r="663" ht="16.5" customHeight="1">
      <c r="A663" s="48" t="s">
        <v>2649</v>
      </c>
      <c r="B663" s="53" t="s">
        <v>2646</v>
      </c>
      <c r="C663" s="47">
        <v>0.0</v>
      </c>
      <c r="D663" s="70" t="s">
        <v>2650</v>
      </c>
      <c r="E663" s="55" t="s">
        <v>506</v>
      </c>
      <c r="F663" s="32" t="s">
        <v>33</v>
      </c>
      <c r="G663" s="32" t="s">
        <v>35</v>
      </c>
      <c r="H663" s="71" t="s">
        <v>35</v>
      </c>
      <c r="I663" s="71" t="s">
        <v>36</v>
      </c>
      <c r="J663" s="34" t="s">
        <v>65</v>
      </c>
      <c r="K663" s="57" t="s">
        <v>38</v>
      </c>
      <c r="L663" s="72">
        <v>10148.0</v>
      </c>
      <c r="M663" s="27"/>
      <c r="N663" s="76"/>
      <c r="O663" s="28">
        <v>45288.0</v>
      </c>
      <c r="P663" s="26"/>
      <c r="Q663" s="12"/>
      <c r="R663" s="12"/>
      <c r="S663" s="12"/>
      <c r="T663" s="52">
        <v>45265.0</v>
      </c>
      <c r="U663" s="52">
        <v>45266.0</v>
      </c>
      <c r="V663" s="52">
        <v>45281.0</v>
      </c>
      <c r="W663" s="30"/>
      <c r="X663" s="30"/>
      <c r="Y663" s="31"/>
      <c r="Z663" s="31"/>
      <c r="AA663" s="31"/>
      <c r="AB663" s="74" t="s">
        <v>2651</v>
      </c>
      <c r="AC663" s="74"/>
    </row>
    <row r="664" ht="16.5" customHeight="1">
      <c r="A664" s="48" t="s">
        <v>2652</v>
      </c>
      <c r="B664" s="53" t="s">
        <v>2646</v>
      </c>
      <c r="C664" s="47">
        <v>0.0</v>
      </c>
      <c r="D664" s="70" t="s">
        <v>2653</v>
      </c>
      <c r="E664" s="55" t="s">
        <v>731</v>
      </c>
      <c r="F664" s="32" t="s">
        <v>33</v>
      </c>
      <c r="G664" s="32" t="s">
        <v>35</v>
      </c>
      <c r="H664" s="71" t="s">
        <v>35</v>
      </c>
      <c r="I664" s="71" t="s">
        <v>36</v>
      </c>
      <c r="J664" s="34" t="s">
        <v>65</v>
      </c>
      <c r="K664" s="57" t="s">
        <v>38</v>
      </c>
      <c r="L664" s="72">
        <v>10148.0</v>
      </c>
      <c r="M664" s="27"/>
      <c r="N664" s="76"/>
      <c r="O664" s="28">
        <v>45288.0</v>
      </c>
      <c r="P664" s="26"/>
      <c r="Q664" s="12"/>
      <c r="R664" s="12"/>
      <c r="S664" s="12"/>
      <c r="T664" s="52">
        <v>45265.0</v>
      </c>
      <c r="U664" s="52">
        <v>45266.0</v>
      </c>
      <c r="V664" s="52">
        <v>45280.0</v>
      </c>
      <c r="W664" s="30"/>
      <c r="X664" s="30"/>
      <c r="Y664" s="31"/>
      <c r="Z664" s="31"/>
      <c r="AA664" s="31"/>
      <c r="AB664" s="74" t="s">
        <v>2654</v>
      </c>
      <c r="AC664" s="74"/>
    </row>
    <row r="665" ht="16.5" customHeight="1">
      <c r="A665" s="48" t="s">
        <v>2655</v>
      </c>
      <c r="B665" s="53" t="s">
        <v>1768</v>
      </c>
      <c r="C665" s="47">
        <v>0.0</v>
      </c>
      <c r="D665" s="70" t="s">
        <v>2656</v>
      </c>
      <c r="E665" s="55" t="s">
        <v>79</v>
      </c>
      <c r="F665" s="32" t="s">
        <v>33</v>
      </c>
      <c r="G665" s="32" t="s">
        <v>35</v>
      </c>
      <c r="H665" s="71" t="s">
        <v>35</v>
      </c>
      <c r="I665" s="71" t="s">
        <v>36</v>
      </c>
      <c r="J665" s="34" t="s">
        <v>37</v>
      </c>
      <c r="K665" s="57" t="s">
        <v>38</v>
      </c>
      <c r="L665" s="72">
        <v>10116.0</v>
      </c>
      <c r="M665" s="27"/>
      <c r="N665" s="76"/>
      <c r="O665" s="28">
        <v>45278.0</v>
      </c>
      <c r="P665" s="26"/>
      <c r="Q665" s="12"/>
      <c r="R665" s="12"/>
      <c r="S665" s="12"/>
      <c r="T665" s="52">
        <v>45266.0</v>
      </c>
      <c r="U665" s="52">
        <v>45266.0</v>
      </c>
      <c r="V665" s="52">
        <v>45274.0</v>
      </c>
      <c r="W665" s="30"/>
      <c r="X665" s="30"/>
      <c r="Y665" s="31"/>
      <c r="Z665" s="31"/>
      <c r="AA665" s="31"/>
      <c r="AB665" s="74" t="s">
        <v>2657</v>
      </c>
      <c r="AC665" s="74"/>
    </row>
    <row r="666" ht="16.5" customHeight="1">
      <c r="A666" s="48" t="s">
        <v>2658</v>
      </c>
      <c r="B666" s="53" t="s">
        <v>287</v>
      </c>
      <c r="C666" s="47">
        <v>0.0</v>
      </c>
      <c r="D666" s="70" t="s">
        <v>2659</v>
      </c>
      <c r="E666" s="55" t="s">
        <v>251</v>
      </c>
      <c r="F666" s="32" t="s">
        <v>33</v>
      </c>
      <c r="G666" s="32" t="s">
        <v>368</v>
      </c>
      <c r="H666" s="71" t="s">
        <v>35</v>
      </c>
      <c r="I666" s="71" t="s">
        <v>36</v>
      </c>
      <c r="J666" s="34" t="s">
        <v>92</v>
      </c>
      <c r="K666" s="57" t="s">
        <v>38</v>
      </c>
      <c r="L666" s="72" t="s">
        <v>2660</v>
      </c>
      <c r="M666" s="22"/>
      <c r="N666" s="76"/>
      <c r="O666" s="28">
        <v>45281.0</v>
      </c>
      <c r="P666" s="35" t="s">
        <v>2661</v>
      </c>
      <c r="Q666" s="12"/>
      <c r="R666" s="12"/>
      <c r="S666" s="12"/>
      <c r="T666" s="52">
        <v>45266.0</v>
      </c>
      <c r="U666" s="52">
        <v>45266.0</v>
      </c>
      <c r="V666" s="52">
        <v>45280.0</v>
      </c>
      <c r="W666" s="30"/>
      <c r="X666" s="30"/>
      <c r="Y666" s="31"/>
      <c r="Z666" s="31"/>
      <c r="AA666" s="31"/>
      <c r="AB666" s="74" t="s">
        <v>2662</v>
      </c>
      <c r="AC666" s="74"/>
    </row>
    <row r="667" ht="16.5" customHeight="1">
      <c r="A667" s="48" t="s">
        <v>2663</v>
      </c>
      <c r="B667" s="53" t="s">
        <v>287</v>
      </c>
      <c r="C667" s="47">
        <v>0.0</v>
      </c>
      <c r="D667" s="70" t="s">
        <v>2664</v>
      </c>
      <c r="E667" s="55" t="s">
        <v>511</v>
      </c>
      <c r="F667" s="32" t="s">
        <v>33</v>
      </c>
      <c r="G667" s="32" t="s">
        <v>368</v>
      </c>
      <c r="H667" s="71" t="s">
        <v>35</v>
      </c>
      <c r="I667" s="71" t="s">
        <v>36</v>
      </c>
      <c r="J667" s="34" t="s">
        <v>92</v>
      </c>
      <c r="K667" s="57" t="s">
        <v>38</v>
      </c>
      <c r="L667" s="72" t="s">
        <v>2660</v>
      </c>
      <c r="M667" s="22"/>
      <c r="N667" s="76"/>
      <c r="O667" s="28">
        <v>45281.0</v>
      </c>
      <c r="P667" s="35" t="s">
        <v>2661</v>
      </c>
      <c r="Q667" s="12"/>
      <c r="R667" s="12"/>
      <c r="S667" s="12"/>
      <c r="T667" s="52">
        <v>45266.0</v>
      </c>
      <c r="U667" s="52">
        <v>45266.0</v>
      </c>
      <c r="V667" s="52">
        <v>45280.0</v>
      </c>
      <c r="W667" s="30"/>
      <c r="X667" s="30"/>
      <c r="Y667" s="31"/>
      <c r="Z667" s="31"/>
      <c r="AA667" s="31"/>
      <c r="AB667" s="74" t="s">
        <v>2665</v>
      </c>
      <c r="AC667" s="74"/>
    </row>
    <row r="668" ht="16.5" customHeight="1">
      <c r="A668" s="48" t="s">
        <v>2666</v>
      </c>
      <c r="B668" s="53" t="s">
        <v>1392</v>
      </c>
      <c r="C668" s="47">
        <v>0.0</v>
      </c>
      <c r="D668" s="70" t="s">
        <v>2667</v>
      </c>
      <c r="E668" s="55" t="s">
        <v>268</v>
      </c>
      <c r="F668" s="32" t="s">
        <v>33</v>
      </c>
      <c r="G668" s="32" t="s">
        <v>35</v>
      </c>
      <c r="H668" s="71" t="s">
        <v>35</v>
      </c>
      <c r="I668" s="71" t="s">
        <v>36</v>
      </c>
      <c r="J668" s="34" t="s">
        <v>49</v>
      </c>
      <c r="K668" s="57" t="s">
        <v>38</v>
      </c>
      <c r="L668" s="72">
        <v>10138.0</v>
      </c>
      <c r="M668" s="27"/>
      <c r="N668" s="76"/>
      <c r="O668" s="28">
        <v>45281.0</v>
      </c>
      <c r="P668" s="26"/>
      <c r="Q668" s="12"/>
      <c r="R668" s="12"/>
      <c r="S668" s="12"/>
      <c r="T668" s="52">
        <v>45266.0</v>
      </c>
      <c r="U668" s="52">
        <v>45266.0</v>
      </c>
      <c r="V668" s="52">
        <v>45280.0</v>
      </c>
      <c r="W668" s="30"/>
      <c r="X668" s="30"/>
      <c r="Y668" s="31"/>
      <c r="Z668" s="31"/>
      <c r="AA668" s="31"/>
      <c r="AB668" s="74" t="s">
        <v>2668</v>
      </c>
      <c r="AC668" s="74"/>
    </row>
    <row r="669" ht="16.5" customHeight="1">
      <c r="A669" s="48" t="s">
        <v>2669</v>
      </c>
      <c r="B669" s="53" t="s">
        <v>818</v>
      </c>
      <c r="C669" s="47">
        <v>34.0</v>
      </c>
      <c r="D669" s="70" t="s">
        <v>2670</v>
      </c>
      <c r="E669" s="55" t="s">
        <v>47</v>
      </c>
      <c r="F669" s="32" t="s">
        <v>48</v>
      </c>
      <c r="G669" s="32" t="s">
        <v>35</v>
      </c>
      <c r="H669" s="71" t="s">
        <v>35</v>
      </c>
      <c r="I669" s="71" t="s">
        <v>36</v>
      </c>
      <c r="J669" s="34" t="s">
        <v>49</v>
      </c>
      <c r="K669" s="57" t="s">
        <v>38</v>
      </c>
      <c r="L669" s="72">
        <v>10417.0</v>
      </c>
      <c r="M669" s="27"/>
      <c r="N669" s="73"/>
      <c r="O669" s="28">
        <v>45352.0</v>
      </c>
      <c r="P669" s="26"/>
      <c r="Q669" s="12"/>
      <c r="R669" s="12"/>
      <c r="S669" s="12"/>
      <c r="T669" s="52">
        <v>45266.0</v>
      </c>
      <c r="U669" s="52">
        <v>45349.0</v>
      </c>
      <c r="V669" s="52">
        <v>45351.0</v>
      </c>
      <c r="W669" s="30"/>
      <c r="X669" s="30"/>
      <c r="Y669" s="31"/>
      <c r="Z669" s="31"/>
      <c r="AA669" s="31"/>
      <c r="AB669" s="74" t="s">
        <v>2671</v>
      </c>
      <c r="AC669" s="74"/>
    </row>
    <row r="670" ht="16.5" customHeight="1">
      <c r="A670" s="48" t="s">
        <v>2672</v>
      </c>
      <c r="B670" s="53" t="s">
        <v>818</v>
      </c>
      <c r="C670" s="47">
        <v>34.0</v>
      </c>
      <c r="D670" s="70" t="s">
        <v>2673</v>
      </c>
      <c r="E670" s="55" t="s">
        <v>47</v>
      </c>
      <c r="F670" s="32" t="s">
        <v>48</v>
      </c>
      <c r="G670" s="32" t="s">
        <v>35</v>
      </c>
      <c r="H670" s="71" t="s">
        <v>35</v>
      </c>
      <c r="I670" s="71" t="s">
        <v>36</v>
      </c>
      <c r="J670" s="34" t="s">
        <v>49</v>
      </c>
      <c r="K670" s="57" t="s">
        <v>38</v>
      </c>
      <c r="L670" s="72">
        <v>10417.0</v>
      </c>
      <c r="M670" s="27"/>
      <c r="N670" s="73"/>
      <c r="O670" s="28">
        <v>45352.0</v>
      </c>
      <c r="P670" s="26"/>
      <c r="Q670" s="12"/>
      <c r="R670" s="12"/>
      <c r="S670" s="12"/>
      <c r="T670" s="52">
        <v>45266.0</v>
      </c>
      <c r="U670" s="52">
        <v>45349.0</v>
      </c>
      <c r="V670" s="52">
        <v>45351.0</v>
      </c>
      <c r="W670" s="30"/>
      <c r="X670" s="30"/>
      <c r="Y670" s="31"/>
      <c r="Z670" s="31"/>
      <c r="AA670" s="31"/>
      <c r="AB670" s="74" t="s">
        <v>2674</v>
      </c>
      <c r="AC670" s="74"/>
    </row>
    <row r="671" ht="16.5" customHeight="1">
      <c r="A671" s="48" t="s">
        <v>2675</v>
      </c>
      <c r="B671" s="53" t="s">
        <v>818</v>
      </c>
      <c r="C671" s="47">
        <v>34.0</v>
      </c>
      <c r="D671" s="70" t="s">
        <v>2676</v>
      </c>
      <c r="E671" s="55" t="s">
        <v>47</v>
      </c>
      <c r="F671" s="32" t="s">
        <v>48</v>
      </c>
      <c r="G671" s="32" t="s">
        <v>35</v>
      </c>
      <c r="H671" s="71" t="s">
        <v>35</v>
      </c>
      <c r="I671" s="71" t="s">
        <v>36</v>
      </c>
      <c r="J671" s="34" t="s">
        <v>49</v>
      </c>
      <c r="K671" s="57" t="s">
        <v>38</v>
      </c>
      <c r="L671" s="72">
        <v>10417.0</v>
      </c>
      <c r="M671" s="27"/>
      <c r="N671" s="73"/>
      <c r="O671" s="28">
        <v>45352.0</v>
      </c>
      <c r="P671" s="26"/>
      <c r="Q671" s="12"/>
      <c r="R671" s="12"/>
      <c r="S671" s="12"/>
      <c r="T671" s="52">
        <v>45266.0</v>
      </c>
      <c r="U671" s="52">
        <v>45349.0</v>
      </c>
      <c r="V671" s="52">
        <v>45351.0</v>
      </c>
      <c r="W671" s="30"/>
      <c r="X671" s="30"/>
      <c r="Y671" s="31"/>
      <c r="Z671" s="31"/>
      <c r="AA671" s="31"/>
      <c r="AB671" s="74" t="s">
        <v>2677</v>
      </c>
      <c r="AC671" s="74"/>
    </row>
    <row r="672" ht="16.5" customHeight="1">
      <c r="A672" s="48" t="s">
        <v>2678</v>
      </c>
      <c r="B672" s="53" t="s">
        <v>818</v>
      </c>
      <c r="C672" s="47">
        <v>34.0</v>
      </c>
      <c r="D672" s="70" t="s">
        <v>2679</v>
      </c>
      <c r="E672" s="55" t="s">
        <v>47</v>
      </c>
      <c r="F672" s="32" t="s">
        <v>48</v>
      </c>
      <c r="G672" s="32" t="s">
        <v>35</v>
      </c>
      <c r="H672" s="71" t="s">
        <v>35</v>
      </c>
      <c r="I672" s="71" t="s">
        <v>36</v>
      </c>
      <c r="J672" s="34" t="s">
        <v>49</v>
      </c>
      <c r="K672" s="57" t="s">
        <v>38</v>
      </c>
      <c r="L672" s="72">
        <v>10417.0</v>
      </c>
      <c r="M672" s="27"/>
      <c r="N672" s="73"/>
      <c r="O672" s="28">
        <v>45352.0</v>
      </c>
      <c r="P672" s="26"/>
      <c r="Q672" s="12"/>
      <c r="R672" s="12"/>
      <c r="S672" s="12"/>
      <c r="T672" s="52">
        <v>45266.0</v>
      </c>
      <c r="U672" s="52">
        <v>45349.0</v>
      </c>
      <c r="V672" s="52">
        <v>45351.0</v>
      </c>
      <c r="W672" s="30"/>
      <c r="X672" s="30"/>
      <c r="Y672" s="31"/>
      <c r="Z672" s="31"/>
      <c r="AA672" s="31"/>
      <c r="AB672" s="74" t="s">
        <v>2680</v>
      </c>
      <c r="AC672" s="74"/>
    </row>
    <row r="673" ht="16.5" customHeight="1">
      <c r="A673" s="48" t="s">
        <v>2681</v>
      </c>
      <c r="B673" s="53" t="s">
        <v>818</v>
      </c>
      <c r="C673" s="47">
        <v>34.0</v>
      </c>
      <c r="D673" s="70" t="s">
        <v>2682</v>
      </c>
      <c r="E673" s="55" t="s">
        <v>47</v>
      </c>
      <c r="F673" s="32" t="s">
        <v>48</v>
      </c>
      <c r="G673" s="32" t="s">
        <v>35</v>
      </c>
      <c r="H673" s="71" t="s">
        <v>35</v>
      </c>
      <c r="I673" s="71" t="s">
        <v>36</v>
      </c>
      <c r="J673" s="34" t="s">
        <v>49</v>
      </c>
      <c r="K673" s="57" t="s">
        <v>38</v>
      </c>
      <c r="L673" s="72">
        <v>10417.0</v>
      </c>
      <c r="M673" s="27"/>
      <c r="N673" s="73"/>
      <c r="O673" s="28">
        <v>45352.0</v>
      </c>
      <c r="P673" s="26"/>
      <c r="Q673" s="12"/>
      <c r="R673" s="12"/>
      <c r="S673" s="12"/>
      <c r="T673" s="52">
        <v>45266.0</v>
      </c>
      <c r="U673" s="52">
        <v>45349.0</v>
      </c>
      <c r="V673" s="52">
        <v>45351.0</v>
      </c>
      <c r="W673" s="30"/>
      <c r="X673" s="30"/>
      <c r="Y673" s="31"/>
      <c r="Z673" s="31"/>
      <c r="AA673" s="31"/>
      <c r="AB673" s="74" t="s">
        <v>2683</v>
      </c>
      <c r="AC673" s="74"/>
    </row>
    <row r="674" ht="16.5" customHeight="1">
      <c r="A674" s="48" t="s">
        <v>2684</v>
      </c>
      <c r="B674" s="53" t="s">
        <v>2061</v>
      </c>
      <c r="C674" s="47">
        <v>0.0</v>
      </c>
      <c r="D674" s="70" t="s">
        <v>2685</v>
      </c>
      <c r="E674" s="55" t="s">
        <v>243</v>
      </c>
      <c r="F674" s="32" t="s">
        <v>244</v>
      </c>
      <c r="G674" s="32" t="s">
        <v>35</v>
      </c>
      <c r="H674" s="71" t="s">
        <v>35</v>
      </c>
      <c r="I674" s="71" t="s">
        <v>36</v>
      </c>
      <c r="J674" s="34" t="s">
        <v>65</v>
      </c>
      <c r="K674" s="57" t="s">
        <v>38</v>
      </c>
      <c r="L674" s="72">
        <v>10153.0</v>
      </c>
      <c r="M674" s="22"/>
      <c r="N674" s="76"/>
      <c r="O674" s="28">
        <v>45288.0</v>
      </c>
      <c r="P674" s="35" t="s">
        <v>2686</v>
      </c>
      <c r="Q674" s="12"/>
      <c r="R674" s="12"/>
      <c r="S674" s="12"/>
      <c r="T674" s="52">
        <v>45266.0</v>
      </c>
      <c r="U674" s="52">
        <v>45271.0</v>
      </c>
      <c r="V674" s="52">
        <v>45288.0</v>
      </c>
      <c r="W674" s="30"/>
      <c r="X674" s="30"/>
      <c r="Y674" s="31"/>
      <c r="Z674" s="31"/>
      <c r="AA674" s="31"/>
      <c r="AB674" s="74" t="s">
        <v>2687</v>
      </c>
      <c r="AC674" s="74"/>
    </row>
    <row r="675" ht="16.5" customHeight="1">
      <c r="A675" s="48" t="s">
        <v>2688</v>
      </c>
      <c r="B675" s="53" t="s">
        <v>1681</v>
      </c>
      <c r="C675" s="47">
        <v>0.0</v>
      </c>
      <c r="D675" s="70" t="s">
        <v>2689</v>
      </c>
      <c r="E675" s="55" t="s">
        <v>804</v>
      </c>
      <c r="F675" s="32" t="s">
        <v>244</v>
      </c>
      <c r="G675" s="32" t="s">
        <v>35</v>
      </c>
      <c r="H675" s="71" t="s">
        <v>35</v>
      </c>
      <c r="I675" s="71" t="s">
        <v>36</v>
      </c>
      <c r="J675" s="34" t="s">
        <v>92</v>
      </c>
      <c r="K675" s="57" t="s">
        <v>38</v>
      </c>
      <c r="L675" s="72">
        <v>10140.0</v>
      </c>
      <c r="M675" s="27"/>
      <c r="N675" s="76"/>
      <c r="O675" s="28">
        <v>45281.0</v>
      </c>
      <c r="P675" s="26"/>
      <c r="Q675" s="12"/>
      <c r="R675" s="12"/>
      <c r="S675" s="12"/>
      <c r="T675" s="52">
        <v>45266.0</v>
      </c>
      <c r="U675" s="52">
        <v>45266.0</v>
      </c>
      <c r="V675" s="52">
        <v>45281.0</v>
      </c>
      <c r="W675" s="30"/>
      <c r="X675" s="30"/>
      <c r="Y675" s="31"/>
      <c r="Z675" s="31"/>
      <c r="AA675" s="31"/>
      <c r="AB675" s="74" t="s">
        <v>2690</v>
      </c>
      <c r="AC675" s="74"/>
    </row>
    <row r="676" ht="16.5" customHeight="1">
      <c r="A676" s="48" t="s">
        <v>2691</v>
      </c>
      <c r="B676" s="53" t="s">
        <v>1964</v>
      </c>
      <c r="C676" s="47">
        <v>0.0</v>
      </c>
      <c r="D676" s="70" t="s">
        <v>2692</v>
      </c>
      <c r="E676" s="55" t="s">
        <v>338</v>
      </c>
      <c r="F676" s="32" t="s">
        <v>33</v>
      </c>
      <c r="G676" s="32" t="s">
        <v>34</v>
      </c>
      <c r="H676" s="71" t="s">
        <v>35</v>
      </c>
      <c r="I676" s="71" t="s">
        <v>36</v>
      </c>
      <c r="J676" s="34" t="s">
        <v>1170</v>
      </c>
      <c r="K676" s="57" t="s">
        <v>38</v>
      </c>
      <c r="L676" s="72">
        <v>10107.0</v>
      </c>
      <c r="M676" s="27"/>
      <c r="N676" s="76"/>
      <c r="O676" s="28">
        <v>45273.0</v>
      </c>
      <c r="P676" s="26"/>
      <c r="Q676" s="12"/>
      <c r="R676" s="12"/>
      <c r="S676" s="12"/>
      <c r="T676" s="52">
        <v>45266.0</v>
      </c>
      <c r="U676" s="52">
        <v>45266.0</v>
      </c>
      <c r="V676" s="52">
        <v>45273.0</v>
      </c>
      <c r="W676" s="30"/>
      <c r="X676" s="30"/>
      <c r="Y676" s="31"/>
      <c r="Z676" s="31"/>
      <c r="AA676" s="31"/>
      <c r="AB676" s="74" t="s">
        <v>2693</v>
      </c>
      <c r="AC676" s="74"/>
    </row>
    <row r="677" ht="16.5" customHeight="1">
      <c r="A677" s="48" t="s">
        <v>2694</v>
      </c>
      <c r="B677" s="53" t="s">
        <v>1964</v>
      </c>
      <c r="C677" s="47">
        <v>0.0</v>
      </c>
      <c r="D677" s="70" t="s">
        <v>2695</v>
      </c>
      <c r="E677" s="55" t="s">
        <v>338</v>
      </c>
      <c r="F677" s="32" t="s">
        <v>33</v>
      </c>
      <c r="G677" s="32" t="s">
        <v>34</v>
      </c>
      <c r="H677" s="71" t="s">
        <v>35</v>
      </c>
      <c r="I677" s="71" t="s">
        <v>36</v>
      </c>
      <c r="J677" s="34" t="s">
        <v>1170</v>
      </c>
      <c r="K677" s="57" t="s">
        <v>38</v>
      </c>
      <c r="L677" s="72">
        <v>10107.0</v>
      </c>
      <c r="M677" s="27"/>
      <c r="N677" s="76"/>
      <c r="O677" s="28">
        <v>45273.0</v>
      </c>
      <c r="P677" s="26"/>
      <c r="Q677" s="12"/>
      <c r="R677" s="12"/>
      <c r="S677" s="12"/>
      <c r="T677" s="52">
        <v>45266.0</v>
      </c>
      <c r="U677" s="52">
        <v>45266.0</v>
      </c>
      <c r="V677" s="52">
        <v>45273.0</v>
      </c>
      <c r="W677" s="30"/>
      <c r="X677" s="30"/>
      <c r="Y677" s="31"/>
      <c r="Z677" s="31"/>
      <c r="AA677" s="31"/>
      <c r="AB677" s="74" t="s">
        <v>2696</v>
      </c>
      <c r="AC677" s="74"/>
    </row>
    <row r="678" ht="16.5" customHeight="1">
      <c r="A678" s="48" t="s">
        <v>2697</v>
      </c>
      <c r="B678" s="53" t="s">
        <v>2698</v>
      </c>
      <c r="C678" s="47">
        <v>0.0</v>
      </c>
      <c r="D678" s="70" t="s">
        <v>2699</v>
      </c>
      <c r="E678" s="55" t="s">
        <v>177</v>
      </c>
      <c r="F678" s="32" t="s">
        <v>48</v>
      </c>
      <c r="G678" s="32" t="s">
        <v>35</v>
      </c>
      <c r="H678" s="71" t="s">
        <v>35</v>
      </c>
      <c r="I678" s="71" t="s">
        <v>36</v>
      </c>
      <c r="J678" s="34" t="s">
        <v>65</v>
      </c>
      <c r="K678" s="57" t="s">
        <v>38</v>
      </c>
      <c r="L678" s="72">
        <v>10269.0</v>
      </c>
      <c r="M678" s="27"/>
      <c r="N678" s="73"/>
      <c r="O678" s="28">
        <v>45310.0</v>
      </c>
      <c r="P678" s="26"/>
      <c r="Q678" s="12"/>
      <c r="R678" s="12"/>
      <c r="S678" s="12"/>
      <c r="T678" s="52">
        <v>45266.0</v>
      </c>
      <c r="U678" s="52">
        <v>45307.0</v>
      </c>
      <c r="V678" s="52">
        <v>45310.0</v>
      </c>
      <c r="W678" s="30"/>
      <c r="X678" s="30"/>
      <c r="Y678" s="31"/>
      <c r="Z678" s="31"/>
      <c r="AA678" s="31"/>
      <c r="AB678" s="74" t="s">
        <v>2700</v>
      </c>
      <c r="AC678" s="74"/>
    </row>
    <row r="679" ht="16.5" customHeight="1">
      <c r="A679" s="48" t="s">
        <v>2701</v>
      </c>
      <c r="B679" s="53" t="s">
        <v>473</v>
      </c>
      <c r="C679" s="47">
        <v>0.0</v>
      </c>
      <c r="D679" s="70" t="s">
        <v>2702</v>
      </c>
      <c r="E679" s="55" t="s">
        <v>98</v>
      </c>
      <c r="F679" s="32" t="s">
        <v>33</v>
      </c>
      <c r="G679" s="32" t="s">
        <v>34</v>
      </c>
      <c r="H679" s="71" t="s">
        <v>35</v>
      </c>
      <c r="I679" s="71" t="s">
        <v>36</v>
      </c>
      <c r="J679" s="34" t="s">
        <v>65</v>
      </c>
      <c r="K679" s="57" t="s">
        <v>38</v>
      </c>
      <c r="L679" s="72">
        <v>10111.0</v>
      </c>
      <c r="M679" s="22"/>
      <c r="N679" s="76"/>
      <c r="O679" s="28">
        <v>45274.0</v>
      </c>
      <c r="P679" s="35" t="s">
        <v>513</v>
      </c>
      <c r="Q679" s="12"/>
      <c r="R679" s="12"/>
      <c r="S679" s="12"/>
      <c r="T679" s="52">
        <v>45266.0</v>
      </c>
      <c r="U679" s="52">
        <v>45273.0</v>
      </c>
      <c r="V679" s="52">
        <v>45274.0</v>
      </c>
      <c r="W679" s="30"/>
      <c r="X679" s="30"/>
      <c r="Y679" s="31"/>
      <c r="Z679" s="31"/>
      <c r="AA679" s="31"/>
      <c r="AB679" s="74" t="s">
        <v>2703</v>
      </c>
      <c r="AC679" s="74"/>
    </row>
    <row r="680" ht="16.5" customHeight="1">
      <c r="A680" s="48" t="s">
        <v>2704</v>
      </c>
      <c r="B680" s="53" t="s">
        <v>543</v>
      </c>
      <c r="C680" s="47">
        <v>0.0</v>
      </c>
      <c r="D680" s="70" t="s">
        <v>2705</v>
      </c>
      <c r="E680" s="55" t="s">
        <v>550</v>
      </c>
      <c r="F680" s="32" t="s">
        <v>33</v>
      </c>
      <c r="G680" s="32" t="s">
        <v>35</v>
      </c>
      <c r="H680" s="71" t="s">
        <v>35</v>
      </c>
      <c r="I680" s="71" t="s">
        <v>36</v>
      </c>
      <c r="J680" s="34" t="s">
        <v>420</v>
      </c>
      <c r="K680" s="57" t="s">
        <v>38</v>
      </c>
      <c r="L680" s="72">
        <v>10126.0</v>
      </c>
      <c r="M680" s="27"/>
      <c r="N680" s="76"/>
      <c r="O680" s="28">
        <v>45280.0</v>
      </c>
      <c r="P680" s="26"/>
      <c r="Q680" s="12"/>
      <c r="R680" s="12"/>
      <c r="S680" s="12"/>
      <c r="T680" s="52">
        <v>45266.0</v>
      </c>
      <c r="U680" s="52">
        <v>45267.0</v>
      </c>
      <c r="V680" s="52">
        <v>45280.0</v>
      </c>
      <c r="W680" s="30"/>
      <c r="X680" s="30"/>
      <c r="Y680" s="31"/>
      <c r="Z680" s="31"/>
      <c r="AA680" s="31"/>
      <c r="AB680" s="74" t="s">
        <v>2706</v>
      </c>
      <c r="AC680" s="74"/>
    </row>
    <row r="681" ht="16.5" customHeight="1">
      <c r="A681" s="48" t="s">
        <v>2707</v>
      </c>
      <c r="B681" s="53" t="s">
        <v>818</v>
      </c>
      <c r="C681" s="47">
        <v>0.0</v>
      </c>
      <c r="D681" s="70" t="s">
        <v>2708</v>
      </c>
      <c r="E681" s="55" t="s">
        <v>171</v>
      </c>
      <c r="F681" s="32" t="s">
        <v>48</v>
      </c>
      <c r="G681" s="32" t="s">
        <v>35</v>
      </c>
      <c r="H681" s="71" t="s">
        <v>35</v>
      </c>
      <c r="I681" s="71" t="s">
        <v>36</v>
      </c>
      <c r="J681" s="34" t="s">
        <v>49</v>
      </c>
      <c r="K681" s="57" t="s">
        <v>38</v>
      </c>
      <c r="L681" s="72">
        <v>10256.0</v>
      </c>
      <c r="M681" s="22"/>
      <c r="N681" s="73"/>
      <c r="O681" s="28">
        <v>45309.0</v>
      </c>
      <c r="P681" s="35" t="s">
        <v>2709</v>
      </c>
      <c r="Q681" s="12"/>
      <c r="R681" s="12"/>
      <c r="S681" s="12"/>
      <c r="T681" s="52">
        <v>45266.0</v>
      </c>
      <c r="U681" s="52">
        <v>45306.0</v>
      </c>
      <c r="V681" s="52">
        <v>45309.0</v>
      </c>
      <c r="W681" s="30"/>
      <c r="X681" s="30"/>
      <c r="Y681" s="31"/>
      <c r="Z681" s="31"/>
      <c r="AA681" s="31"/>
      <c r="AB681" s="74" t="s">
        <v>2710</v>
      </c>
      <c r="AC681" s="74"/>
    </row>
    <row r="682" ht="16.5" customHeight="1">
      <c r="A682" s="48" t="s">
        <v>2711</v>
      </c>
      <c r="B682" s="53" t="s">
        <v>818</v>
      </c>
      <c r="C682" s="47">
        <v>0.0</v>
      </c>
      <c r="D682" s="70" t="s">
        <v>2712</v>
      </c>
      <c r="E682" s="55" t="s">
        <v>171</v>
      </c>
      <c r="F682" s="32" t="s">
        <v>48</v>
      </c>
      <c r="G682" s="32" t="s">
        <v>35</v>
      </c>
      <c r="H682" s="71" t="s">
        <v>35</v>
      </c>
      <c r="I682" s="71" t="s">
        <v>36</v>
      </c>
      <c r="J682" s="34" t="s">
        <v>49</v>
      </c>
      <c r="K682" s="57" t="s">
        <v>38</v>
      </c>
      <c r="L682" s="72">
        <v>10256.0</v>
      </c>
      <c r="M682" s="22"/>
      <c r="N682" s="73"/>
      <c r="O682" s="28">
        <v>45309.0</v>
      </c>
      <c r="P682" s="35" t="s">
        <v>2713</v>
      </c>
      <c r="Q682" s="12"/>
      <c r="R682" s="12"/>
      <c r="S682" s="12"/>
      <c r="T682" s="52">
        <v>45266.0</v>
      </c>
      <c r="U682" s="52">
        <v>45306.0</v>
      </c>
      <c r="V682" s="52">
        <v>45309.0</v>
      </c>
      <c r="W682" s="30"/>
      <c r="X682" s="30"/>
      <c r="Y682" s="31"/>
      <c r="Z682" s="31"/>
      <c r="AA682" s="31"/>
      <c r="AB682" s="74" t="s">
        <v>2714</v>
      </c>
      <c r="AC682" s="74"/>
    </row>
    <row r="683" ht="16.5" customHeight="1">
      <c r="A683" s="48" t="s">
        <v>2715</v>
      </c>
      <c r="B683" s="53" t="s">
        <v>818</v>
      </c>
      <c r="C683" s="47">
        <v>0.0</v>
      </c>
      <c r="D683" s="70" t="s">
        <v>2716</v>
      </c>
      <c r="E683" s="55" t="s">
        <v>171</v>
      </c>
      <c r="F683" s="32" t="s">
        <v>48</v>
      </c>
      <c r="G683" s="32" t="s">
        <v>35</v>
      </c>
      <c r="H683" s="71" t="s">
        <v>35</v>
      </c>
      <c r="I683" s="71" t="s">
        <v>36</v>
      </c>
      <c r="J683" s="34" t="s">
        <v>49</v>
      </c>
      <c r="K683" s="57" t="s">
        <v>38</v>
      </c>
      <c r="L683" s="72">
        <v>10256.0</v>
      </c>
      <c r="M683" s="22"/>
      <c r="N683" s="73"/>
      <c r="O683" s="28">
        <v>45309.0</v>
      </c>
      <c r="P683" s="35" t="s">
        <v>2713</v>
      </c>
      <c r="Q683" s="12"/>
      <c r="R683" s="12"/>
      <c r="S683" s="12"/>
      <c r="T683" s="52">
        <v>45266.0</v>
      </c>
      <c r="U683" s="52">
        <v>45306.0</v>
      </c>
      <c r="V683" s="52">
        <v>45309.0</v>
      </c>
      <c r="W683" s="30"/>
      <c r="X683" s="30"/>
      <c r="Y683" s="31"/>
      <c r="Z683" s="31"/>
      <c r="AA683" s="31"/>
      <c r="AB683" s="74" t="s">
        <v>2717</v>
      </c>
      <c r="AC683" s="74"/>
    </row>
    <row r="684" ht="16.5" customHeight="1">
      <c r="A684" s="48" t="s">
        <v>2718</v>
      </c>
      <c r="B684" s="53" t="s">
        <v>818</v>
      </c>
      <c r="C684" s="47">
        <v>0.0</v>
      </c>
      <c r="D684" s="70" t="s">
        <v>2719</v>
      </c>
      <c r="E684" s="55" t="s">
        <v>171</v>
      </c>
      <c r="F684" s="32" t="s">
        <v>48</v>
      </c>
      <c r="G684" s="32" t="s">
        <v>35</v>
      </c>
      <c r="H684" s="71" t="s">
        <v>35</v>
      </c>
      <c r="I684" s="71" t="s">
        <v>36</v>
      </c>
      <c r="J684" s="34" t="s">
        <v>49</v>
      </c>
      <c r="K684" s="57" t="s">
        <v>38</v>
      </c>
      <c r="L684" s="72">
        <v>10256.0</v>
      </c>
      <c r="M684" s="22"/>
      <c r="N684" s="73"/>
      <c r="O684" s="28">
        <v>45309.0</v>
      </c>
      <c r="P684" s="35" t="s">
        <v>2713</v>
      </c>
      <c r="Q684" s="12"/>
      <c r="R684" s="12"/>
      <c r="S684" s="12"/>
      <c r="T684" s="52">
        <v>45266.0</v>
      </c>
      <c r="U684" s="52">
        <v>45306.0</v>
      </c>
      <c r="V684" s="52">
        <v>45309.0</v>
      </c>
      <c r="W684" s="30"/>
      <c r="X684" s="30"/>
      <c r="Y684" s="31"/>
      <c r="Z684" s="31"/>
      <c r="AA684" s="31"/>
      <c r="AB684" s="74" t="s">
        <v>2720</v>
      </c>
      <c r="AC684" s="74"/>
    </row>
    <row r="685" ht="16.5" customHeight="1">
      <c r="A685" s="48" t="s">
        <v>2721</v>
      </c>
      <c r="B685" s="53" t="s">
        <v>818</v>
      </c>
      <c r="C685" s="47">
        <v>0.0</v>
      </c>
      <c r="D685" s="70" t="s">
        <v>2722</v>
      </c>
      <c r="E685" s="55" t="s">
        <v>177</v>
      </c>
      <c r="F685" s="32" t="s">
        <v>48</v>
      </c>
      <c r="G685" s="32" t="s">
        <v>35</v>
      </c>
      <c r="H685" s="71" t="s">
        <v>35</v>
      </c>
      <c r="I685" s="71" t="s">
        <v>36</v>
      </c>
      <c r="J685" s="34" t="s">
        <v>49</v>
      </c>
      <c r="K685" s="57" t="s">
        <v>38</v>
      </c>
      <c r="L685" s="72">
        <v>10256.0</v>
      </c>
      <c r="M685" s="22"/>
      <c r="N685" s="73"/>
      <c r="O685" s="28">
        <v>45309.0</v>
      </c>
      <c r="P685" s="35" t="s">
        <v>2713</v>
      </c>
      <c r="Q685" s="12"/>
      <c r="R685" s="12"/>
      <c r="S685" s="12"/>
      <c r="T685" s="52">
        <v>45266.0</v>
      </c>
      <c r="U685" s="52">
        <v>45306.0</v>
      </c>
      <c r="V685" s="52">
        <v>45309.0</v>
      </c>
      <c r="W685" s="30"/>
      <c r="X685" s="30"/>
      <c r="Y685" s="31"/>
      <c r="Z685" s="31"/>
      <c r="AA685" s="31"/>
      <c r="AB685" s="74" t="s">
        <v>2723</v>
      </c>
      <c r="AC685" s="74"/>
    </row>
    <row r="686" ht="16.5" customHeight="1">
      <c r="A686" s="48" t="s">
        <v>2724</v>
      </c>
      <c r="B686" s="53" t="s">
        <v>818</v>
      </c>
      <c r="C686" s="47">
        <v>0.0</v>
      </c>
      <c r="D686" s="70" t="s">
        <v>2725</v>
      </c>
      <c r="E686" s="55" t="s">
        <v>177</v>
      </c>
      <c r="F686" s="32" t="s">
        <v>48</v>
      </c>
      <c r="G686" s="32" t="s">
        <v>35</v>
      </c>
      <c r="H686" s="71" t="s">
        <v>35</v>
      </c>
      <c r="I686" s="71" t="s">
        <v>36</v>
      </c>
      <c r="J686" s="34" t="s">
        <v>49</v>
      </c>
      <c r="K686" s="57" t="s">
        <v>38</v>
      </c>
      <c r="L686" s="72">
        <v>10256.0</v>
      </c>
      <c r="M686" s="22"/>
      <c r="N686" s="73"/>
      <c r="O686" s="28">
        <v>45309.0</v>
      </c>
      <c r="P686" s="35" t="s">
        <v>2713</v>
      </c>
      <c r="Q686" s="12"/>
      <c r="R686" s="12"/>
      <c r="S686" s="12"/>
      <c r="T686" s="52">
        <v>45266.0</v>
      </c>
      <c r="U686" s="52">
        <v>45306.0</v>
      </c>
      <c r="V686" s="52">
        <v>45309.0</v>
      </c>
      <c r="W686" s="30"/>
      <c r="X686" s="30"/>
      <c r="Y686" s="31"/>
      <c r="Z686" s="31"/>
      <c r="AA686" s="31"/>
      <c r="AB686" s="74" t="s">
        <v>2726</v>
      </c>
      <c r="AC686" s="74"/>
    </row>
    <row r="687" ht="16.5" customHeight="1">
      <c r="A687" s="48" t="s">
        <v>2727</v>
      </c>
      <c r="B687" s="53" t="s">
        <v>818</v>
      </c>
      <c r="C687" s="47">
        <v>0.0</v>
      </c>
      <c r="D687" s="70" t="s">
        <v>2728</v>
      </c>
      <c r="E687" s="55" t="s">
        <v>177</v>
      </c>
      <c r="F687" s="32" t="s">
        <v>48</v>
      </c>
      <c r="G687" s="32" t="s">
        <v>35</v>
      </c>
      <c r="H687" s="71" t="s">
        <v>35</v>
      </c>
      <c r="I687" s="71" t="s">
        <v>36</v>
      </c>
      <c r="J687" s="34" t="s">
        <v>49</v>
      </c>
      <c r="K687" s="57" t="s">
        <v>38</v>
      </c>
      <c r="L687" s="72">
        <v>10256.0</v>
      </c>
      <c r="M687" s="22"/>
      <c r="N687" s="73"/>
      <c r="O687" s="28">
        <v>45309.0</v>
      </c>
      <c r="P687" s="35" t="s">
        <v>2713</v>
      </c>
      <c r="Q687" s="12"/>
      <c r="R687" s="12"/>
      <c r="S687" s="12"/>
      <c r="T687" s="52">
        <v>45266.0</v>
      </c>
      <c r="U687" s="52">
        <v>45306.0</v>
      </c>
      <c r="V687" s="52">
        <v>45309.0</v>
      </c>
      <c r="W687" s="30"/>
      <c r="X687" s="30"/>
      <c r="Y687" s="31"/>
      <c r="Z687" s="31"/>
      <c r="AA687" s="31"/>
      <c r="AB687" s="74" t="s">
        <v>2729</v>
      </c>
      <c r="AC687" s="74"/>
    </row>
    <row r="688" ht="16.5" customHeight="1">
      <c r="A688" s="48" t="s">
        <v>2730</v>
      </c>
      <c r="B688" s="53" t="s">
        <v>818</v>
      </c>
      <c r="C688" s="47">
        <v>0.0</v>
      </c>
      <c r="D688" s="70" t="s">
        <v>2731</v>
      </c>
      <c r="E688" s="55" t="s">
        <v>177</v>
      </c>
      <c r="F688" s="32" t="s">
        <v>48</v>
      </c>
      <c r="G688" s="32" t="s">
        <v>35</v>
      </c>
      <c r="H688" s="71" t="s">
        <v>35</v>
      </c>
      <c r="I688" s="71" t="s">
        <v>36</v>
      </c>
      <c r="J688" s="34" t="s">
        <v>49</v>
      </c>
      <c r="K688" s="57" t="s">
        <v>38</v>
      </c>
      <c r="L688" s="72">
        <v>10256.0</v>
      </c>
      <c r="M688" s="22"/>
      <c r="N688" s="73"/>
      <c r="O688" s="28">
        <v>45309.0</v>
      </c>
      <c r="P688" s="35" t="s">
        <v>2713</v>
      </c>
      <c r="Q688" s="12"/>
      <c r="R688" s="12"/>
      <c r="S688" s="12"/>
      <c r="T688" s="52">
        <v>45266.0</v>
      </c>
      <c r="U688" s="52">
        <v>45306.0</v>
      </c>
      <c r="V688" s="52">
        <v>45309.0</v>
      </c>
      <c r="W688" s="30"/>
      <c r="X688" s="30"/>
      <c r="Y688" s="31"/>
      <c r="Z688" s="31"/>
      <c r="AA688" s="31"/>
      <c r="AB688" s="74" t="s">
        <v>2732</v>
      </c>
      <c r="AC688" s="74"/>
    </row>
    <row r="689" ht="16.5" customHeight="1">
      <c r="A689" s="48" t="s">
        <v>2733</v>
      </c>
      <c r="B689" s="53" t="s">
        <v>2209</v>
      </c>
      <c r="C689" s="47">
        <v>0.0</v>
      </c>
      <c r="D689" s="70" t="s">
        <v>2734</v>
      </c>
      <c r="E689" s="55" t="s">
        <v>532</v>
      </c>
      <c r="F689" s="32" t="s">
        <v>244</v>
      </c>
      <c r="G689" s="32" t="s">
        <v>35</v>
      </c>
      <c r="H689" s="71" t="s">
        <v>35</v>
      </c>
      <c r="I689" s="71" t="s">
        <v>36</v>
      </c>
      <c r="J689" s="34" t="s">
        <v>420</v>
      </c>
      <c r="K689" s="57" t="s">
        <v>38</v>
      </c>
      <c r="L689" s="72">
        <v>10184.0</v>
      </c>
      <c r="M689" s="27"/>
      <c r="N689" s="76"/>
      <c r="O689" s="28">
        <v>45296.0</v>
      </c>
      <c r="P689" s="26"/>
      <c r="Q689" s="12"/>
      <c r="R689" s="12"/>
      <c r="S689" s="12"/>
      <c r="T689" s="52">
        <v>45267.0</v>
      </c>
      <c r="U689" s="52">
        <v>45267.0</v>
      </c>
      <c r="V689" s="52">
        <v>45289.0</v>
      </c>
      <c r="W689" s="30"/>
      <c r="X689" s="30"/>
      <c r="Y689" s="31"/>
      <c r="Z689" s="31"/>
      <c r="AA689" s="31"/>
      <c r="AB689" s="74" t="s">
        <v>2735</v>
      </c>
      <c r="AC689" s="74"/>
    </row>
    <row r="690" ht="16.5" customHeight="1">
      <c r="A690" s="48" t="s">
        <v>2736</v>
      </c>
      <c r="B690" s="53" t="s">
        <v>2209</v>
      </c>
      <c r="C690" s="47">
        <v>0.0</v>
      </c>
      <c r="D690" s="70" t="s">
        <v>2737</v>
      </c>
      <c r="E690" s="55" t="s">
        <v>1693</v>
      </c>
      <c r="F690" s="32" t="s">
        <v>48</v>
      </c>
      <c r="G690" s="32" t="s">
        <v>35</v>
      </c>
      <c r="H690" s="71" t="s">
        <v>35</v>
      </c>
      <c r="I690" s="71" t="s">
        <v>36</v>
      </c>
      <c r="J690" s="34" t="s">
        <v>37</v>
      </c>
      <c r="K690" s="57" t="s">
        <v>38</v>
      </c>
      <c r="L690" s="72">
        <v>10274.0</v>
      </c>
      <c r="M690" s="27"/>
      <c r="N690" s="73"/>
      <c r="O690" s="28">
        <v>45310.0</v>
      </c>
      <c r="P690" s="26"/>
      <c r="Q690" s="12"/>
      <c r="R690" s="12"/>
      <c r="S690" s="12"/>
      <c r="T690" s="52">
        <v>45267.0</v>
      </c>
      <c r="U690" s="52">
        <v>45307.0</v>
      </c>
      <c r="V690" s="52">
        <v>45310.0</v>
      </c>
      <c r="W690" s="30"/>
      <c r="X690" s="30"/>
      <c r="Y690" s="31"/>
      <c r="Z690" s="31"/>
      <c r="AA690" s="31"/>
      <c r="AB690" s="74" t="s">
        <v>2738</v>
      </c>
      <c r="AC690" s="74"/>
    </row>
    <row r="691" ht="16.5" customHeight="1">
      <c r="A691" s="48" t="s">
        <v>2739</v>
      </c>
      <c r="B691" s="53" t="s">
        <v>388</v>
      </c>
      <c r="C691" s="47">
        <v>0.0</v>
      </c>
      <c r="D691" s="70" t="s">
        <v>2740</v>
      </c>
      <c r="E691" s="55" t="s">
        <v>257</v>
      </c>
      <c r="F691" s="32" t="s">
        <v>244</v>
      </c>
      <c r="G691" s="32" t="s">
        <v>35</v>
      </c>
      <c r="H691" s="71" t="s">
        <v>35</v>
      </c>
      <c r="I691" s="71" t="s">
        <v>36</v>
      </c>
      <c r="J691" s="34" t="s">
        <v>65</v>
      </c>
      <c r="K691" s="57" t="s">
        <v>38</v>
      </c>
      <c r="L691" s="72">
        <v>10123.0</v>
      </c>
      <c r="M691" s="27"/>
      <c r="N691" s="76"/>
      <c r="O691" s="28">
        <v>45279.0</v>
      </c>
      <c r="P691" s="26"/>
      <c r="Q691" s="12"/>
      <c r="R691" s="12"/>
      <c r="S691" s="12"/>
      <c r="T691" s="52">
        <v>45267.0</v>
      </c>
      <c r="U691" s="52">
        <v>45267.0</v>
      </c>
      <c r="V691" s="52">
        <v>45279.0</v>
      </c>
      <c r="W691" s="30"/>
      <c r="X691" s="30"/>
      <c r="Y691" s="31"/>
      <c r="Z691" s="31"/>
      <c r="AA691" s="31"/>
      <c r="AB691" s="74" t="s">
        <v>2741</v>
      </c>
      <c r="AC691" s="74"/>
    </row>
    <row r="692" ht="16.5" customHeight="1">
      <c r="A692" s="48" t="s">
        <v>2742</v>
      </c>
      <c r="B692" s="53" t="s">
        <v>287</v>
      </c>
      <c r="C692" s="47">
        <v>0.0</v>
      </c>
      <c r="D692" s="70" t="s">
        <v>2743</v>
      </c>
      <c r="E692" s="55" t="s">
        <v>295</v>
      </c>
      <c r="F692" s="32" t="s">
        <v>33</v>
      </c>
      <c r="G692" s="32" t="s">
        <v>35</v>
      </c>
      <c r="H692" s="71" t="s">
        <v>35</v>
      </c>
      <c r="I692" s="71" t="s">
        <v>36</v>
      </c>
      <c r="J692" s="34" t="s">
        <v>92</v>
      </c>
      <c r="K692" s="57" t="s">
        <v>38</v>
      </c>
      <c r="L692" s="72">
        <v>10137.0</v>
      </c>
      <c r="M692" s="22"/>
      <c r="N692" s="76"/>
      <c r="O692" s="28">
        <v>45299.0</v>
      </c>
      <c r="P692" s="35" t="s">
        <v>2744</v>
      </c>
      <c r="Q692" s="12"/>
      <c r="R692" s="12"/>
      <c r="S692" s="12"/>
      <c r="T692" s="52">
        <v>45267.0</v>
      </c>
      <c r="U692" s="52">
        <v>45268.0</v>
      </c>
      <c r="V692" s="52">
        <v>45281.0</v>
      </c>
      <c r="W692" s="30"/>
      <c r="X692" s="30"/>
      <c r="Y692" s="31"/>
      <c r="Z692" s="31"/>
      <c r="AA692" s="31"/>
      <c r="AB692" s="74" t="s">
        <v>2745</v>
      </c>
      <c r="AC692" s="74"/>
    </row>
    <row r="693" ht="16.5" customHeight="1">
      <c r="A693" s="48" t="s">
        <v>2746</v>
      </c>
      <c r="B693" s="53" t="s">
        <v>2698</v>
      </c>
      <c r="C693" s="47">
        <v>0.0</v>
      </c>
      <c r="D693" s="70" t="s">
        <v>2747</v>
      </c>
      <c r="E693" s="55" t="s">
        <v>177</v>
      </c>
      <c r="F693" s="32" t="s">
        <v>48</v>
      </c>
      <c r="G693" s="32" t="s">
        <v>35</v>
      </c>
      <c r="H693" s="71" t="s">
        <v>35</v>
      </c>
      <c r="I693" s="71" t="s">
        <v>36</v>
      </c>
      <c r="J693" s="34" t="s">
        <v>65</v>
      </c>
      <c r="K693" s="57" t="s">
        <v>38</v>
      </c>
      <c r="L693" s="72">
        <v>10282.0</v>
      </c>
      <c r="M693" s="27"/>
      <c r="N693" s="73"/>
      <c r="O693" s="28">
        <v>45313.0</v>
      </c>
      <c r="P693" s="26"/>
      <c r="Q693" s="12"/>
      <c r="R693" s="12"/>
      <c r="S693" s="12"/>
      <c r="T693" s="52">
        <v>45267.0</v>
      </c>
      <c r="U693" s="52">
        <v>45310.0</v>
      </c>
      <c r="V693" s="52">
        <v>45313.0</v>
      </c>
      <c r="W693" s="30"/>
      <c r="X693" s="30"/>
      <c r="Y693" s="31"/>
      <c r="Z693" s="31"/>
      <c r="AA693" s="31"/>
      <c r="AB693" s="74" t="s">
        <v>2748</v>
      </c>
      <c r="AC693" s="74"/>
    </row>
    <row r="694" ht="16.5" customHeight="1">
      <c r="A694" s="48" t="s">
        <v>2749</v>
      </c>
      <c r="B694" s="53" t="s">
        <v>631</v>
      </c>
      <c r="C694" s="47">
        <v>0.0</v>
      </c>
      <c r="D694" s="70" t="s">
        <v>1023</v>
      </c>
      <c r="E694" s="55" t="s">
        <v>338</v>
      </c>
      <c r="F694" s="32" t="s">
        <v>33</v>
      </c>
      <c r="G694" s="32" t="s">
        <v>35</v>
      </c>
      <c r="H694" s="71" t="s">
        <v>35</v>
      </c>
      <c r="I694" s="71" t="s">
        <v>36</v>
      </c>
      <c r="J694" s="34" t="s">
        <v>65</v>
      </c>
      <c r="K694" s="57" t="s">
        <v>38</v>
      </c>
      <c r="L694" s="72">
        <v>10091.0</v>
      </c>
      <c r="M694" s="22"/>
      <c r="N694" s="73"/>
      <c r="O694" s="28">
        <v>45268.0</v>
      </c>
      <c r="P694" s="35" t="s">
        <v>2750</v>
      </c>
      <c r="Q694" s="12"/>
      <c r="R694" s="12"/>
      <c r="S694" s="12"/>
      <c r="T694" s="52">
        <v>45267.0</v>
      </c>
      <c r="U694" s="52">
        <v>45268.0</v>
      </c>
      <c r="V694" s="52">
        <v>45268.0</v>
      </c>
      <c r="W694" s="30"/>
      <c r="X694" s="30"/>
      <c r="Y694" s="31"/>
      <c r="Z694" s="31"/>
      <c r="AA694" s="31"/>
      <c r="AB694" s="74" t="s">
        <v>2751</v>
      </c>
      <c r="AC694" s="74"/>
    </row>
    <row r="695" ht="16.5" customHeight="1">
      <c r="A695" s="48" t="s">
        <v>2752</v>
      </c>
      <c r="B695" s="53" t="s">
        <v>2753</v>
      </c>
      <c r="C695" s="47">
        <v>0.0</v>
      </c>
      <c r="D695" s="70"/>
      <c r="E695" s="55" t="s">
        <v>383</v>
      </c>
      <c r="F695" s="32" t="s">
        <v>33</v>
      </c>
      <c r="G695" s="32" t="s">
        <v>35</v>
      </c>
      <c r="H695" s="71" t="s">
        <v>35</v>
      </c>
      <c r="I695" s="71" t="s">
        <v>36</v>
      </c>
      <c r="J695" s="34" t="s">
        <v>65</v>
      </c>
      <c r="K695" s="57" t="s">
        <v>38</v>
      </c>
      <c r="L695" s="72">
        <v>10092.0</v>
      </c>
      <c r="M695" s="22"/>
      <c r="N695" s="73"/>
      <c r="O695" s="28">
        <v>45268.0</v>
      </c>
      <c r="P695" s="35" t="s">
        <v>2754</v>
      </c>
      <c r="Q695" s="12"/>
      <c r="R695" s="12"/>
      <c r="S695" s="12"/>
      <c r="T695" s="52">
        <v>45267.0</v>
      </c>
      <c r="U695" s="52">
        <v>45268.0</v>
      </c>
      <c r="V695" s="52">
        <v>45268.0</v>
      </c>
      <c r="W695" s="30"/>
      <c r="X695" s="30"/>
      <c r="Y695" s="31"/>
      <c r="Z695" s="31"/>
      <c r="AA695" s="31"/>
      <c r="AB695" s="74" t="s">
        <v>2755</v>
      </c>
      <c r="AC695" s="74"/>
    </row>
    <row r="696" ht="16.5" customHeight="1">
      <c r="A696" s="48" t="s">
        <v>2756</v>
      </c>
      <c r="B696" s="53" t="s">
        <v>388</v>
      </c>
      <c r="C696" s="47">
        <v>0.0</v>
      </c>
      <c r="D696" s="70" t="s">
        <v>2757</v>
      </c>
      <c r="E696" s="55" t="s">
        <v>2431</v>
      </c>
      <c r="F696" s="32" t="s">
        <v>244</v>
      </c>
      <c r="G696" s="32" t="s">
        <v>35</v>
      </c>
      <c r="H696" s="71" t="s">
        <v>35</v>
      </c>
      <c r="I696" s="71" t="s">
        <v>36</v>
      </c>
      <c r="J696" s="34" t="s">
        <v>65</v>
      </c>
      <c r="K696" s="57" t="s">
        <v>38</v>
      </c>
      <c r="L696" s="72">
        <v>10145.0</v>
      </c>
      <c r="M696" s="27"/>
      <c r="N696" s="76"/>
      <c r="O696" s="28">
        <v>45288.0</v>
      </c>
      <c r="P696" s="26"/>
      <c r="Q696" s="12"/>
      <c r="R696" s="12"/>
      <c r="S696" s="12"/>
      <c r="T696" s="52">
        <v>45267.0</v>
      </c>
      <c r="U696" s="52">
        <v>45268.0</v>
      </c>
      <c r="V696" s="52">
        <v>45282.0</v>
      </c>
      <c r="W696" s="30"/>
      <c r="X696" s="30"/>
      <c r="Y696" s="31"/>
      <c r="Z696" s="31"/>
      <c r="AA696" s="31"/>
      <c r="AB696" s="74" t="s">
        <v>2758</v>
      </c>
      <c r="AC696" s="74"/>
    </row>
    <row r="697" ht="16.5" customHeight="1">
      <c r="A697" s="48" t="s">
        <v>2759</v>
      </c>
      <c r="B697" s="53" t="s">
        <v>401</v>
      </c>
      <c r="C697" s="47">
        <v>0.0</v>
      </c>
      <c r="D697" s="70" t="s">
        <v>2353</v>
      </c>
      <c r="E697" s="55" t="s">
        <v>383</v>
      </c>
      <c r="F697" s="32" t="s">
        <v>33</v>
      </c>
      <c r="G697" s="32" t="s">
        <v>35</v>
      </c>
      <c r="H697" s="71" t="s">
        <v>35</v>
      </c>
      <c r="I697" s="71" t="s">
        <v>36</v>
      </c>
      <c r="J697" s="34" t="s">
        <v>65</v>
      </c>
      <c r="K697" s="57" t="s">
        <v>38</v>
      </c>
      <c r="L697" s="72">
        <v>10121.0</v>
      </c>
      <c r="M697" s="22"/>
      <c r="N697" s="76"/>
      <c r="O697" s="28">
        <v>45278.0</v>
      </c>
      <c r="P697" s="35" t="s">
        <v>2760</v>
      </c>
      <c r="Q697" s="12"/>
      <c r="R697" s="12"/>
      <c r="S697" s="12"/>
      <c r="T697" s="52">
        <v>45267.0</v>
      </c>
      <c r="U697" s="52">
        <v>45278.0</v>
      </c>
      <c r="V697" s="52">
        <v>45278.0</v>
      </c>
      <c r="W697" s="30"/>
      <c r="X697" s="30"/>
      <c r="Y697" s="31"/>
      <c r="Z697" s="31"/>
      <c r="AA697" s="31"/>
      <c r="AB697" s="74" t="s">
        <v>2761</v>
      </c>
      <c r="AC697" s="74"/>
    </row>
    <row r="698" ht="16.5" customHeight="1">
      <c r="A698" s="48" t="s">
        <v>2762</v>
      </c>
      <c r="B698" s="53" t="s">
        <v>287</v>
      </c>
      <c r="C698" s="47">
        <v>0.0</v>
      </c>
      <c r="D698" s="70" t="s">
        <v>2763</v>
      </c>
      <c r="E698" s="55" t="s">
        <v>1119</v>
      </c>
      <c r="F698" s="32" t="s">
        <v>33</v>
      </c>
      <c r="G698" s="32" t="s">
        <v>34</v>
      </c>
      <c r="H698" s="71" t="s">
        <v>35</v>
      </c>
      <c r="I698" s="71" t="s">
        <v>36</v>
      </c>
      <c r="J698" s="34" t="s">
        <v>92</v>
      </c>
      <c r="K698" s="57" t="s">
        <v>38</v>
      </c>
      <c r="L698" s="72" t="s">
        <v>2764</v>
      </c>
      <c r="M698" s="22"/>
      <c r="N698" s="76"/>
      <c r="O698" s="28">
        <v>45299.0</v>
      </c>
      <c r="P698" s="35" t="s">
        <v>2765</v>
      </c>
      <c r="Q698" s="12"/>
      <c r="R698" s="12"/>
      <c r="S698" s="12"/>
      <c r="T698" s="52">
        <v>45268.0</v>
      </c>
      <c r="U698" s="52">
        <v>45271.0</v>
      </c>
      <c r="V698" s="52">
        <v>45271.0</v>
      </c>
      <c r="W698" s="30"/>
      <c r="X698" s="30"/>
      <c r="Y698" s="31"/>
      <c r="Z698" s="31"/>
      <c r="AA698" s="31"/>
      <c r="AB698" s="74" t="s">
        <v>2766</v>
      </c>
      <c r="AC698" s="74"/>
    </row>
    <row r="699" ht="16.5" customHeight="1">
      <c r="A699" s="48" t="s">
        <v>2767</v>
      </c>
      <c r="B699" s="53" t="s">
        <v>287</v>
      </c>
      <c r="C699" s="47">
        <v>0.0</v>
      </c>
      <c r="D699" s="70" t="s">
        <v>2768</v>
      </c>
      <c r="E699" s="55" t="s">
        <v>79</v>
      </c>
      <c r="F699" s="32" t="s">
        <v>33</v>
      </c>
      <c r="G699" s="32" t="s">
        <v>34</v>
      </c>
      <c r="H699" s="71" t="s">
        <v>35</v>
      </c>
      <c r="I699" s="71" t="s">
        <v>36</v>
      </c>
      <c r="J699" s="34" t="s">
        <v>92</v>
      </c>
      <c r="K699" s="57" t="s">
        <v>38</v>
      </c>
      <c r="L699" s="72" t="s">
        <v>2764</v>
      </c>
      <c r="M699" s="22"/>
      <c r="N699" s="76"/>
      <c r="O699" s="28">
        <v>45299.0</v>
      </c>
      <c r="P699" s="35" t="s">
        <v>2765</v>
      </c>
      <c r="Q699" s="12"/>
      <c r="R699" s="12"/>
      <c r="S699" s="12"/>
      <c r="T699" s="52">
        <v>45268.0</v>
      </c>
      <c r="U699" s="52">
        <v>45271.0</v>
      </c>
      <c r="V699" s="52">
        <v>45280.0</v>
      </c>
      <c r="W699" s="30"/>
      <c r="X699" s="30"/>
      <c r="Y699" s="31"/>
      <c r="Z699" s="31"/>
      <c r="AA699" s="31"/>
      <c r="AB699" s="74" t="s">
        <v>2769</v>
      </c>
      <c r="AC699" s="74"/>
    </row>
    <row r="700" ht="16.5" customHeight="1">
      <c r="A700" s="48" t="s">
        <v>2770</v>
      </c>
      <c r="B700" s="53" t="s">
        <v>1299</v>
      </c>
      <c r="C700" s="47">
        <v>0.0</v>
      </c>
      <c r="D700" s="70" t="s">
        <v>2771</v>
      </c>
      <c r="E700" s="55" t="s">
        <v>532</v>
      </c>
      <c r="F700" s="32" t="s">
        <v>244</v>
      </c>
      <c r="G700" s="32" t="s">
        <v>35</v>
      </c>
      <c r="H700" s="71" t="s">
        <v>35</v>
      </c>
      <c r="I700" s="71" t="s">
        <v>36</v>
      </c>
      <c r="J700" s="34" t="s">
        <v>37</v>
      </c>
      <c r="K700" s="57" t="s">
        <v>38</v>
      </c>
      <c r="L700" s="72">
        <v>10149.0</v>
      </c>
      <c r="M700" s="22"/>
      <c r="N700" s="76"/>
      <c r="O700" s="28">
        <v>45296.0</v>
      </c>
      <c r="P700" s="35" t="s">
        <v>2772</v>
      </c>
      <c r="Q700" s="12"/>
      <c r="R700" s="12"/>
      <c r="S700" s="12"/>
      <c r="T700" s="52">
        <v>45268.0</v>
      </c>
      <c r="U700" s="52">
        <v>45271.0</v>
      </c>
      <c r="V700" s="52">
        <v>45286.0</v>
      </c>
      <c r="W700" s="30"/>
      <c r="X700" s="30"/>
      <c r="Y700" s="31"/>
      <c r="Z700" s="31"/>
      <c r="AA700" s="31"/>
      <c r="AB700" s="74" t="s">
        <v>2773</v>
      </c>
      <c r="AC700" s="74"/>
    </row>
    <row r="701" ht="16.5" customHeight="1">
      <c r="A701" s="48" t="s">
        <v>2774</v>
      </c>
      <c r="B701" s="53" t="s">
        <v>1615</v>
      </c>
      <c r="C701" s="47">
        <v>0.0</v>
      </c>
      <c r="D701" s="70" t="s">
        <v>2775</v>
      </c>
      <c r="E701" s="55" t="s">
        <v>1693</v>
      </c>
      <c r="F701" s="32" t="s">
        <v>48</v>
      </c>
      <c r="G701" s="32" t="s">
        <v>35</v>
      </c>
      <c r="H701" s="71" t="s">
        <v>35</v>
      </c>
      <c r="I701" s="71" t="s">
        <v>36</v>
      </c>
      <c r="J701" s="34" t="s">
        <v>92</v>
      </c>
      <c r="K701" s="57" t="s">
        <v>38</v>
      </c>
      <c r="L701" s="72">
        <v>10279.0</v>
      </c>
      <c r="M701" s="22"/>
      <c r="N701" s="73"/>
      <c r="O701" s="28">
        <v>45314.0</v>
      </c>
      <c r="P701" s="35" t="s">
        <v>2776</v>
      </c>
      <c r="Q701" s="12"/>
      <c r="R701" s="12"/>
      <c r="S701" s="12"/>
      <c r="T701" s="52">
        <v>45268.0</v>
      </c>
      <c r="U701" s="52">
        <v>45311.0</v>
      </c>
      <c r="V701" s="52">
        <v>45314.0</v>
      </c>
      <c r="W701" s="30"/>
      <c r="X701" s="30"/>
      <c r="Y701" s="31"/>
      <c r="Z701" s="31"/>
      <c r="AA701" s="31"/>
      <c r="AB701" s="74" t="s">
        <v>2777</v>
      </c>
      <c r="AC701" s="74"/>
    </row>
    <row r="702" ht="16.5" customHeight="1">
      <c r="A702" s="48" t="s">
        <v>2778</v>
      </c>
      <c r="B702" s="53" t="s">
        <v>1615</v>
      </c>
      <c r="C702" s="47">
        <v>0.0</v>
      </c>
      <c r="D702" s="70" t="s">
        <v>2779</v>
      </c>
      <c r="E702" s="55" t="s">
        <v>171</v>
      </c>
      <c r="F702" s="32" t="s">
        <v>48</v>
      </c>
      <c r="G702" s="32" t="s">
        <v>35</v>
      </c>
      <c r="H702" s="71" t="s">
        <v>35</v>
      </c>
      <c r="I702" s="71" t="s">
        <v>36</v>
      </c>
      <c r="J702" s="34" t="s">
        <v>92</v>
      </c>
      <c r="K702" s="57" t="s">
        <v>38</v>
      </c>
      <c r="L702" s="72">
        <v>10279.0</v>
      </c>
      <c r="M702" s="22"/>
      <c r="N702" s="73"/>
      <c r="O702" s="28">
        <v>45314.0</v>
      </c>
      <c r="P702" s="35" t="s">
        <v>2776</v>
      </c>
      <c r="Q702" s="12"/>
      <c r="R702" s="12"/>
      <c r="S702" s="12"/>
      <c r="T702" s="52">
        <v>45268.0</v>
      </c>
      <c r="U702" s="52">
        <v>45311.0</v>
      </c>
      <c r="V702" s="52">
        <v>45314.0</v>
      </c>
      <c r="W702" s="30"/>
      <c r="X702" s="30"/>
      <c r="Y702" s="31"/>
      <c r="Z702" s="31"/>
      <c r="AA702" s="31"/>
      <c r="AB702" s="74" t="s">
        <v>2780</v>
      </c>
      <c r="AC702" s="74"/>
    </row>
    <row r="703" ht="16.5" customHeight="1">
      <c r="A703" s="48" t="s">
        <v>2781</v>
      </c>
      <c r="B703" s="53" t="s">
        <v>2782</v>
      </c>
      <c r="C703" s="47">
        <v>0.0</v>
      </c>
      <c r="D703" s="70" t="s">
        <v>2783</v>
      </c>
      <c r="E703" s="55" t="s">
        <v>882</v>
      </c>
      <c r="F703" s="32" t="s">
        <v>33</v>
      </c>
      <c r="G703" s="32" t="s">
        <v>35</v>
      </c>
      <c r="H703" s="71" t="s">
        <v>35</v>
      </c>
      <c r="I703" s="71" t="s">
        <v>36</v>
      </c>
      <c r="J703" s="34" t="s">
        <v>203</v>
      </c>
      <c r="K703" s="57" t="s">
        <v>38</v>
      </c>
      <c r="L703" s="72">
        <v>10150.0</v>
      </c>
      <c r="M703" s="22"/>
      <c r="N703" s="76"/>
      <c r="O703" s="28">
        <v>45288.0</v>
      </c>
      <c r="P703" s="35" t="s">
        <v>2784</v>
      </c>
      <c r="Q703" s="12"/>
      <c r="R703" s="12"/>
      <c r="S703" s="12"/>
      <c r="T703" s="52">
        <v>45268.0</v>
      </c>
      <c r="U703" s="52">
        <v>45271.0</v>
      </c>
      <c r="V703" s="52">
        <v>45286.0</v>
      </c>
      <c r="W703" s="30"/>
      <c r="X703" s="30"/>
      <c r="Y703" s="31"/>
      <c r="Z703" s="31"/>
      <c r="AA703" s="31"/>
      <c r="AB703" s="74" t="s">
        <v>2785</v>
      </c>
      <c r="AC703" s="74"/>
    </row>
    <row r="704" ht="16.5" customHeight="1">
      <c r="A704" s="48" t="s">
        <v>2786</v>
      </c>
      <c r="B704" s="53" t="s">
        <v>299</v>
      </c>
      <c r="C704" s="47">
        <v>0.0</v>
      </c>
      <c r="D704" s="70" t="s">
        <v>2787</v>
      </c>
      <c r="E704" s="55" t="s">
        <v>545</v>
      </c>
      <c r="F704" s="32" t="s">
        <v>33</v>
      </c>
      <c r="G704" s="32" t="s">
        <v>35</v>
      </c>
      <c r="H704" s="71" t="s">
        <v>35</v>
      </c>
      <c r="I704" s="71" t="s">
        <v>36</v>
      </c>
      <c r="J704" s="34" t="s">
        <v>92</v>
      </c>
      <c r="K704" s="57" t="s">
        <v>38</v>
      </c>
      <c r="L704" s="72">
        <v>10136.0</v>
      </c>
      <c r="M704" s="22"/>
      <c r="N704" s="76"/>
      <c r="O704" s="28">
        <v>45323.0</v>
      </c>
      <c r="P704" s="35" t="s">
        <v>2788</v>
      </c>
      <c r="Q704" s="12"/>
      <c r="R704" s="12"/>
      <c r="S704" s="12"/>
      <c r="T704" s="52">
        <v>45271.0</v>
      </c>
      <c r="U704" s="52">
        <v>45271.0</v>
      </c>
      <c r="V704" s="52">
        <v>45280.0</v>
      </c>
      <c r="W704" s="30"/>
      <c r="X704" s="30"/>
      <c r="Y704" s="31"/>
      <c r="Z704" s="31"/>
      <c r="AA704" s="31"/>
      <c r="AB704" s="74" t="s">
        <v>2789</v>
      </c>
      <c r="AC704" s="74"/>
    </row>
    <row r="705" ht="16.5" customHeight="1">
      <c r="A705" s="48" t="s">
        <v>2790</v>
      </c>
      <c r="B705" s="53" t="s">
        <v>2449</v>
      </c>
      <c r="C705" s="47">
        <v>0.0</v>
      </c>
      <c r="D705" s="70" t="s">
        <v>2791</v>
      </c>
      <c r="E705" s="55" t="s">
        <v>79</v>
      </c>
      <c r="F705" s="32" t="s">
        <v>33</v>
      </c>
      <c r="G705" s="32" t="s">
        <v>35</v>
      </c>
      <c r="H705" s="71" t="s">
        <v>35</v>
      </c>
      <c r="I705" s="71" t="s">
        <v>36</v>
      </c>
      <c r="J705" s="34" t="s">
        <v>420</v>
      </c>
      <c r="K705" s="57" t="s">
        <v>38</v>
      </c>
      <c r="L705" s="72">
        <v>10155.0</v>
      </c>
      <c r="M705" s="22"/>
      <c r="N705" s="76"/>
      <c r="O705" s="28">
        <v>45288.0</v>
      </c>
      <c r="P705" s="35" t="s">
        <v>2792</v>
      </c>
      <c r="Q705" s="12"/>
      <c r="R705" s="12"/>
      <c r="S705" s="12"/>
      <c r="T705" s="52">
        <v>45271.0</v>
      </c>
      <c r="U705" s="52">
        <v>45272.0</v>
      </c>
      <c r="V705" s="52">
        <v>45287.0</v>
      </c>
      <c r="W705" s="30"/>
      <c r="X705" s="30"/>
      <c r="Y705" s="31"/>
      <c r="Z705" s="31"/>
      <c r="AA705" s="31"/>
      <c r="AB705" s="74" t="s">
        <v>2793</v>
      </c>
      <c r="AC705" s="74"/>
    </row>
    <row r="706" ht="16.5" customHeight="1">
      <c r="A706" s="48" t="s">
        <v>2794</v>
      </c>
      <c r="B706" s="53" t="s">
        <v>2795</v>
      </c>
      <c r="C706" s="47">
        <v>0.0</v>
      </c>
      <c r="D706" s="70" t="s">
        <v>124</v>
      </c>
      <c r="E706" s="55" t="s">
        <v>232</v>
      </c>
      <c r="F706" s="32" t="s">
        <v>33</v>
      </c>
      <c r="G706" s="32" t="s">
        <v>35</v>
      </c>
      <c r="H706" s="71" t="s">
        <v>35</v>
      </c>
      <c r="I706" s="71" t="s">
        <v>36</v>
      </c>
      <c r="J706" s="34" t="s">
        <v>2796</v>
      </c>
      <c r="K706" s="57" t="s">
        <v>38</v>
      </c>
      <c r="L706" s="72">
        <v>10115.0</v>
      </c>
      <c r="M706" s="22"/>
      <c r="N706" s="76"/>
      <c r="O706" s="28">
        <v>45278.0</v>
      </c>
      <c r="P706" s="35" t="s">
        <v>2797</v>
      </c>
      <c r="Q706" s="12"/>
      <c r="R706" s="12"/>
      <c r="S706" s="12"/>
      <c r="T706" s="52">
        <v>45271.0</v>
      </c>
      <c r="U706" s="52">
        <v>45272.0</v>
      </c>
      <c r="V706" s="52">
        <v>45278.0</v>
      </c>
      <c r="W706" s="30"/>
      <c r="X706" s="30"/>
      <c r="Y706" s="31"/>
      <c r="Z706" s="31"/>
      <c r="AA706" s="31"/>
      <c r="AB706" s="74" t="s">
        <v>2798</v>
      </c>
      <c r="AC706" s="74"/>
    </row>
    <row r="707" ht="16.5" customHeight="1">
      <c r="A707" s="48" t="s">
        <v>2799</v>
      </c>
      <c r="B707" s="53" t="s">
        <v>2800</v>
      </c>
      <c r="C707" s="47">
        <v>0.0</v>
      </c>
      <c r="D707" s="70" t="s">
        <v>2801</v>
      </c>
      <c r="E707" s="55" t="s">
        <v>1595</v>
      </c>
      <c r="F707" s="32" t="s">
        <v>33</v>
      </c>
      <c r="G707" s="32" t="s">
        <v>34</v>
      </c>
      <c r="H707" s="71" t="s">
        <v>35</v>
      </c>
      <c r="I707" s="71" t="s">
        <v>36</v>
      </c>
      <c r="J707" s="34" t="s">
        <v>37</v>
      </c>
      <c r="K707" s="57" t="s">
        <v>384</v>
      </c>
      <c r="L707" s="72">
        <v>10319.0</v>
      </c>
      <c r="M707" s="22"/>
      <c r="N707" s="73"/>
      <c r="O707" s="28">
        <v>45320.0</v>
      </c>
      <c r="P707" s="35" t="s">
        <v>2802</v>
      </c>
      <c r="Q707" s="12"/>
      <c r="R707" s="12"/>
      <c r="S707" s="12"/>
      <c r="T707" s="52">
        <v>45271.0</v>
      </c>
      <c r="U707" s="52">
        <v>45309.0</v>
      </c>
      <c r="V707" s="52">
        <v>45317.0</v>
      </c>
      <c r="W707" s="30"/>
      <c r="X707" s="30"/>
      <c r="Y707" s="31"/>
      <c r="Z707" s="31"/>
      <c r="AA707" s="31"/>
      <c r="AB707" s="74" t="s">
        <v>2803</v>
      </c>
      <c r="AC707" s="74"/>
    </row>
    <row r="708" ht="16.5" customHeight="1">
      <c r="A708" s="48" t="s">
        <v>2804</v>
      </c>
      <c r="B708" s="53" t="s">
        <v>2805</v>
      </c>
      <c r="C708" s="47">
        <v>0.0</v>
      </c>
      <c r="D708" s="70" t="s">
        <v>2806</v>
      </c>
      <c r="E708" s="55" t="s">
        <v>79</v>
      </c>
      <c r="F708" s="32" t="s">
        <v>33</v>
      </c>
      <c r="G708" s="32" t="s">
        <v>35</v>
      </c>
      <c r="H708" s="71" t="s">
        <v>35</v>
      </c>
      <c r="I708" s="71" t="s">
        <v>36</v>
      </c>
      <c r="J708" s="34" t="s">
        <v>37</v>
      </c>
      <c r="K708" s="57" t="s">
        <v>38</v>
      </c>
      <c r="L708" s="72">
        <v>10156.0</v>
      </c>
      <c r="M708" s="27"/>
      <c r="N708" s="76"/>
      <c r="O708" s="28">
        <v>45288.0</v>
      </c>
      <c r="P708" s="26"/>
      <c r="Q708" s="12"/>
      <c r="R708" s="12"/>
      <c r="S708" s="12"/>
      <c r="T708" s="52">
        <v>45272.0</v>
      </c>
      <c r="U708" s="52">
        <v>45272.0</v>
      </c>
      <c r="V708" s="52">
        <v>45287.0</v>
      </c>
      <c r="W708" s="30"/>
      <c r="X708" s="30"/>
      <c r="Y708" s="31"/>
      <c r="Z708" s="31"/>
      <c r="AA708" s="31"/>
      <c r="AB708" s="74" t="s">
        <v>2807</v>
      </c>
      <c r="AC708" s="74"/>
    </row>
    <row r="709" ht="16.5" customHeight="1">
      <c r="A709" s="48" t="s">
        <v>2808</v>
      </c>
      <c r="B709" s="53" t="s">
        <v>1811</v>
      </c>
      <c r="C709" s="47">
        <v>0.0</v>
      </c>
      <c r="D709" s="70" t="s">
        <v>2809</v>
      </c>
      <c r="E709" s="55" t="s">
        <v>117</v>
      </c>
      <c r="F709" s="32" t="s">
        <v>33</v>
      </c>
      <c r="G709" s="32" t="s">
        <v>34</v>
      </c>
      <c r="H709" s="71" t="s">
        <v>35</v>
      </c>
      <c r="I709" s="71" t="s">
        <v>36</v>
      </c>
      <c r="J709" s="34" t="s">
        <v>37</v>
      </c>
      <c r="K709" s="57" t="s">
        <v>1506</v>
      </c>
      <c r="L709" s="72">
        <v>10162.0</v>
      </c>
      <c r="M709" s="27"/>
      <c r="N709" s="76"/>
      <c r="O709" s="28">
        <v>45289.0</v>
      </c>
      <c r="P709" s="26"/>
      <c r="Q709" s="12"/>
      <c r="R709" s="12"/>
      <c r="S709" s="12"/>
      <c r="T709" s="52">
        <v>45272.0</v>
      </c>
      <c r="U709" s="52">
        <v>45272.0</v>
      </c>
      <c r="V709" s="52">
        <v>45288.0</v>
      </c>
      <c r="W709" s="30"/>
      <c r="X709" s="30"/>
      <c r="Y709" s="31"/>
      <c r="Z709" s="31"/>
      <c r="AA709" s="31"/>
      <c r="AB709" s="74" t="s">
        <v>2810</v>
      </c>
      <c r="AC709" s="74"/>
    </row>
    <row r="710" ht="16.5" customHeight="1">
      <c r="A710" s="48" t="s">
        <v>2811</v>
      </c>
      <c r="B710" s="53" t="s">
        <v>2812</v>
      </c>
      <c r="C710" s="47">
        <v>0.0</v>
      </c>
      <c r="D710" s="70" t="s">
        <v>2813</v>
      </c>
      <c r="E710" s="55" t="s">
        <v>165</v>
      </c>
      <c r="F710" s="32" t="s">
        <v>33</v>
      </c>
      <c r="G710" s="32" t="s">
        <v>34</v>
      </c>
      <c r="H710" s="71" t="s">
        <v>35</v>
      </c>
      <c r="I710" s="71" t="s">
        <v>36</v>
      </c>
      <c r="J710" s="34" t="s">
        <v>203</v>
      </c>
      <c r="K710" s="57" t="s">
        <v>38</v>
      </c>
      <c r="L710" s="72">
        <v>10151.0</v>
      </c>
      <c r="M710" s="22"/>
      <c r="N710" s="76"/>
      <c r="O710" s="28">
        <v>45288.0</v>
      </c>
      <c r="P710" s="35" t="s">
        <v>479</v>
      </c>
      <c r="Q710" s="12"/>
      <c r="R710" s="12"/>
      <c r="S710" s="12"/>
      <c r="T710" s="52">
        <v>45272.0</v>
      </c>
      <c r="U710" s="52">
        <v>45273.0</v>
      </c>
      <c r="V710" s="52">
        <v>45286.0</v>
      </c>
      <c r="W710" s="30"/>
      <c r="X710" s="30"/>
      <c r="Y710" s="31"/>
      <c r="Z710" s="31"/>
      <c r="AA710" s="31"/>
      <c r="AB710" s="74" t="s">
        <v>2814</v>
      </c>
      <c r="AC710" s="74"/>
    </row>
    <row r="711" ht="16.5" customHeight="1">
      <c r="A711" s="48" t="s">
        <v>2815</v>
      </c>
      <c r="B711" s="53" t="s">
        <v>1886</v>
      </c>
      <c r="C711" s="47">
        <v>0.0</v>
      </c>
      <c r="D711" s="70" t="s">
        <v>2816</v>
      </c>
      <c r="E711" s="55" t="s">
        <v>461</v>
      </c>
      <c r="F711" s="32" t="s">
        <v>244</v>
      </c>
      <c r="G711" s="32" t="s">
        <v>35</v>
      </c>
      <c r="H711" s="71" t="s">
        <v>35</v>
      </c>
      <c r="I711" s="71" t="s">
        <v>36</v>
      </c>
      <c r="J711" s="34" t="s">
        <v>49</v>
      </c>
      <c r="K711" s="57" t="s">
        <v>38</v>
      </c>
      <c r="L711" s="72">
        <v>10157.0</v>
      </c>
      <c r="M711" s="22"/>
      <c r="N711" s="76"/>
      <c r="O711" s="28">
        <v>45288.0</v>
      </c>
      <c r="P711" s="35" t="s">
        <v>479</v>
      </c>
      <c r="Q711" s="12"/>
      <c r="R711" s="12"/>
      <c r="S711" s="12"/>
      <c r="T711" s="52">
        <v>45272.0</v>
      </c>
      <c r="U711" s="52">
        <v>45272.0</v>
      </c>
      <c r="V711" s="52">
        <v>45287.0</v>
      </c>
      <c r="W711" s="30"/>
      <c r="X711" s="30"/>
      <c r="Y711" s="31"/>
      <c r="Z711" s="31"/>
      <c r="AA711" s="31"/>
      <c r="AB711" s="74" t="s">
        <v>2817</v>
      </c>
      <c r="AC711" s="74"/>
    </row>
    <row r="712" ht="16.5" customHeight="1">
      <c r="A712" s="48" t="s">
        <v>2818</v>
      </c>
      <c r="B712" s="53" t="s">
        <v>1837</v>
      </c>
      <c r="C712" s="47">
        <v>0.0</v>
      </c>
      <c r="D712" s="70" t="s">
        <v>2819</v>
      </c>
      <c r="E712" s="55" t="s">
        <v>408</v>
      </c>
      <c r="F712" s="32" t="s">
        <v>33</v>
      </c>
      <c r="G712" s="32" t="s">
        <v>35</v>
      </c>
      <c r="H712" s="71" t="s">
        <v>35</v>
      </c>
      <c r="I712" s="71" t="s">
        <v>36</v>
      </c>
      <c r="J712" s="34" t="s">
        <v>37</v>
      </c>
      <c r="K712" s="57" t="s">
        <v>447</v>
      </c>
      <c r="L712" s="72">
        <v>1014.0</v>
      </c>
      <c r="M712" s="22"/>
      <c r="N712" s="76"/>
      <c r="O712" s="28">
        <v>45278.0</v>
      </c>
      <c r="P712" s="35" t="s">
        <v>2820</v>
      </c>
      <c r="Q712" s="12"/>
      <c r="R712" s="12"/>
      <c r="S712" s="12"/>
      <c r="T712" s="52">
        <v>45272.0</v>
      </c>
      <c r="U712" s="52">
        <v>45273.0</v>
      </c>
      <c r="V712" s="52">
        <v>45274.0</v>
      </c>
      <c r="W712" s="30"/>
      <c r="X712" s="30"/>
      <c r="Y712" s="31"/>
      <c r="Z712" s="31"/>
      <c r="AA712" s="31"/>
      <c r="AB712" s="74" t="s">
        <v>2821</v>
      </c>
      <c r="AC712" s="74"/>
    </row>
    <row r="713" ht="16.5" customHeight="1">
      <c r="A713" s="48" t="s">
        <v>2822</v>
      </c>
      <c r="B713" s="53" t="s">
        <v>1179</v>
      </c>
      <c r="C713" s="47">
        <v>0.0</v>
      </c>
      <c r="D713" s="70" t="s">
        <v>2823</v>
      </c>
      <c r="E713" s="55" t="s">
        <v>804</v>
      </c>
      <c r="F713" s="32" t="s">
        <v>244</v>
      </c>
      <c r="G713" s="32" t="s">
        <v>35</v>
      </c>
      <c r="H713" s="71" t="s">
        <v>35</v>
      </c>
      <c r="I713" s="71" t="s">
        <v>36</v>
      </c>
      <c r="J713" s="34" t="s">
        <v>65</v>
      </c>
      <c r="K713" s="57" t="s">
        <v>38</v>
      </c>
      <c r="L713" s="72">
        <v>10158.0</v>
      </c>
      <c r="M713" s="22"/>
      <c r="N713" s="76"/>
      <c r="O713" s="28">
        <v>45288.0</v>
      </c>
      <c r="P713" s="35" t="s">
        <v>2824</v>
      </c>
      <c r="Q713" s="12"/>
      <c r="R713" s="12"/>
      <c r="S713" s="12"/>
      <c r="T713" s="52">
        <v>45272.0</v>
      </c>
      <c r="U713" s="52">
        <v>45273.0</v>
      </c>
      <c r="V713" s="52">
        <v>45287.0</v>
      </c>
      <c r="W713" s="30"/>
      <c r="X713" s="30"/>
      <c r="Y713" s="31"/>
      <c r="Z713" s="31"/>
      <c r="AA713" s="31"/>
      <c r="AB713" s="74" t="s">
        <v>2825</v>
      </c>
      <c r="AC713" s="74"/>
    </row>
    <row r="714" ht="16.5" customHeight="1">
      <c r="A714" s="48" t="s">
        <v>2826</v>
      </c>
      <c r="B714" s="53" t="s">
        <v>2441</v>
      </c>
      <c r="C714" s="47">
        <v>0.0</v>
      </c>
      <c r="D714" s="70" t="s">
        <v>2827</v>
      </c>
      <c r="E714" s="55" t="s">
        <v>117</v>
      </c>
      <c r="F714" s="32" t="s">
        <v>33</v>
      </c>
      <c r="G714" s="32" t="s">
        <v>34</v>
      </c>
      <c r="H714" s="71" t="s">
        <v>35</v>
      </c>
      <c r="I714" s="71" t="s">
        <v>36</v>
      </c>
      <c r="J714" s="34" t="s">
        <v>37</v>
      </c>
      <c r="K714" s="57" t="s">
        <v>447</v>
      </c>
      <c r="L714" s="72">
        <v>10163.0</v>
      </c>
      <c r="M714" s="22"/>
      <c r="N714" s="76"/>
      <c r="O714" s="28">
        <v>45289.0</v>
      </c>
      <c r="P714" s="35" t="s">
        <v>2828</v>
      </c>
      <c r="Q714" s="12"/>
      <c r="R714" s="12"/>
      <c r="S714" s="12"/>
      <c r="T714" s="52">
        <v>45273.0</v>
      </c>
      <c r="U714" s="52">
        <v>45274.0</v>
      </c>
      <c r="V714" s="52">
        <v>45288.0</v>
      </c>
      <c r="W714" s="30"/>
      <c r="X714" s="30"/>
      <c r="Y714" s="31"/>
      <c r="Z714" s="31"/>
      <c r="AA714" s="31"/>
      <c r="AB714" s="74" t="s">
        <v>2829</v>
      </c>
      <c r="AC714" s="74"/>
    </row>
    <row r="715" ht="16.5" customHeight="1">
      <c r="A715" s="48" t="s">
        <v>2830</v>
      </c>
      <c r="B715" s="53" t="s">
        <v>2831</v>
      </c>
      <c r="C715" s="47">
        <v>0.0</v>
      </c>
      <c r="D715" s="70" t="s">
        <v>2832</v>
      </c>
      <c r="E715" s="55" t="s">
        <v>188</v>
      </c>
      <c r="F715" s="32" t="s">
        <v>48</v>
      </c>
      <c r="G715" s="32" t="s">
        <v>35</v>
      </c>
      <c r="H715" s="71" t="s">
        <v>35</v>
      </c>
      <c r="I715" s="71" t="s">
        <v>36</v>
      </c>
      <c r="J715" s="34" t="s">
        <v>92</v>
      </c>
      <c r="K715" s="57" t="s">
        <v>38</v>
      </c>
      <c r="L715" s="72">
        <v>10241.0</v>
      </c>
      <c r="M715" s="27"/>
      <c r="N715" s="73"/>
      <c r="O715" s="28">
        <v>45308.0</v>
      </c>
      <c r="P715" s="26"/>
      <c r="Q715" s="12"/>
      <c r="R715" s="12"/>
      <c r="S715" s="12"/>
      <c r="T715" s="52">
        <v>45273.0</v>
      </c>
      <c r="U715" s="52">
        <v>45299.0</v>
      </c>
      <c r="V715" s="52">
        <v>45308.0</v>
      </c>
      <c r="W715" s="30"/>
      <c r="X715" s="30"/>
      <c r="Y715" s="31"/>
      <c r="Z715" s="31"/>
      <c r="AA715" s="31"/>
      <c r="AB715" s="74" t="s">
        <v>2833</v>
      </c>
      <c r="AC715" s="74"/>
    </row>
    <row r="716" ht="16.5" customHeight="1">
      <c r="A716" s="48" t="s">
        <v>2834</v>
      </c>
      <c r="B716" s="53" t="s">
        <v>2831</v>
      </c>
      <c r="C716" s="47">
        <v>0.0</v>
      </c>
      <c r="D716" s="70" t="s">
        <v>2835</v>
      </c>
      <c r="E716" s="55" t="s">
        <v>188</v>
      </c>
      <c r="F716" s="32" t="s">
        <v>48</v>
      </c>
      <c r="G716" s="32" t="s">
        <v>35</v>
      </c>
      <c r="H716" s="71" t="s">
        <v>35</v>
      </c>
      <c r="I716" s="71" t="s">
        <v>36</v>
      </c>
      <c r="J716" s="34" t="s">
        <v>92</v>
      </c>
      <c r="K716" s="57" t="s">
        <v>38</v>
      </c>
      <c r="L716" s="72">
        <v>10241.0</v>
      </c>
      <c r="M716" s="27"/>
      <c r="N716" s="73"/>
      <c r="O716" s="28">
        <v>45308.0</v>
      </c>
      <c r="P716" s="26"/>
      <c r="Q716" s="12"/>
      <c r="R716" s="12"/>
      <c r="S716" s="12"/>
      <c r="T716" s="52">
        <v>45273.0</v>
      </c>
      <c r="U716" s="52">
        <v>45299.0</v>
      </c>
      <c r="V716" s="52">
        <v>45308.0</v>
      </c>
      <c r="W716" s="30"/>
      <c r="X716" s="30"/>
      <c r="Y716" s="31"/>
      <c r="Z716" s="31"/>
      <c r="AA716" s="31"/>
      <c r="AB716" s="74" t="s">
        <v>2836</v>
      </c>
      <c r="AC716" s="74"/>
    </row>
    <row r="717" ht="16.5" customHeight="1">
      <c r="A717" s="48" t="s">
        <v>2837</v>
      </c>
      <c r="B717" s="53" t="s">
        <v>2831</v>
      </c>
      <c r="C717" s="47">
        <v>0.0</v>
      </c>
      <c r="D717" s="70" t="s">
        <v>2838</v>
      </c>
      <c r="E717" s="55" t="s">
        <v>188</v>
      </c>
      <c r="F717" s="32" t="s">
        <v>48</v>
      </c>
      <c r="G717" s="32" t="s">
        <v>35</v>
      </c>
      <c r="H717" s="71" t="s">
        <v>35</v>
      </c>
      <c r="I717" s="71" t="s">
        <v>36</v>
      </c>
      <c r="J717" s="34" t="s">
        <v>92</v>
      </c>
      <c r="K717" s="57" t="s">
        <v>38</v>
      </c>
      <c r="L717" s="72">
        <v>10241.0</v>
      </c>
      <c r="M717" s="27"/>
      <c r="N717" s="73"/>
      <c r="O717" s="28">
        <v>45308.0</v>
      </c>
      <c r="P717" s="26"/>
      <c r="Q717" s="12"/>
      <c r="R717" s="12"/>
      <c r="S717" s="12"/>
      <c r="T717" s="52">
        <v>45273.0</v>
      </c>
      <c r="U717" s="52">
        <v>45299.0</v>
      </c>
      <c r="V717" s="52">
        <v>45308.0</v>
      </c>
      <c r="W717" s="30"/>
      <c r="X717" s="30"/>
      <c r="Y717" s="31"/>
      <c r="Z717" s="31"/>
      <c r="AA717" s="31"/>
      <c r="AB717" s="74" t="s">
        <v>2839</v>
      </c>
      <c r="AC717" s="74"/>
    </row>
    <row r="718" ht="16.5" customHeight="1">
      <c r="A718" s="48" t="s">
        <v>2840</v>
      </c>
      <c r="B718" s="53" t="s">
        <v>2831</v>
      </c>
      <c r="C718" s="47">
        <v>0.0</v>
      </c>
      <c r="D718" s="70" t="s">
        <v>2841</v>
      </c>
      <c r="E718" s="55" t="s">
        <v>188</v>
      </c>
      <c r="F718" s="32" t="s">
        <v>48</v>
      </c>
      <c r="G718" s="32" t="s">
        <v>35</v>
      </c>
      <c r="H718" s="71" t="s">
        <v>35</v>
      </c>
      <c r="I718" s="71" t="s">
        <v>36</v>
      </c>
      <c r="J718" s="34" t="s">
        <v>92</v>
      </c>
      <c r="K718" s="57" t="s">
        <v>38</v>
      </c>
      <c r="L718" s="72">
        <v>10241.0</v>
      </c>
      <c r="M718" s="27"/>
      <c r="N718" s="73"/>
      <c r="O718" s="28">
        <v>45308.0</v>
      </c>
      <c r="P718" s="26"/>
      <c r="Q718" s="12"/>
      <c r="R718" s="12"/>
      <c r="S718" s="12"/>
      <c r="T718" s="52">
        <v>45273.0</v>
      </c>
      <c r="U718" s="52">
        <v>45299.0</v>
      </c>
      <c r="V718" s="52">
        <v>45308.0</v>
      </c>
      <c r="W718" s="30"/>
      <c r="X718" s="30"/>
      <c r="Y718" s="31"/>
      <c r="Z718" s="31"/>
      <c r="AA718" s="31"/>
      <c r="AB718" s="74" t="s">
        <v>2842</v>
      </c>
      <c r="AC718" s="74"/>
    </row>
    <row r="719" ht="16.5" customHeight="1">
      <c r="A719" s="48" t="s">
        <v>2843</v>
      </c>
      <c r="B719" s="53" t="s">
        <v>2844</v>
      </c>
      <c r="C719" s="47">
        <v>0.0</v>
      </c>
      <c r="D719" s="70" t="s">
        <v>2845</v>
      </c>
      <c r="E719" s="55" t="s">
        <v>1119</v>
      </c>
      <c r="F719" s="32" t="s">
        <v>33</v>
      </c>
      <c r="G719" s="32" t="s">
        <v>35</v>
      </c>
      <c r="H719" s="71" t="s">
        <v>35</v>
      </c>
      <c r="I719" s="71" t="s">
        <v>36</v>
      </c>
      <c r="J719" s="34" t="s">
        <v>37</v>
      </c>
      <c r="K719" s="57" t="s">
        <v>1506</v>
      </c>
      <c r="L719" s="72">
        <v>10161.0</v>
      </c>
      <c r="M719" s="27"/>
      <c r="N719" s="76"/>
      <c r="O719" s="28">
        <v>45288.0</v>
      </c>
      <c r="P719" s="26"/>
      <c r="Q719" s="12"/>
      <c r="R719" s="12"/>
      <c r="S719" s="12"/>
      <c r="T719" s="52">
        <v>45273.0</v>
      </c>
      <c r="U719" s="52">
        <v>45274.0</v>
      </c>
      <c r="V719" s="52">
        <v>45288.0</v>
      </c>
      <c r="W719" s="30"/>
      <c r="X719" s="30"/>
      <c r="Y719" s="31"/>
      <c r="Z719" s="31"/>
      <c r="AA719" s="31"/>
      <c r="AB719" s="74" t="s">
        <v>2846</v>
      </c>
      <c r="AC719" s="74"/>
    </row>
    <row r="720" ht="16.5" customHeight="1">
      <c r="A720" s="48" t="s">
        <v>2847</v>
      </c>
      <c r="B720" s="53" t="s">
        <v>2844</v>
      </c>
      <c r="C720" s="47">
        <v>0.0</v>
      </c>
      <c r="D720" s="70" t="s">
        <v>2848</v>
      </c>
      <c r="E720" s="55" t="s">
        <v>1119</v>
      </c>
      <c r="F720" s="32" t="s">
        <v>33</v>
      </c>
      <c r="G720" s="32" t="s">
        <v>35</v>
      </c>
      <c r="H720" s="71" t="s">
        <v>35</v>
      </c>
      <c r="I720" s="71" t="s">
        <v>36</v>
      </c>
      <c r="J720" s="34" t="s">
        <v>37</v>
      </c>
      <c r="K720" s="57" t="s">
        <v>1506</v>
      </c>
      <c r="L720" s="72">
        <v>10161.0</v>
      </c>
      <c r="M720" s="27"/>
      <c r="N720" s="76"/>
      <c r="O720" s="28">
        <v>45288.0</v>
      </c>
      <c r="P720" s="26"/>
      <c r="Q720" s="12"/>
      <c r="R720" s="12"/>
      <c r="S720" s="12"/>
      <c r="T720" s="52">
        <v>6695243.0</v>
      </c>
      <c r="U720" s="52">
        <v>45274.0</v>
      </c>
      <c r="V720" s="52">
        <v>45288.0</v>
      </c>
      <c r="W720" s="30"/>
      <c r="X720" s="30"/>
      <c r="Y720" s="31"/>
      <c r="Z720" s="31"/>
      <c r="AA720" s="31"/>
      <c r="AB720" s="74" t="s">
        <v>2849</v>
      </c>
      <c r="AC720" s="74"/>
    </row>
    <row r="721" ht="16.5" customHeight="1">
      <c r="A721" s="48" t="s">
        <v>2850</v>
      </c>
      <c r="B721" s="53" t="s">
        <v>2541</v>
      </c>
      <c r="C721" s="47">
        <v>0.0</v>
      </c>
      <c r="D721" s="70" t="s">
        <v>2851</v>
      </c>
      <c r="E721" s="55" t="s">
        <v>1040</v>
      </c>
      <c r="F721" s="32" t="s">
        <v>33</v>
      </c>
      <c r="G721" s="32" t="s">
        <v>35</v>
      </c>
      <c r="H721" s="71" t="s">
        <v>35</v>
      </c>
      <c r="I721" s="71" t="s">
        <v>36</v>
      </c>
      <c r="J721" s="34" t="s">
        <v>65</v>
      </c>
      <c r="K721" s="57" t="s">
        <v>38</v>
      </c>
      <c r="L721" s="72">
        <v>10183.0</v>
      </c>
      <c r="M721" s="27"/>
      <c r="N721" s="73"/>
      <c r="O721" s="28">
        <v>45296.0</v>
      </c>
      <c r="P721" s="26"/>
      <c r="Q721" s="12"/>
      <c r="R721" s="12"/>
      <c r="S721" s="12"/>
      <c r="T721" s="52">
        <v>45273.0</v>
      </c>
      <c r="U721" s="52">
        <v>45279.0</v>
      </c>
      <c r="V721" s="52">
        <v>45295.0</v>
      </c>
      <c r="W721" s="30"/>
      <c r="X721" s="30"/>
      <c r="Y721" s="31"/>
      <c r="Z721" s="31"/>
      <c r="AA721" s="31"/>
      <c r="AB721" s="74" t="s">
        <v>2852</v>
      </c>
      <c r="AC721" s="74"/>
    </row>
    <row r="722" ht="16.5" customHeight="1">
      <c r="A722" s="48" t="s">
        <v>2853</v>
      </c>
      <c r="B722" s="53" t="s">
        <v>2698</v>
      </c>
      <c r="C722" s="47">
        <v>0.0</v>
      </c>
      <c r="D722" s="70" t="s">
        <v>2854</v>
      </c>
      <c r="E722" s="55" t="s">
        <v>177</v>
      </c>
      <c r="F722" s="32" t="s">
        <v>48</v>
      </c>
      <c r="G722" s="32" t="s">
        <v>35</v>
      </c>
      <c r="H722" s="71" t="s">
        <v>35</v>
      </c>
      <c r="I722" s="71" t="s">
        <v>36</v>
      </c>
      <c r="J722" s="34" t="s">
        <v>65</v>
      </c>
      <c r="K722" s="57" t="s">
        <v>38</v>
      </c>
      <c r="L722" s="72">
        <v>10311.0</v>
      </c>
      <c r="M722" s="27"/>
      <c r="N722" s="73"/>
      <c r="O722" s="28">
        <v>45316.0</v>
      </c>
      <c r="P722" s="26"/>
      <c r="Q722" s="12"/>
      <c r="R722" s="12"/>
      <c r="S722" s="12"/>
      <c r="T722" s="52">
        <v>45273.0</v>
      </c>
      <c r="U722" s="52">
        <v>45315.0</v>
      </c>
      <c r="V722" s="52">
        <v>45316.0</v>
      </c>
      <c r="W722" s="30"/>
      <c r="X722" s="30"/>
      <c r="Y722" s="31"/>
      <c r="Z722" s="31"/>
      <c r="AA722" s="31"/>
      <c r="AB722" s="74" t="s">
        <v>2855</v>
      </c>
      <c r="AC722" s="74"/>
    </row>
    <row r="723" ht="16.5" customHeight="1">
      <c r="A723" s="48" t="s">
        <v>2856</v>
      </c>
      <c r="B723" s="53" t="s">
        <v>2857</v>
      </c>
      <c r="C723" s="47">
        <v>0.0</v>
      </c>
      <c r="D723" s="70" t="s">
        <v>2858</v>
      </c>
      <c r="E723" s="55" t="s">
        <v>701</v>
      </c>
      <c r="F723" s="32" t="s">
        <v>33</v>
      </c>
      <c r="G723" s="32" t="s">
        <v>35</v>
      </c>
      <c r="H723" s="71" t="s">
        <v>35</v>
      </c>
      <c r="I723" s="71" t="s">
        <v>36</v>
      </c>
      <c r="J723" s="34" t="s">
        <v>37</v>
      </c>
      <c r="K723" s="57" t="s">
        <v>1506</v>
      </c>
      <c r="L723" s="72">
        <v>10178.0</v>
      </c>
      <c r="M723" s="27"/>
      <c r="N723" s="76"/>
      <c r="O723" s="28">
        <v>45295.0</v>
      </c>
      <c r="P723" s="26"/>
      <c r="Q723" s="12"/>
      <c r="R723" s="12"/>
      <c r="S723" s="12"/>
      <c r="T723" s="52">
        <v>45274.0</v>
      </c>
      <c r="U723" s="52">
        <v>45274.0</v>
      </c>
      <c r="V723" s="52">
        <v>45287.0</v>
      </c>
      <c r="W723" s="30"/>
      <c r="X723" s="30"/>
      <c r="Y723" s="31"/>
      <c r="Z723" s="31"/>
      <c r="AA723" s="31"/>
      <c r="AB723" s="74" t="s">
        <v>2859</v>
      </c>
      <c r="AC723" s="74"/>
    </row>
    <row r="724" ht="16.5" customHeight="1">
      <c r="A724" s="48" t="s">
        <v>2860</v>
      </c>
      <c r="B724" s="53" t="s">
        <v>2857</v>
      </c>
      <c r="C724" s="47">
        <v>0.0</v>
      </c>
      <c r="D724" s="70" t="s">
        <v>2861</v>
      </c>
      <c r="E724" s="55" t="s">
        <v>117</v>
      </c>
      <c r="F724" s="32" t="s">
        <v>33</v>
      </c>
      <c r="G724" s="32" t="s">
        <v>35</v>
      </c>
      <c r="H724" s="71" t="s">
        <v>35</v>
      </c>
      <c r="I724" s="71" t="s">
        <v>36</v>
      </c>
      <c r="J724" s="34" t="s">
        <v>37</v>
      </c>
      <c r="K724" s="57" t="s">
        <v>1506</v>
      </c>
      <c r="L724" s="72">
        <v>10178.0</v>
      </c>
      <c r="M724" s="27"/>
      <c r="N724" s="76"/>
      <c r="O724" s="28">
        <v>45295.0</v>
      </c>
      <c r="P724" s="26"/>
      <c r="Q724" s="12"/>
      <c r="R724" s="12"/>
      <c r="S724" s="12"/>
      <c r="T724" s="52">
        <v>45274.0</v>
      </c>
      <c r="U724" s="52">
        <v>45274.0</v>
      </c>
      <c r="V724" s="52">
        <v>45288.0</v>
      </c>
      <c r="W724" s="30"/>
      <c r="X724" s="30"/>
      <c r="Y724" s="31"/>
      <c r="Z724" s="31"/>
      <c r="AA724" s="31"/>
      <c r="AB724" s="74" t="s">
        <v>2862</v>
      </c>
      <c r="AC724" s="74"/>
    </row>
    <row r="725" ht="16.5" customHeight="1">
      <c r="A725" s="48" t="s">
        <v>2863</v>
      </c>
      <c r="B725" s="53" t="s">
        <v>2864</v>
      </c>
      <c r="C725" s="47">
        <v>0.0</v>
      </c>
      <c r="D725" s="70" t="s">
        <v>2865</v>
      </c>
      <c r="E725" s="55" t="s">
        <v>383</v>
      </c>
      <c r="F725" s="32" t="s">
        <v>33</v>
      </c>
      <c r="G725" s="32" t="s">
        <v>35</v>
      </c>
      <c r="H725" s="71" t="s">
        <v>35</v>
      </c>
      <c r="I725" s="71" t="s">
        <v>36</v>
      </c>
      <c r="J725" s="34" t="s">
        <v>65</v>
      </c>
      <c r="K725" s="57" t="s">
        <v>38</v>
      </c>
      <c r="L725" s="72">
        <v>10159.0</v>
      </c>
      <c r="M725" s="27"/>
      <c r="N725" s="76"/>
      <c r="O725" s="28">
        <v>45288.0</v>
      </c>
      <c r="P725" s="26"/>
      <c r="Q725" s="12"/>
      <c r="R725" s="12"/>
      <c r="S725" s="12"/>
      <c r="T725" s="52">
        <v>45274.0</v>
      </c>
      <c r="U725" s="52">
        <v>45278.0</v>
      </c>
      <c r="V725" s="52">
        <v>45287.0</v>
      </c>
      <c r="W725" s="30"/>
      <c r="X725" s="30"/>
      <c r="Y725" s="31"/>
      <c r="Z725" s="31"/>
      <c r="AA725" s="31"/>
      <c r="AB725" s="74" t="s">
        <v>2866</v>
      </c>
      <c r="AC725" s="74"/>
    </row>
    <row r="726" ht="16.5" customHeight="1">
      <c r="A726" s="48" t="s">
        <v>2867</v>
      </c>
      <c r="B726" s="53" t="s">
        <v>1768</v>
      </c>
      <c r="C726" s="47">
        <v>0.0</v>
      </c>
      <c r="D726" s="70" t="s">
        <v>2868</v>
      </c>
      <c r="E726" s="55" t="s">
        <v>177</v>
      </c>
      <c r="F726" s="32" t="s">
        <v>48</v>
      </c>
      <c r="G726" s="32" t="s">
        <v>35</v>
      </c>
      <c r="H726" s="71" t="s">
        <v>35</v>
      </c>
      <c r="I726" s="71" t="s">
        <v>36</v>
      </c>
      <c r="J726" s="34" t="s">
        <v>37</v>
      </c>
      <c r="K726" s="57" t="s">
        <v>38</v>
      </c>
      <c r="L726" s="72">
        <v>10247.0</v>
      </c>
      <c r="M726" s="27"/>
      <c r="N726" s="73"/>
      <c r="O726" s="28">
        <v>45309.0</v>
      </c>
      <c r="P726" s="26"/>
      <c r="Q726" s="12"/>
      <c r="R726" s="12"/>
      <c r="S726" s="12"/>
      <c r="T726" s="52">
        <v>45274.0</v>
      </c>
      <c r="U726" s="52">
        <v>45308.0</v>
      </c>
      <c r="V726" s="52">
        <v>45309.0</v>
      </c>
      <c r="W726" s="30"/>
      <c r="X726" s="30"/>
      <c r="Y726" s="31"/>
      <c r="Z726" s="31"/>
      <c r="AA726" s="31"/>
      <c r="AB726" s="74" t="s">
        <v>2869</v>
      </c>
      <c r="AC726" s="74"/>
    </row>
    <row r="727" ht="16.5" customHeight="1">
      <c r="A727" s="48" t="s">
        <v>2870</v>
      </c>
      <c r="B727" s="53" t="s">
        <v>1768</v>
      </c>
      <c r="C727" s="47">
        <v>0.0</v>
      </c>
      <c r="D727" s="70" t="s">
        <v>2871</v>
      </c>
      <c r="E727" s="55" t="s">
        <v>177</v>
      </c>
      <c r="F727" s="32" t="s">
        <v>48</v>
      </c>
      <c r="G727" s="32" t="s">
        <v>35</v>
      </c>
      <c r="H727" s="71" t="s">
        <v>35</v>
      </c>
      <c r="I727" s="71" t="s">
        <v>36</v>
      </c>
      <c r="J727" s="34" t="s">
        <v>37</v>
      </c>
      <c r="K727" s="57" t="s">
        <v>38</v>
      </c>
      <c r="L727" s="72">
        <v>10247.0</v>
      </c>
      <c r="M727" s="27"/>
      <c r="N727" s="73"/>
      <c r="O727" s="28">
        <v>45309.0</v>
      </c>
      <c r="P727" s="26"/>
      <c r="Q727" s="12"/>
      <c r="R727" s="12"/>
      <c r="S727" s="12"/>
      <c r="T727" s="52">
        <v>45274.0</v>
      </c>
      <c r="U727" s="52">
        <v>45306.0</v>
      </c>
      <c r="V727" s="52">
        <v>45309.0</v>
      </c>
      <c r="W727" s="30"/>
      <c r="X727" s="30"/>
      <c r="Y727" s="31"/>
      <c r="Z727" s="31"/>
      <c r="AA727" s="31"/>
      <c r="AB727" s="74" t="s">
        <v>2872</v>
      </c>
      <c r="AC727" s="74"/>
    </row>
    <row r="728" ht="16.5" customHeight="1">
      <c r="A728" s="48" t="s">
        <v>2873</v>
      </c>
      <c r="B728" s="53" t="s">
        <v>1461</v>
      </c>
      <c r="C728" s="47">
        <v>0.0</v>
      </c>
      <c r="D728" s="70" t="s">
        <v>2874</v>
      </c>
      <c r="E728" s="55" t="s">
        <v>2614</v>
      </c>
      <c r="F728" s="32" t="s">
        <v>33</v>
      </c>
      <c r="G728" s="32" t="s">
        <v>35</v>
      </c>
      <c r="H728" s="71" t="s">
        <v>35</v>
      </c>
      <c r="I728" s="71" t="s">
        <v>36</v>
      </c>
      <c r="J728" s="34" t="s">
        <v>65</v>
      </c>
      <c r="K728" s="57" t="s">
        <v>38</v>
      </c>
      <c r="L728" s="72">
        <v>10119.0</v>
      </c>
      <c r="M728" s="27"/>
      <c r="N728" s="76"/>
      <c r="O728" s="28">
        <v>45278.0</v>
      </c>
      <c r="P728" s="26"/>
      <c r="Q728" s="12"/>
      <c r="R728" s="12"/>
      <c r="S728" s="12"/>
      <c r="T728" s="52">
        <v>45274.0</v>
      </c>
      <c r="U728" s="52">
        <v>45273.0</v>
      </c>
      <c r="V728" s="52">
        <v>45275.0</v>
      </c>
      <c r="W728" s="30"/>
      <c r="X728" s="30"/>
      <c r="Y728" s="31"/>
      <c r="Z728" s="31"/>
      <c r="AA728" s="31"/>
      <c r="AB728" s="74" t="s">
        <v>2875</v>
      </c>
      <c r="AC728" s="74"/>
    </row>
    <row r="729" ht="16.5" customHeight="1">
      <c r="A729" s="48" t="s">
        <v>2876</v>
      </c>
      <c r="B729" s="53" t="s">
        <v>2877</v>
      </c>
      <c r="C729" s="47">
        <v>0.0</v>
      </c>
      <c r="D729" s="70" t="s">
        <v>2878</v>
      </c>
      <c r="E729" s="55" t="s">
        <v>491</v>
      </c>
      <c r="F729" s="32" t="s">
        <v>33</v>
      </c>
      <c r="G729" s="32" t="s">
        <v>35</v>
      </c>
      <c r="H729" s="71" t="s">
        <v>35</v>
      </c>
      <c r="I729" s="71" t="s">
        <v>36</v>
      </c>
      <c r="J729" s="34" t="s">
        <v>37</v>
      </c>
      <c r="K729" s="57" t="s">
        <v>447</v>
      </c>
      <c r="L729" s="72">
        <v>10171.0</v>
      </c>
      <c r="M729" s="27"/>
      <c r="N729" s="76"/>
      <c r="O729" s="28">
        <v>45295.0</v>
      </c>
      <c r="P729" s="26"/>
      <c r="Q729" s="12"/>
      <c r="R729" s="12"/>
      <c r="S729" s="12"/>
      <c r="T729" s="52">
        <v>45275.0</v>
      </c>
      <c r="U729" s="52">
        <v>45278.0</v>
      </c>
      <c r="V729" s="52">
        <v>45289.0</v>
      </c>
      <c r="W729" s="30"/>
      <c r="X729" s="30"/>
      <c r="Y729" s="31"/>
      <c r="Z729" s="31"/>
      <c r="AA729" s="31"/>
      <c r="AB729" s="74" t="s">
        <v>2879</v>
      </c>
      <c r="AC729" s="74"/>
    </row>
    <row r="730" ht="16.5" customHeight="1">
      <c r="A730" s="48" t="s">
        <v>2880</v>
      </c>
      <c r="B730" s="53" t="s">
        <v>1373</v>
      </c>
      <c r="C730" s="47">
        <v>0.0</v>
      </c>
      <c r="D730" s="70"/>
      <c r="E730" s="55" t="s">
        <v>681</v>
      </c>
      <c r="F730" s="32" t="s">
        <v>244</v>
      </c>
      <c r="G730" s="32" t="s">
        <v>35</v>
      </c>
      <c r="H730" s="71" t="s">
        <v>35</v>
      </c>
      <c r="I730" s="71" t="s">
        <v>36</v>
      </c>
      <c r="J730" s="34" t="s">
        <v>65</v>
      </c>
      <c r="K730" s="57" t="s">
        <v>38</v>
      </c>
      <c r="L730" s="72">
        <v>10135.0</v>
      </c>
      <c r="M730" s="22"/>
      <c r="N730" s="76"/>
      <c r="O730" s="28">
        <v>45280.0</v>
      </c>
      <c r="P730" s="35" t="s">
        <v>2881</v>
      </c>
      <c r="Q730" s="12"/>
      <c r="R730" s="12"/>
      <c r="S730" s="12"/>
      <c r="T730" s="52">
        <v>45275.0</v>
      </c>
      <c r="U730" s="52">
        <v>45278.0</v>
      </c>
      <c r="V730" s="52">
        <v>45280.0</v>
      </c>
      <c r="W730" s="30"/>
      <c r="X730" s="30"/>
      <c r="Y730" s="31"/>
      <c r="Z730" s="31"/>
      <c r="AA730" s="31"/>
      <c r="AB730" s="74" t="s">
        <v>2882</v>
      </c>
      <c r="AC730" s="74"/>
    </row>
    <row r="731" ht="16.5" customHeight="1">
      <c r="A731" s="48" t="s">
        <v>2883</v>
      </c>
      <c r="B731" s="53" t="s">
        <v>2884</v>
      </c>
      <c r="C731" s="47">
        <v>0.0</v>
      </c>
      <c r="D731" s="70"/>
      <c r="E731" s="55" t="s">
        <v>1268</v>
      </c>
      <c r="F731" s="32" t="s">
        <v>33</v>
      </c>
      <c r="G731" s="32" t="s">
        <v>35</v>
      </c>
      <c r="H731" s="71" t="s">
        <v>35</v>
      </c>
      <c r="I731" s="71" t="s">
        <v>36</v>
      </c>
      <c r="J731" s="34" t="s">
        <v>65</v>
      </c>
      <c r="K731" s="57" t="s">
        <v>38</v>
      </c>
      <c r="L731" s="72">
        <v>10120.0</v>
      </c>
      <c r="M731" s="22"/>
      <c r="N731" s="76"/>
      <c r="O731" s="28">
        <v>45278.0</v>
      </c>
      <c r="P731" s="35" t="s">
        <v>2750</v>
      </c>
      <c r="Q731" s="12"/>
      <c r="R731" s="12"/>
      <c r="S731" s="12"/>
      <c r="T731" s="52">
        <v>45274.0</v>
      </c>
      <c r="U731" s="52">
        <v>45277.0</v>
      </c>
      <c r="V731" s="52">
        <v>45278.0</v>
      </c>
      <c r="W731" s="30"/>
      <c r="X731" s="30"/>
      <c r="Y731" s="31"/>
      <c r="Z731" s="31"/>
      <c r="AA731" s="31"/>
      <c r="AB731" s="74" t="s">
        <v>2885</v>
      </c>
      <c r="AC731" s="74"/>
    </row>
    <row r="732" ht="16.5" customHeight="1">
      <c r="A732" s="48" t="s">
        <v>2886</v>
      </c>
      <c r="B732" s="53" t="s">
        <v>2441</v>
      </c>
      <c r="C732" s="47">
        <v>0.0</v>
      </c>
      <c r="D732" s="70" t="s">
        <v>2887</v>
      </c>
      <c r="E732" s="55" t="s">
        <v>117</v>
      </c>
      <c r="F732" s="32" t="s">
        <v>33</v>
      </c>
      <c r="G732" s="32" t="s">
        <v>34</v>
      </c>
      <c r="H732" s="71" t="s">
        <v>35</v>
      </c>
      <c r="I732" s="71" t="s">
        <v>36</v>
      </c>
      <c r="J732" s="34" t="s">
        <v>37</v>
      </c>
      <c r="K732" s="57" t="s">
        <v>447</v>
      </c>
      <c r="L732" s="72">
        <v>10164.0</v>
      </c>
      <c r="M732" s="22"/>
      <c r="N732" s="76"/>
      <c r="O732" s="28">
        <v>45289.0</v>
      </c>
      <c r="P732" s="35" t="s">
        <v>2888</v>
      </c>
      <c r="Q732" s="12"/>
      <c r="R732" s="12"/>
      <c r="S732" s="12"/>
      <c r="T732" s="52">
        <v>45274.0</v>
      </c>
      <c r="U732" s="52">
        <v>45281.0</v>
      </c>
      <c r="V732" s="52">
        <v>45288.0</v>
      </c>
      <c r="W732" s="30"/>
      <c r="X732" s="30"/>
      <c r="Y732" s="31"/>
      <c r="Z732" s="31"/>
      <c r="AA732" s="31"/>
      <c r="AB732" s="74" t="s">
        <v>2889</v>
      </c>
      <c r="AC732" s="74"/>
    </row>
    <row r="733" ht="16.5" customHeight="1">
      <c r="A733" s="48" t="s">
        <v>2890</v>
      </c>
      <c r="B733" s="53" t="s">
        <v>2891</v>
      </c>
      <c r="C733" s="47">
        <v>0.0</v>
      </c>
      <c r="D733" s="70" t="s">
        <v>2892</v>
      </c>
      <c r="E733" s="55" t="s">
        <v>511</v>
      </c>
      <c r="F733" s="32" t="s">
        <v>33</v>
      </c>
      <c r="G733" s="32" t="s">
        <v>35</v>
      </c>
      <c r="H733" s="71" t="s">
        <v>35</v>
      </c>
      <c r="I733" s="71" t="s">
        <v>36</v>
      </c>
      <c r="J733" s="34" t="s">
        <v>37</v>
      </c>
      <c r="K733" s="57" t="s">
        <v>38</v>
      </c>
      <c r="L733" s="72">
        <v>10166.0</v>
      </c>
      <c r="M733" s="27"/>
      <c r="N733" s="76"/>
      <c r="O733" s="28">
        <v>45295.0</v>
      </c>
      <c r="P733" s="26"/>
      <c r="Q733" s="12"/>
      <c r="R733" s="12"/>
      <c r="S733" s="12"/>
      <c r="T733" s="52">
        <v>45275.0</v>
      </c>
      <c r="U733" s="52">
        <v>45278.0</v>
      </c>
      <c r="V733" s="52">
        <v>45289.0</v>
      </c>
      <c r="W733" s="30"/>
      <c r="X733" s="30"/>
      <c r="Y733" s="31"/>
      <c r="Z733" s="31"/>
      <c r="AA733" s="31"/>
      <c r="AB733" s="74" t="s">
        <v>2893</v>
      </c>
      <c r="AC733" s="74"/>
    </row>
    <row r="734" ht="16.5" customHeight="1">
      <c r="A734" s="48" t="s">
        <v>2894</v>
      </c>
      <c r="B734" s="53" t="s">
        <v>2891</v>
      </c>
      <c r="C734" s="47">
        <v>0.0</v>
      </c>
      <c r="D734" s="70" t="s">
        <v>2895</v>
      </c>
      <c r="E734" s="55" t="s">
        <v>511</v>
      </c>
      <c r="F734" s="32" t="s">
        <v>33</v>
      </c>
      <c r="G734" s="32" t="s">
        <v>35</v>
      </c>
      <c r="H734" s="71" t="s">
        <v>35</v>
      </c>
      <c r="I734" s="71" t="s">
        <v>36</v>
      </c>
      <c r="J734" s="34" t="s">
        <v>37</v>
      </c>
      <c r="K734" s="57" t="s">
        <v>38</v>
      </c>
      <c r="L734" s="72">
        <v>10166.0</v>
      </c>
      <c r="M734" s="27"/>
      <c r="N734" s="76"/>
      <c r="O734" s="28">
        <v>45295.0</v>
      </c>
      <c r="P734" s="26"/>
      <c r="Q734" s="12"/>
      <c r="R734" s="12"/>
      <c r="S734" s="12"/>
      <c r="T734" s="52">
        <v>45275.0</v>
      </c>
      <c r="U734" s="52">
        <v>45278.0</v>
      </c>
      <c r="V734" s="52">
        <v>45289.0</v>
      </c>
      <c r="W734" s="30"/>
      <c r="X734" s="30"/>
      <c r="Y734" s="31"/>
      <c r="Z734" s="31"/>
      <c r="AA734" s="31"/>
      <c r="AB734" s="74" t="s">
        <v>2896</v>
      </c>
      <c r="AC734" s="74"/>
    </row>
    <row r="735" ht="16.5" customHeight="1">
      <c r="A735" s="48" t="s">
        <v>2897</v>
      </c>
      <c r="B735" s="53" t="s">
        <v>2891</v>
      </c>
      <c r="C735" s="47">
        <v>0.0</v>
      </c>
      <c r="D735" s="70" t="s">
        <v>2898</v>
      </c>
      <c r="E735" s="55" t="s">
        <v>511</v>
      </c>
      <c r="F735" s="32" t="s">
        <v>33</v>
      </c>
      <c r="G735" s="32" t="s">
        <v>35</v>
      </c>
      <c r="H735" s="71" t="s">
        <v>35</v>
      </c>
      <c r="I735" s="71" t="s">
        <v>36</v>
      </c>
      <c r="J735" s="34" t="s">
        <v>37</v>
      </c>
      <c r="K735" s="57" t="s">
        <v>38</v>
      </c>
      <c r="L735" s="72">
        <v>10166.0</v>
      </c>
      <c r="M735" s="27"/>
      <c r="N735" s="76"/>
      <c r="O735" s="28">
        <v>45295.0</v>
      </c>
      <c r="P735" s="26"/>
      <c r="Q735" s="12"/>
      <c r="R735" s="12"/>
      <c r="S735" s="12"/>
      <c r="T735" s="52">
        <v>45275.0</v>
      </c>
      <c r="U735" s="52">
        <v>45278.0</v>
      </c>
      <c r="V735" s="52">
        <v>45289.0</v>
      </c>
      <c r="W735" s="30"/>
      <c r="X735" s="30"/>
      <c r="Y735" s="31"/>
      <c r="Z735" s="31"/>
      <c r="AA735" s="31"/>
      <c r="AB735" s="74" t="s">
        <v>2899</v>
      </c>
      <c r="AC735" s="74"/>
    </row>
    <row r="736" ht="16.5" customHeight="1">
      <c r="A736" s="48" t="s">
        <v>2900</v>
      </c>
      <c r="B736" s="53" t="s">
        <v>2891</v>
      </c>
      <c r="C736" s="47">
        <v>0.0</v>
      </c>
      <c r="D736" s="70" t="s">
        <v>2901</v>
      </c>
      <c r="E736" s="55" t="s">
        <v>408</v>
      </c>
      <c r="F736" s="32" t="s">
        <v>33</v>
      </c>
      <c r="G736" s="32" t="s">
        <v>35</v>
      </c>
      <c r="H736" s="71" t="s">
        <v>35</v>
      </c>
      <c r="I736" s="71" t="s">
        <v>36</v>
      </c>
      <c r="J736" s="34" t="s">
        <v>37</v>
      </c>
      <c r="K736" s="57" t="s">
        <v>38</v>
      </c>
      <c r="L736" s="72">
        <v>10166.0</v>
      </c>
      <c r="M736" s="27"/>
      <c r="N736" s="76"/>
      <c r="O736" s="28">
        <v>45295.0</v>
      </c>
      <c r="P736" s="26"/>
      <c r="Q736" s="12"/>
      <c r="R736" s="12"/>
      <c r="S736" s="12"/>
      <c r="T736" s="52">
        <v>45275.0</v>
      </c>
      <c r="U736" s="52">
        <v>45278.0</v>
      </c>
      <c r="V736" s="52">
        <v>45280.0</v>
      </c>
      <c r="W736" s="30"/>
      <c r="X736" s="30"/>
      <c r="Y736" s="31"/>
      <c r="Z736" s="31"/>
      <c r="AA736" s="31"/>
      <c r="AB736" s="74" t="s">
        <v>2902</v>
      </c>
      <c r="AC736" s="74"/>
    </row>
    <row r="737" ht="16.5" customHeight="1">
      <c r="A737" s="48" t="s">
        <v>2903</v>
      </c>
      <c r="B737" s="53" t="s">
        <v>287</v>
      </c>
      <c r="C737" s="47">
        <v>0.0</v>
      </c>
      <c r="D737" s="70" t="s">
        <v>2904</v>
      </c>
      <c r="E737" s="55" t="s">
        <v>913</v>
      </c>
      <c r="F737" s="32" t="s">
        <v>33</v>
      </c>
      <c r="G737" s="32" t="s">
        <v>35</v>
      </c>
      <c r="H737" s="71" t="s">
        <v>35</v>
      </c>
      <c r="I737" s="71" t="s">
        <v>36</v>
      </c>
      <c r="J737" s="34" t="s">
        <v>92</v>
      </c>
      <c r="K737" s="57" t="s">
        <v>38</v>
      </c>
      <c r="L737" s="72">
        <v>10193.0</v>
      </c>
      <c r="M737" s="22"/>
      <c r="N737" s="73"/>
      <c r="O737" s="28">
        <v>45321.0</v>
      </c>
      <c r="P737" s="35" t="s">
        <v>2905</v>
      </c>
      <c r="Q737" s="12"/>
      <c r="R737" s="12"/>
      <c r="S737" s="12"/>
      <c r="T737" s="52">
        <v>45266.0</v>
      </c>
      <c r="U737" s="52">
        <v>45278.0</v>
      </c>
      <c r="V737" s="52">
        <v>45296.0</v>
      </c>
      <c r="W737" s="30"/>
      <c r="X737" s="30"/>
      <c r="Y737" s="31"/>
      <c r="Z737" s="31"/>
      <c r="AA737" s="31"/>
      <c r="AB737" s="74" t="s">
        <v>2906</v>
      </c>
      <c r="AC737" s="74"/>
    </row>
    <row r="738" ht="16.5" customHeight="1">
      <c r="A738" s="48" t="s">
        <v>2907</v>
      </c>
      <c r="B738" s="53" t="s">
        <v>1359</v>
      </c>
      <c r="C738" s="47">
        <v>0.0</v>
      </c>
      <c r="D738" s="70" t="s">
        <v>2908</v>
      </c>
      <c r="E738" s="55" t="s">
        <v>79</v>
      </c>
      <c r="F738" s="32" t="s">
        <v>33</v>
      </c>
      <c r="G738" s="32" t="s">
        <v>35</v>
      </c>
      <c r="H738" s="71" t="s">
        <v>35</v>
      </c>
      <c r="I738" s="71" t="s">
        <v>36</v>
      </c>
      <c r="J738" s="34" t="s">
        <v>420</v>
      </c>
      <c r="K738" s="57" t="s">
        <v>38</v>
      </c>
      <c r="L738" s="72">
        <v>10194.0</v>
      </c>
      <c r="M738" s="22"/>
      <c r="N738" s="76"/>
      <c r="O738" s="28">
        <v>45295.0</v>
      </c>
      <c r="P738" s="35" t="s">
        <v>2909</v>
      </c>
      <c r="Q738" s="12"/>
      <c r="R738" s="12"/>
      <c r="S738" s="12"/>
      <c r="T738" s="52">
        <v>45275.0</v>
      </c>
      <c r="U738" s="52">
        <v>45278.0</v>
      </c>
      <c r="V738" s="52">
        <v>45289.0</v>
      </c>
      <c r="W738" s="30"/>
      <c r="X738" s="30"/>
      <c r="Y738" s="31"/>
      <c r="Z738" s="31"/>
      <c r="AA738" s="31"/>
      <c r="AB738" s="74" t="s">
        <v>2910</v>
      </c>
      <c r="AC738" s="74"/>
    </row>
    <row r="739" ht="16.5" customHeight="1">
      <c r="A739" s="48" t="s">
        <v>2911</v>
      </c>
      <c r="B739" s="53" t="s">
        <v>477</v>
      </c>
      <c r="C739" s="47">
        <v>0.0</v>
      </c>
      <c r="D739" s="70" t="s">
        <v>1044</v>
      </c>
      <c r="E739" s="55" t="s">
        <v>383</v>
      </c>
      <c r="F739" s="32" t="s">
        <v>33</v>
      </c>
      <c r="G739" s="32" t="s">
        <v>35</v>
      </c>
      <c r="H739" s="71" t="s">
        <v>35</v>
      </c>
      <c r="I739" s="71" t="s">
        <v>36</v>
      </c>
      <c r="J739" s="34" t="s">
        <v>65</v>
      </c>
      <c r="K739" s="57" t="s">
        <v>38</v>
      </c>
      <c r="L739" s="72">
        <v>10122.0</v>
      </c>
      <c r="M739" s="22"/>
      <c r="N739" s="76"/>
      <c r="O739" s="28">
        <v>45279.0</v>
      </c>
      <c r="P739" s="35" t="s">
        <v>2912</v>
      </c>
      <c r="Q739" s="12"/>
      <c r="R739" s="12"/>
      <c r="S739" s="12"/>
      <c r="T739" s="52">
        <v>45275.0</v>
      </c>
      <c r="U739" s="52">
        <v>45278.0</v>
      </c>
      <c r="V739" s="52">
        <v>45279.0</v>
      </c>
      <c r="W739" s="30"/>
      <c r="X739" s="30"/>
      <c r="Y739" s="31"/>
      <c r="Z739" s="31"/>
      <c r="AA739" s="31"/>
      <c r="AB739" s="74" t="s">
        <v>2913</v>
      </c>
      <c r="AC739" s="74"/>
    </row>
    <row r="740" ht="16.5" customHeight="1">
      <c r="A740" s="48" t="s">
        <v>2914</v>
      </c>
      <c r="B740" s="53" t="s">
        <v>631</v>
      </c>
      <c r="C740" s="47">
        <v>0.0</v>
      </c>
      <c r="D740" s="70" t="s">
        <v>2915</v>
      </c>
      <c r="E740" s="55" t="s">
        <v>268</v>
      </c>
      <c r="F740" s="32" t="s">
        <v>33</v>
      </c>
      <c r="G740" s="32" t="s">
        <v>35</v>
      </c>
      <c r="H740" s="71" t="s">
        <v>35</v>
      </c>
      <c r="I740" s="71" t="s">
        <v>36</v>
      </c>
      <c r="J740" s="34" t="s">
        <v>65</v>
      </c>
      <c r="K740" s="57" t="s">
        <v>38</v>
      </c>
      <c r="L740" s="72">
        <v>10176.0</v>
      </c>
      <c r="M740" s="27"/>
      <c r="N740" s="76"/>
      <c r="O740" s="28">
        <v>45294.0</v>
      </c>
      <c r="P740" s="26"/>
      <c r="Q740" s="12"/>
      <c r="R740" s="12"/>
      <c r="S740" s="12"/>
      <c r="T740" s="52">
        <v>45278.0</v>
      </c>
      <c r="U740" s="52">
        <v>45279.0</v>
      </c>
      <c r="V740" s="52">
        <v>45289.0</v>
      </c>
      <c r="W740" s="30"/>
      <c r="X740" s="30"/>
      <c r="Y740" s="31"/>
      <c r="Z740" s="31"/>
      <c r="AA740" s="31"/>
      <c r="AB740" s="74" t="s">
        <v>2916</v>
      </c>
      <c r="AC740" s="74"/>
    </row>
    <row r="741" ht="16.5" customHeight="1">
      <c r="A741" s="48" t="s">
        <v>2917</v>
      </c>
      <c r="B741" s="53" t="s">
        <v>498</v>
      </c>
      <c r="C741" s="47">
        <v>0.0</v>
      </c>
      <c r="D741" s="70" t="s">
        <v>2918</v>
      </c>
      <c r="E741" s="55" t="s">
        <v>177</v>
      </c>
      <c r="F741" s="32" t="s">
        <v>48</v>
      </c>
      <c r="G741" s="32" t="s">
        <v>35</v>
      </c>
      <c r="H741" s="71" t="s">
        <v>35</v>
      </c>
      <c r="I741" s="71" t="s">
        <v>36</v>
      </c>
      <c r="J741" s="34" t="s">
        <v>420</v>
      </c>
      <c r="K741" s="57" t="s">
        <v>38</v>
      </c>
      <c r="L741" s="72">
        <v>10237.0</v>
      </c>
      <c r="M741" s="27"/>
      <c r="N741" s="73"/>
      <c r="O741" s="28">
        <v>45308.0</v>
      </c>
      <c r="P741" s="26"/>
      <c r="Q741" s="12"/>
      <c r="R741" s="12"/>
      <c r="S741" s="12"/>
      <c r="T741" s="52">
        <v>45278.0</v>
      </c>
      <c r="U741" s="52">
        <v>45281.0</v>
      </c>
      <c r="V741" s="52">
        <v>45308.0</v>
      </c>
      <c r="W741" s="30"/>
      <c r="X741" s="30"/>
      <c r="Y741" s="31"/>
      <c r="Z741" s="31"/>
      <c r="AA741" s="31"/>
      <c r="AB741" s="74" t="s">
        <v>2919</v>
      </c>
      <c r="AC741" s="74"/>
    </row>
    <row r="742" ht="16.5" customHeight="1">
      <c r="A742" s="48" t="s">
        <v>2920</v>
      </c>
      <c r="B742" s="53" t="s">
        <v>880</v>
      </c>
      <c r="C742" s="47">
        <v>0.0</v>
      </c>
      <c r="D742" s="70"/>
      <c r="E742" s="55" t="s">
        <v>1077</v>
      </c>
      <c r="F742" s="32" t="s">
        <v>33</v>
      </c>
      <c r="G742" s="32" t="s">
        <v>35</v>
      </c>
      <c r="H742" s="71" t="s">
        <v>35</v>
      </c>
      <c r="I742" s="71" t="s">
        <v>665</v>
      </c>
      <c r="J742" s="34" t="s">
        <v>92</v>
      </c>
      <c r="K742" s="57" t="s">
        <v>38</v>
      </c>
      <c r="L742" s="72">
        <v>10130.0</v>
      </c>
      <c r="M742" s="22"/>
      <c r="N742" s="76"/>
      <c r="O742" s="28">
        <v>45280.0</v>
      </c>
      <c r="P742" s="35" t="s">
        <v>2921</v>
      </c>
      <c r="Q742" s="12"/>
      <c r="R742" s="12"/>
      <c r="S742" s="12"/>
      <c r="T742" s="52">
        <v>45280.0</v>
      </c>
      <c r="U742" s="52">
        <v>45280.0</v>
      </c>
      <c r="V742" s="52">
        <v>45280.0</v>
      </c>
      <c r="W742" s="30"/>
      <c r="X742" s="30"/>
      <c r="Y742" s="31"/>
      <c r="Z742" s="31"/>
      <c r="AA742" s="31"/>
      <c r="AB742" s="74" t="s">
        <v>2922</v>
      </c>
      <c r="AC742" s="74"/>
    </row>
    <row r="743" ht="16.5" customHeight="1">
      <c r="A743" s="48" t="s">
        <v>2923</v>
      </c>
      <c r="B743" s="53" t="s">
        <v>880</v>
      </c>
      <c r="C743" s="47">
        <v>0.0</v>
      </c>
      <c r="D743" s="70"/>
      <c r="E743" s="55" t="s">
        <v>550</v>
      </c>
      <c r="F743" s="32" t="s">
        <v>33</v>
      </c>
      <c r="G743" s="32" t="s">
        <v>34</v>
      </c>
      <c r="H743" s="71" t="s">
        <v>35</v>
      </c>
      <c r="I743" s="71" t="s">
        <v>665</v>
      </c>
      <c r="J743" s="34" t="s">
        <v>92</v>
      </c>
      <c r="K743" s="57" t="s">
        <v>38</v>
      </c>
      <c r="L743" s="72">
        <v>10130.0</v>
      </c>
      <c r="M743" s="22"/>
      <c r="N743" s="76"/>
      <c r="O743" s="28">
        <v>45280.0</v>
      </c>
      <c r="P743" s="35" t="s">
        <v>2924</v>
      </c>
      <c r="Q743" s="12"/>
      <c r="R743" s="12"/>
      <c r="S743" s="12"/>
      <c r="T743" s="52">
        <v>45280.0</v>
      </c>
      <c r="U743" s="52">
        <v>45280.0</v>
      </c>
      <c r="V743" s="52">
        <v>45280.0</v>
      </c>
      <c r="W743" s="30"/>
      <c r="X743" s="30"/>
      <c r="Y743" s="31"/>
      <c r="Z743" s="31"/>
      <c r="AA743" s="31"/>
      <c r="AB743" s="74" t="s">
        <v>2925</v>
      </c>
      <c r="AC743" s="74"/>
    </row>
    <row r="744" ht="16.5" customHeight="1">
      <c r="A744" s="48" t="s">
        <v>2926</v>
      </c>
      <c r="B744" s="53" t="s">
        <v>880</v>
      </c>
      <c r="C744" s="47">
        <v>0.0</v>
      </c>
      <c r="D744" s="70"/>
      <c r="E744" s="55" t="s">
        <v>251</v>
      </c>
      <c r="F744" s="32" t="s">
        <v>33</v>
      </c>
      <c r="G744" s="32" t="s">
        <v>34</v>
      </c>
      <c r="H744" s="71" t="s">
        <v>35</v>
      </c>
      <c r="I744" s="71" t="s">
        <v>665</v>
      </c>
      <c r="J744" s="34" t="s">
        <v>92</v>
      </c>
      <c r="K744" s="57" t="s">
        <v>38</v>
      </c>
      <c r="L744" s="72">
        <v>10130.0</v>
      </c>
      <c r="M744" s="22"/>
      <c r="N744" s="76"/>
      <c r="O744" s="28">
        <v>45280.0</v>
      </c>
      <c r="P744" s="35" t="s">
        <v>2927</v>
      </c>
      <c r="Q744" s="12"/>
      <c r="R744" s="12"/>
      <c r="S744" s="12"/>
      <c r="T744" s="52">
        <v>45280.0</v>
      </c>
      <c r="U744" s="52">
        <v>45280.0</v>
      </c>
      <c r="V744" s="52">
        <v>45280.0</v>
      </c>
      <c r="W744" s="30"/>
      <c r="X744" s="30"/>
      <c r="Y744" s="31"/>
      <c r="Z744" s="31"/>
      <c r="AA744" s="31"/>
      <c r="AB744" s="74" t="s">
        <v>2928</v>
      </c>
      <c r="AC744" s="74"/>
    </row>
    <row r="745" ht="16.5" customHeight="1">
      <c r="A745" s="48" t="s">
        <v>2929</v>
      </c>
      <c r="B745" s="53" t="s">
        <v>2930</v>
      </c>
      <c r="C745" s="47">
        <v>0.0</v>
      </c>
      <c r="D745" s="70" t="s">
        <v>2931</v>
      </c>
      <c r="E745" s="55" t="s">
        <v>301</v>
      </c>
      <c r="F745" s="32" t="s">
        <v>33</v>
      </c>
      <c r="G745" s="32" t="s">
        <v>34</v>
      </c>
      <c r="H745" s="71" t="s">
        <v>35</v>
      </c>
      <c r="I745" s="71" t="s">
        <v>36</v>
      </c>
      <c r="J745" s="34" t="s">
        <v>92</v>
      </c>
      <c r="K745" s="57" t="s">
        <v>38</v>
      </c>
      <c r="L745" s="72">
        <v>10152.0</v>
      </c>
      <c r="M745" s="27"/>
      <c r="N745" s="76"/>
      <c r="O745" s="28">
        <v>45293.0</v>
      </c>
      <c r="P745" s="26"/>
      <c r="Q745" s="12"/>
      <c r="R745" s="12"/>
      <c r="S745" s="12"/>
      <c r="T745" s="52">
        <v>45280.0</v>
      </c>
      <c r="U745" s="52">
        <v>45281.0</v>
      </c>
      <c r="V745" s="52">
        <v>45287.0</v>
      </c>
      <c r="W745" s="30"/>
      <c r="X745" s="30"/>
      <c r="Y745" s="31"/>
      <c r="Z745" s="31"/>
      <c r="AA745" s="31"/>
      <c r="AB745" s="74" t="s">
        <v>2932</v>
      </c>
      <c r="AC745" s="74"/>
    </row>
    <row r="746" ht="16.5" customHeight="1">
      <c r="A746" s="48" t="s">
        <v>2933</v>
      </c>
      <c r="B746" s="53" t="s">
        <v>2934</v>
      </c>
      <c r="C746" s="47">
        <v>0.0</v>
      </c>
      <c r="D746" s="70" t="s">
        <v>2935</v>
      </c>
      <c r="E746" s="55" t="s">
        <v>1911</v>
      </c>
      <c r="F746" s="32" t="s">
        <v>244</v>
      </c>
      <c r="G746" s="32" t="s">
        <v>35</v>
      </c>
      <c r="H746" s="71" t="s">
        <v>35</v>
      </c>
      <c r="I746" s="71" t="s">
        <v>36</v>
      </c>
      <c r="J746" s="34" t="s">
        <v>65</v>
      </c>
      <c r="K746" s="57" t="s">
        <v>38</v>
      </c>
      <c r="L746" s="72">
        <v>10154.0</v>
      </c>
      <c r="M746" s="27"/>
      <c r="N746" s="76"/>
      <c r="O746" s="28">
        <v>45288.0</v>
      </c>
      <c r="P746" s="26"/>
      <c r="Q746" s="12"/>
      <c r="R746" s="12"/>
      <c r="S746" s="12"/>
      <c r="T746" s="52">
        <v>45280.0</v>
      </c>
      <c r="U746" s="52">
        <v>45282.0</v>
      </c>
      <c r="V746" s="52">
        <v>45286.0</v>
      </c>
      <c r="W746" s="30"/>
      <c r="X746" s="30"/>
      <c r="Y746" s="31"/>
      <c r="Z746" s="31"/>
      <c r="AA746" s="31"/>
      <c r="AB746" s="74" t="s">
        <v>2936</v>
      </c>
      <c r="AC746" s="74"/>
    </row>
    <row r="747" ht="16.5" customHeight="1">
      <c r="A747" s="48" t="s">
        <v>2937</v>
      </c>
      <c r="B747" s="53" t="s">
        <v>2488</v>
      </c>
      <c r="C747" s="47">
        <v>0.0</v>
      </c>
      <c r="D747" s="70" t="s">
        <v>2938</v>
      </c>
      <c r="E747" s="55" t="s">
        <v>98</v>
      </c>
      <c r="F747" s="32" t="s">
        <v>33</v>
      </c>
      <c r="G747" s="32" t="s">
        <v>35</v>
      </c>
      <c r="H747" s="71" t="s">
        <v>35</v>
      </c>
      <c r="I747" s="71" t="s">
        <v>36</v>
      </c>
      <c r="J747" s="34" t="s">
        <v>718</v>
      </c>
      <c r="K747" s="57" t="s">
        <v>38</v>
      </c>
      <c r="L747" s="72">
        <v>10192.0</v>
      </c>
      <c r="M747" s="22"/>
      <c r="N747" s="76"/>
      <c r="O747" s="28">
        <v>45300.0</v>
      </c>
      <c r="P747" s="35" t="s">
        <v>2939</v>
      </c>
      <c r="Q747" s="12"/>
      <c r="R747" s="12"/>
      <c r="S747" s="12"/>
      <c r="T747" s="52">
        <v>45281.0</v>
      </c>
      <c r="U747" s="52">
        <v>45282.0</v>
      </c>
      <c r="V747" s="52">
        <v>45286.0</v>
      </c>
      <c r="W747" s="30"/>
      <c r="X747" s="30"/>
      <c r="Y747" s="31"/>
      <c r="Z747" s="31"/>
      <c r="AA747" s="31"/>
      <c r="AB747" s="74" t="s">
        <v>2940</v>
      </c>
      <c r="AC747" s="74"/>
    </row>
    <row r="748" ht="16.5" customHeight="1">
      <c r="A748" s="48" t="s">
        <v>2941</v>
      </c>
      <c r="B748" s="53" t="s">
        <v>2942</v>
      </c>
      <c r="C748" s="47">
        <v>0.0</v>
      </c>
      <c r="D748" s="70" t="s">
        <v>2943</v>
      </c>
      <c r="E748" s="55" t="s">
        <v>2944</v>
      </c>
      <c r="F748" s="32" t="s">
        <v>244</v>
      </c>
      <c r="G748" s="32" t="s">
        <v>35</v>
      </c>
      <c r="H748" s="71" t="s">
        <v>35</v>
      </c>
      <c r="I748" s="71" t="s">
        <v>36</v>
      </c>
      <c r="J748" s="34" t="s">
        <v>37</v>
      </c>
      <c r="K748" s="57" t="s">
        <v>38</v>
      </c>
      <c r="L748" s="72">
        <v>10348.0</v>
      </c>
      <c r="M748" s="22"/>
      <c r="N748" s="73"/>
      <c r="O748" s="28">
        <v>45351.0</v>
      </c>
      <c r="P748" s="35" t="s">
        <v>2945</v>
      </c>
      <c r="Q748" s="12"/>
      <c r="R748" s="12"/>
      <c r="S748" s="12"/>
      <c r="T748" s="52">
        <v>45281.0</v>
      </c>
      <c r="U748" s="52">
        <v>45301.0</v>
      </c>
      <c r="V748" s="52">
        <v>45328.0</v>
      </c>
      <c r="W748" s="30"/>
      <c r="X748" s="30"/>
      <c r="Y748" s="31"/>
      <c r="Z748" s="31"/>
      <c r="AA748" s="31"/>
      <c r="AB748" s="74" t="s">
        <v>2946</v>
      </c>
      <c r="AC748" s="74"/>
    </row>
    <row r="749" ht="16.5" customHeight="1">
      <c r="A749" s="48" t="s">
        <v>2947</v>
      </c>
      <c r="B749" s="53" t="s">
        <v>2942</v>
      </c>
      <c r="C749" s="47">
        <v>0.0</v>
      </c>
      <c r="D749" s="70" t="s">
        <v>2948</v>
      </c>
      <c r="E749" s="55" t="s">
        <v>2944</v>
      </c>
      <c r="F749" s="32" t="s">
        <v>244</v>
      </c>
      <c r="G749" s="32" t="s">
        <v>35</v>
      </c>
      <c r="H749" s="71" t="s">
        <v>35</v>
      </c>
      <c r="I749" s="71" t="s">
        <v>36</v>
      </c>
      <c r="J749" s="34" t="s">
        <v>37</v>
      </c>
      <c r="K749" s="57" t="s">
        <v>38</v>
      </c>
      <c r="L749" s="72">
        <v>10348.0</v>
      </c>
      <c r="M749" s="27"/>
      <c r="N749" s="73"/>
      <c r="O749" s="28">
        <v>45351.0</v>
      </c>
      <c r="P749" s="26"/>
      <c r="Q749" s="12"/>
      <c r="R749" s="12"/>
      <c r="S749" s="12"/>
      <c r="T749" s="52">
        <v>45281.0</v>
      </c>
      <c r="U749" s="52">
        <v>45346.0</v>
      </c>
      <c r="V749" s="52">
        <v>45350.0</v>
      </c>
      <c r="W749" s="30"/>
      <c r="X749" s="30"/>
      <c r="Y749" s="31"/>
      <c r="Z749" s="31"/>
      <c r="AA749" s="31"/>
      <c r="AB749" s="74" t="s">
        <v>2949</v>
      </c>
      <c r="AC749" s="74"/>
    </row>
    <row r="750" ht="16.5" customHeight="1">
      <c r="A750" s="48" t="s">
        <v>2950</v>
      </c>
      <c r="B750" s="53" t="s">
        <v>693</v>
      </c>
      <c r="C750" s="47">
        <v>0.0</v>
      </c>
      <c r="D750" s="70" t="s">
        <v>2951</v>
      </c>
      <c r="E750" s="55" t="s">
        <v>295</v>
      </c>
      <c r="F750" s="32" t="s">
        <v>33</v>
      </c>
      <c r="G750" s="32" t="s">
        <v>35</v>
      </c>
      <c r="H750" s="71" t="s">
        <v>35</v>
      </c>
      <c r="I750" s="71" t="s">
        <v>36</v>
      </c>
      <c r="J750" s="34" t="s">
        <v>65</v>
      </c>
      <c r="K750" s="57" t="s">
        <v>38</v>
      </c>
      <c r="L750" s="72">
        <v>10175.0</v>
      </c>
      <c r="M750" s="27"/>
      <c r="N750" s="76"/>
      <c r="O750" s="28">
        <v>45302.0</v>
      </c>
      <c r="P750" s="26"/>
      <c r="Q750" s="12"/>
      <c r="R750" s="12"/>
      <c r="S750" s="12"/>
      <c r="T750" s="52">
        <v>45281.0</v>
      </c>
      <c r="U750" s="52">
        <v>45287.0</v>
      </c>
      <c r="V750" s="52">
        <v>45289.0</v>
      </c>
      <c r="W750" s="30"/>
      <c r="X750" s="30"/>
      <c r="Y750" s="31"/>
      <c r="Z750" s="31"/>
      <c r="AA750" s="31"/>
      <c r="AB750" s="74" t="s">
        <v>2952</v>
      </c>
      <c r="AC750" s="74"/>
    </row>
    <row r="751" ht="16.5" customHeight="1">
      <c r="A751" s="48" t="s">
        <v>2953</v>
      </c>
      <c r="B751" s="53" t="s">
        <v>2954</v>
      </c>
      <c r="C751" s="47">
        <v>0.0</v>
      </c>
      <c r="D751" s="70" t="s">
        <v>2955</v>
      </c>
      <c r="E751" s="55" t="s">
        <v>2956</v>
      </c>
      <c r="F751" s="32" t="s">
        <v>33</v>
      </c>
      <c r="G751" s="32" t="s">
        <v>35</v>
      </c>
      <c r="H751" s="71" t="s">
        <v>35</v>
      </c>
      <c r="I751" s="71" t="s">
        <v>36</v>
      </c>
      <c r="J751" s="34" t="s">
        <v>49</v>
      </c>
      <c r="K751" s="57" t="s">
        <v>38</v>
      </c>
      <c r="L751" s="72">
        <v>10203.0</v>
      </c>
      <c r="M751" s="22"/>
      <c r="N751" s="73"/>
      <c r="O751" s="28">
        <v>45303.0</v>
      </c>
      <c r="P751" s="35" t="s">
        <v>2957</v>
      </c>
      <c r="Q751" s="12"/>
      <c r="R751" s="12"/>
      <c r="S751" s="12"/>
      <c r="T751" s="52">
        <v>45281.0</v>
      </c>
      <c r="U751" s="52">
        <v>45289.0</v>
      </c>
      <c r="V751" s="52">
        <v>45301.0</v>
      </c>
      <c r="W751" s="30"/>
      <c r="X751" s="30"/>
      <c r="Y751" s="31"/>
      <c r="Z751" s="31"/>
      <c r="AA751" s="31"/>
      <c r="AB751" s="74" t="s">
        <v>2958</v>
      </c>
      <c r="AC751" s="74"/>
    </row>
    <row r="752" ht="16.5" customHeight="1">
      <c r="A752" s="48" t="s">
        <v>2959</v>
      </c>
      <c r="B752" s="53" t="s">
        <v>2954</v>
      </c>
      <c r="C752" s="47">
        <v>0.0</v>
      </c>
      <c r="D752" s="70" t="s">
        <v>2960</v>
      </c>
      <c r="E752" s="55" t="s">
        <v>2961</v>
      </c>
      <c r="F752" s="32" t="s">
        <v>33</v>
      </c>
      <c r="G752" s="32" t="s">
        <v>35</v>
      </c>
      <c r="H752" s="71" t="s">
        <v>35</v>
      </c>
      <c r="I752" s="71" t="s">
        <v>36</v>
      </c>
      <c r="J752" s="34" t="s">
        <v>49</v>
      </c>
      <c r="K752" s="57" t="s">
        <v>38</v>
      </c>
      <c r="L752" s="72">
        <v>10203.0</v>
      </c>
      <c r="M752" s="22"/>
      <c r="N752" s="73"/>
      <c r="O752" s="28">
        <v>45303.0</v>
      </c>
      <c r="P752" s="35" t="s">
        <v>2957</v>
      </c>
      <c r="Q752" s="12"/>
      <c r="R752" s="12"/>
      <c r="S752" s="12"/>
      <c r="T752" s="52">
        <v>45281.0</v>
      </c>
      <c r="U752" s="52">
        <v>45289.0</v>
      </c>
      <c r="V752" s="52">
        <v>45302.0</v>
      </c>
      <c r="W752" s="30"/>
      <c r="X752" s="30"/>
      <c r="Y752" s="31"/>
      <c r="Z752" s="31"/>
      <c r="AA752" s="31"/>
      <c r="AB752" s="74" t="s">
        <v>2962</v>
      </c>
      <c r="AC752" s="74"/>
    </row>
    <row r="753" ht="16.5" customHeight="1">
      <c r="A753" s="48" t="s">
        <v>2963</v>
      </c>
      <c r="B753" s="53" t="s">
        <v>2954</v>
      </c>
      <c r="C753" s="47">
        <v>0.0</v>
      </c>
      <c r="D753" s="70" t="s">
        <v>2964</v>
      </c>
      <c r="E753" s="55" t="s">
        <v>2961</v>
      </c>
      <c r="F753" s="32" t="s">
        <v>33</v>
      </c>
      <c r="G753" s="32" t="s">
        <v>35</v>
      </c>
      <c r="H753" s="71" t="s">
        <v>35</v>
      </c>
      <c r="I753" s="71" t="s">
        <v>36</v>
      </c>
      <c r="J753" s="34" t="s">
        <v>49</v>
      </c>
      <c r="K753" s="57" t="s">
        <v>38</v>
      </c>
      <c r="L753" s="72">
        <v>10203.0</v>
      </c>
      <c r="M753" s="22"/>
      <c r="N753" s="73"/>
      <c r="O753" s="28">
        <v>45303.0</v>
      </c>
      <c r="P753" s="35" t="s">
        <v>2957</v>
      </c>
      <c r="Q753" s="12"/>
      <c r="R753" s="12"/>
      <c r="S753" s="12"/>
      <c r="T753" s="52">
        <v>45281.0</v>
      </c>
      <c r="U753" s="52">
        <v>45289.0</v>
      </c>
      <c r="V753" s="52">
        <v>45302.0</v>
      </c>
      <c r="W753" s="30"/>
      <c r="X753" s="30"/>
      <c r="Y753" s="31"/>
      <c r="Z753" s="31"/>
      <c r="AA753" s="31"/>
      <c r="AB753" s="74" t="s">
        <v>2965</v>
      </c>
      <c r="AC753" s="74"/>
    </row>
    <row r="754" ht="16.5" customHeight="1">
      <c r="A754" s="48" t="s">
        <v>2966</v>
      </c>
      <c r="B754" s="53" t="s">
        <v>2954</v>
      </c>
      <c r="C754" s="47">
        <v>0.0</v>
      </c>
      <c r="D754" s="70" t="s">
        <v>2967</v>
      </c>
      <c r="E754" s="55" t="s">
        <v>2961</v>
      </c>
      <c r="F754" s="32" t="s">
        <v>33</v>
      </c>
      <c r="G754" s="32" t="s">
        <v>35</v>
      </c>
      <c r="H754" s="71" t="s">
        <v>35</v>
      </c>
      <c r="I754" s="71" t="s">
        <v>36</v>
      </c>
      <c r="J754" s="34" t="s">
        <v>49</v>
      </c>
      <c r="K754" s="57" t="s">
        <v>38</v>
      </c>
      <c r="L754" s="72">
        <v>10203.0</v>
      </c>
      <c r="M754" s="22"/>
      <c r="N754" s="73"/>
      <c r="O754" s="28">
        <v>45303.0</v>
      </c>
      <c r="P754" s="35" t="s">
        <v>2957</v>
      </c>
      <c r="Q754" s="12"/>
      <c r="R754" s="12"/>
      <c r="S754" s="12"/>
      <c r="T754" s="52">
        <v>45281.0</v>
      </c>
      <c r="U754" s="52">
        <v>45289.0</v>
      </c>
      <c r="V754" s="52">
        <v>45302.0</v>
      </c>
      <c r="W754" s="30"/>
      <c r="X754" s="30"/>
      <c r="Y754" s="31"/>
      <c r="Z754" s="31"/>
      <c r="AA754" s="31"/>
      <c r="AB754" s="74" t="s">
        <v>2968</v>
      </c>
      <c r="AC754" s="74"/>
    </row>
    <row r="755" ht="16.5" customHeight="1">
      <c r="A755" s="48" t="s">
        <v>2969</v>
      </c>
      <c r="B755" s="53" t="s">
        <v>2954</v>
      </c>
      <c r="C755" s="47">
        <v>0.0</v>
      </c>
      <c r="D755" s="70" t="s">
        <v>2970</v>
      </c>
      <c r="E755" s="55" t="s">
        <v>2961</v>
      </c>
      <c r="F755" s="32" t="s">
        <v>33</v>
      </c>
      <c r="G755" s="32" t="s">
        <v>35</v>
      </c>
      <c r="H755" s="71" t="s">
        <v>35</v>
      </c>
      <c r="I755" s="71" t="s">
        <v>36</v>
      </c>
      <c r="J755" s="34" t="s">
        <v>49</v>
      </c>
      <c r="K755" s="57" t="s">
        <v>38</v>
      </c>
      <c r="L755" s="72">
        <v>10203.0</v>
      </c>
      <c r="M755" s="22"/>
      <c r="N755" s="73"/>
      <c r="O755" s="28">
        <v>45303.0</v>
      </c>
      <c r="P755" s="35" t="s">
        <v>2957</v>
      </c>
      <c r="Q755" s="12"/>
      <c r="R755" s="12"/>
      <c r="S755" s="12"/>
      <c r="T755" s="52">
        <v>45281.0</v>
      </c>
      <c r="U755" s="52">
        <v>45289.0</v>
      </c>
      <c r="V755" s="52">
        <v>45302.0</v>
      </c>
      <c r="W755" s="30"/>
      <c r="X755" s="30"/>
      <c r="Y755" s="31"/>
      <c r="Z755" s="31"/>
      <c r="AA755" s="31"/>
      <c r="AB755" s="74" t="s">
        <v>2971</v>
      </c>
      <c r="AC755" s="74"/>
    </row>
    <row r="756" ht="16.5" customHeight="1">
      <c r="A756" s="48" t="s">
        <v>2972</v>
      </c>
      <c r="B756" s="53" t="s">
        <v>2954</v>
      </c>
      <c r="C756" s="47">
        <v>0.0</v>
      </c>
      <c r="D756" s="70" t="s">
        <v>2973</v>
      </c>
      <c r="E756" s="55" t="s">
        <v>2961</v>
      </c>
      <c r="F756" s="32" t="s">
        <v>33</v>
      </c>
      <c r="G756" s="32" t="s">
        <v>35</v>
      </c>
      <c r="H756" s="71" t="s">
        <v>35</v>
      </c>
      <c r="I756" s="71" t="s">
        <v>36</v>
      </c>
      <c r="J756" s="34" t="s">
        <v>49</v>
      </c>
      <c r="K756" s="57" t="s">
        <v>38</v>
      </c>
      <c r="L756" s="72">
        <v>10203.0</v>
      </c>
      <c r="M756" s="22"/>
      <c r="N756" s="73"/>
      <c r="O756" s="28">
        <v>45303.0</v>
      </c>
      <c r="P756" s="35" t="s">
        <v>2957</v>
      </c>
      <c r="Q756" s="12"/>
      <c r="R756" s="12"/>
      <c r="S756" s="12"/>
      <c r="T756" s="52">
        <v>45281.0</v>
      </c>
      <c r="U756" s="52">
        <v>45289.0</v>
      </c>
      <c r="V756" s="52">
        <v>45302.0</v>
      </c>
      <c r="W756" s="30"/>
      <c r="X756" s="30"/>
      <c r="Y756" s="31"/>
      <c r="Z756" s="31"/>
      <c r="AA756" s="31"/>
      <c r="AB756" s="74" t="s">
        <v>2974</v>
      </c>
      <c r="AC756" s="74"/>
    </row>
    <row r="757" ht="16.5" customHeight="1">
      <c r="A757" s="48" t="s">
        <v>2975</v>
      </c>
      <c r="B757" s="53" t="s">
        <v>2976</v>
      </c>
      <c r="C757" s="47">
        <v>0.0</v>
      </c>
      <c r="D757" s="70" t="s">
        <v>2977</v>
      </c>
      <c r="E757" s="55" t="s">
        <v>177</v>
      </c>
      <c r="F757" s="32" t="s">
        <v>48</v>
      </c>
      <c r="G757" s="32" t="s">
        <v>35</v>
      </c>
      <c r="H757" s="71" t="s">
        <v>35</v>
      </c>
      <c r="I757" s="71" t="s">
        <v>36</v>
      </c>
      <c r="J757" s="34" t="s">
        <v>37</v>
      </c>
      <c r="K757" s="57" t="s">
        <v>2978</v>
      </c>
      <c r="L757" s="72">
        <v>10283.0</v>
      </c>
      <c r="M757" s="22"/>
      <c r="N757" s="73"/>
      <c r="O757" s="28">
        <v>45313.0</v>
      </c>
      <c r="P757" s="35" t="s">
        <v>2979</v>
      </c>
      <c r="Q757" s="12"/>
      <c r="R757" s="12"/>
      <c r="S757" s="12"/>
      <c r="T757" s="52">
        <v>45281.0</v>
      </c>
      <c r="U757" s="52">
        <v>45310.0</v>
      </c>
      <c r="V757" s="52">
        <v>45313.0</v>
      </c>
      <c r="W757" s="30"/>
      <c r="X757" s="30"/>
      <c r="Y757" s="31"/>
      <c r="Z757" s="31"/>
      <c r="AA757" s="31"/>
      <c r="AB757" s="74" t="s">
        <v>2980</v>
      </c>
      <c r="AC757" s="74"/>
    </row>
    <row r="758" ht="16.5" customHeight="1">
      <c r="A758" s="48" t="s">
        <v>2981</v>
      </c>
      <c r="B758" s="53" t="s">
        <v>2610</v>
      </c>
      <c r="C758" s="47">
        <v>0.0</v>
      </c>
      <c r="D758" s="70" t="s">
        <v>2982</v>
      </c>
      <c r="E758" s="55" t="s">
        <v>882</v>
      </c>
      <c r="F758" s="32" t="s">
        <v>33</v>
      </c>
      <c r="G758" s="32" t="s">
        <v>35</v>
      </c>
      <c r="H758" s="71" t="s">
        <v>35</v>
      </c>
      <c r="I758" s="71" t="s">
        <v>36</v>
      </c>
      <c r="J758" s="34" t="s">
        <v>339</v>
      </c>
      <c r="K758" s="57" t="s">
        <v>38</v>
      </c>
      <c r="L758" s="72">
        <v>10174.0</v>
      </c>
      <c r="M758" s="22"/>
      <c r="N758" s="76"/>
      <c r="O758" s="28">
        <v>45300.0</v>
      </c>
      <c r="P758" s="35" t="s">
        <v>2983</v>
      </c>
      <c r="Q758" s="12"/>
      <c r="R758" s="12"/>
      <c r="S758" s="12"/>
      <c r="T758" s="52">
        <v>45281.0</v>
      </c>
      <c r="U758" s="52">
        <v>45286.0</v>
      </c>
      <c r="V758" s="52">
        <v>45289.0</v>
      </c>
      <c r="W758" s="30"/>
      <c r="X758" s="30"/>
      <c r="Y758" s="31"/>
      <c r="Z758" s="31"/>
      <c r="AA758" s="31"/>
      <c r="AB758" s="77" t="s">
        <v>2984</v>
      </c>
      <c r="AC758" s="74"/>
    </row>
    <row r="759" ht="16.5" customHeight="1">
      <c r="A759" s="48" t="s">
        <v>2985</v>
      </c>
      <c r="B759" s="53" t="s">
        <v>2610</v>
      </c>
      <c r="C759" s="47">
        <v>0.0</v>
      </c>
      <c r="D759" s="70" t="s">
        <v>2986</v>
      </c>
      <c r="E759" s="55" t="s">
        <v>506</v>
      </c>
      <c r="F759" s="32" t="s">
        <v>33</v>
      </c>
      <c r="G759" s="32" t="s">
        <v>35</v>
      </c>
      <c r="H759" s="71" t="s">
        <v>35</v>
      </c>
      <c r="I759" s="71" t="s">
        <v>36</v>
      </c>
      <c r="J759" s="34" t="s">
        <v>339</v>
      </c>
      <c r="K759" s="57" t="s">
        <v>38</v>
      </c>
      <c r="L759" s="72">
        <v>10174.0</v>
      </c>
      <c r="M759" s="22"/>
      <c r="N759" s="76"/>
      <c r="O759" s="28">
        <v>45300.0</v>
      </c>
      <c r="P759" s="35" t="s">
        <v>2983</v>
      </c>
      <c r="Q759" s="12"/>
      <c r="R759" s="12"/>
      <c r="S759" s="12"/>
      <c r="T759" s="52">
        <v>45281.0</v>
      </c>
      <c r="U759" s="52">
        <v>45286.0</v>
      </c>
      <c r="V759" s="52">
        <v>45289.0</v>
      </c>
      <c r="W759" s="30"/>
      <c r="X759" s="30"/>
      <c r="Y759" s="31"/>
      <c r="Z759" s="31"/>
      <c r="AA759" s="31"/>
      <c r="AB759" s="74" t="s">
        <v>2987</v>
      </c>
      <c r="AC759" s="74"/>
    </row>
    <row r="760" ht="16.5" customHeight="1">
      <c r="A760" s="48" t="s">
        <v>2988</v>
      </c>
      <c r="B760" s="53" t="s">
        <v>2610</v>
      </c>
      <c r="C760" s="47">
        <v>0.0</v>
      </c>
      <c r="D760" s="70" t="s">
        <v>2989</v>
      </c>
      <c r="E760" s="55" t="s">
        <v>506</v>
      </c>
      <c r="F760" s="32" t="s">
        <v>33</v>
      </c>
      <c r="G760" s="32" t="s">
        <v>35</v>
      </c>
      <c r="H760" s="71" t="s">
        <v>35</v>
      </c>
      <c r="I760" s="71" t="s">
        <v>36</v>
      </c>
      <c r="J760" s="34" t="s">
        <v>339</v>
      </c>
      <c r="K760" s="57" t="s">
        <v>38</v>
      </c>
      <c r="L760" s="72">
        <v>10174.0</v>
      </c>
      <c r="M760" s="22"/>
      <c r="N760" s="76"/>
      <c r="O760" s="28">
        <v>45300.0</v>
      </c>
      <c r="P760" s="35" t="s">
        <v>2983</v>
      </c>
      <c r="Q760" s="12"/>
      <c r="R760" s="12"/>
      <c r="S760" s="12"/>
      <c r="T760" s="52">
        <v>45281.0</v>
      </c>
      <c r="U760" s="52">
        <v>45286.0</v>
      </c>
      <c r="V760" s="52">
        <v>45289.0</v>
      </c>
      <c r="W760" s="30"/>
      <c r="X760" s="30"/>
      <c r="Y760" s="31"/>
      <c r="Z760" s="31"/>
      <c r="AA760" s="31"/>
      <c r="AB760" s="77" t="s">
        <v>2990</v>
      </c>
      <c r="AC760" s="74"/>
    </row>
    <row r="761" ht="16.5" customHeight="1">
      <c r="A761" s="48" t="s">
        <v>2991</v>
      </c>
      <c r="B761" s="53" t="s">
        <v>2383</v>
      </c>
      <c r="C761" s="47">
        <v>0.0</v>
      </c>
      <c r="D761" s="70"/>
      <c r="E761" s="55" t="s">
        <v>79</v>
      </c>
      <c r="F761" s="32" t="s">
        <v>33</v>
      </c>
      <c r="G761" s="32" t="s">
        <v>35</v>
      </c>
      <c r="H761" s="71" t="s">
        <v>35</v>
      </c>
      <c r="I761" s="71" t="s">
        <v>665</v>
      </c>
      <c r="J761" s="34" t="s">
        <v>65</v>
      </c>
      <c r="K761" s="57" t="s">
        <v>38</v>
      </c>
      <c r="L761" s="72">
        <v>10160.0</v>
      </c>
      <c r="M761" s="27"/>
      <c r="N761" s="76"/>
      <c r="O761" s="28">
        <v>45288.0</v>
      </c>
      <c r="P761" s="26"/>
      <c r="Q761" s="12"/>
      <c r="R761" s="12"/>
      <c r="S761" s="12"/>
      <c r="T761" s="52">
        <v>45282.0</v>
      </c>
      <c r="U761" s="52">
        <v>45286.0</v>
      </c>
      <c r="V761" s="52">
        <v>45287.0</v>
      </c>
      <c r="W761" s="30"/>
      <c r="X761" s="30"/>
      <c r="Y761" s="31"/>
      <c r="Z761" s="31"/>
      <c r="AA761" s="31"/>
      <c r="AB761" s="74" t="s">
        <v>2992</v>
      </c>
      <c r="AC761" s="74"/>
    </row>
    <row r="762" ht="16.5" customHeight="1">
      <c r="A762" s="48" t="s">
        <v>2993</v>
      </c>
      <c r="B762" s="53" t="s">
        <v>1136</v>
      </c>
      <c r="C762" s="47">
        <v>0.0</v>
      </c>
      <c r="D762" s="70" t="s">
        <v>2994</v>
      </c>
      <c r="E762" s="55" t="s">
        <v>301</v>
      </c>
      <c r="F762" s="32" t="s">
        <v>33</v>
      </c>
      <c r="G762" s="32" t="s">
        <v>35</v>
      </c>
      <c r="H762" s="71" t="s">
        <v>35</v>
      </c>
      <c r="I762" s="71" t="s">
        <v>36</v>
      </c>
      <c r="J762" s="34" t="s">
        <v>65</v>
      </c>
      <c r="K762" s="57" t="s">
        <v>38</v>
      </c>
      <c r="L762" s="72">
        <v>10173.0</v>
      </c>
      <c r="M762" s="27"/>
      <c r="N762" s="76"/>
      <c r="O762" s="28">
        <v>45294.0</v>
      </c>
      <c r="P762" s="26"/>
      <c r="Q762" s="12"/>
      <c r="R762" s="12"/>
      <c r="S762" s="12"/>
      <c r="T762" s="52">
        <v>45286.0</v>
      </c>
      <c r="U762" s="52">
        <v>45287.0</v>
      </c>
      <c r="V762" s="52">
        <v>45289.0</v>
      </c>
      <c r="W762" s="30"/>
      <c r="X762" s="30"/>
      <c r="Y762" s="31"/>
      <c r="Z762" s="31"/>
      <c r="AA762" s="31"/>
      <c r="AB762" s="74" t="s">
        <v>2995</v>
      </c>
      <c r="AC762" s="74"/>
    </row>
    <row r="763" ht="16.5" customHeight="1">
      <c r="A763" s="48" t="s">
        <v>2996</v>
      </c>
      <c r="B763" s="53" t="s">
        <v>2997</v>
      </c>
      <c r="C763" s="47">
        <v>0.0</v>
      </c>
      <c r="D763" s="70" t="s">
        <v>2998</v>
      </c>
      <c r="E763" s="55" t="s">
        <v>79</v>
      </c>
      <c r="F763" s="32" t="s">
        <v>33</v>
      </c>
      <c r="G763" s="32" t="s">
        <v>35</v>
      </c>
      <c r="H763" s="71" t="s">
        <v>35</v>
      </c>
      <c r="I763" s="71" t="s">
        <v>36</v>
      </c>
      <c r="J763" s="34" t="s">
        <v>49</v>
      </c>
      <c r="K763" s="57" t="s">
        <v>38</v>
      </c>
      <c r="L763" s="72" t="s">
        <v>2999</v>
      </c>
      <c r="M763" s="22"/>
      <c r="N763" s="73"/>
      <c r="O763" s="28">
        <v>45356.0</v>
      </c>
      <c r="P763" s="35" t="s">
        <v>3000</v>
      </c>
      <c r="Q763" s="12"/>
      <c r="R763" s="12"/>
      <c r="S763" s="12"/>
      <c r="T763" s="52">
        <v>45289.0</v>
      </c>
      <c r="U763" s="52">
        <v>45338.0</v>
      </c>
      <c r="V763" s="52">
        <v>45356.0</v>
      </c>
      <c r="W763" s="30"/>
      <c r="X763" s="30"/>
      <c r="Y763" s="31"/>
      <c r="Z763" s="31"/>
      <c r="AA763" s="31"/>
      <c r="AB763" s="74" t="s">
        <v>3001</v>
      </c>
      <c r="AC763" s="74"/>
    </row>
    <row r="764" ht="16.5" customHeight="1">
      <c r="A764" s="48" t="s">
        <v>3002</v>
      </c>
      <c r="B764" s="53" t="s">
        <v>2997</v>
      </c>
      <c r="C764" s="47">
        <v>0.0</v>
      </c>
      <c r="D764" s="70" t="s">
        <v>3003</v>
      </c>
      <c r="E764" s="55" t="s">
        <v>79</v>
      </c>
      <c r="F764" s="32" t="s">
        <v>33</v>
      </c>
      <c r="G764" s="32" t="s">
        <v>35</v>
      </c>
      <c r="H764" s="71" t="s">
        <v>35</v>
      </c>
      <c r="I764" s="71" t="s">
        <v>36</v>
      </c>
      <c r="J764" s="34" t="s">
        <v>49</v>
      </c>
      <c r="K764" s="57" t="s">
        <v>38</v>
      </c>
      <c r="L764" s="72" t="s">
        <v>2999</v>
      </c>
      <c r="M764" s="22"/>
      <c r="N764" s="73"/>
      <c r="O764" s="28">
        <v>45356.0</v>
      </c>
      <c r="P764" s="35" t="s">
        <v>3000</v>
      </c>
      <c r="Q764" s="12"/>
      <c r="R764" s="12"/>
      <c r="S764" s="12"/>
      <c r="T764" s="52">
        <v>45289.0</v>
      </c>
      <c r="U764" s="52">
        <v>45338.0</v>
      </c>
      <c r="V764" s="52">
        <v>45356.0</v>
      </c>
      <c r="W764" s="30"/>
      <c r="X764" s="30"/>
      <c r="Y764" s="31"/>
      <c r="Z764" s="31"/>
      <c r="AA764" s="31"/>
      <c r="AB764" s="74" t="s">
        <v>3004</v>
      </c>
      <c r="AC764" s="74"/>
    </row>
    <row r="765" ht="16.5" customHeight="1">
      <c r="A765" s="48" t="s">
        <v>3005</v>
      </c>
      <c r="B765" s="53" t="s">
        <v>2997</v>
      </c>
      <c r="C765" s="47">
        <v>0.0</v>
      </c>
      <c r="D765" s="70" t="s">
        <v>3006</v>
      </c>
      <c r="E765" s="55" t="s">
        <v>79</v>
      </c>
      <c r="F765" s="32" t="s">
        <v>33</v>
      </c>
      <c r="G765" s="32" t="s">
        <v>35</v>
      </c>
      <c r="H765" s="71" t="s">
        <v>35</v>
      </c>
      <c r="I765" s="71" t="s">
        <v>36</v>
      </c>
      <c r="J765" s="34" t="s">
        <v>49</v>
      </c>
      <c r="K765" s="57" t="s">
        <v>38</v>
      </c>
      <c r="L765" s="72" t="s">
        <v>2999</v>
      </c>
      <c r="M765" s="22"/>
      <c r="N765" s="73"/>
      <c r="O765" s="28">
        <v>45356.0</v>
      </c>
      <c r="P765" s="35" t="s">
        <v>3000</v>
      </c>
      <c r="Q765" s="12"/>
      <c r="R765" s="12"/>
      <c r="S765" s="12"/>
      <c r="T765" s="52">
        <v>45289.0</v>
      </c>
      <c r="U765" s="52">
        <v>45338.0</v>
      </c>
      <c r="V765" s="52">
        <v>45356.0</v>
      </c>
      <c r="W765" s="30"/>
      <c r="X765" s="30"/>
      <c r="Y765" s="31"/>
      <c r="Z765" s="31"/>
      <c r="AA765" s="31"/>
      <c r="AB765" s="74" t="s">
        <v>3007</v>
      </c>
      <c r="AC765" s="74"/>
    </row>
    <row r="766" ht="16.5" customHeight="1">
      <c r="A766" s="48" t="s">
        <v>3008</v>
      </c>
      <c r="B766" s="53" t="s">
        <v>2997</v>
      </c>
      <c r="C766" s="47">
        <v>0.0</v>
      </c>
      <c r="D766" s="70" t="s">
        <v>3009</v>
      </c>
      <c r="E766" s="55" t="s">
        <v>79</v>
      </c>
      <c r="F766" s="32" t="s">
        <v>33</v>
      </c>
      <c r="G766" s="32" t="s">
        <v>35</v>
      </c>
      <c r="H766" s="71" t="s">
        <v>35</v>
      </c>
      <c r="I766" s="71" t="s">
        <v>36</v>
      </c>
      <c r="J766" s="34" t="s">
        <v>49</v>
      </c>
      <c r="K766" s="57" t="s">
        <v>38</v>
      </c>
      <c r="L766" s="72" t="s">
        <v>2999</v>
      </c>
      <c r="M766" s="22"/>
      <c r="N766" s="73"/>
      <c r="O766" s="28">
        <v>45356.0</v>
      </c>
      <c r="P766" s="35" t="s">
        <v>3000</v>
      </c>
      <c r="Q766" s="12"/>
      <c r="R766" s="12"/>
      <c r="S766" s="12"/>
      <c r="T766" s="52">
        <v>45289.0</v>
      </c>
      <c r="U766" s="52">
        <v>45338.0</v>
      </c>
      <c r="V766" s="52">
        <v>45356.0</v>
      </c>
      <c r="W766" s="30"/>
      <c r="X766" s="30"/>
      <c r="Y766" s="31"/>
      <c r="Z766" s="31"/>
      <c r="AA766" s="31"/>
      <c r="AB766" s="74" t="s">
        <v>3010</v>
      </c>
      <c r="AC766" s="74"/>
    </row>
    <row r="767" ht="16.5" customHeight="1">
      <c r="A767" s="48" t="s">
        <v>3011</v>
      </c>
      <c r="B767" s="53" t="s">
        <v>2997</v>
      </c>
      <c r="C767" s="47">
        <v>0.0</v>
      </c>
      <c r="D767" s="70" t="s">
        <v>3012</v>
      </c>
      <c r="E767" s="55" t="s">
        <v>79</v>
      </c>
      <c r="F767" s="32" t="s">
        <v>33</v>
      </c>
      <c r="G767" s="32" t="s">
        <v>35</v>
      </c>
      <c r="H767" s="71" t="s">
        <v>35</v>
      </c>
      <c r="I767" s="71" t="s">
        <v>36</v>
      </c>
      <c r="J767" s="34" t="s">
        <v>49</v>
      </c>
      <c r="K767" s="57" t="s">
        <v>38</v>
      </c>
      <c r="L767" s="72" t="s">
        <v>2999</v>
      </c>
      <c r="M767" s="22"/>
      <c r="N767" s="73"/>
      <c r="O767" s="28">
        <v>45356.0</v>
      </c>
      <c r="P767" s="35" t="s">
        <v>3000</v>
      </c>
      <c r="Q767" s="12"/>
      <c r="R767" s="12"/>
      <c r="S767" s="12"/>
      <c r="T767" s="52">
        <v>45289.0</v>
      </c>
      <c r="U767" s="52">
        <v>45338.0</v>
      </c>
      <c r="V767" s="52">
        <v>45356.0</v>
      </c>
      <c r="W767" s="30"/>
      <c r="X767" s="30"/>
      <c r="Y767" s="31"/>
      <c r="Z767" s="31"/>
      <c r="AA767" s="31"/>
      <c r="AB767" s="74" t="s">
        <v>3013</v>
      </c>
      <c r="AC767" s="74"/>
    </row>
    <row r="768" ht="16.5" customHeight="1">
      <c r="A768" s="48" t="s">
        <v>3014</v>
      </c>
      <c r="B768" s="53" t="s">
        <v>2997</v>
      </c>
      <c r="C768" s="47">
        <v>0.0</v>
      </c>
      <c r="D768" s="70" t="s">
        <v>3015</v>
      </c>
      <c r="E768" s="55" t="s">
        <v>213</v>
      </c>
      <c r="F768" s="32" t="s">
        <v>33</v>
      </c>
      <c r="G768" s="32" t="s">
        <v>35</v>
      </c>
      <c r="H768" s="71" t="s">
        <v>35</v>
      </c>
      <c r="I768" s="71" t="s">
        <v>36</v>
      </c>
      <c r="J768" s="34" t="s">
        <v>49</v>
      </c>
      <c r="K768" s="57" t="s">
        <v>38</v>
      </c>
      <c r="L768" s="72" t="s">
        <v>3016</v>
      </c>
      <c r="M768" s="22"/>
      <c r="N768" s="73"/>
      <c r="O768" s="28">
        <v>45356.0</v>
      </c>
      <c r="P768" s="35" t="s">
        <v>3000</v>
      </c>
      <c r="Q768" s="12"/>
      <c r="R768" s="12"/>
      <c r="S768" s="12"/>
      <c r="T768" s="52">
        <v>45289.0</v>
      </c>
      <c r="U768" s="52">
        <v>45338.0</v>
      </c>
      <c r="V768" s="52">
        <v>45355.0</v>
      </c>
      <c r="W768" s="30"/>
      <c r="X768" s="30"/>
      <c r="Y768" s="31"/>
      <c r="Z768" s="31"/>
      <c r="AA768" s="31"/>
      <c r="AB768" s="74" t="s">
        <v>3017</v>
      </c>
      <c r="AC768" s="74"/>
    </row>
    <row r="769" ht="16.5" customHeight="1">
      <c r="A769" s="48" t="s">
        <v>3018</v>
      </c>
      <c r="B769" s="53" t="s">
        <v>2997</v>
      </c>
      <c r="C769" s="47">
        <v>0.0</v>
      </c>
      <c r="D769" s="70" t="s">
        <v>3019</v>
      </c>
      <c r="E769" s="55" t="s">
        <v>213</v>
      </c>
      <c r="F769" s="32" t="s">
        <v>33</v>
      </c>
      <c r="G769" s="32" t="s">
        <v>35</v>
      </c>
      <c r="H769" s="71" t="s">
        <v>35</v>
      </c>
      <c r="I769" s="71" t="s">
        <v>36</v>
      </c>
      <c r="J769" s="34" t="s">
        <v>49</v>
      </c>
      <c r="K769" s="57" t="s">
        <v>38</v>
      </c>
      <c r="L769" s="72" t="s">
        <v>3016</v>
      </c>
      <c r="M769" s="22"/>
      <c r="N769" s="73"/>
      <c r="O769" s="28"/>
      <c r="P769" s="35" t="s">
        <v>3000</v>
      </c>
      <c r="Q769" s="12"/>
      <c r="R769" s="12"/>
      <c r="S769" s="12"/>
      <c r="T769" s="52">
        <v>45289.0</v>
      </c>
      <c r="U769" s="52">
        <v>45338.0</v>
      </c>
      <c r="V769" s="52">
        <v>45357.0</v>
      </c>
      <c r="W769" s="30"/>
      <c r="X769" s="30"/>
      <c r="Y769" s="31"/>
      <c r="Z769" s="31"/>
      <c r="AA769" s="31"/>
      <c r="AB769" s="74" t="s">
        <v>3020</v>
      </c>
      <c r="AC769" s="74"/>
    </row>
    <row r="770" ht="16.5" customHeight="1">
      <c r="A770" s="48" t="s">
        <v>3021</v>
      </c>
      <c r="B770" s="53" t="s">
        <v>2997</v>
      </c>
      <c r="C770" s="47">
        <v>0.0</v>
      </c>
      <c r="D770" s="70" t="s">
        <v>3022</v>
      </c>
      <c r="E770" s="55" t="s">
        <v>213</v>
      </c>
      <c r="F770" s="32" t="s">
        <v>33</v>
      </c>
      <c r="G770" s="32" t="s">
        <v>35</v>
      </c>
      <c r="H770" s="71" t="s">
        <v>35</v>
      </c>
      <c r="I770" s="71" t="s">
        <v>36</v>
      </c>
      <c r="J770" s="34" t="s">
        <v>49</v>
      </c>
      <c r="K770" s="57" t="s">
        <v>38</v>
      </c>
      <c r="L770" s="72" t="s">
        <v>3016</v>
      </c>
      <c r="M770" s="22"/>
      <c r="N770" s="73"/>
      <c r="O770" s="28"/>
      <c r="P770" s="35" t="s">
        <v>3000</v>
      </c>
      <c r="Q770" s="12"/>
      <c r="R770" s="12"/>
      <c r="S770" s="12"/>
      <c r="T770" s="52">
        <v>45289.0</v>
      </c>
      <c r="U770" s="52">
        <v>45338.0</v>
      </c>
      <c r="V770" s="52">
        <v>45357.0</v>
      </c>
      <c r="W770" s="30"/>
      <c r="X770" s="30"/>
      <c r="Y770" s="31"/>
      <c r="Z770" s="31"/>
      <c r="AA770" s="31"/>
      <c r="AB770" s="74" t="s">
        <v>3023</v>
      </c>
      <c r="AC770" s="74"/>
    </row>
    <row r="771" ht="16.5" customHeight="1">
      <c r="A771" s="48" t="s">
        <v>3024</v>
      </c>
      <c r="B771" s="53" t="s">
        <v>2997</v>
      </c>
      <c r="C771" s="47">
        <v>0.0</v>
      </c>
      <c r="D771" s="70" t="s">
        <v>1919</v>
      </c>
      <c r="E771" s="55" t="s">
        <v>213</v>
      </c>
      <c r="F771" s="32" t="s">
        <v>33</v>
      </c>
      <c r="G771" s="32" t="s">
        <v>35</v>
      </c>
      <c r="H771" s="71" t="s">
        <v>35</v>
      </c>
      <c r="I771" s="71" t="s">
        <v>36</v>
      </c>
      <c r="J771" s="34" t="s">
        <v>49</v>
      </c>
      <c r="K771" s="57" t="s">
        <v>38</v>
      </c>
      <c r="L771" s="72" t="s">
        <v>3016</v>
      </c>
      <c r="M771" s="22"/>
      <c r="N771" s="73"/>
      <c r="O771" s="28"/>
      <c r="P771" s="35" t="s">
        <v>3000</v>
      </c>
      <c r="Q771" s="12"/>
      <c r="R771" s="12"/>
      <c r="S771" s="12"/>
      <c r="T771" s="52">
        <v>45289.0</v>
      </c>
      <c r="U771" s="52">
        <v>45338.0</v>
      </c>
      <c r="V771" s="52">
        <v>45363.0</v>
      </c>
      <c r="W771" s="30"/>
      <c r="X771" s="30"/>
      <c r="Y771" s="31"/>
      <c r="Z771" s="31"/>
      <c r="AA771" s="31"/>
      <c r="AB771" s="74" t="s">
        <v>3025</v>
      </c>
      <c r="AC771" s="74"/>
    </row>
    <row r="772" ht="16.5" customHeight="1">
      <c r="A772" s="48" t="s">
        <v>3026</v>
      </c>
      <c r="B772" s="53" t="s">
        <v>2997</v>
      </c>
      <c r="C772" s="47">
        <v>0.0</v>
      </c>
      <c r="D772" s="70" t="s">
        <v>3027</v>
      </c>
      <c r="E772" s="55" t="s">
        <v>171</v>
      </c>
      <c r="F772" s="32" t="s">
        <v>48</v>
      </c>
      <c r="G772" s="32" t="s">
        <v>35</v>
      </c>
      <c r="H772" s="71" t="s">
        <v>35</v>
      </c>
      <c r="I772" s="71" t="s">
        <v>36</v>
      </c>
      <c r="J772" s="34" t="s">
        <v>49</v>
      </c>
      <c r="K772" s="57" t="s">
        <v>38</v>
      </c>
      <c r="L772" s="72" t="s">
        <v>2999</v>
      </c>
      <c r="M772" s="22"/>
      <c r="N772" s="73"/>
      <c r="O772" s="28"/>
      <c r="P772" s="35" t="s">
        <v>3000</v>
      </c>
      <c r="Q772" s="12"/>
      <c r="R772" s="12"/>
      <c r="S772" s="12"/>
      <c r="T772" s="52">
        <v>45289.0</v>
      </c>
      <c r="U772" s="52">
        <v>45289.0</v>
      </c>
      <c r="V772" s="52">
        <v>45337.0</v>
      </c>
      <c r="W772" s="30"/>
      <c r="X772" s="30"/>
      <c r="Y772" s="31"/>
      <c r="Z772" s="31"/>
      <c r="AA772" s="31"/>
      <c r="AB772" s="74" t="s">
        <v>3028</v>
      </c>
      <c r="AC772" s="74"/>
    </row>
    <row r="773" ht="16.5" customHeight="1">
      <c r="A773" s="48" t="s">
        <v>3029</v>
      </c>
      <c r="B773" s="53" t="s">
        <v>89</v>
      </c>
      <c r="C773" s="47">
        <v>0.0</v>
      </c>
      <c r="D773" s="70" t="s">
        <v>3030</v>
      </c>
      <c r="E773" s="55" t="s">
        <v>171</v>
      </c>
      <c r="F773" s="32" t="s">
        <v>48</v>
      </c>
      <c r="G773" s="32" t="s">
        <v>35</v>
      </c>
      <c r="H773" s="71" t="s">
        <v>35</v>
      </c>
      <c r="I773" s="71" t="s">
        <v>36</v>
      </c>
      <c r="J773" s="34" t="s">
        <v>65</v>
      </c>
      <c r="K773" s="57" t="s">
        <v>38</v>
      </c>
      <c r="L773" s="72">
        <v>10231.0</v>
      </c>
      <c r="M773" s="27"/>
      <c r="N773" s="73"/>
      <c r="O773" s="28">
        <v>45308.0</v>
      </c>
      <c r="P773" s="26"/>
      <c r="Q773" s="12"/>
      <c r="R773" s="12"/>
      <c r="S773" s="12"/>
      <c r="T773" s="52">
        <v>45289.0</v>
      </c>
      <c r="U773" s="52">
        <v>45289.0</v>
      </c>
      <c r="V773" s="52">
        <v>45308.0</v>
      </c>
      <c r="W773" s="30"/>
      <c r="X773" s="30"/>
      <c r="Y773" s="31"/>
      <c r="Z773" s="31"/>
      <c r="AA773" s="31"/>
      <c r="AB773" s="74" t="s">
        <v>3031</v>
      </c>
      <c r="AC773" s="74"/>
    </row>
    <row r="774" ht="16.5" customHeight="1">
      <c r="A774" s="48" t="s">
        <v>3032</v>
      </c>
      <c r="B774" s="53" t="s">
        <v>89</v>
      </c>
      <c r="C774" s="47">
        <v>0.0</v>
      </c>
      <c r="D774" s="70" t="s">
        <v>3033</v>
      </c>
      <c r="E774" s="55" t="s">
        <v>177</v>
      </c>
      <c r="F774" s="32" t="s">
        <v>48</v>
      </c>
      <c r="G774" s="32" t="s">
        <v>35</v>
      </c>
      <c r="H774" s="71" t="s">
        <v>35</v>
      </c>
      <c r="I774" s="71" t="s">
        <v>36</v>
      </c>
      <c r="J774" s="34" t="s">
        <v>65</v>
      </c>
      <c r="K774" s="57" t="s">
        <v>38</v>
      </c>
      <c r="L774" s="72">
        <v>10231.0</v>
      </c>
      <c r="M774" s="27"/>
      <c r="N774" s="73"/>
      <c r="O774" s="28">
        <v>45308.0</v>
      </c>
      <c r="P774" s="26"/>
      <c r="Q774" s="12"/>
      <c r="R774" s="12"/>
      <c r="S774" s="12"/>
      <c r="T774" s="52">
        <v>45289.0</v>
      </c>
      <c r="U774" s="52">
        <v>45289.0</v>
      </c>
      <c r="V774" s="52">
        <v>45308.0</v>
      </c>
      <c r="W774" s="30"/>
      <c r="X774" s="30"/>
      <c r="Y774" s="31"/>
      <c r="Z774" s="31"/>
      <c r="AA774" s="31"/>
      <c r="AB774" s="74" t="s">
        <v>3034</v>
      </c>
      <c r="AC774" s="74"/>
    </row>
    <row r="775" ht="16.5" customHeight="1">
      <c r="A775" s="48" t="s">
        <v>3035</v>
      </c>
      <c r="B775" s="53" t="s">
        <v>3036</v>
      </c>
      <c r="C775" s="47">
        <v>0.0</v>
      </c>
      <c r="D775" s="70"/>
      <c r="E775" s="55" t="s">
        <v>506</v>
      </c>
      <c r="F775" s="32" t="s">
        <v>33</v>
      </c>
      <c r="G775" s="32" t="s">
        <v>35</v>
      </c>
      <c r="H775" s="71" t="s">
        <v>35</v>
      </c>
      <c r="I775" s="71" t="s">
        <v>36</v>
      </c>
      <c r="J775" s="34" t="s">
        <v>65</v>
      </c>
      <c r="K775" s="57" t="s">
        <v>38</v>
      </c>
      <c r="L775" s="72">
        <v>10205.0</v>
      </c>
      <c r="M775" s="27"/>
      <c r="N775" s="73"/>
      <c r="O775" s="28">
        <v>45308.0</v>
      </c>
      <c r="P775" s="26"/>
      <c r="Q775" s="12"/>
      <c r="R775" s="12"/>
      <c r="S775" s="12"/>
      <c r="T775" s="52">
        <v>45293.0</v>
      </c>
      <c r="U775" s="52">
        <v>45293.0</v>
      </c>
      <c r="V775" s="52">
        <v>45303.0</v>
      </c>
      <c r="W775" s="30"/>
      <c r="X775" s="30"/>
      <c r="Y775" s="31"/>
      <c r="Z775" s="31"/>
      <c r="AA775" s="31"/>
      <c r="AB775" s="74" t="s">
        <v>3037</v>
      </c>
      <c r="AC775" s="74"/>
    </row>
    <row r="776" ht="16.5" customHeight="1">
      <c r="A776" s="48" t="s">
        <v>3038</v>
      </c>
      <c r="B776" s="53" t="s">
        <v>3039</v>
      </c>
      <c r="C776" s="47">
        <v>0.0</v>
      </c>
      <c r="D776" s="70" t="s">
        <v>3040</v>
      </c>
      <c r="E776" s="55" t="s">
        <v>213</v>
      </c>
      <c r="F776" s="32" t="s">
        <v>33</v>
      </c>
      <c r="G776" s="32" t="s">
        <v>34</v>
      </c>
      <c r="H776" s="71" t="s">
        <v>35</v>
      </c>
      <c r="I776" s="71" t="s">
        <v>36</v>
      </c>
      <c r="J776" s="34" t="s">
        <v>518</v>
      </c>
      <c r="K776" s="57" t="s">
        <v>38</v>
      </c>
      <c r="L776" s="72">
        <v>10207.0</v>
      </c>
      <c r="M776" s="22"/>
      <c r="N776" s="73"/>
      <c r="O776" s="28">
        <v>45308.0</v>
      </c>
      <c r="P776" s="35" t="s">
        <v>3041</v>
      </c>
      <c r="Q776" s="12"/>
      <c r="R776" s="12"/>
      <c r="S776" s="12"/>
      <c r="T776" s="52">
        <v>45294.0</v>
      </c>
      <c r="U776" s="52">
        <v>45295.0</v>
      </c>
      <c r="V776" s="52">
        <v>45301.0</v>
      </c>
      <c r="W776" s="30"/>
      <c r="X776" s="30"/>
      <c r="Y776" s="31"/>
      <c r="Z776" s="31"/>
      <c r="AA776" s="78" t="s">
        <v>108</v>
      </c>
      <c r="AB776" s="74" t="s">
        <v>3042</v>
      </c>
      <c r="AC776" s="74"/>
    </row>
    <row r="777" ht="16.5" customHeight="1">
      <c r="A777" s="48" t="s">
        <v>3043</v>
      </c>
      <c r="B777" s="53" t="s">
        <v>3044</v>
      </c>
      <c r="C777" s="47">
        <v>0.0</v>
      </c>
      <c r="D777" s="70" t="s">
        <v>3045</v>
      </c>
      <c r="E777" s="55" t="s">
        <v>2618</v>
      </c>
      <c r="F777" s="32" t="s">
        <v>33</v>
      </c>
      <c r="G777" s="32" t="s">
        <v>35</v>
      </c>
      <c r="H777" s="71" t="s">
        <v>35</v>
      </c>
      <c r="I777" s="71" t="s">
        <v>36</v>
      </c>
      <c r="J777" s="34" t="s">
        <v>1098</v>
      </c>
      <c r="K777" s="57" t="s">
        <v>38</v>
      </c>
      <c r="L777" s="72">
        <v>10200.0</v>
      </c>
      <c r="M777" s="22"/>
      <c r="N777" s="73"/>
      <c r="O777" s="28">
        <v>45303.0</v>
      </c>
      <c r="P777" s="35" t="s">
        <v>3046</v>
      </c>
      <c r="Q777" s="12"/>
      <c r="R777" s="12"/>
      <c r="S777" s="12"/>
      <c r="T777" s="52">
        <v>45296.0</v>
      </c>
      <c r="U777" s="52">
        <v>45296.0</v>
      </c>
      <c r="V777" s="52">
        <v>45302.0</v>
      </c>
      <c r="W777" s="30"/>
      <c r="X777" s="30"/>
      <c r="Y777" s="31"/>
      <c r="Z777" s="31"/>
      <c r="AA777" s="78" t="s">
        <v>108</v>
      </c>
      <c r="AB777" s="74" t="s">
        <v>3047</v>
      </c>
      <c r="AC777" s="74"/>
    </row>
    <row r="778" ht="16.5" customHeight="1">
      <c r="A778" s="48" t="s">
        <v>3048</v>
      </c>
      <c r="B778" s="53" t="s">
        <v>3049</v>
      </c>
      <c r="C778" s="47">
        <v>0.0</v>
      </c>
      <c r="D778" s="70" t="s">
        <v>3050</v>
      </c>
      <c r="E778" s="55" t="s">
        <v>545</v>
      </c>
      <c r="F778" s="32" t="s">
        <v>33</v>
      </c>
      <c r="G778" s="32" t="s">
        <v>35</v>
      </c>
      <c r="H778" s="71" t="s">
        <v>35</v>
      </c>
      <c r="I778" s="71" t="s">
        <v>36</v>
      </c>
      <c r="J778" s="34" t="s">
        <v>37</v>
      </c>
      <c r="K778" s="57" t="s">
        <v>3051</v>
      </c>
      <c r="L778" s="72">
        <v>10201.0</v>
      </c>
      <c r="M778" s="22"/>
      <c r="N778" s="73"/>
      <c r="O778" s="28">
        <v>45307.0</v>
      </c>
      <c r="P778" s="35" t="s">
        <v>3052</v>
      </c>
      <c r="Q778" s="12"/>
      <c r="R778" s="12"/>
      <c r="S778" s="12"/>
      <c r="T778" s="52">
        <v>45296.0</v>
      </c>
      <c r="U778" s="52">
        <v>45296.0</v>
      </c>
      <c r="V778" s="52">
        <v>45302.0</v>
      </c>
      <c r="W778" s="30"/>
      <c r="X778" s="30"/>
      <c r="Y778" s="31"/>
      <c r="Z778" s="31"/>
      <c r="AA778" s="78" t="s">
        <v>3053</v>
      </c>
      <c r="AB778" s="74" t="s">
        <v>3054</v>
      </c>
      <c r="AC778" s="74"/>
    </row>
    <row r="779" ht="16.5" customHeight="1">
      <c r="A779" s="48" t="s">
        <v>3055</v>
      </c>
      <c r="B779" s="53" t="s">
        <v>3056</v>
      </c>
      <c r="C779" s="47">
        <v>0.0</v>
      </c>
      <c r="D779" s="70"/>
      <c r="E779" s="55" t="s">
        <v>79</v>
      </c>
      <c r="F779" s="32" t="s">
        <v>33</v>
      </c>
      <c r="G779" s="32" t="s">
        <v>35</v>
      </c>
      <c r="H779" s="71" t="s">
        <v>35</v>
      </c>
      <c r="I779" s="71" t="s">
        <v>984</v>
      </c>
      <c r="J779" s="34" t="s">
        <v>339</v>
      </c>
      <c r="K779" s="57" t="s">
        <v>38</v>
      </c>
      <c r="L779" s="72" t="s">
        <v>3057</v>
      </c>
      <c r="M779" s="22"/>
      <c r="N779" s="26"/>
      <c r="O779" s="28"/>
      <c r="P779" s="35" t="s">
        <v>3058</v>
      </c>
      <c r="Q779" s="12"/>
      <c r="R779" s="12"/>
      <c r="S779" s="12"/>
      <c r="T779" s="52">
        <v>45296.0</v>
      </c>
      <c r="U779" s="29"/>
      <c r="V779" s="29"/>
      <c r="W779" s="30"/>
      <c r="X779" s="30"/>
      <c r="Y779" s="31"/>
      <c r="Z779" s="31"/>
      <c r="AA779" s="78" t="s">
        <v>3059</v>
      </c>
      <c r="AB779" s="74" t="s">
        <v>3060</v>
      </c>
      <c r="AC779" s="74"/>
    </row>
    <row r="780" ht="16.5" customHeight="1">
      <c r="A780" s="48" t="s">
        <v>3055</v>
      </c>
      <c r="B780" s="53" t="s">
        <v>3056</v>
      </c>
      <c r="C780" s="47">
        <v>0.0</v>
      </c>
      <c r="D780" s="70"/>
      <c r="E780" s="55" t="s">
        <v>731</v>
      </c>
      <c r="F780" s="32" t="s">
        <v>33</v>
      </c>
      <c r="G780" s="32" t="s">
        <v>35</v>
      </c>
      <c r="H780" s="71" t="s">
        <v>35</v>
      </c>
      <c r="I780" s="71" t="s">
        <v>984</v>
      </c>
      <c r="J780" s="34" t="s">
        <v>339</v>
      </c>
      <c r="K780" s="57" t="s">
        <v>38</v>
      </c>
      <c r="L780" s="72" t="s">
        <v>3057</v>
      </c>
      <c r="M780" s="22"/>
      <c r="N780" s="26"/>
      <c r="O780" s="28"/>
      <c r="P780" s="35" t="s">
        <v>3058</v>
      </c>
      <c r="Q780" s="12"/>
      <c r="R780" s="12"/>
      <c r="S780" s="12"/>
      <c r="T780" s="52">
        <v>45296.0</v>
      </c>
      <c r="U780" s="29"/>
      <c r="V780" s="29"/>
      <c r="W780" s="30"/>
      <c r="X780" s="30"/>
      <c r="Y780" s="31"/>
      <c r="Z780" s="31"/>
      <c r="AA780" s="78" t="s">
        <v>3059</v>
      </c>
      <c r="AB780" s="74" t="s">
        <v>3061</v>
      </c>
      <c r="AC780" s="74"/>
    </row>
    <row r="781" ht="16.5" customHeight="1">
      <c r="A781" s="48" t="s">
        <v>3062</v>
      </c>
      <c r="B781" s="53" t="s">
        <v>3056</v>
      </c>
      <c r="C781" s="47">
        <v>0.0</v>
      </c>
      <c r="D781" s="70"/>
      <c r="E781" s="55" t="s">
        <v>79</v>
      </c>
      <c r="F781" s="32" t="s">
        <v>33</v>
      </c>
      <c r="G781" s="32" t="s">
        <v>35</v>
      </c>
      <c r="H781" s="71" t="s">
        <v>35</v>
      </c>
      <c r="I781" s="71" t="s">
        <v>984</v>
      </c>
      <c r="J781" s="34" t="s">
        <v>339</v>
      </c>
      <c r="K781" s="57" t="s">
        <v>38</v>
      </c>
      <c r="L781" s="72" t="s">
        <v>3057</v>
      </c>
      <c r="M781" s="22"/>
      <c r="N781" s="26"/>
      <c r="O781" s="28"/>
      <c r="P781" s="35" t="s">
        <v>3058</v>
      </c>
      <c r="Q781" s="12"/>
      <c r="R781" s="12"/>
      <c r="S781" s="12"/>
      <c r="T781" s="52">
        <v>45296.0</v>
      </c>
      <c r="U781" s="29"/>
      <c r="V781" s="29"/>
      <c r="W781" s="30"/>
      <c r="X781" s="30"/>
      <c r="Y781" s="31"/>
      <c r="Z781" s="31"/>
      <c r="AA781" s="78" t="s">
        <v>3059</v>
      </c>
      <c r="AB781" s="74" t="s">
        <v>3063</v>
      </c>
      <c r="AC781" s="74"/>
    </row>
    <row r="782" ht="16.5" customHeight="1">
      <c r="A782" s="48" t="s">
        <v>3062</v>
      </c>
      <c r="B782" s="53" t="s">
        <v>3056</v>
      </c>
      <c r="C782" s="47">
        <v>0.0</v>
      </c>
      <c r="D782" s="70"/>
      <c r="E782" s="55" t="s">
        <v>731</v>
      </c>
      <c r="F782" s="32" t="s">
        <v>33</v>
      </c>
      <c r="G782" s="32" t="s">
        <v>35</v>
      </c>
      <c r="H782" s="71" t="s">
        <v>35</v>
      </c>
      <c r="I782" s="71" t="s">
        <v>984</v>
      </c>
      <c r="J782" s="34" t="s">
        <v>339</v>
      </c>
      <c r="K782" s="57" t="s">
        <v>38</v>
      </c>
      <c r="L782" s="72" t="s">
        <v>3057</v>
      </c>
      <c r="M782" s="22"/>
      <c r="N782" s="26"/>
      <c r="O782" s="28"/>
      <c r="P782" s="35" t="s">
        <v>3058</v>
      </c>
      <c r="Q782" s="12"/>
      <c r="R782" s="12"/>
      <c r="S782" s="12"/>
      <c r="T782" s="52">
        <v>45296.0</v>
      </c>
      <c r="U782" s="29"/>
      <c r="V782" s="29"/>
      <c r="W782" s="30"/>
      <c r="X782" s="30"/>
      <c r="Y782" s="31"/>
      <c r="Z782" s="31"/>
      <c r="AA782" s="78" t="s">
        <v>3059</v>
      </c>
      <c r="AB782" s="74" t="s">
        <v>3064</v>
      </c>
      <c r="AC782" s="74"/>
    </row>
    <row r="783" ht="16.5" customHeight="1">
      <c r="A783" s="48" t="s">
        <v>3065</v>
      </c>
      <c r="B783" s="53" t="s">
        <v>3056</v>
      </c>
      <c r="C783" s="47">
        <v>0.0</v>
      </c>
      <c r="D783" s="70"/>
      <c r="E783" s="55" t="s">
        <v>79</v>
      </c>
      <c r="F783" s="32" t="s">
        <v>33</v>
      </c>
      <c r="G783" s="32" t="s">
        <v>35</v>
      </c>
      <c r="H783" s="71" t="s">
        <v>35</v>
      </c>
      <c r="I783" s="71" t="s">
        <v>984</v>
      </c>
      <c r="J783" s="34" t="s">
        <v>339</v>
      </c>
      <c r="K783" s="57" t="s">
        <v>38</v>
      </c>
      <c r="L783" s="72" t="s">
        <v>3057</v>
      </c>
      <c r="M783" s="22"/>
      <c r="N783" s="26"/>
      <c r="O783" s="28"/>
      <c r="P783" s="35" t="s">
        <v>3058</v>
      </c>
      <c r="Q783" s="12"/>
      <c r="R783" s="12"/>
      <c r="S783" s="12"/>
      <c r="T783" s="52">
        <v>45296.0</v>
      </c>
      <c r="U783" s="29"/>
      <c r="V783" s="29"/>
      <c r="W783" s="30"/>
      <c r="X783" s="30"/>
      <c r="Y783" s="31"/>
      <c r="Z783" s="31"/>
      <c r="AA783" s="78" t="s">
        <v>3059</v>
      </c>
      <c r="AB783" s="74" t="s">
        <v>3066</v>
      </c>
      <c r="AC783" s="74"/>
    </row>
    <row r="784" ht="16.5" customHeight="1">
      <c r="A784" s="48" t="s">
        <v>3065</v>
      </c>
      <c r="B784" s="53" t="s">
        <v>3056</v>
      </c>
      <c r="C784" s="47">
        <v>0.0</v>
      </c>
      <c r="D784" s="70"/>
      <c r="E784" s="55" t="s">
        <v>731</v>
      </c>
      <c r="F784" s="32" t="s">
        <v>33</v>
      </c>
      <c r="G784" s="32" t="s">
        <v>35</v>
      </c>
      <c r="H784" s="71" t="s">
        <v>35</v>
      </c>
      <c r="I784" s="71" t="s">
        <v>984</v>
      </c>
      <c r="J784" s="34" t="s">
        <v>339</v>
      </c>
      <c r="K784" s="57" t="s">
        <v>38</v>
      </c>
      <c r="L784" s="72" t="s">
        <v>3057</v>
      </c>
      <c r="M784" s="22"/>
      <c r="N784" s="26"/>
      <c r="O784" s="28"/>
      <c r="P784" s="35" t="s">
        <v>3058</v>
      </c>
      <c r="Q784" s="12"/>
      <c r="R784" s="12"/>
      <c r="S784" s="12"/>
      <c r="T784" s="52">
        <v>45296.0</v>
      </c>
      <c r="U784" s="29"/>
      <c r="V784" s="29"/>
      <c r="W784" s="30"/>
      <c r="X784" s="30"/>
      <c r="Y784" s="31"/>
      <c r="Z784" s="31"/>
      <c r="AA784" s="78" t="s">
        <v>3059</v>
      </c>
      <c r="AB784" s="74" t="s">
        <v>3067</v>
      </c>
      <c r="AC784" s="74"/>
    </row>
    <row r="785" ht="16.5" customHeight="1">
      <c r="A785" s="48" t="s">
        <v>3065</v>
      </c>
      <c r="B785" s="53" t="s">
        <v>3056</v>
      </c>
      <c r="C785" s="47">
        <v>0.0</v>
      </c>
      <c r="D785" s="70"/>
      <c r="E785" s="55" t="s">
        <v>338</v>
      </c>
      <c r="F785" s="32" t="s">
        <v>33</v>
      </c>
      <c r="G785" s="32" t="s">
        <v>35</v>
      </c>
      <c r="H785" s="71" t="s">
        <v>35</v>
      </c>
      <c r="I785" s="71" t="s">
        <v>984</v>
      </c>
      <c r="J785" s="34" t="s">
        <v>339</v>
      </c>
      <c r="K785" s="57" t="s">
        <v>38</v>
      </c>
      <c r="L785" s="72" t="s">
        <v>3057</v>
      </c>
      <c r="M785" s="22"/>
      <c r="N785" s="26"/>
      <c r="O785" s="28"/>
      <c r="P785" s="35" t="s">
        <v>3058</v>
      </c>
      <c r="Q785" s="12"/>
      <c r="R785" s="12"/>
      <c r="S785" s="12"/>
      <c r="T785" s="52">
        <v>45296.0</v>
      </c>
      <c r="U785" s="29"/>
      <c r="V785" s="29"/>
      <c r="W785" s="30"/>
      <c r="X785" s="30"/>
      <c r="Y785" s="31"/>
      <c r="Z785" s="31"/>
      <c r="AA785" s="78" t="s">
        <v>3059</v>
      </c>
      <c r="AB785" s="74" t="s">
        <v>3068</v>
      </c>
      <c r="AC785" s="74"/>
    </row>
    <row r="786" ht="16.5" customHeight="1">
      <c r="A786" s="48" t="s">
        <v>3069</v>
      </c>
      <c r="B786" s="53" t="s">
        <v>3070</v>
      </c>
      <c r="C786" s="47">
        <v>0.0</v>
      </c>
      <c r="D786" s="70" t="s">
        <v>3071</v>
      </c>
      <c r="E786" s="55" t="s">
        <v>213</v>
      </c>
      <c r="F786" s="32" t="s">
        <v>33</v>
      </c>
      <c r="G786" s="32" t="s">
        <v>34</v>
      </c>
      <c r="H786" s="71" t="s">
        <v>35</v>
      </c>
      <c r="I786" s="71" t="s">
        <v>36</v>
      </c>
      <c r="J786" s="34" t="s">
        <v>203</v>
      </c>
      <c r="K786" s="57" t="s">
        <v>38</v>
      </c>
      <c r="L786" s="72">
        <v>10208.0</v>
      </c>
      <c r="M786" s="22"/>
      <c r="N786" s="73"/>
      <c r="O786" s="28">
        <v>45308.0</v>
      </c>
      <c r="P786" s="35" t="s">
        <v>3072</v>
      </c>
      <c r="Q786" s="12"/>
      <c r="R786" s="12"/>
      <c r="S786" s="12"/>
      <c r="T786" s="52">
        <v>45299.0</v>
      </c>
      <c r="U786" s="52">
        <v>45303.0</v>
      </c>
      <c r="V786" s="52">
        <v>45303.0</v>
      </c>
      <c r="W786" s="30"/>
      <c r="X786" s="30"/>
      <c r="Y786" s="31"/>
      <c r="Z786" s="31"/>
      <c r="AA786" s="78" t="s">
        <v>102</v>
      </c>
      <c r="AB786" s="74" t="s">
        <v>3073</v>
      </c>
      <c r="AC786" s="74"/>
    </row>
    <row r="787" ht="16.5" customHeight="1">
      <c r="A787" s="48" t="s">
        <v>3074</v>
      </c>
      <c r="B787" s="53" t="s">
        <v>3075</v>
      </c>
      <c r="C787" s="47">
        <v>0.0</v>
      </c>
      <c r="D787" s="70" t="s">
        <v>3076</v>
      </c>
      <c r="E787" s="55" t="s">
        <v>3077</v>
      </c>
      <c r="F787" s="32" t="s">
        <v>244</v>
      </c>
      <c r="G787" s="32" t="s">
        <v>35</v>
      </c>
      <c r="H787" s="71" t="s">
        <v>35</v>
      </c>
      <c r="I787" s="71" t="s">
        <v>36</v>
      </c>
      <c r="J787" s="34" t="s">
        <v>49</v>
      </c>
      <c r="K787" s="57" t="s">
        <v>38</v>
      </c>
      <c r="L787" s="72">
        <v>10245.0</v>
      </c>
      <c r="M787" s="22"/>
      <c r="N787" s="73"/>
      <c r="O787" s="28">
        <v>45315.0</v>
      </c>
      <c r="P787" s="35" t="s">
        <v>3078</v>
      </c>
      <c r="Q787" s="12"/>
      <c r="R787" s="12"/>
      <c r="S787" s="12"/>
      <c r="T787" s="52">
        <v>45299.0</v>
      </c>
      <c r="U787" s="52">
        <v>45300.0</v>
      </c>
      <c r="V787" s="52">
        <v>45315.0</v>
      </c>
      <c r="W787" s="30"/>
      <c r="X787" s="30"/>
      <c r="Y787" s="31"/>
      <c r="Z787" s="31"/>
      <c r="AA787" s="78" t="s">
        <v>127</v>
      </c>
      <c r="AB787" s="74" t="s">
        <v>3079</v>
      </c>
      <c r="AC787" s="74"/>
    </row>
    <row r="788" ht="16.5" customHeight="1">
      <c r="A788" s="48" t="s">
        <v>3080</v>
      </c>
      <c r="B788" s="53" t="s">
        <v>3081</v>
      </c>
      <c r="C788" s="47">
        <v>0.0</v>
      </c>
      <c r="D788" s="70" t="s">
        <v>3082</v>
      </c>
      <c r="E788" s="55" t="s">
        <v>79</v>
      </c>
      <c r="F788" s="32" t="s">
        <v>33</v>
      </c>
      <c r="G788" s="32" t="s">
        <v>368</v>
      </c>
      <c r="H788" s="71" t="s">
        <v>35</v>
      </c>
      <c r="I788" s="71" t="s">
        <v>36</v>
      </c>
      <c r="J788" s="34" t="s">
        <v>518</v>
      </c>
      <c r="K788" s="57" t="s">
        <v>38</v>
      </c>
      <c r="L788" s="72">
        <v>10204.0</v>
      </c>
      <c r="M788" s="22"/>
      <c r="N788" s="73"/>
      <c r="O788" s="28">
        <v>45303.0</v>
      </c>
      <c r="P788" s="35" t="s">
        <v>3083</v>
      </c>
      <c r="Q788" s="12"/>
      <c r="R788" s="12"/>
      <c r="S788" s="12"/>
      <c r="T788" s="52">
        <v>45299.0</v>
      </c>
      <c r="U788" s="52">
        <v>45300.0</v>
      </c>
      <c r="V788" s="52">
        <v>45302.0</v>
      </c>
      <c r="W788" s="30"/>
      <c r="X788" s="30"/>
      <c r="Y788" s="31"/>
      <c r="Z788" s="31"/>
      <c r="AA788" s="31"/>
      <c r="AB788" s="74" t="s">
        <v>3084</v>
      </c>
      <c r="AC788" s="74"/>
    </row>
    <row r="789" ht="16.5" customHeight="1">
      <c r="A789" s="48" t="s">
        <v>3085</v>
      </c>
      <c r="B789" s="53" t="s">
        <v>3086</v>
      </c>
      <c r="C789" s="47">
        <v>0.0</v>
      </c>
      <c r="D789" s="70" t="s">
        <v>3087</v>
      </c>
      <c r="E789" s="55" t="s">
        <v>165</v>
      </c>
      <c r="F789" s="32" t="s">
        <v>33</v>
      </c>
      <c r="G789" s="32" t="s">
        <v>34</v>
      </c>
      <c r="H789" s="71" t="s">
        <v>35</v>
      </c>
      <c r="I789" s="71" t="s">
        <v>36</v>
      </c>
      <c r="J789" s="34" t="s">
        <v>37</v>
      </c>
      <c r="K789" s="57" t="s">
        <v>38</v>
      </c>
      <c r="L789" s="72">
        <v>10260.0</v>
      </c>
      <c r="M789" s="22"/>
      <c r="N789" s="73"/>
      <c r="O789" s="28">
        <v>45310.0</v>
      </c>
      <c r="P789" s="35" t="s">
        <v>3088</v>
      </c>
      <c r="Q789" s="12"/>
      <c r="R789" s="12"/>
      <c r="S789" s="12"/>
      <c r="T789" s="52">
        <v>45299.0</v>
      </c>
      <c r="U789" s="52">
        <v>45300.0</v>
      </c>
      <c r="V789" s="52">
        <v>45302.0</v>
      </c>
      <c r="W789" s="30"/>
      <c r="X789" s="30"/>
      <c r="Y789" s="31"/>
      <c r="Z789" s="31"/>
      <c r="AA789" s="78" t="s">
        <v>108</v>
      </c>
      <c r="AB789" s="74" t="s">
        <v>3089</v>
      </c>
      <c r="AC789" s="74"/>
    </row>
    <row r="790" ht="16.5" customHeight="1">
      <c r="A790" s="48" t="s">
        <v>3090</v>
      </c>
      <c r="B790" s="53" t="s">
        <v>3086</v>
      </c>
      <c r="C790" s="47">
        <v>0.0</v>
      </c>
      <c r="D790" s="70" t="s">
        <v>3091</v>
      </c>
      <c r="E790" s="55" t="s">
        <v>165</v>
      </c>
      <c r="F790" s="32" t="s">
        <v>33</v>
      </c>
      <c r="G790" s="32" t="s">
        <v>34</v>
      </c>
      <c r="H790" s="71" t="s">
        <v>35</v>
      </c>
      <c r="I790" s="71" t="s">
        <v>36</v>
      </c>
      <c r="J790" s="34" t="s">
        <v>37</v>
      </c>
      <c r="K790" s="57" t="s">
        <v>38</v>
      </c>
      <c r="L790" s="72">
        <v>10260.0</v>
      </c>
      <c r="M790" s="22"/>
      <c r="N790" s="73"/>
      <c r="O790" s="28">
        <v>45310.0</v>
      </c>
      <c r="P790" s="35" t="s">
        <v>3088</v>
      </c>
      <c r="Q790" s="12"/>
      <c r="R790" s="12"/>
      <c r="S790" s="12"/>
      <c r="T790" s="52">
        <v>45299.0</v>
      </c>
      <c r="U790" s="52">
        <v>45300.0</v>
      </c>
      <c r="V790" s="52">
        <v>45302.0</v>
      </c>
      <c r="W790" s="30"/>
      <c r="X790" s="30"/>
      <c r="Y790" s="31"/>
      <c r="Z790" s="31"/>
      <c r="AA790" s="78" t="s">
        <v>108</v>
      </c>
      <c r="AB790" s="74" t="s">
        <v>3092</v>
      </c>
      <c r="AC790" s="74"/>
    </row>
    <row r="791" ht="16.5" customHeight="1">
      <c r="A791" s="48" t="s">
        <v>3093</v>
      </c>
      <c r="B791" s="53" t="s">
        <v>3086</v>
      </c>
      <c r="C791" s="47">
        <v>0.0</v>
      </c>
      <c r="D791" s="70" t="s">
        <v>3094</v>
      </c>
      <c r="E791" s="55" t="s">
        <v>98</v>
      </c>
      <c r="F791" s="32" t="s">
        <v>33</v>
      </c>
      <c r="G791" s="32" t="s">
        <v>34</v>
      </c>
      <c r="H791" s="71" t="s">
        <v>35</v>
      </c>
      <c r="I791" s="71" t="s">
        <v>36</v>
      </c>
      <c r="J791" s="34" t="s">
        <v>37</v>
      </c>
      <c r="K791" s="57" t="s">
        <v>38</v>
      </c>
      <c r="L791" s="72">
        <v>10260.0</v>
      </c>
      <c r="M791" s="22"/>
      <c r="N791" s="73"/>
      <c r="O791" s="28">
        <v>45310.0</v>
      </c>
      <c r="P791" s="35" t="s">
        <v>3088</v>
      </c>
      <c r="Q791" s="12"/>
      <c r="R791" s="12"/>
      <c r="S791" s="12"/>
      <c r="T791" s="52">
        <v>45299.0</v>
      </c>
      <c r="U791" s="52">
        <v>45300.0</v>
      </c>
      <c r="V791" s="52">
        <v>45302.0</v>
      </c>
      <c r="W791" s="30"/>
      <c r="X791" s="30"/>
      <c r="Y791" s="31"/>
      <c r="Z791" s="31"/>
      <c r="AA791" s="78" t="s">
        <v>108</v>
      </c>
      <c r="AB791" s="74" t="s">
        <v>3095</v>
      </c>
      <c r="AC791" s="74"/>
    </row>
    <row r="792" ht="16.5" customHeight="1">
      <c r="A792" s="48" t="s">
        <v>3096</v>
      </c>
      <c r="B792" s="53" t="s">
        <v>3097</v>
      </c>
      <c r="C792" s="47">
        <v>0.0</v>
      </c>
      <c r="D792" s="70" t="s">
        <v>3098</v>
      </c>
      <c r="E792" s="55" t="s">
        <v>2106</v>
      </c>
      <c r="F792" s="32" t="s">
        <v>244</v>
      </c>
      <c r="G792" s="32" t="s">
        <v>35</v>
      </c>
      <c r="H792" s="71" t="s">
        <v>35</v>
      </c>
      <c r="I792" s="71" t="s">
        <v>36</v>
      </c>
      <c r="J792" s="34" t="s">
        <v>37</v>
      </c>
      <c r="K792" s="57" t="s">
        <v>38</v>
      </c>
      <c r="L792" s="72">
        <v>10244.0</v>
      </c>
      <c r="M792" s="22"/>
      <c r="N792" s="73"/>
      <c r="O792" s="28">
        <v>45309.0</v>
      </c>
      <c r="P792" s="35" t="s">
        <v>3099</v>
      </c>
      <c r="Q792" s="12"/>
      <c r="R792" s="12"/>
      <c r="S792" s="12"/>
      <c r="T792" s="52">
        <v>45303.0</v>
      </c>
      <c r="U792" s="52">
        <v>45307.0</v>
      </c>
      <c r="V792" s="52">
        <v>45309.0</v>
      </c>
      <c r="W792" s="30"/>
      <c r="X792" s="30"/>
      <c r="Y792" s="31"/>
      <c r="Z792" s="31"/>
      <c r="AA792" s="78" t="s">
        <v>127</v>
      </c>
      <c r="AB792" s="74" t="s">
        <v>3100</v>
      </c>
      <c r="AC792" s="74"/>
    </row>
    <row r="793" ht="16.5" customHeight="1">
      <c r="A793" s="48" t="s">
        <v>3101</v>
      </c>
      <c r="B793" s="53" t="s">
        <v>3097</v>
      </c>
      <c r="C793" s="47">
        <v>0.0</v>
      </c>
      <c r="D793" s="70" t="s">
        <v>3102</v>
      </c>
      <c r="E793" s="55" t="s">
        <v>2106</v>
      </c>
      <c r="F793" s="32" t="s">
        <v>244</v>
      </c>
      <c r="G793" s="32" t="s">
        <v>35</v>
      </c>
      <c r="H793" s="71" t="s">
        <v>35</v>
      </c>
      <c r="I793" s="71" t="s">
        <v>36</v>
      </c>
      <c r="J793" s="34" t="s">
        <v>37</v>
      </c>
      <c r="K793" s="57" t="s">
        <v>38</v>
      </c>
      <c r="L793" s="72">
        <v>10244.0</v>
      </c>
      <c r="M793" s="22"/>
      <c r="N793" s="73"/>
      <c r="O793" s="28">
        <v>45309.0</v>
      </c>
      <c r="P793" s="35" t="s">
        <v>3099</v>
      </c>
      <c r="Q793" s="12"/>
      <c r="R793" s="12"/>
      <c r="S793" s="12"/>
      <c r="T793" s="52">
        <v>45303.0</v>
      </c>
      <c r="U793" s="52">
        <v>45307.0</v>
      </c>
      <c r="V793" s="52">
        <v>45309.0</v>
      </c>
      <c r="W793" s="30"/>
      <c r="X793" s="30"/>
      <c r="Y793" s="31"/>
      <c r="Z793" s="31"/>
      <c r="AA793" s="78" t="s">
        <v>127</v>
      </c>
      <c r="AB793" s="74" t="s">
        <v>3103</v>
      </c>
      <c r="AC793" s="74"/>
    </row>
    <row r="794" ht="16.5" customHeight="1">
      <c r="A794" s="48" t="s">
        <v>3104</v>
      </c>
      <c r="B794" s="53" t="s">
        <v>3105</v>
      </c>
      <c r="C794" s="47">
        <v>0.0</v>
      </c>
      <c r="D794" s="70" t="s">
        <v>3106</v>
      </c>
      <c r="E794" s="55" t="s">
        <v>165</v>
      </c>
      <c r="F794" s="32" t="s">
        <v>33</v>
      </c>
      <c r="G794" s="32" t="s">
        <v>34</v>
      </c>
      <c r="H794" s="71" t="s">
        <v>35</v>
      </c>
      <c r="I794" s="71" t="s">
        <v>36</v>
      </c>
      <c r="J794" s="34" t="s">
        <v>37</v>
      </c>
      <c r="K794" s="57" t="s">
        <v>38</v>
      </c>
      <c r="L794" s="72">
        <v>10202.0</v>
      </c>
      <c r="M794" s="22"/>
      <c r="N794" s="73"/>
      <c r="O794" s="28">
        <v>45307.0</v>
      </c>
      <c r="P794" s="35" t="s">
        <v>3107</v>
      </c>
      <c r="Q794" s="12"/>
      <c r="R794" s="12"/>
      <c r="S794" s="12"/>
      <c r="T794" s="52">
        <v>45299.0</v>
      </c>
      <c r="U794" s="52">
        <v>45300.0</v>
      </c>
      <c r="V794" s="52">
        <v>45302.0</v>
      </c>
      <c r="W794" s="30"/>
      <c r="X794" s="30"/>
      <c r="Y794" s="31"/>
      <c r="Z794" s="31"/>
      <c r="AA794" s="78" t="s">
        <v>127</v>
      </c>
      <c r="AB794" s="74" t="s">
        <v>3108</v>
      </c>
      <c r="AC794" s="74"/>
    </row>
    <row r="795" ht="16.5" customHeight="1">
      <c r="A795" s="48" t="s">
        <v>3109</v>
      </c>
      <c r="B795" s="53" t="s">
        <v>3105</v>
      </c>
      <c r="C795" s="47">
        <v>0.0</v>
      </c>
      <c r="D795" s="70" t="s">
        <v>3110</v>
      </c>
      <c r="E795" s="55" t="s">
        <v>338</v>
      </c>
      <c r="F795" s="32" t="s">
        <v>33</v>
      </c>
      <c r="G795" s="32" t="s">
        <v>34</v>
      </c>
      <c r="H795" s="71" t="s">
        <v>35</v>
      </c>
      <c r="I795" s="71" t="s">
        <v>36</v>
      </c>
      <c r="J795" s="34" t="s">
        <v>37</v>
      </c>
      <c r="K795" s="57" t="s">
        <v>38</v>
      </c>
      <c r="L795" s="72">
        <v>10202.0</v>
      </c>
      <c r="M795" s="22"/>
      <c r="N795" s="73"/>
      <c r="O795" s="28">
        <v>45307.0</v>
      </c>
      <c r="P795" s="35" t="s">
        <v>3107</v>
      </c>
      <c r="Q795" s="12"/>
      <c r="R795" s="12"/>
      <c r="S795" s="12"/>
      <c r="T795" s="52">
        <v>45299.0</v>
      </c>
      <c r="U795" s="52">
        <v>45300.0</v>
      </c>
      <c r="V795" s="52">
        <v>45303.0</v>
      </c>
      <c r="W795" s="30"/>
      <c r="X795" s="30"/>
      <c r="Y795" s="31"/>
      <c r="Z795" s="31"/>
      <c r="AA795" s="78" t="s">
        <v>127</v>
      </c>
      <c r="AB795" s="74" t="s">
        <v>3111</v>
      </c>
      <c r="AC795" s="74"/>
    </row>
    <row r="796" ht="16.5" customHeight="1">
      <c r="A796" s="48" t="s">
        <v>3112</v>
      </c>
      <c r="B796" s="53" t="s">
        <v>2441</v>
      </c>
      <c r="C796" s="47">
        <v>0.0</v>
      </c>
      <c r="D796" s="70" t="s">
        <v>3113</v>
      </c>
      <c r="E796" s="55" t="s">
        <v>213</v>
      </c>
      <c r="F796" s="32" t="s">
        <v>33</v>
      </c>
      <c r="G796" s="32" t="s">
        <v>34</v>
      </c>
      <c r="H796" s="71" t="s">
        <v>35</v>
      </c>
      <c r="I796" s="71" t="s">
        <v>36</v>
      </c>
      <c r="J796" s="34" t="s">
        <v>37</v>
      </c>
      <c r="K796" s="57" t="s">
        <v>447</v>
      </c>
      <c r="L796" s="72">
        <v>10206.0</v>
      </c>
      <c r="M796" s="22"/>
      <c r="N796" s="73"/>
      <c r="O796" s="28">
        <v>45307.0</v>
      </c>
      <c r="P796" s="35" t="s">
        <v>3114</v>
      </c>
      <c r="Q796" s="12"/>
      <c r="R796" s="12"/>
      <c r="S796" s="12"/>
      <c r="T796" s="52">
        <v>45299.0</v>
      </c>
      <c r="U796" s="52">
        <v>45300.0</v>
      </c>
      <c r="V796" s="52">
        <v>45303.0</v>
      </c>
      <c r="W796" s="30"/>
      <c r="X796" s="30"/>
      <c r="Y796" s="31"/>
      <c r="Z796" s="31"/>
      <c r="AA796" s="78" t="s">
        <v>108</v>
      </c>
      <c r="AB796" s="74" t="s">
        <v>3115</v>
      </c>
      <c r="AC796" s="74"/>
    </row>
    <row r="797" ht="16.5" customHeight="1">
      <c r="A797" s="48" t="s">
        <v>3116</v>
      </c>
      <c r="B797" s="53" t="s">
        <v>858</v>
      </c>
      <c r="C797" s="47">
        <v>0.0</v>
      </c>
      <c r="D797" s="70" t="s">
        <v>3117</v>
      </c>
      <c r="E797" s="55" t="s">
        <v>213</v>
      </c>
      <c r="F797" s="32" t="s">
        <v>33</v>
      </c>
      <c r="G797" s="32" t="s">
        <v>35</v>
      </c>
      <c r="H797" s="71" t="s">
        <v>35</v>
      </c>
      <c r="I797" s="71" t="s">
        <v>36</v>
      </c>
      <c r="J797" s="34" t="s">
        <v>420</v>
      </c>
      <c r="K797" s="57" t="s">
        <v>38</v>
      </c>
      <c r="L797" s="72">
        <v>10239.0</v>
      </c>
      <c r="M797" s="22"/>
      <c r="N797" s="73"/>
      <c r="O797" s="28">
        <v>45308.0</v>
      </c>
      <c r="P797" s="35" t="s">
        <v>3118</v>
      </c>
      <c r="Q797" s="12"/>
      <c r="R797" s="12"/>
      <c r="S797" s="12"/>
      <c r="T797" s="52">
        <v>45300.0</v>
      </c>
      <c r="U797" s="52">
        <v>45300.0</v>
      </c>
      <c r="V797" s="52">
        <v>45306.0</v>
      </c>
      <c r="W797" s="30"/>
      <c r="X797" s="30"/>
      <c r="Y797" s="31"/>
      <c r="Z797" s="31"/>
      <c r="AA797" s="78" t="s">
        <v>120</v>
      </c>
      <c r="AB797" s="74" t="s">
        <v>3119</v>
      </c>
      <c r="AC797" s="74"/>
    </row>
    <row r="798" ht="16.5" customHeight="1">
      <c r="A798" s="48" t="s">
        <v>3120</v>
      </c>
      <c r="B798" s="53" t="s">
        <v>3121</v>
      </c>
      <c r="C798" s="47">
        <v>11.0</v>
      </c>
      <c r="D798" s="70" t="s">
        <v>3122</v>
      </c>
      <c r="E798" s="55" t="s">
        <v>112</v>
      </c>
      <c r="F798" s="32" t="s">
        <v>48</v>
      </c>
      <c r="G798" s="32" t="s">
        <v>35</v>
      </c>
      <c r="H798" s="71" t="s">
        <v>35</v>
      </c>
      <c r="I798" s="71" t="s">
        <v>36</v>
      </c>
      <c r="J798" s="34" t="s">
        <v>92</v>
      </c>
      <c r="K798" s="57" t="s">
        <v>38</v>
      </c>
      <c r="L798" s="72">
        <v>10418.0</v>
      </c>
      <c r="M798" s="22"/>
      <c r="N798" s="73"/>
      <c r="O798" s="28">
        <v>45356.0</v>
      </c>
      <c r="P798" s="35" t="s">
        <v>3123</v>
      </c>
      <c r="Q798" s="12"/>
      <c r="R798" s="12"/>
      <c r="S798" s="12"/>
      <c r="T798" s="52">
        <v>45309.0</v>
      </c>
      <c r="U798" s="52">
        <v>45356.0</v>
      </c>
      <c r="V798" s="52">
        <v>45351.0</v>
      </c>
      <c r="W798" s="30"/>
      <c r="X798" s="30"/>
      <c r="Y798" s="31"/>
      <c r="Z798" s="31"/>
      <c r="AA798" s="78" t="s">
        <v>120</v>
      </c>
      <c r="AB798" s="74" t="s">
        <v>3124</v>
      </c>
      <c r="AC798" s="74"/>
    </row>
    <row r="799" ht="16.5" customHeight="1">
      <c r="A799" s="48" t="s">
        <v>3125</v>
      </c>
      <c r="B799" s="53" t="s">
        <v>3121</v>
      </c>
      <c r="C799" s="47">
        <v>0.0</v>
      </c>
      <c r="D799" s="70" t="s">
        <v>3126</v>
      </c>
      <c r="E799" s="55" t="s">
        <v>177</v>
      </c>
      <c r="F799" s="32" t="s">
        <v>48</v>
      </c>
      <c r="G799" s="32" t="s">
        <v>35</v>
      </c>
      <c r="H799" s="71" t="s">
        <v>35</v>
      </c>
      <c r="I799" s="71" t="s">
        <v>36</v>
      </c>
      <c r="J799" s="34" t="s">
        <v>92</v>
      </c>
      <c r="K799" s="57" t="s">
        <v>38</v>
      </c>
      <c r="L799" s="72">
        <v>10280.0</v>
      </c>
      <c r="M799" s="22"/>
      <c r="N799" s="73"/>
      <c r="O799" s="28">
        <v>45351.0</v>
      </c>
      <c r="P799" s="35" t="s">
        <v>3127</v>
      </c>
      <c r="Q799" s="12"/>
      <c r="R799" s="12"/>
      <c r="S799" s="12"/>
      <c r="T799" s="52">
        <v>45309.0</v>
      </c>
      <c r="U799" s="52">
        <v>45348.0</v>
      </c>
      <c r="V799" s="52">
        <v>45351.0</v>
      </c>
      <c r="W799" s="30"/>
      <c r="X799" s="30"/>
      <c r="Y799" s="31"/>
      <c r="Z799" s="31"/>
      <c r="AA799" s="78" t="s">
        <v>120</v>
      </c>
      <c r="AB799" s="74" t="s">
        <v>3128</v>
      </c>
      <c r="AC799" s="74"/>
    </row>
    <row r="800" ht="16.5" customHeight="1">
      <c r="A800" s="48" t="s">
        <v>3129</v>
      </c>
      <c r="B800" s="53" t="s">
        <v>388</v>
      </c>
      <c r="C800" s="47">
        <v>0.0</v>
      </c>
      <c r="D800" s="70" t="s">
        <v>3130</v>
      </c>
      <c r="E800" s="55" t="s">
        <v>2431</v>
      </c>
      <c r="F800" s="32" t="s">
        <v>244</v>
      </c>
      <c r="G800" s="32" t="s">
        <v>35</v>
      </c>
      <c r="H800" s="71" t="s">
        <v>35</v>
      </c>
      <c r="I800" s="71" t="s">
        <v>36</v>
      </c>
      <c r="J800" s="34" t="s">
        <v>65</v>
      </c>
      <c r="K800" s="57" t="s">
        <v>38</v>
      </c>
      <c r="L800" s="72">
        <v>10290.0</v>
      </c>
      <c r="M800" s="22"/>
      <c r="N800" s="73"/>
      <c r="O800" s="28">
        <v>45315.0</v>
      </c>
      <c r="P800" s="35" t="s">
        <v>3131</v>
      </c>
      <c r="Q800" s="12"/>
      <c r="R800" s="12"/>
      <c r="S800" s="12"/>
      <c r="T800" s="52">
        <v>45300.0</v>
      </c>
      <c r="U800" s="52">
        <v>45307.0</v>
      </c>
      <c r="V800" s="52">
        <v>45315.0</v>
      </c>
      <c r="W800" s="30"/>
      <c r="X800" s="30"/>
      <c r="Y800" s="31"/>
      <c r="Z800" s="31"/>
      <c r="AA800" s="78" t="s">
        <v>94</v>
      </c>
      <c r="AB800" s="74" t="s">
        <v>3132</v>
      </c>
      <c r="AC800" s="74"/>
    </row>
    <row r="801" ht="16.5" customHeight="1">
      <c r="A801" s="48" t="s">
        <v>3133</v>
      </c>
      <c r="B801" s="53" t="s">
        <v>1593</v>
      </c>
      <c r="C801" s="47">
        <v>0.0</v>
      </c>
      <c r="D801" s="70" t="s">
        <v>3134</v>
      </c>
      <c r="E801" s="55" t="s">
        <v>1040</v>
      </c>
      <c r="F801" s="32" t="s">
        <v>33</v>
      </c>
      <c r="G801" s="32" t="s">
        <v>34</v>
      </c>
      <c r="H801" s="71" t="s">
        <v>35</v>
      </c>
      <c r="I801" s="71" t="s">
        <v>36</v>
      </c>
      <c r="J801" s="34" t="s">
        <v>37</v>
      </c>
      <c r="K801" s="57" t="s">
        <v>3135</v>
      </c>
      <c r="L801" s="72">
        <v>10291.0</v>
      </c>
      <c r="M801" s="22"/>
      <c r="N801" s="73"/>
      <c r="O801" s="28">
        <v>45315.0</v>
      </c>
      <c r="P801" s="35" t="s">
        <v>3136</v>
      </c>
      <c r="Q801" s="12"/>
      <c r="R801" s="12"/>
      <c r="S801" s="12"/>
      <c r="T801" s="52">
        <v>45300.0</v>
      </c>
      <c r="U801" s="52">
        <v>45301.0</v>
      </c>
      <c r="V801" s="52">
        <v>45313.0</v>
      </c>
      <c r="W801" s="30"/>
      <c r="X801" s="30"/>
      <c r="Y801" s="31"/>
      <c r="Z801" s="31"/>
      <c r="AA801" s="78" t="s">
        <v>102</v>
      </c>
      <c r="AB801" s="74" t="s">
        <v>3137</v>
      </c>
      <c r="AC801" s="74"/>
    </row>
    <row r="802" ht="16.5" customHeight="1">
      <c r="A802" s="48" t="s">
        <v>3138</v>
      </c>
      <c r="B802" s="53" t="s">
        <v>3139</v>
      </c>
      <c r="C802" s="47">
        <v>0.0</v>
      </c>
      <c r="D802" s="70" t="s">
        <v>3140</v>
      </c>
      <c r="E802" s="55" t="s">
        <v>171</v>
      </c>
      <c r="F802" s="32" t="s">
        <v>48</v>
      </c>
      <c r="G802" s="32" t="s">
        <v>35</v>
      </c>
      <c r="H802" s="71" t="s">
        <v>35</v>
      </c>
      <c r="I802" s="71" t="s">
        <v>36</v>
      </c>
      <c r="J802" s="34" t="s">
        <v>65</v>
      </c>
      <c r="K802" s="57" t="s">
        <v>38</v>
      </c>
      <c r="L802" s="72">
        <v>10258.0</v>
      </c>
      <c r="M802" s="22"/>
      <c r="N802" s="73"/>
      <c r="O802" s="28">
        <v>45310.0</v>
      </c>
      <c r="P802" s="35" t="s">
        <v>3141</v>
      </c>
      <c r="Q802" s="12"/>
      <c r="R802" s="12"/>
      <c r="S802" s="12"/>
      <c r="T802" s="52">
        <v>45300.0</v>
      </c>
      <c r="U802" s="52">
        <v>45308.0</v>
      </c>
      <c r="V802" s="52">
        <v>45310.0</v>
      </c>
      <c r="W802" s="30"/>
      <c r="X802" s="30"/>
      <c r="Y802" s="31"/>
      <c r="Z802" s="31"/>
      <c r="AA802" s="78" t="s">
        <v>94</v>
      </c>
      <c r="AB802" s="74" t="s">
        <v>3142</v>
      </c>
      <c r="AC802" s="74"/>
    </row>
    <row r="803" ht="16.5" customHeight="1">
      <c r="A803" s="48" t="s">
        <v>3143</v>
      </c>
      <c r="B803" s="53" t="s">
        <v>2782</v>
      </c>
      <c r="C803" s="47">
        <v>0.0</v>
      </c>
      <c r="D803" s="70" t="s">
        <v>3144</v>
      </c>
      <c r="E803" s="55" t="s">
        <v>913</v>
      </c>
      <c r="F803" s="32" t="s">
        <v>33</v>
      </c>
      <c r="G803" s="32" t="s">
        <v>35</v>
      </c>
      <c r="H803" s="71" t="s">
        <v>35</v>
      </c>
      <c r="I803" s="71" t="s">
        <v>36</v>
      </c>
      <c r="J803" s="34" t="s">
        <v>203</v>
      </c>
      <c r="K803" s="57" t="s">
        <v>38</v>
      </c>
      <c r="L803" s="72">
        <v>10304.0</v>
      </c>
      <c r="M803" s="22"/>
      <c r="N803" s="73"/>
      <c r="O803" s="28">
        <v>45316.0</v>
      </c>
      <c r="P803" s="35" t="s">
        <v>3145</v>
      </c>
      <c r="Q803" s="12"/>
      <c r="R803" s="12"/>
      <c r="S803" s="12"/>
      <c r="T803" s="52">
        <v>45300.0</v>
      </c>
      <c r="U803" s="52">
        <v>45309.0</v>
      </c>
      <c r="V803" s="52">
        <v>45314.0</v>
      </c>
      <c r="W803" s="30"/>
      <c r="X803" s="30"/>
      <c r="Y803" s="31"/>
      <c r="Z803" s="31"/>
      <c r="AA803" s="78" t="s">
        <v>102</v>
      </c>
      <c r="AB803" s="74" t="s">
        <v>3146</v>
      </c>
      <c r="AC803" s="74"/>
    </row>
    <row r="804" ht="16.5" customHeight="1">
      <c r="A804" s="48" t="s">
        <v>3147</v>
      </c>
      <c r="B804" s="53" t="s">
        <v>3148</v>
      </c>
      <c r="C804" s="47">
        <v>0.0</v>
      </c>
      <c r="D804" s="70" t="s">
        <v>3149</v>
      </c>
      <c r="E804" s="55" t="s">
        <v>171</v>
      </c>
      <c r="F804" s="32" t="s">
        <v>48</v>
      </c>
      <c r="G804" s="32" t="s">
        <v>35</v>
      </c>
      <c r="H804" s="71" t="s">
        <v>35</v>
      </c>
      <c r="I804" s="71" t="s">
        <v>36</v>
      </c>
      <c r="J804" s="34" t="s">
        <v>65</v>
      </c>
      <c r="K804" s="57" t="s">
        <v>38</v>
      </c>
      <c r="L804" s="72">
        <v>10261.0</v>
      </c>
      <c r="M804" s="22"/>
      <c r="N804" s="73"/>
      <c r="O804" s="28">
        <v>45313.0</v>
      </c>
      <c r="P804" s="35" t="s">
        <v>3150</v>
      </c>
      <c r="Q804" s="12"/>
      <c r="R804" s="12"/>
      <c r="S804" s="12"/>
      <c r="T804" s="52">
        <v>45300.0</v>
      </c>
      <c r="U804" s="52">
        <v>45306.0</v>
      </c>
      <c r="V804" s="52">
        <v>45313.0</v>
      </c>
      <c r="W804" s="30"/>
      <c r="X804" s="30"/>
      <c r="Y804" s="31"/>
      <c r="Z804" s="31"/>
      <c r="AA804" s="78" t="s">
        <v>94</v>
      </c>
      <c r="AB804" s="74" t="s">
        <v>3151</v>
      </c>
      <c r="AC804" s="74"/>
    </row>
    <row r="805" ht="16.5" customHeight="1">
      <c r="A805" s="48" t="s">
        <v>3152</v>
      </c>
      <c r="B805" s="53" t="s">
        <v>3153</v>
      </c>
      <c r="C805" s="47">
        <v>0.0</v>
      </c>
      <c r="D805" s="70" t="s">
        <v>3154</v>
      </c>
      <c r="E805" s="55" t="s">
        <v>461</v>
      </c>
      <c r="F805" s="32" t="s">
        <v>244</v>
      </c>
      <c r="G805" s="32" t="s">
        <v>35</v>
      </c>
      <c r="H805" s="71" t="s">
        <v>35</v>
      </c>
      <c r="I805" s="71" t="s">
        <v>36</v>
      </c>
      <c r="J805" s="34" t="s">
        <v>65</v>
      </c>
      <c r="K805" s="57" t="s">
        <v>38</v>
      </c>
      <c r="L805" s="72">
        <v>10303.0</v>
      </c>
      <c r="M805" s="22"/>
      <c r="N805" s="73"/>
      <c r="O805" s="28">
        <v>45315.0</v>
      </c>
      <c r="P805" s="35" t="s">
        <v>3155</v>
      </c>
      <c r="Q805" s="12"/>
      <c r="R805" s="12"/>
      <c r="S805" s="12"/>
      <c r="T805" s="52">
        <v>45301.0</v>
      </c>
      <c r="U805" s="52">
        <v>45307.0</v>
      </c>
      <c r="V805" s="52">
        <v>45313.0</v>
      </c>
      <c r="W805" s="30"/>
      <c r="X805" s="30"/>
      <c r="Y805" s="31"/>
      <c r="Z805" s="31"/>
      <c r="AA805" s="31"/>
      <c r="AB805" s="74" t="s">
        <v>3156</v>
      </c>
      <c r="AC805" s="74"/>
    </row>
    <row r="806" ht="16.5" customHeight="1">
      <c r="A806" s="48" t="s">
        <v>3157</v>
      </c>
      <c r="B806" s="53" t="s">
        <v>3158</v>
      </c>
      <c r="C806" s="47">
        <v>0.0</v>
      </c>
      <c r="D806" s="70" t="s">
        <v>3159</v>
      </c>
      <c r="E806" s="55" t="s">
        <v>378</v>
      </c>
      <c r="F806" s="32" t="s">
        <v>33</v>
      </c>
      <c r="G806" s="32" t="s">
        <v>35</v>
      </c>
      <c r="H806" s="71" t="s">
        <v>35</v>
      </c>
      <c r="I806" s="71" t="s">
        <v>36</v>
      </c>
      <c r="J806" s="34" t="s">
        <v>3160</v>
      </c>
      <c r="K806" s="57" t="s">
        <v>38</v>
      </c>
      <c r="L806" s="72">
        <v>10336.0</v>
      </c>
      <c r="M806" s="22"/>
      <c r="N806" s="73"/>
      <c r="O806" s="28">
        <v>45323.0</v>
      </c>
      <c r="P806" s="35" t="s">
        <v>3161</v>
      </c>
      <c r="Q806" s="12"/>
      <c r="R806" s="12"/>
      <c r="S806" s="12"/>
      <c r="T806" s="52">
        <v>45301.0</v>
      </c>
      <c r="U806" s="52">
        <v>45302.0</v>
      </c>
      <c r="V806" s="52">
        <v>45322.0</v>
      </c>
      <c r="W806" s="30"/>
      <c r="X806" s="30"/>
      <c r="Y806" s="31"/>
      <c r="Z806" s="31"/>
      <c r="AA806" s="78" t="s">
        <v>3059</v>
      </c>
      <c r="AB806" s="74" t="s">
        <v>3162</v>
      </c>
      <c r="AC806" s="74"/>
    </row>
    <row r="807" ht="16.5" customHeight="1">
      <c r="A807" s="48" t="s">
        <v>3163</v>
      </c>
      <c r="B807" s="53" t="s">
        <v>3164</v>
      </c>
      <c r="C807" s="47">
        <v>0.0</v>
      </c>
      <c r="D807" s="70" t="s">
        <v>3165</v>
      </c>
      <c r="E807" s="55" t="s">
        <v>383</v>
      </c>
      <c r="F807" s="32" t="s">
        <v>33</v>
      </c>
      <c r="G807" s="32" t="s">
        <v>34</v>
      </c>
      <c r="H807" s="71" t="s">
        <v>35</v>
      </c>
      <c r="I807" s="71" t="s">
        <v>36</v>
      </c>
      <c r="J807" s="34" t="s">
        <v>37</v>
      </c>
      <c r="K807" s="57" t="s">
        <v>384</v>
      </c>
      <c r="L807" s="72">
        <v>10342.0</v>
      </c>
      <c r="M807" s="22"/>
      <c r="N807" s="73"/>
      <c r="O807" s="28">
        <v>45324.0</v>
      </c>
      <c r="P807" s="35" t="s">
        <v>3166</v>
      </c>
      <c r="Q807" s="12"/>
      <c r="R807" s="12"/>
      <c r="S807" s="12"/>
      <c r="T807" s="52">
        <v>45303.0</v>
      </c>
      <c r="U807" s="52">
        <v>45306.0</v>
      </c>
      <c r="V807" s="52">
        <v>45323.0</v>
      </c>
      <c r="W807" s="30"/>
      <c r="X807" s="30"/>
      <c r="Y807" s="31"/>
      <c r="Z807" s="31"/>
      <c r="AA807" s="78" t="s">
        <v>108</v>
      </c>
      <c r="AB807" s="74" t="s">
        <v>3167</v>
      </c>
      <c r="AC807" s="74"/>
    </row>
    <row r="808" ht="16.5" customHeight="1">
      <c r="A808" s="48" t="s">
        <v>3168</v>
      </c>
      <c r="B808" s="53" t="s">
        <v>3164</v>
      </c>
      <c r="C808" s="47">
        <v>0.0</v>
      </c>
      <c r="D808" s="70" t="s">
        <v>3169</v>
      </c>
      <c r="E808" s="55" t="s">
        <v>491</v>
      </c>
      <c r="F808" s="32" t="s">
        <v>33</v>
      </c>
      <c r="G808" s="32" t="s">
        <v>35</v>
      </c>
      <c r="H808" s="71" t="s">
        <v>35</v>
      </c>
      <c r="I808" s="71" t="s">
        <v>36</v>
      </c>
      <c r="J808" s="34" t="s">
        <v>37</v>
      </c>
      <c r="K808" s="57" t="s">
        <v>384</v>
      </c>
      <c r="L808" s="72">
        <v>10293.0</v>
      </c>
      <c r="M808" s="22"/>
      <c r="N808" s="73"/>
      <c r="O808" s="28">
        <v>45315.0</v>
      </c>
      <c r="P808" s="35" t="s">
        <v>3170</v>
      </c>
      <c r="Q808" s="12"/>
      <c r="R808" s="12"/>
      <c r="S808" s="12"/>
      <c r="T808" s="52">
        <v>45303.0</v>
      </c>
      <c r="U808" s="52">
        <v>45306.0</v>
      </c>
      <c r="V808" s="52">
        <v>45314.0</v>
      </c>
      <c r="W808" s="30"/>
      <c r="X808" s="30"/>
      <c r="Y808" s="31"/>
      <c r="Z808" s="31"/>
      <c r="AA808" s="78" t="s">
        <v>108</v>
      </c>
      <c r="AB808" s="74" t="s">
        <v>3171</v>
      </c>
      <c r="AC808" s="74"/>
    </row>
    <row r="809" ht="16.5" customHeight="1">
      <c r="A809" s="48" t="s">
        <v>3172</v>
      </c>
      <c r="B809" s="53" t="s">
        <v>163</v>
      </c>
      <c r="C809" s="47">
        <v>0.0</v>
      </c>
      <c r="D809" s="70" t="s">
        <v>3173</v>
      </c>
      <c r="E809" s="55" t="s">
        <v>408</v>
      </c>
      <c r="F809" s="32" t="s">
        <v>33</v>
      </c>
      <c r="G809" s="32" t="s">
        <v>35</v>
      </c>
      <c r="H809" s="71" t="s">
        <v>35</v>
      </c>
      <c r="I809" s="71" t="s">
        <v>36</v>
      </c>
      <c r="J809" s="34" t="s">
        <v>49</v>
      </c>
      <c r="K809" s="57" t="s">
        <v>38</v>
      </c>
      <c r="L809" s="72">
        <v>10312.0</v>
      </c>
      <c r="M809" s="22"/>
      <c r="N809" s="73"/>
      <c r="O809" s="28">
        <v>45316.0</v>
      </c>
      <c r="P809" s="35" t="s">
        <v>3174</v>
      </c>
      <c r="Q809" s="12"/>
      <c r="R809" s="12"/>
      <c r="S809" s="12"/>
      <c r="T809" s="52">
        <v>45304.0</v>
      </c>
      <c r="U809" s="52">
        <v>45306.0</v>
      </c>
      <c r="V809" s="52">
        <v>45315.0</v>
      </c>
      <c r="W809" s="30"/>
      <c r="X809" s="30"/>
      <c r="Y809" s="31"/>
      <c r="Z809" s="31"/>
      <c r="AA809" s="78" t="s">
        <v>127</v>
      </c>
      <c r="AB809" s="74" t="s">
        <v>3175</v>
      </c>
      <c r="AC809" s="74"/>
    </row>
    <row r="810" ht="16.5" customHeight="1">
      <c r="A810" s="48" t="s">
        <v>3176</v>
      </c>
      <c r="B810" s="53" t="s">
        <v>163</v>
      </c>
      <c r="C810" s="47">
        <v>0.0</v>
      </c>
      <c r="D810" s="70" t="s">
        <v>3177</v>
      </c>
      <c r="E810" s="55" t="s">
        <v>268</v>
      </c>
      <c r="F810" s="32" t="s">
        <v>33</v>
      </c>
      <c r="G810" s="32" t="s">
        <v>35</v>
      </c>
      <c r="H810" s="71" t="s">
        <v>35</v>
      </c>
      <c r="I810" s="71" t="s">
        <v>36</v>
      </c>
      <c r="J810" s="34" t="s">
        <v>49</v>
      </c>
      <c r="K810" s="57" t="s">
        <v>38</v>
      </c>
      <c r="L810" s="72">
        <v>10312.0</v>
      </c>
      <c r="M810" s="22"/>
      <c r="N810" s="73"/>
      <c r="O810" s="28">
        <v>45316.0</v>
      </c>
      <c r="P810" s="35" t="s">
        <v>3174</v>
      </c>
      <c r="Q810" s="12"/>
      <c r="R810" s="12"/>
      <c r="S810" s="12"/>
      <c r="T810" s="52">
        <v>45304.0</v>
      </c>
      <c r="U810" s="52">
        <v>45306.0</v>
      </c>
      <c r="V810" s="52">
        <v>45315.0</v>
      </c>
      <c r="W810" s="30"/>
      <c r="X810" s="30"/>
      <c r="Y810" s="31"/>
      <c r="Z810" s="31"/>
      <c r="AA810" s="78" t="s">
        <v>127</v>
      </c>
      <c r="AB810" s="74" t="s">
        <v>3178</v>
      </c>
      <c r="AC810" s="74"/>
    </row>
    <row r="811" ht="16.5" customHeight="1">
      <c r="A811" s="48" t="s">
        <v>3179</v>
      </c>
      <c r="B811" s="53" t="s">
        <v>163</v>
      </c>
      <c r="C811" s="47">
        <v>0.0</v>
      </c>
      <c r="D811" s="70" t="s">
        <v>3180</v>
      </c>
      <c r="E811" s="55" t="s">
        <v>268</v>
      </c>
      <c r="F811" s="32" t="s">
        <v>33</v>
      </c>
      <c r="G811" s="32" t="s">
        <v>35</v>
      </c>
      <c r="H811" s="71" t="s">
        <v>35</v>
      </c>
      <c r="I811" s="71" t="s">
        <v>36</v>
      </c>
      <c r="J811" s="34" t="s">
        <v>49</v>
      </c>
      <c r="K811" s="57" t="s">
        <v>38</v>
      </c>
      <c r="L811" s="72">
        <v>10312.0</v>
      </c>
      <c r="M811" s="22"/>
      <c r="N811" s="73"/>
      <c r="O811" s="28">
        <v>45316.0</v>
      </c>
      <c r="P811" s="35" t="s">
        <v>3174</v>
      </c>
      <c r="Q811" s="12"/>
      <c r="R811" s="12"/>
      <c r="S811" s="12"/>
      <c r="T811" s="52">
        <v>45304.0</v>
      </c>
      <c r="U811" s="52">
        <v>45306.0</v>
      </c>
      <c r="V811" s="52">
        <v>45315.0</v>
      </c>
      <c r="W811" s="30"/>
      <c r="X811" s="30"/>
      <c r="Y811" s="31"/>
      <c r="Z811" s="31"/>
      <c r="AA811" s="78" t="s">
        <v>127</v>
      </c>
      <c r="AB811" s="74" t="s">
        <v>3181</v>
      </c>
      <c r="AC811" s="74"/>
    </row>
    <row r="812" ht="16.5" customHeight="1">
      <c r="A812" s="48" t="s">
        <v>3182</v>
      </c>
      <c r="B812" s="53" t="s">
        <v>3183</v>
      </c>
      <c r="C812" s="47">
        <v>0.0</v>
      </c>
      <c r="D812" s="70" t="s">
        <v>3184</v>
      </c>
      <c r="E812" s="55" t="s">
        <v>177</v>
      </c>
      <c r="F812" s="32" t="s">
        <v>48</v>
      </c>
      <c r="G812" s="32" t="s">
        <v>35</v>
      </c>
      <c r="H812" s="71" t="s">
        <v>35</v>
      </c>
      <c r="I812" s="71" t="s">
        <v>36</v>
      </c>
      <c r="J812" s="34" t="s">
        <v>92</v>
      </c>
      <c r="K812" s="57" t="s">
        <v>38</v>
      </c>
      <c r="L812" s="72">
        <v>10281.0</v>
      </c>
      <c r="M812" s="22"/>
      <c r="N812" s="73"/>
      <c r="O812" s="28">
        <v>45323.0</v>
      </c>
      <c r="P812" s="35" t="s">
        <v>3185</v>
      </c>
      <c r="Q812" s="12"/>
      <c r="R812" s="12"/>
      <c r="S812" s="12"/>
      <c r="T812" s="52">
        <v>45304.0</v>
      </c>
      <c r="U812" s="52">
        <v>45308.0</v>
      </c>
      <c r="V812" s="52">
        <v>45323.0</v>
      </c>
      <c r="W812" s="30"/>
      <c r="X812" s="30"/>
      <c r="Y812" s="31"/>
      <c r="Z812" s="31"/>
      <c r="AA812" s="78" t="s">
        <v>120</v>
      </c>
      <c r="AB812" s="74" t="s">
        <v>3186</v>
      </c>
      <c r="AC812" s="74"/>
    </row>
    <row r="813" ht="16.5" customHeight="1">
      <c r="A813" s="48" t="s">
        <v>3187</v>
      </c>
      <c r="B813" s="53" t="s">
        <v>3183</v>
      </c>
      <c r="C813" s="47">
        <v>0.0</v>
      </c>
      <c r="D813" s="70" t="s">
        <v>3188</v>
      </c>
      <c r="E813" s="55" t="s">
        <v>177</v>
      </c>
      <c r="F813" s="32" t="s">
        <v>48</v>
      </c>
      <c r="G813" s="32" t="s">
        <v>35</v>
      </c>
      <c r="H813" s="71" t="s">
        <v>35</v>
      </c>
      <c r="I813" s="71" t="s">
        <v>36</v>
      </c>
      <c r="J813" s="34" t="s">
        <v>92</v>
      </c>
      <c r="K813" s="57" t="s">
        <v>38</v>
      </c>
      <c r="L813" s="72">
        <v>10281.0</v>
      </c>
      <c r="M813" s="22"/>
      <c r="N813" s="73"/>
      <c r="O813" s="28">
        <v>45323.0</v>
      </c>
      <c r="P813" s="35" t="s">
        <v>3185</v>
      </c>
      <c r="Q813" s="12"/>
      <c r="R813" s="12"/>
      <c r="S813" s="12"/>
      <c r="T813" s="52">
        <v>45304.0</v>
      </c>
      <c r="U813" s="52">
        <v>45308.0</v>
      </c>
      <c r="V813" s="52">
        <v>45323.0</v>
      </c>
      <c r="W813" s="30"/>
      <c r="X813" s="30"/>
      <c r="Y813" s="31"/>
      <c r="Z813" s="31"/>
      <c r="AA813" s="78" t="s">
        <v>120</v>
      </c>
      <c r="AB813" s="74" t="s">
        <v>3189</v>
      </c>
      <c r="AC813" s="74"/>
    </row>
    <row r="814" ht="16.5" customHeight="1">
      <c r="A814" s="48" t="s">
        <v>3190</v>
      </c>
      <c r="B814" s="53" t="s">
        <v>3183</v>
      </c>
      <c r="C814" s="47">
        <v>0.0</v>
      </c>
      <c r="D814" s="70" t="s">
        <v>3191</v>
      </c>
      <c r="E814" s="55" t="s">
        <v>177</v>
      </c>
      <c r="F814" s="32" t="s">
        <v>48</v>
      </c>
      <c r="G814" s="32" t="s">
        <v>35</v>
      </c>
      <c r="H814" s="71" t="s">
        <v>35</v>
      </c>
      <c r="I814" s="71" t="s">
        <v>36</v>
      </c>
      <c r="J814" s="34" t="s">
        <v>92</v>
      </c>
      <c r="K814" s="57" t="s">
        <v>38</v>
      </c>
      <c r="L814" s="72">
        <v>10281.0</v>
      </c>
      <c r="M814" s="22"/>
      <c r="N814" s="73"/>
      <c r="O814" s="28">
        <v>45323.0</v>
      </c>
      <c r="P814" s="35" t="s">
        <v>3185</v>
      </c>
      <c r="Q814" s="12"/>
      <c r="R814" s="12"/>
      <c r="S814" s="12"/>
      <c r="T814" s="52">
        <v>45304.0</v>
      </c>
      <c r="U814" s="52">
        <v>45308.0</v>
      </c>
      <c r="V814" s="52">
        <v>45323.0</v>
      </c>
      <c r="W814" s="30"/>
      <c r="X814" s="30"/>
      <c r="Y814" s="31"/>
      <c r="Z814" s="31"/>
      <c r="AA814" s="78" t="s">
        <v>120</v>
      </c>
      <c r="AB814" s="74" t="s">
        <v>3192</v>
      </c>
      <c r="AC814" s="74"/>
    </row>
    <row r="815" ht="16.5" customHeight="1">
      <c r="A815" s="48" t="s">
        <v>3193</v>
      </c>
      <c r="B815" s="53" t="s">
        <v>3183</v>
      </c>
      <c r="C815" s="47">
        <v>0.0</v>
      </c>
      <c r="D815" s="70" t="s">
        <v>3194</v>
      </c>
      <c r="E815" s="55" t="s">
        <v>664</v>
      </c>
      <c r="F815" s="32" t="s">
        <v>48</v>
      </c>
      <c r="G815" s="32" t="s">
        <v>35</v>
      </c>
      <c r="H815" s="71" t="s">
        <v>35</v>
      </c>
      <c r="I815" s="71" t="s">
        <v>36</v>
      </c>
      <c r="J815" s="34" t="s">
        <v>92</v>
      </c>
      <c r="K815" s="57" t="s">
        <v>38</v>
      </c>
      <c r="L815" s="72">
        <v>10281.0</v>
      </c>
      <c r="M815" s="22"/>
      <c r="N815" s="73"/>
      <c r="O815" s="28">
        <v>45323.0</v>
      </c>
      <c r="P815" s="35" t="s">
        <v>3185</v>
      </c>
      <c r="Q815" s="12"/>
      <c r="R815" s="12"/>
      <c r="S815" s="12"/>
      <c r="T815" s="52">
        <v>45304.0</v>
      </c>
      <c r="U815" s="52">
        <v>45308.0</v>
      </c>
      <c r="V815" s="52">
        <v>45323.0</v>
      </c>
      <c r="W815" s="30"/>
      <c r="X815" s="30"/>
      <c r="Y815" s="31"/>
      <c r="Z815" s="31"/>
      <c r="AA815" s="78" t="s">
        <v>120</v>
      </c>
      <c r="AB815" s="74" t="s">
        <v>3195</v>
      </c>
      <c r="AC815" s="74"/>
    </row>
    <row r="816" ht="16.5" customHeight="1">
      <c r="A816" s="48" t="s">
        <v>3196</v>
      </c>
      <c r="B816" s="53" t="s">
        <v>3197</v>
      </c>
      <c r="C816" s="47">
        <v>0.0</v>
      </c>
      <c r="D816" s="70" t="s">
        <v>3198</v>
      </c>
      <c r="E816" s="55" t="s">
        <v>117</v>
      </c>
      <c r="F816" s="32" t="s">
        <v>33</v>
      </c>
      <c r="G816" s="32" t="s">
        <v>35</v>
      </c>
      <c r="H816" s="71" t="s">
        <v>35</v>
      </c>
      <c r="I816" s="71" t="s">
        <v>36</v>
      </c>
      <c r="J816" s="34" t="s">
        <v>37</v>
      </c>
      <c r="K816" s="57" t="s">
        <v>1098</v>
      </c>
      <c r="L816" s="72">
        <v>10365.0</v>
      </c>
      <c r="M816" s="22"/>
      <c r="N816" s="73"/>
      <c r="O816" s="28">
        <v>45351.0</v>
      </c>
      <c r="P816" s="35" t="s">
        <v>3199</v>
      </c>
      <c r="Q816" s="12"/>
      <c r="R816" s="12"/>
      <c r="S816" s="12"/>
      <c r="T816" s="52">
        <v>45306.0</v>
      </c>
      <c r="U816" s="52">
        <v>45307.0</v>
      </c>
      <c r="V816" s="52">
        <v>45322.0</v>
      </c>
      <c r="W816" s="30"/>
      <c r="X816" s="30"/>
      <c r="Y816" s="31"/>
      <c r="Z816" s="31"/>
      <c r="AA816" s="31"/>
      <c r="AB816" s="74" t="s">
        <v>3200</v>
      </c>
      <c r="AC816" s="74"/>
    </row>
    <row r="817" ht="16.5" customHeight="1">
      <c r="A817" s="48" t="s">
        <v>3201</v>
      </c>
      <c r="B817" s="53" t="s">
        <v>3075</v>
      </c>
      <c r="C817" s="47">
        <v>0.0</v>
      </c>
      <c r="D817" s="70" t="s">
        <v>3202</v>
      </c>
      <c r="E817" s="55" t="s">
        <v>461</v>
      </c>
      <c r="F817" s="32" t="s">
        <v>244</v>
      </c>
      <c r="G817" s="32" t="s">
        <v>35</v>
      </c>
      <c r="H817" s="71" t="s">
        <v>35</v>
      </c>
      <c r="I817" s="71" t="s">
        <v>36</v>
      </c>
      <c r="J817" s="34" t="s">
        <v>49</v>
      </c>
      <c r="K817" s="57" t="s">
        <v>38</v>
      </c>
      <c r="L817" s="72">
        <v>10323.0</v>
      </c>
      <c r="M817" s="22"/>
      <c r="N817" s="73"/>
      <c r="O817" s="28">
        <v>45321.0</v>
      </c>
      <c r="P817" s="35" t="s">
        <v>3203</v>
      </c>
      <c r="Q817" s="12"/>
      <c r="R817" s="12"/>
      <c r="S817" s="12"/>
      <c r="T817" s="52">
        <v>45306.0</v>
      </c>
      <c r="U817" s="52">
        <v>45307.0</v>
      </c>
      <c r="V817" s="52">
        <v>45320.0</v>
      </c>
      <c r="W817" s="30"/>
      <c r="X817" s="30"/>
      <c r="Y817" s="31"/>
      <c r="Z817" s="31"/>
      <c r="AA817" s="78" t="s">
        <v>127</v>
      </c>
      <c r="AB817" s="74" t="s">
        <v>3204</v>
      </c>
      <c r="AC817" s="74"/>
    </row>
    <row r="818" ht="16.5" customHeight="1">
      <c r="A818" s="48" t="s">
        <v>3205</v>
      </c>
      <c r="B818" s="53" t="s">
        <v>3206</v>
      </c>
      <c r="C818" s="47">
        <v>0.0</v>
      </c>
      <c r="D818" s="70" t="s">
        <v>3207</v>
      </c>
      <c r="E818" s="55" t="s">
        <v>338</v>
      </c>
      <c r="F818" s="32" t="s">
        <v>33</v>
      </c>
      <c r="G818" s="32" t="s">
        <v>35</v>
      </c>
      <c r="H818" s="71" t="s">
        <v>35</v>
      </c>
      <c r="I818" s="71" t="s">
        <v>36</v>
      </c>
      <c r="J818" s="34" t="s">
        <v>92</v>
      </c>
      <c r="K818" s="57" t="s">
        <v>38</v>
      </c>
      <c r="L818" s="72">
        <v>10326.0</v>
      </c>
      <c r="M818" s="22"/>
      <c r="N818" s="73"/>
      <c r="O818" s="28">
        <v>45351.0</v>
      </c>
      <c r="P818" s="35" t="s">
        <v>3208</v>
      </c>
      <c r="Q818" s="12"/>
      <c r="R818" s="12"/>
      <c r="S818" s="12"/>
      <c r="T818" s="52">
        <v>45307.0</v>
      </c>
      <c r="U818" s="52">
        <v>45308.0</v>
      </c>
      <c r="V818" s="52">
        <v>45320.0</v>
      </c>
      <c r="W818" s="30"/>
      <c r="X818" s="30"/>
      <c r="Y818" s="31"/>
      <c r="Z818" s="31"/>
      <c r="AA818" s="78" t="s">
        <v>120</v>
      </c>
      <c r="AB818" s="74" t="s">
        <v>3209</v>
      </c>
      <c r="AC818" s="74"/>
    </row>
    <row r="819" ht="16.5" customHeight="1">
      <c r="A819" s="48" t="s">
        <v>3210</v>
      </c>
      <c r="B819" s="53" t="s">
        <v>3211</v>
      </c>
      <c r="C819" s="47">
        <v>0.0</v>
      </c>
      <c r="D819" s="70" t="s">
        <v>3212</v>
      </c>
      <c r="E819" s="55" t="s">
        <v>171</v>
      </c>
      <c r="F819" s="32" t="s">
        <v>48</v>
      </c>
      <c r="G819" s="32" t="s">
        <v>35</v>
      </c>
      <c r="H819" s="71" t="s">
        <v>35</v>
      </c>
      <c r="I819" s="71" t="s">
        <v>36</v>
      </c>
      <c r="J819" s="34" t="s">
        <v>92</v>
      </c>
      <c r="K819" s="57" t="s">
        <v>38</v>
      </c>
      <c r="L819" s="72">
        <v>10466.0</v>
      </c>
      <c r="M819" s="22"/>
      <c r="N819" s="73"/>
      <c r="O819" s="28">
        <v>45384.64791666667</v>
      </c>
      <c r="P819" s="35" t="s">
        <v>3213</v>
      </c>
      <c r="Q819" s="12"/>
      <c r="R819" s="12"/>
      <c r="S819" s="12"/>
      <c r="T819" s="52">
        <v>45307.0</v>
      </c>
      <c r="U819" s="52">
        <v>45357.0</v>
      </c>
      <c r="V819" s="52">
        <v>45362.0</v>
      </c>
      <c r="W819" s="30"/>
      <c r="X819" s="30"/>
      <c r="Y819" s="31"/>
      <c r="Z819" s="31"/>
      <c r="AA819" s="78" t="s">
        <v>120</v>
      </c>
      <c r="AB819" s="74" t="s">
        <v>3214</v>
      </c>
      <c r="AC819" s="74"/>
    </row>
    <row r="820" ht="16.5" customHeight="1">
      <c r="A820" s="48" t="s">
        <v>3215</v>
      </c>
      <c r="B820" s="53" t="s">
        <v>734</v>
      </c>
      <c r="C820" s="47">
        <v>0.0</v>
      </c>
      <c r="D820" s="70"/>
      <c r="E820" s="55" t="s">
        <v>165</v>
      </c>
      <c r="F820" s="32" t="s">
        <v>33</v>
      </c>
      <c r="G820" s="32" t="s">
        <v>34</v>
      </c>
      <c r="H820" s="71" t="s">
        <v>35</v>
      </c>
      <c r="I820" s="71" t="s">
        <v>36</v>
      </c>
      <c r="J820" s="34" t="s">
        <v>203</v>
      </c>
      <c r="K820" s="57" t="s">
        <v>38</v>
      </c>
      <c r="L820" s="72">
        <v>10310.0</v>
      </c>
      <c r="M820" s="22"/>
      <c r="N820" s="73"/>
      <c r="O820" s="28">
        <v>45316.0</v>
      </c>
      <c r="P820" s="35" t="s">
        <v>3216</v>
      </c>
      <c r="Q820" s="12"/>
      <c r="R820" s="12"/>
      <c r="S820" s="12"/>
      <c r="T820" s="52">
        <v>45307.0</v>
      </c>
      <c r="U820" s="52">
        <v>45314.0</v>
      </c>
      <c r="V820" s="52">
        <v>45315.0</v>
      </c>
      <c r="W820" s="30"/>
      <c r="X820" s="30"/>
      <c r="Y820" s="31"/>
      <c r="Z820" s="31"/>
      <c r="AA820" s="78" t="s">
        <v>102</v>
      </c>
      <c r="AB820" s="74" t="s">
        <v>3217</v>
      </c>
      <c r="AC820" s="74"/>
    </row>
    <row r="821" ht="16.5" customHeight="1">
      <c r="A821" s="48" t="s">
        <v>3218</v>
      </c>
      <c r="B821" s="53" t="s">
        <v>734</v>
      </c>
      <c r="C821" s="47">
        <v>11.0</v>
      </c>
      <c r="D821" s="70" t="s">
        <v>3219</v>
      </c>
      <c r="E821" s="55" t="s">
        <v>112</v>
      </c>
      <c r="F821" s="32" t="s">
        <v>48</v>
      </c>
      <c r="G821" s="32" t="s">
        <v>35</v>
      </c>
      <c r="H821" s="71" t="s">
        <v>35</v>
      </c>
      <c r="I821" s="71" t="s">
        <v>36</v>
      </c>
      <c r="J821" s="34" t="s">
        <v>49</v>
      </c>
      <c r="K821" s="57" t="s">
        <v>38</v>
      </c>
      <c r="L821" s="72">
        <v>10419.0</v>
      </c>
      <c r="M821" s="22"/>
      <c r="N821" s="73"/>
      <c r="O821" s="28">
        <v>45352.0</v>
      </c>
      <c r="P821" s="35" t="s">
        <v>3220</v>
      </c>
      <c r="Q821" s="12"/>
      <c r="R821" s="12"/>
      <c r="S821" s="12"/>
      <c r="T821" s="52">
        <v>45307.0</v>
      </c>
      <c r="U821" s="52">
        <v>45349.0</v>
      </c>
      <c r="V821" s="52">
        <v>45351.0</v>
      </c>
      <c r="W821" s="30"/>
      <c r="X821" s="30"/>
      <c r="Y821" s="31"/>
      <c r="Z821" s="31"/>
      <c r="AA821" s="78" t="s">
        <v>102</v>
      </c>
      <c r="AB821" s="74" t="s">
        <v>3221</v>
      </c>
      <c r="AC821" s="74"/>
    </row>
    <row r="822" ht="16.5" customHeight="1">
      <c r="A822" s="48" t="s">
        <v>3222</v>
      </c>
      <c r="B822" s="53" t="s">
        <v>3070</v>
      </c>
      <c r="C822" s="47">
        <v>0.0</v>
      </c>
      <c r="D822" s="70" t="s">
        <v>3223</v>
      </c>
      <c r="E822" s="55" t="s">
        <v>701</v>
      </c>
      <c r="F822" s="32" t="s">
        <v>33</v>
      </c>
      <c r="G822" s="32" t="s">
        <v>34</v>
      </c>
      <c r="H822" s="71" t="s">
        <v>35</v>
      </c>
      <c r="I822" s="71" t="s">
        <v>36</v>
      </c>
      <c r="J822" s="34" t="s">
        <v>203</v>
      </c>
      <c r="K822" s="57" t="s">
        <v>38</v>
      </c>
      <c r="L822" s="72">
        <v>10308.0</v>
      </c>
      <c r="M822" s="22"/>
      <c r="N822" s="73"/>
      <c r="O822" s="28">
        <v>45316.0</v>
      </c>
      <c r="P822" s="35" t="s">
        <v>3224</v>
      </c>
      <c r="Q822" s="12"/>
      <c r="R822" s="12"/>
      <c r="S822" s="12"/>
      <c r="T822" s="52">
        <v>45307.0</v>
      </c>
      <c r="U822" s="52">
        <v>45309.0</v>
      </c>
      <c r="V822" s="52">
        <v>45315.0</v>
      </c>
      <c r="W822" s="30"/>
      <c r="X822" s="30"/>
      <c r="Y822" s="31"/>
      <c r="Z822" s="31"/>
      <c r="AA822" s="78" t="s">
        <v>102</v>
      </c>
      <c r="AB822" s="74" t="s">
        <v>3225</v>
      </c>
      <c r="AC822" s="74"/>
    </row>
    <row r="823" ht="16.5" customHeight="1">
      <c r="A823" s="48" t="s">
        <v>3226</v>
      </c>
      <c r="B823" s="53" t="s">
        <v>3164</v>
      </c>
      <c r="C823" s="47">
        <v>0.0</v>
      </c>
      <c r="D823" s="70" t="s">
        <v>3227</v>
      </c>
      <c r="E823" s="55" t="s">
        <v>2431</v>
      </c>
      <c r="F823" s="32" t="s">
        <v>244</v>
      </c>
      <c r="G823" s="32" t="s">
        <v>35</v>
      </c>
      <c r="H823" s="71" t="s">
        <v>35</v>
      </c>
      <c r="I823" s="71" t="s">
        <v>36</v>
      </c>
      <c r="J823" s="34" t="s">
        <v>37</v>
      </c>
      <c r="K823" s="57" t="s">
        <v>384</v>
      </c>
      <c r="L823" s="72">
        <v>10313.0</v>
      </c>
      <c r="M823" s="22"/>
      <c r="N823" s="73"/>
      <c r="O823" s="28">
        <v>45316.0</v>
      </c>
      <c r="P823" s="35" t="s">
        <v>3228</v>
      </c>
      <c r="Q823" s="12"/>
      <c r="R823" s="12"/>
      <c r="S823" s="12"/>
      <c r="T823" s="52">
        <v>45307.0</v>
      </c>
      <c r="U823" s="52">
        <v>45308.0</v>
      </c>
      <c r="V823" s="52">
        <v>45316.0</v>
      </c>
      <c r="W823" s="30"/>
      <c r="X823" s="30"/>
      <c r="Y823" s="31"/>
      <c r="Z823" s="31"/>
      <c r="AA823" s="78" t="s">
        <v>108</v>
      </c>
      <c r="AB823" s="74" t="s">
        <v>3229</v>
      </c>
      <c r="AC823" s="74"/>
    </row>
    <row r="824" ht="16.5" customHeight="1">
      <c r="A824" s="48" t="s">
        <v>3230</v>
      </c>
      <c r="B824" s="53" t="s">
        <v>880</v>
      </c>
      <c r="C824" s="47">
        <v>11.0</v>
      </c>
      <c r="D824" s="70" t="s">
        <v>3231</v>
      </c>
      <c r="E824" s="55" t="s">
        <v>112</v>
      </c>
      <c r="F824" s="32" t="s">
        <v>48</v>
      </c>
      <c r="G824" s="32" t="s">
        <v>35</v>
      </c>
      <c r="H824" s="71" t="s">
        <v>35</v>
      </c>
      <c r="I824" s="71" t="s">
        <v>36</v>
      </c>
      <c r="J824" s="34" t="s">
        <v>65</v>
      </c>
      <c r="K824" s="57" t="s">
        <v>38</v>
      </c>
      <c r="L824" s="72">
        <v>10420.0</v>
      </c>
      <c r="M824" s="22"/>
      <c r="N824" s="73"/>
      <c r="O824" s="28">
        <v>45352.0</v>
      </c>
      <c r="P824" s="35" t="s">
        <v>3232</v>
      </c>
      <c r="Q824" s="12"/>
      <c r="R824" s="12"/>
      <c r="S824" s="12"/>
      <c r="T824" s="52">
        <v>45307.0</v>
      </c>
      <c r="U824" s="52">
        <v>45349.0</v>
      </c>
      <c r="V824" s="52">
        <v>45351.0</v>
      </c>
      <c r="W824" s="30"/>
      <c r="X824" s="30"/>
      <c r="Y824" s="31"/>
      <c r="Z824" s="31"/>
      <c r="AA824" s="78" t="s">
        <v>94</v>
      </c>
      <c r="AB824" s="74" t="s">
        <v>3233</v>
      </c>
      <c r="AC824" s="74"/>
    </row>
    <row r="825" ht="16.5" customHeight="1">
      <c r="A825" s="48" t="s">
        <v>3234</v>
      </c>
      <c r="B825" s="53" t="s">
        <v>880</v>
      </c>
      <c r="C825" s="47">
        <v>11.0</v>
      </c>
      <c r="D825" s="70" t="s">
        <v>3235</v>
      </c>
      <c r="E825" s="55" t="s">
        <v>112</v>
      </c>
      <c r="F825" s="32" t="s">
        <v>48</v>
      </c>
      <c r="G825" s="32" t="s">
        <v>35</v>
      </c>
      <c r="H825" s="71" t="s">
        <v>35</v>
      </c>
      <c r="I825" s="71" t="s">
        <v>36</v>
      </c>
      <c r="J825" s="34" t="s">
        <v>65</v>
      </c>
      <c r="K825" s="57" t="s">
        <v>38</v>
      </c>
      <c r="L825" s="72">
        <v>10420.0</v>
      </c>
      <c r="M825" s="22"/>
      <c r="N825" s="73"/>
      <c r="O825" s="28">
        <v>45352.0</v>
      </c>
      <c r="P825" s="35" t="s">
        <v>3232</v>
      </c>
      <c r="Q825" s="12"/>
      <c r="R825" s="12"/>
      <c r="S825" s="12"/>
      <c r="T825" s="52">
        <v>45307.0</v>
      </c>
      <c r="U825" s="52">
        <v>45349.0</v>
      </c>
      <c r="V825" s="52">
        <v>45351.0</v>
      </c>
      <c r="W825" s="30"/>
      <c r="X825" s="30"/>
      <c r="Y825" s="31"/>
      <c r="Z825" s="31"/>
      <c r="AA825" s="78" t="s">
        <v>94</v>
      </c>
      <c r="AB825" s="74" t="s">
        <v>3236</v>
      </c>
      <c r="AC825" s="74"/>
    </row>
    <row r="826" ht="16.5" customHeight="1">
      <c r="A826" s="48" t="s">
        <v>3237</v>
      </c>
      <c r="B826" s="53" t="s">
        <v>880</v>
      </c>
      <c r="C826" s="47">
        <v>11.0</v>
      </c>
      <c r="D826" s="70" t="s">
        <v>3238</v>
      </c>
      <c r="E826" s="55" t="s">
        <v>112</v>
      </c>
      <c r="F826" s="32" t="s">
        <v>48</v>
      </c>
      <c r="G826" s="32" t="s">
        <v>35</v>
      </c>
      <c r="H826" s="71" t="s">
        <v>35</v>
      </c>
      <c r="I826" s="71" t="s">
        <v>36</v>
      </c>
      <c r="J826" s="34" t="s">
        <v>65</v>
      </c>
      <c r="K826" s="57" t="s">
        <v>38</v>
      </c>
      <c r="L826" s="72">
        <v>10420.0</v>
      </c>
      <c r="M826" s="22"/>
      <c r="N826" s="73"/>
      <c r="O826" s="28">
        <v>45352.0</v>
      </c>
      <c r="P826" s="35" t="s">
        <v>3232</v>
      </c>
      <c r="Q826" s="12"/>
      <c r="R826" s="12"/>
      <c r="S826" s="12"/>
      <c r="T826" s="52">
        <v>45307.0</v>
      </c>
      <c r="U826" s="52">
        <v>45349.0</v>
      </c>
      <c r="V826" s="52">
        <v>45351.0</v>
      </c>
      <c r="W826" s="30"/>
      <c r="X826" s="30"/>
      <c r="Y826" s="31"/>
      <c r="Z826" s="31"/>
      <c r="AA826" s="78" t="s">
        <v>94</v>
      </c>
      <c r="AB826" s="74" t="s">
        <v>3239</v>
      </c>
      <c r="AC826" s="74"/>
    </row>
    <row r="827" ht="16.5" customHeight="1">
      <c r="A827" s="48" t="s">
        <v>3240</v>
      </c>
      <c r="B827" s="53" t="s">
        <v>880</v>
      </c>
      <c r="C827" s="47">
        <v>11.0</v>
      </c>
      <c r="D827" s="70" t="s">
        <v>3241</v>
      </c>
      <c r="E827" s="55" t="s">
        <v>112</v>
      </c>
      <c r="F827" s="32" t="s">
        <v>48</v>
      </c>
      <c r="G827" s="32" t="s">
        <v>35</v>
      </c>
      <c r="H827" s="71" t="s">
        <v>35</v>
      </c>
      <c r="I827" s="71" t="s">
        <v>36</v>
      </c>
      <c r="J827" s="34" t="s">
        <v>65</v>
      </c>
      <c r="K827" s="57" t="s">
        <v>38</v>
      </c>
      <c r="L827" s="72">
        <v>10420.0</v>
      </c>
      <c r="M827" s="22"/>
      <c r="N827" s="73"/>
      <c r="O827" s="28">
        <v>45352.0</v>
      </c>
      <c r="P827" s="35" t="s">
        <v>3232</v>
      </c>
      <c r="Q827" s="12"/>
      <c r="R827" s="12"/>
      <c r="S827" s="12"/>
      <c r="T827" s="52">
        <v>45307.0</v>
      </c>
      <c r="U827" s="52">
        <v>45349.0</v>
      </c>
      <c r="V827" s="52">
        <v>45351.0</v>
      </c>
      <c r="W827" s="30"/>
      <c r="X827" s="30"/>
      <c r="Y827" s="31"/>
      <c r="Z827" s="31"/>
      <c r="AA827" s="78" t="s">
        <v>94</v>
      </c>
      <c r="AB827" s="74" t="s">
        <v>3242</v>
      </c>
      <c r="AC827" s="74"/>
    </row>
    <row r="828" ht="16.5" customHeight="1">
      <c r="A828" s="48" t="s">
        <v>3243</v>
      </c>
      <c r="B828" s="53" t="s">
        <v>725</v>
      </c>
      <c r="C828" s="47">
        <v>0.0</v>
      </c>
      <c r="D828" s="70"/>
      <c r="E828" s="55" t="s">
        <v>171</v>
      </c>
      <c r="F828" s="32" t="s">
        <v>48</v>
      </c>
      <c r="G828" s="32" t="s">
        <v>35</v>
      </c>
      <c r="H828" s="71" t="s">
        <v>35</v>
      </c>
      <c r="I828" s="71" t="s">
        <v>665</v>
      </c>
      <c r="J828" s="34" t="s">
        <v>203</v>
      </c>
      <c r="K828" s="57" t="s">
        <v>38</v>
      </c>
      <c r="L828" s="72">
        <v>10314.0</v>
      </c>
      <c r="M828" s="22"/>
      <c r="N828" s="73"/>
      <c r="O828" s="28">
        <v>45316.0</v>
      </c>
      <c r="P828" s="35" t="s">
        <v>3244</v>
      </c>
      <c r="Q828" s="12"/>
      <c r="R828" s="12"/>
      <c r="S828" s="12"/>
      <c r="T828" s="52">
        <v>45307.0</v>
      </c>
      <c r="U828" s="52">
        <v>45314.0</v>
      </c>
      <c r="V828" s="52">
        <v>45315.0</v>
      </c>
      <c r="W828" s="30"/>
      <c r="X828" s="30"/>
      <c r="Y828" s="31"/>
      <c r="Z828" s="31"/>
      <c r="AA828" s="78" t="s">
        <v>102</v>
      </c>
      <c r="AB828" s="74" t="s">
        <v>3245</v>
      </c>
      <c r="AC828" s="74"/>
    </row>
    <row r="829" ht="16.5" customHeight="1">
      <c r="A829" s="48" t="s">
        <v>3246</v>
      </c>
      <c r="B829" s="53" t="s">
        <v>725</v>
      </c>
      <c r="C829" s="47">
        <v>0.0</v>
      </c>
      <c r="D829" s="70" t="s">
        <v>3247</v>
      </c>
      <c r="E829" s="55" t="s">
        <v>171</v>
      </c>
      <c r="F829" s="32" t="s">
        <v>48</v>
      </c>
      <c r="G829" s="32" t="s">
        <v>35</v>
      </c>
      <c r="H829" s="71" t="s">
        <v>35</v>
      </c>
      <c r="I829" s="71" t="s">
        <v>36</v>
      </c>
      <c r="J829" s="34" t="s">
        <v>203</v>
      </c>
      <c r="K829" s="57" t="s">
        <v>38</v>
      </c>
      <c r="L829" s="72">
        <v>10314.0</v>
      </c>
      <c r="M829" s="22"/>
      <c r="N829" s="73"/>
      <c r="O829" s="28">
        <v>45316.0</v>
      </c>
      <c r="P829" s="35" t="s">
        <v>3248</v>
      </c>
      <c r="Q829" s="12"/>
      <c r="R829" s="12"/>
      <c r="S829" s="12"/>
      <c r="T829" s="52">
        <v>45307.0</v>
      </c>
      <c r="U829" s="52">
        <v>45314.0</v>
      </c>
      <c r="V829" s="52">
        <v>45315.0</v>
      </c>
      <c r="W829" s="30"/>
      <c r="X829" s="30"/>
      <c r="Y829" s="31"/>
      <c r="Z829" s="31"/>
      <c r="AA829" s="78" t="s">
        <v>102</v>
      </c>
      <c r="AB829" s="74" t="s">
        <v>3249</v>
      </c>
      <c r="AC829" s="74"/>
    </row>
    <row r="830" ht="16.5" customHeight="1">
      <c r="A830" s="48" t="s">
        <v>3250</v>
      </c>
      <c r="B830" s="53" t="s">
        <v>3251</v>
      </c>
      <c r="C830" s="47">
        <v>0.0</v>
      </c>
      <c r="D830" s="70" t="s">
        <v>3252</v>
      </c>
      <c r="E830" s="55" t="s">
        <v>79</v>
      </c>
      <c r="F830" s="32" t="s">
        <v>33</v>
      </c>
      <c r="G830" s="32" t="s">
        <v>35</v>
      </c>
      <c r="H830" s="71" t="s">
        <v>35</v>
      </c>
      <c r="I830" s="71" t="s">
        <v>36</v>
      </c>
      <c r="J830" s="34" t="s">
        <v>65</v>
      </c>
      <c r="K830" s="57" t="s">
        <v>38</v>
      </c>
      <c r="L830" s="72">
        <v>10325.0</v>
      </c>
      <c r="M830" s="22"/>
      <c r="N830" s="73"/>
      <c r="O830" s="28">
        <v>45321.0</v>
      </c>
      <c r="P830" s="35" t="s">
        <v>3253</v>
      </c>
      <c r="Q830" s="12"/>
      <c r="R830" s="12"/>
      <c r="S830" s="12"/>
      <c r="T830" s="52">
        <v>45308.0</v>
      </c>
      <c r="U830" s="52">
        <v>45314.0</v>
      </c>
      <c r="V830" s="52">
        <v>45320.0</v>
      </c>
      <c r="W830" s="30"/>
      <c r="X830" s="30"/>
      <c r="Y830" s="31"/>
      <c r="Z830" s="31"/>
      <c r="AA830" s="78" t="s">
        <v>3059</v>
      </c>
      <c r="AB830" s="74" t="s">
        <v>3254</v>
      </c>
      <c r="AC830" s="74"/>
    </row>
    <row r="831" ht="16.5" customHeight="1">
      <c r="A831" s="48" t="s">
        <v>3255</v>
      </c>
      <c r="B831" s="53" t="s">
        <v>3256</v>
      </c>
      <c r="C831" s="47">
        <v>0.0</v>
      </c>
      <c r="D831" s="70" t="s">
        <v>3257</v>
      </c>
      <c r="E831" s="55" t="s">
        <v>545</v>
      </c>
      <c r="F831" s="32" t="s">
        <v>33</v>
      </c>
      <c r="G831" s="32" t="s">
        <v>34</v>
      </c>
      <c r="H831" s="71" t="s">
        <v>35</v>
      </c>
      <c r="I831" s="71" t="s">
        <v>36</v>
      </c>
      <c r="J831" s="34" t="s">
        <v>420</v>
      </c>
      <c r="K831" s="57" t="s">
        <v>38</v>
      </c>
      <c r="L831" s="72">
        <v>10309.0</v>
      </c>
      <c r="M831" s="22"/>
      <c r="N831" s="73"/>
      <c r="O831" s="28">
        <v>45316.0</v>
      </c>
      <c r="P831" s="35" t="s">
        <v>3258</v>
      </c>
      <c r="Q831" s="12"/>
      <c r="R831" s="12"/>
      <c r="S831" s="12"/>
      <c r="T831" s="52">
        <v>45308.0</v>
      </c>
      <c r="U831" s="52">
        <v>45314.0</v>
      </c>
      <c r="V831" s="52">
        <v>45315.0</v>
      </c>
      <c r="W831" s="30"/>
      <c r="X831" s="30"/>
      <c r="Y831" s="31"/>
      <c r="Z831" s="31"/>
      <c r="AA831" s="78" t="s">
        <v>120</v>
      </c>
      <c r="AB831" s="74" t="s">
        <v>3259</v>
      </c>
      <c r="AC831" s="74"/>
    </row>
    <row r="832" ht="16.5" customHeight="1">
      <c r="A832" s="48" t="s">
        <v>3260</v>
      </c>
      <c r="B832" s="53" t="s">
        <v>3261</v>
      </c>
      <c r="C832" s="47">
        <v>0.0</v>
      </c>
      <c r="D832" s="70" t="s">
        <v>3262</v>
      </c>
      <c r="E832" s="55" t="s">
        <v>257</v>
      </c>
      <c r="F832" s="32" t="s">
        <v>244</v>
      </c>
      <c r="G832" s="32" t="s">
        <v>35</v>
      </c>
      <c r="H832" s="71" t="s">
        <v>35</v>
      </c>
      <c r="I832" s="71" t="s">
        <v>36</v>
      </c>
      <c r="J832" s="34" t="s">
        <v>49</v>
      </c>
      <c r="K832" s="57" t="s">
        <v>38</v>
      </c>
      <c r="L832" s="72">
        <v>10322.0</v>
      </c>
      <c r="M832" s="22"/>
      <c r="N832" s="73"/>
      <c r="O832" s="28">
        <v>45320.0</v>
      </c>
      <c r="P832" s="35" t="s">
        <v>3263</v>
      </c>
      <c r="Q832" s="12"/>
      <c r="R832" s="12"/>
      <c r="S832" s="12"/>
      <c r="T832" s="52">
        <v>45310.0</v>
      </c>
      <c r="U832" s="52">
        <v>45316.0</v>
      </c>
      <c r="V832" s="52">
        <v>45320.0</v>
      </c>
      <c r="W832" s="30"/>
      <c r="X832" s="30"/>
      <c r="Y832" s="31"/>
      <c r="Z832" s="31"/>
      <c r="AA832" s="78" t="s">
        <v>127</v>
      </c>
      <c r="AB832" s="74" t="s">
        <v>3264</v>
      </c>
      <c r="AC832" s="74"/>
    </row>
    <row r="833" ht="16.5" customHeight="1">
      <c r="A833" s="48" t="s">
        <v>3265</v>
      </c>
      <c r="B833" s="53" t="s">
        <v>3266</v>
      </c>
      <c r="C833" s="47">
        <v>0.0</v>
      </c>
      <c r="D833" s="70" t="s">
        <v>3267</v>
      </c>
      <c r="E833" s="55" t="s">
        <v>2089</v>
      </c>
      <c r="F833" s="32" t="s">
        <v>33</v>
      </c>
      <c r="G833" s="32" t="s">
        <v>35</v>
      </c>
      <c r="H833" s="71" t="s">
        <v>35</v>
      </c>
      <c r="I833" s="71" t="s">
        <v>36</v>
      </c>
      <c r="J833" s="34" t="s">
        <v>65</v>
      </c>
      <c r="K833" s="57" t="s">
        <v>38</v>
      </c>
      <c r="L833" s="72">
        <v>10343.0</v>
      </c>
      <c r="M833" s="22"/>
      <c r="N833" s="73"/>
      <c r="O833" s="28">
        <v>45324.0</v>
      </c>
      <c r="P833" s="35" t="s">
        <v>3268</v>
      </c>
      <c r="Q833" s="12"/>
      <c r="R833" s="12"/>
      <c r="S833" s="12"/>
      <c r="T833" s="52">
        <v>45310.0</v>
      </c>
      <c r="U833" s="52">
        <v>45314.0</v>
      </c>
      <c r="V833" s="52">
        <v>45323.0</v>
      </c>
      <c r="W833" s="30"/>
      <c r="X833" s="30"/>
      <c r="Y833" s="31"/>
      <c r="Z833" s="31"/>
      <c r="AA833" s="78" t="s">
        <v>94</v>
      </c>
      <c r="AB833" s="74" t="s">
        <v>3269</v>
      </c>
      <c r="AC833" s="74"/>
    </row>
    <row r="834" ht="16.5" customHeight="1">
      <c r="A834" s="48" t="s">
        <v>3270</v>
      </c>
      <c r="B834" s="53" t="s">
        <v>3266</v>
      </c>
      <c r="C834" s="47">
        <v>0.0</v>
      </c>
      <c r="D834" s="70" t="s">
        <v>3271</v>
      </c>
      <c r="E834" s="55" t="s">
        <v>1027</v>
      </c>
      <c r="F834" s="32" t="s">
        <v>33</v>
      </c>
      <c r="G834" s="32" t="s">
        <v>35</v>
      </c>
      <c r="H834" s="71" t="s">
        <v>35</v>
      </c>
      <c r="I834" s="71" t="s">
        <v>36</v>
      </c>
      <c r="J834" s="34" t="s">
        <v>65</v>
      </c>
      <c r="K834" s="57" t="s">
        <v>38</v>
      </c>
      <c r="L834" s="72">
        <v>10343.0</v>
      </c>
      <c r="M834" s="22"/>
      <c r="N834" s="73"/>
      <c r="O834" s="28">
        <v>45324.0</v>
      </c>
      <c r="P834" s="35" t="s">
        <v>3268</v>
      </c>
      <c r="Q834" s="12"/>
      <c r="R834" s="12"/>
      <c r="S834" s="12"/>
      <c r="T834" s="52">
        <v>45310.0</v>
      </c>
      <c r="U834" s="52">
        <v>45314.0</v>
      </c>
      <c r="V834" s="52">
        <v>45314.0</v>
      </c>
      <c r="W834" s="30"/>
      <c r="X834" s="30"/>
      <c r="Y834" s="31"/>
      <c r="Z834" s="31"/>
      <c r="AA834" s="78" t="s">
        <v>94</v>
      </c>
      <c r="AB834" s="74" t="s">
        <v>3272</v>
      </c>
      <c r="AC834" s="74"/>
    </row>
    <row r="835" ht="16.5" customHeight="1">
      <c r="A835" s="48" t="s">
        <v>3273</v>
      </c>
      <c r="B835" s="53" t="s">
        <v>388</v>
      </c>
      <c r="C835" s="47">
        <v>0.0</v>
      </c>
      <c r="D835" s="70" t="s">
        <v>3274</v>
      </c>
      <c r="E835" s="55" t="s">
        <v>1268</v>
      </c>
      <c r="F835" s="32" t="s">
        <v>33</v>
      </c>
      <c r="G835" s="32" t="s">
        <v>35</v>
      </c>
      <c r="H835" s="71" t="s">
        <v>35</v>
      </c>
      <c r="I835" s="71" t="s">
        <v>36</v>
      </c>
      <c r="J835" s="34" t="s">
        <v>65</v>
      </c>
      <c r="K835" s="57" t="s">
        <v>38</v>
      </c>
      <c r="L835" s="72">
        <v>10305.0</v>
      </c>
      <c r="M835" s="22"/>
      <c r="N835" s="73"/>
      <c r="O835" s="28">
        <v>45315.0</v>
      </c>
      <c r="P835" s="35" t="s">
        <v>3275</v>
      </c>
      <c r="Q835" s="12"/>
      <c r="R835" s="12"/>
      <c r="S835" s="12"/>
      <c r="T835" s="52">
        <v>45310.0</v>
      </c>
      <c r="U835" s="52">
        <v>45314.0</v>
      </c>
      <c r="V835" s="52">
        <v>45314.0</v>
      </c>
      <c r="W835" s="30"/>
      <c r="X835" s="30"/>
      <c r="Y835" s="31"/>
      <c r="Z835" s="31"/>
      <c r="AA835" s="78" t="s">
        <v>94</v>
      </c>
      <c r="AB835" s="74" t="s">
        <v>3276</v>
      </c>
      <c r="AC835" s="74"/>
    </row>
    <row r="836" ht="16.5" customHeight="1">
      <c r="A836" s="48" t="s">
        <v>3277</v>
      </c>
      <c r="B836" s="53" t="s">
        <v>388</v>
      </c>
      <c r="C836" s="47">
        <v>0.0</v>
      </c>
      <c r="D836" s="70"/>
      <c r="E836" s="55" t="s">
        <v>1268</v>
      </c>
      <c r="F836" s="32" t="s">
        <v>33</v>
      </c>
      <c r="G836" s="32" t="s">
        <v>35</v>
      </c>
      <c r="H836" s="71" t="s">
        <v>35</v>
      </c>
      <c r="I836" s="71" t="s">
        <v>36</v>
      </c>
      <c r="J836" s="34" t="s">
        <v>65</v>
      </c>
      <c r="K836" s="57" t="s">
        <v>38</v>
      </c>
      <c r="L836" s="72">
        <v>10305.0</v>
      </c>
      <c r="M836" s="22"/>
      <c r="N836" s="73"/>
      <c r="O836" s="28">
        <v>45315.0</v>
      </c>
      <c r="P836" s="35" t="s">
        <v>3278</v>
      </c>
      <c r="Q836" s="12"/>
      <c r="R836" s="12"/>
      <c r="S836" s="12"/>
      <c r="T836" s="52">
        <v>45310.0</v>
      </c>
      <c r="U836" s="52">
        <v>45314.0</v>
      </c>
      <c r="V836" s="52">
        <v>45314.0</v>
      </c>
      <c r="W836" s="30"/>
      <c r="X836" s="30"/>
      <c r="Y836" s="31"/>
      <c r="Z836" s="31"/>
      <c r="AA836" s="78" t="s">
        <v>94</v>
      </c>
      <c r="AB836" s="74" t="s">
        <v>3279</v>
      </c>
      <c r="AC836" s="74"/>
    </row>
    <row r="837" ht="16.5" customHeight="1">
      <c r="A837" s="48" t="s">
        <v>3280</v>
      </c>
      <c r="B837" s="53" t="s">
        <v>388</v>
      </c>
      <c r="C837" s="47">
        <v>0.0</v>
      </c>
      <c r="D837" s="70" t="s">
        <v>3281</v>
      </c>
      <c r="E837" s="55" t="s">
        <v>1268</v>
      </c>
      <c r="F837" s="32" t="s">
        <v>33</v>
      </c>
      <c r="G837" s="32" t="s">
        <v>35</v>
      </c>
      <c r="H837" s="71" t="s">
        <v>35</v>
      </c>
      <c r="I837" s="71" t="s">
        <v>36</v>
      </c>
      <c r="J837" s="34" t="s">
        <v>65</v>
      </c>
      <c r="K837" s="57" t="s">
        <v>38</v>
      </c>
      <c r="L837" s="72">
        <v>10305.0</v>
      </c>
      <c r="M837" s="22"/>
      <c r="N837" s="73"/>
      <c r="O837" s="28">
        <v>45315.0</v>
      </c>
      <c r="P837" s="35" t="s">
        <v>3275</v>
      </c>
      <c r="Q837" s="12"/>
      <c r="R837" s="12"/>
      <c r="S837" s="12"/>
      <c r="T837" s="52">
        <v>45310.0</v>
      </c>
      <c r="U837" s="52">
        <v>45314.0</v>
      </c>
      <c r="V837" s="52">
        <v>45314.0</v>
      </c>
      <c r="W837" s="30"/>
      <c r="X837" s="30"/>
      <c r="Y837" s="31"/>
      <c r="Z837" s="31"/>
      <c r="AA837" s="78" t="s">
        <v>94</v>
      </c>
      <c r="AB837" s="74" t="s">
        <v>3282</v>
      </c>
      <c r="AC837" s="74"/>
    </row>
    <row r="838" ht="16.5" customHeight="1">
      <c r="A838" s="48" t="s">
        <v>3283</v>
      </c>
      <c r="B838" s="53" t="s">
        <v>3284</v>
      </c>
      <c r="C838" s="47">
        <v>0.0</v>
      </c>
      <c r="D838" s="70" t="s">
        <v>3285</v>
      </c>
      <c r="E838" s="55" t="s">
        <v>511</v>
      </c>
      <c r="F838" s="32" t="s">
        <v>33</v>
      </c>
      <c r="G838" s="32" t="s">
        <v>35</v>
      </c>
      <c r="H838" s="71" t="s">
        <v>35</v>
      </c>
      <c r="I838" s="71" t="s">
        <v>36</v>
      </c>
      <c r="J838" s="34" t="s">
        <v>37</v>
      </c>
      <c r="K838" s="57" t="s">
        <v>1506</v>
      </c>
      <c r="L838" s="72">
        <v>10339.0</v>
      </c>
      <c r="M838" s="22"/>
      <c r="N838" s="73"/>
      <c r="O838" s="28">
        <v>45323.0</v>
      </c>
      <c r="P838" s="35" t="s">
        <v>3286</v>
      </c>
      <c r="Q838" s="12"/>
      <c r="R838" s="12"/>
      <c r="S838" s="12"/>
      <c r="T838" s="52">
        <v>45310.0</v>
      </c>
      <c r="U838" s="52">
        <v>45317.0</v>
      </c>
      <c r="V838" s="52">
        <v>45322.0</v>
      </c>
      <c r="W838" s="30"/>
      <c r="X838" s="30"/>
      <c r="Y838" s="31"/>
      <c r="Z838" s="31"/>
      <c r="AA838" s="78" t="s">
        <v>3053</v>
      </c>
      <c r="AB838" s="74" t="s">
        <v>3287</v>
      </c>
      <c r="AC838" s="74"/>
    </row>
    <row r="839" ht="16.5" customHeight="1">
      <c r="A839" s="48" t="s">
        <v>3288</v>
      </c>
      <c r="B839" s="53" t="s">
        <v>3289</v>
      </c>
      <c r="C839" s="47">
        <v>0.0</v>
      </c>
      <c r="D839" s="70" t="s">
        <v>3290</v>
      </c>
      <c r="E839" s="55" t="s">
        <v>545</v>
      </c>
      <c r="F839" s="32" t="s">
        <v>33</v>
      </c>
      <c r="G839" s="32" t="s">
        <v>35</v>
      </c>
      <c r="H839" s="71" t="s">
        <v>35</v>
      </c>
      <c r="I839" s="71" t="s">
        <v>36</v>
      </c>
      <c r="J839" s="34" t="s">
        <v>92</v>
      </c>
      <c r="K839" s="57" t="s">
        <v>38</v>
      </c>
      <c r="L839" s="72">
        <v>10320.0</v>
      </c>
      <c r="M839" s="22"/>
      <c r="N839" s="73"/>
      <c r="O839" s="28">
        <v>45321.0</v>
      </c>
      <c r="P839" s="35" t="s">
        <v>3291</v>
      </c>
      <c r="Q839" s="12"/>
      <c r="R839" s="12"/>
      <c r="S839" s="12"/>
      <c r="T839" s="52">
        <v>45310.0</v>
      </c>
      <c r="U839" s="52">
        <v>45313.0</v>
      </c>
      <c r="V839" s="52">
        <v>45317.0</v>
      </c>
      <c r="W839" s="30"/>
      <c r="X839" s="30"/>
      <c r="Y839" s="31"/>
      <c r="Z839" s="31"/>
      <c r="AA839" s="78" t="s">
        <v>120</v>
      </c>
      <c r="AB839" s="74" t="s">
        <v>3292</v>
      </c>
      <c r="AC839" s="74"/>
    </row>
    <row r="840" ht="16.5" customHeight="1">
      <c r="A840" s="48" t="s">
        <v>3293</v>
      </c>
      <c r="B840" s="53" t="s">
        <v>1768</v>
      </c>
      <c r="C840" s="47">
        <v>0.0</v>
      </c>
      <c r="D840" s="70" t="s">
        <v>3294</v>
      </c>
      <c r="E840" s="55" t="s">
        <v>532</v>
      </c>
      <c r="F840" s="32" t="s">
        <v>244</v>
      </c>
      <c r="G840" s="32" t="s">
        <v>35</v>
      </c>
      <c r="H840" s="71" t="s">
        <v>35</v>
      </c>
      <c r="I840" s="71" t="s">
        <v>36</v>
      </c>
      <c r="J840" s="34" t="s">
        <v>37</v>
      </c>
      <c r="K840" s="57" t="s">
        <v>38</v>
      </c>
      <c r="L840" s="72">
        <v>10324.0</v>
      </c>
      <c r="M840" s="22"/>
      <c r="N840" s="73"/>
      <c r="O840" s="28">
        <v>45321.0</v>
      </c>
      <c r="P840" s="35" t="s">
        <v>3295</v>
      </c>
      <c r="Q840" s="12"/>
      <c r="R840" s="12"/>
      <c r="S840" s="12"/>
      <c r="T840" s="52">
        <v>45310.0</v>
      </c>
      <c r="U840" s="52">
        <v>45316.0</v>
      </c>
      <c r="V840" s="52">
        <v>45320.0</v>
      </c>
      <c r="W840" s="30"/>
      <c r="X840" s="30"/>
      <c r="Y840" s="31"/>
      <c r="Z840" s="31"/>
      <c r="AA840" s="78" t="s">
        <v>120</v>
      </c>
      <c r="AB840" s="74" t="s">
        <v>3296</v>
      </c>
      <c r="AC840" s="74"/>
    </row>
    <row r="841" ht="16.5" customHeight="1">
      <c r="A841" s="48" t="s">
        <v>3297</v>
      </c>
      <c r="B841" s="53" t="s">
        <v>3211</v>
      </c>
      <c r="C841" s="47">
        <v>0.0</v>
      </c>
      <c r="D841" s="70" t="s">
        <v>3298</v>
      </c>
      <c r="E841" s="55" t="s">
        <v>177</v>
      </c>
      <c r="F841" s="32" t="s">
        <v>48</v>
      </c>
      <c r="G841" s="32" t="s">
        <v>35</v>
      </c>
      <c r="H841" s="71" t="s">
        <v>35</v>
      </c>
      <c r="I841" s="71" t="s">
        <v>36</v>
      </c>
      <c r="J841" s="34" t="s">
        <v>92</v>
      </c>
      <c r="K841" s="57" t="s">
        <v>38</v>
      </c>
      <c r="L841" s="72">
        <v>10321.0</v>
      </c>
      <c r="M841" s="22"/>
      <c r="N841" s="73"/>
      <c r="O841" s="28">
        <v>45351.0</v>
      </c>
      <c r="P841" s="35" t="s">
        <v>3299</v>
      </c>
      <c r="Q841" s="12"/>
      <c r="R841" s="12"/>
      <c r="S841" s="12"/>
      <c r="T841" s="52">
        <v>45313.0</v>
      </c>
      <c r="U841" s="52">
        <v>45317.0</v>
      </c>
      <c r="V841" s="52">
        <v>45317.0</v>
      </c>
      <c r="W841" s="30"/>
      <c r="X841" s="30"/>
      <c r="Y841" s="31"/>
      <c r="Z841" s="31"/>
      <c r="AA841" s="78" t="s">
        <v>120</v>
      </c>
      <c r="AB841" s="74" t="s">
        <v>3300</v>
      </c>
      <c r="AC841" s="74"/>
    </row>
    <row r="842" ht="16.5" customHeight="1">
      <c r="A842" s="48" t="s">
        <v>3301</v>
      </c>
      <c r="B842" s="53" t="s">
        <v>3183</v>
      </c>
      <c r="C842" s="47">
        <v>0.0</v>
      </c>
      <c r="D842" s="70" t="s">
        <v>3302</v>
      </c>
      <c r="E842" s="55" t="s">
        <v>545</v>
      </c>
      <c r="F842" s="32" t="s">
        <v>33</v>
      </c>
      <c r="G842" s="32" t="s">
        <v>35</v>
      </c>
      <c r="H842" s="71" t="s">
        <v>35</v>
      </c>
      <c r="I842" s="71" t="s">
        <v>36</v>
      </c>
      <c r="J842" s="34" t="s">
        <v>92</v>
      </c>
      <c r="K842" s="57" t="s">
        <v>38</v>
      </c>
      <c r="L842" s="72">
        <v>10318.0</v>
      </c>
      <c r="M842" s="22"/>
      <c r="N842" s="73"/>
      <c r="O842" s="28">
        <v>45317.0</v>
      </c>
      <c r="P842" s="35" t="s">
        <v>3303</v>
      </c>
      <c r="Q842" s="12"/>
      <c r="R842" s="12"/>
      <c r="S842" s="12"/>
      <c r="T842" s="52">
        <v>45314.0</v>
      </c>
      <c r="U842" s="52">
        <v>45314.0</v>
      </c>
      <c r="V842" s="52">
        <v>45317.0</v>
      </c>
      <c r="W842" s="30"/>
      <c r="X842" s="30"/>
      <c r="Y842" s="31"/>
      <c r="Z842" s="31"/>
      <c r="AA842" s="78" t="s">
        <v>120</v>
      </c>
      <c r="AB842" s="74" t="s">
        <v>3304</v>
      </c>
      <c r="AC842" s="74"/>
    </row>
    <row r="843" ht="16.5" customHeight="1">
      <c r="A843" s="48" t="s">
        <v>3305</v>
      </c>
      <c r="B843" s="53" t="s">
        <v>3183</v>
      </c>
      <c r="C843" s="47">
        <v>0.0</v>
      </c>
      <c r="D843" s="70" t="s">
        <v>3306</v>
      </c>
      <c r="E843" s="55" t="s">
        <v>301</v>
      </c>
      <c r="F843" s="32" t="s">
        <v>33</v>
      </c>
      <c r="G843" s="32" t="s">
        <v>35</v>
      </c>
      <c r="H843" s="71" t="s">
        <v>35</v>
      </c>
      <c r="I843" s="71" t="s">
        <v>36</v>
      </c>
      <c r="J843" s="34" t="s">
        <v>92</v>
      </c>
      <c r="K843" s="57" t="s">
        <v>38</v>
      </c>
      <c r="L843" s="72">
        <v>10317.0</v>
      </c>
      <c r="M843" s="22"/>
      <c r="N843" s="73"/>
      <c r="O843" s="28">
        <v>45321.0</v>
      </c>
      <c r="P843" s="35" t="s">
        <v>3307</v>
      </c>
      <c r="Q843" s="12"/>
      <c r="R843" s="12"/>
      <c r="S843" s="12"/>
      <c r="T843" s="52">
        <v>45314.0</v>
      </c>
      <c r="U843" s="52">
        <v>45314.0</v>
      </c>
      <c r="V843" s="52">
        <v>45317.0</v>
      </c>
      <c r="W843" s="30"/>
      <c r="X843" s="30"/>
      <c r="Y843" s="31"/>
      <c r="Z843" s="31"/>
      <c r="AA843" s="78" t="s">
        <v>120</v>
      </c>
      <c r="AB843" s="74" t="s">
        <v>3308</v>
      </c>
      <c r="AC843" s="74"/>
    </row>
    <row r="844" ht="16.5" customHeight="1">
      <c r="A844" s="48" t="s">
        <v>3309</v>
      </c>
      <c r="B844" s="53" t="s">
        <v>388</v>
      </c>
      <c r="C844" s="47">
        <v>0.0</v>
      </c>
      <c r="D844" s="70" t="s">
        <v>3310</v>
      </c>
      <c r="E844" s="55" t="s">
        <v>251</v>
      </c>
      <c r="F844" s="32" t="s">
        <v>33</v>
      </c>
      <c r="G844" s="32" t="s">
        <v>35</v>
      </c>
      <c r="H844" s="71" t="s">
        <v>35</v>
      </c>
      <c r="I844" s="71" t="s">
        <v>36</v>
      </c>
      <c r="J844" s="34" t="s">
        <v>65</v>
      </c>
      <c r="K844" s="57" t="s">
        <v>38</v>
      </c>
      <c r="L844" s="72">
        <v>10363.0</v>
      </c>
      <c r="M844" s="22"/>
      <c r="N844" s="73"/>
      <c r="O844" s="28">
        <v>45351.0</v>
      </c>
      <c r="P844" s="35" t="s">
        <v>3311</v>
      </c>
      <c r="Q844" s="12"/>
      <c r="R844" s="12"/>
      <c r="S844" s="12"/>
      <c r="T844" s="52">
        <v>45328.0</v>
      </c>
      <c r="U844" s="52">
        <v>45351.0</v>
      </c>
      <c r="V844" s="52">
        <v>45351.0</v>
      </c>
      <c r="W844" s="30"/>
      <c r="X844" s="30"/>
      <c r="Y844" s="31"/>
      <c r="Z844" s="31"/>
      <c r="AA844" s="78" t="s">
        <v>94</v>
      </c>
      <c r="AB844" s="74" t="s">
        <v>3312</v>
      </c>
      <c r="AC844" s="74"/>
    </row>
    <row r="845" ht="16.5" customHeight="1">
      <c r="A845" s="48" t="s">
        <v>3313</v>
      </c>
      <c r="B845" s="53" t="s">
        <v>3314</v>
      </c>
      <c r="C845" s="47">
        <v>0.0</v>
      </c>
      <c r="D845" s="70" t="s">
        <v>3315</v>
      </c>
      <c r="E845" s="55" t="s">
        <v>295</v>
      </c>
      <c r="F845" s="32" t="s">
        <v>33</v>
      </c>
      <c r="G845" s="32" t="s">
        <v>35</v>
      </c>
      <c r="H845" s="71" t="s">
        <v>35</v>
      </c>
      <c r="I845" s="71" t="s">
        <v>36</v>
      </c>
      <c r="J845" s="34" t="s">
        <v>49</v>
      </c>
      <c r="K845" s="57" t="s">
        <v>38</v>
      </c>
      <c r="L845" s="72">
        <v>10347.0</v>
      </c>
      <c r="M845" s="22"/>
      <c r="N845" s="73"/>
      <c r="O845" s="28">
        <v>45324.0</v>
      </c>
      <c r="P845" s="35" t="s">
        <v>3316</v>
      </c>
      <c r="Q845" s="12"/>
      <c r="R845" s="12"/>
      <c r="S845" s="12"/>
      <c r="T845" s="52">
        <v>45315.0</v>
      </c>
      <c r="U845" s="52">
        <v>45316.0</v>
      </c>
      <c r="V845" s="52">
        <v>45323.0</v>
      </c>
      <c r="W845" s="30"/>
      <c r="X845" s="30"/>
      <c r="Y845" s="31"/>
      <c r="Z845" s="31"/>
      <c r="AA845" s="78" t="s">
        <v>3053</v>
      </c>
      <c r="AB845" s="74" t="s">
        <v>3317</v>
      </c>
      <c r="AC845" s="74"/>
    </row>
    <row r="846" ht="16.5" customHeight="1">
      <c r="A846" s="48" t="s">
        <v>3318</v>
      </c>
      <c r="B846" s="53" t="s">
        <v>2383</v>
      </c>
      <c r="C846" s="47">
        <v>0.0</v>
      </c>
      <c r="D846" s="70" t="s">
        <v>3319</v>
      </c>
      <c r="E846" s="55" t="s">
        <v>177</v>
      </c>
      <c r="F846" s="32" t="s">
        <v>48</v>
      </c>
      <c r="G846" s="32" t="s">
        <v>35</v>
      </c>
      <c r="H846" s="71" t="s">
        <v>35</v>
      </c>
      <c r="I846" s="71" t="s">
        <v>36</v>
      </c>
      <c r="J846" s="34" t="s">
        <v>65</v>
      </c>
      <c r="K846" s="57" t="s">
        <v>38</v>
      </c>
      <c r="L846" s="72">
        <v>10334.0</v>
      </c>
      <c r="M846" s="22"/>
      <c r="N846" s="73"/>
      <c r="O846" s="28">
        <v>45323.0</v>
      </c>
      <c r="P846" s="35" t="s">
        <v>3320</v>
      </c>
      <c r="Q846" s="12"/>
      <c r="R846" s="12"/>
      <c r="S846" s="12"/>
      <c r="T846" s="52">
        <v>45315.0</v>
      </c>
      <c r="U846" s="52">
        <v>45322.0</v>
      </c>
      <c r="V846" s="52">
        <v>45322.0</v>
      </c>
      <c r="W846" s="30"/>
      <c r="X846" s="30"/>
      <c r="Y846" s="31"/>
      <c r="Z846" s="31"/>
      <c r="AA846" s="78" t="s">
        <v>3059</v>
      </c>
      <c r="AB846" s="74" t="s">
        <v>3321</v>
      </c>
      <c r="AC846" s="74"/>
    </row>
    <row r="847" ht="16.5" customHeight="1">
      <c r="A847" s="48" t="s">
        <v>3322</v>
      </c>
      <c r="B847" s="53" t="s">
        <v>3323</v>
      </c>
      <c r="C847" s="47">
        <v>0.0</v>
      </c>
      <c r="D847" s="70" t="s">
        <v>3324</v>
      </c>
      <c r="E847" s="55" t="s">
        <v>2618</v>
      </c>
      <c r="F847" s="32" t="s">
        <v>33</v>
      </c>
      <c r="G847" s="32" t="s">
        <v>35</v>
      </c>
      <c r="H847" s="71" t="s">
        <v>35</v>
      </c>
      <c r="I847" s="71" t="s">
        <v>36</v>
      </c>
      <c r="J847" s="34" t="s">
        <v>65</v>
      </c>
      <c r="K847" s="57" t="s">
        <v>38</v>
      </c>
      <c r="L847" s="72">
        <v>10373.0</v>
      </c>
      <c r="M847" s="22"/>
      <c r="N847" s="73"/>
      <c r="O847" s="28">
        <v>45351.0</v>
      </c>
      <c r="P847" s="35" t="s">
        <v>3325</v>
      </c>
      <c r="Q847" s="12"/>
      <c r="R847" s="12"/>
      <c r="S847" s="12"/>
      <c r="T847" s="52">
        <v>45315.0</v>
      </c>
      <c r="U847" s="52">
        <v>45348.0</v>
      </c>
      <c r="V847" s="52">
        <v>45351.0</v>
      </c>
      <c r="W847" s="30"/>
      <c r="X847" s="30"/>
      <c r="Y847" s="31"/>
      <c r="Z847" s="31"/>
      <c r="AA847" s="78" t="s">
        <v>94</v>
      </c>
      <c r="AB847" s="74" t="s">
        <v>3326</v>
      </c>
      <c r="AC847" s="74"/>
    </row>
    <row r="848" ht="16.5" customHeight="1">
      <c r="A848" s="48" t="s">
        <v>3327</v>
      </c>
      <c r="B848" s="53" t="s">
        <v>3256</v>
      </c>
      <c r="C848" s="47">
        <v>0.0</v>
      </c>
      <c r="D848" s="70" t="s">
        <v>3328</v>
      </c>
      <c r="E848" s="55" t="s">
        <v>79</v>
      </c>
      <c r="F848" s="32" t="s">
        <v>33</v>
      </c>
      <c r="G848" s="32" t="s">
        <v>35</v>
      </c>
      <c r="H848" s="71" t="s">
        <v>35</v>
      </c>
      <c r="I848" s="71" t="s">
        <v>36</v>
      </c>
      <c r="J848" s="34" t="s">
        <v>420</v>
      </c>
      <c r="K848" s="57" t="s">
        <v>38</v>
      </c>
      <c r="L848" s="72">
        <v>10349.0</v>
      </c>
      <c r="M848" s="22"/>
      <c r="N848" s="26"/>
      <c r="O848" s="28">
        <v>45327.0</v>
      </c>
      <c r="P848" s="35" t="s">
        <v>3329</v>
      </c>
      <c r="Q848" s="12"/>
      <c r="R848" s="12"/>
      <c r="S848" s="12"/>
      <c r="T848" s="36">
        <v>45327.0</v>
      </c>
      <c r="U848" s="29"/>
      <c r="V848" s="29"/>
      <c r="W848" s="30"/>
      <c r="X848" s="30"/>
      <c r="Y848" s="31"/>
      <c r="Z848" s="31"/>
      <c r="AA848" s="31"/>
      <c r="AB848" s="45" t="s">
        <v>3330</v>
      </c>
      <c r="AC848" s="45"/>
    </row>
    <row r="849" ht="16.5" customHeight="1">
      <c r="A849" s="48" t="s">
        <v>3331</v>
      </c>
      <c r="B849" s="53" t="s">
        <v>3256</v>
      </c>
      <c r="C849" s="47">
        <v>0.0</v>
      </c>
      <c r="D849" s="70" t="s">
        <v>3332</v>
      </c>
      <c r="E849" s="55" t="s">
        <v>79</v>
      </c>
      <c r="F849" s="32" t="s">
        <v>33</v>
      </c>
      <c r="G849" s="32" t="s">
        <v>35</v>
      </c>
      <c r="H849" s="71" t="s">
        <v>35</v>
      </c>
      <c r="I849" s="71" t="s">
        <v>36</v>
      </c>
      <c r="J849" s="34" t="s">
        <v>420</v>
      </c>
      <c r="K849" s="57" t="s">
        <v>38</v>
      </c>
      <c r="L849" s="72">
        <v>10349.0</v>
      </c>
      <c r="M849" s="22"/>
      <c r="N849" s="26"/>
      <c r="O849" s="28">
        <v>45327.0</v>
      </c>
      <c r="P849" s="35" t="s">
        <v>3329</v>
      </c>
      <c r="Q849" s="12"/>
      <c r="R849" s="12"/>
      <c r="S849" s="12"/>
      <c r="T849" s="36">
        <v>45327.0</v>
      </c>
      <c r="U849" s="29"/>
      <c r="V849" s="29"/>
      <c r="W849" s="30"/>
      <c r="X849" s="30"/>
      <c r="Y849" s="31"/>
      <c r="Z849" s="31"/>
      <c r="AA849" s="31"/>
      <c r="AB849" s="45" t="s">
        <v>3333</v>
      </c>
      <c r="AC849" s="45"/>
    </row>
    <row r="850" ht="16.5" customHeight="1">
      <c r="A850" s="48" t="s">
        <v>3334</v>
      </c>
      <c r="B850" s="53" t="s">
        <v>3335</v>
      </c>
      <c r="C850" s="47">
        <v>0.0</v>
      </c>
      <c r="D850" s="70" t="s">
        <v>3336</v>
      </c>
      <c r="E850" s="55" t="s">
        <v>301</v>
      </c>
      <c r="F850" s="32" t="s">
        <v>33</v>
      </c>
      <c r="G850" s="32" t="s">
        <v>35</v>
      </c>
      <c r="H850" s="71" t="s">
        <v>35</v>
      </c>
      <c r="I850" s="71" t="s">
        <v>36</v>
      </c>
      <c r="J850" s="34" t="s">
        <v>49</v>
      </c>
      <c r="K850" s="57" t="s">
        <v>38</v>
      </c>
      <c r="L850" s="72">
        <v>10354.0</v>
      </c>
      <c r="M850" s="22"/>
      <c r="N850" s="73"/>
      <c r="O850" s="28">
        <v>45328.0</v>
      </c>
      <c r="P850" s="35" t="s">
        <v>3337</v>
      </c>
      <c r="Q850" s="12"/>
      <c r="R850" s="12"/>
      <c r="S850" s="12"/>
      <c r="T850" s="52">
        <v>45317.0</v>
      </c>
      <c r="U850" s="52">
        <v>45320.0</v>
      </c>
      <c r="V850" s="52">
        <v>45323.0</v>
      </c>
      <c r="W850" s="30"/>
      <c r="X850" s="30"/>
      <c r="Y850" s="31"/>
      <c r="Z850" s="31"/>
      <c r="AA850" s="78" t="s">
        <v>120</v>
      </c>
      <c r="AB850" s="74" t="s">
        <v>3338</v>
      </c>
      <c r="AC850" s="74"/>
    </row>
    <row r="851" ht="16.5" customHeight="1">
      <c r="A851" s="48" t="s">
        <v>3339</v>
      </c>
      <c r="B851" s="53" t="s">
        <v>3335</v>
      </c>
      <c r="C851" s="47">
        <v>0.0</v>
      </c>
      <c r="D851" s="70" t="s">
        <v>3340</v>
      </c>
      <c r="E851" s="55" t="s">
        <v>213</v>
      </c>
      <c r="F851" s="32" t="s">
        <v>33</v>
      </c>
      <c r="G851" s="32" t="s">
        <v>35</v>
      </c>
      <c r="H851" s="71" t="s">
        <v>35</v>
      </c>
      <c r="I851" s="71" t="s">
        <v>36</v>
      </c>
      <c r="J851" s="34" t="s">
        <v>49</v>
      </c>
      <c r="K851" s="57" t="s">
        <v>38</v>
      </c>
      <c r="L851" s="72">
        <v>10354.0</v>
      </c>
      <c r="M851" s="22"/>
      <c r="N851" s="73"/>
      <c r="O851" s="28">
        <v>45328.0</v>
      </c>
      <c r="P851" s="35" t="s">
        <v>3337</v>
      </c>
      <c r="Q851" s="12"/>
      <c r="R851" s="12"/>
      <c r="S851" s="12"/>
      <c r="T851" s="52">
        <v>45317.0</v>
      </c>
      <c r="U851" s="52">
        <v>45320.0</v>
      </c>
      <c r="V851" s="52">
        <v>45327.0</v>
      </c>
      <c r="W851" s="30"/>
      <c r="X851" s="30"/>
      <c r="Y851" s="31"/>
      <c r="Z851" s="31"/>
      <c r="AA851" s="78" t="s">
        <v>120</v>
      </c>
      <c r="AB851" s="74" t="s">
        <v>3341</v>
      </c>
      <c r="AC851" s="74"/>
    </row>
    <row r="852" ht="16.5" customHeight="1">
      <c r="A852" s="48" t="s">
        <v>3342</v>
      </c>
      <c r="B852" s="53" t="s">
        <v>1299</v>
      </c>
      <c r="C852" s="47">
        <v>0.0</v>
      </c>
      <c r="D852" s="70" t="s">
        <v>3343</v>
      </c>
      <c r="E852" s="55" t="s">
        <v>804</v>
      </c>
      <c r="F852" s="32" t="s">
        <v>244</v>
      </c>
      <c r="G852" s="32" t="s">
        <v>35</v>
      </c>
      <c r="H852" s="71" t="s">
        <v>35</v>
      </c>
      <c r="I852" s="71" t="s">
        <v>36</v>
      </c>
      <c r="J852" s="34" t="s">
        <v>92</v>
      </c>
      <c r="K852" s="57" t="s">
        <v>38</v>
      </c>
      <c r="L852" s="72">
        <v>10345.0</v>
      </c>
      <c r="M852" s="22" t="s">
        <v>40</v>
      </c>
      <c r="N852" s="73"/>
      <c r="O852" s="28">
        <v>45351.0</v>
      </c>
      <c r="P852" s="35" t="s">
        <v>3344</v>
      </c>
      <c r="Q852" s="12"/>
      <c r="R852" s="12"/>
      <c r="S852" s="12"/>
      <c r="T852" s="52">
        <v>45317.0</v>
      </c>
      <c r="U852" s="52">
        <v>45320.0</v>
      </c>
      <c r="V852" s="52">
        <v>45323.0</v>
      </c>
      <c r="W852" s="30"/>
      <c r="X852" s="30"/>
      <c r="Y852" s="31"/>
      <c r="Z852" s="31"/>
      <c r="AA852" s="78" t="s">
        <v>120</v>
      </c>
      <c r="AB852" s="74" t="s">
        <v>3345</v>
      </c>
      <c r="AC852" s="74"/>
    </row>
    <row r="853" ht="16.5" customHeight="1">
      <c r="A853" s="48" t="s">
        <v>3346</v>
      </c>
      <c r="B853" s="53" t="s">
        <v>1299</v>
      </c>
      <c r="C853" s="47">
        <v>0.0</v>
      </c>
      <c r="D853" s="70" t="s">
        <v>3347</v>
      </c>
      <c r="E853" s="55" t="s">
        <v>804</v>
      </c>
      <c r="F853" s="32" t="s">
        <v>244</v>
      </c>
      <c r="G853" s="32" t="s">
        <v>35</v>
      </c>
      <c r="H853" s="71" t="s">
        <v>35</v>
      </c>
      <c r="I853" s="71" t="s">
        <v>36</v>
      </c>
      <c r="J853" s="34" t="s">
        <v>92</v>
      </c>
      <c r="K853" s="57" t="s">
        <v>38</v>
      </c>
      <c r="L853" s="72">
        <v>10345.0</v>
      </c>
      <c r="M853" s="22" t="s">
        <v>40</v>
      </c>
      <c r="N853" s="73"/>
      <c r="O853" s="28">
        <v>45351.0</v>
      </c>
      <c r="P853" s="35" t="s">
        <v>3344</v>
      </c>
      <c r="Q853" s="12"/>
      <c r="R853" s="12"/>
      <c r="S853" s="12"/>
      <c r="T853" s="52">
        <v>45317.0</v>
      </c>
      <c r="U853" s="52">
        <v>45320.0</v>
      </c>
      <c r="V853" s="52">
        <v>45323.0</v>
      </c>
      <c r="W853" s="30"/>
      <c r="X853" s="30"/>
      <c r="Y853" s="31"/>
      <c r="Z853" s="31"/>
      <c r="AA853" s="78" t="s">
        <v>120</v>
      </c>
      <c r="AB853" s="74" t="s">
        <v>3348</v>
      </c>
      <c r="AC853" s="74"/>
    </row>
    <row r="854" ht="16.5" customHeight="1">
      <c r="A854" s="48" t="s">
        <v>3349</v>
      </c>
      <c r="B854" s="53" t="s">
        <v>1299</v>
      </c>
      <c r="C854" s="47">
        <v>0.0</v>
      </c>
      <c r="D854" s="70" t="s">
        <v>3350</v>
      </c>
      <c r="E854" s="55" t="s">
        <v>804</v>
      </c>
      <c r="F854" s="32" t="s">
        <v>244</v>
      </c>
      <c r="G854" s="32" t="s">
        <v>35</v>
      </c>
      <c r="H854" s="71" t="s">
        <v>35</v>
      </c>
      <c r="I854" s="71" t="s">
        <v>36</v>
      </c>
      <c r="J854" s="34" t="s">
        <v>92</v>
      </c>
      <c r="K854" s="57" t="s">
        <v>38</v>
      </c>
      <c r="L854" s="72">
        <v>10345.0</v>
      </c>
      <c r="M854" s="22" t="s">
        <v>40</v>
      </c>
      <c r="N854" s="73"/>
      <c r="O854" s="28">
        <v>45351.0</v>
      </c>
      <c r="P854" s="35" t="s">
        <v>3344</v>
      </c>
      <c r="Q854" s="12"/>
      <c r="R854" s="12"/>
      <c r="S854" s="12"/>
      <c r="T854" s="52">
        <v>45317.0</v>
      </c>
      <c r="U854" s="52">
        <v>45320.0</v>
      </c>
      <c r="V854" s="52">
        <v>45323.0</v>
      </c>
      <c r="W854" s="30"/>
      <c r="X854" s="30"/>
      <c r="Y854" s="31"/>
      <c r="Z854" s="31"/>
      <c r="AA854" s="78" t="s">
        <v>120</v>
      </c>
      <c r="AB854" s="74" t="s">
        <v>3351</v>
      </c>
      <c r="AC854" s="74"/>
    </row>
    <row r="855" ht="16.5" customHeight="1">
      <c r="A855" s="48" t="s">
        <v>3352</v>
      </c>
      <c r="B855" s="53" t="s">
        <v>530</v>
      </c>
      <c r="C855" s="47">
        <v>0.0</v>
      </c>
      <c r="D855" s="70" t="s">
        <v>3353</v>
      </c>
      <c r="E855" s="55" t="s">
        <v>532</v>
      </c>
      <c r="F855" s="32" t="s">
        <v>244</v>
      </c>
      <c r="G855" s="32" t="s">
        <v>35</v>
      </c>
      <c r="H855" s="71" t="s">
        <v>35</v>
      </c>
      <c r="I855" s="71" t="s">
        <v>36</v>
      </c>
      <c r="J855" s="34" t="s">
        <v>92</v>
      </c>
      <c r="K855" s="57" t="s">
        <v>38</v>
      </c>
      <c r="L855" s="72">
        <v>10333.0</v>
      </c>
      <c r="M855" s="22" t="s">
        <v>40</v>
      </c>
      <c r="N855" s="73"/>
      <c r="O855" s="28">
        <v>45351.0</v>
      </c>
      <c r="P855" s="35" t="s">
        <v>3354</v>
      </c>
      <c r="Q855" s="12"/>
      <c r="R855" s="12"/>
      <c r="S855" s="12"/>
      <c r="T855" s="52">
        <v>45317.0</v>
      </c>
      <c r="U855" s="52">
        <v>45320.0</v>
      </c>
      <c r="V855" s="52">
        <v>45322.0</v>
      </c>
      <c r="W855" s="30"/>
      <c r="X855" s="30"/>
      <c r="Y855" s="31"/>
      <c r="Z855" s="31"/>
      <c r="AA855" s="78" t="s">
        <v>120</v>
      </c>
      <c r="AB855" s="74" t="s">
        <v>3355</v>
      </c>
      <c r="AC855" s="74"/>
    </row>
    <row r="856" ht="16.5" customHeight="1">
      <c r="A856" s="48" t="s">
        <v>3356</v>
      </c>
      <c r="B856" s="53" t="s">
        <v>530</v>
      </c>
      <c r="C856" s="47">
        <v>0.0</v>
      </c>
      <c r="D856" s="70" t="s">
        <v>3357</v>
      </c>
      <c r="E856" s="55" t="s">
        <v>532</v>
      </c>
      <c r="F856" s="32" t="s">
        <v>244</v>
      </c>
      <c r="G856" s="32" t="s">
        <v>35</v>
      </c>
      <c r="H856" s="71" t="s">
        <v>35</v>
      </c>
      <c r="I856" s="71" t="s">
        <v>36</v>
      </c>
      <c r="J856" s="34" t="s">
        <v>92</v>
      </c>
      <c r="K856" s="57" t="s">
        <v>38</v>
      </c>
      <c r="L856" s="72">
        <v>10333.0</v>
      </c>
      <c r="M856" s="22" t="s">
        <v>40</v>
      </c>
      <c r="N856" s="35" t="s">
        <v>3358</v>
      </c>
      <c r="O856" s="28">
        <v>45441.0</v>
      </c>
      <c r="P856" s="35" t="s">
        <v>3354</v>
      </c>
      <c r="Q856" s="12"/>
      <c r="R856" s="12"/>
      <c r="S856" s="12"/>
      <c r="T856" s="52">
        <v>45317.0</v>
      </c>
      <c r="U856" s="52">
        <v>45438.0</v>
      </c>
      <c r="V856" s="52">
        <v>45441.0</v>
      </c>
      <c r="W856" s="30"/>
      <c r="X856" s="30"/>
      <c r="Y856" s="31"/>
      <c r="Z856" s="31"/>
      <c r="AA856" s="78" t="s">
        <v>120</v>
      </c>
      <c r="AB856" s="74" t="s">
        <v>3359</v>
      </c>
      <c r="AC856" s="74"/>
    </row>
    <row r="857" ht="16.5" customHeight="1">
      <c r="A857" s="48" t="s">
        <v>3360</v>
      </c>
      <c r="B857" s="53" t="s">
        <v>530</v>
      </c>
      <c r="C857" s="47">
        <v>0.0</v>
      </c>
      <c r="D857" s="70" t="s">
        <v>3361</v>
      </c>
      <c r="E857" s="55" t="s">
        <v>532</v>
      </c>
      <c r="F857" s="32" t="s">
        <v>244</v>
      </c>
      <c r="G857" s="32" t="s">
        <v>35</v>
      </c>
      <c r="H857" s="71" t="s">
        <v>35</v>
      </c>
      <c r="I857" s="71" t="s">
        <v>36</v>
      </c>
      <c r="J857" s="34" t="s">
        <v>92</v>
      </c>
      <c r="K857" s="57" t="s">
        <v>38</v>
      </c>
      <c r="L857" s="72">
        <v>10333.0</v>
      </c>
      <c r="M857" s="22" t="s">
        <v>40</v>
      </c>
      <c r="N857" s="35" t="s">
        <v>3358</v>
      </c>
      <c r="O857" s="28">
        <v>45323.0</v>
      </c>
      <c r="P857" s="35" t="s">
        <v>3354</v>
      </c>
      <c r="Q857" s="12"/>
      <c r="R857" s="12"/>
      <c r="S857" s="12"/>
      <c r="T857" s="52">
        <v>45317.0</v>
      </c>
      <c r="U857" s="52">
        <v>45320.0</v>
      </c>
      <c r="V857" s="52">
        <v>45323.0</v>
      </c>
      <c r="W857" s="30"/>
      <c r="X857" s="30"/>
      <c r="Y857" s="31"/>
      <c r="Z857" s="31"/>
      <c r="AA857" s="78" t="s">
        <v>120</v>
      </c>
      <c r="AB857" s="74" t="s">
        <v>3362</v>
      </c>
      <c r="AC857" s="74"/>
    </row>
    <row r="858" ht="16.5" customHeight="1">
      <c r="A858" s="48" t="s">
        <v>3363</v>
      </c>
      <c r="B858" s="53" t="s">
        <v>530</v>
      </c>
      <c r="C858" s="47">
        <v>0.0</v>
      </c>
      <c r="D858" s="70" t="s">
        <v>3364</v>
      </c>
      <c r="E858" s="55" t="s">
        <v>532</v>
      </c>
      <c r="F858" s="32" t="s">
        <v>244</v>
      </c>
      <c r="G858" s="32" t="s">
        <v>35</v>
      </c>
      <c r="H858" s="71" t="s">
        <v>35</v>
      </c>
      <c r="I858" s="71" t="s">
        <v>36</v>
      </c>
      <c r="J858" s="34" t="s">
        <v>92</v>
      </c>
      <c r="K858" s="57" t="s">
        <v>38</v>
      </c>
      <c r="L858" s="72">
        <v>10333.0</v>
      </c>
      <c r="M858" s="22" t="s">
        <v>40</v>
      </c>
      <c r="N858" s="35" t="s">
        <v>3358</v>
      </c>
      <c r="O858" s="28">
        <v>45441.0</v>
      </c>
      <c r="P858" s="35" t="s">
        <v>3354</v>
      </c>
      <c r="Q858" s="12"/>
      <c r="R858" s="12"/>
      <c r="S858" s="12"/>
      <c r="T858" s="52">
        <v>45317.0</v>
      </c>
      <c r="U858" s="52">
        <v>45438.0</v>
      </c>
      <c r="V858" s="52">
        <v>45441.0</v>
      </c>
      <c r="W858" s="30"/>
      <c r="X858" s="30"/>
      <c r="Y858" s="31"/>
      <c r="Z858" s="31"/>
      <c r="AA858" s="78" t="s">
        <v>120</v>
      </c>
      <c r="AB858" s="74" t="s">
        <v>3365</v>
      </c>
      <c r="AC858" s="74"/>
    </row>
    <row r="859" ht="16.5" customHeight="1">
      <c r="A859" s="48" t="s">
        <v>3366</v>
      </c>
      <c r="B859" s="53" t="s">
        <v>530</v>
      </c>
      <c r="C859" s="47">
        <v>0.0</v>
      </c>
      <c r="D859" s="70" t="s">
        <v>3367</v>
      </c>
      <c r="E859" s="55" t="s">
        <v>461</v>
      </c>
      <c r="F859" s="32" t="s">
        <v>244</v>
      </c>
      <c r="G859" s="32" t="s">
        <v>35</v>
      </c>
      <c r="H859" s="71" t="s">
        <v>35</v>
      </c>
      <c r="I859" s="71" t="s">
        <v>36</v>
      </c>
      <c r="J859" s="34" t="s">
        <v>92</v>
      </c>
      <c r="K859" s="57" t="s">
        <v>38</v>
      </c>
      <c r="L859" s="72">
        <v>10333.0</v>
      </c>
      <c r="M859" s="22"/>
      <c r="N859" s="73"/>
      <c r="O859" s="28">
        <v>45351.0</v>
      </c>
      <c r="P859" s="35" t="s">
        <v>3354</v>
      </c>
      <c r="Q859" s="12"/>
      <c r="R859" s="12"/>
      <c r="S859" s="12"/>
      <c r="T859" s="52">
        <v>45317.0</v>
      </c>
      <c r="U859" s="52">
        <v>45320.0</v>
      </c>
      <c r="V859" s="52">
        <v>45324.0</v>
      </c>
      <c r="W859" s="30"/>
      <c r="X859" s="30"/>
      <c r="Y859" s="31"/>
      <c r="Z859" s="31"/>
      <c r="AA859" s="78" t="s">
        <v>120</v>
      </c>
      <c r="AB859" s="74" t="s">
        <v>3368</v>
      </c>
      <c r="AC859" s="74"/>
    </row>
    <row r="860" ht="16.5" customHeight="1">
      <c r="A860" s="48" t="s">
        <v>3369</v>
      </c>
      <c r="B860" s="53" t="s">
        <v>3211</v>
      </c>
      <c r="C860" s="47">
        <v>11.0</v>
      </c>
      <c r="D860" s="70" t="s">
        <v>3370</v>
      </c>
      <c r="E860" s="55" t="s">
        <v>112</v>
      </c>
      <c r="F860" s="32" t="s">
        <v>48</v>
      </c>
      <c r="G860" s="32" t="s">
        <v>35</v>
      </c>
      <c r="H860" s="71" t="s">
        <v>35</v>
      </c>
      <c r="I860" s="71" t="s">
        <v>36</v>
      </c>
      <c r="J860" s="34" t="s">
        <v>92</v>
      </c>
      <c r="K860" s="57" t="s">
        <v>38</v>
      </c>
      <c r="L860" s="72">
        <v>10424.0</v>
      </c>
      <c r="M860" s="22"/>
      <c r="N860" s="73"/>
      <c r="O860" s="28">
        <v>45384.64791666667</v>
      </c>
      <c r="P860" s="35" t="s">
        <v>3371</v>
      </c>
      <c r="Q860" s="12"/>
      <c r="R860" s="12"/>
      <c r="S860" s="12"/>
      <c r="T860" s="52">
        <v>45317.0</v>
      </c>
      <c r="U860" s="52">
        <v>45348.0</v>
      </c>
      <c r="V860" s="52">
        <v>45351.0</v>
      </c>
      <c r="W860" s="30"/>
      <c r="X860" s="30"/>
      <c r="Y860" s="31"/>
      <c r="Z860" s="31"/>
      <c r="AA860" s="78" t="s">
        <v>120</v>
      </c>
      <c r="AB860" s="77" t="s">
        <v>3372</v>
      </c>
      <c r="AC860" s="74"/>
    </row>
    <row r="861" ht="16.5" customHeight="1">
      <c r="A861" s="48" t="s">
        <v>3373</v>
      </c>
      <c r="B861" s="53" t="s">
        <v>3211</v>
      </c>
      <c r="C861" s="47">
        <v>11.0</v>
      </c>
      <c r="D861" s="70" t="s">
        <v>3374</v>
      </c>
      <c r="E861" s="55" t="s">
        <v>112</v>
      </c>
      <c r="F861" s="32" t="s">
        <v>48</v>
      </c>
      <c r="G861" s="32" t="s">
        <v>35</v>
      </c>
      <c r="H861" s="71" t="s">
        <v>35</v>
      </c>
      <c r="I861" s="71" t="s">
        <v>36</v>
      </c>
      <c r="J861" s="34" t="s">
        <v>92</v>
      </c>
      <c r="K861" s="57" t="s">
        <v>38</v>
      </c>
      <c r="L861" s="72">
        <v>10424.0</v>
      </c>
      <c r="M861" s="22"/>
      <c r="N861" s="73"/>
      <c r="O861" s="28">
        <v>45384.64791666667</v>
      </c>
      <c r="P861" s="35" t="s">
        <v>3371</v>
      </c>
      <c r="Q861" s="12"/>
      <c r="R861" s="12"/>
      <c r="S861" s="12"/>
      <c r="T861" s="52">
        <v>45317.0</v>
      </c>
      <c r="U861" s="52">
        <v>45379.64791666667</v>
      </c>
      <c r="V861" s="52">
        <v>45381.64791666667</v>
      </c>
      <c r="W861" s="30"/>
      <c r="X861" s="30"/>
      <c r="Y861" s="31"/>
      <c r="Z861" s="31"/>
      <c r="AA861" s="78" t="s">
        <v>120</v>
      </c>
      <c r="AB861" s="74" t="s">
        <v>3375</v>
      </c>
      <c r="AC861" s="74"/>
    </row>
    <row r="862" ht="16.5" customHeight="1">
      <c r="A862" s="48" t="s">
        <v>3376</v>
      </c>
      <c r="B862" s="53" t="s">
        <v>3377</v>
      </c>
      <c r="C862" s="47">
        <v>90.0</v>
      </c>
      <c r="D862" s="70" t="s">
        <v>3378</v>
      </c>
      <c r="E862" s="55" t="s">
        <v>91</v>
      </c>
      <c r="F862" s="32" t="s">
        <v>48</v>
      </c>
      <c r="G862" s="32" t="s">
        <v>35</v>
      </c>
      <c r="H862" s="71" t="s">
        <v>35</v>
      </c>
      <c r="I862" s="71" t="s">
        <v>36</v>
      </c>
      <c r="J862" s="34" t="s">
        <v>65</v>
      </c>
      <c r="K862" s="57" t="s">
        <v>38</v>
      </c>
      <c r="L862" s="72">
        <v>10435.0</v>
      </c>
      <c r="M862" s="22"/>
      <c r="N862" s="73"/>
      <c r="O862" s="28">
        <v>45357.0</v>
      </c>
      <c r="P862" s="35" t="s">
        <v>3379</v>
      </c>
      <c r="Q862" s="12"/>
      <c r="R862" s="12"/>
      <c r="S862" s="12"/>
      <c r="T862" s="52">
        <v>45317.0</v>
      </c>
      <c r="U862" s="52">
        <v>45331.0</v>
      </c>
      <c r="V862" s="52">
        <v>45355.0</v>
      </c>
      <c r="W862" s="30"/>
      <c r="X862" s="30"/>
      <c r="Y862" s="31"/>
      <c r="Z862" s="31"/>
      <c r="AA862" s="78" t="s">
        <v>94</v>
      </c>
      <c r="AB862" s="74" t="s">
        <v>3380</v>
      </c>
      <c r="AC862" s="74"/>
    </row>
    <row r="863" ht="16.5" customHeight="1">
      <c r="A863" s="48" t="s">
        <v>3381</v>
      </c>
      <c r="B863" s="53" t="s">
        <v>3382</v>
      </c>
      <c r="C863" s="47">
        <v>0.0</v>
      </c>
      <c r="D863" s="70" t="s">
        <v>3383</v>
      </c>
      <c r="E863" s="55" t="s">
        <v>804</v>
      </c>
      <c r="F863" s="32" t="s">
        <v>244</v>
      </c>
      <c r="G863" s="32" t="s">
        <v>35</v>
      </c>
      <c r="H863" s="71" t="s">
        <v>35</v>
      </c>
      <c r="I863" s="71" t="s">
        <v>36</v>
      </c>
      <c r="J863" s="34" t="s">
        <v>37</v>
      </c>
      <c r="K863" s="57" t="s">
        <v>38</v>
      </c>
      <c r="L863" s="72">
        <v>10385.0</v>
      </c>
      <c r="M863" s="22"/>
      <c r="N863" s="73"/>
      <c r="O863" s="28">
        <v>45338.0</v>
      </c>
      <c r="P863" s="35" t="s">
        <v>3384</v>
      </c>
      <c r="Q863" s="12"/>
      <c r="R863" s="12"/>
      <c r="S863" s="12"/>
      <c r="T863" s="52">
        <v>45321.0</v>
      </c>
      <c r="U863" s="52">
        <v>45321.0</v>
      </c>
      <c r="V863" s="52">
        <v>45338.0</v>
      </c>
      <c r="W863" s="30"/>
      <c r="X863" s="30"/>
      <c r="Y863" s="31"/>
      <c r="Z863" s="31"/>
      <c r="AA863" s="78" t="s">
        <v>3385</v>
      </c>
      <c r="AB863" s="74" t="s">
        <v>3386</v>
      </c>
      <c r="AC863" s="74"/>
    </row>
    <row r="864" ht="16.5" customHeight="1">
      <c r="A864" s="48" t="s">
        <v>3387</v>
      </c>
      <c r="B864" s="53" t="s">
        <v>3382</v>
      </c>
      <c r="C864" s="47">
        <v>0.0</v>
      </c>
      <c r="D864" s="70" t="s">
        <v>3388</v>
      </c>
      <c r="E864" s="55" t="s">
        <v>804</v>
      </c>
      <c r="F864" s="32" t="s">
        <v>244</v>
      </c>
      <c r="G864" s="32" t="s">
        <v>35</v>
      </c>
      <c r="H864" s="71" t="s">
        <v>35</v>
      </c>
      <c r="I864" s="71" t="s">
        <v>36</v>
      </c>
      <c r="J864" s="34" t="s">
        <v>37</v>
      </c>
      <c r="K864" s="57" t="s">
        <v>38</v>
      </c>
      <c r="L864" s="72">
        <v>10385.0</v>
      </c>
      <c r="M864" s="22"/>
      <c r="N864" s="73"/>
      <c r="O864" s="28">
        <v>45338.0</v>
      </c>
      <c r="P864" s="35" t="s">
        <v>3384</v>
      </c>
      <c r="Q864" s="12"/>
      <c r="R864" s="12"/>
      <c r="S864" s="12"/>
      <c r="T864" s="52">
        <v>45321.0</v>
      </c>
      <c r="U864" s="52">
        <v>45321.0</v>
      </c>
      <c r="V864" s="52">
        <v>45336.0</v>
      </c>
      <c r="W864" s="30"/>
      <c r="X864" s="30"/>
      <c r="Y864" s="31"/>
      <c r="Z864" s="31"/>
      <c r="AA864" s="78" t="s">
        <v>3385</v>
      </c>
      <c r="AB864" s="74" t="s">
        <v>3389</v>
      </c>
      <c r="AC864" s="74"/>
    </row>
    <row r="865" ht="16.5" customHeight="1">
      <c r="A865" s="48" t="s">
        <v>3390</v>
      </c>
      <c r="B865" s="53" t="s">
        <v>3382</v>
      </c>
      <c r="C865" s="47">
        <v>0.0</v>
      </c>
      <c r="D865" s="70" t="s">
        <v>3391</v>
      </c>
      <c r="E865" s="55" t="s">
        <v>804</v>
      </c>
      <c r="F865" s="32" t="s">
        <v>244</v>
      </c>
      <c r="G865" s="32" t="s">
        <v>35</v>
      </c>
      <c r="H865" s="71" t="s">
        <v>35</v>
      </c>
      <c r="I865" s="71" t="s">
        <v>36</v>
      </c>
      <c r="J865" s="34" t="s">
        <v>37</v>
      </c>
      <c r="K865" s="57" t="s">
        <v>38</v>
      </c>
      <c r="L865" s="72">
        <v>10449.0</v>
      </c>
      <c r="M865" s="22"/>
      <c r="N865" s="73"/>
      <c r="O865" s="28">
        <v>45358.0</v>
      </c>
      <c r="P865" s="35" t="s">
        <v>3384</v>
      </c>
      <c r="Q865" s="12"/>
      <c r="R865" s="12"/>
      <c r="S865" s="12"/>
      <c r="T865" s="52">
        <v>45321.0</v>
      </c>
      <c r="U865" s="52">
        <v>45321.0</v>
      </c>
      <c r="V865" s="52">
        <v>45336.0</v>
      </c>
      <c r="W865" s="30"/>
      <c r="X865" s="30"/>
      <c r="Y865" s="31"/>
      <c r="Z865" s="31"/>
      <c r="AA865" s="78" t="s">
        <v>3385</v>
      </c>
      <c r="AB865" s="74" t="s">
        <v>3392</v>
      </c>
      <c r="AC865" s="74"/>
    </row>
    <row r="866" ht="16.5" customHeight="1">
      <c r="A866" s="48" t="s">
        <v>3393</v>
      </c>
      <c r="B866" s="53" t="s">
        <v>746</v>
      </c>
      <c r="C866" s="47">
        <v>1.0</v>
      </c>
      <c r="D866" s="70" t="s">
        <v>3394</v>
      </c>
      <c r="E866" s="55" t="s">
        <v>3395</v>
      </c>
      <c r="F866" s="32" t="s">
        <v>48</v>
      </c>
      <c r="G866" s="32" t="s">
        <v>35</v>
      </c>
      <c r="H866" s="71" t="s">
        <v>35</v>
      </c>
      <c r="I866" s="71" t="s">
        <v>36</v>
      </c>
      <c r="J866" s="34" t="s">
        <v>65</v>
      </c>
      <c r="K866" s="57" t="s">
        <v>38</v>
      </c>
      <c r="L866" s="72">
        <v>10574.0</v>
      </c>
      <c r="M866" s="22"/>
      <c r="N866" s="73"/>
      <c r="O866" s="28">
        <v>45384.66527777778</v>
      </c>
      <c r="P866" s="35" t="s">
        <v>3396</v>
      </c>
      <c r="Q866" s="12"/>
      <c r="R866" s="12"/>
      <c r="S866" s="12"/>
      <c r="T866" s="52">
        <v>45321.0</v>
      </c>
      <c r="U866" s="52">
        <v>45384.0</v>
      </c>
      <c r="V866" s="52">
        <v>45384.0</v>
      </c>
      <c r="W866" s="30"/>
      <c r="X866" s="30"/>
      <c r="Y866" s="31"/>
      <c r="Z866" s="31"/>
      <c r="AA866" s="78" t="s">
        <v>94</v>
      </c>
      <c r="AB866" s="74" t="s">
        <v>3397</v>
      </c>
      <c r="AC866" s="74"/>
    </row>
    <row r="867" ht="16.5" customHeight="1">
      <c r="A867" s="48" t="s">
        <v>3398</v>
      </c>
      <c r="B867" s="53" t="s">
        <v>746</v>
      </c>
      <c r="C867" s="47">
        <v>27.0</v>
      </c>
      <c r="D867" s="70" t="s">
        <v>3399</v>
      </c>
      <c r="E867" s="55" t="s">
        <v>72</v>
      </c>
      <c r="F867" s="32" t="s">
        <v>48</v>
      </c>
      <c r="G867" s="32" t="s">
        <v>35</v>
      </c>
      <c r="H867" s="71" t="s">
        <v>35</v>
      </c>
      <c r="I867" s="71" t="s">
        <v>36</v>
      </c>
      <c r="J867" s="34" t="s">
        <v>65</v>
      </c>
      <c r="K867" s="57" t="s">
        <v>38</v>
      </c>
      <c r="L867" s="72">
        <v>10574.0</v>
      </c>
      <c r="M867" s="22"/>
      <c r="N867" s="73"/>
      <c r="O867" s="28">
        <v>45384.66527777778</v>
      </c>
      <c r="P867" s="35" t="s">
        <v>3396</v>
      </c>
      <c r="Q867" s="12"/>
      <c r="R867" s="12"/>
      <c r="S867" s="12"/>
      <c r="T867" s="52">
        <v>45321.0</v>
      </c>
      <c r="U867" s="52">
        <v>45384.0</v>
      </c>
      <c r="V867" s="52">
        <v>45384.0</v>
      </c>
      <c r="W867" s="30"/>
      <c r="X867" s="30"/>
      <c r="Y867" s="31"/>
      <c r="Z867" s="31"/>
      <c r="AA867" s="78" t="s">
        <v>94</v>
      </c>
      <c r="AB867" s="74" t="s">
        <v>3400</v>
      </c>
      <c r="AC867" s="74"/>
    </row>
    <row r="868" ht="16.5" customHeight="1">
      <c r="A868" s="48" t="s">
        <v>3401</v>
      </c>
      <c r="B868" s="53" t="s">
        <v>746</v>
      </c>
      <c r="C868" s="47">
        <v>27.0</v>
      </c>
      <c r="D868" s="70" t="s">
        <v>3402</v>
      </c>
      <c r="E868" s="55" t="s">
        <v>72</v>
      </c>
      <c r="F868" s="32" t="s">
        <v>48</v>
      </c>
      <c r="G868" s="32" t="s">
        <v>35</v>
      </c>
      <c r="H868" s="71" t="s">
        <v>35</v>
      </c>
      <c r="I868" s="71" t="s">
        <v>36</v>
      </c>
      <c r="J868" s="34" t="s">
        <v>65</v>
      </c>
      <c r="K868" s="57" t="s">
        <v>38</v>
      </c>
      <c r="L868" s="72">
        <v>10574.0</v>
      </c>
      <c r="M868" s="22"/>
      <c r="N868" s="73"/>
      <c r="O868" s="28">
        <v>45384.66527777778</v>
      </c>
      <c r="P868" s="35" t="s">
        <v>3396</v>
      </c>
      <c r="Q868" s="12"/>
      <c r="R868" s="12"/>
      <c r="S868" s="12"/>
      <c r="T868" s="52">
        <v>45321.0</v>
      </c>
      <c r="U868" s="52">
        <v>45384.0</v>
      </c>
      <c r="V868" s="52">
        <v>45384.0</v>
      </c>
      <c r="W868" s="30"/>
      <c r="X868" s="30"/>
      <c r="Y868" s="31"/>
      <c r="Z868" s="31"/>
      <c r="AA868" s="78" t="s">
        <v>94</v>
      </c>
      <c r="AB868" s="74" t="s">
        <v>3403</v>
      </c>
      <c r="AC868" s="74"/>
    </row>
    <row r="869" ht="16.5" customHeight="1">
      <c r="A869" s="48" t="s">
        <v>3404</v>
      </c>
      <c r="B869" s="53" t="s">
        <v>746</v>
      </c>
      <c r="C869" s="47">
        <v>11.0</v>
      </c>
      <c r="D869" s="70" t="s">
        <v>3405</v>
      </c>
      <c r="E869" s="55" t="s">
        <v>112</v>
      </c>
      <c r="F869" s="32" t="s">
        <v>48</v>
      </c>
      <c r="G869" s="32" t="s">
        <v>35</v>
      </c>
      <c r="H869" s="71" t="s">
        <v>35</v>
      </c>
      <c r="I869" s="71" t="s">
        <v>36</v>
      </c>
      <c r="J869" s="34" t="s">
        <v>65</v>
      </c>
      <c r="K869" s="57" t="s">
        <v>38</v>
      </c>
      <c r="L869" s="72">
        <v>10475.0</v>
      </c>
      <c r="M869" s="22"/>
      <c r="N869" s="73"/>
      <c r="O869" s="28">
        <v>45363.0</v>
      </c>
      <c r="P869" s="35" t="s">
        <v>3396</v>
      </c>
      <c r="Q869" s="12"/>
      <c r="R869" s="12"/>
      <c r="S869" s="12"/>
      <c r="T869" s="52">
        <v>45321.0</v>
      </c>
      <c r="U869" s="52">
        <v>45362.0</v>
      </c>
      <c r="V869" s="52">
        <v>45384.0</v>
      </c>
      <c r="W869" s="30"/>
      <c r="X869" s="30"/>
      <c r="Y869" s="31"/>
      <c r="Z869" s="31"/>
      <c r="AA869" s="78" t="s">
        <v>94</v>
      </c>
      <c r="AB869" s="74" t="s">
        <v>3406</v>
      </c>
      <c r="AC869" s="74"/>
    </row>
    <row r="870" ht="16.5" customHeight="1">
      <c r="A870" s="48" t="s">
        <v>3407</v>
      </c>
      <c r="B870" s="53" t="s">
        <v>746</v>
      </c>
      <c r="C870" s="47">
        <v>11.0</v>
      </c>
      <c r="D870" s="70" t="s">
        <v>3408</v>
      </c>
      <c r="E870" s="55" t="s">
        <v>112</v>
      </c>
      <c r="F870" s="32" t="s">
        <v>48</v>
      </c>
      <c r="G870" s="32" t="s">
        <v>35</v>
      </c>
      <c r="H870" s="71" t="s">
        <v>35</v>
      </c>
      <c r="I870" s="71" t="s">
        <v>36</v>
      </c>
      <c r="J870" s="34" t="s">
        <v>65</v>
      </c>
      <c r="K870" s="57" t="s">
        <v>38</v>
      </c>
      <c r="L870" s="72">
        <v>10475.0</v>
      </c>
      <c r="M870" s="22"/>
      <c r="N870" s="73"/>
      <c r="O870" s="28">
        <v>45363.0</v>
      </c>
      <c r="P870" s="35" t="s">
        <v>3396</v>
      </c>
      <c r="Q870" s="12"/>
      <c r="R870" s="12"/>
      <c r="S870" s="12"/>
      <c r="T870" s="52">
        <v>45321.0</v>
      </c>
      <c r="U870" s="52">
        <v>45362.0</v>
      </c>
      <c r="V870" s="52">
        <v>45363.0</v>
      </c>
      <c r="W870" s="30"/>
      <c r="X870" s="30"/>
      <c r="Y870" s="31"/>
      <c r="Z870" s="31"/>
      <c r="AA870" s="78" t="s">
        <v>94</v>
      </c>
      <c r="AB870" s="74" t="s">
        <v>3409</v>
      </c>
      <c r="AC870" s="74"/>
    </row>
    <row r="871" ht="16.5" customHeight="1">
      <c r="A871" s="48" t="s">
        <v>3410</v>
      </c>
      <c r="B871" s="53" t="s">
        <v>746</v>
      </c>
      <c r="C871" s="47">
        <v>34.0</v>
      </c>
      <c r="D871" s="70" t="s">
        <v>3411</v>
      </c>
      <c r="E871" s="55" t="s">
        <v>47</v>
      </c>
      <c r="F871" s="32" t="s">
        <v>48</v>
      </c>
      <c r="G871" s="32" t="s">
        <v>35</v>
      </c>
      <c r="H871" s="71" t="s">
        <v>35</v>
      </c>
      <c r="I871" s="71" t="s">
        <v>36</v>
      </c>
      <c r="J871" s="34" t="s">
        <v>65</v>
      </c>
      <c r="K871" s="57" t="s">
        <v>38</v>
      </c>
      <c r="L871" s="72">
        <v>10475.0</v>
      </c>
      <c r="M871" s="22"/>
      <c r="N871" s="73"/>
      <c r="O871" s="28">
        <v>45363.0</v>
      </c>
      <c r="P871" s="35" t="s">
        <v>3396</v>
      </c>
      <c r="Q871" s="12"/>
      <c r="R871" s="12"/>
      <c r="S871" s="12"/>
      <c r="T871" s="52">
        <v>45321.0</v>
      </c>
      <c r="U871" s="52">
        <v>45362.0</v>
      </c>
      <c r="V871" s="52">
        <v>45363.0</v>
      </c>
      <c r="W871" s="30"/>
      <c r="X871" s="30"/>
      <c r="Y871" s="31"/>
      <c r="Z871" s="31"/>
      <c r="AA871" s="78" t="s">
        <v>94</v>
      </c>
      <c r="AB871" s="74" t="s">
        <v>3412</v>
      </c>
      <c r="AC871" s="74"/>
    </row>
    <row r="872" ht="16.5" customHeight="1">
      <c r="A872" s="48" t="s">
        <v>3413</v>
      </c>
      <c r="B872" s="53" t="s">
        <v>880</v>
      </c>
      <c r="C872" s="47">
        <v>90.0</v>
      </c>
      <c r="D872" s="70" t="s">
        <v>3414</v>
      </c>
      <c r="E872" s="55" t="s">
        <v>91</v>
      </c>
      <c r="F872" s="32" t="s">
        <v>48</v>
      </c>
      <c r="G872" s="32" t="s">
        <v>35</v>
      </c>
      <c r="H872" s="71" t="s">
        <v>35</v>
      </c>
      <c r="I872" s="71" t="s">
        <v>36</v>
      </c>
      <c r="J872" s="34" t="s">
        <v>65</v>
      </c>
      <c r="K872" s="57" t="s">
        <v>38</v>
      </c>
      <c r="L872" s="72">
        <v>10425.0</v>
      </c>
      <c r="M872" s="22"/>
      <c r="N872" s="73"/>
      <c r="O872" s="28">
        <v>45355.0</v>
      </c>
      <c r="P872" s="35" t="s">
        <v>3415</v>
      </c>
      <c r="Q872" s="12"/>
      <c r="R872" s="12"/>
      <c r="S872" s="12"/>
      <c r="T872" s="52">
        <v>45321.0</v>
      </c>
      <c r="U872" s="52">
        <v>45352.0</v>
      </c>
      <c r="V872" s="52">
        <v>45355.0</v>
      </c>
      <c r="W872" s="30"/>
      <c r="X872" s="30"/>
      <c r="Y872" s="31"/>
      <c r="Z872" s="31"/>
      <c r="AA872" s="78" t="s">
        <v>94</v>
      </c>
      <c r="AB872" s="74" t="s">
        <v>3416</v>
      </c>
      <c r="AC872" s="74"/>
    </row>
    <row r="873" ht="16.5" customHeight="1">
      <c r="A873" s="48" t="s">
        <v>3417</v>
      </c>
      <c r="B873" s="53" t="s">
        <v>880</v>
      </c>
      <c r="C873" s="47">
        <v>90.0</v>
      </c>
      <c r="D873" s="70" t="s">
        <v>3418</v>
      </c>
      <c r="E873" s="55" t="s">
        <v>91</v>
      </c>
      <c r="F873" s="32" t="s">
        <v>48</v>
      </c>
      <c r="G873" s="32" t="s">
        <v>35</v>
      </c>
      <c r="H873" s="71" t="s">
        <v>35</v>
      </c>
      <c r="I873" s="71" t="s">
        <v>36</v>
      </c>
      <c r="J873" s="34" t="s">
        <v>65</v>
      </c>
      <c r="K873" s="57" t="s">
        <v>38</v>
      </c>
      <c r="L873" s="72">
        <v>10425.0</v>
      </c>
      <c r="M873" s="22"/>
      <c r="N873" s="73"/>
      <c r="O873" s="28">
        <v>45355.0</v>
      </c>
      <c r="P873" s="35" t="s">
        <v>3415</v>
      </c>
      <c r="Q873" s="12"/>
      <c r="R873" s="12"/>
      <c r="S873" s="12"/>
      <c r="T873" s="52">
        <v>45321.0</v>
      </c>
      <c r="U873" s="52">
        <v>45352.0</v>
      </c>
      <c r="V873" s="52">
        <v>45355.0</v>
      </c>
      <c r="W873" s="30"/>
      <c r="X873" s="30"/>
      <c r="Y873" s="31"/>
      <c r="Z873" s="31"/>
      <c r="AA873" s="78" t="s">
        <v>94</v>
      </c>
      <c r="AB873" s="74" t="s">
        <v>3419</v>
      </c>
      <c r="AC873" s="74"/>
    </row>
    <row r="874" ht="16.5" customHeight="1">
      <c r="A874" s="48" t="s">
        <v>3420</v>
      </c>
      <c r="B874" s="53" t="s">
        <v>880</v>
      </c>
      <c r="C874" s="47">
        <v>90.0</v>
      </c>
      <c r="D874" s="70" t="s">
        <v>3421</v>
      </c>
      <c r="E874" s="55" t="s">
        <v>91</v>
      </c>
      <c r="F874" s="32" t="s">
        <v>48</v>
      </c>
      <c r="G874" s="32" t="s">
        <v>35</v>
      </c>
      <c r="H874" s="71" t="s">
        <v>35</v>
      </c>
      <c r="I874" s="71" t="s">
        <v>36</v>
      </c>
      <c r="J874" s="34" t="s">
        <v>65</v>
      </c>
      <c r="K874" s="57" t="s">
        <v>38</v>
      </c>
      <c r="L874" s="72">
        <v>10425.0</v>
      </c>
      <c r="M874" s="22"/>
      <c r="N874" s="73"/>
      <c r="O874" s="28">
        <v>45355.0</v>
      </c>
      <c r="P874" s="35" t="s">
        <v>3415</v>
      </c>
      <c r="Q874" s="12"/>
      <c r="R874" s="12"/>
      <c r="S874" s="12"/>
      <c r="T874" s="52">
        <v>45321.0</v>
      </c>
      <c r="U874" s="52">
        <v>45352.0</v>
      </c>
      <c r="V874" s="52">
        <v>45355.0</v>
      </c>
      <c r="W874" s="30"/>
      <c r="X874" s="30"/>
      <c r="Y874" s="31"/>
      <c r="Z874" s="31"/>
      <c r="AA874" s="78" t="s">
        <v>94</v>
      </c>
      <c r="AB874" s="74" t="s">
        <v>3422</v>
      </c>
      <c r="AC874" s="74"/>
    </row>
    <row r="875" ht="16.5" customHeight="1">
      <c r="A875" s="48" t="s">
        <v>3423</v>
      </c>
      <c r="B875" s="53" t="s">
        <v>880</v>
      </c>
      <c r="C875" s="47">
        <v>0.0</v>
      </c>
      <c r="D875" s="70" t="s">
        <v>3424</v>
      </c>
      <c r="E875" s="55" t="s">
        <v>171</v>
      </c>
      <c r="F875" s="32" t="s">
        <v>48</v>
      </c>
      <c r="G875" s="32" t="s">
        <v>35</v>
      </c>
      <c r="H875" s="71" t="s">
        <v>35</v>
      </c>
      <c r="I875" s="71" t="s">
        <v>36</v>
      </c>
      <c r="J875" s="34" t="s">
        <v>65</v>
      </c>
      <c r="K875" s="57" t="s">
        <v>38</v>
      </c>
      <c r="L875" s="72">
        <v>10400.0</v>
      </c>
      <c r="M875" s="22"/>
      <c r="N875" s="73"/>
      <c r="O875" s="28">
        <v>45351.0</v>
      </c>
      <c r="P875" s="35" t="s">
        <v>3415</v>
      </c>
      <c r="Q875" s="12"/>
      <c r="R875" s="12"/>
      <c r="S875" s="12"/>
      <c r="T875" s="52">
        <v>45321.0</v>
      </c>
      <c r="U875" s="52">
        <v>45321.0</v>
      </c>
      <c r="V875" s="52">
        <v>45329.0</v>
      </c>
      <c r="W875" s="30"/>
      <c r="X875" s="30"/>
      <c r="Y875" s="31"/>
      <c r="Z875" s="31"/>
      <c r="AA875" s="78" t="s">
        <v>94</v>
      </c>
      <c r="AB875" s="74" t="s">
        <v>3425</v>
      </c>
      <c r="AC875" s="74"/>
    </row>
    <row r="876" ht="16.5" customHeight="1">
      <c r="A876" s="48" t="s">
        <v>3426</v>
      </c>
      <c r="B876" s="53" t="s">
        <v>880</v>
      </c>
      <c r="C876" s="47">
        <v>0.0</v>
      </c>
      <c r="D876" s="70" t="s">
        <v>3427</v>
      </c>
      <c r="E876" s="55" t="s">
        <v>171</v>
      </c>
      <c r="F876" s="32" t="s">
        <v>48</v>
      </c>
      <c r="G876" s="32" t="s">
        <v>35</v>
      </c>
      <c r="H876" s="71" t="s">
        <v>35</v>
      </c>
      <c r="I876" s="71" t="s">
        <v>36</v>
      </c>
      <c r="J876" s="34" t="s">
        <v>65</v>
      </c>
      <c r="K876" s="57" t="s">
        <v>38</v>
      </c>
      <c r="L876" s="72">
        <v>10400.0</v>
      </c>
      <c r="M876" s="22"/>
      <c r="N876" s="73"/>
      <c r="O876" s="28">
        <v>45351.0</v>
      </c>
      <c r="P876" s="35" t="s">
        <v>3415</v>
      </c>
      <c r="Q876" s="12"/>
      <c r="R876" s="12"/>
      <c r="S876" s="12"/>
      <c r="T876" s="52">
        <v>45321.0</v>
      </c>
      <c r="U876" s="52">
        <v>45321.0</v>
      </c>
      <c r="V876" s="52">
        <v>45329.0</v>
      </c>
      <c r="W876" s="30"/>
      <c r="X876" s="30"/>
      <c r="Y876" s="31"/>
      <c r="Z876" s="31"/>
      <c r="AA876" s="78" t="s">
        <v>94</v>
      </c>
      <c r="AB876" s="74" t="s">
        <v>3428</v>
      </c>
      <c r="AC876" s="74"/>
    </row>
    <row r="877" ht="16.5" customHeight="1">
      <c r="A877" s="48" t="s">
        <v>3429</v>
      </c>
      <c r="B877" s="53" t="s">
        <v>3430</v>
      </c>
      <c r="C877" s="47">
        <v>1.0</v>
      </c>
      <c r="D877" s="70" t="s">
        <v>3431</v>
      </c>
      <c r="E877" s="55" t="s">
        <v>3395</v>
      </c>
      <c r="F877" s="32" t="s">
        <v>48</v>
      </c>
      <c r="G877" s="32" t="s">
        <v>35</v>
      </c>
      <c r="H877" s="71" t="s">
        <v>35</v>
      </c>
      <c r="I877" s="71" t="s">
        <v>36</v>
      </c>
      <c r="J877" s="34" t="s">
        <v>65</v>
      </c>
      <c r="K877" s="57" t="s">
        <v>38</v>
      </c>
      <c r="L877" s="72">
        <v>10573.0</v>
      </c>
      <c r="M877" s="22"/>
      <c r="N877" s="73"/>
      <c r="O877" s="28">
        <v>45384.65347222222</v>
      </c>
      <c r="P877" s="35" t="s">
        <v>3396</v>
      </c>
      <c r="Q877" s="12"/>
      <c r="R877" s="12"/>
      <c r="S877" s="12"/>
      <c r="T877" s="52">
        <v>45321.0</v>
      </c>
      <c r="U877" s="52">
        <v>45384.0</v>
      </c>
      <c r="V877" s="52">
        <v>45384.0</v>
      </c>
      <c r="W877" s="30"/>
      <c r="X877" s="30"/>
      <c r="Y877" s="31"/>
      <c r="Z877" s="31"/>
      <c r="AA877" s="31"/>
      <c r="AB877" s="74" t="s">
        <v>3432</v>
      </c>
      <c r="AC877" s="74"/>
    </row>
    <row r="878" ht="16.5" customHeight="1">
      <c r="A878" s="48" t="s">
        <v>3433</v>
      </c>
      <c r="B878" s="53" t="s">
        <v>3430</v>
      </c>
      <c r="C878" s="47">
        <v>1.0</v>
      </c>
      <c r="D878" s="70" t="s">
        <v>3434</v>
      </c>
      <c r="E878" s="55" t="s">
        <v>3395</v>
      </c>
      <c r="F878" s="32" t="s">
        <v>48</v>
      </c>
      <c r="G878" s="32" t="s">
        <v>35</v>
      </c>
      <c r="H878" s="71" t="s">
        <v>35</v>
      </c>
      <c r="I878" s="71" t="s">
        <v>36</v>
      </c>
      <c r="J878" s="34" t="s">
        <v>65</v>
      </c>
      <c r="K878" s="57" t="s">
        <v>38</v>
      </c>
      <c r="L878" s="72">
        <v>10573.0</v>
      </c>
      <c r="M878" s="22"/>
      <c r="N878" s="73"/>
      <c r="O878" s="28">
        <v>45384.65416666667</v>
      </c>
      <c r="P878" s="35" t="s">
        <v>3396</v>
      </c>
      <c r="Q878" s="12"/>
      <c r="R878" s="12"/>
      <c r="S878" s="12"/>
      <c r="T878" s="52">
        <v>45321.0</v>
      </c>
      <c r="U878" s="52">
        <v>45384.0</v>
      </c>
      <c r="V878" s="52">
        <v>45384.0</v>
      </c>
      <c r="W878" s="30"/>
      <c r="X878" s="30"/>
      <c r="Y878" s="31"/>
      <c r="Z878" s="31"/>
      <c r="AA878" s="31"/>
      <c r="AB878" s="74" t="s">
        <v>3435</v>
      </c>
      <c r="AC878" s="74"/>
    </row>
    <row r="879" ht="16.5" customHeight="1">
      <c r="A879" s="48" t="s">
        <v>3436</v>
      </c>
      <c r="B879" s="53" t="s">
        <v>3430</v>
      </c>
      <c r="C879" s="47">
        <v>1.0</v>
      </c>
      <c r="D879" s="70" t="s">
        <v>3437</v>
      </c>
      <c r="E879" s="55" t="s">
        <v>3395</v>
      </c>
      <c r="F879" s="32" t="s">
        <v>48</v>
      </c>
      <c r="G879" s="32" t="s">
        <v>35</v>
      </c>
      <c r="H879" s="71" t="s">
        <v>35</v>
      </c>
      <c r="I879" s="71" t="s">
        <v>36</v>
      </c>
      <c r="J879" s="34" t="s">
        <v>65</v>
      </c>
      <c r="K879" s="57" t="s">
        <v>38</v>
      </c>
      <c r="L879" s="72">
        <v>10573.0</v>
      </c>
      <c r="M879" s="22"/>
      <c r="N879" s="73"/>
      <c r="O879" s="28">
        <v>45384.65416666667</v>
      </c>
      <c r="P879" s="35" t="s">
        <v>3396</v>
      </c>
      <c r="Q879" s="12"/>
      <c r="R879" s="12"/>
      <c r="S879" s="12"/>
      <c r="T879" s="52">
        <v>45321.0</v>
      </c>
      <c r="U879" s="52">
        <v>45384.0</v>
      </c>
      <c r="V879" s="52">
        <v>45384.0</v>
      </c>
      <c r="W879" s="30"/>
      <c r="X879" s="30"/>
      <c r="Y879" s="31"/>
      <c r="Z879" s="31"/>
      <c r="AA879" s="31"/>
      <c r="AB879" s="74" t="s">
        <v>3438</v>
      </c>
      <c r="AC879" s="74"/>
    </row>
    <row r="880" ht="16.5" customHeight="1">
      <c r="A880" s="48" t="s">
        <v>3439</v>
      </c>
      <c r="B880" s="53" t="s">
        <v>3430</v>
      </c>
      <c r="C880" s="47">
        <v>0.0</v>
      </c>
      <c r="D880" s="70" t="s">
        <v>3440</v>
      </c>
      <c r="E880" s="55" t="s">
        <v>3441</v>
      </c>
      <c r="F880" s="32" t="s">
        <v>48</v>
      </c>
      <c r="G880" s="32" t="s">
        <v>35</v>
      </c>
      <c r="H880" s="71" t="s">
        <v>35</v>
      </c>
      <c r="I880" s="71" t="s">
        <v>36</v>
      </c>
      <c r="J880" s="34" t="s">
        <v>65</v>
      </c>
      <c r="K880" s="57" t="s">
        <v>38</v>
      </c>
      <c r="L880" s="72">
        <v>10842.0</v>
      </c>
      <c r="M880" s="22" t="s">
        <v>50</v>
      </c>
      <c r="N880" s="35" t="s">
        <v>3442</v>
      </c>
      <c r="O880" s="28">
        <v>45435.72435185185</v>
      </c>
      <c r="P880" s="35" t="s">
        <v>3396</v>
      </c>
      <c r="Q880" s="12"/>
      <c r="R880" s="12"/>
      <c r="S880" s="12"/>
      <c r="T880" s="52">
        <v>45321.0</v>
      </c>
      <c r="U880" s="29"/>
      <c r="V880" s="52">
        <v>45435.57487268518</v>
      </c>
      <c r="W880" s="30"/>
      <c r="X880" s="30"/>
      <c r="Y880" s="31"/>
      <c r="Z880" s="31"/>
      <c r="AA880" s="31"/>
      <c r="AB880" s="74" t="s">
        <v>3443</v>
      </c>
      <c r="AC880" s="74"/>
    </row>
    <row r="881" ht="16.5" customHeight="1">
      <c r="A881" s="48" t="s">
        <v>3444</v>
      </c>
      <c r="B881" s="53" t="s">
        <v>3430</v>
      </c>
      <c r="C881" s="47">
        <v>0.0</v>
      </c>
      <c r="D881" s="70" t="s">
        <v>3445</v>
      </c>
      <c r="E881" s="55" t="s">
        <v>3441</v>
      </c>
      <c r="F881" s="32" t="s">
        <v>48</v>
      </c>
      <c r="G881" s="32" t="s">
        <v>35</v>
      </c>
      <c r="H881" s="71" t="s">
        <v>35</v>
      </c>
      <c r="I881" s="71" t="s">
        <v>36</v>
      </c>
      <c r="J881" s="34" t="s">
        <v>65</v>
      </c>
      <c r="K881" s="57" t="s">
        <v>38</v>
      </c>
      <c r="L881" s="72">
        <v>10842.0</v>
      </c>
      <c r="M881" s="22" t="s">
        <v>50</v>
      </c>
      <c r="N881" s="35" t="s">
        <v>3442</v>
      </c>
      <c r="O881" s="28">
        <v>45435.72440972222</v>
      </c>
      <c r="P881" s="35" t="s">
        <v>3396</v>
      </c>
      <c r="Q881" s="12"/>
      <c r="R881" s="12"/>
      <c r="S881" s="12"/>
      <c r="T881" s="52">
        <v>45321.0</v>
      </c>
      <c r="U881" s="29"/>
      <c r="V881" s="52">
        <v>45435.57487268518</v>
      </c>
      <c r="W881" s="30"/>
      <c r="X881" s="30"/>
      <c r="Y881" s="31"/>
      <c r="Z881" s="31"/>
      <c r="AA881" s="31"/>
      <c r="AB881" s="74" t="s">
        <v>3446</v>
      </c>
      <c r="AC881" s="74"/>
    </row>
    <row r="882" ht="16.5" customHeight="1">
      <c r="A882" s="48" t="s">
        <v>3447</v>
      </c>
      <c r="B882" s="53" t="s">
        <v>3430</v>
      </c>
      <c r="C882" s="47">
        <v>0.0</v>
      </c>
      <c r="D882" s="70" t="s">
        <v>3448</v>
      </c>
      <c r="E882" s="55" t="s">
        <v>3441</v>
      </c>
      <c r="F882" s="32" t="s">
        <v>48</v>
      </c>
      <c r="G882" s="32" t="s">
        <v>35</v>
      </c>
      <c r="H882" s="71" t="s">
        <v>35</v>
      </c>
      <c r="I882" s="71" t="s">
        <v>36</v>
      </c>
      <c r="J882" s="34" t="s">
        <v>65</v>
      </c>
      <c r="K882" s="57" t="s">
        <v>38</v>
      </c>
      <c r="L882" s="72">
        <v>10842.0</v>
      </c>
      <c r="M882" s="22" t="s">
        <v>50</v>
      </c>
      <c r="N882" s="35" t="s">
        <v>3442</v>
      </c>
      <c r="O882" s="28">
        <v>45435.72446759259</v>
      </c>
      <c r="P882" s="35" t="s">
        <v>3396</v>
      </c>
      <c r="Q882" s="12"/>
      <c r="R882" s="12"/>
      <c r="S882" s="12"/>
      <c r="T882" s="52">
        <v>45321.0</v>
      </c>
      <c r="U882" s="29"/>
      <c r="V882" s="52">
        <v>45435.57488425926</v>
      </c>
      <c r="W882" s="30"/>
      <c r="X882" s="30"/>
      <c r="Y882" s="31"/>
      <c r="Z882" s="31"/>
      <c r="AA882" s="31"/>
      <c r="AB882" s="74" t="s">
        <v>3449</v>
      </c>
      <c r="AC882" s="74"/>
    </row>
    <row r="883" ht="16.5" customHeight="1">
      <c r="A883" s="48" t="s">
        <v>3450</v>
      </c>
      <c r="B883" s="53" t="s">
        <v>3430</v>
      </c>
      <c r="C883" s="47">
        <v>27.0</v>
      </c>
      <c r="D883" s="70" t="s">
        <v>3451</v>
      </c>
      <c r="E883" s="55" t="s">
        <v>72</v>
      </c>
      <c r="F883" s="32" t="s">
        <v>48</v>
      </c>
      <c r="G883" s="32" t="s">
        <v>35</v>
      </c>
      <c r="H883" s="71" t="s">
        <v>35</v>
      </c>
      <c r="I883" s="71" t="s">
        <v>36</v>
      </c>
      <c r="J883" s="34" t="s">
        <v>65</v>
      </c>
      <c r="K883" s="57" t="s">
        <v>38</v>
      </c>
      <c r="L883" s="72">
        <v>10573.0</v>
      </c>
      <c r="M883" s="22"/>
      <c r="N883" s="73"/>
      <c r="O883" s="28">
        <v>45384.65416666667</v>
      </c>
      <c r="P883" s="35" t="s">
        <v>3396</v>
      </c>
      <c r="Q883" s="12"/>
      <c r="R883" s="12"/>
      <c r="S883" s="12"/>
      <c r="T883" s="52">
        <v>45321.0</v>
      </c>
      <c r="U883" s="52">
        <v>45384.0</v>
      </c>
      <c r="V883" s="52">
        <v>45384.0</v>
      </c>
      <c r="W883" s="30"/>
      <c r="X883" s="30"/>
      <c r="Y883" s="31"/>
      <c r="Z883" s="31"/>
      <c r="AA883" s="31"/>
      <c r="AB883" s="74" t="s">
        <v>3452</v>
      </c>
      <c r="AC883" s="74"/>
    </row>
    <row r="884" ht="16.5" customHeight="1">
      <c r="A884" s="48" t="s">
        <v>3453</v>
      </c>
      <c r="B884" s="53" t="s">
        <v>3430</v>
      </c>
      <c r="C884" s="47">
        <v>27.0</v>
      </c>
      <c r="D884" s="70" t="s">
        <v>3454</v>
      </c>
      <c r="E884" s="55" t="s">
        <v>72</v>
      </c>
      <c r="F884" s="32" t="s">
        <v>48</v>
      </c>
      <c r="G884" s="32" t="s">
        <v>35</v>
      </c>
      <c r="H884" s="71" t="s">
        <v>35</v>
      </c>
      <c r="I884" s="71" t="s">
        <v>36</v>
      </c>
      <c r="J884" s="34" t="s">
        <v>65</v>
      </c>
      <c r="K884" s="57" t="s">
        <v>38</v>
      </c>
      <c r="L884" s="72">
        <v>10573.0</v>
      </c>
      <c r="M884" s="22"/>
      <c r="N884" s="73"/>
      <c r="O884" s="28">
        <v>45384.65416666667</v>
      </c>
      <c r="P884" s="35" t="s">
        <v>3396</v>
      </c>
      <c r="Q884" s="12"/>
      <c r="R884" s="12"/>
      <c r="S884" s="12"/>
      <c r="T884" s="52">
        <v>45321.0</v>
      </c>
      <c r="U884" s="52">
        <v>45384.0</v>
      </c>
      <c r="V884" s="52">
        <v>45384.0</v>
      </c>
      <c r="W884" s="30"/>
      <c r="X884" s="30"/>
      <c r="Y884" s="31"/>
      <c r="Z884" s="31"/>
      <c r="AA884" s="31"/>
      <c r="AB884" s="74" t="s">
        <v>3455</v>
      </c>
      <c r="AC884" s="74"/>
    </row>
    <row r="885" ht="16.5" customHeight="1">
      <c r="A885" s="48" t="s">
        <v>3456</v>
      </c>
      <c r="B885" s="53" t="s">
        <v>3430</v>
      </c>
      <c r="C885" s="47">
        <v>27.0</v>
      </c>
      <c r="D885" s="70" t="s">
        <v>3457</v>
      </c>
      <c r="E885" s="55" t="s">
        <v>72</v>
      </c>
      <c r="F885" s="32" t="s">
        <v>48</v>
      </c>
      <c r="G885" s="32" t="s">
        <v>35</v>
      </c>
      <c r="H885" s="71" t="s">
        <v>35</v>
      </c>
      <c r="I885" s="71" t="s">
        <v>36</v>
      </c>
      <c r="J885" s="34" t="s">
        <v>65</v>
      </c>
      <c r="K885" s="57" t="s">
        <v>38</v>
      </c>
      <c r="L885" s="72">
        <v>10573.0</v>
      </c>
      <c r="M885" s="22"/>
      <c r="N885" s="73"/>
      <c r="O885" s="28">
        <v>45384.65416666667</v>
      </c>
      <c r="P885" s="35" t="s">
        <v>3396</v>
      </c>
      <c r="Q885" s="12"/>
      <c r="R885" s="12"/>
      <c r="S885" s="12"/>
      <c r="T885" s="52">
        <v>45321.0</v>
      </c>
      <c r="U885" s="52">
        <v>45384.0</v>
      </c>
      <c r="V885" s="52">
        <v>45384.0</v>
      </c>
      <c r="W885" s="30"/>
      <c r="X885" s="30"/>
      <c r="Y885" s="31"/>
      <c r="Z885" s="31"/>
      <c r="AA885" s="31"/>
      <c r="AB885" s="74" t="s">
        <v>3458</v>
      </c>
      <c r="AC885" s="74"/>
    </row>
    <row r="886" ht="16.5" customHeight="1">
      <c r="A886" s="48" t="s">
        <v>3459</v>
      </c>
      <c r="B886" s="53" t="s">
        <v>3430</v>
      </c>
      <c r="C886" s="47">
        <v>27.0</v>
      </c>
      <c r="D886" s="70" t="s">
        <v>3460</v>
      </c>
      <c r="E886" s="55" t="s">
        <v>72</v>
      </c>
      <c r="F886" s="32" t="s">
        <v>48</v>
      </c>
      <c r="G886" s="32" t="s">
        <v>35</v>
      </c>
      <c r="H886" s="71" t="s">
        <v>35</v>
      </c>
      <c r="I886" s="71" t="s">
        <v>36</v>
      </c>
      <c r="J886" s="34" t="s">
        <v>65</v>
      </c>
      <c r="K886" s="57" t="s">
        <v>38</v>
      </c>
      <c r="L886" s="72">
        <v>10605.0</v>
      </c>
      <c r="M886" s="22"/>
      <c r="N886" s="35" t="s">
        <v>3461</v>
      </c>
      <c r="O886" s="28">
        <v>45387.69513888889</v>
      </c>
      <c r="P886" s="35" t="s">
        <v>3462</v>
      </c>
      <c r="Q886" s="12"/>
      <c r="R886" s="12"/>
      <c r="S886" s="12"/>
      <c r="T886" s="52">
        <v>45321.0</v>
      </c>
      <c r="U886" s="52">
        <v>45384.0</v>
      </c>
      <c r="V886" s="52">
        <v>45384.0</v>
      </c>
      <c r="W886" s="30"/>
      <c r="X886" s="30"/>
      <c r="Y886" s="31"/>
      <c r="Z886" s="31"/>
      <c r="AA886" s="31"/>
      <c r="AB886" s="74" t="s">
        <v>3463</v>
      </c>
      <c r="AC886" s="74"/>
    </row>
    <row r="887" ht="16.5" customHeight="1">
      <c r="A887" s="48" t="s">
        <v>3464</v>
      </c>
      <c r="B887" s="53" t="s">
        <v>3430</v>
      </c>
      <c r="C887" s="47">
        <v>27.0</v>
      </c>
      <c r="D887" s="70" t="s">
        <v>3465</v>
      </c>
      <c r="E887" s="55" t="s">
        <v>72</v>
      </c>
      <c r="F887" s="32" t="s">
        <v>48</v>
      </c>
      <c r="G887" s="32" t="s">
        <v>35</v>
      </c>
      <c r="H887" s="71" t="s">
        <v>35</v>
      </c>
      <c r="I887" s="71" t="s">
        <v>36</v>
      </c>
      <c r="J887" s="34" t="s">
        <v>65</v>
      </c>
      <c r="K887" s="57" t="s">
        <v>38</v>
      </c>
      <c r="L887" s="72">
        <v>10605.0</v>
      </c>
      <c r="M887" s="22"/>
      <c r="N887" s="35" t="s">
        <v>3461</v>
      </c>
      <c r="O887" s="28">
        <v>45387.69513888889</v>
      </c>
      <c r="P887" s="35" t="s">
        <v>3462</v>
      </c>
      <c r="Q887" s="12"/>
      <c r="R887" s="12"/>
      <c r="S887" s="12"/>
      <c r="T887" s="52">
        <v>45321.0</v>
      </c>
      <c r="U887" s="52">
        <v>45384.0</v>
      </c>
      <c r="V887" s="52">
        <v>45384.0</v>
      </c>
      <c r="W887" s="30"/>
      <c r="X887" s="30"/>
      <c r="Y887" s="31"/>
      <c r="Z887" s="31"/>
      <c r="AA887" s="31"/>
      <c r="AB887" s="74" t="s">
        <v>3466</v>
      </c>
      <c r="AC887" s="74"/>
    </row>
    <row r="888" ht="16.5" customHeight="1">
      <c r="A888" s="48" t="s">
        <v>3467</v>
      </c>
      <c r="B888" s="53" t="s">
        <v>115</v>
      </c>
      <c r="C888" s="47">
        <v>0.0</v>
      </c>
      <c r="D888" s="70" t="s">
        <v>3468</v>
      </c>
      <c r="E888" s="55" t="s">
        <v>1119</v>
      </c>
      <c r="F888" s="32" t="s">
        <v>33</v>
      </c>
      <c r="G888" s="32" t="s">
        <v>35</v>
      </c>
      <c r="H888" s="71" t="s">
        <v>35</v>
      </c>
      <c r="I888" s="71" t="s">
        <v>36</v>
      </c>
      <c r="J888" s="34" t="s">
        <v>92</v>
      </c>
      <c r="K888" s="57" t="s">
        <v>38</v>
      </c>
      <c r="L888" s="72">
        <v>10384.0</v>
      </c>
      <c r="M888" s="22"/>
      <c r="N888" s="73"/>
      <c r="O888" s="28">
        <v>45351.0</v>
      </c>
      <c r="P888" s="35" t="s">
        <v>3469</v>
      </c>
      <c r="Q888" s="12"/>
      <c r="R888" s="12"/>
      <c r="S888" s="12"/>
      <c r="T888" s="52">
        <v>45322.0</v>
      </c>
      <c r="U888" s="52">
        <v>45348.0</v>
      </c>
      <c r="V888" s="52">
        <v>45351.0</v>
      </c>
      <c r="W888" s="30"/>
      <c r="X888" s="30"/>
      <c r="Y888" s="31"/>
      <c r="Z888" s="31"/>
      <c r="AA888" s="78" t="s">
        <v>120</v>
      </c>
      <c r="AB888" s="74" t="s">
        <v>3470</v>
      </c>
      <c r="AC888" s="74"/>
    </row>
    <row r="889" ht="16.5" customHeight="1">
      <c r="A889" s="48" t="s">
        <v>3471</v>
      </c>
      <c r="B889" s="53" t="s">
        <v>3289</v>
      </c>
      <c r="C889" s="47">
        <v>0.0</v>
      </c>
      <c r="D889" s="70" t="s">
        <v>3472</v>
      </c>
      <c r="E889" s="55" t="s">
        <v>664</v>
      </c>
      <c r="F889" s="32" t="s">
        <v>48</v>
      </c>
      <c r="G889" s="32" t="s">
        <v>35</v>
      </c>
      <c r="H889" s="71" t="s">
        <v>35</v>
      </c>
      <c r="I889" s="71" t="s">
        <v>36</v>
      </c>
      <c r="J889" s="34" t="s">
        <v>92</v>
      </c>
      <c r="K889" s="57" t="s">
        <v>38</v>
      </c>
      <c r="L889" s="72">
        <v>10357.0</v>
      </c>
      <c r="M889" s="22"/>
      <c r="N889" s="73"/>
      <c r="O889" s="28">
        <v>45351.0</v>
      </c>
      <c r="P889" s="35" t="s">
        <v>3473</v>
      </c>
      <c r="Q889" s="12"/>
      <c r="R889" s="12"/>
      <c r="S889" s="12"/>
      <c r="T889" s="52">
        <v>45323.0</v>
      </c>
      <c r="U889" s="52">
        <v>45323.0</v>
      </c>
      <c r="V889" s="52">
        <v>45328.0</v>
      </c>
      <c r="W889" s="30"/>
      <c r="X889" s="30"/>
      <c r="Y889" s="31"/>
      <c r="Z889" s="31"/>
      <c r="AA889" s="78" t="s">
        <v>120</v>
      </c>
      <c r="AB889" s="74" t="s">
        <v>3474</v>
      </c>
      <c r="AC889" s="74"/>
    </row>
    <row r="890" ht="16.5" customHeight="1">
      <c r="A890" s="48" t="s">
        <v>3475</v>
      </c>
      <c r="B890" s="53" t="s">
        <v>3183</v>
      </c>
      <c r="C890" s="47">
        <v>0.0</v>
      </c>
      <c r="D890" s="70" t="s">
        <v>3476</v>
      </c>
      <c r="E890" s="55" t="s">
        <v>177</v>
      </c>
      <c r="F890" s="32" t="s">
        <v>48</v>
      </c>
      <c r="G890" s="32" t="s">
        <v>35</v>
      </c>
      <c r="H890" s="71" t="s">
        <v>35</v>
      </c>
      <c r="I890" s="71" t="s">
        <v>36</v>
      </c>
      <c r="J890" s="34" t="s">
        <v>92</v>
      </c>
      <c r="K890" s="57" t="s">
        <v>38</v>
      </c>
      <c r="L890" s="72">
        <v>10337.0</v>
      </c>
      <c r="M890" s="22"/>
      <c r="N890" s="73"/>
      <c r="O890" s="28">
        <v>45323.0</v>
      </c>
      <c r="P890" s="35" t="s">
        <v>3477</v>
      </c>
      <c r="Q890" s="12"/>
      <c r="R890" s="12"/>
      <c r="S890" s="12"/>
      <c r="T890" s="52">
        <v>45324.0</v>
      </c>
      <c r="U890" s="52">
        <v>45318.0</v>
      </c>
      <c r="V890" s="52">
        <v>45322.0</v>
      </c>
      <c r="W890" s="30"/>
      <c r="X890" s="30"/>
      <c r="Y890" s="31"/>
      <c r="Z890" s="31"/>
      <c r="AA890" s="78" t="s">
        <v>120</v>
      </c>
      <c r="AB890" s="74" t="s">
        <v>3478</v>
      </c>
      <c r="AC890" s="74"/>
    </row>
    <row r="891" ht="16.5" customHeight="1">
      <c r="A891" s="48" t="s">
        <v>3479</v>
      </c>
      <c r="B891" s="53" t="s">
        <v>473</v>
      </c>
      <c r="C891" s="47">
        <v>0.0</v>
      </c>
      <c r="D891" s="70" t="s">
        <v>3480</v>
      </c>
      <c r="E891" s="55" t="s">
        <v>165</v>
      </c>
      <c r="F891" s="32" t="s">
        <v>33</v>
      </c>
      <c r="G891" s="32" t="s">
        <v>34</v>
      </c>
      <c r="H891" s="71" t="s">
        <v>35</v>
      </c>
      <c r="I891" s="71" t="s">
        <v>36</v>
      </c>
      <c r="J891" s="34" t="s">
        <v>65</v>
      </c>
      <c r="K891" s="57" t="s">
        <v>38</v>
      </c>
      <c r="L891" s="72">
        <v>10366.0</v>
      </c>
      <c r="M891" s="22"/>
      <c r="N891" s="73"/>
      <c r="O891" s="28">
        <v>45351.0</v>
      </c>
      <c r="P891" s="35" t="s">
        <v>3481</v>
      </c>
      <c r="Q891" s="12"/>
      <c r="R891" s="12"/>
      <c r="S891" s="12"/>
      <c r="T891" s="52">
        <v>45321.0</v>
      </c>
      <c r="U891" s="52">
        <v>45328.0</v>
      </c>
      <c r="V891" s="52">
        <v>45329.0</v>
      </c>
      <c r="W891" s="30"/>
      <c r="X891" s="30"/>
      <c r="Y891" s="31"/>
      <c r="Z891" s="31"/>
      <c r="AA891" s="78" t="s">
        <v>94</v>
      </c>
      <c r="AB891" s="74" t="s">
        <v>3482</v>
      </c>
      <c r="AC891" s="74"/>
    </row>
    <row r="892" ht="16.5" customHeight="1">
      <c r="A892" s="48" t="s">
        <v>3483</v>
      </c>
      <c r="B892" s="53" t="s">
        <v>3484</v>
      </c>
      <c r="C892" s="47">
        <v>0.0</v>
      </c>
      <c r="D892" s="70" t="s">
        <v>3485</v>
      </c>
      <c r="E892" s="55" t="s">
        <v>664</v>
      </c>
      <c r="F892" s="32" t="s">
        <v>48</v>
      </c>
      <c r="G892" s="32" t="s">
        <v>35</v>
      </c>
      <c r="H892" s="71" t="s">
        <v>35</v>
      </c>
      <c r="I892" s="71" t="s">
        <v>36</v>
      </c>
      <c r="J892" s="34" t="s">
        <v>65</v>
      </c>
      <c r="K892" s="57" t="s">
        <v>38</v>
      </c>
      <c r="L892" s="72">
        <v>10368.0</v>
      </c>
      <c r="M892" s="22"/>
      <c r="N892" s="73"/>
      <c r="O892" s="28">
        <v>45351.0</v>
      </c>
      <c r="P892" s="35" t="s">
        <v>3486</v>
      </c>
      <c r="Q892" s="12"/>
      <c r="R892" s="12"/>
      <c r="S892" s="12"/>
      <c r="T892" s="52">
        <v>45321.0</v>
      </c>
      <c r="U892" s="52">
        <v>45327.0</v>
      </c>
      <c r="V892" s="52">
        <v>45328.0</v>
      </c>
      <c r="W892" s="30"/>
      <c r="X892" s="30"/>
      <c r="Y892" s="31"/>
      <c r="Z892" s="31"/>
      <c r="AA892" s="31"/>
      <c r="AB892" s="74" t="s">
        <v>3487</v>
      </c>
      <c r="AC892" s="74"/>
    </row>
    <row r="893" ht="16.5" customHeight="1">
      <c r="A893" s="48" t="s">
        <v>3488</v>
      </c>
      <c r="B893" s="53" t="s">
        <v>3484</v>
      </c>
      <c r="C893" s="47">
        <v>0.0</v>
      </c>
      <c r="D893" s="70" t="s">
        <v>3489</v>
      </c>
      <c r="E893" s="55" t="s">
        <v>664</v>
      </c>
      <c r="F893" s="32" t="s">
        <v>48</v>
      </c>
      <c r="G893" s="32" t="s">
        <v>35</v>
      </c>
      <c r="H893" s="71" t="s">
        <v>35</v>
      </c>
      <c r="I893" s="71" t="s">
        <v>36</v>
      </c>
      <c r="J893" s="34" t="s">
        <v>65</v>
      </c>
      <c r="K893" s="57" t="s">
        <v>38</v>
      </c>
      <c r="L893" s="72">
        <v>10368.0</v>
      </c>
      <c r="M893" s="22"/>
      <c r="N893" s="73"/>
      <c r="O893" s="28">
        <v>45351.0</v>
      </c>
      <c r="P893" s="35" t="s">
        <v>3486</v>
      </c>
      <c r="Q893" s="12"/>
      <c r="R893" s="12"/>
      <c r="S893" s="12"/>
      <c r="T893" s="52">
        <v>45321.0</v>
      </c>
      <c r="U893" s="52">
        <v>45327.0</v>
      </c>
      <c r="V893" s="52">
        <v>45328.0</v>
      </c>
      <c r="W893" s="30"/>
      <c r="X893" s="30"/>
      <c r="Y893" s="31"/>
      <c r="Z893" s="31"/>
      <c r="AA893" s="31"/>
      <c r="AB893" s="74" t="s">
        <v>3490</v>
      </c>
      <c r="AC893" s="74"/>
    </row>
    <row r="894" ht="16.5" customHeight="1">
      <c r="A894" s="48" t="s">
        <v>3491</v>
      </c>
      <c r="B894" s="53" t="s">
        <v>3484</v>
      </c>
      <c r="C894" s="47">
        <v>0.0</v>
      </c>
      <c r="D894" s="70" t="s">
        <v>3492</v>
      </c>
      <c r="E894" s="55" t="s">
        <v>664</v>
      </c>
      <c r="F894" s="32" t="s">
        <v>48</v>
      </c>
      <c r="G894" s="32" t="s">
        <v>35</v>
      </c>
      <c r="H894" s="71" t="s">
        <v>35</v>
      </c>
      <c r="I894" s="71" t="s">
        <v>36</v>
      </c>
      <c r="J894" s="34" t="s">
        <v>65</v>
      </c>
      <c r="K894" s="57" t="s">
        <v>38</v>
      </c>
      <c r="L894" s="72">
        <v>10368.0</v>
      </c>
      <c r="M894" s="22"/>
      <c r="N894" s="73"/>
      <c r="O894" s="28">
        <v>45351.0</v>
      </c>
      <c r="P894" s="35" t="s">
        <v>3486</v>
      </c>
      <c r="Q894" s="12"/>
      <c r="R894" s="12"/>
      <c r="S894" s="12"/>
      <c r="T894" s="52">
        <v>45321.0</v>
      </c>
      <c r="U894" s="52">
        <v>45327.0</v>
      </c>
      <c r="V894" s="52">
        <v>45328.0</v>
      </c>
      <c r="W894" s="30"/>
      <c r="X894" s="30"/>
      <c r="Y894" s="31"/>
      <c r="Z894" s="31"/>
      <c r="AA894" s="31"/>
      <c r="AB894" s="74" t="s">
        <v>3493</v>
      </c>
      <c r="AC894" s="74"/>
    </row>
    <row r="895" ht="16.5" customHeight="1">
      <c r="A895" s="48" t="s">
        <v>3494</v>
      </c>
      <c r="B895" s="53" t="s">
        <v>3484</v>
      </c>
      <c r="C895" s="47">
        <v>0.0</v>
      </c>
      <c r="D895" s="70"/>
      <c r="E895" s="55" t="s">
        <v>664</v>
      </c>
      <c r="F895" s="32" t="s">
        <v>48</v>
      </c>
      <c r="G895" s="32" t="s">
        <v>35</v>
      </c>
      <c r="H895" s="71" t="s">
        <v>35</v>
      </c>
      <c r="I895" s="71" t="s">
        <v>665</v>
      </c>
      <c r="J895" s="34" t="s">
        <v>65</v>
      </c>
      <c r="K895" s="57" t="s">
        <v>38</v>
      </c>
      <c r="L895" s="72">
        <v>10368.0</v>
      </c>
      <c r="M895" s="22"/>
      <c r="N895" s="73"/>
      <c r="O895" s="28">
        <v>45351.0</v>
      </c>
      <c r="P895" s="35" t="s">
        <v>3495</v>
      </c>
      <c r="Q895" s="12"/>
      <c r="R895" s="12"/>
      <c r="S895" s="12"/>
      <c r="T895" s="52">
        <v>45321.0</v>
      </c>
      <c r="U895" s="52">
        <v>45327.0</v>
      </c>
      <c r="V895" s="52">
        <v>45329.0</v>
      </c>
      <c r="W895" s="30"/>
      <c r="X895" s="30"/>
      <c r="Y895" s="31"/>
      <c r="Z895" s="31"/>
      <c r="AA895" s="31"/>
      <c r="AB895" s="74" t="s">
        <v>3496</v>
      </c>
      <c r="AC895" s="74"/>
    </row>
    <row r="896" ht="16.5" customHeight="1">
      <c r="A896" s="48" t="s">
        <v>3497</v>
      </c>
      <c r="B896" s="53" t="s">
        <v>3498</v>
      </c>
      <c r="C896" s="47">
        <v>0.0</v>
      </c>
      <c r="D896" s="70" t="s">
        <v>3499</v>
      </c>
      <c r="E896" s="55" t="s">
        <v>701</v>
      </c>
      <c r="F896" s="32" t="s">
        <v>33</v>
      </c>
      <c r="G896" s="32" t="s">
        <v>35</v>
      </c>
      <c r="H896" s="71" t="s">
        <v>35</v>
      </c>
      <c r="I896" s="71" t="s">
        <v>36</v>
      </c>
      <c r="J896" s="34" t="s">
        <v>65</v>
      </c>
      <c r="K896" s="57" t="s">
        <v>38</v>
      </c>
      <c r="L896" s="72">
        <v>10390.0</v>
      </c>
      <c r="M896" s="22"/>
      <c r="N896" s="73"/>
      <c r="O896" s="28">
        <v>45351.0</v>
      </c>
      <c r="P896" s="35" t="s">
        <v>3500</v>
      </c>
      <c r="Q896" s="12"/>
      <c r="R896" s="12"/>
      <c r="S896" s="12"/>
      <c r="T896" s="52">
        <v>45321.0</v>
      </c>
      <c r="U896" s="52">
        <v>45321.0</v>
      </c>
      <c r="V896" s="52">
        <v>45338.0</v>
      </c>
      <c r="W896" s="30"/>
      <c r="X896" s="30"/>
      <c r="Y896" s="31"/>
      <c r="Z896" s="31"/>
      <c r="AA896" s="78" t="s">
        <v>3059</v>
      </c>
      <c r="AB896" s="74" t="s">
        <v>3501</v>
      </c>
      <c r="AC896" s="74"/>
    </row>
    <row r="897" ht="16.5" customHeight="1">
      <c r="A897" s="48" t="s">
        <v>3502</v>
      </c>
      <c r="B897" s="53" t="s">
        <v>3498</v>
      </c>
      <c r="C897" s="47">
        <v>0.0</v>
      </c>
      <c r="D897" s="70" t="s">
        <v>3503</v>
      </c>
      <c r="E897" s="55" t="s">
        <v>338</v>
      </c>
      <c r="F897" s="32" t="s">
        <v>33</v>
      </c>
      <c r="G897" s="32" t="s">
        <v>35</v>
      </c>
      <c r="H897" s="71" t="s">
        <v>35</v>
      </c>
      <c r="I897" s="71" t="s">
        <v>36</v>
      </c>
      <c r="J897" s="34" t="s">
        <v>65</v>
      </c>
      <c r="K897" s="57" t="s">
        <v>38</v>
      </c>
      <c r="L897" s="72">
        <v>10390.0</v>
      </c>
      <c r="M897" s="22"/>
      <c r="N897" s="73"/>
      <c r="O897" s="28">
        <v>45351.0</v>
      </c>
      <c r="P897" s="35" t="s">
        <v>3500</v>
      </c>
      <c r="Q897" s="12"/>
      <c r="R897" s="12"/>
      <c r="S897" s="12"/>
      <c r="T897" s="52">
        <v>45321.0</v>
      </c>
      <c r="U897" s="52">
        <v>45321.0</v>
      </c>
      <c r="V897" s="52">
        <v>45324.0</v>
      </c>
      <c r="W897" s="30"/>
      <c r="X897" s="30"/>
      <c r="Y897" s="31"/>
      <c r="Z897" s="31"/>
      <c r="AA897" s="78" t="s">
        <v>3059</v>
      </c>
      <c r="AB897" s="74" t="s">
        <v>3504</v>
      </c>
      <c r="AC897" s="74"/>
    </row>
    <row r="898" ht="16.5" customHeight="1">
      <c r="A898" s="48" t="s">
        <v>3505</v>
      </c>
      <c r="B898" s="53" t="s">
        <v>2138</v>
      </c>
      <c r="C898" s="47">
        <v>137.0</v>
      </c>
      <c r="D898" s="70" t="s">
        <v>3506</v>
      </c>
      <c r="E898" s="55" t="s">
        <v>85</v>
      </c>
      <c r="F898" s="32" t="s">
        <v>48</v>
      </c>
      <c r="G898" s="32" t="s">
        <v>35</v>
      </c>
      <c r="H898" s="71" t="s">
        <v>35</v>
      </c>
      <c r="I898" s="71" t="s">
        <v>36</v>
      </c>
      <c r="J898" s="34" t="s">
        <v>65</v>
      </c>
      <c r="K898" s="57" t="s">
        <v>38</v>
      </c>
      <c r="L898" s="72">
        <v>10370.0</v>
      </c>
      <c r="M898" s="22"/>
      <c r="N898" s="73"/>
      <c r="O898" s="28">
        <v>45351.0</v>
      </c>
      <c r="P898" s="35" t="s">
        <v>3507</v>
      </c>
      <c r="Q898" s="12"/>
      <c r="R898" s="12"/>
      <c r="S898" s="12"/>
      <c r="T898" s="52">
        <v>45321.0</v>
      </c>
      <c r="U898" s="52">
        <v>45328.0</v>
      </c>
      <c r="V898" s="52">
        <v>45329.0</v>
      </c>
      <c r="W898" s="30"/>
      <c r="X898" s="30"/>
      <c r="Y898" s="31"/>
      <c r="Z898" s="31"/>
      <c r="AA898" s="78" t="s">
        <v>94</v>
      </c>
      <c r="AB898" s="74" t="s">
        <v>3508</v>
      </c>
      <c r="AC898" s="74"/>
    </row>
    <row r="899" ht="16.5" customHeight="1">
      <c r="A899" s="48" t="s">
        <v>3509</v>
      </c>
      <c r="B899" s="53" t="s">
        <v>3510</v>
      </c>
      <c r="C899" s="47">
        <v>0.0</v>
      </c>
      <c r="D899" s="70" t="s">
        <v>3511</v>
      </c>
      <c r="E899" s="55" t="s">
        <v>892</v>
      </c>
      <c r="F899" s="32" t="s">
        <v>244</v>
      </c>
      <c r="G899" s="32" t="s">
        <v>35</v>
      </c>
      <c r="H899" s="71" t="s">
        <v>35</v>
      </c>
      <c r="I899" s="71" t="s">
        <v>36</v>
      </c>
      <c r="J899" s="34" t="s">
        <v>37</v>
      </c>
      <c r="K899" s="57" t="s">
        <v>3512</v>
      </c>
      <c r="L899" s="72">
        <v>10356.0</v>
      </c>
      <c r="M899" s="22"/>
      <c r="N899" s="73"/>
      <c r="O899" s="28">
        <v>45351.0</v>
      </c>
      <c r="P899" s="35" t="s">
        <v>3513</v>
      </c>
      <c r="Q899" s="12"/>
      <c r="R899" s="12"/>
      <c r="S899" s="12"/>
      <c r="T899" s="52">
        <v>45321.0</v>
      </c>
      <c r="U899" s="52">
        <v>45328.0</v>
      </c>
      <c r="V899" s="52">
        <v>45329.0</v>
      </c>
      <c r="W899" s="30"/>
      <c r="X899" s="30"/>
      <c r="Y899" s="31"/>
      <c r="Z899" s="31"/>
      <c r="AA899" s="78" t="s">
        <v>3385</v>
      </c>
      <c r="AB899" s="74" t="s">
        <v>3514</v>
      </c>
      <c r="AC899" s="74"/>
    </row>
    <row r="900" ht="16.5" customHeight="1">
      <c r="A900" s="48" t="s">
        <v>3515</v>
      </c>
      <c r="B900" s="53" t="s">
        <v>3516</v>
      </c>
      <c r="C900" s="47">
        <v>90.0</v>
      </c>
      <c r="D900" s="70" t="s">
        <v>3517</v>
      </c>
      <c r="E900" s="55" t="s">
        <v>91</v>
      </c>
      <c r="F900" s="32" t="s">
        <v>48</v>
      </c>
      <c r="G900" s="32" t="s">
        <v>35</v>
      </c>
      <c r="H900" s="71" t="s">
        <v>35</v>
      </c>
      <c r="I900" s="71" t="s">
        <v>36</v>
      </c>
      <c r="J900" s="34" t="s">
        <v>65</v>
      </c>
      <c r="K900" s="57" t="s">
        <v>38</v>
      </c>
      <c r="L900" s="72">
        <v>10436.0</v>
      </c>
      <c r="M900" s="22"/>
      <c r="N900" s="73"/>
      <c r="O900" s="28">
        <v>45356.0</v>
      </c>
      <c r="P900" s="35" t="s">
        <v>3518</v>
      </c>
      <c r="Q900" s="12"/>
      <c r="R900" s="12"/>
      <c r="S900" s="12"/>
      <c r="T900" s="52">
        <v>45314.0</v>
      </c>
      <c r="U900" s="52">
        <v>45351.0</v>
      </c>
      <c r="V900" s="52">
        <v>45351.0</v>
      </c>
      <c r="W900" s="30"/>
      <c r="X900" s="30"/>
      <c r="Y900" s="31"/>
      <c r="Z900" s="31"/>
      <c r="AA900" s="78" t="s">
        <v>94</v>
      </c>
      <c r="AB900" s="74" t="s">
        <v>3519</v>
      </c>
      <c r="AC900" s="74"/>
    </row>
    <row r="901" ht="16.5" customHeight="1">
      <c r="A901" s="48" t="s">
        <v>3520</v>
      </c>
      <c r="B901" s="53" t="s">
        <v>1964</v>
      </c>
      <c r="C901" s="47">
        <v>0.0</v>
      </c>
      <c r="D901" s="70" t="s">
        <v>3521</v>
      </c>
      <c r="E901" s="55" t="s">
        <v>117</v>
      </c>
      <c r="F901" s="32" t="s">
        <v>33</v>
      </c>
      <c r="G901" s="32" t="s">
        <v>34</v>
      </c>
      <c r="H901" s="71" t="s">
        <v>35</v>
      </c>
      <c r="I901" s="71" t="s">
        <v>36</v>
      </c>
      <c r="J901" s="34" t="s">
        <v>65</v>
      </c>
      <c r="K901" s="57" t="s">
        <v>38</v>
      </c>
      <c r="L901" s="72">
        <v>10355.0</v>
      </c>
      <c r="M901" s="22"/>
      <c r="N901" s="73"/>
      <c r="O901" s="28">
        <v>45351.0</v>
      </c>
      <c r="P901" s="35" t="s">
        <v>3522</v>
      </c>
      <c r="Q901" s="12"/>
      <c r="R901" s="12"/>
      <c r="S901" s="12"/>
      <c r="T901" s="52">
        <v>45322.0</v>
      </c>
      <c r="U901" s="52">
        <v>45327.0</v>
      </c>
      <c r="V901" s="52">
        <v>45328.0</v>
      </c>
      <c r="W901" s="30"/>
      <c r="X901" s="30"/>
      <c r="Y901" s="31"/>
      <c r="Z901" s="31"/>
      <c r="AA901" s="78" t="s">
        <v>94</v>
      </c>
      <c r="AB901" s="74" t="s">
        <v>3523</v>
      </c>
      <c r="AC901" s="74"/>
    </row>
    <row r="902" ht="16.5" customHeight="1">
      <c r="A902" s="48" t="s">
        <v>3524</v>
      </c>
      <c r="B902" s="53" t="s">
        <v>3289</v>
      </c>
      <c r="C902" s="47">
        <v>0.0</v>
      </c>
      <c r="D902" s="70" t="s">
        <v>3525</v>
      </c>
      <c r="E902" s="55" t="s">
        <v>511</v>
      </c>
      <c r="F902" s="32" t="s">
        <v>33</v>
      </c>
      <c r="G902" s="32" t="s">
        <v>35</v>
      </c>
      <c r="H902" s="71" t="s">
        <v>35</v>
      </c>
      <c r="I902" s="71" t="s">
        <v>36</v>
      </c>
      <c r="J902" s="34" t="s">
        <v>92</v>
      </c>
      <c r="K902" s="57" t="s">
        <v>38</v>
      </c>
      <c r="L902" s="72">
        <v>10353.0</v>
      </c>
      <c r="M902" s="22"/>
      <c r="N902" s="73"/>
      <c r="O902" s="28">
        <v>45351.0</v>
      </c>
      <c r="P902" s="35" t="s">
        <v>3526</v>
      </c>
      <c r="Q902" s="12"/>
      <c r="R902" s="12"/>
      <c r="S902" s="12"/>
      <c r="T902" s="52">
        <v>45322.0</v>
      </c>
      <c r="U902" s="52">
        <v>45323.0</v>
      </c>
      <c r="V902" s="52">
        <v>45328.0</v>
      </c>
      <c r="W902" s="30"/>
      <c r="X902" s="30"/>
      <c r="Y902" s="31"/>
      <c r="Z902" s="31"/>
      <c r="AA902" s="78" t="s">
        <v>120</v>
      </c>
      <c r="AB902" s="74" t="s">
        <v>3527</v>
      </c>
      <c r="AC902" s="74"/>
    </row>
    <row r="903" ht="16.5" customHeight="1">
      <c r="A903" s="48" t="s">
        <v>3528</v>
      </c>
      <c r="B903" s="53" t="s">
        <v>734</v>
      </c>
      <c r="C903" s="47">
        <v>0.0</v>
      </c>
      <c r="D903" s="70" t="s">
        <v>3529</v>
      </c>
      <c r="E903" s="55" t="s">
        <v>408</v>
      </c>
      <c r="F903" s="32" t="s">
        <v>33</v>
      </c>
      <c r="G903" s="32" t="s">
        <v>35</v>
      </c>
      <c r="H903" s="71" t="s">
        <v>35</v>
      </c>
      <c r="I903" s="71" t="s">
        <v>36</v>
      </c>
      <c r="J903" s="34" t="s">
        <v>203</v>
      </c>
      <c r="K903" s="57" t="s">
        <v>38</v>
      </c>
      <c r="L903" s="72">
        <v>10364.0</v>
      </c>
      <c r="M903" s="22"/>
      <c r="N903" s="73"/>
      <c r="O903" s="28">
        <v>45351.0</v>
      </c>
      <c r="P903" s="35" t="s">
        <v>3530</v>
      </c>
      <c r="Q903" s="12"/>
      <c r="R903" s="12"/>
      <c r="S903" s="12"/>
      <c r="T903" s="52">
        <v>45322.0</v>
      </c>
      <c r="U903" s="52">
        <v>45328.0</v>
      </c>
      <c r="V903" s="52">
        <v>45329.0</v>
      </c>
      <c r="W903" s="30"/>
      <c r="X903" s="30"/>
      <c r="Y903" s="31"/>
      <c r="Z903" s="31"/>
      <c r="AA903" s="78" t="s">
        <v>102</v>
      </c>
      <c r="AB903" s="74" t="s">
        <v>3531</v>
      </c>
      <c r="AC903" s="74"/>
    </row>
    <row r="904" ht="16.5" customHeight="1">
      <c r="A904" s="48" t="s">
        <v>3532</v>
      </c>
      <c r="B904" s="53" t="s">
        <v>3533</v>
      </c>
      <c r="C904" s="47">
        <v>0.0</v>
      </c>
      <c r="D904" s="70" t="s">
        <v>3534</v>
      </c>
      <c r="E904" s="55" t="s">
        <v>268</v>
      </c>
      <c r="F904" s="32" t="s">
        <v>33</v>
      </c>
      <c r="G904" s="32" t="s">
        <v>35</v>
      </c>
      <c r="H904" s="71" t="s">
        <v>35</v>
      </c>
      <c r="I904" s="71" t="s">
        <v>36</v>
      </c>
      <c r="J904" s="34" t="s">
        <v>339</v>
      </c>
      <c r="K904" s="57" t="s">
        <v>38</v>
      </c>
      <c r="L904" s="72">
        <v>10358.0</v>
      </c>
      <c r="M904" s="22"/>
      <c r="N904" s="73"/>
      <c r="O904" s="28">
        <v>45351.0</v>
      </c>
      <c r="P904" s="35" t="s">
        <v>3535</v>
      </c>
      <c r="Q904" s="12"/>
      <c r="R904" s="12"/>
      <c r="S904" s="12"/>
      <c r="T904" s="52">
        <v>45322.0</v>
      </c>
      <c r="U904" s="52">
        <v>45323.0</v>
      </c>
      <c r="V904" s="52">
        <v>45328.0</v>
      </c>
      <c r="W904" s="30"/>
      <c r="X904" s="30"/>
      <c r="Y904" s="31"/>
      <c r="Z904" s="31"/>
      <c r="AA904" s="78" t="s">
        <v>3059</v>
      </c>
      <c r="AB904" s="74" t="s">
        <v>3536</v>
      </c>
      <c r="AC904" s="74"/>
    </row>
    <row r="905" ht="16.5" customHeight="1">
      <c r="A905" s="48" t="s">
        <v>3537</v>
      </c>
      <c r="B905" s="53" t="s">
        <v>3538</v>
      </c>
      <c r="C905" s="47">
        <v>11.0</v>
      </c>
      <c r="D905" s="70" t="s">
        <v>3539</v>
      </c>
      <c r="E905" s="55" t="s">
        <v>112</v>
      </c>
      <c r="F905" s="32" t="s">
        <v>48</v>
      </c>
      <c r="G905" s="32" t="s">
        <v>35</v>
      </c>
      <c r="H905" s="71" t="s">
        <v>35</v>
      </c>
      <c r="I905" s="71" t="s">
        <v>36</v>
      </c>
      <c r="J905" s="34" t="s">
        <v>65</v>
      </c>
      <c r="K905" s="57" t="s">
        <v>38</v>
      </c>
      <c r="L905" s="72">
        <v>10426.0</v>
      </c>
      <c r="M905" s="22"/>
      <c r="N905" s="73"/>
      <c r="O905" s="28">
        <v>45352.0</v>
      </c>
      <c r="P905" s="35" t="s">
        <v>3540</v>
      </c>
      <c r="Q905" s="12"/>
      <c r="R905" s="12"/>
      <c r="S905" s="12"/>
      <c r="T905" s="52">
        <v>45322.0</v>
      </c>
      <c r="U905" s="52">
        <v>45329.0</v>
      </c>
      <c r="V905" s="52">
        <v>45351.0</v>
      </c>
      <c r="W905" s="30"/>
      <c r="X905" s="30"/>
      <c r="Y905" s="31"/>
      <c r="Z905" s="31"/>
      <c r="AA905" s="78" t="s">
        <v>94</v>
      </c>
      <c r="AB905" s="74" t="s">
        <v>3541</v>
      </c>
      <c r="AC905" s="74"/>
    </row>
    <row r="906" ht="16.5" customHeight="1">
      <c r="A906" s="48" t="s">
        <v>3542</v>
      </c>
      <c r="B906" s="53" t="s">
        <v>3148</v>
      </c>
      <c r="C906" s="47">
        <v>34.0</v>
      </c>
      <c r="D906" s="70" t="s">
        <v>3543</v>
      </c>
      <c r="E906" s="55" t="s">
        <v>47</v>
      </c>
      <c r="F906" s="32" t="s">
        <v>48</v>
      </c>
      <c r="G906" s="32" t="s">
        <v>35</v>
      </c>
      <c r="H906" s="71" t="s">
        <v>35</v>
      </c>
      <c r="I906" s="71" t="s">
        <v>36</v>
      </c>
      <c r="J906" s="34" t="s">
        <v>65</v>
      </c>
      <c r="K906" s="57" t="s">
        <v>38</v>
      </c>
      <c r="L906" s="72">
        <v>10427.0</v>
      </c>
      <c r="M906" s="22"/>
      <c r="N906" s="73"/>
      <c r="O906" s="28">
        <v>45352.0</v>
      </c>
      <c r="P906" s="35" t="s">
        <v>3544</v>
      </c>
      <c r="Q906" s="12"/>
      <c r="R906" s="12"/>
      <c r="S906" s="12"/>
      <c r="T906" s="52">
        <v>45322.0</v>
      </c>
      <c r="U906" s="52">
        <v>45328.0</v>
      </c>
      <c r="V906" s="52">
        <v>45351.0</v>
      </c>
      <c r="W906" s="30"/>
      <c r="X906" s="30"/>
      <c r="Y906" s="31"/>
      <c r="Z906" s="31"/>
      <c r="AA906" s="78" t="s">
        <v>94</v>
      </c>
      <c r="AB906" s="74" t="s">
        <v>3545</v>
      </c>
      <c r="AC906" s="74"/>
    </row>
    <row r="907" ht="16.5" customHeight="1">
      <c r="A907" s="48" t="s">
        <v>3546</v>
      </c>
      <c r="B907" s="53" t="s">
        <v>3148</v>
      </c>
      <c r="C907" s="47">
        <v>11.0</v>
      </c>
      <c r="D907" s="70" t="s">
        <v>3547</v>
      </c>
      <c r="E907" s="55" t="s">
        <v>112</v>
      </c>
      <c r="F907" s="32" t="s">
        <v>48</v>
      </c>
      <c r="G907" s="32" t="s">
        <v>35</v>
      </c>
      <c r="H907" s="71" t="s">
        <v>35</v>
      </c>
      <c r="I907" s="71" t="s">
        <v>36</v>
      </c>
      <c r="J907" s="34" t="s">
        <v>65</v>
      </c>
      <c r="K907" s="57" t="s">
        <v>38</v>
      </c>
      <c r="L907" s="72">
        <v>10427.0</v>
      </c>
      <c r="M907" s="22"/>
      <c r="N907" s="73"/>
      <c r="O907" s="28">
        <v>45352.0</v>
      </c>
      <c r="P907" s="35" t="s">
        <v>3544</v>
      </c>
      <c r="Q907" s="12"/>
      <c r="R907" s="12"/>
      <c r="S907" s="12"/>
      <c r="T907" s="52">
        <v>45322.0</v>
      </c>
      <c r="U907" s="52">
        <v>45328.0</v>
      </c>
      <c r="V907" s="52">
        <v>45351.0</v>
      </c>
      <c r="W907" s="30"/>
      <c r="X907" s="30"/>
      <c r="Y907" s="31"/>
      <c r="Z907" s="31"/>
      <c r="AA907" s="78" t="s">
        <v>94</v>
      </c>
      <c r="AB907" s="74" t="s">
        <v>3548</v>
      </c>
      <c r="AC907" s="74"/>
    </row>
    <row r="908" ht="16.5" customHeight="1">
      <c r="A908" s="48" t="s">
        <v>3549</v>
      </c>
      <c r="B908" s="53" t="s">
        <v>3183</v>
      </c>
      <c r="C908" s="47">
        <v>0.0</v>
      </c>
      <c r="D908" s="70"/>
      <c r="E908" s="55" t="s">
        <v>295</v>
      </c>
      <c r="F908" s="32" t="s">
        <v>33</v>
      </c>
      <c r="G908" s="32" t="s">
        <v>35</v>
      </c>
      <c r="H908" s="71" t="s">
        <v>35</v>
      </c>
      <c r="I908" s="71" t="s">
        <v>665</v>
      </c>
      <c r="J908" s="34" t="s">
        <v>92</v>
      </c>
      <c r="K908" s="57" t="s">
        <v>38</v>
      </c>
      <c r="L908" s="72">
        <v>10369.0</v>
      </c>
      <c r="M908" s="22"/>
      <c r="N908" s="73"/>
      <c r="O908" s="28"/>
      <c r="P908" s="35" t="s">
        <v>3550</v>
      </c>
      <c r="Q908" s="12"/>
      <c r="R908" s="12"/>
      <c r="S908" s="12"/>
      <c r="T908" s="52">
        <v>45322.0</v>
      </c>
      <c r="U908" s="52">
        <v>45328.0</v>
      </c>
      <c r="V908" s="52">
        <v>45329.0</v>
      </c>
      <c r="W908" s="30"/>
      <c r="X908" s="30"/>
      <c r="Y908" s="31"/>
      <c r="Z908" s="31"/>
      <c r="AA908" s="31"/>
      <c r="AB908" s="74" t="s">
        <v>3551</v>
      </c>
      <c r="AC908" s="74"/>
    </row>
    <row r="909" ht="16.5" customHeight="1">
      <c r="A909" s="48" t="s">
        <v>3552</v>
      </c>
      <c r="B909" s="53" t="s">
        <v>3164</v>
      </c>
      <c r="C909" s="47">
        <v>0.0</v>
      </c>
      <c r="D909" s="70" t="s">
        <v>3553</v>
      </c>
      <c r="E909" s="55" t="s">
        <v>79</v>
      </c>
      <c r="F909" s="32" t="s">
        <v>33</v>
      </c>
      <c r="G909" s="32" t="s">
        <v>35</v>
      </c>
      <c r="H909" s="71" t="s">
        <v>35</v>
      </c>
      <c r="I909" s="71" t="s">
        <v>36</v>
      </c>
      <c r="J909" s="34" t="s">
        <v>37</v>
      </c>
      <c r="K909" s="57" t="s">
        <v>384</v>
      </c>
      <c r="L909" s="72">
        <v>10360.0</v>
      </c>
      <c r="M909" s="22"/>
      <c r="N909" s="73"/>
      <c r="O909" s="28">
        <v>45329.0</v>
      </c>
      <c r="P909" s="35" t="s">
        <v>3554</v>
      </c>
      <c r="Q909" s="12"/>
      <c r="R909" s="12"/>
      <c r="S909" s="12"/>
      <c r="T909" s="52">
        <v>45322.0</v>
      </c>
      <c r="U909" s="52">
        <v>45323.0</v>
      </c>
      <c r="V909" s="52">
        <v>45328.0</v>
      </c>
      <c r="W909" s="30"/>
      <c r="X909" s="30"/>
      <c r="Y909" s="31"/>
      <c r="Z909" s="31"/>
      <c r="AA909" s="78" t="s">
        <v>108</v>
      </c>
      <c r="AB909" s="74" t="s">
        <v>3555</v>
      </c>
      <c r="AC909" s="74"/>
    </row>
    <row r="910" ht="16.5" customHeight="1">
      <c r="A910" s="48" t="s">
        <v>3556</v>
      </c>
      <c r="B910" s="53" t="s">
        <v>3557</v>
      </c>
      <c r="C910" s="47">
        <v>0.0</v>
      </c>
      <c r="D910" s="70" t="s">
        <v>3558</v>
      </c>
      <c r="E910" s="55" t="s">
        <v>251</v>
      </c>
      <c r="F910" s="32" t="s">
        <v>33</v>
      </c>
      <c r="G910" s="32" t="s">
        <v>35</v>
      </c>
      <c r="H910" s="71" t="s">
        <v>35</v>
      </c>
      <c r="I910" s="71" t="s">
        <v>36</v>
      </c>
      <c r="J910" s="34" t="s">
        <v>49</v>
      </c>
      <c r="K910" s="57" t="s">
        <v>38</v>
      </c>
      <c r="L910" s="72">
        <v>10346.0</v>
      </c>
      <c r="M910" s="22"/>
      <c r="N910" s="73"/>
      <c r="O910" s="28">
        <v>45324.0</v>
      </c>
      <c r="P910" s="35" t="s">
        <v>3559</v>
      </c>
      <c r="Q910" s="12"/>
      <c r="R910" s="12"/>
      <c r="S910" s="12"/>
      <c r="T910" s="52">
        <v>45322.0</v>
      </c>
      <c r="U910" s="52">
        <v>45323.0</v>
      </c>
      <c r="V910" s="52">
        <v>45323.0</v>
      </c>
      <c r="W910" s="30"/>
      <c r="X910" s="30"/>
      <c r="Y910" s="31"/>
      <c r="Z910" s="31"/>
      <c r="AA910" s="78" t="s">
        <v>127</v>
      </c>
      <c r="AB910" s="74" t="s">
        <v>3560</v>
      </c>
      <c r="AC910" s="74"/>
    </row>
    <row r="911" ht="16.5" customHeight="1">
      <c r="A911" s="48" t="s">
        <v>3561</v>
      </c>
      <c r="B911" s="53" t="s">
        <v>96</v>
      </c>
      <c r="C911" s="47">
        <v>0.0</v>
      </c>
      <c r="D911" s="70" t="s">
        <v>3562</v>
      </c>
      <c r="E911" s="55" t="s">
        <v>491</v>
      </c>
      <c r="F911" s="32" t="s">
        <v>33</v>
      </c>
      <c r="G911" s="32" t="s">
        <v>368</v>
      </c>
      <c r="H911" s="71" t="s">
        <v>35</v>
      </c>
      <c r="I911" s="71" t="s">
        <v>36</v>
      </c>
      <c r="J911" s="34" t="s">
        <v>203</v>
      </c>
      <c r="K911" s="57" t="s">
        <v>38</v>
      </c>
      <c r="L911" s="72">
        <v>10398.0</v>
      </c>
      <c r="M911" s="22"/>
      <c r="N911" s="73"/>
      <c r="O911" s="28">
        <v>45351.0</v>
      </c>
      <c r="P911" s="35" t="s">
        <v>3563</v>
      </c>
      <c r="Q911" s="12"/>
      <c r="R911" s="12"/>
      <c r="S911" s="12"/>
      <c r="T911" s="52">
        <v>45322.0</v>
      </c>
      <c r="U911" s="52">
        <v>45323.0</v>
      </c>
      <c r="V911" s="52">
        <v>45329.0</v>
      </c>
      <c r="W911" s="30"/>
      <c r="X911" s="30"/>
      <c r="Y911" s="31"/>
      <c r="Z911" s="31"/>
      <c r="AA911" s="78" t="s">
        <v>102</v>
      </c>
      <c r="AB911" s="74" t="s">
        <v>3564</v>
      </c>
      <c r="AC911" s="74"/>
    </row>
    <row r="912" ht="16.5" customHeight="1">
      <c r="A912" s="48" t="s">
        <v>3565</v>
      </c>
      <c r="B912" s="53" t="s">
        <v>96</v>
      </c>
      <c r="C912" s="47">
        <v>0.0</v>
      </c>
      <c r="D912" s="70" t="s">
        <v>3566</v>
      </c>
      <c r="E912" s="55" t="s">
        <v>1040</v>
      </c>
      <c r="F912" s="32" t="s">
        <v>33</v>
      </c>
      <c r="G912" s="32" t="s">
        <v>368</v>
      </c>
      <c r="H912" s="71" t="s">
        <v>35</v>
      </c>
      <c r="I912" s="71" t="s">
        <v>36</v>
      </c>
      <c r="J912" s="34" t="s">
        <v>203</v>
      </c>
      <c r="K912" s="57" t="s">
        <v>38</v>
      </c>
      <c r="L912" s="72">
        <v>10398.0</v>
      </c>
      <c r="M912" s="22"/>
      <c r="N912" s="73"/>
      <c r="O912" s="28">
        <v>45351.0</v>
      </c>
      <c r="P912" s="35" t="s">
        <v>3563</v>
      </c>
      <c r="Q912" s="12"/>
      <c r="R912" s="12"/>
      <c r="S912" s="12"/>
      <c r="T912" s="52">
        <v>45322.0</v>
      </c>
      <c r="U912" s="52">
        <v>45323.0</v>
      </c>
      <c r="V912" s="52">
        <v>45329.0</v>
      </c>
      <c r="W912" s="30"/>
      <c r="X912" s="30"/>
      <c r="Y912" s="31"/>
      <c r="Z912" s="31"/>
      <c r="AA912" s="78" t="s">
        <v>102</v>
      </c>
      <c r="AB912" s="74" t="s">
        <v>3567</v>
      </c>
      <c r="AC912" s="74"/>
    </row>
    <row r="913" ht="16.5" customHeight="1">
      <c r="A913" s="48" t="s">
        <v>3568</v>
      </c>
      <c r="B913" s="53" t="s">
        <v>96</v>
      </c>
      <c r="C913" s="47">
        <v>0.0</v>
      </c>
      <c r="D913" s="70" t="s">
        <v>3569</v>
      </c>
      <c r="E913" s="55" t="s">
        <v>213</v>
      </c>
      <c r="F913" s="32" t="s">
        <v>33</v>
      </c>
      <c r="G913" s="32" t="s">
        <v>34</v>
      </c>
      <c r="H913" s="71" t="s">
        <v>35</v>
      </c>
      <c r="I913" s="71" t="s">
        <v>36</v>
      </c>
      <c r="J913" s="34" t="s">
        <v>49</v>
      </c>
      <c r="K913" s="57" t="s">
        <v>38</v>
      </c>
      <c r="L913" s="72">
        <v>10491.0</v>
      </c>
      <c r="M913" s="22"/>
      <c r="N913" s="73"/>
      <c r="O913" s="28">
        <v>45365.0</v>
      </c>
      <c r="P913" s="35" t="s">
        <v>3570</v>
      </c>
      <c r="Q913" s="12"/>
      <c r="R913" s="12"/>
      <c r="S913" s="12"/>
      <c r="T913" s="52">
        <v>45322.0</v>
      </c>
      <c r="U913" s="52">
        <v>45323.0</v>
      </c>
      <c r="V913" s="52">
        <v>45327.0</v>
      </c>
      <c r="W913" s="30"/>
      <c r="X913" s="30"/>
      <c r="Y913" s="31"/>
      <c r="Z913" s="31"/>
      <c r="AA913" s="78" t="s">
        <v>102</v>
      </c>
      <c r="AB913" s="74" t="s">
        <v>3571</v>
      </c>
      <c r="AC913" s="74"/>
    </row>
    <row r="914" ht="16.5" customHeight="1">
      <c r="A914" s="48" t="s">
        <v>3572</v>
      </c>
      <c r="B914" s="53" t="s">
        <v>96</v>
      </c>
      <c r="C914" s="47">
        <v>0.0</v>
      </c>
      <c r="D914" s="70" t="s">
        <v>3573</v>
      </c>
      <c r="E914" s="55" t="s">
        <v>79</v>
      </c>
      <c r="F914" s="32" t="s">
        <v>33</v>
      </c>
      <c r="G914" s="32" t="s">
        <v>34</v>
      </c>
      <c r="H914" s="71" t="s">
        <v>35</v>
      </c>
      <c r="I914" s="71" t="s">
        <v>36</v>
      </c>
      <c r="J914" s="34" t="s">
        <v>203</v>
      </c>
      <c r="K914" s="57" t="s">
        <v>38</v>
      </c>
      <c r="L914" s="72">
        <v>10359.0</v>
      </c>
      <c r="M914" s="22"/>
      <c r="N914" s="73"/>
      <c r="O914" s="28">
        <v>45351.0</v>
      </c>
      <c r="P914" s="35" t="s">
        <v>3574</v>
      </c>
      <c r="Q914" s="12"/>
      <c r="R914" s="12"/>
      <c r="S914" s="12"/>
      <c r="T914" s="52">
        <v>45322.0</v>
      </c>
      <c r="U914" s="52">
        <v>45323.0</v>
      </c>
      <c r="V914" s="52">
        <v>45328.0</v>
      </c>
      <c r="W914" s="30"/>
      <c r="X914" s="30"/>
      <c r="Y914" s="31"/>
      <c r="Z914" s="31"/>
      <c r="AA914" s="78" t="s">
        <v>102</v>
      </c>
      <c r="AB914" s="74" t="s">
        <v>3575</v>
      </c>
      <c r="AC914" s="74"/>
    </row>
    <row r="915" ht="16.5" customHeight="1">
      <c r="A915" s="48" t="s">
        <v>3576</v>
      </c>
      <c r="B915" s="53" t="s">
        <v>96</v>
      </c>
      <c r="C915" s="47">
        <v>0.0</v>
      </c>
      <c r="D915" s="70" t="s">
        <v>3577</v>
      </c>
      <c r="E915" s="55" t="s">
        <v>165</v>
      </c>
      <c r="F915" s="32" t="s">
        <v>33</v>
      </c>
      <c r="G915" s="32" t="s">
        <v>34</v>
      </c>
      <c r="H915" s="71" t="s">
        <v>35</v>
      </c>
      <c r="I915" s="71" t="s">
        <v>36</v>
      </c>
      <c r="J915" s="34" t="s">
        <v>203</v>
      </c>
      <c r="K915" s="57" t="s">
        <v>38</v>
      </c>
      <c r="L915" s="72">
        <v>10374.0</v>
      </c>
      <c r="M915" s="22"/>
      <c r="N915" s="73"/>
      <c r="O915" s="28">
        <v>45351.0</v>
      </c>
      <c r="P915" s="35" t="s">
        <v>3578</v>
      </c>
      <c r="Q915" s="12"/>
      <c r="R915" s="12"/>
      <c r="S915" s="12"/>
      <c r="T915" s="52">
        <v>45322.0</v>
      </c>
      <c r="U915" s="52">
        <v>45336.0</v>
      </c>
      <c r="V915" s="52">
        <v>45351.0</v>
      </c>
      <c r="W915" s="30"/>
      <c r="X915" s="30"/>
      <c r="Y915" s="31"/>
      <c r="Z915" s="31"/>
      <c r="AA915" s="31"/>
      <c r="AB915" s="74" t="s">
        <v>3579</v>
      </c>
      <c r="AC915" s="74"/>
    </row>
    <row r="916" ht="16.5" customHeight="1">
      <c r="A916" s="48" t="s">
        <v>3580</v>
      </c>
      <c r="B916" s="53" t="s">
        <v>96</v>
      </c>
      <c r="C916" s="47">
        <v>0.0</v>
      </c>
      <c r="D916" s="70" t="s">
        <v>3581</v>
      </c>
      <c r="E916" s="55" t="s">
        <v>79</v>
      </c>
      <c r="F916" s="32" t="s">
        <v>33</v>
      </c>
      <c r="G916" s="32" t="s">
        <v>34</v>
      </c>
      <c r="H916" s="71" t="s">
        <v>35</v>
      </c>
      <c r="I916" s="71" t="s">
        <v>36</v>
      </c>
      <c r="J916" s="34" t="s">
        <v>49</v>
      </c>
      <c r="K916" s="57" t="s">
        <v>38</v>
      </c>
      <c r="L916" s="72">
        <v>10536.0</v>
      </c>
      <c r="M916" s="22"/>
      <c r="N916" s="73"/>
      <c r="O916" s="28">
        <v>45379.0</v>
      </c>
      <c r="P916" s="35" t="s">
        <v>3578</v>
      </c>
      <c r="Q916" s="12"/>
      <c r="R916" s="12"/>
      <c r="S916" s="12"/>
      <c r="T916" s="52">
        <v>45322.0</v>
      </c>
      <c r="U916" s="52">
        <v>45376.0</v>
      </c>
      <c r="V916" s="52">
        <v>45379.0</v>
      </c>
      <c r="W916" s="30"/>
      <c r="X916" s="30"/>
      <c r="Y916" s="31"/>
      <c r="Z916" s="31"/>
      <c r="AA916" s="31"/>
      <c r="AB916" s="74" t="s">
        <v>3582</v>
      </c>
      <c r="AC916" s="74"/>
    </row>
    <row r="917" ht="16.5" customHeight="1">
      <c r="A917" s="48" t="s">
        <v>3583</v>
      </c>
      <c r="B917" s="53" t="s">
        <v>96</v>
      </c>
      <c r="C917" s="47">
        <v>0.0</v>
      </c>
      <c r="D917" s="70" t="s">
        <v>3584</v>
      </c>
      <c r="E917" s="55" t="s">
        <v>79</v>
      </c>
      <c r="F917" s="32" t="s">
        <v>33</v>
      </c>
      <c r="G917" s="32" t="s">
        <v>34</v>
      </c>
      <c r="H917" s="71" t="s">
        <v>35</v>
      </c>
      <c r="I917" s="71" t="s">
        <v>36</v>
      </c>
      <c r="J917" s="34" t="s">
        <v>49</v>
      </c>
      <c r="K917" s="57" t="s">
        <v>38</v>
      </c>
      <c r="L917" s="72">
        <v>10536.0</v>
      </c>
      <c r="M917" s="22"/>
      <c r="N917" s="73"/>
      <c r="O917" s="28">
        <v>45379.0</v>
      </c>
      <c r="P917" s="35" t="s">
        <v>3578</v>
      </c>
      <c r="Q917" s="12"/>
      <c r="R917" s="12"/>
      <c r="S917" s="12"/>
      <c r="T917" s="52">
        <v>45322.0</v>
      </c>
      <c r="U917" s="52">
        <v>45376.0</v>
      </c>
      <c r="V917" s="52">
        <v>45378.0</v>
      </c>
      <c r="W917" s="30"/>
      <c r="X917" s="30"/>
      <c r="Y917" s="31"/>
      <c r="Z917" s="31"/>
      <c r="AA917" s="31"/>
      <c r="AB917" s="74" t="s">
        <v>3585</v>
      </c>
      <c r="AC917" s="74"/>
    </row>
    <row r="918" ht="16.5" customHeight="1">
      <c r="A918" s="48" t="s">
        <v>3586</v>
      </c>
      <c r="B918" s="53" t="s">
        <v>96</v>
      </c>
      <c r="C918" s="47">
        <v>0.0</v>
      </c>
      <c r="D918" s="70" t="s">
        <v>3587</v>
      </c>
      <c r="E918" s="55" t="s">
        <v>268</v>
      </c>
      <c r="F918" s="32" t="s">
        <v>33</v>
      </c>
      <c r="G918" s="32" t="s">
        <v>34</v>
      </c>
      <c r="H918" s="71" t="s">
        <v>35</v>
      </c>
      <c r="I918" s="71" t="s">
        <v>36</v>
      </c>
      <c r="J918" s="34" t="s">
        <v>203</v>
      </c>
      <c r="K918" s="57" t="s">
        <v>38</v>
      </c>
      <c r="L918" s="72">
        <v>10383.0</v>
      </c>
      <c r="M918" s="22"/>
      <c r="N918" s="73"/>
      <c r="O918" s="28">
        <v>45351.0</v>
      </c>
      <c r="P918" s="35" t="s">
        <v>3588</v>
      </c>
      <c r="Q918" s="12"/>
      <c r="R918" s="12"/>
      <c r="S918" s="12"/>
      <c r="T918" s="52">
        <v>45322.0</v>
      </c>
      <c r="U918" s="52">
        <v>45348.0</v>
      </c>
      <c r="V918" s="52">
        <v>45351.0</v>
      </c>
      <c r="W918" s="30"/>
      <c r="X918" s="30"/>
      <c r="Y918" s="31"/>
      <c r="Z918" s="31"/>
      <c r="AA918" s="78" t="s">
        <v>102</v>
      </c>
      <c r="AB918" s="74" t="s">
        <v>3589</v>
      </c>
      <c r="AC918" s="74"/>
    </row>
    <row r="919" ht="16.5" customHeight="1">
      <c r="A919" s="48" t="s">
        <v>3590</v>
      </c>
      <c r="B919" s="53" t="s">
        <v>96</v>
      </c>
      <c r="C919" s="47">
        <v>0.0</v>
      </c>
      <c r="D919" s="70" t="s">
        <v>3591</v>
      </c>
      <c r="E919" s="55" t="s">
        <v>213</v>
      </c>
      <c r="F919" s="32" t="s">
        <v>33</v>
      </c>
      <c r="G919" s="32" t="s">
        <v>34</v>
      </c>
      <c r="H919" s="71" t="s">
        <v>35</v>
      </c>
      <c r="I919" s="71" t="s">
        <v>36</v>
      </c>
      <c r="J919" s="34" t="s">
        <v>203</v>
      </c>
      <c r="K919" s="57" t="s">
        <v>38</v>
      </c>
      <c r="L919" s="72">
        <v>10389.0</v>
      </c>
      <c r="M919" s="22"/>
      <c r="N919" s="73"/>
      <c r="O919" s="28">
        <v>45351.0</v>
      </c>
      <c r="P919" s="35" t="s">
        <v>3592</v>
      </c>
      <c r="Q919" s="12"/>
      <c r="R919" s="12"/>
      <c r="S919" s="12"/>
      <c r="T919" s="52">
        <v>45322.0</v>
      </c>
      <c r="U919" s="52">
        <v>45323.0</v>
      </c>
      <c r="V919" s="52">
        <v>45338.0</v>
      </c>
      <c r="W919" s="30"/>
      <c r="X919" s="30"/>
      <c r="Y919" s="31"/>
      <c r="Z919" s="31"/>
      <c r="AA919" s="78" t="s">
        <v>102</v>
      </c>
      <c r="AB919" s="74" t="s">
        <v>3593</v>
      </c>
      <c r="AC919" s="74"/>
    </row>
    <row r="920" ht="16.5" customHeight="1">
      <c r="A920" s="48" t="s">
        <v>3594</v>
      </c>
      <c r="B920" s="53" t="s">
        <v>880</v>
      </c>
      <c r="C920" s="47">
        <v>0.0</v>
      </c>
      <c r="D920" s="70" t="s">
        <v>3595</v>
      </c>
      <c r="E920" s="55" t="s">
        <v>171</v>
      </c>
      <c r="F920" s="32" t="s">
        <v>48</v>
      </c>
      <c r="G920" s="32" t="s">
        <v>35</v>
      </c>
      <c r="H920" s="71" t="s">
        <v>35</v>
      </c>
      <c r="I920" s="71" t="s">
        <v>36</v>
      </c>
      <c r="J920" s="34" t="s">
        <v>65</v>
      </c>
      <c r="K920" s="57" t="s">
        <v>38</v>
      </c>
      <c r="L920" s="72">
        <v>10344.0</v>
      </c>
      <c r="M920" s="22"/>
      <c r="N920" s="73"/>
      <c r="O920" s="28">
        <v>45324.0</v>
      </c>
      <c r="P920" s="35" t="s">
        <v>3596</v>
      </c>
      <c r="Q920" s="12"/>
      <c r="R920" s="12"/>
      <c r="S920" s="12"/>
      <c r="T920" s="52">
        <v>45324.0</v>
      </c>
      <c r="U920" s="52">
        <v>45319.0</v>
      </c>
      <c r="V920" s="52">
        <v>45329.0</v>
      </c>
      <c r="W920" s="30"/>
      <c r="X920" s="30"/>
      <c r="Y920" s="31"/>
      <c r="Z920" s="31"/>
      <c r="AA920" s="78" t="s">
        <v>94</v>
      </c>
      <c r="AB920" s="74" t="s">
        <v>3597</v>
      </c>
      <c r="AC920" s="74"/>
    </row>
    <row r="921" ht="16.5" customHeight="1">
      <c r="A921" s="48" t="s">
        <v>3598</v>
      </c>
      <c r="B921" s="53" t="s">
        <v>880</v>
      </c>
      <c r="C921" s="47">
        <v>0.0</v>
      </c>
      <c r="D921" s="70" t="s">
        <v>3599</v>
      </c>
      <c r="E921" s="55" t="s">
        <v>171</v>
      </c>
      <c r="F921" s="32" t="s">
        <v>48</v>
      </c>
      <c r="G921" s="32" t="s">
        <v>35</v>
      </c>
      <c r="H921" s="71" t="s">
        <v>35</v>
      </c>
      <c r="I921" s="71" t="s">
        <v>36</v>
      </c>
      <c r="J921" s="34" t="s">
        <v>65</v>
      </c>
      <c r="K921" s="57" t="s">
        <v>38</v>
      </c>
      <c r="L921" s="72">
        <v>10344.0</v>
      </c>
      <c r="M921" s="22"/>
      <c r="N921" s="73"/>
      <c r="O921" s="28">
        <v>45324.0</v>
      </c>
      <c r="P921" s="35" t="s">
        <v>3596</v>
      </c>
      <c r="Q921" s="12"/>
      <c r="R921" s="12"/>
      <c r="S921" s="12"/>
      <c r="T921" s="52">
        <v>45324.0</v>
      </c>
      <c r="U921" s="52">
        <v>45321.0</v>
      </c>
      <c r="V921" s="52">
        <v>45324.0</v>
      </c>
      <c r="W921" s="30"/>
      <c r="X921" s="30"/>
      <c r="Y921" s="31"/>
      <c r="Z921" s="31"/>
      <c r="AA921" s="78" t="s">
        <v>94</v>
      </c>
      <c r="AB921" s="74" t="s">
        <v>3600</v>
      </c>
      <c r="AC921" s="74"/>
    </row>
    <row r="922" ht="16.5" customHeight="1">
      <c r="A922" s="48" t="s">
        <v>3601</v>
      </c>
      <c r="B922" s="53" t="s">
        <v>96</v>
      </c>
      <c r="C922" s="47">
        <v>0.0</v>
      </c>
      <c r="D922" s="70" t="s">
        <v>3602</v>
      </c>
      <c r="E922" s="55" t="s">
        <v>408</v>
      </c>
      <c r="F922" s="32" t="s">
        <v>33</v>
      </c>
      <c r="G922" s="32" t="s">
        <v>34</v>
      </c>
      <c r="H922" s="71" t="s">
        <v>35</v>
      </c>
      <c r="I922" s="71" t="s">
        <v>36</v>
      </c>
      <c r="J922" s="34" t="s">
        <v>203</v>
      </c>
      <c r="K922" s="57" t="s">
        <v>38</v>
      </c>
      <c r="L922" s="72">
        <v>10352.0</v>
      </c>
      <c r="M922" s="22"/>
      <c r="N922" s="73"/>
      <c r="O922" s="28">
        <v>45328.0</v>
      </c>
      <c r="P922" s="35" t="s">
        <v>3603</v>
      </c>
      <c r="Q922" s="12"/>
      <c r="R922" s="12"/>
      <c r="S922" s="12"/>
      <c r="T922" s="52">
        <v>45324.0</v>
      </c>
      <c r="U922" s="52">
        <v>45328.0</v>
      </c>
      <c r="V922" s="52">
        <v>45328.0</v>
      </c>
      <c r="W922" s="30"/>
      <c r="X922" s="30"/>
      <c r="Y922" s="31"/>
      <c r="Z922" s="31"/>
      <c r="AA922" s="78" t="s">
        <v>102</v>
      </c>
      <c r="AB922" s="74" t="s">
        <v>3604</v>
      </c>
      <c r="AC922" s="74"/>
    </row>
    <row r="923" ht="16.5" customHeight="1">
      <c r="A923" s="48" t="s">
        <v>3605</v>
      </c>
      <c r="B923" s="53" t="s">
        <v>3606</v>
      </c>
      <c r="C923" s="47">
        <v>0.0</v>
      </c>
      <c r="D923" s="70" t="s">
        <v>3607</v>
      </c>
      <c r="E923" s="55" t="s">
        <v>731</v>
      </c>
      <c r="F923" s="32" t="s">
        <v>33</v>
      </c>
      <c r="G923" s="32" t="s">
        <v>35</v>
      </c>
      <c r="H923" s="71" t="s">
        <v>35</v>
      </c>
      <c r="I923" s="71" t="s">
        <v>36</v>
      </c>
      <c r="J923" s="34" t="s">
        <v>49</v>
      </c>
      <c r="K923" s="57" t="s">
        <v>38</v>
      </c>
      <c r="L923" s="72">
        <v>10362.0</v>
      </c>
      <c r="M923" s="22"/>
      <c r="N923" s="73"/>
      <c r="O923" s="28">
        <v>45329.0</v>
      </c>
      <c r="P923" s="35" t="s">
        <v>3608</v>
      </c>
      <c r="Q923" s="12"/>
      <c r="R923" s="12"/>
      <c r="S923" s="12"/>
      <c r="T923" s="52">
        <v>45324.0</v>
      </c>
      <c r="U923" s="52">
        <v>45328.0</v>
      </c>
      <c r="V923" s="52">
        <v>45329.0</v>
      </c>
      <c r="W923" s="30"/>
      <c r="X923" s="30"/>
      <c r="Y923" s="31"/>
      <c r="Z923" s="31"/>
      <c r="AA923" s="78" t="s">
        <v>127</v>
      </c>
      <c r="AB923" s="74" t="s">
        <v>3609</v>
      </c>
      <c r="AC923" s="74"/>
    </row>
    <row r="924" ht="16.5" customHeight="1">
      <c r="A924" s="48" t="s">
        <v>3610</v>
      </c>
      <c r="B924" s="53" t="s">
        <v>3611</v>
      </c>
      <c r="C924" s="47">
        <v>34.0</v>
      </c>
      <c r="D924" s="70" t="s">
        <v>3612</v>
      </c>
      <c r="E924" s="55" t="s">
        <v>47</v>
      </c>
      <c r="F924" s="32" t="s">
        <v>48</v>
      </c>
      <c r="G924" s="32" t="s">
        <v>35</v>
      </c>
      <c r="H924" s="71" t="s">
        <v>35</v>
      </c>
      <c r="I924" s="71" t="s">
        <v>36</v>
      </c>
      <c r="J924" s="34" t="s">
        <v>65</v>
      </c>
      <c r="K924" s="57" t="s">
        <v>38</v>
      </c>
      <c r="L924" s="72">
        <v>10414.0</v>
      </c>
      <c r="M924" s="22"/>
      <c r="N924" s="73"/>
      <c r="O924" s="28">
        <v>45352.0</v>
      </c>
      <c r="P924" s="35" t="s">
        <v>3613</v>
      </c>
      <c r="Q924" s="12"/>
      <c r="R924" s="12"/>
      <c r="S924" s="12"/>
      <c r="T924" s="52">
        <v>45324.0</v>
      </c>
      <c r="U924" s="52">
        <v>45336.0</v>
      </c>
      <c r="V924" s="52">
        <v>45351.0</v>
      </c>
      <c r="W924" s="30"/>
      <c r="X924" s="30"/>
      <c r="Y924" s="31"/>
      <c r="Z924" s="31"/>
      <c r="AA924" s="78" t="s">
        <v>94</v>
      </c>
      <c r="AB924" s="74" t="s">
        <v>3614</v>
      </c>
      <c r="AC924" s="74"/>
    </row>
    <row r="925" ht="16.5" customHeight="1">
      <c r="A925" s="48" t="s">
        <v>3615</v>
      </c>
      <c r="B925" s="53" t="s">
        <v>3611</v>
      </c>
      <c r="C925" s="47">
        <v>34.0</v>
      </c>
      <c r="D925" s="70" t="s">
        <v>3616</v>
      </c>
      <c r="E925" s="55" t="s">
        <v>47</v>
      </c>
      <c r="F925" s="32" t="s">
        <v>48</v>
      </c>
      <c r="G925" s="32" t="s">
        <v>35</v>
      </c>
      <c r="H925" s="71" t="s">
        <v>35</v>
      </c>
      <c r="I925" s="71" t="s">
        <v>36</v>
      </c>
      <c r="J925" s="34" t="s">
        <v>65</v>
      </c>
      <c r="K925" s="57" t="s">
        <v>38</v>
      </c>
      <c r="L925" s="72">
        <v>10414.0</v>
      </c>
      <c r="M925" s="22"/>
      <c r="N925" s="73"/>
      <c r="O925" s="28">
        <v>45352.0</v>
      </c>
      <c r="P925" s="35" t="s">
        <v>3613</v>
      </c>
      <c r="Q925" s="12"/>
      <c r="R925" s="12"/>
      <c r="S925" s="12"/>
      <c r="T925" s="52">
        <v>45324.0</v>
      </c>
      <c r="U925" s="52">
        <v>45336.0</v>
      </c>
      <c r="V925" s="52">
        <v>45337.0</v>
      </c>
      <c r="W925" s="30"/>
      <c r="X925" s="30"/>
      <c r="Y925" s="31"/>
      <c r="Z925" s="31"/>
      <c r="AA925" s="78" t="s">
        <v>94</v>
      </c>
      <c r="AB925" s="74" t="s">
        <v>3617</v>
      </c>
      <c r="AC925" s="74"/>
    </row>
    <row r="926" ht="16.5" customHeight="1">
      <c r="A926" s="48" t="s">
        <v>3618</v>
      </c>
      <c r="B926" s="53" t="s">
        <v>3619</v>
      </c>
      <c r="C926" s="47">
        <v>0.0</v>
      </c>
      <c r="D926" s="70" t="s">
        <v>3620</v>
      </c>
      <c r="E926" s="55" t="s">
        <v>461</v>
      </c>
      <c r="F926" s="32" t="s">
        <v>244</v>
      </c>
      <c r="G926" s="32" t="s">
        <v>35</v>
      </c>
      <c r="H926" s="71" t="s">
        <v>35</v>
      </c>
      <c r="I926" s="71" t="s">
        <v>36</v>
      </c>
      <c r="J926" s="34" t="s">
        <v>37</v>
      </c>
      <c r="K926" s="57" t="s">
        <v>38</v>
      </c>
      <c r="L926" s="72">
        <v>10372.0</v>
      </c>
      <c r="M926" s="22"/>
      <c r="N926" s="73"/>
      <c r="O926" s="28">
        <v>45336.0</v>
      </c>
      <c r="P926" s="35" t="s">
        <v>3621</v>
      </c>
      <c r="Q926" s="12"/>
      <c r="R926" s="12"/>
      <c r="S926" s="12"/>
      <c r="T926" s="52">
        <v>45324.0</v>
      </c>
      <c r="U926" s="52">
        <v>45327.0</v>
      </c>
      <c r="V926" s="52">
        <v>45330.0</v>
      </c>
      <c r="W926" s="30"/>
      <c r="X926" s="30"/>
      <c r="Y926" s="31"/>
      <c r="Z926" s="31"/>
      <c r="AA926" s="78" t="s">
        <v>120</v>
      </c>
      <c r="AB926" s="74" t="s">
        <v>3622</v>
      </c>
      <c r="AC926" s="74"/>
    </row>
    <row r="927" ht="16.5" customHeight="1">
      <c r="A927" s="48" t="s">
        <v>3623</v>
      </c>
      <c r="B927" s="53" t="s">
        <v>880</v>
      </c>
      <c r="C927" s="47">
        <v>90.0</v>
      </c>
      <c r="D927" s="70" t="s">
        <v>3624</v>
      </c>
      <c r="E927" s="55" t="s">
        <v>91</v>
      </c>
      <c r="F927" s="32" t="s">
        <v>48</v>
      </c>
      <c r="G927" s="32" t="s">
        <v>35</v>
      </c>
      <c r="H927" s="71" t="s">
        <v>35</v>
      </c>
      <c r="I927" s="71" t="s">
        <v>36</v>
      </c>
      <c r="J927" s="34" t="s">
        <v>65</v>
      </c>
      <c r="K927" s="57" t="s">
        <v>38</v>
      </c>
      <c r="L927" s="72">
        <v>10582.0</v>
      </c>
      <c r="M927" s="22"/>
      <c r="N927" s="73"/>
      <c r="O927" s="28">
        <v>45384.66527777778</v>
      </c>
      <c r="P927" s="35" t="s">
        <v>3625</v>
      </c>
      <c r="Q927" s="12"/>
      <c r="R927" s="12"/>
      <c r="S927" s="12"/>
      <c r="T927" s="52">
        <v>45343.0</v>
      </c>
      <c r="U927" s="52">
        <v>45384.0</v>
      </c>
      <c r="V927" s="52">
        <v>45384.0</v>
      </c>
      <c r="W927" s="30"/>
      <c r="X927" s="30"/>
      <c r="Y927" s="31"/>
      <c r="Z927" s="31"/>
      <c r="AA927" s="31"/>
      <c r="AB927" s="74" t="s">
        <v>3626</v>
      </c>
      <c r="AC927" s="74"/>
    </row>
    <row r="928" ht="16.5" customHeight="1">
      <c r="A928" s="48" t="s">
        <v>3627</v>
      </c>
      <c r="B928" s="53" t="s">
        <v>3289</v>
      </c>
      <c r="C928" s="47">
        <v>0.0</v>
      </c>
      <c r="D928" s="70" t="s">
        <v>3628</v>
      </c>
      <c r="E928" s="55" t="s">
        <v>171</v>
      </c>
      <c r="F928" s="32" t="s">
        <v>48</v>
      </c>
      <c r="G928" s="32" t="s">
        <v>35</v>
      </c>
      <c r="H928" s="71" t="s">
        <v>35</v>
      </c>
      <c r="I928" s="71" t="s">
        <v>36</v>
      </c>
      <c r="J928" s="34" t="s">
        <v>92</v>
      </c>
      <c r="K928" s="57" t="s">
        <v>38</v>
      </c>
      <c r="L928" s="72">
        <v>10382.0</v>
      </c>
      <c r="M928" s="22"/>
      <c r="N928" s="73"/>
      <c r="O928" s="28">
        <v>45363.0</v>
      </c>
      <c r="P928" s="35" t="s">
        <v>3629</v>
      </c>
      <c r="Q928" s="12"/>
      <c r="R928" s="12"/>
      <c r="S928" s="12"/>
      <c r="T928" s="52">
        <v>45327.0</v>
      </c>
      <c r="U928" s="52">
        <v>45336.0</v>
      </c>
      <c r="V928" s="52">
        <v>45337.0</v>
      </c>
      <c r="W928" s="30"/>
      <c r="X928" s="30"/>
      <c r="Y928" s="31"/>
      <c r="Z928" s="31"/>
      <c r="AA928" s="78" t="s">
        <v>120</v>
      </c>
      <c r="AB928" s="74" t="s">
        <v>3630</v>
      </c>
      <c r="AC928" s="74"/>
    </row>
    <row r="929" ht="16.5" customHeight="1">
      <c r="A929" s="48" t="s">
        <v>3631</v>
      </c>
      <c r="B929" s="53" t="s">
        <v>104</v>
      </c>
      <c r="C929" s="47">
        <v>0.0</v>
      </c>
      <c r="D929" s="70" t="s">
        <v>3632</v>
      </c>
      <c r="E929" s="55" t="s">
        <v>79</v>
      </c>
      <c r="F929" s="32" t="s">
        <v>33</v>
      </c>
      <c r="G929" s="32" t="s">
        <v>368</v>
      </c>
      <c r="H929" s="71" t="s">
        <v>35</v>
      </c>
      <c r="I929" s="71" t="s">
        <v>36</v>
      </c>
      <c r="J929" s="34" t="s">
        <v>37</v>
      </c>
      <c r="K929" s="57" t="s">
        <v>1184</v>
      </c>
      <c r="L929" s="72">
        <v>10376.0</v>
      </c>
      <c r="M929" s="22"/>
      <c r="N929" s="73"/>
      <c r="O929" s="28">
        <v>45337.0</v>
      </c>
      <c r="P929" s="35" t="s">
        <v>3633</v>
      </c>
      <c r="Q929" s="12"/>
      <c r="R929" s="12"/>
      <c r="S929" s="12"/>
      <c r="T929" s="52">
        <v>45328.0</v>
      </c>
      <c r="U929" s="52">
        <v>45328.0</v>
      </c>
      <c r="V929" s="52">
        <v>45331.0</v>
      </c>
      <c r="W929" s="30"/>
      <c r="X929" s="30"/>
      <c r="Y929" s="31"/>
      <c r="Z929" s="31"/>
      <c r="AA929" s="78" t="s">
        <v>108</v>
      </c>
      <c r="AB929" s="74" t="s">
        <v>3634</v>
      </c>
      <c r="AC929" s="74"/>
    </row>
    <row r="930" ht="16.5" customHeight="1">
      <c r="A930" s="48" t="s">
        <v>3635</v>
      </c>
      <c r="B930" s="53" t="s">
        <v>3636</v>
      </c>
      <c r="C930" s="47">
        <v>0.0</v>
      </c>
      <c r="D930" s="70" t="s">
        <v>3637</v>
      </c>
      <c r="E930" s="55" t="s">
        <v>171</v>
      </c>
      <c r="F930" s="32" t="s">
        <v>48</v>
      </c>
      <c r="G930" s="32" t="s">
        <v>35</v>
      </c>
      <c r="H930" s="71" t="s">
        <v>35</v>
      </c>
      <c r="I930" s="71" t="s">
        <v>36</v>
      </c>
      <c r="J930" s="34" t="s">
        <v>49</v>
      </c>
      <c r="K930" s="57" t="s">
        <v>38</v>
      </c>
      <c r="L930" s="72">
        <v>10410.0</v>
      </c>
      <c r="M930" s="22"/>
      <c r="N930" s="73"/>
      <c r="O930" s="28">
        <v>45351.0</v>
      </c>
      <c r="P930" s="35" t="s">
        <v>3638</v>
      </c>
      <c r="Q930" s="12"/>
      <c r="R930" s="12"/>
      <c r="S930" s="12"/>
      <c r="T930" s="52">
        <v>45328.0</v>
      </c>
      <c r="U930" s="29"/>
      <c r="V930" s="52">
        <v>45351.0</v>
      </c>
      <c r="W930" s="30"/>
      <c r="X930" s="30"/>
      <c r="Y930" s="31"/>
      <c r="Z930" s="31"/>
      <c r="AA930" s="78" t="s">
        <v>127</v>
      </c>
      <c r="AB930" s="74" t="s">
        <v>3639</v>
      </c>
      <c r="AC930" s="74"/>
    </row>
    <row r="931" ht="16.5" customHeight="1">
      <c r="A931" s="48" t="s">
        <v>3640</v>
      </c>
      <c r="B931" s="53" t="s">
        <v>3097</v>
      </c>
      <c r="C931" s="47">
        <v>0.0</v>
      </c>
      <c r="D931" s="70" t="s">
        <v>3641</v>
      </c>
      <c r="E931" s="55" t="s">
        <v>453</v>
      </c>
      <c r="F931" s="32" t="s">
        <v>244</v>
      </c>
      <c r="G931" s="32" t="s">
        <v>35</v>
      </c>
      <c r="H931" s="71" t="s">
        <v>35</v>
      </c>
      <c r="I931" s="71" t="s">
        <v>36</v>
      </c>
      <c r="J931" s="34" t="s">
        <v>49</v>
      </c>
      <c r="K931" s="57" t="s">
        <v>38</v>
      </c>
      <c r="L931" s="72">
        <v>10375.0</v>
      </c>
      <c r="M931" s="22"/>
      <c r="N931" s="73"/>
      <c r="O931" s="28">
        <v>45337.0</v>
      </c>
      <c r="P931" s="35" t="s">
        <v>3642</v>
      </c>
      <c r="Q931" s="12"/>
      <c r="R931" s="12"/>
      <c r="S931" s="12"/>
      <c r="T931" s="52">
        <v>45328.0</v>
      </c>
      <c r="U931" s="52">
        <v>45336.0</v>
      </c>
      <c r="V931" s="52">
        <v>45337.0</v>
      </c>
      <c r="W931" s="30"/>
      <c r="X931" s="30"/>
      <c r="Y931" s="31"/>
      <c r="Z931" s="31"/>
      <c r="AA931" s="78" t="s">
        <v>127</v>
      </c>
      <c r="AB931" s="74" t="s">
        <v>3643</v>
      </c>
      <c r="AC931" s="74"/>
    </row>
    <row r="932" ht="16.5" customHeight="1">
      <c r="A932" s="48" t="s">
        <v>3644</v>
      </c>
      <c r="B932" s="53" t="s">
        <v>3645</v>
      </c>
      <c r="C932" s="47">
        <v>0.0</v>
      </c>
      <c r="D932" s="70" t="s">
        <v>3646</v>
      </c>
      <c r="E932" s="55" t="s">
        <v>243</v>
      </c>
      <c r="F932" s="32" t="s">
        <v>244</v>
      </c>
      <c r="G932" s="32" t="s">
        <v>35</v>
      </c>
      <c r="H932" s="71" t="s">
        <v>35</v>
      </c>
      <c r="I932" s="71" t="s">
        <v>36</v>
      </c>
      <c r="J932" s="34" t="s">
        <v>65</v>
      </c>
      <c r="K932" s="57" t="s">
        <v>38</v>
      </c>
      <c r="L932" s="72">
        <v>10377.0</v>
      </c>
      <c r="M932" s="22"/>
      <c r="N932" s="73"/>
      <c r="O932" s="28">
        <v>45351.0</v>
      </c>
      <c r="P932" s="35" t="s">
        <v>3647</v>
      </c>
      <c r="Q932" s="12"/>
      <c r="R932" s="12"/>
      <c r="S932" s="12"/>
      <c r="T932" s="52">
        <v>45329.0</v>
      </c>
      <c r="U932" s="52">
        <v>45336.0</v>
      </c>
      <c r="V932" s="52">
        <v>45351.0</v>
      </c>
      <c r="W932" s="30"/>
      <c r="X932" s="30"/>
      <c r="Y932" s="31"/>
      <c r="Z932" s="31"/>
      <c r="AA932" s="78" t="s">
        <v>127</v>
      </c>
      <c r="AB932" s="74" t="s">
        <v>3648</v>
      </c>
      <c r="AC932" s="74"/>
    </row>
    <row r="933" ht="16.5" customHeight="1">
      <c r="A933" s="48" t="s">
        <v>3649</v>
      </c>
      <c r="B933" s="53" t="s">
        <v>3510</v>
      </c>
      <c r="C933" s="47">
        <v>0.0</v>
      </c>
      <c r="D933" s="70" t="s">
        <v>3650</v>
      </c>
      <c r="E933" s="55" t="s">
        <v>257</v>
      </c>
      <c r="F933" s="32" t="s">
        <v>244</v>
      </c>
      <c r="G933" s="32" t="s">
        <v>35</v>
      </c>
      <c r="H933" s="71" t="s">
        <v>35</v>
      </c>
      <c r="I933" s="71" t="s">
        <v>36</v>
      </c>
      <c r="J933" s="34" t="s">
        <v>37</v>
      </c>
      <c r="K933" s="57" t="s">
        <v>3512</v>
      </c>
      <c r="L933" s="72">
        <v>10388.0</v>
      </c>
      <c r="M933" s="22"/>
      <c r="N933" s="73"/>
      <c r="O933" s="28">
        <v>45342.0</v>
      </c>
      <c r="P933" s="35" t="s">
        <v>3651</v>
      </c>
      <c r="Q933" s="12"/>
      <c r="R933" s="12"/>
      <c r="S933" s="12"/>
      <c r="T933" s="52">
        <v>45329.0</v>
      </c>
      <c r="U933" s="52">
        <v>45337.0</v>
      </c>
      <c r="V933" s="52">
        <v>45342.0</v>
      </c>
      <c r="W933" s="30"/>
      <c r="X933" s="30"/>
      <c r="Y933" s="31"/>
      <c r="Z933" s="31"/>
      <c r="AA933" s="78" t="s">
        <v>3385</v>
      </c>
      <c r="AB933" s="74" t="s">
        <v>3652</v>
      </c>
      <c r="AC933" s="74"/>
    </row>
    <row r="934" ht="16.5" customHeight="1">
      <c r="A934" s="48" t="s">
        <v>3653</v>
      </c>
      <c r="B934" s="53" t="s">
        <v>530</v>
      </c>
      <c r="C934" s="47">
        <v>0.0</v>
      </c>
      <c r="D934" s="70" t="s">
        <v>3654</v>
      </c>
      <c r="E934" s="55" t="s">
        <v>664</v>
      </c>
      <c r="F934" s="32" t="s">
        <v>48</v>
      </c>
      <c r="G934" s="32" t="s">
        <v>35</v>
      </c>
      <c r="H934" s="71" t="s">
        <v>35</v>
      </c>
      <c r="I934" s="71" t="s">
        <v>36</v>
      </c>
      <c r="J934" s="34" t="s">
        <v>92</v>
      </c>
      <c r="K934" s="57" t="s">
        <v>38</v>
      </c>
      <c r="L934" s="72">
        <v>10371.0</v>
      </c>
      <c r="M934" s="22"/>
      <c r="N934" s="73"/>
      <c r="O934" s="28">
        <v>45351.0</v>
      </c>
      <c r="P934" s="35" t="s">
        <v>3655</v>
      </c>
      <c r="Q934" s="12"/>
      <c r="R934" s="12"/>
      <c r="S934" s="12"/>
      <c r="T934" s="52">
        <v>45330.0</v>
      </c>
      <c r="U934" s="52">
        <v>45330.0</v>
      </c>
      <c r="V934" s="52">
        <v>45330.0</v>
      </c>
      <c r="W934" s="30"/>
      <c r="X934" s="30"/>
      <c r="Y934" s="31"/>
      <c r="Z934" s="31"/>
      <c r="AA934" s="78" t="s">
        <v>120</v>
      </c>
      <c r="AB934" s="74" t="s">
        <v>3656</v>
      </c>
      <c r="AC934" s="74"/>
    </row>
    <row r="935" ht="16.5" customHeight="1">
      <c r="A935" s="48" t="s">
        <v>3657</v>
      </c>
      <c r="B935" s="53" t="s">
        <v>3164</v>
      </c>
      <c r="C935" s="47">
        <v>0.0</v>
      </c>
      <c r="D935" s="70" t="s">
        <v>3658</v>
      </c>
      <c r="E935" s="55" t="s">
        <v>165</v>
      </c>
      <c r="F935" s="32" t="s">
        <v>33</v>
      </c>
      <c r="G935" s="32" t="s">
        <v>368</v>
      </c>
      <c r="H935" s="71" t="s">
        <v>35</v>
      </c>
      <c r="I935" s="71" t="s">
        <v>36</v>
      </c>
      <c r="J935" s="34" t="s">
        <v>37</v>
      </c>
      <c r="K935" s="57" t="s">
        <v>384</v>
      </c>
      <c r="L935" s="72">
        <v>10381.0</v>
      </c>
      <c r="M935" s="22"/>
      <c r="N935" s="73"/>
      <c r="O935" s="28">
        <v>45338.0</v>
      </c>
      <c r="P935" s="35" t="s">
        <v>3659</v>
      </c>
      <c r="Q935" s="12"/>
      <c r="R935" s="12"/>
      <c r="S935" s="12"/>
      <c r="T935" s="52">
        <v>45330.0</v>
      </c>
      <c r="U935" s="52">
        <v>45331.0</v>
      </c>
      <c r="V935" s="52">
        <v>45331.0</v>
      </c>
      <c r="W935" s="30"/>
      <c r="X935" s="30"/>
      <c r="Y935" s="31"/>
      <c r="Z935" s="31"/>
      <c r="AA935" s="78" t="s">
        <v>108</v>
      </c>
      <c r="AB935" s="74" t="s">
        <v>3660</v>
      </c>
      <c r="AC935" s="74"/>
    </row>
    <row r="936" ht="16.5" customHeight="1">
      <c r="A936" s="48" t="s">
        <v>3661</v>
      </c>
      <c r="B936" s="53" t="s">
        <v>1768</v>
      </c>
      <c r="C936" s="47">
        <v>0.0</v>
      </c>
      <c r="D936" s="70" t="s">
        <v>3662</v>
      </c>
      <c r="E936" s="55"/>
      <c r="F936" s="32" t="s">
        <v>48</v>
      </c>
      <c r="G936" s="32" t="s">
        <v>35</v>
      </c>
      <c r="H936" s="71" t="s">
        <v>35</v>
      </c>
      <c r="I936" s="71" t="s">
        <v>36</v>
      </c>
      <c r="J936" s="34" t="s">
        <v>37</v>
      </c>
      <c r="K936" s="57" t="s">
        <v>38</v>
      </c>
      <c r="L936" s="72">
        <v>10437.0</v>
      </c>
      <c r="M936" s="22"/>
      <c r="N936" s="73"/>
      <c r="O936" s="28">
        <v>45356.0</v>
      </c>
      <c r="P936" s="35" t="s">
        <v>3663</v>
      </c>
      <c r="Q936" s="12"/>
      <c r="R936" s="12"/>
      <c r="S936" s="12"/>
      <c r="T936" s="52">
        <v>45330.0</v>
      </c>
      <c r="U936" s="52">
        <v>45337.0</v>
      </c>
      <c r="V936" s="52">
        <v>45355.0</v>
      </c>
      <c r="W936" s="30"/>
      <c r="X936" s="30"/>
      <c r="Y936" s="31"/>
      <c r="Z936" s="31"/>
      <c r="AA936" s="78" t="s">
        <v>120</v>
      </c>
      <c r="AB936" s="74" t="s">
        <v>3664</v>
      </c>
      <c r="AC936" s="74"/>
    </row>
    <row r="937" ht="16.5" customHeight="1">
      <c r="A937" s="48" t="s">
        <v>3665</v>
      </c>
      <c r="B937" s="53" t="s">
        <v>1768</v>
      </c>
      <c r="C937" s="47">
        <v>90.0</v>
      </c>
      <c r="D937" s="70" t="s">
        <v>3666</v>
      </c>
      <c r="E937" s="55" t="s">
        <v>91</v>
      </c>
      <c r="F937" s="32" t="s">
        <v>48</v>
      </c>
      <c r="G937" s="32" t="s">
        <v>35</v>
      </c>
      <c r="H937" s="71" t="s">
        <v>35</v>
      </c>
      <c r="I937" s="71" t="s">
        <v>36</v>
      </c>
      <c r="J937" s="34" t="s">
        <v>37</v>
      </c>
      <c r="K937" s="57" t="s">
        <v>38</v>
      </c>
      <c r="L937" s="72">
        <v>10437.0</v>
      </c>
      <c r="M937" s="22"/>
      <c r="N937" s="73"/>
      <c r="O937" s="28">
        <v>45356.0</v>
      </c>
      <c r="P937" s="35" t="s">
        <v>3663</v>
      </c>
      <c r="Q937" s="12"/>
      <c r="R937" s="12"/>
      <c r="S937" s="12"/>
      <c r="T937" s="52">
        <v>45330.0</v>
      </c>
      <c r="U937" s="52">
        <v>45337.0</v>
      </c>
      <c r="V937" s="52">
        <v>45355.0</v>
      </c>
      <c r="W937" s="30"/>
      <c r="X937" s="30"/>
      <c r="Y937" s="31"/>
      <c r="Z937" s="31"/>
      <c r="AA937" s="78" t="s">
        <v>120</v>
      </c>
      <c r="AB937" s="74" t="s">
        <v>3667</v>
      </c>
      <c r="AC937" s="74"/>
    </row>
    <row r="938" ht="16.5" customHeight="1">
      <c r="A938" s="48" t="s">
        <v>3668</v>
      </c>
      <c r="B938" s="53" t="s">
        <v>3669</v>
      </c>
      <c r="C938" s="47">
        <v>0.0</v>
      </c>
      <c r="D938" s="70" t="s">
        <v>3670</v>
      </c>
      <c r="E938" s="55" t="s">
        <v>511</v>
      </c>
      <c r="F938" s="32" t="s">
        <v>33</v>
      </c>
      <c r="G938" s="32" t="s">
        <v>34</v>
      </c>
      <c r="H938" s="71" t="s">
        <v>35</v>
      </c>
      <c r="I938" s="71" t="s">
        <v>36</v>
      </c>
      <c r="J938" s="34" t="s">
        <v>37</v>
      </c>
      <c r="K938" s="57" t="s">
        <v>38</v>
      </c>
      <c r="L938" s="72">
        <v>10380.0</v>
      </c>
      <c r="M938" s="22"/>
      <c r="N938" s="73"/>
      <c r="O938" s="28">
        <v>45338.0</v>
      </c>
      <c r="P938" s="35" t="s">
        <v>3671</v>
      </c>
      <c r="Q938" s="12"/>
      <c r="R938" s="12"/>
      <c r="S938" s="12"/>
      <c r="T938" s="52">
        <v>45331.0</v>
      </c>
      <c r="U938" s="52">
        <v>45331.0</v>
      </c>
      <c r="V938" s="52">
        <v>45331.0</v>
      </c>
      <c r="W938" s="30"/>
      <c r="X938" s="30"/>
      <c r="Y938" s="31"/>
      <c r="Z938" s="31"/>
      <c r="AA938" s="78" t="s">
        <v>120</v>
      </c>
      <c r="AB938" s="74" t="s">
        <v>3672</v>
      </c>
      <c r="AC938" s="74"/>
    </row>
    <row r="939" ht="16.5" customHeight="1">
      <c r="A939" s="48" t="s">
        <v>3673</v>
      </c>
      <c r="B939" s="53" t="s">
        <v>3674</v>
      </c>
      <c r="C939" s="47">
        <v>0.0</v>
      </c>
      <c r="D939" s="70" t="s">
        <v>3675</v>
      </c>
      <c r="E939" s="55" t="s">
        <v>1040</v>
      </c>
      <c r="F939" s="32" t="s">
        <v>33</v>
      </c>
      <c r="G939" s="32" t="s">
        <v>35</v>
      </c>
      <c r="H939" s="71" t="s">
        <v>35</v>
      </c>
      <c r="I939" s="71" t="s">
        <v>36</v>
      </c>
      <c r="J939" s="34" t="s">
        <v>65</v>
      </c>
      <c r="K939" s="57" t="s">
        <v>38</v>
      </c>
      <c r="L939" s="72">
        <v>10438.0</v>
      </c>
      <c r="M939" s="22"/>
      <c r="N939" s="73"/>
      <c r="O939" s="28">
        <v>45356.0</v>
      </c>
      <c r="P939" s="35" t="s">
        <v>3676</v>
      </c>
      <c r="Q939" s="12"/>
      <c r="R939" s="12"/>
      <c r="S939" s="12"/>
      <c r="T939" s="52">
        <v>45331.0</v>
      </c>
      <c r="U939" s="52">
        <v>45336.0</v>
      </c>
      <c r="V939" s="52">
        <v>45355.0</v>
      </c>
      <c r="W939" s="30"/>
      <c r="X939" s="30"/>
      <c r="Y939" s="31"/>
      <c r="Z939" s="31"/>
      <c r="AA939" s="78" t="s">
        <v>94</v>
      </c>
      <c r="AB939" s="74" t="s">
        <v>3677</v>
      </c>
      <c r="AC939" s="74"/>
    </row>
    <row r="940" ht="16.5" customHeight="1">
      <c r="A940" s="48" t="s">
        <v>3678</v>
      </c>
      <c r="B940" s="53" t="s">
        <v>122</v>
      </c>
      <c r="C940" s="47">
        <v>0.0</v>
      </c>
      <c r="D940" s="70" t="s">
        <v>3679</v>
      </c>
      <c r="E940" s="55" t="s">
        <v>165</v>
      </c>
      <c r="F940" s="32" t="s">
        <v>33</v>
      </c>
      <c r="G940" s="32" t="s">
        <v>35</v>
      </c>
      <c r="H940" s="71" t="s">
        <v>35</v>
      </c>
      <c r="I940" s="71" t="s">
        <v>36</v>
      </c>
      <c r="J940" s="34" t="s">
        <v>49</v>
      </c>
      <c r="K940" s="57" t="s">
        <v>38</v>
      </c>
      <c r="L940" s="72">
        <v>10379.0</v>
      </c>
      <c r="M940" s="22"/>
      <c r="N940" s="73"/>
      <c r="O940" s="28">
        <v>45338.0</v>
      </c>
      <c r="P940" s="35" t="s">
        <v>3680</v>
      </c>
      <c r="Q940" s="12"/>
      <c r="R940" s="12"/>
      <c r="S940" s="12"/>
      <c r="T940" s="52">
        <v>45331.0</v>
      </c>
      <c r="U940" s="52">
        <v>45336.0</v>
      </c>
      <c r="V940" s="52">
        <v>45338.0</v>
      </c>
      <c r="W940" s="30"/>
      <c r="X940" s="30"/>
      <c r="Y940" s="31"/>
      <c r="Z940" s="31"/>
      <c r="AA940" s="78" t="s">
        <v>127</v>
      </c>
      <c r="AB940" s="74" t="s">
        <v>3681</v>
      </c>
      <c r="AC940" s="74"/>
    </row>
    <row r="941" ht="16.5" customHeight="1">
      <c r="A941" s="48" t="s">
        <v>3682</v>
      </c>
      <c r="B941" s="53" t="s">
        <v>1461</v>
      </c>
      <c r="C941" s="47">
        <v>0.0</v>
      </c>
      <c r="D941" s="70" t="s">
        <v>3683</v>
      </c>
      <c r="E941" s="55" t="s">
        <v>171</v>
      </c>
      <c r="F941" s="32" t="s">
        <v>48</v>
      </c>
      <c r="G941" s="32" t="s">
        <v>35</v>
      </c>
      <c r="H941" s="71" t="s">
        <v>35</v>
      </c>
      <c r="I941" s="71" t="s">
        <v>36</v>
      </c>
      <c r="J941" s="34" t="s">
        <v>65</v>
      </c>
      <c r="K941" s="57" t="s">
        <v>38</v>
      </c>
      <c r="L941" s="72">
        <v>10392.0</v>
      </c>
      <c r="M941" s="22"/>
      <c r="N941" s="73"/>
      <c r="O941" s="28">
        <v>45351.0</v>
      </c>
      <c r="P941" s="35" t="s">
        <v>3684</v>
      </c>
      <c r="Q941" s="12"/>
      <c r="R941" s="12"/>
      <c r="S941" s="12"/>
      <c r="T941" s="52">
        <v>45331.0</v>
      </c>
      <c r="U941" s="52">
        <v>45341.0</v>
      </c>
      <c r="V941" s="52">
        <v>45341.0</v>
      </c>
      <c r="W941" s="30"/>
      <c r="X941" s="30"/>
      <c r="Y941" s="31"/>
      <c r="Z941" s="31"/>
      <c r="AA941" s="78" t="s">
        <v>94</v>
      </c>
      <c r="AB941" s="74" t="s">
        <v>3685</v>
      </c>
      <c r="AC941" s="74"/>
    </row>
    <row r="942" ht="16.5" customHeight="1">
      <c r="A942" s="48" t="s">
        <v>3686</v>
      </c>
      <c r="B942" s="53" t="s">
        <v>3687</v>
      </c>
      <c r="C942" s="47">
        <v>0.0</v>
      </c>
      <c r="D942" s="70" t="s">
        <v>3688</v>
      </c>
      <c r="E942" s="55" t="s">
        <v>243</v>
      </c>
      <c r="F942" s="32" t="s">
        <v>244</v>
      </c>
      <c r="G942" s="32" t="s">
        <v>35</v>
      </c>
      <c r="H942" s="71" t="s">
        <v>35</v>
      </c>
      <c r="I942" s="71" t="s">
        <v>36</v>
      </c>
      <c r="J942" s="34" t="s">
        <v>49</v>
      </c>
      <c r="K942" s="57" t="s">
        <v>38</v>
      </c>
      <c r="L942" s="72">
        <v>10404.0</v>
      </c>
      <c r="M942" s="22"/>
      <c r="N942" s="73"/>
      <c r="O942" s="28">
        <v>45349.0</v>
      </c>
      <c r="P942" s="35" t="s">
        <v>3689</v>
      </c>
      <c r="Q942" s="12"/>
      <c r="R942" s="12"/>
      <c r="S942" s="12"/>
      <c r="T942" s="52">
        <v>45336.0</v>
      </c>
      <c r="U942" s="52">
        <v>45338.0</v>
      </c>
      <c r="V942" s="52">
        <v>45349.0</v>
      </c>
      <c r="W942" s="30"/>
      <c r="X942" s="30"/>
      <c r="Y942" s="31"/>
      <c r="Z942" s="31"/>
      <c r="AA942" s="78" t="s">
        <v>102</v>
      </c>
      <c r="AB942" s="74" t="s">
        <v>3690</v>
      </c>
      <c r="AC942" s="74"/>
    </row>
    <row r="943" ht="16.5" customHeight="1">
      <c r="A943" s="48" t="s">
        <v>3691</v>
      </c>
      <c r="B943" s="53" t="s">
        <v>3692</v>
      </c>
      <c r="C943" s="47">
        <v>27.0</v>
      </c>
      <c r="D943" s="39" t="s">
        <v>3693</v>
      </c>
      <c r="E943" s="55" t="s">
        <v>72</v>
      </c>
      <c r="F943" s="32" t="s">
        <v>48</v>
      </c>
      <c r="G943" s="32">
        <v>1.0</v>
      </c>
      <c r="H943" s="71" t="s">
        <v>35</v>
      </c>
      <c r="I943" s="71" t="s">
        <v>36</v>
      </c>
      <c r="J943" s="34" t="s">
        <v>49</v>
      </c>
      <c r="K943" s="57" t="s">
        <v>38</v>
      </c>
      <c r="L943" s="72">
        <v>10737.0</v>
      </c>
      <c r="M943" s="22" t="s">
        <v>50</v>
      </c>
      <c r="N943" s="35" t="s">
        <v>3694</v>
      </c>
      <c r="O943" s="28">
        <v>45415.7078125</v>
      </c>
      <c r="P943" s="35" t="s">
        <v>3695</v>
      </c>
      <c r="Q943" s="12"/>
      <c r="R943" s="12"/>
      <c r="S943" s="12"/>
      <c r="T943" s="52">
        <v>45343.0</v>
      </c>
      <c r="U943" s="52">
        <v>45412.7078125</v>
      </c>
      <c r="V943" s="52">
        <v>45415.45961805555</v>
      </c>
      <c r="W943" s="30"/>
      <c r="X943" s="30"/>
      <c r="Y943" s="31"/>
      <c r="Z943" s="31"/>
      <c r="AA943" s="78" t="s">
        <v>127</v>
      </c>
      <c r="AB943" s="74" t="s">
        <v>3696</v>
      </c>
      <c r="AC943" s="74"/>
    </row>
    <row r="944" ht="16.5" customHeight="1">
      <c r="A944" s="48" t="s">
        <v>3697</v>
      </c>
      <c r="B944" s="53" t="s">
        <v>3692</v>
      </c>
      <c r="C944" s="47">
        <v>1.0</v>
      </c>
      <c r="D944" s="70" t="s">
        <v>3698</v>
      </c>
      <c r="E944" s="55" t="s">
        <v>3395</v>
      </c>
      <c r="F944" s="32" t="s">
        <v>48</v>
      </c>
      <c r="G944" s="32" t="s">
        <v>35</v>
      </c>
      <c r="H944" s="71" t="s">
        <v>35</v>
      </c>
      <c r="I944" s="71" t="s">
        <v>36</v>
      </c>
      <c r="J944" s="34" t="s">
        <v>49</v>
      </c>
      <c r="K944" s="57" t="s">
        <v>38</v>
      </c>
      <c r="L944" s="72">
        <v>10587.0</v>
      </c>
      <c r="M944" s="22"/>
      <c r="N944" s="73"/>
      <c r="O944" s="28">
        <v>45386.0</v>
      </c>
      <c r="P944" s="35" t="s">
        <v>3699</v>
      </c>
      <c r="Q944" s="12"/>
      <c r="R944" s="12"/>
      <c r="S944" s="12"/>
      <c r="T944" s="52">
        <v>45343.0</v>
      </c>
      <c r="U944" s="52">
        <v>45384.0</v>
      </c>
      <c r="V944" s="52">
        <v>45386.0</v>
      </c>
      <c r="W944" s="30"/>
      <c r="X944" s="30"/>
      <c r="Y944" s="31"/>
      <c r="Z944" s="31"/>
      <c r="AA944" s="78" t="s">
        <v>127</v>
      </c>
      <c r="AB944" s="74" t="s">
        <v>3700</v>
      </c>
      <c r="AC944" s="74"/>
    </row>
    <row r="945" ht="16.5" customHeight="1">
      <c r="A945" s="48" t="s">
        <v>3701</v>
      </c>
      <c r="B945" s="53" t="s">
        <v>3692</v>
      </c>
      <c r="C945" s="47">
        <v>27.0</v>
      </c>
      <c r="D945" s="39" t="s">
        <v>3702</v>
      </c>
      <c r="E945" s="55" t="s">
        <v>72</v>
      </c>
      <c r="F945" s="32" t="s">
        <v>48</v>
      </c>
      <c r="G945" s="32" t="s">
        <v>35</v>
      </c>
      <c r="H945" s="71" t="s">
        <v>35</v>
      </c>
      <c r="I945" s="71" t="s">
        <v>36</v>
      </c>
      <c r="J945" s="34" t="s">
        <v>49</v>
      </c>
      <c r="K945" s="57" t="s">
        <v>38</v>
      </c>
      <c r="L945" s="72">
        <v>10587.0</v>
      </c>
      <c r="M945" s="22"/>
      <c r="N945" s="73"/>
      <c r="O945" s="28">
        <v>45386.0</v>
      </c>
      <c r="P945" s="35" t="s">
        <v>3699</v>
      </c>
      <c r="Q945" s="12"/>
      <c r="R945" s="12"/>
      <c r="S945" s="12"/>
      <c r="T945" s="52">
        <v>45343.0</v>
      </c>
      <c r="U945" s="52">
        <v>45384.0</v>
      </c>
      <c r="V945" s="52">
        <v>45384.0</v>
      </c>
      <c r="W945" s="30"/>
      <c r="X945" s="30"/>
      <c r="Y945" s="31"/>
      <c r="Z945" s="31"/>
      <c r="AA945" s="78" t="s">
        <v>127</v>
      </c>
      <c r="AB945" s="74" t="s">
        <v>3703</v>
      </c>
      <c r="AC945" s="74"/>
    </row>
    <row r="946" ht="16.5" customHeight="1">
      <c r="A946" s="48" t="s">
        <v>3704</v>
      </c>
      <c r="B946" s="53" t="s">
        <v>3692</v>
      </c>
      <c r="C946" s="47">
        <v>137.0</v>
      </c>
      <c r="D946" s="70" t="s">
        <v>3705</v>
      </c>
      <c r="E946" s="55" t="s">
        <v>85</v>
      </c>
      <c r="F946" s="32" t="s">
        <v>48</v>
      </c>
      <c r="G946" s="32" t="s">
        <v>35</v>
      </c>
      <c r="H946" s="71" t="s">
        <v>35</v>
      </c>
      <c r="I946" s="71" t="s">
        <v>36</v>
      </c>
      <c r="J946" s="34" t="s">
        <v>49</v>
      </c>
      <c r="K946" s="57" t="s">
        <v>38</v>
      </c>
      <c r="L946" s="72">
        <v>10439.0</v>
      </c>
      <c r="M946" s="22"/>
      <c r="N946" s="73"/>
      <c r="O946" s="28">
        <v>45356.0</v>
      </c>
      <c r="P946" s="35" t="s">
        <v>3706</v>
      </c>
      <c r="Q946" s="12"/>
      <c r="R946" s="12"/>
      <c r="S946" s="12"/>
      <c r="T946" s="52">
        <v>45343.0</v>
      </c>
      <c r="U946" s="52">
        <v>45342.0</v>
      </c>
      <c r="V946" s="52">
        <v>45355.0</v>
      </c>
      <c r="W946" s="30"/>
      <c r="X946" s="30"/>
      <c r="Y946" s="31"/>
      <c r="Z946" s="31"/>
      <c r="AA946" s="78" t="s">
        <v>127</v>
      </c>
      <c r="AB946" s="74" t="s">
        <v>3707</v>
      </c>
      <c r="AC946" s="74"/>
    </row>
    <row r="947" ht="16.5" customHeight="1">
      <c r="A947" s="48" t="s">
        <v>3708</v>
      </c>
      <c r="B947" s="53" t="s">
        <v>3709</v>
      </c>
      <c r="C947" s="47">
        <v>0.0</v>
      </c>
      <c r="D947" s="70" t="s">
        <v>3710</v>
      </c>
      <c r="E947" s="55" t="s">
        <v>289</v>
      </c>
      <c r="F947" s="32" t="s">
        <v>33</v>
      </c>
      <c r="G947" s="32" t="s">
        <v>34</v>
      </c>
      <c r="H947" s="71" t="s">
        <v>35</v>
      </c>
      <c r="I947" s="71" t="s">
        <v>36</v>
      </c>
      <c r="J947" s="34" t="s">
        <v>92</v>
      </c>
      <c r="K947" s="57" t="s">
        <v>38</v>
      </c>
      <c r="L947" s="72">
        <v>10405.0</v>
      </c>
      <c r="M947" s="22"/>
      <c r="N947" s="73"/>
      <c r="O947" s="28">
        <v>45371.0</v>
      </c>
      <c r="P947" s="35" t="s">
        <v>3711</v>
      </c>
      <c r="Q947" s="12"/>
      <c r="R947" s="12"/>
      <c r="S947" s="12"/>
      <c r="T947" s="52">
        <v>45336.0</v>
      </c>
      <c r="U947" s="52">
        <v>45338.0</v>
      </c>
      <c r="V947" s="52">
        <v>45344.0</v>
      </c>
      <c r="W947" s="30"/>
      <c r="X947" s="30"/>
      <c r="Y947" s="31"/>
      <c r="Z947" s="31"/>
      <c r="AA947" s="78" t="s">
        <v>120</v>
      </c>
      <c r="AB947" s="74" t="s">
        <v>3712</v>
      </c>
      <c r="AC947" s="74"/>
    </row>
    <row r="948" ht="16.5" customHeight="1">
      <c r="A948" s="48" t="s">
        <v>3713</v>
      </c>
      <c r="B948" s="53" t="s">
        <v>3382</v>
      </c>
      <c r="C948" s="47">
        <v>0.0</v>
      </c>
      <c r="D948" s="70"/>
      <c r="E948" s="55" t="s">
        <v>3714</v>
      </c>
      <c r="F948" s="32" t="s">
        <v>244</v>
      </c>
      <c r="G948" s="32" t="s">
        <v>35</v>
      </c>
      <c r="H948" s="71" t="s">
        <v>35</v>
      </c>
      <c r="I948" s="71" t="s">
        <v>665</v>
      </c>
      <c r="J948" s="34" t="s">
        <v>37</v>
      </c>
      <c r="K948" s="57" t="s">
        <v>805</v>
      </c>
      <c r="L948" s="72">
        <v>10412.0</v>
      </c>
      <c r="M948" s="22"/>
      <c r="N948" s="73"/>
      <c r="O948" s="28">
        <v>45351.0</v>
      </c>
      <c r="P948" s="35" t="s">
        <v>3715</v>
      </c>
      <c r="Q948" s="12"/>
      <c r="R948" s="12"/>
      <c r="S948" s="12"/>
      <c r="T948" s="52">
        <v>45343.0</v>
      </c>
      <c r="U948" s="52">
        <v>45349.0</v>
      </c>
      <c r="V948" s="52">
        <v>45351.0</v>
      </c>
      <c r="W948" s="30"/>
      <c r="X948" s="30"/>
      <c r="Y948" s="31"/>
      <c r="Z948" s="31"/>
      <c r="AA948" s="31"/>
      <c r="AB948" s="74" t="s">
        <v>3716</v>
      </c>
      <c r="AC948" s="74"/>
    </row>
    <row r="949" ht="16.5" customHeight="1">
      <c r="A949" s="48" t="s">
        <v>3717</v>
      </c>
      <c r="B949" s="53" t="s">
        <v>543</v>
      </c>
      <c r="C949" s="47">
        <v>0.0</v>
      </c>
      <c r="D949" s="70" t="s">
        <v>3718</v>
      </c>
      <c r="E949" s="55" t="s">
        <v>79</v>
      </c>
      <c r="F949" s="32" t="s">
        <v>33</v>
      </c>
      <c r="G949" s="32" t="s">
        <v>35</v>
      </c>
      <c r="H949" s="71" t="s">
        <v>35</v>
      </c>
      <c r="I949" s="71" t="s">
        <v>36</v>
      </c>
      <c r="J949" s="34" t="s">
        <v>37</v>
      </c>
      <c r="K949" s="57" t="s">
        <v>38</v>
      </c>
      <c r="L949" s="72">
        <v>10408.0</v>
      </c>
      <c r="M949" s="22"/>
      <c r="N949" s="73"/>
      <c r="O949" s="28">
        <v>45351.0</v>
      </c>
      <c r="P949" s="35" t="s">
        <v>3719</v>
      </c>
      <c r="Q949" s="12"/>
      <c r="R949" s="12"/>
      <c r="S949" s="12"/>
      <c r="T949" s="52">
        <v>45343.0</v>
      </c>
      <c r="U949" s="52">
        <v>45349.0</v>
      </c>
      <c r="V949" s="52">
        <v>45351.0</v>
      </c>
      <c r="W949" s="30"/>
      <c r="X949" s="30"/>
      <c r="Y949" s="31"/>
      <c r="Z949" s="31"/>
      <c r="AA949" s="78" t="s">
        <v>120</v>
      </c>
      <c r="AB949" s="74" t="s">
        <v>3720</v>
      </c>
      <c r="AC949" s="74"/>
    </row>
    <row r="950" ht="16.5" customHeight="1">
      <c r="A950" s="48" t="s">
        <v>3721</v>
      </c>
      <c r="B950" s="53" t="s">
        <v>3722</v>
      </c>
      <c r="C950" s="47">
        <v>0.0</v>
      </c>
      <c r="D950" s="70" t="s">
        <v>3723</v>
      </c>
      <c r="E950" s="55" t="s">
        <v>511</v>
      </c>
      <c r="F950" s="32" t="s">
        <v>33</v>
      </c>
      <c r="G950" s="32" t="s">
        <v>35</v>
      </c>
      <c r="H950" s="71" t="s">
        <v>35</v>
      </c>
      <c r="I950" s="71" t="s">
        <v>36</v>
      </c>
      <c r="J950" s="34" t="s">
        <v>49</v>
      </c>
      <c r="K950" s="57" t="s">
        <v>38</v>
      </c>
      <c r="L950" s="72">
        <v>10387.0</v>
      </c>
      <c r="M950" s="22"/>
      <c r="N950" s="73"/>
      <c r="O950" s="28">
        <v>45341.0</v>
      </c>
      <c r="P950" s="35" t="s">
        <v>3596</v>
      </c>
      <c r="Q950" s="12"/>
      <c r="R950" s="12"/>
      <c r="S950" s="12"/>
      <c r="T950" s="52">
        <v>45341.0</v>
      </c>
      <c r="U950" s="52">
        <v>45341.0</v>
      </c>
      <c r="V950" s="52">
        <v>45341.0</v>
      </c>
      <c r="W950" s="30"/>
      <c r="X950" s="30"/>
      <c r="Y950" s="31"/>
      <c r="Z950" s="31"/>
      <c r="AA950" s="78" t="s">
        <v>3385</v>
      </c>
      <c r="AB950" s="74" t="s">
        <v>3724</v>
      </c>
      <c r="AC950" s="74"/>
    </row>
    <row r="951" ht="16.5" customHeight="1">
      <c r="A951" s="48" t="s">
        <v>3725</v>
      </c>
      <c r="B951" s="53" t="s">
        <v>3183</v>
      </c>
      <c r="C951" s="47">
        <v>0.0</v>
      </c>
      <c r="D951" s="70"/>
      <c r="E951" s="55" t="s">
        <v>79</v>
      </c>
      <c r="F951" s="32" t="s">
        <v>33</v>
      </c>
      <c r="G951" s="32" t="s">
        <v>35</v>
      </c>
      <c r="H951" s="71" t="s">
        <v>35</v>
      </c>
      <c r="I951" s="71" t="s">
        <v>665</v>
      </c>
      <c r="J951" s="34" t="s">
        <v>92</v>
      </c>
      <c r="K951" s="57" t="s">
        <v>38</v>
      </c>
      <c r="L951" s="72">
        <v>10413.0</v>
      </c>
      <c r="M951" s="22"/>
      <c r="N951" s="73"/>
      <c r="O951" s="28">
        <v>45359.0</v>
      </c>
      <c r="P951" s="35" t="s">
        <v>3726</v>
      </c>
      <c r="Q951" s="12"/>
      <c r="R951" s="12"/>
      <c r="S951" s="12"/>
      <c r="T951" s="52">
        <v>45343.0</v>
      </c>
      <c r="U951" s="52">
        <v>45349.0</v>
      </c>
      <c r="V951" s="52">
        <v>45359.0</v>
      </c>
      <c r="W951" s="30"/>
      <c r="X951" s="30"/>
      <c r="Y951" s="31"/>
      <c r="Z951" s="31"/>
      <c r="AA951" s="78" t="s">
        <v>120</v>
      </c>
      <c r="AB951" s="74" t="s">
        <v>3727</v>
      </c>
      <c r="AC951" s="74"/>
    </row>
    <row r="952" ht="16.5" customHeight="1">
      <c r="A952" s="48" t="s">
        <v>3728</v>
      </c>
      <c r="B952" s="53" t="s">
        <v>3183</v>
      </c>
      <c r="C952" s="47">
        <v>0.0</v>
      </c>
      <c r="D952" s="70" t="s">
        <v>3729</v>
      </c>
      <c r="E952" s="55" t="s">
        <v>511</v>
      </c>
      <c r="F952" s="32" t="s">
        <v>33</v>
      </c>
      <c r="G952" s="32" t="s">
        <v>35</v>
      </c>
      <c r="H952" s="71" t="s">
        <v>35</v>
      </c>
      <c r="I952" s="71" t="s">
        <v>36</v>
      </c>
      <c r="J952" s="34" t="s">
        <v>92</v>
      </c>
      <c r="K952" s="57" t="s">
        <v>38</v>
      </c>
      <c r="L952" s="72">
        <v>10411.0</v>
      </c>
      <c r="M952" s="22"/>
      <c r="N952" s="73"/>
      <c r="O952" s="28">
        <v>45359.0</v>
      </c>
      <c r="P952" s="35" t="s">
        <v>3730</v>
      </c>
      <c r="Q952" s="12"/>
      <c r="R952" s="12"/>
      <c r="S952" s="12"/>
      <c r="T952" s="52">
        <v>45342.0</v>
      </c>
      <c r="U952" s="52">
        <v>45342.0</v>
      </c>
      <c r="V952" s="52">
        <v>45344.0</v>
      </c>
      <c r="W952" s="30"/>
      <c r="X952" s="30"/>
      <c r="Y952" s="31"/>
      <c r="Z952" s="31"/>
      <c r="AA952" s="78" t="s">
        <v>120</v>
      </c>
      <c r="AB952" s="74" t="s">
        <v>3731</v>
      </c>
      <c r="AC952" s="74"/>
    </row>
    <row r="953" ht="16.5" customHeight="1">
      <c r="A953" s="48" t="s">
        <v>3732</v>
      </c>
      <c r="B953" s="53" t="s">
        <v>3183</v>
      </c>
      <c r="C953" s="47">
        <v>0.0</v>
      </c>
      <c r="D953" s="70" t="s">
        <v>3733</v>
      </c>
      <c r="E953" s="55" t="s">
        <v>511</v>
      </c>
      <c r="F953" s="32" t="s">
        <v>33</v>
      </c>
      <c r="G953" s="32" t="s">
        <v>35</v>
      </c>
      <c r="H953" s="71" t="s">
        <v>35</v>
      </c>
      <c r="I953" s="71" t="s">
        <v>36</v>
      </c>
      <c r="J953" s="34" t="s">
        <v>92</v>
      </c>
      <c r="K953" s="57" t="s">
        <v>38</v>
      </c>
      <c r="L953" s="72">
        <v>10411.0</v>
      </c>
      <c r="M953" s="22"/>
      <c r="N953" s="73"/>
      <c r="O953" s="28">
        <v>45359.0</v>
      </c>
      <c r="P953" s="35" t="s">
        <v>3730</v>
      </c>
      <c r="Q953" s="12"/>
      <c r="R953" s="12"/>
      <c r="S953" s="12"/>
      <c r="T953" s="52">
        <v>45342.0</v>
      </c>
      <c r="U953" s="52">
        <v>45342.0</v>
      </c>
      <c r="V953" s="52">
        <v>45344.0</v>
      </c>
      <c r="W953" s="30"/>
      <c r="X953" s="30"/>
      <c r="Y953" s="31"/>
      <c r="Z953" s="31"/>
      <c r="AA953" s="78" t="s">
        <v>120</v>
      </c>
      <c r="AB953" s="74" t="s">
        <v>3734</v>
      </c>
      <c r="AC953" s="74"/>
    </row>
    <row r="954" ht="16.5" customHeight="1">
      <c r="A954" s="48" t="s">
        <v>3735</v>
      </c>
      <c r="B954" s="53" t="s">
        <v>3736</v>
      </c>
      <c r="C954" s="47">
        <v>0.0</v>
      </c>
      <c r="D954" s="70" t="s">
        <v>3737</v>
      </c>
      <c r="E954" s="55" t="s">
        <v>453</v>
      </c>
      <c r="F954" s="32" t="s">
        <v>244</v>
      </c>
      <c r="G954" s="32" t="s">
        <v>35</v>
      </c>
      <c r="H954" s="71" t="s">
        <v>35</v>
      </c>
      <c r="I954" s="71" t="s">
        <v>36</v>
      </c>
      <c r="J954" s="34" t="s">
        <v>49</v>
      </c>
      <c r="K954" s="57" t="s">
        <v>38</v>
      </c>
      <c r="L954" s="72">
        <v>10403.0</v>
      </c>
      <c r="M954" s="22"/>
      <c r="N954" s="73"/>
      <c r="O954" s="28">
        <v>45349.0</v>
      </c>
      <c r="P954" s="35" t="s">
        <v>3738</v>
      </c>
      <c r="Q954" s="12"/>
      <c r="R954" s="12"/>
      <c r="S954" s="12"/>
      <c r="T954" s="52">
        <v>45343.0</v>
      </c>
      <c r="U954" s="52">
        <v>45343.0</v>
      </c>
      <c r="V954" s="52">
        <v>45349.0</v>
      </c>
      <c r="W954" s="30"/>
      <c r="X954" s="30"/>
      <c r="Y954" s="31"/>
      <c r="Z954" s="31"/>
      <c r="AA954" s="78" t="s">
        <v>127</v>
      </c>
      <c r="AB954" s="74" t="s">
        <v>3739</v>
      </c>
      <c r="AC954" s="74"/>
    </row>
    <row r="955" ht="16.5" customHeight="1">
      <c r="A955" s="48" t="s">
        <v>3740</v>
      </c>
      <c r="B955" s="53" t="s">
        <v>3736</v>
      </c>
      <c r="C955" s="47">
        <v>0.0</v>
      </c>
      <c r="D955" s="70" t="s">
        <v>3741</v>
      </c>
      <c r="E955" s="55" t="s">
        <v>453</v>
      </c>
      <c r="F955" s="32" t="s">
        <v>244</v>
      </c>
      <c r="G955" s="32" t="s">
        <v>35</v>
      </c>
      <c r="H955" s="71" t="s">
        <v>35</v>
      </c>
      <c r="I955" s="71" t="s">
        <v>36</v>
      </c>
      <c r="J955" s="34" t="s">
        <v>49</v>
      </c>
      <c r="K955" s="57" t="s">
        <v>38</v>
      </c>
      <c r="L955" s="72">
        <v>10403.0</v>
      </c>
      <c r="M955" s="22"/>
      <c r="N955" s="73"/>
      <c r="O955" s="28">
        <v>45349.0</v>
      </c>
      <c r="P955" s="35" t="s">
        <v>3738</v>
      </c>
      <c r="Q955" s="12"/>
      <c r="R955" s="12"/>
      <c r="S955" s="12"/>
      <c r="T955" s="52">
        <v>45343.0</v>
      </c>
      <c r="U955" s="52">
        <v>45343.0</v>
      </c>
      <c r="V955" s="52">
        <v>45349.0</v>
      </c>
      <c r="W955" s="30"/>
      <c r="X955" s="30"/>
      <c r="Y955" s="31"/>
      <c r="Z955" s="31"/>
      <c r="AA955" s="78" t="s">
        <v>127</v>
      </c>
      <c r="AB955" s="74" t="s">
        <v>3742</v>
      </c>
      <c r="AC955" s="74"/>
    </row>
    <row r="956" ht="16.5" customHeight="1">
      <c r="A956" s="48" t="s">
        <v>3743</v>
      </c>
      <c r="B956" s="53" t="s">
        <v>3736</v>
      </c>
      <c r="C956" s="47">
        <v>0.0</v>
      </c>
      <c r="D956" s="70" t="s">
        <v>3744</v>
      </c>
      <c r="E956" s="55" t="s">
        <v>453</v>
      </c>
      <c r="F956" s="32" t="s">
        <v>244</v>
      </c>
      <c r="G956" s="32" t="s">
        <v>35</v>
      </c>
      <c r="H956" s="71" t="s">
        <v>35</v>
      </c>
      <c r="I956" s="71" t="s">
        <v>36</v>
      </c>
      <c r="J956" s="34" t="s">
        <v>49</v>
      </c>
      <c r="K956" s="57" t="s">
        <v>38</v>
      </c>
      <c r="L956" s="72">
        <v>10403.0</v>
      </c>
      <c r="M956" s="22"/>
      <c r="N956" s="73"/>
      <c r="O956" s="28">
        <v>45349.0</v>
      </c>
      <c r="P956" s="35" t="s">
        <v>3738</v>
      </c>
      <c r="Q956" s="12"/>
      <c r="R956" s="12"/>
      <c r="S956" s="12"/>
      <c r="T956" s="52">
        <v>45343.0</v>
      </c>
      <c r="U956" s="52">
        <v>45343.0</v>
      </c>
      <c r="V956" s="52">
        <v>45349.0</v>
      </c>
      <c r="W956" s="30"/>
      <c r="X956" s="30"/>
      <c r="Y956" s="31"/>
      <c r="Z956" s="31"/>
      <c r="AA956" s="78" t="s">
        <v>127</v>
      </c>
      <c r="AB956" s="74" t="s">
        <v>3745</v>
      </c>
      <c r="AC956" s="74"/>
    </row>
    <row r="957" ht="16.5" customHeight="1">
      <c r="A957" s="48" t="s">
        <v>3746</v>
      </c>
      <c r="B957" s="53" t="s">
        <v>3736</v>
      </c>
      <c r="C957" s="47">
        <v>0.0</v>
      </c>
      <c r="D957" s="70" t="s">
        <v>3747</v>
      </c>
      <c r="E957" s="55" t="s">
        <v>453</v>
      </c>
      <c r="F957" s="32" t="s">
        <v>244</v>
      </c>
      <c r="G957" s="32" t="s">
        <v>35</v>
      </c>
      <c r="H957" s="71" t="s">
        <v>35</v>
      </c>
      <c r="I957" s="71" t="s">
        <v>36</v>
      </c>
      <c r="J957" s="34" t="s">
        <v>49</v>
      </c>
      <c r="K957" s="57" t="s">
        <v>38</v>
      </c>
      <c r="L957" s="72">
        <v>10403.0</v>
      </c>
      <c r="M957" s="22"/>
      <c r="N957" s="73"/>
      <c r="O957" s="28">
        <v>45349.0</v>
      </c>
      <c r="P957" s="35" t="s">
        <v>3738</v>
      </c>
      <c r="Q957" s="12"/>
      <c r="R957" s="12"/>
      <c r="S957" s="12"/>
      <c r="T957" s="52">
        <v>45343.0</v>
      </c>
      <c r="U957" s="52">
        <v>45343.0</v>
      </c>
      <c r="V957" s="52">
        <v>45349.0</v>
      </c>
      <c r="W957" s="30"/>
      <c r="X957" s="30"/>
      <c r="Y957" s="31"/>
      <c r="Z957" s="31"/>
      <c r="AA957" s="78" t="s">
        <v>127</v>
      </c>
      <c r="AB957" s="74" t="s">
        <v>3748</v>
      </c>
      <c r="AC957" s="74"/>
    </row>
    <row r="958" ht="16.5" customHeight="1">
      <c r="A958" s="48" t="s">
        <v>3749</v>
      </c>
      <c r="B958" s="53" t="s">
        <v>3736</v>
      </c>
      <c r="C958" s="47">
        <v>0.0</v>
      </c>
      <c r="D958" s="70" t="s">
        <v>3750</v>
      </c>
      <c r="E958" s="55" t="s">
        <v>453</v>
      </c>
      <c r="F958" s="32" t="s">
        <v>244</v>
      </c>
      <c r="G958" s="32" t="s">
        <v>35</v>
      </c>
      <c r="H958" s="71" t="s">
        <v>35</v>
      </c>
      <c r="I958" s="71" t="s">
        <v>36</v>
      </c>
      <c r="J958" s="34" t="s">
        <v>49</v>
      </c>
      <c r="K958" s="57" t="s">
        <v>38</v>
      </c>
      <c r="L958" s="72">
        <v>10403.0</v>
      </c>
      <c r="M958" s="22"/>
      <c r="N958" s="73"/>
      <c r="O958" s="28">
        <v>45349.0</v>
      </c>
      <c r="P958" s="35" t="s">
        <v>3738</v>
      </c>
      <c r="Q958" s="12"/>
      <c r="R958" s="12"/>
      <c r="S958" s="12"/>
      <c r="T958" s="52">
        <v>45343.0</v>
      </c>
      <c r="U958" s="52">
        <v>45343.0</v>
      </c>
      <c r="V958" s="52">
        <v>45349.0</v>
      </c>
      <c r="W958" s="30"/>
      <c r="X958" s="30"/>
      <c r="Y958" s="31"/>
      <c r="Z958" s="31"/>
      <c r="AA958" s="78" t="s">
        <v>127</v>
      </c>
      <c r="AB958" s="74" t="s">
        <v>3751</v>
      </c>
      <c r="AC958" s="74"/>
    </row>
    <row r="959" ht="16.5" customHeight="1">
      <c r="A959" s="48" t="s">
        <v>3752</v>
      </c>
      <c r="B959" s="53" t="s">
        <v>3736</v>
      </c>
      <c r="C959" s="47">
        <v>0.0</v>
      </c>
      <c r="D959" s="70" t="s">
        <v>3753</v>
      </c>
      <c r="E959" s="55" t="s">
        <v>453</v>
      </c>
      <c r="F959" s="32" t="s">
        <v>244</v>
      </c>
      <c r="G959" s="32" t="s">
        <v>35</v>
      </c>
      <c r="H959" s="71" t="s">
        <v>35</v>
      </c>
      <c r="I959" s="71" t="s">
        <v>36</v>
      </c>
      <c r="J959" s="34" t="s">
        <v>49</v>
      </c>
      <c r="K959" s="57" t="s">
        <v>38</v>
      </c>
      <c r="L959" s="72">
        <v>10403.0</v>
      </c>
      <c r="M959" s="22"/>
      <c r="N959" s="73"/>
      <c r="O959" s="28">
        <v>45349.0</v>
      </c>
      <c r="P959" s="35" t="s">
        <v>3738</v>
      </c>
      <c r="Q959" s="12"/>
      <c r="R959" s="12"/>
      <c r="S959" s="12"/>
      <c r="T959" s="52">
        <v>45343.0</v>
      </c>
      <c r="U959" s="52">
        <v>45343.0</v>
      </c>
      <c r="V959" s="52">
        <v>45349.0</v>
      </c>
      <c r="W959" s="30"/>
      <c r="X959" s="30"/>
      <c r="Y959" s="31"/>
      <c r="Z959" s="31"/>
      <c r="AA959" s="78" t="s">
        <v>127</v>
      </c>
      <c r="AB959" s="74" t="s">
        <v>3754</v>
      </c>
      <c r="AC959" s="74"/>
    </row>
    <row r="960" ht="16.5" customHeight="1">
      <c r="A960" s="48" t="s">
        <v>3755</v>
      </c>
      <c r="B960" s="53" t="s">
        <v>3736</v>
      </c>
      <c r="C960" s="47">
        <v>0.0</v>
      </c>
      <c r="D960" s="70" t="s">
        <v>3756</v>
      </c>
      <c r="E960" s="55" t="s">
        <v>461</v>
      </c>
      <c r="F960" s="32" t="s">
        <v>244</v>
      </c>
      <c r="G960" s="32" t="s">
        <v>35</v>
      </c>
      <c r="H960" s="71" t="s">
        <v>35</v>
      </c>
      <c r="I960" s="71" t="s">
        <v>36</v>
      </c>
      <c r="J960" s="34" t="s">
        <v>49</v>
      </c>
      <c r="K960" s="57" t="s">
        <v>38</v>
      </c>
      <c r="L960" s="72">
        <v>10403.0</v>
      </c>
      <c r="M960" s="22"/>
      <c r="N960" s="73"/>
      <c r="O960" s="28">
        <v>45349.0</v>
      </c>
      <c r="P960" s="35" t="s">
        <v>3738</v>
      </c>
      <c r="Q960" s="12"/>
      <c r="R960" s="12"/>
      <c r="S960" s="12"/>
      <c r="T960" s="52">
        <v>45343.0</v>
      </c>
      <c r="U960" s="52">
        <v>45343.0</v>
      </c>
      <c r="V960" s="52">
        <v>45349.0</v>
      </c>
      <c r="W960" s="30"/>
      <c r="X960" s="30"/>
      <c r="Y960" s="31"/>
      <c r="Z960" s="31"/>
      <c r="AA960" s="78" t="s">
        <v>127</v>
      </c>
      <c r="AB960" s="74" t="s">
        <v>3757</v>
      </c>
      <c r="AC960" s="74"/>
    </row>
    <row r="961" ht="16.5" customHeight="1">
      <c r="A961" s="48" t="s">
        <v>3758</v>
      </c>
      <c r="B961" s="53" t="s">
        <v>3736</v>
      </c>
      <c r="C961" s="47">
        <v>0.0</v>
      </c>
      <c r="D961" s="70" t="s">
        <v>3759</v>
      </c>
      <c r="E961" s="55" t="s">
        <v>461</v>
      </c>
      <c r="F961" s="32" t="s">
        <v>244</v>
      </c>
      <c r="G961" s="32" t="s">
        <v>35</v>
      </c>
      <c r="H961" s="71" t="s">
        <v>35</v>
      </c>
      <c r="I961" s="71" t="s">
        <v>36</v>
      </c>
      <c r="J961" s="34" t="s">
        <v>49</v>
      </c>
      <c r="K961" s="57" t="s">
        <v>38</v>
      </c>
      <c r="L961" s="72">
        <v>10403.0</v>
      </c>
      <c r="M961" s="22"/>
      <c r="N961" s="73"/>
      <c r="O961" s="28">
        <v>45349.0</v>
      </c>
      <c r="P961" s="35" t="s">
        <v>3738</v>
      </c>
      <c r="Q961" s="12"/>
      <c r="R961" s="12"/>
      <c r="S961" s="12"/>
      <c r="T961" s="52">
        <v>45343.0</v>
      </c>
      <c r="U961" s="52">
        <v>45343.0</v>
      </c>
      <c r="V961" s="52">
        <v>45349.0</v>
      </c>
      <c r="W961" s="30"/>
      <c r="X961" s="30"/>
      <c r="Y961" s="31"/>
      <c r="Z961" s="31"/>
      <c r="AA961" s="78" t="s">
        <v>127</v>
      </c>
      <c r="AB961" s="74" t="s">
        <v>3760</v>
      </c>
      <c r="AC961" s="74"/>
    </row>
    <row r="962" ht="16.5" customHeight="1">
      <c r="A962" s="48" t="s">
        <v>3761</v>
      </c>
      <c r="B962" s="53" t="s">
        <v>3762</v>
      </c>
      <c r="C962" s="47">
        <v>0.0</v>
      </c>
      <c r="D962" s="70" t="s">
        <v>3763</v>
      </c>
      <c r="E962" s="55" t="s">
        <v>171</v>
      </c>
      <c r="F962" s="32" t="s">
        <v>48</v>
      </c>
      <c r="G962" s="32" t="s">
        <v>35</v>
      </c>
      <c r="H962" s="71" t="s">
        <v>35</v>
      </c>
      <c r="I962" s="71" t="s">
        <v>36</v>
      </c>
      <c r="J962" s="34" t="s">
        <v>65</v>
      </c>
      <c r="K962" s="57" t="s">
        <v>38</v>
      </c>
      <c r="L962" s="72">
        <v>10402.0</v>
      </c>
      <c r="M962" s="22"/>
      <c r="N962" s="73"/>
      <c r="O962" s="28">
        <v>45350.0</v>
      </c>
      <c r="P962" s="35" t="s">
        <v>3764</v>
      </c>
      <c r="Q962" s="12"/>
      <c r="R962" s="12"/>
      <c r="S962" s="12"/>
      <c r="T962" s="52">
        <v>45343.0</v>
      </c>
      <c r="U962" s="52">
        <v>45344.0</v>
      </c>
      <c r="V962" s="52">
        <v>45350.0</v>
      </c>
      <c r="W962" s="30"/>
      <c r="X962" s="30"/>
      <c r="Y962" s="31"/>
      <c r="Z962" s="31"/>
      <c r="AA962" s="78" t="s">
        <v>94</v>
      </c>
      <c r="AB962" s="74" t="s">
        <v>3765</v>
      </c>
      <c r="AC962" s="74"/>
    </row>
    <row r="963" ht="16.5" customHeight="1">
      <c r="A963" s="48" t="s">
        <v>3766</v>
      </c>
      <c r="B963" s="53" t="s">
        <v>3762</v>
      </c>
      <c r="C963" s="47">
        <v>0.0</v>
      </c>
      <c r="D963" s="70" t="s">
        <v>3767</v>
      </c>
      <c r="E963" s="55" t="s">
        <v>171</v>
      </c>
      <c r="F963" s="32" t="s">
        <v>48</v>
      </c>
      <c r="G963" s="32" t="s">
        <v>35</v>
      </c>
      <c r="H963" s="71" t="s">
        <v>35</v>
      </c>
      <c r="I963" s="71" t="s">
        <v>36</v>
      </c>
      <c r="J963" s="34" t="s">
        <v>65</v>
      </c>
      <c r="K963" s="57" t="s">
        <v>38</v>
      </c>
      <c r="L963" s="72">
        <v>10402.0</v>
      </c>
      <c r="M963" s="22"/>
      <c r="N963" s="73"/>
      <c r="O963" s="28">
        <v>45350.0</v>
      </c>
      <c r="P963" s="35" t="s">
        <v>3764</v>
      </c>
      <c r="Q963" s="12"/>
      <c r="R963" s="12"/>
      <c r="S963" s="12"/>
      <c r="T963" s="52">
        <v>45343.0</v>
      </c>
      <c r="U963" s="52">
        <v>45344.0</v>
      </c>
      <c r="V963" s="52">
        <v>45350.0</v>
      </c>
      <c r="W963" s="30"/>
      <c r="X963" s="30"/>
      <c r="Y963" s="31"/>
      <c r="Z963" s="31"/>
      <c r="AA963" s="78" t="s">
        <v>94</v>
      </c>
      <c r="AB963" s="74" t="s">
        <v>3768</v>
      </c>
      <c r="AC963" s="74"/>
    </row>
    <row r="964" ht="16.5" customHeight="1">
      <c r="A964" s="48" t="s">
        <v>3769</v>
      </c>
      <c r="B964" s="53" t="s">
        <v>3762</v>
      </c>
      <c r="C964" s="47">
        <v>0.0</v>
      </c>
      <c r="D964" s="70" t="s">
        <v>3770</v>
      </c>
      <c r="E964" s="55" t="s">
        <v>171</v>
      </c>
      <c r="F964" s="32" t="s">
        <v>48</v>
      </c>
      <c r="G964" s="32" t="s">
        <v>35</v>
      </c>
      <c r="H964" s="71" t="s">
        <v>35</v>
      </c>
      <c r="I964" s="71" t="s">
        <v>36</v>
      </c>
      <c r="J964" s="34" t="s">
        <v>65</v>
      </c>
      <c r="K964" s="57" t="s">
        <v>38</v>
      </c>
      <c r="L964" s="72">
        <v>10402.0</v>
      </c>
      <c r="M964" s="22"/>
      <c r="N964" s="73"/>
      <c r="O964" s="28">
        <v>45350.0</v>
      </c>
      <c r="P964" s="35" t="s">
        <v>3764</v>
      </c>
      <c r="Q964" s="12"/>
      <c r="R964" s="12"/>
      <c r="S964" s="12"/>
      <c r="T964" s="52">
        <v>45343.0</v>
      </c>
      <c r="U964" s="52">
        <v>45344.0</v>
      </c>
      <c r="V964" s="52">
        <v>45350.0</v>
      </c>
      <c r="W964" s="30"/>
      <c r="X964" s="30"/>
      <c r="Y964" s="31"/>
      <c r="Z964" s="31"/>
      <c r="AA964" s="78" t="s">
        <v>94</v>
      </c>
      <c r="AB964" s="74" t="s">
        <v>3771</v>
      </c>
      <c r="AC964" s="74"/>
    </row>
    <row r="965" ht="16.5" customHeight="1">
      <c r="A965" s="48" t="s">
        <v>3772</v>
      </c>
      <c r="B965" s="53" t="s">
        <v>1811</v>
      </c>
      <c r="C965" s="47">
        <v>0.0</v>
      </c>
      <c r="D965" s="70" t="s">
        <v>3773</v>
      </c>
      <c r="E965" s="55" t="s">
        <v>550</v>
      </c>
      <c r="F965" s="32" t="s">
        <v>33</v>
      </c>
      <c r="G965" s="32" t="s">
        <v>34</v>
      </c>
      <c r="H965" s="71" t="s">
        <v>35</v>
      </c>
      <c r="I965" s="71" t="s">
        <v>36</v>
      </c>
      <c r="J965" s="34" t="s">
        <v>37</v>
      </c>
      <c r="K965" s="57" t="s">
        <v>1506</v>
      </c>
      <c r="L965" s="72">
        <v>10409.0</v>
      </c>
      <c r="M965" s="22"/>
      <c r="N965" s="73"/>
      <c r="O965" s="28">
        <v>45350.0</v>
      </c>
      <c r="P965" s="35" t="s">
        <v>3774</v>
      </c>
      <c r="Q965" s="12"/>
      <c r="R965" s="12"/>
      <c r="S965" s="12"/>
      <c r="T965" s="52">
        <v>45345.0</v>
      </c>
      <c r="U965" s="52">
        <v>45345.0</v>
      </c>
      <c r="V965" s="52">
        <v>45350.0</v>
      </c>
      <c r="W965" s="30"/>
      <c r="X965" s="30"/>
      <c r="Y965" s="31"/>
      <c r="Z965" s="31"/>
      <c r="AA965" s="31"/>
      <c r="AB965" s="74" t="s">
        <v>3775</v>
      </c>
      <c r="AC965" s="74"/>
    </row>
    <row r="966" ht="16.5" customHeight="1">
      <c r="A966" s="48" t="s">
        <v>3776</v>
      </c>
      <c r="B966" s="53" t="s">
        <v>2782</v>
      </c>
      <c r="C966" s="47">
        <v>0.0</v>
      </c>
      <c r="D966" s="70" t="s">
        <v>3777</v>
      </c>
      <c r="E966" s="55" t="s">
        <v>701</v>
      </c>
      <c r="F966" s="32" t="s">
        <v>33</v>
      </c>
      <c r="G966" s="32" t="s">
        <v>35</v>
      </c>
      <c r="H966" s="71" t="s">
        <v>35</v>
      </c>
      <c r="I966" s="71" t="s">
        <v>36</v>
      </c>
      <c r="J966" s="34" t="s">
        <v>203</v>
      </c>
      <c r="K966" s="57" t="s">
        <v>38</v>
      </c>
      <c r="L966" s="72"/>
      <c r="M966" s="22"/>
      <c r="N966" s="73"/>
      <c r="O966" s="28">
        <v>45350.0</v>
      </c>
      <c r="P966" s="35" t="s">
        <v>3778</v>
      </c>
      <c r="Q966" s="12"/>
      <c r="R966" s="12"/>
      <c r="S966" s="12"/>
      <c r="T966" s="52">
        <v>45345.0</v>
      </c>
      <c r="U966" s="52">
        <v>45345.0</v>
      </c>
      <c r="V966" s="52">
        <v>45350.0</v>
      </c>
      <c r="W966" s="30"/>
      <c r="X966" s="30"/>
      <c r="Y966" s="31"/>
      <c r="Z966" s="31"/>
      <c r="AA966" s="78" t="s">
        <v>102</v>
      </c>
      <c r="AB966" s="74" t="s">
        <v>3779</v>
      </c>
      <c r="AC966" s="74"/>
    </row>
    <row r="967" ht="16.5" customHeight="1">
      <c r="A967" s="48" t="s">
        <v>3780</v>
      </c>
      <c r="B967" s="53" t="s">
        <v>1534</v>
      </c>
      <c r="C967" s="47">
        <v>0.0</v>
      </c>
      <c r="D967" s="70" t="s">
        <v>3781</v>
      </c>
      <c r="E967" s="55" t="s">
        <v>213</v>
      </c>
      <c r="F967" s="32" t="s">
        <v>33</v>
      </c>
      <c r="G967" s="32" t="s">
        <v>34</v>
      </c>
      <c r="H967" s="71" t="s">
        <v>35</v>
      </c>
      <c r="I967" s="71" t="s">
        <v>36</v>
      </c>
      <c r="J967" s="34" t="s">
        <v>37</v>
      </c>
      <c r="K967" s="57" t="s">
        <v>1506</v>
      </c>
      <c r="L967" s="72">
        <v>10497.0</v>
      </c>
      <c r="M967" s="22"/>
      <c r="N967" s="73"/>
      <c r="O967" s="28">
        <v>45365.0</v>
      </c>
      <c r="P967" s="35" t="s">
        <v>3782</v>
      </c>
      <c r="Q967" s="12"/>
      <c r="R967" s="12"/>
      <c r="S967" s="12"/>
      <c r="T967" s="52">
        <v>45345.0</v>
      </c>
      <c r="U967" s="52">
        <v>45349.0</v>
      </c>
      <c r="V967" s="52">
        <v>45365.0</v>
      </c>
      <c r="W967" s="30"/>
      <c r="X967" s="30"/>
      <c r="Y967" s="31"/>
      <c r="Z967" s="31"/>
      <c r="AA967" s="78" t="s">
        <v>3053</v>
      </c>
      <c r="AB967" s="74" t="s">
        <v>3783</v>
      </c>
      <c r="AC967" s="74"/>
    </row>
    <row r="968" ht="16.5" customHeight="1">
      <c r="A968" s="48" t="s">
        <v>3784</v>
      </c>
      <c r="B968" s="53" t="s">
        <v>122</v>
      </c>
      <c r="C968" s="47">
        <v>0.0</v>
      </c>
      <c r="D968" s="70" t="s">
        <v>3785</v>
      </c>
      <c r="E968" s="55" t="s">
        <v>701</v>
      </c>
      <c r="F968" s="32" t="s">
        <v>33</v>
      </c>
      <c r="G968" s="32" t="s">
        <v>35</v>
      </c>
      <c r="H968" s="71" t="s">
        <v>35</v>
      </c>
      <c r="I968" s="71" t="s">
        <v>36</v>
      </c>
      <c r="J968" s="34" t="s">
        <v>49</v>
      </c>
      <c r="K968" s="57" t="s">
        <v>38</v>
      </c>
      <c r="L968" s="72">
        <v>10407.0</v>
      </c>
      <c r="M968" s="22"/>
      <c r="N968" s="73"/>
      <c r="O968" s="28">
        <v>45350.0</v>
      </c>
      <c r="P968" s="35" t="s">
        <v>3786</v>
      </c>
      <c r="Q968" s="12"/>
      <c r="R968" s="12"/>
      <c r="S968" s="12"/>
      <c r="T968" s="52">
        <v>45345.0</v>
      </c>
      <c r="U968" s="52">
        <v>45349.0</v>
      </c>
      <c r="V968" s="52">
        <v>45350.0</v>
      </c>
      <c r="W968" s="30"/>
      <c r="X968" s="30"/>
      <c r="Y968" s="31"/>
      <c r="Z968" s="31"/>
      <c r="AA968" s="78" t="s">
        <v>127</v>
      </c>
      <c r="AB968" s="74" t="s">
        <v>3787</v>
      </c>
      <c r="AC968" s="74"/>
    </row>
    <row r="969" ht="16.5" customHeight="1">
      <c r="A969" s="48" t="s">
        <v>3788</v>
      </c>
      <c r="B969" s="53" t="s">
        <v>3789</v>
      </c>
      <c r="C969" s="47">
        <v>0.0</v>
      </c>
      <c r="D969" s="70" t="s">
        <v>3790</v>
      </c>
      <c r="E969" s="55" t="s">
        <v>2167</v>
      </c>
      <c r="F969" s="32" t="s">
        <v>33</v>
      </c>
      <c r="G969" s="32" t="s">
        <v>34</v>
      </c>
      <c r="H969" s="71" t="s">
        <v>35</v>
      </c>
      <c r="I969" s="71" t="s">
        <v>36</v>
      </c>
      <c r="J969" s="34" t="s">
        <v>65</v>
      </c>
      <c r="K969" s="57" t="s">
        <v>38</v>
      </c>
      <c r="L969" s="72">
        <v>10472.0</v>
      </c>
      <c r="M969" s="22"/>
      <c r="N969" s="73"/>
      <c r="O969" s="28">
        <v>45363.0</v>
      </c>
      <c r="P969" s="35" t="s">
        <v>3791</v>
      </c>
      <c r="Q969" s="12"/>
      <c r="R969" s="12"/>
      <c r="S969" s="12"/>
      <c r="T969" s="52">
        <v>45348.0</v>
      </c>
      <c r="U969" s="52">
        <v>45357.0</v>
      </c>
      <c r="V969" s="52">
        <v>45362.0</v>
      </c>
      <c r="W969" s="30"/>
      <c r="X969" s="30"/>
      <c r="Y969" s="31"/>
      <c r="Z969" s="31"/>
      <c r="AA969" s="78" t="s">
        <v>3059</v>
      </c>
      <c r="AB969" s="74" t="s">
        <v>3792</v>
      </c>
      <c r="AC969" s="74"/>
    </row>
    <row r="970" ht="16.5" customHeight="1">
      <c r="A970" s="48" t="s">
        <v>3793</v>
      </c>
      <c r="B970" s="53" t="s">
        <v>3789</v>
      </c>
      <c r="C970" s="47">
        <v>0.0</v>
      </c>
      <c r="D970" s="70" t="s">
        <v>3794</v>
      </c>
      <c r="E970" s="55" t="s">
        <v>2167</v>
      </c>
      <c r="F970" s="32" t="s">
        <v>33</v>
      </c>
      <c r="G970" s="32" t="s">
        <v>34</v>
      </c>
      <c r="H970" s="71" t="s">
        <v>35</v>
      </c>
      <c r="I970" s="71" t="s">
        <v>36</v>
      </c>
      <c r="J970" s="34" t="s">
        <v>65</v>
      </c>
      <c r="K970" s="57" t="s">
        <v>38</v>
      </c>
      <c r="L970" s="72">
        <v>10472.0</v>
      </c>
      <c r="M970" s="22"/>
      <c r="N970" s="73"/>
      <c r="O970" s="28">
        <v>45363.0</v>
      </c>
      <c r="P970" s="35" t="s">
        <v>3791</v>
      </c>
      <c r="Q970" s="12"/>
      <c r="R970" s="12"/>
      <c r="S970" s="12"/>
      <c r="T970" s="52">
        <v>45348.0</v>
      </c>
      <c r="U970" s="52">
        <v>45357.0</v>
      </c>
      <c r="V970" s="52">
        <v>45362.0</v>
      </c>
      <c r="W970" s="30"/>
      <c r="X970" s="30"/>
      <c r="Y970" s="31"/>
      <c r="Z970" s="31"/>
      <c r="AA970" s="78" t="s">
        <v>3059</v>
      </c>
      <c r="AB970" s="74" t="s">
        <v>3795</v>
      </c>
      <c r="AC970" s="74"/>
    </row>
    <row r="971" ht="16.5" customHeight="1">
      <c r="A971" s="48" t="s">
        <v>3796</v>
      </c>
      <c r="B971" s="53" t="s">
        <v>3789</v>
      </c>
      <c r="C971" s="47">
        <v>0.0</v>
      </c>
      <c r="D971" s="70" t="s">
        <v>3797</v>
      </c>
      <c r="E971" s="55" t="s">
        <v>2167</v>
      </c>
      <c r="F971" s="32" t="s">
        <v>33</v>
      </c>
      <c r="G971" s="32" t="s">
        <v>34</v>
      </c>
      <c r="H971" s="71" t="s">
        <v>35</v>
      </c>
      <c r="I971" s="71" t="s">
        <v>36</v>
      </c>
      <c r="J971" s="34" t="s">
        <v>65</v>
      </c>
      <c r="K971" s="57" t="s">
        <v>38</v>
      </c>
      <c r="L971" s="72">
        <v>10472.0</v>
      </c>
      <c r="M971" s="22"/>
      <c r="N971" s="73"/>
      <c r="O971" s="28">
        <v>45363.0</v>
      </c>
      <c r="P971" s="35" t="s">
        <v>3791</v>
      </c>
      <c r="Q971" s="12"/>
      <c r="R971" s="12"/>
      <c r="S971" s="12"/>
      <c r="T971" s="52">
        <v>45348.0</v>
      </c>
      <c r="U971" s="52">
        <v>45357.0</v>
      </c>
      <c r="V971" s="52">
        <v>45362.0</v>
      </c>
      <c r="W971" s="30"/>
      <c r="X971" s="30"/>
      <c r="Y971" s="31"/>
      <c r="Z971" s="31"/>
      <c r="AA971" s="78" t="s">
        <v>3059</v>
      </c>
      <c r="AB971" s="74" t="s">
        <v>3798</v>
      </c>
      <c r="AC971" s="74"/>
    </row>
    <row r="972" ht="16.5" customHeight="1">
      <c r="A972" s="48" t="s">
        <v>3799</v>
      </c>
      <c r="B972" s="53" t="s">
        <v>3800</v>
      </c>
      <c r="C972" s="47">
        <v>0.0</v>
      </c>
      <c r="D972" s="70" t="s">
        <v>3801</v>
      </c>
      <c r="E972" s="55" t="s">
        <v>3802</v>
      </c>
      <c r="F972" s="32" t="s">
        <v>33</v>
      </c>
      <c r="G972" s="32" t="s">
        <v>368</v>
      </c>
      <c r="H972" s="71" t="s">
        <v>35</v>
      </c>
      <c r="I972" s="71" t="s">
        <v>36</v>
      </c>
      <c r="J972" s="34" t="s">
        <v>49</v>
      </c>
      <c r="K972" s="57" t="s">
        <v>38</v>
      </c>
      <c r="L972" s="72">
        <v>10458.0</v>
      </c>
      <c r="M972" s="22"/>
      <c r="N972" s="73"/>
      <c r="O972" s="28">
        <v>45362.0</v>
      </c>
      <c r="P972" s="35" t="s">
        <v>3803</v>
      </c>
      <c r="Q972" s="12"/>
      <c r="R972" s="12"/>
      <c r="S972" s="12"/>
      <c r="T972" s="52">
        <v>45348.0</v>
      </c>
      <c r="U972" s="52">
        <v>45360.0</v>
      </c>
      <c r="V972" s="52">
        <v>45362.0</v>
      </c>
      <c r="W972" s="30"/>
      <c r="X972" s="30"/>
      <c r="Y972" s="31"/>
      <c r="Z972" s="31"/>
      <c r="AA972" s="78" t="s">
        <v>120</v>
      </c>
      <c r="AB972" s="74" t="s">
        <v>3804</v>
      </c>
      <c r="AC972" s="74"/>
    </row>
    <row r="973" ht="16.5" customHeight="1">
      <c r="A973" s="48" t="s">
        <v>3805</v>
      </c>
      <c r="B973" s="53" t="s">
        <v>3382</v>
      </c>
      <c r="C973" s="47">
        <v>0.0</v>
      </c>
      <c r="D973" s="70" t="s">
        <v>3806</v>
      </c>
      <c r="E973" s="55" t="s">
        <v>338</v>
      </c>
      <c r="F973" s="32" t="s">
        <v>33</v>
      </c>
      <c r="G973" s="32" t="s">
        <v>35</v>
      </c>
      <c r="H973" s="71" t="s">
        <v>35</v>
      </c>
      <c r="I973" s="71" t="s">
        <v>36</v>
      </c>
      <c r="J973" s="34" t="s">
        <v>37</v>
      </c>
      <c r="K973" s="57" t="s">
        <v>238</v>
      </c>
      <c r="L973" s="72">
        <v>10441.0</v>
      </c>
      <c r="M973" s="22"/>
      <c r="N973" s="73"/>
      <c r="O973" s="28">
        <v>45356.0</v>
      </c>
      <c r="P973" s="35" t="s">
        <v>3807</v>
      </c>
      <c r="Q973" s="12"/>
      <c r="R973" s="12"/>
      <c r="S973" s="12"/>
      <c r="T973" s="52">
        <v>45348.0</v>
      </c>
      <c r="U973" s="52">
        <v>45349.0</v>
      </c>
      <c r="V973" s="52">
        <v>45356.0</v>
      </c>
      <c r="W973" s="30"/>
      <c r="X973" s="30"/>
      <c r="Y973" s="31"/>
      <c r="Z973" s="31"/>
      <c r="AA973" s="78" t="s">
        <v>3808</v>
      </c>
      <c r="AB973" s="74" t="s">
        <v>3809</v>
      </c>
      <c r="AC973" s="74"/>
    </row>
    <row r="974" ht="16.5" customHeight="1">
      <c r="A974" s="48" t="s">
        <v>3810</v>
      </c>
      <c r="B974" s="53" t="s">
        <v>2383</v>
      </c>
      <c r="C974" s="47">
        <v>34.0</v>
      </c>
      <c r="D974" s="70" t="s">
        <v>3811</v>
      </c>
      <c r="E974" s="55" t="s">
        <v>47</v>
      </c>
      <c r="F974" s="32" t="s">
        <v>48</v>
      </c>
      <c r="G974" s="32" t="s">
        <v>35</v>
      </c>
      <c r="H974" s="71" t="s">
        <v>35</v>
      </c>
      <c r="I974" s="71" t="s">
        <v>36</v>
      </c>
      <c r="J974" s="34" t="s">
        <v>65</v>
      </c>
      <c r="K974" s="57" t="s">
        <v>38</v>
      </c>
      <c r="L974" s="72">
        <v>10429.0</v>
      </c>
      <c r="M974" s="22"/>
      <c r="N974" s="73"/>
      <c r="O974" s="28">
        <v>45352.0</v>
      </c>
      <c r="P974" s="35" t="s">
        <v>3812</v>
      </c>
      <c r="Q974" s="12"/>
      <c r="R974" s="12"/>
      <c r="S974" s="12"/>
      <c r="T974" s="52">
        <v>45348.0</v>
      </c>
      <c r="U974" s="52">
        <v>45349.0</v>
      </c>
      <c r="V974" s="52">
        <v>45350.0</v>
      </c>
      <c r="W974" s="30"/>
      <c r="X974" s="30"/>
      <c r="Y974" s="31"/>
      <c r="Z974" s="31"/>
      <c r="AA974" s="78" t="s">
        <v>3059</v>
      </c>
      <c r="AB974" s="74" t="s">
        <v>3813</v>
      </c>
      <c r="AC974" s="74"/>
    </row>
    <row r="975" ht="16.5" customHeight="1">
      <c r="A975" s="48" t="s">
        <v>3814</v>
      </c>
      <c r="B975" s="53" t="s">
        <v>3815</v>
      </c>
      <c r="C975" s="47">
        <v>0.0</v>
      </c>
      <c r="D975" s="70" t="s">
        <v>3816</v>
      </c>
      <c r="E975" s="55" t="s">
        <v>338</v>
      </c>
      <c r="F975" s="32" t="s">
        <v>33</v>
      </c>
      <c r="G975" s="32" t="s">
        <v>35</v>
      </c>
      <c r="H975" s="71" t="s">
        <v>35</v>
      </c>
      <c r="I975" s="71" t="s">
        <v>36</v>
      </c>
      <c r="J975" s="34" t="s">
        <v>420</v>
      </c>
      <c r="K975" s="57" t="s">
        <v>38</v>
      </c>
      <c r="L975" s="72">
        <v>10430.0</v>
      </c>
      <c r="M975" s="22"/>
      <c r="N975" s="73"/>
      <c r="O975" s="28">
        <v>45352.0</v>
      </c>
      <c r="P975" s="35" t="s">
        <v>3817</v>
      </c>
      <c r="Q975" s="12"/>
      <c r="R975" s="12"/>
      <c r="S975" s="12"/>
      <c r="T975" s="52">
        <v>45348.0</v>
      </c>
      <c r="U975" s="52">
        <v>45349.0</v>
      </c>
      <c r="V975" s="52">
        <v>45352.0</v>
      </c>
      <c r="W975" s="30"/>
      <c r="X975" s="30"/>
      <c r="Y975" s="31"/>
      <c r="Z975" s="31"/>
      <c r="AA975" s="78" t="s">
        <v>3053</v>
      </c>
      <c r="AB975" s="74" t="s">
        <v>3818</v>
      </c>
      <c r="AC975" s="74"/>
    </row>
    <row r="976" ht="16.5" customHeight="1">
      <c r="A976" s="48" t="s">
        <v>3819</v>
      </c>
      <c r="B976" s="53" t="s">
        <v>3692</v>
      </c>
      <c r="C976" s="47">
        <v>11.0</v>
      </c>
      <c r="D976" s="70" t="s">
        <v>3820</v>
      </c>
      <c r="E976" s="55" t="s">
        <v>112</v>
      </c>
      <c r="F976" s="32" t="s">
        <v>48</v>
      </c>
      <c r="G976" s="32" t="s">
        <v>35</v>
      </c>
      <c r="H976" s="71" t="s">
        <v>35</v>
      </c>
      <c r="I976" s="71" t="s">
        <v>36</v>
      </c>
      <c r="J976" s="34" t="s">
        <v>49</v>
      </c>
      <c r="K976" s="57" t="s">
        <v>38</v>
      </c>
      <c r="L976" s="72">
        <v>10442.0</v>
      </c>
      <c r="M976" s="22"/>
      <c r="N976" s="73"/>
      <c r="O976" s="28">
        <v>45356.0</v>
      </c>
      <c r="P976" s="35" t="s">
        <v>3821</v>
      </c>
      <c r="Q976" s="12"/>
      <c r="R976" s="12"/>
      <c r="S976" s="12"/>
      <c r="T976" s="52">
        <v>45349.0</v>
      </c>
      <c r="U976" s="52">
        <v>45351.0</v>
      </c>
      <c r="V976" s="52">
        <v>45356.0</v>
      </c>
      <c r="W976" s="30"/>
      <c r="X976" s="30"/>
      <c r="Y976" s="31"/>
      <c r="Z976" s="31"/>
      <c r="AA976" s="78" t="s">
        <v>127</v>
      </c>
      <c r="AB976" s="74" t="s">
        <v>3822</v>
      </c>
      <c r="AC976" s="74"/>
    </row>
    <row r="977" ht="16.5" customHeight="1">
      <c r="A977" s="48" t="s">
        <v>3823</v>
      </c>
      <c r="B977" s="53" t="s">
        <v>3692</v>
      </c>
      <c r="C977" s="47">
        <v>90.0</v>
      </c>
      <c r="D977" s="70"/>
      <c r="E977" s="55" t="s">
        <v>91</v>
      </c>
      <c r="F977" s="32" t="s">
        <v>48</v>
      </c>
      <c r="G977" s="32" t="s">
        <v>35</v>
      </c>
      <c r="H977" s="71" t="s">
        <v>35</v>
      </c>
      <c r="I977" s="71" t="s">
        <v>665</v>
      </c>
      <c r="J977" s="34" t="s">
        <v>49</v>
      </c>
      <c r="K977" s="57" t="s">
        <v>38</v>
      </c>
      <c r="L977" s="72">
        <v>10456.0</v>
      </c>
      <c r="M977" s="22"/>
      <c r="N977" s="73"/>
      <c r="O977" s="28">
        <v>45359.0</v>
      </c>
      <c r="P977" s="35" t="s">
        <v>3824</v>
      </c>
      <c r="Q977" s="12"/>
      <c r="R977" s="12"/>
      <c r="S977" s="12"/>
      <c r="T977" s="52">
        <v>45349.0</v>
      </c>
      <c r="U977" s="52">
        <v>45358.0</v>
      </c>
      <c r="V977" s="52">
        <v>45358.0</v>
      </c>
      <c r="W977" s="30"/>
      <c r="X977" s="30"/>
      <c r="Y977" s="31"/>
      <c r="Z977" s="31"/>
      <c r="AA977" s="78" t="s">
        <v>127</v>
      </c>
      <c r="AB977" s="74" t="s">
        <v>3825</v>
      </c>
      <c r="AC977" s="74"/>
    </row>
    <row r="978" ht="16.5" customHeight="1">
      <c r="A978" s="48" t="s">
        <v>3826</v>
      </c>
      <c r="B978" s="53" t="s">
        <v>3827</v>
      </c>
      <c r="C978" s="47">
        <v>0.0</v>
      </c>
      <c r="D978" s="70" t="s">
        <v>3828</v>
      </c>
      <c r="E978" s="55" t="s">
        <v>550</v>
      </c>
      <c r="F978" s="32" t="s">
        <v>33</v>
      </c>
      <c r="G978" s="32" t="s">
        <v>35</v>
      </c>
      <c r="H978" s="71" t="s">
        <v>35</v>
      </c>
      <c r="I978" s="71" t="s">
        <v>36</v>
      </c>
      <c r="J978" s="34" t="s">
        <v>65</v>
      </c>
      <c r="K978" s="57" t="s">
        <v>38</v>
      </c>
      <c r="L978" s="72">
        <v>10462.0</v>
      </c>
      <c r="M978" s="22"/>
      <c r="N978" s="73"/>
      <c r="O978" s="28">
        <v>45362.0</v>
      </c>
      <c r="P978" s="35" t="s">
        <v>3829</v>
      </c>
      <c r="Q978" s="12"/>
      <c r="R978" s="12"/>
      <c r="S978" s="12"/>
      <c r="T978" s="52">
        <v>45349.0</v>
      </c>
      <c r="U978" s="52">
        <v>45351.0</v>
      </c>
      <c r="V978" s="52">
        <v>45359.0</v>
      </c>
      <c r="W978" s="30"/>
      <c r="X978" s="30"/>
      <c r="Y978" s="31"/>
      <c r="Z978" s="31"/>
      <c r="AA978" s="31"/>
      <c r="AB978" s="74" t="s">
        <v>3830</v>
      </c>
      <c r="AC978" s="74"/>
    </row>
    <row r="979" ht="16.5" customHeight="1">
      <c r="A979" s="48" t="s">
        <v>3831</v>
      </c>
      <c r="B979" s="53" t="s">
        <v>3832</v>
      </c>
      <c r="C979" s="47">
        <v>0.0</v>
      </c>
      <c r="D979" s="70" t="s">
        <v>3833</v>
      </c>
      <c r="E979" s="55" t="s">
        <v>3834</v>
      </c>
      <c r="F979" s="32" t="s">
        <v>33</v>
      </c>
      <c r="G979" s="32" t="s">
        <v>34</v>
      </c>
      <c r="H979" s="71" t="s">
        <v>35</v>
      </c>
      <c r="I979" s="71" t="s">
        <v>36</v>
      </c>
      <c r="J979" s="34" t="s">
        <v>37</v>
      </c>
      <c r="K979" s="57" t="s">
        <v>447</v>
      </c>
      <c r="L979" s="72">
        <v>10467.0</v>
      </c>
      <c r="M979" s="22"/>
      <c r="N979" s="73"/>
      <c r="O979" s="28">
        <v>45362.0</v>
      </c>
      <c r="P979" s="35" t="s">
        <v>3835</v>
      </c>
      <c r="Q979" s="12"/>
      <c r="R979" s="12"/>
      <c r="S979" s="12"/>
      <c r="T979" s="52">
        <v>45351.0</v>
      </c>
      <c r="U979" s="52">
        <v>45351.0</v>
      </c>
      <c r="V979" s="52">
        <v>45362.0</v>
      </c>
      <c r="W979" s="30"/>
      <c r="X979" s="30"/>
      <c r="Y979" s="31"/>
      <c r="Z979" s="31"/>
      <c r="AA979" s="31"/>
      <c r="AB979" s="74" t="s">
        <v>3836</v>
      </c>
      <c r="AC979" s="74"/>
    </row>
    <row r="980" ht="16.5" customHeight="1">
      <c r="A980" s="48" t="s">
        <v>3837</v>
      </c>
      <c r="B980" s="53" t="s">
        <v>2488</v>
      </c>
      <c r="C980" s="47">
        <v>0.0</v>
      </c>
      <c r="D980" s="70" t="s">
        <v>3838</v>
      </c>
      <c r="E980" s="55" t="s">
        <v>79</v>
      </c>
      <c r="F980" s="32" t="s">
        <v>33</v>
      </c>
      <c r="G980" s="32" t="s">
        <v>35</v>
      </c>
      <c r="H980" s="71" t="s">
        <v>35</v>
      </c>
      <c r="I980" s="71" t="s">
        <v>36</v>
      </c>
      <c r="J980" s="34" t="s">
        <v>49</v>
      </c>
      <c r="K980" s="57" t="s">
        <v>38</v>
      </c>
      <c r="L980" s="72">
        <v>10451.0</v>
      </c>
      <c r="M980" s="22"/>
      <c r="N980" s="73"/>
      <c r="O980" s="28">
        <v>45359.0</v>
      </c>
      <c r="P980" s="35" t="s">
        <v>3839</v>
      </c>
      <c r="Q980" s="12"/>
      <c r="R980" s="12"/>
      <c r="S980" s="12"/>
      <c r="T980" s="52">
        <v>45350.0</v>
      </c>
      <c r="U980" s="52">
        <v>45357.0</v>
      </c>
      <c r="V980" s="52">
        <v>45358.0</v>
      </c>
      <c r="W980" s="30"/>
      <c r="X980" s="30"/>
      <c r="Y980" s="31"/>
      <c r="Z980" s="31"/>
      <c r="AA980" s="78" t="s">
        <v>127</v>
      </c>
      <c r="AB980" s="74" t="s">
        <v>3840</v>
      </c>
      <c r="AC980" s="74"/>
    </row>
    <row r="981" ht="16.5" customHeight="1">
      <c r="A981" s="48" t="s">
        <v>3841</v>
      </c>
      <c r="B981" s="53" t="s">
        <v>3266</v>
      </c>
      <c r="C981" s="47">
        <v>0.0</v>
      </c>
      <c r="D981" s="70" t="s">
        <v>3842</v>
      </c>
      <c r="E981" s="55" t="s">
        <v>383</v>
      </c>
      <c r="F981" s="32" t="s">
        <v>33</v>
      </c>
      <c r="G981" s="32" t="s">
        <v>35</v>
      </c>
      <c r="H981" s="71" t="s">
        <v>35</v>
      </c>
      <c r="I981" s="71" t="s">
        <v>36</v>
      </c>
      <c r="J981" s="34" t="s">
        <v>65</v>
      </c>
      <c r="K981" s="57" t="s">
        <v>38</v>
      </c>
      <c r="L981" s="72">
        <v>10477.0</v>
      </c>
      <c r="M981" s="22"/>
      <c r="N981" s="73"/>
      <c r="O981" s="28">
        <v>45364.0</v>
      </c>
      <c r="P981" s="35" t="s">
        <v>3843</v>
      </c>
      <c r="Q981" s="12"/>
      <c r="R981" s="12"/>
      <c r="S981" s="12"/>
      <c r="T981" s="52">
        <v>45350.0</v>
      </c>
      <c r="U981" s="52">
        <v>45351.0</v>
      </c>
      <c r="V981" s="52">
        <v>45363.0</v>
      </c>
      <c r="W981" s="30"/>
      <c r="X981" s="30"/>
      <c r="Y981" s="31"/>
      <c r="Z981" s="31"/>
      <c r="AA981" s="78" t="s">
        <v>94</v>
      </c>
      <c r="AB981" s="74" t="s">
        <v>3844</v>
      </c>
      <c r="AC981" s="74"/>
    </row>
    <row r="982" ht="16.5" customHeight="1">
      <c r="A982" s="48" t="s">
        <v>3845</v>
      </c>
      <c r="B982" s="53" t="s">
        <v>3266</v>
      </c>
      <c r="C982" s="47">
        <v>0.0</v>
      </c>
      <c r="D982" s="70" t="s">
        <v>3846</v>
      </c>
      <c r="E982" s="55" t="s">
        <v>232</v>
      </c>
      <c r="F982" s="32" t="s">
        <v>33</v>
      </c>
      <c r="G982" s="32" t="s">
        <v>35</v>
      </c>
      <c r="H982" s="71" t="s">
        <v>35</v>
      </c>
      <c r="I982" s="71" t="s">
        <v>36</v>
      </c>
      <c r="J982" s="34" t="s">
        <v>65</v>
      </c>
      <c r="K982" s="57" t="s">
        <v>38</v>
      </c>
      <c r="L982" s="72">
        <v>10477.0</v>
      </c>
      <c r="M982" s="22"/>
      <c r="N982" s="73"/>
      <c r="O982" s="28">
        <v>45364.0</v>
      </c>
      <c r="P982" s="35" t="s">
        <v>3843</v>
      </c>
      <c r="Q982" s="12"/>
      <c r="R982" s="12"/>
      <c r="S982" s="12"/>
      <c r="T982" s="52">
        <v>45350.0</v>
      </c>
      <c r="U982" s="52">
        <v>45351.0</v>
      </c>
      <c r="V982" s="52">
        <v>45359.0</v>
      </c>
      <c r="W982" s="30"/>
      <c r="X982" s="30"/>
      <c r="Y982" s="31"/>
      <c r="Z982" s="31"/>
      <c r="AA982" s="78" t="s">
        <v>94</v>
      </c>
      <c r="AB982" s="74" t="s">
        <v>3847</v>
      </c>
      <c r="AC982" s="74"/>
    </row>
    <row r="983" ht="16.5" customHeight="1">
      <c r="A983" s="48" t="s">
        <v>3848</v>
      </c>
      <c r="B983" s="53" t="s">
        <v>3849</v>
      </c>
      <c r="C983" s="47">
        <v>34.0</v>
      </c>
      <c r="D983" s="70" t="s">
        <v>3850</v>
      </c>
      <c r="E983" s="55" t="s">
        <v>47</v>
      </c>
      <c r="F983" s="32" t="s">
        <v>48</v>
      </c>
      <c r="G983" s="32" t="s">
        <v>35</v>
      </c>
      <c r="H983" s="71" t="s">
        <v>35</v>
      </c>
      <c r="I983" s="71" t="s">
        <v>36</v>
      </c>
      <c r="J983" s="34" t="s">
        <v>1170</v>
      </c>
      <c r="K983" s="57" t="s">
        <v>38</v>
      </c>
      <c r="L983" s="72">
        <v>10474.0</v>
      </c>
      <c r="M983" s="22"/>
      <c r="N983" s="73"/>
      <c r="O983" s="28">
        <v>45363.0</v>
      </c>
      <c r="P983" s="35" t="s">
        <v>3596</v>
      </c>
      <c r="Q983" s="12"/>
      <c r="R983" s="12"/>
      <c r="S983" s="12"/>
      <c r="T983" s="52">
        <v>45350.0</v>
      </c>
      <c r="U983" s="52">
        <v>45351.0</v>
      </c>
      <c r="V983" s="52">
        <v>45359.0</v>
      </c>
      <c r="W983" s="30"/>
      <c r="X983" s="30"/>
      <c r="Y983" s="31"/>
      <c r="Z983" s="31"/>
      <c r="AA983" s="78" t="s">
        <v>94</v>
      </c>
      <c r="AB983" s="74" t="s">
        <v>3851</v>
      </c>
      <c r="AC983" s="74"/>
    </row>
    <row r="984" ht="16.5" customHeight="1">
      <c r="A984" s="48" t="s">
        <v>3852</v>
      </c>
      <c r="B984" s="53" t="s">
        <v>2449</v>
      </c>
      <c r="C984" s="47">
        <v>0.0</v>
      </c>
      <c r="D984" s="70" t="s">
        <v>3853</v>
      </c>
      <c r="E984" s="55" t="s">
        <v>171</v>
      </c>
      <c r="F984" s="32" t="s">
        <v>48</v>
      </c>
      <c r="G984" s="32" t="s">
        <v>35</v>
      </c>
      <c r="H984" s="71" t="s">
        <v>35</v>
      </c>
      <c r="I984" s="71" t="s">
        <v>36</v>
      </c>
      <c r="J984" s="34" t="s">
        <v>420</v>
      </c>
      <c r="K984" s="57" t="s">
        <v>38</v>
      </c>
      <c r="L984" s="72">
        <v>10431.0</v>
      </c>
      <c r="M984" s="22"/>
      <c r="N984" s="73"/>
      <c r="O984" s="28">
        <v>45352.0</v>
      </c>
      <c r="P984" s="35" t="s">
        <v>3854</v>
      </c>
      <c r="Q984" s="12"/>
      <c r="R984" s="12"/>
      <c r="S984" s="12"/>
      <c r="T984" s="52">
        <v>45350.0</v>
      </c>
      <c r="U984" s="52">
        <v>45351.0</v>
      </c>
      <c r="V984" s="52">
        <v>45352.0</v>
      </c>
      <c r="W984" s="30"/>
      <c r="X984" s="30"/>
      <c r="Y984" s="31"/>
      <c r="Z984" s="31"/>
      <c r="AA984" s="78" t="s">
        <v>94</v>
      </c>
      <c r="AB984" s="74" t="s">
        <v>3855</v>
      </c>
      <c r="AC984" s="74"/>
    </row>
    <row r="985" ht="16.5" customHeight="1">
      <c r="A985" s="48" t="s">
        <v>3856</v>
      </c>
      <c r="B985" s="53" t="s">
        <v>241</v>
      </c>
      <c r="C985" s="47">
        <v>0.0</v>
      </c>
      <c r="D985" s="70" t="s">
        <v>3857</v>
      </c>
      <c r="E985" s="55" t="s">
        <v>243</v>
      </c>
      <c r="F985" s="32" t="s">
        <v>244</v>
      </c>
      <c r="G985" s="32" t="s">
        <v>35</v>
      </c>
      <c r="H985" s="71" t="s">
        <v>35</v>
      </c>
      <c r="I985" s="71" t="s">
        <v>36</v>
      </c>
      <c r="J985" s="34" t="s">
        <v>420</v>
      </c>
      <c r="K985" s="57" t="s">
        <v>38</v>
      </c>
      <c r="L985" s="72">
        <v>10454.0</v>
      </c>
      <c r="M985" s="22"/>
      <c r="N985" s="73"/>
      <c r="O985" s="28">
        <v>45359.0</v>
      </c>
      <c r="P985" s="35" t="s">
        <v>3858</v>
      </c>
      <c r="Q985" s="12"/>
      <c r="R985" s="12"/>
      <c r="S985" s="12"/>
      <c r="T985" s="52">
        <v>45351.0</v>
      </c>
      <c r="U985" s="52">
        <v>45351.0</v>
      </c>
      <c r="V985" s="52">
        <v>45359.0</v>
      </c>
      <c r="W985" s="30"/>
      <c r="X985" s="30"/>
      <c r="Y985" s="31"/>
      <c r="Z985" s="31"/>
      <c r="AA985" s="78" t="s">
        <v>120</v>
      </c>
      <c r="AB985" s="74" t="s">
        <v>3859</v>
      </c>
      <c r="AC985" s="74"/>
    </row>
    <row r="986" ht="16.5" customHeight="1">
      <c r="A986" s="48" t="s">
        <v>3860</v>
      </c>
      <c r="B986" s="53" t="s">
        <v>3861</v>
      </c>
      <c r="C986" s="47">
        <v>0.0</v>
      </c>
      <c r="D986" s="70" t="s">
        <v>3862</v>
      </c>
      <c r="E986" s="55" t="s">
        <v>3863</v>
      </c>
      <c r="F986" s="32" t="s">
        <v>244</v>
      </c>
      <c r="G986" s="32" t="s">
        <v>35</v>
      </c>
      <c r="H986" s="71" t="s">
        <v>35</v>
      </c>
      <c r="I986" s="71" t="s">
        <v>36</v>
      </c>
      <c r="J986" s="34" t="s">
        <v>434</v>
      </c>
      <c r="K986" s="57" t="s">
        <v>38</v>
      </c>
      <c r="L986" s="72">
        <v>10453.0</v>
      </c>
      <c r="M986" s="22"/>
      <c r="N986" s="73"/>
      <c r="O986" s="28">
        <v>45359.0</v>
      </c>
      <c r="P986" s="35" t="s">
        <v>3864</v>
      </c>
      <c r="Q986" s="12"/>
      <c r="R986" s="12"/>
      <c r="S986" s="12"/>
      <c r="T986" s="52">
        <v>45355.0</v>
      </c>
      <c r="U986" s="52">
        <v>45355.0</v>
      </c>
      <c r="V986" s="52">
        <v>45359.0</v>
      </c>
      <c r="W986" s="30"/>
      <c r="X986" s="30"/>
      <c r="Y986" s="31"/>
      <c r="Z986" s="31"/>
      <c r="AA986" s="31"/>
      <c r="AB986" s="74" t="s">
        <v>3865</v>
      </c>
      <c r="AC986" s="74"/>
    </row>
    <row r="987" ht="16.5" customHeight="1">
      <c r="A987" s="48" t="s">
        <v>3866</v>
      </c>
      <c r="B987" s="53" t="s">
        <v>1768</v>
      </c>
      <c r="C987" s="47">
        <v>90.0</v>
      </c>
      <c r="D987" s="70" t="s">
        <v>3867</v>
      </c>
      <c r="E987" s="55" t="s">
        <v>91</v>
      </c>
      <c r="F987" s="32" t="s">
        <v>48</v>
      </c>
      <c r="G987" s="32" t="s">
        <v>35</v>
      </c>
      <c r="H987" s="71" t="s">
        <v>35</v>
      </c>
      <c r="I987" s="71" t="s">
        <v>36</v>
      </c>
      <c r="J987" s="34" t="s">
        <v>37</v>
      </c>
      <c r="K987" s="57" t="s">
        <v>38</v>
      </c>
      <c r="L987" s="72">
        <v>10440.0</v>
      </c>
      <c r="M987" s="22"/>
      <c r="N987" s="73"/>
      <c r="O987" s="28">
        <v>45356.0</v>
      </c>
      <c r="P987" s="35" t="s">
        <v>3868</v>
      </c>
      <c r="Q987" s="12"/>
      <c r="R987" s="12"/>
      <c r="S987" s="12"/>
      <c r="T987" s="52">
        <v>45351.0</v>
      </c>
      <c r="U987" s="52">
        <v>45351.0</v>
      </c>
      <c r="V987" s="52">
        <v>45355.0</v>
      </c>
      <c r="W987" s="30"/>
      <c r="X987" s="30"/>
      <c r="Y987" s="31"/>
      <c r="Z987" s="31"/>
      <c r="AA987" s="78" t="s">
        <v>120</v>
      </c>
      <c r="AB987" s="74" t="s">
        <v>3869</v>
      </c>
      <c r="AC987" s="74"/>
    </row>
    <row r="988" ht="16.5" customHeight="1">
      <c r="A988" s="48" t="s">
        <v>3870</v>
      </c>
      <c r="B988" s="53" t="s">
        <v>3871</v>
      </c>
      <c r="C988" s="47">
        <v>0.0</v>
      </c>
      <c r="D988" s="70" t="s">
        <v>3872</v>
      </c>
      <c r="E988" s="55" t="s">
        <v>2614</v>
      </c>
      <c r="F988" s="32" t="s">
        <v>33</v>
      </c>
      <c r="G988" s="32" t="s">
        <v>35</v>
      </c>
      <c r="H988" s="71" t="s">
        <v>35</v>
      </c>
      <c r="I988" s="71" t="s">
        <v>36</v>
      </c>
      <c r="J988" s="34" t="s">
        <v>49</v>
      </c>
      <c r="K988" s="57" t="s">
        <v>38</v>
      </c>
      <c r="L988" s="72">
        <v>10478.0</v>
      </c>
      <c r="M988" s="22"/>
      <c r="N988" s="73"/>
      <c r="O988" s="28">
        <v>45364.0</v>
      </c>
      <c r="P988" s="35" t="s">
        <v>3873</v>
      </c>
      <c r="Q988" s="12"/>
      <c r="R988" s="12"/>
      <c r="S988" s="12"/>
      <c r="T988" s="52">
        <v>45351.0</v>
      </c>
      <c r="U988" s="52">
        <v>45355.0</v>
      </c>
      <c r="V988" s="52">
        <v>45363.0</v>
      </c>
      <c r="W988" s="30"/>
      <c r="X988" s="30"/>
      <c r="Y988" s="31"/>
      <c r="Z988" s="31"/>
      <c r="AA988" s="78" t="s">
        <v>108</v>
      </c>
      <c r="AB988" s="74" t="s">
        <v>3874</v>
      </c>
      <c r="AC988" s="74"/>
    </row>
    <row r="989" ht="16.5" customHeight="1">
      <c r="A989" s="48" t="s">
        <v>3875</v>
      </c>
      <c r="B989" s="53" t="s">
        <v>3289</v>
      </c>
      <c r="C989" s="47">
        <v>0.0</v>
      </c>
      <c r="D989" s="70" t="s">
        <v>3876</v>
      </c>
      <c r="E989" s="55" t="s">
        <v>1119</v>
      </c>
      <c r="F989" s="32" t="s">
        <v>33</v>
      </c>
      <c r="G989" s="32" t="s">
        <v>35</v>
      </c>
      <c r="H989" s="71" t="s">
        <v>35</v>
      </c>
      <c r="I989" s="71" t="s">
        <v>36</v>
      </c>
      <c r="J989" s="34" t="s">
        <v>92</v>
      </c>
      <c r="K989" s="57" t="s">
        <v>38</v>
      </c>
      <c r="L989" s="72">
        <v>10557.0</v>
      </c>
      <c r="M989" s="22"/>
      <c r="N989" s="73"/>
      <c r="O989" s="28">
        <v>45384.63333333333</v>
      </c>
      <c r="P989" s="35" t="s">
        <v>3877</v>
      </c>
      <c r="Q989" s="12"/>
      <c r="R989" s="12"/>
      <c r="S989" s="12"/>
      <c r="T989" s="52">
        <v>45351.0</v>
      </c>
      <c r="U989" s="52">
        <v>45356.0</v>
      </c>
      <c r="V989" s="52">
        <v>45366.0</v>
      </c>
      <c r="W989" s="30"/>
      <c r="X989" s="30"/>
      <c r="Y989" s="31"/>
      <c r="Z989" s="31"/>
      <c r="AA989" s="78" t="s">
        <v>120</v>
      </c>
      <c r="AB989" s="74" t="s">
        <v>3878</v>
      </c>
      <c r="AC989" s="74"/>
    </row>
    <row r="990" ht="16.5" customHeight="1">
      <c r="A990" s="48" t="s">
        <v>3879</v>
      </c>
      <c r="B990" s="53" t="s">
        <v>3289</v>
      </c>
      <c r="C990" s="47">
        <v>0.0</v>
      </c>
      <c r="D990" s="70" t="s">
        <v>3880</v>
      </c>
      <c r="E990" s="55" t="s">
        <v>1119</v>
      </c>
      <c r="F990" s="32" t="s">
        <v>33</v>
      </c>
      <c r="G990" s="32" t="s">
        <v>35</v>
      </c>
      <c r="H990" s="71" t="s">
        <v>35</v>
      </c>
      <c r="I990" s="71" t="s">
        <v>36</v>
      </c>
      <c r="J990" s="34" t="s">
        <v>92</v>
      </c>
      <c r="K990" s="57" t="s">
        <v>38</v>
      </c>
      <c r="L990" s="72">
        <v>10557.0</v>
      </c>
      <c r="M990" s="22"/>
      <c r="N990" s="73"/>
      <c r="O990" s="28">
        <v>45384.63333333333</v>
      </c>
      <c r="P990" s="35" t="s">
        <v>3877</v>
      </c>
      <c r="Q990" s="12"/>
      <c r="R990" s="12"/>
      <c r="S990" s="12"/>
      <c r="T990" s="52">
        <v>45351.0</v>
      </c>
      <c r="U990" s="52">
        <v>45356.0</v>
      </c>
      <c r="V990" s="52">
        <v>45377.0</v>
      </c>
      <c r="W990" s="30"/>
      <c r="X990" s="30"/>
      <c r="Y990" s="31"/>
      <c r="Z990" s="31"/>
      <c r="AA990" s="78" t="s">
        <v>120</v>
      </c>
      <c r="AB990" s="74" t="s">
        <v>3881</v>
      </c>
      <c r="AC990" s="74"/>
    </row>
    <row r="991" ht="16.5" customHeight="1">
      <c r="A991" s="48" t="s">
        <v>3882</v>
      </c>
      <c r="B991" s="53" t="s">
        <v>3883</v>
      </c>
      <c r="C991" s="47">
        <v>0.0</v>
      </c>
      <c r="D991" s="70" t="s">
        <v>3884</v>
      </c>
      <c r="E991" s="55" t="s">
        <v>243</v>
      </c>
      <c r="F991" s="32" t="s">
        <v>244</v>
      </c>
      <c r="G991" s="32" t="s">
        <v>35</v>
      </c>
      <c r="H991" s="71" t="s">
        <v>35</v>
      </c>
      <c r="I991" s="71" t="s">
        <v>36</v>
      </c>
      <c r="J991" s="34" t="s">
        <v>65</v>
      </c>
      <c r="K991" s="57" t="s">
        <v>38</v>
      </c>
      <c r="L991" s="72">
        <v>10452.0</v>
      </c>
      <c r="M991" s="22"/>
      <c r="N991" s="73"/>
      <c r="O991" s="28">
        <v>45359.0</v>
      </c>
      <c r="P991" s="35" t="s">
        <v>3885</v>
      </c>
      <c r="Q991" s="12"/>
      <c r="R991" s="12"/>
      <c r="S991" s="12"/>
      <c r="T991" s="52">
        <v>45351.0</v>
      </c>
      <c r="U991" s="52">
        <v>45352.0</v>
      </c>
      <c r="V991" s="52">
        <v>45359.0</v>
      </c>
      <c r="W991" s="30"/>
      <c r="X991" s="30"/>
      <c r="Y991" s="31"/>
      <c r="Z991" s="31"/>
      <c r="AA991" s="78" t="s">
        <v>94</v>
      </c>
      <c r="AB991" s="74" t="s">
        <v>3886</v>
      </c>
      <c r="AC991" s="74"/>
    </row>
    <row r="992" ht="16.5" customHeight="1">
      <c r="A992" s="48" t="s">
        <v>3887</v>
      </c>
      <c r="B992" s="53" t="s">
        <v>3888</v>
      </c>
      <c r="C992" s="47">
        <v>11.0</v>
      </c>
      <c r="D992" s="70" t="s">
        <v>3889</v>
      </c>
      <c r="E992" s="55" t="s">
        <v>112</v>
      </c>
      <c r="F992" s="32" t="s">
        <v>48</v>
      </c>
      <c r="G992" s="32" t="s">
        <v>35</v>
      </c>
      <c r="H992" s="71" t="s">
        <v>35</v>
      </c>
      <c r="I992" s="71" t="s">
        <v>36</v>
      </c>
      <c r="J992" s="34" t="s">
        <v>37</v>
      </c>
      <c r="K992" s="57" t="s">
        <v>2978</v>
      </c>
      <c r="L992" s="72">
        <v>10443.0</v>
      </c>
      <c r="M992" s="22"/>
      <c r="N992" s="73"/>
      <c r="O992" s="28">
        <v>45356.0</v>
      </c>
      <c r="P992" s="35" t="s">
        <v>3890</v>
      </c>
      <c r="Q992" s="12"/>
      <c r="R992" s="12"/>
      <c r="S992" s="12"/>
      <c r="T992" s="52">
        <v>45352.0</v>
      </c>
      <c r="U992" s="52">
        <v>45352.0</v>
      </c>
      <c r="V992" s="52">
        <v>45355.0</v>
      </c>
      <c r="W992" s="30"/>
      <c r="X992" s="30"/>
      <c r="Y992" s="31"/>
      <c r="Z992" s="31"/>
      <c r="AA992" s="78" t="s">
        <v>108</v>
      </c>
      <c r="AB992" s="74" t="s">
        <v>3891</v>
      </c>
      <c r="AC992" s="74"/>
    </row>
    <row r="993" ht="16.5" customHeight="1">
      <c r="A993" s="48" t="s">
        <v>3892</v>
      </c>
      <c r="B993" s="53" t="s">
        <v>3888</v>
      </c>
      <c r="C993" s="47">
        <v>137.0</v>
      </c>
      <c r="D993" s="70" t="s">
        <v>3893</v>
      </c>
      <c r="E993" s="55" t="s">
        <v>85</v>
      </c>
      <c r="F993" s="32" t="s">
        <v>48</v>
      </c>
      <c r="G993" s="32" t="s">
        <v>35</v>
      </c>
      <c r="H993" s="71" t="s">
        <v>35</v>
      </c>
      <c r="I993" s="71" t="s">
        <v>36</v>
      </c>
      <c r="J993" s="34" t="s">
        <v>37</v>
      </c>
      <c r="K993" s="57" t="s">
        <v>2978</v>
      </c>
      <c r="L993" s="72">
        <v>10443.0</v>
      </c>
      <c r="M993" s="22"/>
      <c r="N993" s="73"/>
      <c r="O993" s="28">
        <v>45356.0</v>
      </c>
      <c r="P993" s="35" t="s">
        <v>3890</v>
      </c>
      <c r="Q993" s="12"/>
      <c r="R993" s="12"/>
      <c r="S993" s="12"/>
      <c r="T993" s="52">
        <v>45352.0</v>
      </c>
      <c r="U993" s="52">
        <v>45352.0</v>
      </c>
      <c r="V993" s="52">
        <v>45355.0</v>
      </c>
      <c r="W993" s="30"/>
      <c r="X993" s="30"/>
      <c r="Y993" s="31"/>
      <c r="Z993" s="31"/>
      <c r="AA993" s="78" t="s">
        <v>108</v>
      </c>
      <c r="AB993" s="74" t="s">
        <v>3894</v>
      </c>
      <c r="AC993" s="74"/>
    </row>
    <row r="994" ht="16.5" customHeight="1">
      <c r="A994" s="48" t="s">
        <v>3895</v>
      </c>
      <c r="B994" s="53" t="s">
        <v>3888</v>
      </c>
      <c r="C994" s="47">
        <v>137.0</v>
      </c>
      <c r="D994" s="70" t="s">
        <v>3896</v>
      </c>
      <c r="E994" s="55" t="s">
        <v>85</v>
      </c>
      <c r="F994" s="32" t="s">
        <v>48</v>
      </c>
      <c r="G994" s="32" t="s">
        <v>35</v>
      </c>
      <c r="H994" s="71" t="s">
        <v>35</v>
      </c>
      <c r="I994" s="71" t="s">
        <v>36</v>
      </c>
      <c r="J994" s="34" t="s">
        <v>37</v>
      </c>
      <c r="K994" s="57" t="s">
        <v>2978</v>
      </c>
      <c r="L994" s="72">
        <v>10443.0</v>
      </c>
      <c r="M994" s="22"/>
      <c r="N994" s="73"/>
      <c r="O994" s="28">
        <v>45356.0</v>
      </c>
      <c r="P994" s="35" t="s">
        <v>3890</v>
      </c>
      <c r="Q994" s="12"/>
      <c r="R994" s="12"/>
      <c r="S994" s="12"/>
      <c r="T994" s="52">
        <v>45352.0</v>
      </c>
      <c r="U994" s="52">
        <v>45352.0</v>
      </c>
      <c r="V994" s="52">
        <v>45355.0</v>
      </c>
      <c r="W994" s="30"/>
      <c r="X994" s="30"/>
      <c r="Y994" s="31"/>
      <c r="Z994" s="31"/>
      <c r="AA994" s="78" t="s">
        <v>108</v>
      </c>
      <c r="AB994" s="74" t="s">
        <v>3897</v>
      </c>
      <c r="AC994" s="74"/>
    </row>
    <row r="995" ht="16.5" customHeight="1">
      <c r="A995" s="48" t="s">
        <v>3898</v>
      </c>
      <c r="B995" s="53" t="s">
        <v>3674</v>
      </c>
      <c r="C995" s="47">
        <v>0.0</v>
      </c>
      <c r="D995" s="70" t="s">
        <v>3899</v>
      </c>
      <c r="E995" s="55" t="s">
        <v>243</v>
      </c>
      <c r="F995" s="32" t="s">
        <v>244</v>
      </c>
      <c r="G995" s="32" t="s">
        <v>35</v>
      </c>
      <c r="H995" s="71" t="s">
        <v>35</v>
      </c>
      <c r="I995" s="71" t="s">
        <v>36</v>
      </c>
      <c r="J995" s="34" t="s">
        <v>65</v>
      </c>
      <c r="K995" s="57" t="s">
        <v>38</v>
      </c>
      <c r="L995" s="72">
        <v>10479.0</v>
      </c>
      <c r="M995" s="22"/>
      <c r="N995" s="73"/>
      <c r="O995" s="28">
        <v>45364.0</v>
      </c>
      <c r="P995" s="35" t="s">
        <v>3900</v>
      </c>
      <c r="Q995" s="12"/>
      <c r="R995" s="12"/>
      <c r="S995" s="12"/>
      <c r="T995" s="52">
        <v>45355.0</v>
      </c>
      <c r="U995" s="52">
        <v>45357.0</v>
      </c>
      <c r="V995" s="52">
        <v>45363.0</v>
      </c>
      <c r="W995" s="30"/>
      <c r="X995" s="30"/>
      <c r="Y995" s="31"/>
      <c r="Z995" s="31"/>
      <c r="AA995" s="78" t="s">
        <v>94</v>
      </c>
      <c r="AB995" s="74" t="s">
        <v>3901</v>
      </c>
      <c r="AC995" s="74"/>
    </row>
    <row r="996" ht="16.5" customHeight="1">
      <c r="A996" s="48" t="s">
        <v>3902</v>
      </c>
      <c r="B996" s="53" t="s">
        <v>122</v>
      </c>
      <c r="C996" s="47">
        <v>0.0</v>
      </c>
      <c r="D996" s="70" t="s">
        <v>3903</v>
      </c>
      <c r="E996" s="55" t="s">
        <v>165</v>
      </c>
      <c r="F996" s="32" t="s">
        <v>33</v>
      </c>
      <c r="G996" s="32" t="s">
        <v>34</v>
      </c>
      <c r="H996" s="71" t="s">
        <v>35</v>
      </c>
      <c r="I996" s="71" t="s">
        <v>36</v>
      </c>
      <c r="J996" s="34" t="s">
        <v>49</v>
      </c>
      <c r="K996" s="57" t="s">
        <v>38</v>
      </c>
      <c r="L996" s="72">
        <v>10471.0</v>
      </c>
      <c r="M996" s="22"/>
      <c r="N996" s="73"/>
      <c r="O996" s="28">
        <v>45364.0</v>
      </c>
      <c r="P996" s="35" t="s">
        <v>3904</v>
      </c>
      <c r="Q996" s="12"/>
      <c r="R996" s="12"/>
      <c r="S996" s="12"/>
      <c r="T996" s="52">
        <v>45355.0</v>
      </c>
      <c r="U996" s="52">
        <v>45356.0</v>
      </c>
      <c r="V996" s="52">
        <v>45362.0</v>
      </c>
      <c r="W996" s="30"/>
      <c r="X996" s="30"/>
      <c r="Y996" s="31"/>
      <c r="Z996" s="31"/>
      <c r="AA996" s="78" t="s">
        <v>127</v>
      </c>
      <c r="AB996" s="74" t="s">
        <v>3905</v>
      </c>
      <c r="AC996" s="74"/>
    </row>
    <row r="997" ht="16.5" customHeight="1">
      <c r="A997" s="48" t="s">
        <v>3906</v>
      </c>
      <c r="B997" s="53" t="s">
        <v>3907</v>
      </c>
      <c r="C997" s="47">
        <v>0.0</v>
      </c>
      <c r="D997" s="70" t="s">
        <v>3908</v>
      </c>
      <c r="E997" s="55" t="s">
        <v>268</v>
      </c>
      <c r="F997" s="32" t="s">
        <v>33</v>
      </c>
      <c r="G997" s="32" t="s">
        <v>35</v>
      </c>
      <c r="H997" s="71" t="s">
        <v>35</v>
      </c>
      <c r="I997" s="71" t="s">
        <v>36</v>
      </c>
      <c r="J997" s="34" t="s">
        <v>49</v>
      </c>
      <c r="K997" s="57" t="s">
        <v>38</v>
      </c>
      <c r="L997" s="72">
        <v>10480.0</v>
      </c>
      <c r="M997" s="22"/>
      <c r="N997" s="73"/>
      <c r="O997" s="28">
        <v>45364.0</v>
      </c>
      <c r="P997" s="35" t="s">
        <v>3909</v>
      </c>
      <c r="Q997" s="12"/>
      <c r="R997" s="12"/>
      <c r="S997" s="12"/>
      <c r="T997" s="52">
        <v>45355.0</v>
      </c>
      <c r="U997" s="52">
        <v>45356.0</v>
      </c>
      <c r="V997" s="52">
        <v>45363.0</v>
      </c>
      <c r="W997" s="30"/>
      <c r="X997" s="30"/>
      <c r="Y997" s="31"/>
      <c r="Z997" s="31"/>
      <c r="AA997" s="78" t="s">
        <v>127</v>
      </c>
      <c r="AB997" s="74" t="s">
        <v>3910</v>
      </c>
      <c r="AC997" s="74"/>
    </row>
    <row r="998" ht="16.5" customHeight="1">
      <c r="A998" s="48" t="s">
        <v>3911</v>
      </c>
      <c r="B998" s="53" t="s">
        <v>3266</v>
      </c>
      <c r="C998" s="47">
        <v>0.0</v>
      </c>
      <c r="D998" s="70" t="s">
        <v>3912</v>
      </c>
      <c r="E998" s="55" t="s">
        <v>338</v>
      </c>
      <c r="F998" s="32" t="s">
        <v>33</v>
      </c>
      <c r="G998" s="32" t="s">
        <v>35</v>
      </c>
      <c r="H998" s="71" t="s">
        <v>35</v>
      </c>
      <c r="I998" s="71" t="s">
        <v>36</v>
      </c>
      <c r="J998" s="34" t="s">
        <v>65</v>
      </c>
      <c r="K998" s="57" t="s">
        <v>38</v>
      </c>
      <c r="L998" s="72">
        <v>10464.0</v>
      </c>
      <c r="M998" s="22"/>
      <c r="N998" s="73"/>
      <c r="O998" s="28">
        <v>45362.0</v>
      </c>
      <c r="P998" s="35" t="s">
        <v>3913</v>
      </c>
      <c r="Q998" s="12"/>
      <c r="R998" s="12"/>
      <c r="S998" s="12"/>
      <c r="T998" s="52">
        <v>45355.0</v>
      </c>
      <c r="U998" s="52">
        <v>45356.0</v>
      </c>
      <c r="V998" s="52">
        <v>45359.0</v>
      </c>
      <c r="W998" s="30"/>
      <c r="X998" s="30"/>
      <c r="Y998" s="31"/>
      <c r="Z998" s="31"/>
      <c r="AA998" s="78" t="s">
        <v>94</v>
      </c>
      <c r="AB998" s="74" t="s">
        <v>3914</v>
      </c>
      <c r="AC998" s="74"/>
    </row>
    <row r="999" ht="16.5" customHeight="1">
      <c r="A999" s="48" t="s">
        <v>3915</v>
      </c>
      <c r="B999" s="53" t="s">
        <v>473</v>
      </c>
      <c r="C999" s="47">
        <v>0.0</v>
      </c>
      <c r="D999" s="70" t="s">
        <v>3916</v>
      </c>
      <c r="E999" s="55" t="s">
        <v>1077</v>
      </c>
      <c r="F999" s="32" t="s">
        <v>33</v>
      </c>
      <c r="G999" s="32" t="s">
        <v>35</v>
      </c>
      <c r="H999" s="71" t="s">
        <v>35</v>
      </c>
      <c r="I999" s="71" t="s">
        <v>36</v>
      </c>
      <c r="J999" s="34" t="s">
        <v>65</v>
      </c>
      <c r="K999" s="57" t="s">
        <v>38</v>
      </c>
      <c r="L999" s="72">
        <v>10461.0</v>
      </c>
      <c r="M999" s="22"/>
      <c r="N999" s="73"/>
      <c r="O999" s="28">
        <v>45359.0</v>
      </c>
      <c r="P999" s="35" t="s">
        <v>3917</v>
      </c>
      <c r="Q999" s="12"/>
      <c r="R999" s="12"/>
      <c r="S999" s="12"/>
      <c r="T999" s="52">
        <v>45355.0</v>
      </c>
      <c r="U999" s="52">
        <v>45356.0</v>
      </c>
      <c r="V999" s="52">
        <v>45359.0</v>
      </c>
      <c r="W999" s="30"/>
      <c r="X999" s="30"/>
      <c r="Y999" s="31"/>
      <c r="Z999" s="31"/>
      <c r="AA999" s="78" t="s">
        <v>94</v>
      </c>
      <c r="AB999" s="74" t="s">
        <v>3918</v>
      </c>
      <c r="AC999" s="74"/>
    </row>
    <row r="1000" ht="16.5" customHeight="1">
      <c r="A1000" s="48" t="s">
        <v>3919</v>
      </c>
      <c r="B1000" s="53" t="s">
        <v>115</v>
      </c>
      <c r="C1000" s="47">
        <v>0.0</v>
      </c>
      <c r="D1000" s="70" t="s">
        <v>3920</v>
      </c>
      <c r="E1000" s="55" t="s">
        <v>171</v>
      </c>
      <c r="F1000" s="32" t="s">
        <v>48</v>
      </c>
      <c r="G1000" s="32" t="s">
        <v>35</v>
      </c>
      <c r="H1000" s="71" t="s">
        <v>35</v>
      </c>
      <c r="I1000" s="71" t="s">
        <v>36</v>
      </c>
      <c r="J1000" s="34" t="s">
        <v>92</v>
      </c>
      <c r="K1000" s="57" t="s">
        <v>38</v>
      </c>
      <c r="L1000" s="72">
        <v>10455.0</v>
      </c>
      <c r="M1000" s="22"/>
      <c r="N1000" s="73"/>
      <c r="O1000" s="28">
        <v>45359.0</v>
      </c>
      <c r="P1000" s="35" t="s">
        <v>3921</v>
      </c>
      <c r="Q1000" s="12"/>
      <c r="R1000" s="12"/>
      <c r="S1000" s="12"/>
      <c r="T1000" s="52">
        <v>45356.0</v>
      </c>
      <c r="U1000" s="52">
        <v>45358.0</v>
      </c>
      <c r="V1000" s="52">
        <v>45358.0</v>
      </c>
      <c r="W1000" s="30"/>
      <c r="X1000" s="30"/>
      <c r="Y1000" s="31"/>
      <c r="Z1000" s="31"/>
      <c r="AA1000" s="78" t="s">
        <v>120</v>
      </c>
      <c r="AB1000" s="74" t="s">
        <v>3922</v>
      </c>
      <c r="AC1000" s="74"/>
    </row>
    <row r="1001" ht="16.5" customHeight="1">
      <c r="A1001" s="48" t="s">
        <v>3923</v>
      </c>
      <c r="B1001" s="53" t="s">
        <v>3924</v>
      </c>
      <c r="C1001" s="47">
        <v>34.0</v>
      </c>
      <c r="D1001" s="70" t="s">
        <v>3925</v>
      </c>
      <c r="E1001" s="55" t="s">
        <v>47</v>
      </c>
      <c r="F1001" s="32" t="s">
        <v>48</v>
      </c>
      <c r="G1001" s="32" t="s">
        <v>35</v>
      </c>
      <c r="H1001" s="71" t="s">
        <v>35</v>
      </c>
      <c r="I1001" s="71" t="s">
        <v>36</v>
      </c>
      <c r="J1001" s="34" t="s">
        <v>65</v>
      </c>
      <c r="K1001" s="57" t="s">
        <v>38</v>
      </c>
      <c r="L1001" s="72">
        <v>10459.0</v>
      </c>
      <c r="M1001" s="22"/>
      <c r="N1001" s="73"/>
      <c r="O1001" s="28">
        <v>45359.0</v>
      </c>
      <c r="P1001" s="35" t="s">
        <v>3926</v>
      </c>
      <c r="Q1001" s="12"/>
      <c r="R1001" s="12"/>
      <c r="S1001" s="12"/>
      <c r="T1001" s="52">
        <v>45356.0</v>
      </c>
      <c r="U1001" s="52">
        <v>45358.0</v>
      </c>
      <c r="V1001" s="52">
        <v>45359.0</v>
      </c>
      <c r="W1001" s="30"/>
      <c r="X1001" s="30"/>
      <c r="Y1001" s="31"/>
      <c r="Z1001" s="31"/>
      <c r="AA1001" s="78" t="s">
        <v>94</v>
      </c>
      <c r="AB1001" s="74" t="s">
        <v>3927</v>
      </c>
      <c r="AC1001" s="74"/>
    </row>
    <row r="1002" ht="16.5" customHeight="1">
      <c r="A1002" s="48" t="s">
        <v>3928</v>
      </c>
      <c r="B1002" s="53" t="s">
        <v>3323</v>
      </c>
      <c r="C1002" s="47">
        <v>0.0</v>
      </c>
      <c r="D1002" s="70" t="s">
        <v>3929</v>
      </c>
      <c r="E1002" s="55" t="s">
        <v>79</v>
      </c>
      <c r="F1002" s="32" t="s">
        <v>33</v>
      </c>
      <c r="G1002" s="32" t="s">
        <v>34</v>
      </c>
      <c r="H1002" s="71" t="s">
        <v>35</v>
      </c>
      <c r="I1002" s="71" t="s">
        <v>36</v>
      </c>
      <c r="J1002" s="34" t="s">
        <v>65</v>
      </c>
      <c r="K1002" s="57" t="s">
        <v>38</v>
      </c>
      <c r="L1002" s="72">
        <v>10482.0</v>
      </c>
      <c r="M1002" s="22"/>
      <c r="N1002" s="73"/>
      <c r="O1002" s="28">
        <v>45364.0</v>
      </c>
      <c r="P1002" s="35" t="s">
        <v>3930</v>
      </c>
      <c r="Q1002" s="12"/>
      <c r="R1002" s="12"/>
      <c r="S1002" s="12"/>
      <c r="T1002" s="52">
        <v>45358.0</v>
      </c>
      <c r="U1002" s="52">
        <v>45362.0</v>
      </c>
      <c r="V1002" s="52">
        <v>45363.0</v>
      </c>
      <c r="W1002" s="30"/>
      <c r="X1002" s="30"/>
      <c r="Y1002" s="31"/>
      <c r="Z1002" s="31"/>
      <c r="AA1002" s="78" t="s">
        <v>94</v>
      </c>
      <c r="AB1002" s="74" t="s">
        <v>3931</v>
      </c>
      <c r="AC1002" s="74"/>
    </row>
    <row r="1003" ht="16.5" customHeight="1">
      <c r="A1003" s="48" t="s">
        <v>3932</v>
      </c>
      <c r="B1003" s="53" t="s">
        <v>3323</v>
      </c>
      <c r="C1003" s="47">
        <v>0.0</v>
      </c>
      <c r="D1003" s="70" t="s">
        <v>3933</v>
      </c>
      <c r="E1003" s="55" t="s">
        <v>79</v>
      </c>
      <c r="F1003" s="32" t="s">
        <v>33</v>
      </c>
      <c r="G1003" s="32" t="s">
        <v>34</v>
      </c>
      <c r="H1003" s="71" t="s">
        <v>35</v>
      </c>
      <c r="I1003" s="71" t="s">
        <v>36</v>
      </c>
      <c r="J1003" s="34" t="s">
        <v>65</v>
      </c>
      <c r="K1003" s="57" t="s">
        <v>38</v>
      </c>
      <c r="L1003" s="72">
        <v>10482.0</v>
      </c>
      <c r="M1003" s="22"/>
      <c r="N1003" s="73"/>
      <c r="O1003" s="28">
        <v>45364.0</v>
      </c>
      <c r="P1003" s="35" t="s">
        <v>3930</v>
      </c>
      <c r="Q1003" s="12"/>
      <c r="R1003" s="12"/>
      <c r="S1003" s="12"/>
      <c r="T1003" s="52">
        <v>45358.0</v>
      </c>
      <c r="U1003" s="52">
        <v>45362.0</v>
      </c>
      <c r="V1003" s="52">
        <v>45363.0</v>
      </c>
      <c r="W1003" s="30"/>
      <c r="X1003" s="30"/>
      <c r="Y1003" s="31"/>
      <c r="Z1003" s="31"/>
      <c r="AA1003" s="78" t="s">
        <v>94</v>
      </c>
      <c r="AB1003" s="74" t="s">
        <v>3934</v>
      </c>
      <c r="AC1003" s="74"/>
    </row>
    <row r="1004" ht="16.5" customHeight="1">
      <c r="A1004" s="48" t="s">
        <v>3935</v>
      </c>
      <c r="B1004" s="53" t="s">
        <v>3323</v>
      </c>
      <c r="C1004" s="47">
        <v>0.0</v>
      </c>
      <c r="D1004" s="70" t="s">
        <v>3936</v>
      </c>
      <c r="E1004" s="55" t="s">
        <v>701</v>
      </c>
      <c r="F1004" s="32" t="s">
        <v>33</v>
      </c>
      <c r="G1004" s="32" t="s">
        <v>35</v>
      </c>
      <c r="H1004" s="71" t="s">
        <v>35</v>
      </c>
      <c r="I1004" s="71" t="s">
        <v>36</v>
      </c>
      <c r="J1004" s="34" t="s">
        <v>65</v>
      </c>
      <c r="K1004" s="57" t="s">
        <v>38</v>
      </c>
      <c r="L1004" s="72">
        <v>10482.0</v>
      </c>
      <c r="M1004" s="22"/>
      <c r="N1004" s="73"/>
      <c r="O1004" s="28">
        <v>45364.0</v>
      </c>
      <c r="P1004" s="35" t="s">
        <v>3930</v>
      </c>
      <c r="Q1004" s="12"/>
      <c r="R1004" s="12"/>
      <c r="S1004" s="12"/>
      <c r="T1004" s="52">
        <v>45358.0</v>
      </c>
      <c r="U1004" s="52">
        <v>45362.0</v>
      </c>
      <c r="V1004" s="52">
        <v>45362.0</v>
      </c>
      <c r="W1004" s="30"/>
      <c r="X1004" s="30"/>
      <c r="Y1004" s="31"/>
      <c r="Z1004" s="31"/>
      <c r="AA1004" s="78" t="s">
        <v>94</v>
      </c>
      <c r="AB1004" s="74" t="s">
        <v>3937</v>
      </c>
      <c r="AC1004" s="74"/>
    </row>
    <row r="1005" ht="16.5" customHeight="1">
      <c r="A1005" s="48" t="s">
        <v>3938</v>
      </c>
      <c r="B1005" s="53" t="s">
        <v>3323</v>
      </c>
      <c r="C1005" s="47">
        <v>0.0</v>
      </c>
      <c r="D1005" s="70" t="s">
        <v>3939</v>
      </c>
      <c r="E1005" s="55" t="s">
        <v>701</v>
      </c>
      <c r="F1005" s="32" t="s">
        <v>33</v>
      </c>
      <c r="G1005" s="32" t="s">
        <v>35</v>
      </c>
      <c r="H1005" s="71" t="s">
        <v>35</v>
      </c>
      <c r="I1005" s="71" t="s">
        <v>36</v>
      </c>
      <c r="J1005" s="34" t="s">
        <v>65</v>
      </c>
      <c r="K1005" s="57" t="s">
        <v>38</v>
      </c>
      <c r="L1005" s="72">
        <v>10482.0</v>
      </c>
      <c r="M1005" s="22"/>
      <c r="N1005" s="73"/>
      <c r="O1005" s="28">
        <v>45364.0</v>
      </c>
      <c r="P1005" s="35" t="s">
        <v>3930</v>
      </c>
      <c r="Q1005" s="12"/>
      <c r="R1005" s="12"/>
      <c r="S1005" s="12"/>
      <c r="T1005" s="52">
        <v>45358.0</v>
      </c>
      <c r="U1005" s="52">
        <v>45362.0</v>
      </c>
      <c r="V1005" s="52">
        <v>45363.0</v>
      </c>
      <c r="W1005" s="30"/>
      <c r="X1005" s="30"/>
      <c r="Y1005" s="31"/>
      <c r="Z1005" s="31"/>
      <c r="AA1005" s="78" t="s">
        <v>94</v>
      </c>
      <c r="AB1005" s="74" t="s">
        <v>3940</v>
      </c>
      <c r="AC1005" s="74"/>
    </row>
    <row r="1006" ht="16.5" customHeight="1">
      <c r="A1006" s="48" t="s">
        <v>3941</v>
      </c>
      <c r="B1006" s="53" t="s">
        <v>3289</v>
      </c>
      <c r="C1006" s="47">
        <v>90.0</v>
      </c>
      <c r="D1006" s="70" t="s">
        <v>3942</v>
      </c>
      <c r="E1006" s="55" t="s">
        <v>91</v>
      </c>
      <c r="F1006" s="32" t="s">
        <v>48</v>
      </c>
      <c r="G1006" s="32" t="s">
        <v>35</v>
      </c>
      <c r="H1006" s="71" t="s">
        <v>35</v>
      </c>
      <c r="I1006" s="71" t="s">
        <v>36</v>
      </c>
      <c r="J1006" s="34" t="s">
        <v>92</v>
      </c>
      <c r="K1006" s="57" t="s">
        <v>38</v>
      </c>
      <c r="L1006" s="72">
        <v>10476.0</v>
      </c>
      <c r="M1006" s="22"/>
      <c r="N1006" s="73"/>
      <c r="O1006" s="28">
        <v>45363.0</v>
      </c>
      <c r="P1006" s="35" t="s">
        <v>3943</v>
      </c>
      <c r="Q1006" s="12"/>
      <c r="R1006" s="12"/>
      <c r="S1006" s="12"/>
      <c r="T1006" s="52">
        <v>45358.0</v>
      </c>
      <c r="U1006" s="52">
        <v>45359.0</v>
      </c>
      <c r="V1006" s="52">
        <v>45359.0</v>
      </c>
      <c r="W1006" s="30"/>
      <c r="X1006" s="30"/>
      <c r="Y1006" s="31"/>
      <c r="Z1006" s="31"/>
      <c r="AA1006" s="78" t="s">
        <v>120</v>
      </c>
      <c r="AB1006" s="74" t="s">
        <v>3944</v>
      </c>
      <c r="AC1006" s="74"/>
    </row>
    <row r="1007" ht="16.5" customHeight="1">
      <c r="A1007" s="48" t="s">
        <v>3945</v>
      </c>
      <c r="B1007" s="53" t="s">
        <v>3183</v>
      </c>
      <c r="C1007" s="47">
        <v>90.0</v>
      </c>
      <c r="D1007" s="70" t="s">
        <v>3946</v>
      </c>
      <c r="E1007" s="55" t="s">
        <v>91</v>
      </c>
      <c r="F1007" s="32" t="s">
        <v>48</v>
      </c>
      <c r="G1007" s="32" t="s">
        <v>35</v>
      </c>
      <c r="H1007" s="71" t="s">
        <v>35</v>
      </c>
      <c r="I1007" s="71" t="s">
        <v>36</v>
      </c>
      <c r="J1007" s="34" t="s">
        <v>92</v>
      </c>
      <c r="K1007" s="57" t="s">
        <v>38</v>
      </c>
      <c r="L1007" s="72">
        <v>10460.0</v>
      </c>
      <c r="M1007" s="22"/>
      <c r="N1007" s="73"/>
      <c r="O1007" s="28">
        <v>45359.0</v>
      </c>
      <c r="P1007" s="35" t="s">
        <v>3947</v>
      </c>
      <c r="Q1007" s="12"/>
      <c r="R1007" s="12"/>
      <c r="S1007" s="12"/>
      <c r="T1007" s="52">
        <v>45358.0</v>
      </c>
      <c r="U1007" s="52">
        <v>45359.0</v>
      </c>
      <c r="V1007" s="52">
        <v>45359.0</v>
      </c>
      <c r="W1007" s="30"/>
      <c r="X1007" s="30"/>
      <c r="Y1007" s="31"/>
      <c r="Z1007" s="31"/>
      <c r="AA1007" s="78" t="s">
        <v>120</v>
      </c>
      <c r="AB1007" s="74" t="s">
        <v>3948</v>
      </c>
      <c r="AC1007" s="74"/>
    </row>
    <row r="1008" ht="16.5" customHeight="1">
      <c r="A1008" s="48" t="s">
        <v>3949</v>
      </c>
      <c r="B1008" s="53" t="s">
        <v>3557</v>
      </c>
      <c r="C1008" s="47">
        <v>90.0</v>
      </c>
      <c r="D1008" s="70" t="s">
        <v>3950</v>
      </c>
      <c r="E1008" s="55" t="s">
        <v>91</v>
      </c>
      <c r="F1008" s="32" t="s">
        <v>48</v>
      </c>
      <c r="G1008" s="32" t="s">
        <v>35</v>
      </c>
      <c r="H1008" s="71" t="s">
        <v>35</v>
      </c>
      <c r="I1008" s="71" t="s">
        <v>36</v>
      </c>
      <c r="J1008" s="34" t="s">
        <v>49</v>
      </c>
      <c r="K1008" s="57" t="s">
        <v>38</v>
      </c>
      <c r="L1008" s="72">
        <v>10465.0</v>
      </c>
      <c r="M1008" s="22"/>
      <c r="N1008" s="73"/>
      <c r="O1008" s="28">
        <v>45362.0</v>
      </c>
      <c r="P1008" s="35" t="s">
        <v>3951</v>
      </c>
      <c r="Q1008" s="12"/>
      <c r="R1008" s="12"/>
      <c r="S1008" s="12"/>
      <c r="T1008" s="52">
        <v>45358.0</v>
      </c>
      <c r="U1008" s="52">
        <v>45359.0</v>
      </c>
      <c r="V1008" s="52">
        <v>45359.0</v>
      </c>
      <c r="W1008" s="30"/>
      <c r="X1008" s="30"/>
      <c r="Y1008" s="31"/>
      <c r="Z1008" s="31"/>
      <c r="AA1008" s="78" t="s">
        <v>127</v>
      </c>
      <c r="AB1008" s="74" t="s">
        <v>3952</v>
      </c>
      <c r="AC1008" s="74"/>
    </row>
    <row r="1009" ht="16.5" customHeight="1">
      <c r="A1009" s="48" t="s">
        <v>3953</v>
      </c>
      <c r="B1009" s="53" t="s">
        <v>3954</v>
      </c>
      <c r="C1009" s="47">
        <v>0.0</v>
      </c>
      <c r="D1009" s="70" t="s">
        <v>3955</v>
      </c>
      <c r="E1009" s="55" t="s">
        <v>338</v>
      </c>
      <c r="F1009" s="32" t="s">
        <v>33</v>
      </c>
      <c r="G1009" s="32" t="s">
        <v>35</v>
      </c>
      <c r="H1009" s="71" t="s">
        <v>35</v>
      </c>
      <c r="I1009" s="71" t="s">
        <v>36</v>
      </c>
      <c r="J1009" s="34" t="s">
        <v>65</v>
      </c>
      <c r="K1009" s="57" t="s">
        <v>38</v>
      </c>
      <c r="L1009" s="72">
        <v>10483.0</v>
      </c>
      <c r="M1009" s="22"/>
      <c r="N1009" s="73"/>
      <c r="O1009" s="28">
        <v>45364.0</v>
      </c>
      <c r="P1009" s="35" t="s">
        <v>3956</v>
      </c>
      <c r="Q1009" s="12"/>
      <c r="R1009" s="12"/>
      <c r="S1009" s="12"/>
      <c r="T1009" s="52">
        <v>45358.0</v>
      </c>
      <c r="U1009" s="52">
        <v>45363.0</v>
      </c>
      <c r="V1009" s="52">
        <v>45363.0</v>
      </c>
      <c r="W1009" s="30"/>
      <c r="X1009" s="30"/>
      <c r="Y1009" s="31"/>
      <c r="Z1009" s="31"/>
      <c r="AA1009" s="78" t="s">
        <v>94</v>
      </c>
      <c r="AB1009" s="74" t="s">
        <v>3957</v>
      </c>
      <c r="AC1009" s="74"/>
    </row>
    <row r="1010" ht="16.5" customHeight="1">
      <c r="A1010" s="48" t="s">
        <v>3958</v>
      </c>
      <c r="B1010" s="53" t="s">
        <v>3959</v>
      </c>
      <c r="C1010" s="47">
        <v>1.0</v>
      </c>
      <c r="D1010" s="70" t="s">
        <v>3960</v>
      </c>
      <c r="E1010" s="55" t="s">
        <v>3395</v>
      </c>
      <c r="F1010" s="32" t="s">
        <v>48</v>
      </c>
      <c r="G1010" s="32" t="s">
        <v>35</v>
      </c>
      <c r="H1010" s="71" t="s">
        <v>35</v>
      </c>
      <c r="I1010" s="71" t="s">
        <v>36</v>
      </c>
      <c r="J1010" s="34" t="s">
        <v>65</v>
      </c>
      <c r="K1010" s="57" t="s">
        <v>38</v>
      </c>
      <c r="L1010" s="72">
        <v>10572.0</v>
      </c>
      <c r="M1010" s="22"/>
      <c r="N1010" s="73"/>
      <c r="O1010" s="28">
        <v>45384.669444444444</v>
      </c>
      <c r="P1010" s="35" t="s">
        <v>3961</v>
      </c>
      <c r="Q1010" s="12"/>
      <c r="R1010" s="12"/>
      <c r="S1010" s="12"/>
      <c r="T1010" s="52">
        <v>45358.0</v>
      </c>
      <c r="U1010" s="52">
        <v>45384.0</v>
      </c>
      <c r="V1010" s="52">
        <v>45384.0</v>
      </c>
      <c r="W1010" s="30"/>
      <c r="X1010" s="30"/>
      <c r="Y1010" s="31"/>
      <c r="Z1010" s="31"/>
      <c r="AA1010" s="78" t="s">
        <v>94</v>
      </c>
      <c r="AB1010" s="74" t="s">
        <v>3962</v>
      </c>
      <c r="AC1010" s="74"/>
    </row>
    <row r="1011" ht="16.5" customHeight="1">
      <c r="A1011" s="48" t="s">
        <v>3963</v>
      </c>
      <c r="B1011" s="53" t="s">
        <v>3964</v>
      </c>
      <c r="C1011" s="47">
        <v>0.0</v>
      </c>
      <c r="D1011" s="70" t="s">
        <v>1922</v>
      </c>
      <c r="E1011" s="55" t="s">
        <v>213</v>
      </c>
      <c r="F1011" s="32" t="s">
        <v>33</v>
      </c>
      <c r="G1011" s="32" t="s">
        <v>35</v>
      </c>
      <c r="H1011" s="71" t="s">
        <v>35</v>
      </c>
      <c r="I1011" s="71" t="s">
        <v>36</v>
      </c>
      <c r="J1011" s="34" t="s">
        <v>49</v>
      </c>
      <c r="K1011" s="57" t="s">
        <v>38</v>
      </c>
      <c r="L1011" s="72">
        <v>10484.0</v>
      </c>
      <c r="M1011" s="22"/>
      <c r="N1011" s="73"/>
      <c r="O1011" s="28">
        <v>45364.0</v>
      </c>
      <c r="P1011" s="35" t="s">
        <v>3965</v>
      </c>
      <c r="Q1011" s="12"/>
      <c r="R1011" s="12"/>
      <c r="S1011" s="12"/>
      <c r="T1011" s="52">
        <v>45358.0</v>
      </c>
      <c r="U1011" s="52">
        <v>45363.0</v>
      </c>
      <c r="V1011" s="52">
        <v>45363.0</v>
      </c>
      <c r="W1011" s="30"/>
      <c r="X1011" s="30"/>
      <c r="Y1011" s="31"/>
      <c r="Z1011" s="31"/>
      <c r="AA1011" s="78" t="s">
        <v>127</v>
      </c>
      <c r="AB1011" s="74" t="s">
        <v>3966</v>
      </c>
      <c r="AC1011" s="74"/>
    </row>
    <row r="1012" ht="16.5" customHeight="1">
      <c r="A1012" s="48" t="s">
        <v>3967</v>
      </c>
      <c r="B1012" s="53" t="s">
        <v>3964</v>
      </c>
      <c r="C1012" s="47">
        <v>0.0</v>
      </c>
      <c r="D1012" s="70" t="s">
        <v>3968</v>
      </c>
      <c r="E1012" s="55" t="s">
        <v>251</v>
      </c>
      <c r="F1012" s="32" t="s">
        <v>33</v>
      </c>
      <c r="G1012" s="32" t="s">
        <v>35</v>
      </c>
      <c r="H1012" s="71" t="s">
        <v>35</v>
      </c>
      <c r="I1012" s="71" t="s">
        <v>36</v>
      </c>
      <c r="J1012" s="34" t="s">
        <v>49</v>
      </c>
      <c r="K1012" s="57" t="s">
        <v>38</v>
      </c>
      <c r="L1012" s="72">
        <v>10484.0</v>
      </c>
      <c r="M1012" s="22"/>
      <c r="N1012" s="73"/>
      <c r="O1012" s="28">
        <v>45364.0</v>
      </c>
      <c r="P1012" s="35" t="s">
        <v>3965</v>
      </c>
      <c r="Q1012" s="12"/>
      <c r="R1012" s="12"/>
      <c r="S1012" s="12"/>
      <c r="T1012" s="52">
        <v>45358.0</v>
      </c>
      <c r="U1012" s="52">
        <v>45363.0</v>
      </c>
      <c r="V1012" s="52">
        <v>45363.0</v>
      </c>
      <c r="W1012" s="30"/>
      <c r="X1012" s="30"/>
      <c r="Y1012" s="31"/>
      <c r="Z1012" s="31"/>
      <c r="AA1012" s="78" t="s">
        <v>127</v>
      </c>
      <c r="AB1012" s="74" t="s">
        <v>3969</v>
      </c>
      <c r="AC1012" s="74"/>
    </row>
    <row r="1013" ht="16.5" customHeight="1">
      <c r="A1013" s="48" t="s">
        <v>3970</v>
      </c>
      <c r="B1013" s="53" t="s">
        <v>3284</v>
      </c>
      <c r="C1013" s="47">
        <v>0.0</v>
      </c>
      <c r="D1013" s="70" t="s">
        <v>3971</v>
      </c>
      <c r="E1013" s="55" t="s">
        <v>79</v>
      </c>
      <c r="F1013" s="32" t="s">
        <v>33</v>
      </c>
      <c r="G1013" s="32" t="s">
        <v>35</v>
      </c>
      <c r="H1013" s="71" t="s">
        <v>35</v>
      </c>
      <c r="I1013" s="71" t="s">
        <v>36</v>
      </c>
      <c r="J1013" s="34" t="s">
        <v>37</v>
      </c>
      <c r="K1013" s="57" t="s">
        <v>1506</v>
      </c>
      <c r="L1013" s="72">
        <v>10485.0</v>
      </c>
      <c r="M1013" s="22"/>
      <c r="N1013" s="73"/>
      <c r="O1013" s="28">
        <v>45364.0</v>
      </c>
      <c r="P1013" s="35" t="s">
        <v>3972</v>
      </c>
      <c r="Q1013" s="12"/>
      <c r="R1013" s="12"/>
      <c r="S1013" s="12"/>
      <c r="T1013" s="52">
        <v>45358.0</v>
      </c>
      <c r="U1013" s="52">
        <v>45362.0</v>
      </c>
      <c r="V1013" s="52">
        <v>45363.0</v>
      </c>
      <c r="W1013" s="30"/>
      <c r="X1013" s="30"/>
      <c r="Y1013" s="31"/>
      <c r="Z1013" s="31"/>
      <c r="AA1013" s="78" t="s">
        <v>3053</v>
      </c>
      <c r="AB1013" s="74" t="s">
        <v>3973</v>
      </c>
      <c r="AC1013" s="74"/>
    </row>
    <row r="1014" ht="16.5" customHeight="1">
      <c r="A1014" s="48" t="s">
        <v>3974</v>
      </c>
      <c r="B1014" s="53" t="s">
        <v>3975</v>
      </c>
      <c r="C1014" s="47">
        <v>137.0</v>
      </c>
      <c r="D1014" s="70" t="s">
        <v>3976</v>
      </c>
      <c r="E1014" s="55" t="s">
        <v>85</v>
      </c>
      <c r="F1014" s="32" t="s">
        <v>48</v>
      </c>
      <c r="G1014" s="32" t="s">
        <v>35</v>
      </c>
      <c r="H1014" s="71" t="s">
        <v>35</v>
      </c>
      <c r="I1014" s="71" t="s">
        <v>36</v>
      </c>
      <c r="J1014" s="34" t="s">
        <v>65</v>
      </c>
      <c r="K1014" s="57" t="s">
        <v>38</v>
      </c>
      <c r="L1014" s="72">
        <v>10481.0</v>
      </c>
      <c r="M1014" s="22"/>
      <c r="N1014" s="73"/>
      <c r="O1014" s="28">
        <v>45364.0</v>
      </c>
      <c r="P1014" s="35" t="s">
        <v>3977</v>
      </c>
      <c r="Q1014" s="12"/>
      <c r="R1014" s="12"/>
      <c r="S1014" s="12"/>
      <c r="T1014" s="52">
        <v>45359.0</v>
      </c>
      <c r="U1014" s="52">
        <v>45363.0</v>
      </c>
      <c r="V1014" s="52">
        <v>45363.0</v>
      </c>
      <c r="W1014" s="30"/>
      <c r="X1014" s="30"/>
      <c r="Y1014" s="31"/>
      <c r="Z1014" s="31"/>
      <c r="AA1014" s="78" t="s">
        <v>94</v>
      </c>
      <c r="AB1014" s="74" t="s">
        <v>3978</v>
      </c>
      <c r="AC1014" s="74"/>
    </row>
    <row r="1015" ht="16.5" customHeight="1">
      <c r="A1015" s="48" t="s">
        <v>3979</v>
      </c>
      <c r="B1015" s="53" t="s">
        <v>3980</v>
      </c>
      <c r="C1015" s="47">
        <v>0.0</v>
      </c>
      <c r="D1015" s="70" t="s">
        <v>3981</v>
      </c>
      <c r="E1015" s="55" t="s">
        <v>79</v>
      </c>
      <c r="F1015" s="32" t="s">
        <v>33</v>
      </c>
      <c r="G1015" s="32" t="s">
        <v>35</v>
      </c>
      <c r="H1015" s="71" t="s">
        <v>35</v>
      </c>
      <c r="I1015" s="71" t="s">
        <v>36</v>
      </c>
      <c r="J1015" s="34" t="s">
        <v>65</v>
      </c>
      <c r="K1015" s="57" t="s">
        <v>38</v>
      </c>
      <c r="L1015" s="72">
        <v>10487.0</v>
      </c>
      <c r="M1015" s="22"/>
      <c r="N1015" s="73"/>
      <c r="O1015" s="28">
        <v>45364.0</v>
      </c>
      <c r="P1015" s="35" t="s">
        <v>3982</v>
      </c>
      <c r="Q1015" s="12"/>
      <c r="R1015" s="12"/>
      <c r="S1015" s="12"/>
      <c r="T1015" s="52">
        <v>45362.0</v>
      </c>
      <c r="U1015" s="52">
        <v>45363.0</v>
      </c>
      <c r="V1015" s="52">
        <v>45363.0</v>
      </c>
      <c r="W1015" s="30"/>
      <c r="X1015" s="30"/>
      <c r="Y1015" s="31"/>
      <c r="Z1015" s="31"/>
      <c r="AA1015" s="78" t="s">
        <v>3059</v>
      </c>
      <c r="AB1015" s="74" t="s">
        <v>3983</v>
      </c>
      <c r="AC1015" s="74"/>
    </row>
    <row r="1016" ht="16.5" customHeight="1">
      <c r="A1016" s="48" t="s">
        <v>3984</v>
      </c>
      <c r="B1016" s="53" t="s">
        <v>3211</v>
      </c>
      <c r="C1016" s="47">
        <v>90.0</v>
      </c>
      <c r="D1016" s="70" t="s">
        <v>3985</v>
      </c>
      <c r="E1016" s="55" t="s">
        <v>91</v>
      </c>
      <c r="F1016" s="32" t="s">
        <v>48</v>
      </c>
      <c r="G1016" s="32" t="s">
        <v>35</v>
      </c>
      <c r="H1016" s="71" t="s">
        <v>35</v>
      </c>
      <c r="I1016" s="71" t="s">
        <v>36</v>
      </c>
      <c r="J1016" s="34" t="s">
        <v>92</v>
      </c>
      <c r="K1016" s="57" t="s">
        <v>38</v>
      </c>
      <c r="L1016" s="72">
        <v>10496.0</v>
      </c>
      <c r="M1016" s="22"/>
      <c r="N1016" s="73"/>
      <c r="O1016" s="28">
        <v>45384.64861111111</v>
      </c>
      <c r="P1016" s="35" t="s">
        <v>3986</v>
      </c>
      <c r="Q1016" s="12"/>
      <c r="R1016" s="12"/>
      <c r="S1016" s="12"/>
      <c r="T1016" s="52">
        <v>45362.0</v>
      </c>
      <c r="U1016" s="52">
        <v>45363.0</v>
      </c>
      <c r="V1016" s="52">
        <v>45363.0</v>
      </c>
      <c r="W1016" s="30"/>
      <c r="X1016" s="30"/>
      <c r="Y1016" s="31"/>
      <c r="Z1016" s="31"/>
      <c r="AA1016" s="78" t="s">
        <v>120</v>
      </c>
      <c r="AB1016" s="74" t="s">
        <v>3987</v>
      </c>
      <c r="AC1016" s="74"/>
    </row>
    <row r="1017" ht="16.5" customHeight="1">
      <c r="A1017" s="48" t="s">
        <v>3988</v>
      </c>
      <c r="B1017" s="53" t="s">
        <v>3211</v>
      </c>
      <c r="C1017" s="47">
        <v>137.0</v>
      </c>
      <c r="D1017" s="70" t="s">
        <v>3989</v>
      </c>
      <c r="E1017" s="55" t="s">
        <v>85</v>
      </c>
      <c r="F1017" s="32" t="s">
        <v>48</v>
      </c>
      <c r="G1017" s="32" t="s">
        <v>35</v>
      </c>
      <c r="H1017" s="71" t="s">
        <v>35</v>
      </c>
      <c r="I1017" s="71" t="s">
        <v>36</v>
      </c>
      <c r="J1017" s="34" t="s">
        <v>92</v>
      </c>
      <c r="K1017" s="57" t="s">
        <v>38</v>
      </c>
      <c r="L1017" s="72">
        <v>10486.0</v>
      </c>
      <c r="M1017" s="22"/>
      <c r="N1017" s="73"/>
      <c r="O1017" s="28">
        <v>45384.64791666667</v>
      </c>
      <c r="P1017" s="35" t="s">
        <v>3990</v>
      </c>
      <c r="Q1017" s="12"/>
      <c r="R1017" s="12"/>
      <c r="S1017" s="12"/>
      <c r="T1017" s="52">
        <v>45362.0</v>
      </c>
      <c r="U1017" s="52">
        <v>45363.0</v>
      </c>
      <c r="V1017" s="52">
        <v>45363.0</v>
      </c>
      <c r="W1017" s="30"/>
      <c r="X1017" s="30"/>
      <c r="Y1017" s="31"/>
      <c r="Z1017" s="31"/>
      <c r="AA1017" s="78" t="s">
        <v>120</v>
      </c>
      <c r="AB1017" s="74" t="s">
        <v>3991</v>
      </c>
      <c r="AC1017" s="74"/>
    </row>
    <row r="1018" ht="16.5" customHeight="1">
      <c r="A1018" s="48" t="s">
        <v>3992</v>
      </c>
      <c r="B1018" s="53" t="s">
        <v>3097</v>
      </c>
      <c r="C1018" s="47">
        <v>0.0</v>
      </c>
      <c r="D1018" s="70" t="s">
        <v>3993</v>
      </c>
      <c r="E1018" s="55" t="s">
        <v>2106</v>
      </c>
      <c r="F1018" s="32" t="s">
        <v>244</v>
      </c>
      <c r="G1018" s="32" t="s">
        <v>35</v>
      </c>
      <c r="H1018" s="71" t="s">
        <v>35</v>
      </c>
      <c r="I1018" s="71" t="s">
        <v>36</v>
      </c>
      <c r="J1018" s="34" t="s">
        <v>49</v>
      </c>
      <c r="K1018" s="57" t="s">
        <v>38</v>
      </c>
      <c r="L1018" s="72">
        <v>10493.0</v>
      </c>
      <c r="M1018" s="22"/>
      <c r="N1018" s="73"/>
      <c r="O1018" s="28">
        <v>45365.0</v>
      </c>
      <c r="P1018" s="35" t="s">
        <v>3994</v>
      </c>
      <c r="Q1018" s="12"/>
      <c r="R1018" s="12"/>
      <c r="S1018" s="12"/>
      <c r="T1018" s="52">
        <v>45362.0</v>
      </c>
      <c r="U1018" s="52">
        <v>45363.0</v>
      </c>
      <c r="V1018" s="52">
        <v>45364.0</v>
      </c>
      <c r="W1018" s="30"/>
      <c r="X1018" s="30"/>
      <c r="Y1018" s="31"/>
      <c r="Z1018" s="31"/>
      <c r="AA1018" s="78" t="s">
        <v>127</v>
      </c>
      <c r="AB1018" s="74" t="s">
        <v>3995</v>
      </c>
      <c r="AC1018" s="74"/>
    </row>
    <row r="1019" ht="16.5" customHeight="1">
      <c r="A1019" s="48" t="s">
        <v>3996</v>
      </c>
      <c r="B1019" s="53" t="s">
        <v>3997</v>
      </c>
      <c r="C1019" s="47">
        <v>11.0</v>
      </c>
      <c r="D1019" s="70" t="s">
        <v>3998</v>
      </c>
      <c r="E1019" s="55" t="s">
        <v>112</v>
      </c>
      <c r="F1019" s="32" t="s">
        <v>48</v>
      </c>
      <c r="G1019" s="32" t="s">
        <v>35</v>
      </c>
      <c r="H1019" s="71" t="s">
        <v>35</v>
      </c>
      <c r="I1019" s="71" t="s">
        <v>36</v>
      </c>
      <c r="J1019" s="34" t="s">
        <v>49</v>
      </c>
      <c r="K1019" s="57" t="s">
        <v>38</v>
      </c>
      <c r="L1019" s="72">
        <v>10509.0</v>
      </c>
      <c r="M1019" s="22"/>
      <c r="N1019" s="73"/>
      <c r="O1019" s="28">
        <v>45370.0</v>
      </c>
      <c r="P1019" s="35" t="s">
        <v>3999</v>
      </c>
      <c r="Q1019" s="12"/>
      <c r="R1019" s="12"/>
      <c r="S1019" s="12"/>
      <c r="T1019" s="52">
        <v>45362.0</v>
      </c>
      <c r="U1019" s="52">
        <v>45366.0</v>
      </c>
      <c r="V1019" s="52">
        <v>45370.0</v>
      </c>
      <c r="W1019" s="30"/>
      <c r="X1019" s="30"/>
      <c r="Y1019" s="31"/>
      <c r="Z1019" s="31"/>
      <c r="AA1019" s="78" t="s">
        <v>127</v>
      </c>
      <c r="AB1019" s="74" t="s">
        <v>4000</v>
      </c>
      <c r="AC1019" s="74"/>
    </row>
    <row r="1020" ht="16.5" customHeight="1">
      <c r="A1020" s="48" t="s">
        <v>4001</v>
      </c>
      <c r="B1020" s="53" t="s">
        <v>2146</v>
      </c>
      <c r="C1020" s="47">
        <v>0.0</v>
      </c>
      <c r="D1020" s="70" t="s">
        <v>1107</v>
      </c>
      <c r="E1020" s="55" t="s">
        <v>289</v>
      </c>
      <c r="F1020" s="32" t="s">
        <v>33</v>
      </c>
      <c r="G1020" s="32" t="s">
        <v>34</v>
      </c>
      <c r="H1020" s="71" t="s">
        <v>35</v>
      </c>
      <c r="I1020" s="71" t="s">
        <v>36</v>
      </c>
      <c r="J1020" s="34" t="s">
        <v>65</v>
      </c>
      <c r="K1020" s="57" t="s">
        <v>38</v>
      </c>
      <c r="L1020" s="72">
        <v>12545.0</v>
      </c>
      <c r="M1020" s="22" t="s">
        <v>50</v>
      </c>
      <c r="N1020" s="35" t="s">
        <v>3461</v>
      </c>
      <c r="O1020" s="28">
        <v>45688.70071759259</v>
      </c>
      <c r="P1020" s="35" t="s">
        <v>4002</v>
      </c>
      <c r="Q1020" s="14" t="s">
        <v>67</v>
      </c>
      <c r="R1020" s="14" t="s">
        <v>67</v>
      </c>
      <c r="S1020" s="14" t="s">
        <v>101</v>
      </c>
      <c r="T1020" s="52">
        <v>45645.455717592595</v>
      </c>
      <c r="U1020" s="52">
        <v>45645.45563657407</v>
      </c>
      <c r="V1020" s="52">
        <v>45685.80334490741</v>
      </c>
      <c r="W1020" s="30"/>
      <c r="X1020" s="14" t="s">
        <v>2149</v>
      </c>
      <c r="Y1020" s="31"/>
      <c r="Z1020" s="31"/>
      <c r="AA1020" s="78" t="s">
        <v>3059</v>
      </c>
      <c r="AB1020" s="74" t="s">
        <v>4003</v>
      </c>
      <c r="AC1020" s="74"/>
    </row>
    <row r="1021" ht="16.5" customHeight="1">
      <c r="A1021" s="48" t="s">
        <v>4004</v>
      </c>
      <c r="B1021" s="53" t="s">
        <v>4005</v>
      </c>
      <c r="C1021" s="47">
        <v>0.0</v>
      </c>
      <c r="D1021" s="70" t="s">
        <v>4006</v>
      </c>
      <c r="E1021" s="55" t="s">
        <v>713</v>
      </c>
      <c r="F1021" s="32" t="s">
        <v>33</v>
      </c>
      <c r="G1021" s="32" t="s">
        <v>35</v>
      </c>
      <c r="H1021" s="71" t="s">
        <v>35</v>
      </c>
      <c r="I1021" s="71" t="s">
        <v>36</v>
      </c>
      <c r="J1021" s="34" t="s">
        <v>65</v>
      </c>
      <c r="K1021" s="57" t="s">
        <v>38</v>
      </c>
      <c r="L1021" s="72">
        <v>10507.0</v>
      </c>
      <c r="M1021" s="22"/>
      <c r="N1021" s="73"/>
      <c r="O1021" s="28">
        <v>45369.0</v>
      </c>
      <c r="P1021" s="35" t="s">
        <v>4007</v>
      </c>
      <c r="Q1021" s="12"/>
      <c r="R1021" s="12"/>
      <c r="S1021" s="12"/>
      <c r="T1021" s="52">
        <v>45362.0</v>
      </c>
      <c r="U1021" s="52">
        <v>45364.0</v>
      </c>
      <c r="V1021" s="52">
        <v>45366.0</v>
      </c>
      <c r="W1021" s="30"/>
      <c r="X1021" s="30"/>
      <c r="Y1021" s="31"/>
      <c r="Z1021" s="31"/>
      <c r="AA1021" s="31"/>
      <c r="AB1021" s="74" t="s">
        <v>4008</v>
      </c>
      <c r="AC1021" s="74"/>
    </row>
    <row r="1022" ht="16.5" customHeight="1">
      <c r="A1022" s="48" t="s">
        <v>4009</v>
      </c>
      <c r="B1022" s="53" t="s">
        <v>4005</v>
      </c>
      <c r="C1022" s="47">
        <v>0.0</v>
      </c>
      <c r="D1022" s="70" t="s">
        <v>4010</v>
      </c>
      <c r="E1022" s="55" t="s">
        <v>2205</v>
      </c>
      <c r="F1022" s="32" t="s">
        <v>33</v>
      </c>
      <c r="G1022" s="32" t="s">
        <v>35</v>
      </c>
      <c r="H1022" s="71" t="s">
        <v>35</v>
      </c>
      <c r="I1022" s="71" t="s">
        <v>36</v>
      </c>
      <c r="J1022" s="34" t="s">
        <v>65</v>
      </c>
      <c r="K1022" s="57" t="s">
        <v>38</v>
      </c>
      <c r="L1022" s="72">
        <v>10507.0</v>
      </c>
      <c r="M1022" s="22"/>
      <c r="N1022" s="73"/>
      <c r="O1022" s="28">
        <v>45369.0</v>
      </c>
      <c r="P1022" s="35" t="s">
        <v>4007</v>
      </c>
      <c r="Q1022" s="12"/>
      <c r="R1022" s="12"/>
      <c r="S1022" s="12"/>
      <c r="T1022" s="52">
        <v>45362.0</v>
      </c>
      <c r="U1022" s="52">
        <v>45364.0</v>
      </c>
      <c r="V1022" s="52">
        <v>45364.0</v>
      </c>
      <c r="W1022" s="30"/>
      <c r="X1022" s="30"/>
      <c r="Y1022" s="31"/>
      <c r="Z1022" s="31"/>
      <c r="AA1022" s="31"/>
      <c r="AB1022" s="74" t="s">
        <v>4011</v>
      </c>
      <c r="AC1022" s="74"/>
    </row>
    <row r="1023" ht="16.5" customHeight="1">
      <c r="A1023" s="48" t="s">
        <v>4012</v>
      </c>
      <c r="B1023" s="53" t="s">
        <v>4005</v>
      </c>
      <c r="C1023" s="47">
        <v>0.0</v>
      </c>
      <c r="D1023" s="70" t="s">
        <v>4013</v>
      </c>
      <c r="E1023" s="55" t="s">
        <v>2205</v>
      </c>
      <c r="F1023" s="32" t="s">
        <v>33</v>
      </c>
      <c r="G1023" s="32" t="s">
        <v>35</v>
      </c>
      <c r="H1023" s="71" t="s">
        <v>35</v>
      </c>
      <c r="I1023" s="71" t="s">
        <v>36</v>
      </c>
      <c r="J1023" s="34" t="s">
        <v>65</v>
      </c>
      <c r="K1023" s="57" t="s">
        <v>38</v>
      </c>
      <c r="L1023" s="72">
        <v>10507.0</v>
      </c>
      <c r="M1023" s="22"/>
      <c r="N1023" s="73"/>
      <c r="O1023" s="28">
        <v>45369.0</v>
      </c>
      <c r="P1023" s="35" t="s">
        <v>4007</v>
      </c>
      <c r="Q1023" s="12"/>
      <c r="R1023" s="12"/>
      <c r="S1023" s="12"/>
      <c r="T1023" s="52">
        <v>45362.0</v>
      </c>
      <c r="U1023" s="52">
        <v>45364.0</v>
      </c>
      <c r="V1023" s="52">
        <v>45364.0</v>
      </c>
      <c r="W1023" s="30"/>
      <c r="X1023" s="30"/>
      <c r="Y1023" s="31"/>
      <c r="Z1023" s="31"/>
      <c r="AA1023" s="31"/>
      <c r="AB1023" s="74" t="s">
        <v>4014</v>
      </c>
      <c r="AC1023" s="74"/>
    </row>
    <row r="1024" ht="16.5" customHeight="1">
      <c r="A1024" s="48" t="s">
        <v>4015</v>
      </c>
      <c r="B1024" s="53" t="s">
        <v>4016</v>
      </c>
      <c r="C1024" s="47">
        <v>90.0</v>
      </c>
      <c r="D1024" s="70" t="s">
        <v>4017</v>
      </c>
      <c r="E1024" s="55" t="s">
        <v>91</v>
      </c>
      <c r="F1024" s="32" t="s">
        <v>48</v>
      </c>
      <c r="G1024" s="32" t="s">
        <v>35</v>
      </c>
      <c r="H1024" s="71" t="s">
        <v>35</v>
      </c>
      <c r="I1024" s="71" t="s">
        <v>36</v>
      </c>
      <c r="J1024" s="34" t="s">
        <v>65</v>
      </c>
      <c r="K1024" s="57" t="s">
        <v>38</v>
      </c>
      <c r="L1024" s="72">
        <v>10506.0</v>
      </c>
      <c r="M1024" s="22"/>
      <c r="N1024" s="73"/>
      <c r="O1024" s="28">
        <v>45369.0</v>
      </c>
      <c r="P1024" s="35" t="s">
        <v>4018</v>
      </c>
      <c r="Q1024" s="12"/>
      <c r="R1024" s="12"/>
      <c r="S1024" s="12"/>
      <c r="T1024" s="52">
        <v>45362.0</v>
      </c>
      <c r="U1024" s="52">
        <v>45366.0</v>
      </c>
      <c r="V1024" s="52">
        <v>45369.0</v>
      </c>
      <c r="W1024" s="30"/>
      <c r="X1024" s="30"/>
      <c r="Y1024" s="31"/>
      <c r="Z1024" s="31"/>
      <c r="AA1024" s="78" t="s">
        <v>3059</v>
      </c>
      <c r="AB1024" s="74" t="s">
        <v>4019</v>
      </c>
      <c r="AC1024" s="74"/>
    </row>
    <row r="1025" ht="16.5" customHeight="1">
      <c r="A1025" s="48" t="s">
        <v>4020</v>
      </c>
      <c r="B1025" s="53" t="s">
        <v>725</v>
      </c>
      <c r="C1025" s="47">
        <v>137.0</v>
      </c>
      <c r="D1025" s="70" t="s">
        <v>4021</v>
      </c>
      <c r="E1025" s="55" t="s">
        <v>85</v>
      </c>
      <c r="F1025" s="32" t="s">
        <v>48</v>
      </c>
      <c r="G1025" s="32" t="s">
        <v>35</v>
      </c>
      <c r="H1025" s="71" t="s">
        <v>35</v>
      </c>
      <c r="I1025" s="71" t="s">
        <v>36</v>
      </c>
      <c r="J1025" s="34" t="s">
        <v>203</v>
      </c>
      <c r="K1025" s="57" t="s">
        <v>38</v>
      </c>
      <c r="L1025" s="72">
        <v>10489.0</v>
      </c>
      <c r="M1025" s="22"/>
      <c r="N1025" s="73"/>
      <c r="O1025" s="28">
        <v>45364.0</v>
      </c>
      <c r="P1025" s="35" t="s">
        <v>4022</v>
      </c>
      <c r="Q1025" s="12"/>
      <c r="R1025" s="12"/>
      <c r="S1025" s="12"/>
      <c r="T1025" s="52">
        <v>45363.0</v>
      </c>
      <c r="U1025" s="52">
        <v>45364.0</v>
      </c>
      <c r="V1025" s="52">
        <v>45364.0</v>
      </c>
      <c r="W1025" s="30"/>
      <c r="X1025" s="30"/>
      <c r="Y1025" s="31"/>
      <c r="Z1025" s="31"/>
      <c r="AA1025" s="78" t="s">
        <v>102</v>
      </c>
      <c r="AB1025" s="74" t="s">
        <v>4023</v>
      </c>
      <c r="AC1025" s="74"/>
    </row>
    <row r="1026" ht="16.5" customHeight="1">
      <c r="A1026" s="48" t="s">
        <v>4024</v>
      </c>
      <c r="B1026" s="53" t="s">
        <v>4025</v>
      </c>
      <c r="C1026" s="47">
        <v>137.0</v>
      </c>
      <c r="D1026" s="70" t="s">
        <v>4026</v>
      </c>
      <c r="E1026" s="55" t="s">
        <v>85</v>
      </c>
      <c r="F1026" s="32" t="s">
        <v>48</v>
      </c>
      <c r="G1026" s="32" t="s">
        <v>35</v>
      </c>
      <c r="H1026" s="71" t="s">
        <v>35</v>
      </c>
      <c r="I1026" s="71" t="s">
        <v>36</v>
      </c>
      <c r="J1026" s="34" t="s">
        <v>258</v>
      </c>
      <c r="K1026" s="57" t="s">
        <v>38</v>
      </c>
      <c r="L1026" s="72">
        <v>10494.0</v>
      </c>
      <c r="M1026" s="22"/>
      <c r="N1026" s="73"/>
      <c r="O1026" s="28">
        <v>45365.0</v>
      </c>
      <c r="P1026" s="35" t="s">
        <v>4027</v>
      </c>
      <c r="Q1026" s="12"/>
      <c r="R1026" s="12"/>
      <c r="S1026" s="12"/>
      <c r="T1026" s="52">
        <v>45363.0</v>
      </c>
      <c r="U1026" s="52">
        <v>45364.0</v>
      </c>
      <c r="V1026" s="52">
        <v>45364.0</v>
      </c>
      <c r="W1026" s="30"/>
      <c r="X1026" s="30"/>
      <c r="Y1026" s="31"/>
      <c r="Z1026" s="31"/>
      <c r="AA1026" s="78" t="s">
        <v>120</v>
      </c>
      <c r="AB1026" s="74" t="s">
        <v>4028</v>
      </c>
      <c r="AC1026" s="74"/>
    </row>
    <row r="1027" ht="16.5" customHeight="1">
      <c r="A1027" s="48" t="s">
        <v>4029</v>
      </c>
      <c r="B1027" s="53" t="s">
        <v>4025</v>
      </c>
      <c r="C1027" s="47">
        <v>0.0</v>
      </c>
      <c r="D1027" s="70" t="s">
        <v>4030</v>
      </c>
      <c r="E1027" s="55" t="s">
        <v>3441</v>
      </c>
      <c r="F1027" s="32" t="s">
        <v>48</v>
      </c>
      <c r="G1027" s="32" t="s">
        <v>35</v>
      </c>
      <c r="H1027" s="71" t="s">
        <v>35</v>
      </c>
      <c r="I1027" s="71" t="s">
        <v>36</v>
      </c>
      <c r="J1027" s="34" t="s">
        <v>420</v>
      </c>
      <c r="K1027" s="57" t="s">
        <v>38</v>
      </c>
      <c r="L1027" s="72">
        <v>10833.0</v>
      </c>
      <c r="M1027" s="22" t="s">
        <v>50</v>
      </c>
      <c r="N1027" s="35" t="s">
        <v>4031</v>
      </c>
      <c r="O1027" s="28">
        <v>45436.577060185184</v>
      </c>
      <c r="P1027" s="35" t="s">
        <v>4032</v>
      </c>
      <c r="Q1027" s="12"/>
      <c r="R1027" s="12"/>
      <c r="S1027" s="12"/>
      <c r="T1027" s="52">
        <v>45363.0</v>
      </c>
      <c r="U1027" s="52">
        <v>45433.577060185184</v>
      </c>
      <c r="V1027" s="52">
        <v>45435.574895833335</v>
      </c>
      <c r="W1027" s="30"/>
      <c r="X1027" s="30"/>
      <c r="Y1027" s="31"/>
      <c r="Z1027" s="31"/>
      <c r="AA1027" s="78" t="s">
        <v>120</v>
      </c>
      <c r="AB1027" s="74" t="s">
        <v>4033</v>
      </c>
      <c r="AC1027" s="74"/>
    </row>
    <row r="1028" ht="16.5" customHeight="1">
      <c r="A1028" s="48" t="s">
        <v>4034</v>
      </c>
      <c r="B1028" s="53" t="s">
        <v>4035</v>
      </c>
      <c r="C1028" s="47">
        <v>90.0</v>
      </c>
      <c r="D1028" s="70" t="s">
        <v>4036</v>
      </c>
      <c r="E1028" s="55" t="s">
        <v>91</v>
      </c>
      <c r="F1028" s="32" t="s">
        <v>48</v>
      </c>
      <c r="G1028" s="32" t="s">
        <v>35</v>
      </c>
      <c r="H1028" s="71" t="s">
        <v>35</v>
      </c>
      <c r="I1028" s="71" t="s">
        <v>36</v>
      </c>
      <c r="J1028" s="34" t="s">
        <v>65</v>
      </c>
      <c r="K1028" s="57" t="s">
        <v>38</v>
      </c>
      <c r="L1028" s="72">
        <v>10517.0</v>
      </c>
      <c r="M1028" s="22"/>
      <c r="N1028" s="73"/>
      <c r="O1028" s="28">
        <v>45371.0</v>
      </c>
      <c r="P1028" s="35" t="s">
        <v>4037</v>
      </c>
      <c r="Q1028" s="12"/>
      <c r="R1028" s="12"/>
      <c r="S1028" s="12"/>
      <c r="T1028" s="52">
        <v>45363.0</v>
      </c>
      <c r="U1028" s="52">
        <v>45366.0</v>
      </c>
      <c r="V1028" s="52">
        <v>45366.0</v>
      </c>
      <c r="W1028" s="30"/>
      <c r="X1028" s="30"/>
      <c r="Y1028" s="31"/>
      <c r="Z1028" s="31"/>
      <c r="AA1028" s="31"/>
      <c r="AB1028" s="74" t="s">
        <v>4038</v>
      </c>
      <c r="AC1028" s="74"/>
    </row>
    <row r="1029" ht="16.5" customHeight="1">
      <c r="A1029" s="48" t="s">
        <v>4039</v>
      </c>
      <c r="B1029" s="53" t="s">
        <v>3211</v>
      </c>
      <c r="C1029" s="47">
        <v>90.0</v>
      </c>
      <c r="D1029" s="70" t="s">
        <v>4040</v>
      </c>
      <c r="E1029" s="55" t="s">
        <v>91</v>
      </c>
      <c r="F1029" s="32" t="s">
        <v>48</v>
      </c>
      <c r="G1029" s="32" t="s">
        <v>35</v>
      </c>
      <c r="H1029" s="71" t="s">
        <v>35</v>
      </c>
      <c r="I1029" s="71" t="s">
        <v>36</v>
      </c>
      <c r="J1029" s="34" t="s">
        <v>92</v>
      </c>
      <c r="K1029" s="57" t="s">
        <v>38</v>
      </c>
      <c r="L1029" s="72">
        <v>10492.0</v>
      </c>
      <c r="M1029" s="22"/>
      <c r="N1029" s="73"/>
      <c r="O1029" s="28">
        <v>45384.64861111111</v>
      </c>
      <c r="P1029" s="35" t="s">
        <v>4041</v>
      </c>
      <c r="Q1029" s="12"/>
      <c r="R1029" s="12"/>
      <c r="S1029" s="12"/>
      <c r="T1029" s="52">
        <v>45363.0</v>
      </c>
      <c r="U1029" s="52">
        <v>45364.0</v>
      </c>
      <c r="V1029" s="52">
        <v>45364.0</v>
      </c>
      <c r="W1029" s="30"/>
      <c r="X1029" s="30"/>
      <c r="Y1029" s="31"/>
      <c r="Z1029" s="31"/>
      <c r="AA1029" s="78" t="s">
        <v>120</v>
      </c>
      <c r="AB1029" s="74" t="s">
        <v>4042</v>
      </c>
      <c r="AC1029" s="74"/>
    </row>
    <row r="1030" ht="16.5" customHeight="1">
      <c r="A1030" s="48" t="s">
        <v>4043</v>
      </c>
      <c r="B1030" s="53" t="s">
        <v>4044</v>
      </c>
      <c r="C1030" s="47">
        <v>137.0</v>
      </c>
      <c r="D1030" s="70" t="s">
        <v>4045</v>
      </c>
      <c r="E1030" s="55" t="s">
        <v>85</v>
      </c>
      <c r="F1030" s="32" t="s">
        <v>48</v>
      </c>
      <c r="G1030" s="32" t="s">
        <v>35</v>
      </c>
      <c r="H1030" s="71" t="s">
        <v>35</v>
      </c>
      <c r="I1030" s="71" t="s">
        <v>36</v>
      </c>
      <c r="J1030" s="34" t="s">
        <v>65</v>
      </c>
      <c r="K1030" s="57" t="s">
        <v>38</v>
      </c>
      <c r="L1030" s="72">
        <v>10503.0</v>
      </c>
      <c r="M1030" s="22"/>
      <c r="N1030" s="73"/>
      <c r="O1030" s="28">
        <v>45366.0</v>
      </c>
      <c r="P1030" s="35" t="s">
        <v>4046</v>
      </c>
      <c r="Q1030" s="12"/>
      <c r="R1030" s="12"/>
      <c r="S1030" s="12"/>
      <c r="T1030" s="52">
        <v>45363.0</v>
      </c>
      <c r="U1030" s="52">
        <v>45364.0</v>
      </c>
      <c r="V1030" s="52">
        <v>45366.0</v>
      </c>
      <c r="W1030" s="30"/>
      <c r="X1030" s="30"/>
      <c r="Y1030" s="31"/>
      <c r="Z1030" s="31"/>
      <c r="AA1030" s="78" t="s">
        <v>120</v>
      </c>
      <c r="AB1030" s="74" t="s">
        <v>4047</v>
      </c>
      <c r="AC1030" s="74"/>
    </row>
    <row r="1031" ht="16.5" customHeight="1">
      <c r="A1031" s="48" t="s">
        <v>4048</v>
      </c>
      <c r="B1031" s="53" t="s">
        <v>4049</v>
      </c>
      <c r="C1031" s="47">
        <v>90.0</v>
      </c>
      <c r="D1031" s="70" t="s">
        <v>4050</v>
      </c>
      <c r="E1031" s="55" t="s">
        <v>91</v>
      </c>
      <c r="F1031" s="32" t="s">
        <v>48</v>
      </c>
      <c r="G1031" s="32" t="s">
        <v>35</v>
      </c>
      <c r="H1031" s="71" t="s">
        <v>35</v>
      </c>
      <c r="I1031" s="71" t="s">
        <v>36</v>
      </c>
      <c r="J1031" s="34" t="s">
        <v>65</v>
      </c>
      <c r="K1031" s="57" t="s">
        <v>38</v>
      </c>
      <c r="L1031" s="72">
        <v>10495.0</v>
      </c>
      <c r="M1031" s="22"/>
      <c r="N1031" s="73"/>
      <c r="O1031" s="28">
        <v>45365.0</v>
      </c>
      <c r="P1031" s="35" t="s">
        <v>4051</v>
      </c>
      <c r="Q1031" s="12"/>
      <c r="R1031" s="12"/>
      <c r="S1031" s="12"/>
      <c r="T1031" s="52">
        <v>45363.0</v>
      </c>
      <c r="U1031" s="52">
        <v>45364.0</v>
      </c>
      <c r="V1031" s="52">
        <v>45364.0</v>
      </c>
      <c r="W1031" s="30"/>
      <c r="X1031" s="30"/>
      <c r="Y1031" s="31"/>
      <c r="Z1031" s="31"/>
      <c r="AA1031" s="78" t="s">
        <v>94</v>
      </c>
      <c r="AB1031" s="74" t="s">
        <v>4052</v>
      </c>
      <c r="AC1031" s="74"/>
    </row>
    <row r="1032" ht="16.5" customHeight="1">
      <c r="A1032" s="48" t="s">
        <v>4053</v>
      </c>
      <c r="B1032" s="53" t="s">
        <v>96</v>
      </c>
      <c r="C1032" s="47">
        <v>0.0</v>
      </c>
      <c r="D1032" s="70"/>
      <c r="E1032" s="55" t="s">
        <v>165</v>
      </c>
      <c r="F1032" s="32" t="s">
        <v>33</v>
      </c>
      <c r="G1032" s="32" t="s">
        <v>34</v>
      </c>
      <c r="H1032" s="71" t="s">
        <v>35</v>
      </c>
      <c r="I1032" s="71" t="s">
        <v>984</v>
      </c>
      <c r="J1032" s="34" t="s">
        <v>49</v>
      </c>
      <c r="K1032" s="57" t="s">
        <v>38</v>
      </c>
      <c r="L1032" s="72"/>
      <c r="M1032" s="22"/>
      <c r="N1032" s="26"/>
      <c r="O1032" s="28"/>
      <c r="P1032" s="35" t="s">
        <v>4054</v>
      </c>
      <c r="Q1032" s="12"/>
      <c r="R1032" s="12"/>
      <c r="S1032" s="12"/>
      <c r="T1032" s="52">
        <v>45363.0</v>
      </c>
      <c r="U1032" s="29"/>
      <c r="V1032" s="29"/>
      <c r="W1032" s="30"/>
      <c r="X1032" s="30"/>
      <c r="Y1032" s="31"/>
      <c r="Z1032" s="31"/>
      <c r="AA1032" s="78" t="s">
        <v>102</v>
      </c>
      <c r="AB1032" s="74" t="s">
        <v>4055</v>
      </c>
      <c r="AC1032" s="74"/>
    </row>
    <row r="1033" ht="16.5" customHeight="1">
      <c r="A1033" s="48" t="s">
        <v>4056</v>
      </c>
      <c r="B1033" s="53" t="s">
        <v>96</v>
      </c>
      <c r="C1033" s="47">
        <v>0.0</v>
      </c>
      <c r="D1033" s="70"/>
      <c r="E1033" s="55" t="s">
        <v>165</v>
      </c>
      <c r="F1033" s="32" t="s">
        <v>33</v>
      </c>
      <c r="G1033" s="32" t="s">
        <v>34</v>
      </c>
      <c r="H1033" s="71" t="s">
        <v>35</v>
      </c>
      <c r="I1033" s="71" t="s">
        <v>984</v>
      </c>
      <c r="J1033" s="34" t="s">
        <v>49</v>
      </c>
      <c r="K1033" s="57" t="s">
        <v>38</v>
      </c>
      <c r="L1033" s="72"/>
      <c r="M1033" s="22"/>
      <c r="N1033" s="26"/>
      <c r="O1033" s="28"/>
      <c r="P1033" s="35" t="s">
        <v>4054</v>
      </c>
      <c r="Q1033" s="12"/>
      <c r="R1033" s="12"/>
      <c r="S1033" s="12"/>
      <c r="T1033" s="52">
        <v>45363.0</v>
      </c>
      <c r="U1033" s="29"/>
      <c r="V1033" s="29"/>
      <c r="W1033" s="30"/>
      <c r="X1033" s="30"/>
      <c r="Y1033" s="31"/>
      <c r="Z1033" s="31"/>
      <c r="AA1033" s="78" t="s">
        <v>102</v>
      </c>
      <c r="AB1033" s="74" t="s">
        <v>4057</v>
      </c>
      <c r="AC1033" s="74"/>
    </row>
    <row r="1034" ht="16.5" customHeight="1">
      <c r="A1034" s="48" t="s">
        <v>4058</v>
      </c>
      <c r="B1034" s="53" t="s">
        <v>96</v>
      </c>
      <c r="C1034" s="47">
        <v>0.0</v>
      </c>
      <c r="D1034" s="70" t="s">
        <v>983</v>
      </c>
      <c r="E1034" s="55" t="s">
        <v>268</v>
      </c>
      <c r="F1034" s="32" t="s">
        <v>33</v>
      </c>
      <c r="G1034" s="32" t="s">
        <v>34</v>
      </c>
      <c r="H1034" s="71" t="s">
        <v>35</v>
      </c>
      <c r="I1034" s="71" t="s">
        <v>984</v>
      </c>
      <c r="J1034" s="34" t="s">
        <v>49</v>
      </c>
      <c r="K1034" s="57" t="s">
        <v>38</v>
      </c>
      <c r="L1034" s="72"/>
      <c r="M1034" s="22"/>
      <c r="N1034" s="26"/>
      <c r="O1034" s="28"/>
      <c r="P1034" s="35" t="s">
        <v>4054</v>
      </c>
      <c r="Q1034" s="12"/>
      <c r="R1034" s="12"/>
      <c r="S1034" s="12"/>
      <c r="T1034" s="52">
        <v>45363.0</v>
      </c>
      <c r="U1034" s="29"/>
      <c r="V1034" s="29"/>
      <c r="W1034" s="30"/>
      <c r="X1034" s="30"/>
      <c r="Y1034" s="31"/>
      <c r="Z1034" s="31"/>
      <c r="AA1034" s="78" t="s">
        <v>102</v>
      </c>
      <c r="AB1034" s="74" t="s">
        <v>4059</v>
      </c>
      <c r="AC1034" s="74"/>
    </row>
    <row r="1035" ht="16.5" customHeight="1">
      <c r="A1035" s="48" t="s">
        <v>4060</v>
      </c>
      <c r="B1035" s="53" t="s">
        <v>96</v>
      </c>
      <c r="C1035" s="47">
        <v>0.0</v>
      </c>
      <c r="D1035" s="70" t="s">
        <v>983</v>
      </c>
      <c r="E1035" s="55" t="s">
        <v>408</v>
      </c>
      <c r="F1035" s="32" t="s">
        <v>33</v>
      </c>
      <c r="G1035" s="32" t="s">
        <v>34</v>
      </c>
      <c r="H1035" s="71" t="s">
        <v>35</v>
      </c>
      <c r="I1035" s="71" t="s">
        <v>984</v>
      </c>
      <c r="J1035" s="34" t="s">
        <v>49</v>
      </c>
      <c r="K1035" s="57" t="s">
        <v>38</v>
      </c>
      <c r="L1035" s="72"/>
      <c r="M1035" s="22"/>
      <c r="N1035" s="26"/>
      <c r="O1035" s="28"/>
      <c r="P1035" s="35" t="s">
        <v>4054</v>
      </c>
      <c r="Q1035" s="12"/>
      <c r="R1035" s="12"/>
      <c r="S1035" s="12"/>
      <c r="T1035" s="52">
        <v>45363.0</v>
      </c>
      <c r="U1035" s="29"/>
      <c r="V1035" s="29"/>
      <c r="W1035" s="30"/>
      <c r="X1035" s="30"/>
      <c r="Y1035" s="31"/>
      <c r="Z1035" s="31"/>
      <c r="AA1035" s="78" t="s">
        <v>102</v>
      </c>
      <c r="AB1035" s="74" t="s">
        <v>4061</v>
      </c>
      <c r="AC1035" s="74"/>
    </row>
    <row r="1036" ht="16.5" customHeight="1">
      <c r="A1036" s="48" t="s">
        <v>4062</v>
      </c>
      <c r="B1036" s="53" t="s">
        <v>96</v>
      </c>
      <c r="C1036" s="47">
        <v>0.0</v>
      </c>
      <c r="D1036" s="70" t="s">
        <v>4063</v>
      </c>
      <c r="E1036" s="55" t="s">
        <v>165</v>
      </c>
      <c r="F1036" s="32" t="s">
        <v>33</v>
      </c>
      <c r="G1036" s="32" t="s">
        <v>34</v>
      </c>
      <c r="H1036" s="71" t="s">
        <v>35</v>
      </c>
      <c r="I1036" s="71" t="s">
        <v>36</v>
      </c>
      <c r="J1036" s="34" t="s">
        <v>49</v>
      </c>
      <c r="K1036" s="57" t="s">
        <v>38</v>
      </c>
      <c r="L1036" s="72">
        <v>10776.0</v>
      </c>
      <c r="M1036" s="22"/>
      <c r="N1036" s="35" t="s">
        <v>106</v>
      </c>
      <c r="O1036" s="28">
        <v>45425.58725694445</v>
      </c>
      <c r="P1036" s="35" t="s">
        <v>4064</v>
      </c>
      <c r="Q1036" s="12"/>
      <c r="R1036" s="12"/>
      <c r="S1036" s="12"/>
      <c r="T1036" s="52">
        <v>45363.0</v>
      </c>
      <c r="U1036" s="52">
        <v>45412.0</v>
      </c>
      <c r="V1036" s="52">
        <v>45425.0</v>
      </c>
      <c r="W1036" s="30"/>
      <c r="X1036" s="30"/>
      <c r="Y1036" s="31"/>
      <c r="Z1036" s="31"/>
      <c r="AA1036" s="31"/>
      <c r="AB1036" s="74" t="s">
        <v>4065</v>
      </c>
      <c r="AC1036" s="74"/>
    </row>
    <row r="1037" ht="16.5" customHeight="1">
      <c r="A1037" s="48" t="s">
        <v>4066</v>
      </c>
      <c r="B1037" s="53" t="s">
        <v>2857</v>
      </c>
      <c r="C1037" s="47">
        <v>0.0</v>
      </c>
      <c r="D1037" s="70" t="s">
        <v>4067</v>
      </c>
      <c r="E1037" s="55" t="s">
        <v>550</v>
      </c>
      <c r="F1037" s="32" t="s">
        <v>33</v>
      </c>
      <c r="G1037" s="32" t="s">
        <v>35</v>
      </c>
      <c r="H1037" s="71" t="s">
        <v>35</v>
      </c>
      <c r="I1037" s="71" t="s">
        <v>36</v>
      </c>
      <c r="J1037" s="34" t="s">
        <v>37</v>
      </c>
      <c r="K1037" s="57" t="s">
        <v>1506</v>
      </c>
      <c r="L1037" s="72">
        <v>10504.0</v>
      </c>
      <c r="M1037" s="22"/>
      <c r="N1037" s="73"/>
      <c r="O1037" s="28">
        <v>45366.0</v>
      </c>
      <c r="P1037" s="35" t="s">
        <v>4068</v>
      </c>
      <c r="Q1037" s="12"/>
      <c r="R1037" s="12"/>
      <c r="S1037" s="12"/>
      <c r="T1037" s="52">
        <v>45364.0</v>
      </c>
      <c r="U1037" s="52">
        <v>45365.0</v>
      </c>
      <c r="V1037" s="52">
        <v>45366.0</v>
      </c>
      <c r="W1037" s="30"/>
      <c r="X1037" s="30"/>
      <c r="Y1037" s="31"/>
      <c r="Z1037" s="31"/>
      <c r="AA1037" s="78" t="s">
        <v>3053</v>
      </c>
      <c r="AB1037" s="74" t="s">
        <v>4069</v>
      </c>
      <c r="AC1037" s="74"/>
    </row>
    <row r="1038" ht="16.5" customHeight="1">
      <c r="A1038" s="48" t="s">
        <v>4070</v>
      </c>
      <c r="B1038" s="53" t="s">
        <v>1990</v>
      </c>
      <c r="C1038" s="47">
        <v>137.0</v>
      </c>
      <c r="D1038" s="70" t="s">
        <v>4071</v>
      </c>
      <c r="E1038" s="55" t="s">
        <v>85</v>
      </c>
      <c r="F1038" s="32" t="s">
        <v>48</v>
      </c>
      <c r="G1038" s="32" t="s">
        <v>35</v>
      </c>
      <c r="H1038" s="71" t="s">
        <v>35</v>
      </c>
      <c r="I1038" s="71" t="s">
        <v>36</v>
      </c>
      <c r="J1038" s="34" t="s">
        <v>49</v>
      </c>
      <c r="K1038" s="57" t="s">
        <v>38</v>
      </c>
      <c r="L1038" s="72">
        <v>10502.0</v>
      </c>
      <c r="M1038" s="22"/>
      <c r="N1038" s="73"/>
      <c r="O1038" s="28">
        <v>45366.0</v>
      </c>
      <c r="P1038" s="35" t="s">
        <v>4072</v>
      </c>
      <c r="Q1038" s="12"/>
      <c r="R1038" s="12"/>
      <c r="S1038" s="12"/>
      <c r="T1038" s="52">
        <v>45364.0</v>
      </c>
      <c r="U1038" s="52">
        <v>45365.0</v>
      </c>
      <c r="V1038" s="52">
        <v>45365.0</v>
      </c>
      <c r="W1038" s="30"/>
      <c r="X1038" s="30"/>
      <c r="Y1038" s="31"/>
      <c r="Z1038" s="31"/>
      <c r="AA1038" s="78" t="s">
        <v>102</v>
      </c>
      <c r="AB1038" s="74" t="s">
        <v>4073</v>
      </c>
      <c r="AC1038" s="74"/>
    </row>
    <row r="1039" ht="16.5" customHeight="1">
      <c r="A1039" s="48" t="s">
        <v>4074</v>
      </c>
      <c r="B1039" s="53" t="s">
        <v>96</v>
      </c>
      <c r="C1039" s="47">
        <v>0.0</v>
      </c>
      <c r="D1039" s="70" t="s">
        <v>4075</v>
      </c>
      <c r="E1039" s="55" t="s">
        <v>165</v>
      </c>
      <c r="F1039" s="32" t="s">
        <v>33</v>
      </c>
      <c r="G1039" s="32" t="s">
        <v>34</v>
      </c>
      <c r="H1039" s="71" t="s">
        <v>35</v>
      </c>
      <c r="I1039" s="71" t="s">
        <v>36</v>
      </c>
      <c r="J1039" s="34" t="s">
        <v>49</v>
      </c>
      <c r="K1039" s="57" t="s">
        <v>38</v>
      </c>
      <c r="L1039" s="72">
        <v>10500.0</v>
      </c>
      <c r="M1039" s="22"/>
      <c r="N1039" s="73"/>
      <c r="O1039" s="28">
        <v>45366.0</v>
      </c>
      <c r="P1039" s="35" t="s">
        <v>4076</v>
      </c>
      <c r="Q1039" s="12"/>
      <c r="R1039" s="12"/>
      <c r="S1039" s="12"/>
      <c r="T1039" s="52">
        <v>45364.0</v>
      </c>
      <c r="U1039" s="52">
        <v>45365.0</v>
      </c>
      <c r="V1039" s="52">
        <v>45365.0</v>
      </c>
      <c r="W1039" s="30"/>
      <c r="X1039" s="30"/>
      <c r="Y1039" s="31"/>
      <c r="Z1039" s="31"/>
      <c r="AA1039" s="78" t="s">
        <v>102</v>
      </c>
      <c r="AB1039" s="74" t="s">
        <v>4077</v>
      </c>
      <c r="AC1039" s="74"/>
    </row>
    <row r="1040" ht="16.5" customHeight="1">
      <c r="A1040" s="48" t="s">
        <v>4078</v>
      </c>
      <c r="B1040" s="53" t="s">
        <v>96</v>
      </c>
      <c r="C1040" s="47">
        <v>0.0</v>
      </c>
      <c r="D1040" s="70" t="s">
        <v>4079</v>
      </c>
      <c r="E1040" s="55" t="s">
        <v>165</v>
      </c>
      <c r="F1040" s="32" t="s">
        <v>33</v>
      </c>
      <c r="G1040" s="32" t="s">
        <v>34</v>
      </c>
      <c r="H1040" s="71" t="s">
        <v>35</v>
      </c>
      <c r="I1040" s="71" t="s">
        <v>36</v>
      </c>
      <c r="J1040" s="34" t="s">
        <v>49</v>
      </c>
      <c r="K1040" s="57" t="s">
        <v>38</v>
      </c>
      <c r="L1040" s="72">
        <v>10498.0</v>
      </c>
      <c r="M1040" s="22"/>
      <c r="N1040" s="73"/>
      <c r="O1040" s="28">
        <v>45366.0</v>
      </c>
      <c r="P1040" s="35" t="s">
        <v>4076</v>
      </c>
      <c r="Q1040" s="12"/>
      <c r="R1040" s="12"/>
      <c r="S1040" s="12"/>
      <c r="T1040" s="52">
        <v>45364.0</v>
      </c>
      <c r="U1040" s="52">
        <v>45365.0</v>
      </c>
      <c r="V1040" s="52">
        <v>45365.0</v>
      </c>
      <c r="W1040" s="30"/>
      <c r="X1040" s="30"/>
      <c r="Y1040" s="31"/>
      <c r="Z1040" s="31"/>
      <c r="AA1040" s="78" t="s">
        <v>102</v>
      </c>
      <c r="AB1040" s="74" t="s">
        <v>4080</v>
      </c>
      <c r="AC1040" s="74"/>
    </row>
    <row r="1041" ht="16.5" customHeight="1">
      <c r="A1041" s="48" t="s">
        <v>4081</v>
      </c>
      <c r="B1041" s="53" t="s">
        <v>96</v>
      </c>
      <c r="C1041" s="47">
        <v>0.0</v>
      </c>
      <c r="D1041" s="70" t="s">
        <v>4082</v>
      </c>
      <c r="E1041" s="55" t="s">
        <v>213</v>
      </c>
      <c r="F1041" s="32" t="s">
        <v>33</v>
      </c>
      <c r="G1041" s="32" t="s">
        <v>34</v>
      </c>
      <c r="H1041" s="71" t="s">
        <v>35</v>
      </c>
      <c r="I1041" s="71" t="s">
        <v>36</v>
      </c>
      <c r="J1041" s="34" t="s">
        <v>49</v>
      </c>
      <c r="K1041" s="57" t="s">
        <v>38</v>
      </c>
      <c r="L1041" s="72">
        <v>10499.0</v>
      </c>
      <c r="M1041" s="22"/>
      <c r="N1041" s="73"/>
      <c r="O1041" s="28">
        <v>45366.0</v>
      </c>
      <c r="P1041" s="35" t="s">
        <v>4083</v>
      </c>
      <c r="Q1041" s="12"/>
      <c r="R1041" s="12"/>
      <c r="S1041" s="12"/>
      <c r="T1041" s="52">
        <v>45365.0</v>
      </c>
      <c r="U1041" s="52">
        <v>45365.0</v>
      </c>
      <c r="V1041" s="52">
        <v>45365.0</v>
      </c>
      <c r="W1041" s="30"/>
      <c r="X1041" s="30"/>
      <c r="Y1041" s="31"/>
      <c r="Z1041" s="31"/>
      <c r="AA1041" s="78" t="s">
        <v>102</v>
      </c>
      <c r="AB1041" s="74" t="s">
        <v>4084</v>
      </c>
      <c r="AC1041" s="74"/>
    </row>
    <row r="1042" ht="16.5" customHeight="1">
      <c r="A1042" s="48" t="s">
        <v>4085</v>
      </c>
      <c r="B1042" s="53" t="s">
        <v>96</v>
      </c>
      <c r="C1042" s="47">
        <v>0.0</v>
      </c>
      <c r="D1042" s="70" t="s">
        <v>4086</v>
      </c>
      <c r="E1042" s="55" t="s">
        <v>165</v>
      </c>
      <c r="F1042" s="32" t="s">
        <v>33</v>
      </c>
      <c r="G1042" s="32" t="s">
        <v>34</v>
      </c>
      <c r="H1042" s="71" t="s">
        <v>35</v>
      </c>
      <c r="I1042" s="71" t="s">
        <v>36</v>
      </c>
      <c r="J1042" s="34" t="s">
        <v>49</v>
      </c>
      <c r="K1042" s="57" t="s">
        <v>38</v>
      </c>
      <c r="L1042" s="72">
        <v>10501.0</v>
      </c>
      <c r="M1042" s="22"/>
      <c r="N1042" s="73"/>
      <c r="O1042" s="28">
        <v>45366.0</v>
      </c>
      <c r="P1042" s="35" t="s">
        <v>4087</v>
      </c>
      <c r="Q1042" s="12"/>
      <c r="R1042" s="12"/>
      <c r="S1042" s="12"/>
      <c r="T1042" s="52">
        <v>45364.0</v>
      </c>
      <c r="U1042" s="52">
        <v>45365.0</v>
      </c>
      <c r="V1042" s="52">
        <v>45365.0</v>
      </c>
      <c r="W1042" s="30"/>
      <c r="X1042" s="30"/>
      <c r="Y1042" s="31"/>
      <c r="Z1042" s="31"/>
      <c r="AA1042" s="78" t="s">
        <v>102</v>
      </c>
      <c r="AB1042" s="74" t="s">
        <v>4088</v>
      </c>
      <c r="AC1042" s="74"/>
    </row>
    <row r="1043" ht="16.5" customHeight="1">
      <c r="A1043" s="48" t="s">
        <v>4089</v>
      </c>
      <c r="B1043" s="53" t="s">
        <v>4090</v>
      </c>
      <c r="C1043" s="47">
        <v>0.0</v>
      </c>
      <c r="D1043" s="70" t="s">
        <v>4091</v>
      </c>
      <c r="E1043" s="55" t="s">
        <v>383</v>
      </c>
      <c r="F1043" s="32" t="s">
        <v>33</v>
      </c>
      <c r="G1043" s="32" t="s">
        <v>35</v>
      </c>
      <c r="H1043" s="71" t="s">
        <v>35</v>
      </c>
      <c r="I1043" s="71" t="s">
        <v>36</v>
      </c>
      <c r="J1043" s="34" t="s">
        <v>49</v>
      </c>
      <c r="K1043" s="57" t="s">
        <v>38</v>
      </c>
      <c r="L1043" s="72">
        <v>10513.0</v>
      </c>
      <c r="M1043" s="22"/>
      <c r="N1043" s="73"/>
      <c r="O1043" s="28">
        <v>45370.0</v>
      </c>
      <c r="P1043" s="35" t="s">
        <v>4092</v>
      </c>
      <c r="Q1043" s="12"/>
      <c r="R1043" s="12"/>
      <c r="S1043" s="12"/>
      <c r="T1043" s="52">
        <v>45365.0</v>
      </c>
      <c r="U1043" s="52">
        <v>45365.0</v>
      </c>
      <c r="V1043" s="52">
        <v>45370.0</v>
      </c>
      <c r="W1043" s="30"/>
      <c r="X1043" s="30"/>
      <c r="Y1043" s="31"/>
      <c r="Z1043" s="31"/>
      <c r="AA1043" s="78" t="s">
        <v>127</v>
      </c>
      <c r="AB1043" s="74" t="s">
        <v>4093</v>
      </c>
      <c r="AC1043" s="74"/>
    </row>
    <row r="1044" ht="16.5" customHeight="1">
      <c r="A1044" s="48" t="s">
        <v>4094</v>
      </c>
      <c r="B1044" s="53" t="s">
        <v>4095</v>
      </c>
      <c r="C1044" s="47">
        <v>0.0</v>
      </c>
      <c r="D1044" s="70" t="s">
        <v>4096</v>
      </c>
      <c r="E1044" s="55" t="s">
        <v>4097</v>
      </c>
      <c r="F1044" s="32" t="s">
        <v>33</v>
      </c>
      <c r="G1044" s="32" t="s">
        <v>35</v>
      </c>
      <c r="H1044" s="71" t="s">
        <v>35</v>
      </c>
      <c r="I1044" s="71" t="s">
        <v>36</v>
      </c>
      <c r="J1044" s="34" t="s">
        <v>49</v>
      </c>
      <c r="K1044" s="57" t="s">
        <v>38</v>
      </c>
      <c r="L1044" s="72">
        <v>10629.0</v>
      </c>
      <c r="M1044" s="22"/>
      <c r="N1044" s="35" t="s">
        <v>3694</v>
      </c>
      <c r="O1044" s="28">
        <v>45392.62222222222</v>
      </c>
      <c r="P1044" s="35" t="s">
        <v>4098</v>
      </c>
      <c r="Q1044" s="12"/>
      <c r="R1044" s="12"/>
      <c r="S1044" s="12"/>
      <c r="T1044" s="52">
        <v>45365.0</v>
      </c>
      <c r="U1044" s="52">
        <v>45371.0</v>
      </c>
      <c r="V1044" s="52">
        <v>45391.0</v>
      </c>
      <c r="W1044" s="30"/>
      <c r="X1044" s="30"/>
      <c r="Y1044" s="31"/>
      <c r="Z1044" s="31"/>
      <c r="AA1044" s="78" t="s">
        <v>94</v>
      </c>
      <c r="AB1044" s="74" t="s">
        <v>4099</v>
      </c>
      <c r="AC1044" s="74"/>
    </row>
    <row r="1045" ht="16.5" customHeight="1">
      <c r="A1045" s="48" t="s">
        <v>4100</v>
      </c>
      <c r="B1045" s="53" t="s">
        <v>4095</v>
      </c>
      <c r="C1045" s="47">
        <v>0.0</v>
      </c>
      <c r="D1045" s="70" t="s">
        <v>4101</v>
      </c>
      <c r="E1045" s="55" t="s">
        <v>4097</v>
      </c>
      <c r="F1045" s="32" t="s">
        <v>33</v>
      </c>
      <c r="G1045" s="32" t="s">
        <v>35</v>
      </c>
      <c r="H1045" s="71" t="s">
        <v>35</v>
      </c>
      <c r="I1045" s="71" t="s">
        <v>36</v>
      </c>
      <c r="J1045" s="34" t="s">
        <v>49</v>
      </c>
      <c r="K1045" s="57" t="s">
        <v>38</v>
      </c>
      <c r="L1045" s="72">
        <v>10629.0</v>
      </c>
      <c r="M1045" s="22"/>
      <c r="N1045" s="35" t="s">
        <v>3694</v>
      </c>
      <c r="O1045" s="28">
        <v>45392.62222222222</v>
      </c>
      <c r="P1045" s="35" t="s">
        <v>4098</v>
      </c>
      <c r="Q1045" s="12"/>
      <c r="R1045" s="12"/>
      <c r="S1045" s="12"/>
      <c r="T1045" s="52">
        <v>45365.0</v>
      </c>
      <c r="U1045" s="52">
        <v>45371.0</v>
      </c>
      <c r="V1045" s="52">
        <v>45391.0</v>
      </c>
      <c r="W1045" s="30"/>
      <c r="X1045" s="30"/>
      <c r="Y1045" s="31"/>
      <c r="Z1045" s="31"/>
      <c r="AA1045" s="78" t="s">
        <v>94</v>
      </c>
      <c r="AB1045" s="74" t="s">
        <v>4102</v>
      </c>
      <c r="AC1045" s="74"/>
    </row>
    <row r="1046" ht="16.5" customHeight="1">
      <c r="A1046" s="48" t="s">
        <v>4103</v>
      </c>
      <c r="B1046" s="53" t="s">
        <v>3510</v>
      </c>
      <c r="C1046" s="47">
        <v>0.0</v>
      </c>
      <c r="D1046" s="70" t="s">
        <v>4104</v>
      </c>
      <c r="E1046" s="55" t="s">
        <v>117</v>
      </c>
      <c r="F1046" s="32" t="s">
        <v>33</v>
      </c>
      <c r="G1046" s="32" t="s">
        <v>34</v>
      </c>
      <c r="H1046" s="71" t="s">
        <v>35</v>
      </c>
      <c r="I1046" s="71" t="s">
        <v>36</v>
      </c>
      <c r="J1046" s="34" t="s">
        <v>37</v>
      </c>
      <c r="K1046" s="57" t="s">
        <v>3512</v>
      </c>
      <c r="L1046" s="72">
        <v>10511.0</v>
      </c>
      <c r="M1046" s="22"/>
      <c r="N1046" s="73"/>
      <c r="O1046" s="28">
        <v>45370.0</v>
      </c>
      <c r="P1046" s="35" t="s">
        <v>4105</v>
      </c>
      <c r="Q1046" s="12"/>
      <c r="R1046" s="12"/>
      <c r="S1046" s="12"/>
      <c r="T1046" s="52">
        <v>45369.0</v>
      </c>
      <c r="U1046" s="52">
        <v>45370.0</v>
      </c>
      <c r="V1046" s="52">
        <v>45370.0</v>
      </c>
      <c r="W1046" s="30"/>
      <c r="X1046" s="30"/>
      <c r="Y1046" s="31"/>
      <c r="Z1046" s="31"/>
      <c r="AA1046" s="78" t="s">
        <v>3385</v>
      </c>
      <c r="AB1046" s="74" t="s">
        <v>4106</v>
      </c>
      <c r="AC1046" s="74"/>
    </row>
    <row r="1047" ht="16.5" customHeight="1">
      <c r="A1047" s="48" t="s">
        <v>4107</v>
      </c>
      <c r="B1047" s="53" t="s">
        <v>4108</v>
      </c>
      <c r="C1047" s="47">
        <v>90.0</v>
      </c>
      <c r="D1047" s="70" t="s">
        <v>4109</v>
      </c>
      <c r="E1047" s="55" t="s">
        <v>91</v>
      </c>
      <c r="F1047" s="32" t="s">
        <v>48</v>
      </c>
      <c r="G1047" s="32" t="s">
        <v>35</v>
      </c>
      <c r="H1047" s="71" t="s">
        <v>35</v>
      </c>
      <c r="I1047" s="71" t="s">
        <v>36</v>
      </c>
      <c r="J1047" s="34" t="s">
        <v>49</v>
      </c>
      <c r="K1047" s="57" t="s">
        <v>38</v>
      </c>
      <c r="L1047" s="72">
        <v>10510.0</v>
      </c>
      <c r="M1047" s="22"/>
      <c r="N1047" s="73"/>
      <c r="O1047" s="28">
        <v>45370.0</v>
      </c>
      <c r="P1047" s="35" t="s">
        <v>4110</v>
      </c>
      <c r="Q1047" s="12"/>
      <c r="R1047" s="12"/>
      <c r="S1047" s="12"/>
      <c r="T1047" s="52">
        <v>45369.0</v>
      </c>
      <c r="U1047" s="52">
        <v>45369.0</v>
      </c>
      <c r="V1047" s="52">
        <v>45369.0</v>
      </c>
      <c r="W1047" s="30"/>
      <c r="X1047" s="30"/>
      <c r="Y1047" s="31"/>
      <c r="Z1047" s="31"/>
      <c r="AA1047" s="78" t="s">
        <v>127</v>
      </c>
      <c r="AB1047" s="74" t="s">
        <v>4111</v>
      </c>
      <c r="AC1047" s="74"/>
    </row>
    <row r="1048" ht="16.5" customHeight="1">
      <c r="A1048" s="48" t="s">
        <v>4112</v>
      </c>
      <c r="B1048" s="53" t="s">
        <v>3954</v>
      </c>
      <c r="C1048" s="47">
        <v>0.0</v>
      </c>
      <c r="D1048" s="70" t="s">
        <v>4113</v>
      </c>
      <c r="E1048" s="55" t="s">
        <v>383</v>
      </c>
      <c r="F1048" s="32" t="s">
        <v>33</v>
      </c>
      <c r="G1048" s="32" t="s">
        <v>35</v>
      </c>
      <c r="H1048" s="71" t="s">
        <v>35</v>
      </c>
      <c r="I1048" s="71" t="s">
        <v>36</v>
      </c>
      <c r="J1048" s="34" t="s">
        <v>65</v>
      </c>
      <c r="K1048" s="57" t="s">
        <v>38</v>
      </c>
      <c r="L1048" s="72">
        <v>10514.0</v>
      </c>
      <c r="M1048" s="22"/>
      <c r="N1048" s="73"/>
      <c r="O1048" s="28">
        <v>45370.0</v>
      </c>
      <c r="P1048" s="35" t="s">
        <v>4114</v>
      </c>
      <c r="Q1048" s="12"/>
      <c r="R1048" s="12"/>
      <c r="S1048" s="12"/>
      <c r="T1048" s="52">
        <v>45369.0</v>
      </c>
      <c r="U1048" s="52">
        <v>45370.0</v>
      </c>
      <c r="V1048" s="52">
        <v>45370.0</v>
      </c>
      <c r="W1048" s="30"/>
      <c r="X1048" s="30"/>
      <c r="Y1048" s="31"/>
      <c r="Z1048" s="31"/>
      <c r="AA1048" s="78" t="s">
        <v>94</v>
      </c>
      <c r="AB1048" s="74" t="s">
        <v>4115</v>
      </c>
      <c r="AC1048" s="74"/>
    </row>
    <row r="1049" ht="16.5" customHeight="1">
      <c r="A1049" s="48" t="s">
        <v>4116</v>
      </c>
      <c r="B1049" s="53" t="s">
        <v>3674</v>
      </c>
      <c r="C1049" s="47">
        <v>0.0</v>
      </c>
      <c r="D1049" s="70" t="s">
        <v>4117</v>
      </c>
      <c r="E1049" s="55" t="s">
        <v>2614</v>
      </c>
      <c r="F1049" s="32" t="s">
        <v>33</v>
      </c>
      <c r="G1049" s="32" t="s">
        <v>34</v>
      </c>
      <c r="H1049" s="71" t="s">
        <v>35</v>
      </c>
      <c r="I1049" s="71" t="s">
        <v>36</v>
      </c>
      <c r="J1049" s="34" t="s">
        <v>65</v>
      </c>
      <c r="K1049" s="57" t="s">
        <v>38</v>
      </c>
      <c r="L1049" s="72">
        <v>10559.0</v>
      </c>
      <c r="M1049" s="22"/>
      <c r="N1049" s="73"/>
      <c r="O1049" s="28">
        <v>45386.697222222225</v>
      </c>
      <c r="P1049" s="35" t="s">
        <v>4118</v>
      </c>
      <c r="Q1049" s="12"/>
      <c r="R1049" s="12"/>
      <c r="S1049" s="12"/>
      <c r="T1049" s="52">
        <v>45369.0</v>
      </c>
      <c r="U1049" s="52">
        <v>45373.0</v>
      </c>
      <c r="V1049" s="52">
        <v>45384.0</v>
      </c>
      <c r="W1049" s="30"/>
      <c r="X1049" s="30"/>
      <c r="Y1049" s="31"/>
      <c r="Z1049" s="31"/>
      <c r="AA1049" s="31"/>
      <c r="AB1049" s="74" t="s">
        <v>4119</v>
      </c>
      <c r="AC1049" s="74"/>
    </row>
    <row r="1050" ht="16.5" customHeight="1">
      <c r="A1050" s="48" t="s">
        <v>4120</v>
      </c>
      <c r="B1050" s="53" t="s">
        <v>4121</v>
      </c>
      <c r="C1050" s="47">
        <v>11.0</v>
      </c>
      <c r="D1050" s="70" t="s">
        <v>4122</v>
      </c>
      <c r="E1050" s="55" t="s">
        <v>112</v>
      </c>
      <c r="F1050" s="32" t="s">
        <v>48</v>
      </c>
      <c r="G1050" s="32" t="s">
        <v>35</v>
      </c>
      <c r="H1050" s="71" t="s">
        <v>35</v>
      </c>
      <c r="I1050" s="71" t="s">
        <v>36</v>
      </c>
      <c r="J1050" s="34" t="s">
        <v>49</v>
      </c>
      <c r="K1050" s="57" t="s">
        <v>38</v>
      </c>
      <c r="L1050" s="72">
        <v>10512.0</v>
      </c>
      <c r="M1050" s="22"/>
      <c r="N1050" s="73"/>
      <c r="O1050" s="28">
        <v>45370.0</v>
      </c>
      <c r="P1050" s="35" t="s">
        <v>4123</v>
      </c>
      <c r="Q1050" s="12"/>
      <c r="R1050" s="12"/>
      <c r="S1050" s="12"/>
      <c r="T1050" s="52">
        <v>45370.0</v>
      </c>
      <c r="U1050" s="52">
        <v>45370.0</v>
      </c>
      <c r="V1050" s="52">
        <v>45370.0</v>
      </c>
      <c r="W1050" s="30"/>
      <c r="X1050" s="30"/>
      <c r="Y1050" s="31"/>
      <c r="Z1050" s="31"/>
      <c r="AA1050" s="78" t="s">
        <v>102</v>
      </c>
      <c r="AB1050" s="74" t="s">
        <v>4124</v>
      </c>
      <c r="AC1050" s="74"/>
    </row>
    <row r="1051" ht="16.5" customHeight="1">
      <c r="A1051" s="48" t="s">
        <v>4125</v>
      </c>
      <c r="B1051" s="53" t="s">
        <v>4126</v>
      </c>
      <c r="C1051" s="47">
        <v>0.0</v>
      </c>
      <c r="D1051" s="70" t="s">
        <v>4127</v>
      </c>
      <c r="E1051" s="55" t="s">
        <v>3441</v>
      </c>
      <c r="F1051" s="32" t="s">
        <v>48</v>
      </c>
      <c r="G1051" s="32" t="s">
        <v>35</v>
      </c>
      <c r="H1051" s="71" t="s">
        <v>35</v>
      </c>
      <c r="I1051" s="71" t="s">
        <v>36</v>
      </c>
      <c r="J1051" s="34" t="s">
        <v>420</v>
      </c>
      <c r="K1051" s="57" t="s">
        <v>38</v>
      </c>
      <c r="L1051" s="72">
        <v>10822.0</v>
      </c>
      <c r="M1051" s="22"/>
      <c r="N1051" s="35" t="s">
        <v>4031</v>
      </c>
      <c r="O1051" s="28">
        <v>45436.57724537037</v>
      </c>
      <c r="P1051" s="35" t="s">
        <v>4128</v>
      </c>
      <c r="Q1051" s="12"/>
      <c r="R1051" s="12"/>
      <c r="S1051" s="12"/>
      <c r="T1051" s="52">
        <v>45370.0</v>
      </c>
      <c r="U1051" s="14" t="s">
        <v>4129</v>
      </c>
      <c r="V1051" s="52">
        <v>45435.574895833335</v>
      </c>
      <c r="W1051" s="30"/>
      <c r="X1051" s="30"/>
      <c r="Y1051" s="31"/>
      <c r="Z1051" s="31"/>
      <c r="AA1051" s="78" t="s">
        <v>94</v>
      </c>
      <c r="AB1051" s="74" t="s">
        <v>4130</v>
      </c>
      <c r="AC1051" s="74"/>
    </row>
    <row r="1052" ht="16.5" customHeight="1">
      <c r="A1052" s="48" t="s">
        <v>4131</v>
      </c>
      <c r="B1052" s="53" t="s">
        <v>4126</v>
      </c>
      <c r="C1052" s="47">
        <v>27.0</v>
      </c>
      <c r="D1052" s="70" t="s">
        <v>4132</v>
      </c>
      <c r="E1052" s="55" t="s">
        <v>72</v>
      </c>
      <c r="F1052" s="32" t="s">
        <v>48</v>
      </c>
      <c r="G1052" s="32" t="s">
        <v>35</v>
      </c>
      <c r="H1052" s="71" t="s">
        <v>35</v>
      </c>
      <c r="I1052" s="71" t="s">
        <v>36</v>
      </c>
      <c r="J1052" s="34" t="s">
        <v>420</v>
      </c>
      <c r="K1052" s="57" t="s">
        <v>38</v>
      </c>
      <c r="L1052" s="72">
        <v>10567.0</v>
      </c>
      <c r="M1052" s="22"/>
      <c r="N1052" s="73"/>
      <c r="O1052" s="28">
        <v>45385.666666666664</v>
      </c>
      <c r="P1052" s="35" t="s">
        <v>4128</v>
      </c>
      <c r="Q1052" s="12"/>
      <c r="R1052" s="12"/>
      <c r="S1052" s="12"/>
      <c r="T1052" s="52">
        <v>45370.0</v>
      </c>
      <c r="U1052" s="52">
        <v>45384.0</v>
      </c>
      <c r="V1052" s="52">
        <v>45384.0</v>
      </c>
      <c r="W1052" s="30"/>
      <c r="X1052" s="30"/>
      <c r="Y1052" s="31"/>
      <c r="Z1052" s="31"/>
      <c r="AA1052" s="78" t="s">
        <v>94</v>
      </c>
      <c r="AB1052" s="74" t="s">
        <v>4133</v>
      </c>
      <c r="AC1052" s="74"/>
    </row>
    <row r="1053" ht="16.5" customHeight="1">
      <c r="A1053" s="48" t="s">
        <v>4134</v>
      </c>
      <c r="B1053" s="53" t="s">
        <v>1345</v>
      </c>
      <c r="C1053" s="47">
        <v>0.0</v>
      </c>
      <c r="D1053" s="70" t="s">
        <v>4135</v>
      </c>
      <c r="E1053" s="55" t="s">
        <v>257</v>
      </c>
      <c r="F1053" s="32" t="s">
        <v>244</v>
      </c>
      <c r="G1053" s="32" t="s">
        <v>35</v>
      </c>
      <c r="H1053" s="71" t="s">
        <v>35</v>
      </c>
      <c r="I1053" s="71" t="s">
        <v>36</v>
      </c>
      <c r="J1053" s="34" t="s">
        <v>65</v>
      </c>
      <c r="K1053" s="57" t="s">
        <v>38</v>
      </c>
      <c r="L1053" s="72">
        <v>10537.0</v>
      </c>
      <c r="M1053" s="22"/>
      <c r="N1053" s="73"/>
      <c r="O1053" s="28">
        <v>45377.68819444445</v>
      </c>
      <c r="P1053" s="35" t="s">
        <v>4136</v>
      </c>
      <c r="Q1053" s="12"/>
      <c r="R1053" s="12"/>
      <c r="S1053" s="12"/>
      <c r="T1053" s="52">
        <v>45370.0</v>
      </c>
      <c r="U1053" s="52">
        <v>45371.0</v>
      </c>
      <c r="V1053" s="52">
        <v>45377.68819444445</v>
      </c>
      <c r="W1053" s="30"/>
      <c r="X1053" s="30"/>
      <c r="Y1053" s="31"/>
      <c r="Z1053" s="31"/>
      <c r="AA1053" s="78" t="s">
        <v>94</v>
      </c>
      <c r="AB1053" s="74" t="s">
        <v>4137</v>
      </c>
      <c r="AC1053" s="74"/>
    </row>
    <row r="1054" ht="16.5" customHeight="1">
      <c r="A1054" s="48" t="s">
        <v>4138</v>
      </c>
      <c r="B1054" s="53" t="s">
        <v>4108</v>
      </c>
      <c r="C1054" s="47">
        <v>11.0</v>
      </c>
      <c r="D1054" s="70" t="s">
        <v>4139</v>
      </c>
      <c r="E1054" s="55" t="s">
        <v>112</v>
      </c>
      <c r="F1054" s="32" t="s">
        <v>48</v>
      </c>
      <c r="G1054" s="32" t="s">
        <v>35</v>
      </c>
      <c r="H1054" s="71" t="s">
        <v>35</v>
      </c>
      <c r="I1054" s="71" t="s">
        <v>36</v>
      </c>
      <c r="J1054" s="34" t="s">
        <v>49</v>
      </c>
      <c r="K1054" s="57" t="s">
        <v>38</v>
      </c>
      <c r="L1054" s="72">
        <v>10529.0</v>
      </c>
      <c r="M1054" s="22"/>
      <c r="N1054" s="73"/>
      <c r="O1054" s="28">
        <v>45373.0</v>
      </c>
      <c r="P1054" s="35" t="s">
        <v>4140</v>
      </c>
      <c r="Q1054" s="12"/>
      <c r="R1054" s="12"/>
      <c r="S1054" s="12"/>
      <c r="T1054" s="52">
        <v>45372.0</v>
      </c>
      <c r="U1054" s="52">
        <v>45372.0</v>
      </c>
      <c r="V1054" s="52">
        <v>45373.0</v>
      </c>
      <c r="W1054" s="30"/>
      <c r="X1054" s="30"/>
      <c r="Y1054" s="31"/>
      <c r="Z1054" s="31"/>
      <c r="AA1054" s="31"/>
      <c r="AB1054" s="74" t="s">
        <v>4141</v>
      </c>
      <c r="AC1054" s="74"/>
    </row>
    <row r="1055" ht="16.5" customHeight="1">
      <c r="A1055" s="48" t="s">
        <v>4142</v>
      </c>
      <c r="B1055" s="53" t="s">
        <v>96</v>
      </c>
      <c r="C1055" s="47">
        <v>137.0</v>
      </c>
      <c r="D1055" s="70" t="s">
        <v>4143</v>
      </c>
      <c r="E1055" s="55" t="s">
        <v>85</v>
      </c>
      <c r="F1055" s="32" t="s">
        <v>48</v>
      </c>
      <c r="G1055" s="32" t="s">
        <v>35</v>
      </c>
      <c r="H1055" s="71" t="s">
        <v>35</v>
      </c>
      <c r="I1055" s="71" t="s">
        <v>36</v>
      </c>
      <c r="J1055" s="34" t="s">
        <v>49</v>
      </c>
      <c r="K1055" s="57" t="s">
        <v>38</v>
      </c>
      <c r="L1055" s="72">
        <v>10526.0</v>
      </c>
      <c r="M1055" s="22"/>
      <c r="N1055" s="73"/>
      <c r="O1055" s="28">
        <v>45373.0</v>
      </c>
      <c r="P1055" s="35" t="s">
        <v>4144</v>
      </c>
      <c r="Q1055" s="12"/>
      <c r="R1055" s="12"/>
      <c r="S1055" s="12"/>
      <c r="T1055" s="52">
        <v>45372.0</v>
      </c>
      <c r="U1055" s="52">
        <v>45372.0</v>
      </c>
      <c r="V1055" s="52">
        <v>45373.0</v>
      </c>
      <c r="W1055" s="30"/>
      <c r="X1055" s="30"/>
      <c r="Y1055" s="31"/>
      <c r="Z1055" s="31"/>
      <c r="AA1055" s="78" t="s">
        <v>102</v>
      </c>
      <c r="AB1055" s="74" t="s">
        <v>4145</v>
      </c>
      <c r="AC1055" s="74"/>
    </row>
    <row r="1056" ht="16.5" customHeight="1">
      <c r="A1056" s="48" t="s">
        <v>4146</v>
      </c>
      <c r="B1056" s="53" t="s">
        <v>4147</v>
      </c>
      <c r="C1056" s="47">
        <v>27.0</v>
      </c>
      <c r="D1056" s="70" t="s">
        <v>4148</v>
      </c>
      <c r="E1056" s="55" t="s">
        <v>72</v>
      </c>
      <c r="F1056" s="32" t="s">
        <v>48</v>
      </c>
      <c r="G1056" s="32" t="s">
        <v>35</v>
      </c>
      <c r="H1056" s="71" t="s">
        <v>35</v>
      </c>
      <c r="I1056" s="71" t="s">
        <v>36</v>
      </c>
      <c r="J1056" s="34" t="s">
        <v>49</v>
      </c>
      <c r="K1056" s="57" t="s">
        <v>38</v>
      </c>
      <c r="L1056" s="72">
        <v>10558.0</v>
      </c>
      <c r="M1056" s="22"/>
      <c r="N1056" s="73"/>
      <c r="O1056" s="28">
        <v>45386.0</v>
      </c>
      <c r="P1056" s="35" t="s">
        <v>4149</v>
      </c>
      <c r="Q1056" s="12"/>
      <c r="R1056" s="12"/>
      <c r="S1056" s="12"/>
      <c r="T1056" s="52">
        <v>45372.0</v>
      </c>
      <c r="U1056" s="52">
        <v>45384.0</v>
      </c>
      <c r="V1056" s="52">
        <v>45384.0</v>
      </c>
      <c r="W1056" s="30"/>
      <c r="X1056" s="30"/>
      <c r="Y1056" s="31"/>
      <c r="Z1056" s="31"/>
      <c r="AA1056" s="78" t="s">
        <v>127</v>
      </c>
      <c r="AB1056" s="74" t="s">
        <v>4150</v>
      </c>
      <c r="AC1056" s="74"/>
    </row>
    <row r="1057" ht="16.5" customHeight="1">
      <c r="A1057" s="48" t="s">
        <v>4151</v>
      </c>
      <c r="B1057" s="53" t="s">
        <v>911</v>
      </c>
      <c r="C1057" s="47">
        <v>0.0</v>
      </c>
      <c r="D1057" s="70" t="s">
        <v>4152</v>
      </c>
      <c r="E1057" s="55" t="s">
        <v>117</v>
      </c>
      <c r="F1057" s="32" t="s">
        <v>33</v>
      </c>
      <c r="G1057" s="32" t="s">
        <v>35</v>
      </c>
      <c r="H1057" s="71" t="s">
        <v>35</v>
      </c>
      <c r="I1057" s="71" t="s">
        <v>36</v>
      </c>
      <c r="J1057" s="34" t="s">
        <v>49</v>
      </c>
      <c r="K1057" s="57" t="s">
        <v>38</v>
      </c>
      <c r="L1057" s="72">
        <v>10545.0</v>
      </c>
      <c r="M1057" s="22"/>
      <c r="N1057" s="73"/>
      <c r="O1057" s="28">
        <v>45379.0</v>
      </c>
      <c r="P1057" s="35" t="s">
        <v>4153</v>
      </c>
      <c r="Q1057" s="12"/>
      <c r="R1057" s="12"/>
      <c r="S1057" s="12"/>
      <c r="T1057" s="52">
        <v>45372.0</v>
      </c>
      <c r="U1057" s="52">
        <v>45372.0</v>
      </c>
      <c r="V1057" s="52">
        <v>45373.0</v>
      </c>
      <c r="W1057" s="30"/>
      <c r="X1057" s="30"/>
      <c r="Y1057" s="31"/>
      <c r="Z1057" s="31"/>
      <c r="AA1057" s="78" t="s">
        <v>3053</v>
      </c>
      <c r="AB1057" s="74" t="s">
        <v>4154</v>
      </c>
      <c r="AC1057" s="74"/>
    </row>
    <row r="1058" ht="16.5" customHeight="1">
      <c r="A1058" s="48" t="s">
        <v>4155</v>
      </c>
      <c r="B1058" s="53" t="s">
        <v>911</v>
      </c>
      <c r="C1058" s="47">
        <v>0.0</v>
      </c>
      <c r="D1058" s="70" t="s">
        <v>4156</v>
      </c>
      <c r="E1058" s="55" t="s">
        <v>79</v>
      </c>
      <c r="F1058" s="32" t="s">
        <v>33</v>
      </c>
      <c r="G1058" s="32" t="s">
        <v>35</v>
      </c>
      <c r="H1058" s="71" t="s">
        <v>35</v>
      </c>
      <c r="I1058" s="71" t="s">
        <v>36</v>
      </c>
      <c r="J1058" s="34" t="s">
        <v>49</v>
      </c>
      <c r="K1058" s="57" t="s">
        <v>38</v>
      </c>
      <c r="L1058" s="72">
        <v>10545.0</v>
      </c>
      <c r="M1058" s="22"/>
      <c r="N1058" s="73"/>
      <c r="O1058" s="28">
        <v>45379.0</v>
      </c>
      <c r="P1058" s="35" t="s">
        <v>4153</v>
      </c>
      <c r="Q1058" s="12"/>
      <c r="R1058" s="12"/>
      <c r="S1058" s="12"/>
      <c r="T1058" s="52">
        <v>45372.0</v>
      </c>
      <c r="U1058" s="52">
        <v>45372.0</v>
      </c>
      <c r="V1058" s="52">
        <v>45379.0</v>
      </c>
      <c r="W1058" s="30"/>
      <c r="X1058" s="30"/>
      <c r="Y1058" s="31"/>
      <c r="Z1058" s="31"/>
      <c r="AA1058" s="78" t="s">
        <v>3053</v>
      </c>
      <c r="AB1058" s="74" t="s">
        <v>4157</v>
      </c>
      <c r="AC1058" s="74"/>
    </row>
    <row r="1059" ht="16.5" customHeight="1">
      <c r="A1059" s="48" t="s">
        <v>4158</v>
      </c>
      <c r="B1059" s="53" t="s">
        <v>911</v>
      </c>
      <c r="C1059" s="47">
        <v>0.0</v>
      </c>
      <c r="D1059" s="70" t="s">
        <v>4159</v>
      </c>
      <c r="E1059" s="55" t="s">
        <v>550</v>
      </c>
      <c r="F1059" s="32" t="s">
        <v>33</v>
      </c>
      <c r="G1059" s="32" t="s">
        <v>35</v>
      </c>
      <c r="H1059" s="71" t="s">
        <v>35</v>
      </c>
      <c r="I1059" s="71" t="s">
        <v>36</v>
      </c>
      <c r="J1059" s="34" t="s">
        <v>49</v>
      </c>
      <c r="K1059" s="57" t="s">
        <v>38</v>
      </c>
      <c r="L1059" s="72">
        <v>10545.0</v>
      </c>
      <c r="M1059" s="22"/>
      <c r="N1059" s="73"/>
      <c r="O1059" s="28">
        <v>45379.0</v>
      </c>
      <c r="P1059" s="35" t="s">
        <v>4153</v>
      </c>
      <c r="Q1059" s="12"/>
      <c r="R1059" s="12"/>
      <c r="S1059" s="12"/>
      <c r="T1059" s="52">
        <v>45372.0</v>
      </c>
      <c r="U1059" s="52">
        <v>45372.0</v>
      </c>
      <c r="V1059" s="52">
        <v>45379.0</v>
      </c>
      <c r="W1059" s="30"/>
      <c r="X1059" s="30"/>
      <c r="Y1059" s="31"/>
      <c r="Z1059" s="31"/>
      <c r="AA1059" s="78" t="s">
        <v>3053</v>
      </c>
      <c r="AB1059" s="74" t="s">
        <v>4160</v>
      </c>
      <c r="AC1059" s="74"/>
    </row>
    <row r="1060" ht="16.5" customHeight="1">
      <c r="A1060" s="48" t="s">
        <v>4161</v>
      </c>
      <c r="B1060" s="53" t="s">
        <v>911</v>
      </c>
      <c r="C1060" s="47">
        <v>0.0</v>
      </c>
      <c r="D1060" s="70" t="s">
        <v>4162</v>
      </c>
      <c r="E1060" s="55" t="s">
        <v>550</v>
      </c>
      <c r="F1060" s="32" t="s">
        <v>33</v>
      </c>
      <c r="G1060" s="32" t="s">
        <v>35</v>
      </c>
      <c r="H1060" s="71" t="s">
        <v>35</v>
      </c>
      <c r="I1060" s="71" t="s">
        <v>36</v>
      </c>
      <c r="J1060" s="34" t="s">
        <v>49</v>
      </c>
      <c r="K1060" s="57" t="s">
        <v>38</v>
      </c>
      <c r="L1060" s="72">
        <v>10545.0</v>
      </c>
      <c r="M1060" s="22"/>
      <c r="N1060" s="73"/>
      <c r="O1060" s="28">
        <v>45379.0</v>
      </c>
      <c r="P1060" s="35" t="s">
        <v>4153</v>
      </c>
      <c r="Q1060" s="12"/>
      <c r="R1060" s="12"/>
      <c r="S1060" s="12"/>
      <c r="T1060" s="52">
        <v>45372.0</v>
      </c>
      <c r="U1060" s="52">
        <v>45372.0</v>
      </c>
      <c r="V1060" s="52">
        <v>45379.0</v>
      </c>
      <c r="W1060" s="30"/>
      <c r="X1060" s="30"/>
      <c r="Y1060" s="31"/>
      <c r="Z1060" s="31"/>
      <c r="AA1060" s="78" t="s">
        <v>3053</v>
      </c>
      <c r="AB1060" s="74" t="s">
        <v>4163</v>
      </c>
      <c r="AC1060" s="74"/>
    </row>
    <row r="1061" ht="16.5" customHeight="1">
      <c r="A1061" s="48" t="s">
        <v>4164</v>
      </c>
      <c r="B1061" s="53" t="s">
        <v>911</v>
      </c>
      <c r="C1061" s="47">
        <v>0.0</v>
      </c>
      <c r="D1061" s="70" t="s">
        <v>4165</v>
      </c>
      <c r="E1061" s="55" t="s">
        <v>550</v>
      </c>
      <c r="F1061" s="32" t="s">
        <v>33</v>
      </c>
      <c r="G1061" s="32" t="s">
        <v>35</v>
      </c>
      <c r="H1061" s="71" t="s">
        <v>35</v>
      </c>
      <c r="I1061" s="71" t="s">
        <v>36</v>
      </c>
      <c r="J1061" s="34" t="s">
        <v>49</v>
      </c>
      <c r="K1061" s="57" t="s">
        <v>38</v>
      </c>
      <c r="L1061" s="72">
        <v>10545.0</v>
      </c>
      <c r="M1061" s="22"/>
      <c r="N1061" s="73"/>
      <c r="O1061" s="28">
        <v>45379.0</v>
      </c>
      <c r="P1061" s="35" t="s">
        <v>4153</v>
      </c>
      <c r="Q1061" s="12"/>
      <c r="R1061" s="12"/>
      <c r="S1061" s="12"/>
      <c r="T1061" s="52">
        <v>45372.0</v>
      </c>
      <c r="U1061" s="52">
        <v>45372.0</v>
      </c>
      <c r="V1061" s="52">
        <v>45373.0</v>
      </c>
      <c r="W1061" s="30"/>
      <c r="X1061" s="30"/>
      <c r="Y1061" s="31"/>
      <c r="Z1061" s="31"/>
      <c r="AA1061" s="78" t="s">
        <v>3053</v>
      </c>
      <c r="AB1061" s="74" t="s">
        <v>4166</v>
      </c>
      <c r="AC1061" s="74"/>
    </row>
    <row r="1062" ht="16.5" customHeight="1">
      <c r="A1062" s="48" t="s">
        <v>4167</v>
      </c>
      <c r="B1062" s="53" t="s">
        <v>911</v>
      </c>
      <c r="C1062" s="47">
        <v>0.0</v>
      </c>
      <c r="D1062" s="70" t="s">
        <v>4168</v>
      </c>
      <c r="E1062" s="55" t="s">
        <v>545</v>
      </c>
      <c r="F1062" s="32" t="s">
        <v>33</v>
      </c>
      <c r="G1062" s="32" t="s">
        <v>35</v>
      </c>
      <c r="H1062" s="71" t="s">
        <v>35</v>
      </c>
      <c r="I1062" s="71" t="s">
        <v>36</v>
      </c>
      <c r="J1062" s="34" t="s">
        <v>49</v>
      </c>
      <c r="K1062" s="57" t="s">
        <v>38</v>
      </c>
      <c r="L1062" s="72">
        <v>10545.0</v>
      </c>
      <c r="M1062" s="22"/>
      <c r="N1062" s="73"/>
      <c r="O1062" s="28">
        <v>45379.0</v>
      </c>
      <c r="P1062" s="35" t="s">
        <v>4153</v>
      </c>
      <c r="Q1062" s="12"/>
      <c r="R1062" s="12"/>
      <c r="S1062" s="12"/>
      <c r="T1062" s="52">
        <v>45372.0</v>
      </c>
      <c r="U1062" s="52">
        <v>45372.0</v>
      </c>
      <c r="V1062" s="52">
        <v>45373.0</v>
      </c>
      <c r="W1062" s="30"/>
      <c r="X1062" s="30"/>
      <c r="Y1062" s="31"/>
      <c r="Z1062" s="31"/>
      <c r="AA1062" s="78" t="s">
        <v>3053</v>
      </c>
      <c r="AB1062" s="74" t="s">
        <v>4169</v>
      </c>
      <c r="AC1062" s="74"/>
    </row>
    <row r="1063" ht="16.5" customHeight="1">
      <c r="A1063" s="48" t="s">
        <v>4170</v>
      </c>
      <c r="B1063" s="53" t="s">
        <v>911</v>
      </c>
      <c r="C1063" s="47">
        <v>0.0</v>
      </c>
      <c r="D1063" s="70" t="s">
        <v>4171</v>
      </c>
      <c r="E1063" s="55" t="s">
        <v>545</v>
      </c>
      <c r="F1063" s="32" t="s">
        <v>33</v>
      </c>
      <c r="G1063" s="32" t="s">
        <v>35</v>
      </c>
      <c r="H1063" s="71" t="s">
        <v>35</v>
      </c>
      <c r="I1063" s="71" t="s">
        <v>36</v>
      </c>
      <c r="J1063" s="34" t="s">
        <v>49</v>
      </c>
      <c r="K1063" s="57" t="s">
        <v>38</v>
      </c>
      <c r="L1063" s="72">
        <v>10545.0</v>
      </c>
      <c r="M1063" s="22"/>
      <c r="N1063" s="73"/>
      <c r="O1063" s="28">
        <v>45379.0</v>
      </c>
      <c r="P1063" s="35" t="s">
        <v>4153</v>
      </c>
      <c r="Q1063" s="12"/>
      <c r="R1063" s="12"/>
      <c r="S1063" s="12"/>
      <c r="T1063" s="52">
        <v>45372.0</v>
      </c>
      <c r="U1063" s="52">
        <v>45372.0</v>
      </c>
      <c r="V1063" s="52">
        <v>45373.0</v>
      </c>
      <c r="W1063" s="30"/>
      <c r="X1063" s="30"/>
      <c r="Y1063" s="31"/>
      <c r="Z1063" s="31"/>
      <c r="AA1063" s="78" t="s">
        <v>3053</v>
      </c>
      <c r="AB1063" s="77" t="s">
        <v>4172</v>
      </c>
      <c r="AC1063" s="74"/>
    </row>
    <row r="1064" ht="16.5" customHeight="1">
      <c r="A1064" s="48" t="s">
        <v>4173</v>
      </c>
      <c r="B1064" s="53" t="s">
        <v>911</v>
      </c>
      <c r="C1064" s="47">
        <v>0.0</v>
      </c>
      <c r="D1064" s="70" t="s">
        <v>4174</v>
      </c>
      <c r="E1064" s="55" t="s">
        <v>511</v>
      </c>
      <c r="F1064" s="32" t="s">
        <v>33</v>
      </c>
      <c r="G1064" s="32" t="s">
        <v>35</v>
      </c>
      <c r="H1064" s="71" t="s">
        <v>35</v>
      </c>
      <c r="I1064" s="71" t="s">
        <v>36</v>
      </c>
      <c r="J1064" s="34" t="s">
        <v>49</v>
      </c>
      <c r="K1064" s="57" t="s">
        <v>38</v>
      </c>
      <c r="L1064" s="72">
        <v>10545.0</v>
      </c>
      <c r="M1064" s="22"/>
      <c r="N1064" s="73"/>
      <c r="O1064" s="28">
        <v>45379.0</v>
      </c>
      <c r="P1064" s="35" t="s">
        <v>4153</v>
      </c>
      <c r="Q1064" s="12"/>
      <c r="R1064" s="12"/>
      <c r="S1064" s="12"/>
      <c r="T1064" s="52">
        <v>45372.0</v>
      </c>
      <c r="U1064" s="52">
        <v>45372.0</v>
      </c>
      <c r="V1064" s="52">
        <v>45373.0</v>
      </c>
      <c r="W1064" s="30"/>
      <c r="X1064" s="30"/>
      <c r="Y1064" s="31"/>
      <c r="Z1064" s="31"/>
      <c r="AA1064" s="78" t="s">
        <v>3053</v>
      </c>
      <c r="AB1064" s="74" t="s">
        <v>4175</v>
      </c>
      <c r="AC1064" s="74"/>
    </row>
    <row r="1065" ht="16.5" customHeight="1">
      <c r="A1065" s="48" t="s">
        <v>4176</v>
      </c>
      <c r="B1065" s="53" t="s">
        <v>4177</v>
      </c>
      <c r="C1065" s="47">
        <v>0.0</v>
      </c>
      <c r="D1065" s="70"/>
      <c r="E1065" s="55" t="s">
        <v>257</v>
      </c>
      <c r="F1065" s="32" t="s">
        <v>244</v>
      </c>
      <c r="G1065" s="32" t="s">
        <v>35</v>
      </c>
      <c r="H1065" s="71" t="s">
        <v>35</v>
      </c>
      <c r="I1065" s="71" t="s">
        <v>665</v>
      </c>
      <c r="J1065" s="34" t="s">
        <v>37</v>
      </c>
      <c r="K1065" s="57" t="s">
        <v>447</v>
      </c>
      <c r="L1065" s="72">
        <v>10530.0</v>
      </c>
      <c r="M1065" s="22"/>
      <c r="N1065" s="73"/>
      <c r="O1065" s="28">
        <v>45373.0</v>
      </c>
      <c r="P1065" s="35" t="s">
        <v>4178</v>
      </c>
      <c r="Q1065" s="12"/>
      <c r="R1065" s="12"/>
      <c r="S1065" s="12"/>
      <c r="T1065" s="52">
        <v>45372.0</v>
      </c>
      <c r="U1065" s="52">
        <v>45372.0</v>
      </c>
      <c r="V1065" s="52">
        <v>45373.0</v>
      </c>
      <c r="W1065" s="30"/>
      <c r="X1065" s="30"/>
      <c r="Y1065" s="31"/>
      <c r="Z1065" s="31"/>
      <c r="AA1065" s="31"/>
      <c r="AB1065" s="74" t="s">
        <v>4179</v>
      </c>
      <c r="AC1065" s="74"/>
    </row>
    <row r="1066" ht="16.5" customHeight="1">
      <c r="A1066" s="48" t="s">
        <v>4180</v>
      </c>
      <c r="B1066" s="53" t="s">
        <v>4181</v>
      </c>
      <c r="C1066" s="47">
        <v>0.0</v>
      </c>
      <c r="D1066" s="70" t="s">
        <v>4182</v>
      </c>
      <c r="E1066" s="55" t="s">
        <v>243</v>
      </c>
      <c r="F1066" s="32" t="s">
        <v>244</v>
      </c>
      <c r="G1066" s="32" t="s">
        <v>35</v>
      </c>
      <c r="H1066" s="71" t="s">
        <v>35</v>
      </c>
      <c r="I1066" s="71" t="s">
        <v>36</v>
      </c>
      <c r="J1066" s="34" t="s">
        <v>49</v>
      </c>
      <c r="K1066" s="57" t="s">
        <v>38</v>
      </c>
      <c r="L1066" s="72">
        <v>10604.0</v>
      </c>
      <c r="M1066" s="22"/>
      <c r="N1066" s="35" t="s">
        <v>4183</v>
      </c>
      <c r="O1066" s="28">
        <v>45387.67152777778</v>
      </c>
      <c r="P1066" s="35" t="s">
        <v>4184</v>
      </c>
      <c r="Q1066" s="12"/>
      <c r="R1066" s="12"/>
      <c r="S1066" s="12"/>
      <c r="T1066" s="52">
        <v>45372.0</v>
      </c>
      <c r="U1066" s="52">
        <v>45372.0</v>
      </c>
      <c r="V1066" s="52">
        <v>45386.0</v>
      </c>
      <c r="W1066" s="30"/>
      <c r="X1066" s="30"/>
      <c r="Y1066" s="31"/>
      <c r="Z1066" s="31"/>
      <c r="AA1066" s="78" t="s">
        <v>102</v>
      </c>
      <c r="AB1066" s="74" t="s">
        <v>4185</v>
      </c>
      <c r="AC1066" s="74"/>
    </row>
    <row r="1067" ht="16.5" customHeight="1">
      <c r="A1067" s="48" t="s">
        <v>4186</v>
      </c>
      <c r="B1067" s="53" t="s">
        <v>4187</v>
      </c>
      <c r="C1067" s="47">
        <v>137.0</v>
      </c>
      <c r="D1067" s="70" t="s">
        <v>4188</v>
      </c>
      <c r="E1067" s="55" t="s">
        <v>85</v>
      </c>
      <c r="F1067" s="32" t="s">
        <v>48</v>
      </c>
      <c r="G1067" s="32" t="s">
        <v>35</v>
      </c>
      <c r="H1067" s="71" t="s">
        <v>35</v>
      </c>
      <c r="I1067" s="71" t="s">
        <v>36</v>
      </c>
      <c r="J1067" s="34" t="s">
        <v>65</v>
      </c>
      <c r="K1067" s="57" t="s">
        <v>38</v>
      </c>
      <c r="L1067" s="72">
        <v>10533.0</v>
      </c>
      <c r="M1067" s="22"/>
      <c r="N1067" s="73"/>
      <c r="O1067" s="28">
        <v>45376.0</v>
      </c>
      <c r="P1067" s="35" t="s">
        <v>4189</v>
      </c>
      <c r="Q1067" s="12"/>
      <c r="R1067" s="12"/>
      <c r="S1067" s="12"/>
      <c r="T1067" s="52">
        <v>45372.0</v>
      </c>
      <c r="U1067" s="52">
        <v>45376.0</v>
      </c>
      <c r="V1067" s="52">
        <v>45376.0</v>
      </c>
      <c r="W1067" s="30"/>
      <c r="X1067" s="30"/>
      <c r="Y1067" s="31"/>
      <c r="Z1067" s="31"/>
      <c r="AA1067" s="78" t="s">
        <v>94</v>
      </c>
      <c r="AB1067" s="74" t="s">
        <v>4190</v>
      </c>
      <c r="AC1067" s="74"/>
    </row>
    <row r="1068" ht="16.5" customHeight="1">
      <c r="A1068" s="48" t="s">
        <v>4191</v>
      </c>
      <c r="B1068" s="53" t="s">
        <v>4025</v>
      </c>
      <c r="C1068" s="47">
        <v>0.0</v>
      </c>
      <c r="D1068" s="70" t="s">
        <v>4192</v>
      </c>
      <c r="E1068" s="55" t="s">
        <v>3441</v>
      </c>
      <c r="F1068" s="32" t="s">
        <v>48</v>
      </c>
      <c r="G1068" s="32" t="s">
        <v>35</v>
      </c>
      <c r="H1068" s="71" t="s">
        <v>35</v>
      </c>
      <c r="I1068" s="71" t="s">
        <v>36</v>
      </c>
      <c r="J1068" s="34" t="s">
        <v>258</v>
      </c>
      <c r="K1068" s="57" t="s">
        <v>38</v>
      </c>
      <c r="L1068" s="72">
        <v>10832.0</v>
      </c>
      <c r="M1068" s="22"/>
      <c r="N1068" s="35" t="s">
        <v>4193</v>
      </c>
      <c r="O1068" s="28">
        <v>45436.61258101852</v>
      </c>
      <c r="P1068" s="35" t="s">
        <v>4194</v>
      </c>
      <c r="Q1068" s="12"/>
      <c r="R1068" s="12"/>
      <c r="S1068" s="12"/>
      <c r="T1068" s="52">
        <v>45372.0</v>
      </c>
      <c r="U1068" s="52">
        <v>45433.61258101852</v>
      </c>
      <c r="V1068" s="52">
        <v>45435.574907407405</v>
      </c>
      <c r="W1068" s="30"/>
      <c r="X1068" s="30"/>
      <c r="Y1068" s="31"/>
      <c r="Z1068" s="31"/>
      <c r="AA1068" s="78" t="s">
        <v>120</v>
      </c>
      <c r="AB1068" s="74" t="s">
        <v>4195</v>
      </c>
      <c r="AC1068" s="74"/>
    </row>
    <row r="1069" ht="16.5" customHeight="1">
      <c r="A1069" s="48" t="s">
        <v>4196</v>
      </c>
      <c r="B1069" s="53" t="s">
        <v>4197</v>
      </c>
      <c r="C1069" s="47">
        <v>90.0</v>
      </c>
      <c r="D1069" s="70" t="s">
        <v>4198</v>
      </c>
      <c r="E1069" s="55" t="s">
        <v>91</v>
      </c>
      <c r="F1069" s="32" t="s">
        <v>48</v>
      </c>
      <c r="G1069" s="32" t="s">
        <v>35</v>
      </c>
      <c r="H1069" s="71" t="s">
        <v>35</v>
      </c>
      <c r="I1069" s="71" t="s">
        <v>36</v>
      </c>
      <c r="J1069" s="34" t="s">
        <v>37</v>
      </c>
      <c r="K1069" s="57" t="s">
        <v>38</v>
      </c>
      <c r="L1069" s="72">
        <v>10531.0</v>
      </c>
      <c r="M1069" s="22"/>
      <c r="N1069" s="73"/>
      <c r="O1069" s="28">
        <v>45376.0</v>
      </c>
      <c r="P1069" s="35" t="s">
        <v>4199</v>
      </c>
      <c r="Q1069" s="12"/>
      <c r="R1069" s="12"/>
      <c r="S1069" s="12"/>
      <c r="T1069" s="52">
        <v>45372.0</v>
      </c>
      <c r="U1069" s="52">
        <v>45373.0</v>
      </c>
      <c r="V1069" s="52">
        <v>45373.0</v>
      </c>
      <c r="W1069" s="30"/>
      <c r="X1069" s="30"/>
      <c r="Y1069" s="31"/>
      <c r="Z1069" s="31"/>
      <c r="AA1069" s="78" t="s">
        <v>120</v>
      </c>
      <c r="AB1069" s="74" t="s">
        <v>4200</v>
      </c>
      <c r="AC1069" s="74"/>
    </row>
    <row r="1070" ht="16.5" customHeight="1">
      <c r="A1070" s="48" t="s">
        <v>4201</v>
      </c>
      <c r="B1070" s="53" t="s">
        <v>4202</v>
      </c>
      <c r="C1070" s="47">
        <v>0.0</v>
      </c>
      <c r="D1070" s="70"/>
      <c r="E1070" s="55" t="s">
        <v>268</v>
      </c>
      <c r="F1070" s="32" t="s">
        <v>33</v>
      </c>
      <c r="G1070" s="32" t="s">
        <v>34</v>
      </c>
      <c r="H1070" s="71" t="s">
        <v>35</v>
      </c>
      <c r="I1070" s="71" t="s">
        <v>665</v>
      </c>
      <c r="J1070" s="34" t="s">
        <v>518</v>
      </c>
      <c r="K1070" s="57" t="s">
        <v>38</v>
      </c>
      <c r="L1070" s="72">
        <v>10566.0</v>
      </c>
      <c r="M1070" s="22"/>
      <c r="N1070" s="73"/>
      <c r="O1070" s="28">
        <v>45385.68402777778</v>
      </c>
      <c r="P1070" s="35" t="s">
        <v>4203</v>
      </c>
      <c r="Q1070" s="12"/>
      <c r="R1070" s="12"/>
      <c r="S1070" s="12"/>
      <c r="T1070" s="52">
        <v>45372.0</v>
      </c>
      <c r="U1070" s="52">
        <v>45376.0</v>
      </c>
      <c r="V1070" s="52">
        <v>45376.0</v>
      </c>
      <c r="W1070" s="30"/>
      <c r="X1070" s="30"/>
      <c r="Y1070" s="31"/>
      <c r="Z1070" s="31"/>
      <c r="AA1070" s="31"/>
      <c r="AB1070" s="74" t="s">
        <v>4204</v>
      </c>
      <c r="AC1070" s="74"/>
    </row>
    <row r="1071" ht="16.5" customHeight="1">
      <c r="A1071" s="48" t="s">
        <v>4205</v>
      </c>
      <c r="B1071" s="53" t="s">
        <v>4206</v>
      </c>
      <c r="C1071" s="47">
        <v>0.0</v>
      </c>
      <c r="D1071" s="70" t="s">
        <v>4207</v>
      </c>
      <c r="E1071" s="55" t="s">
        <v>289</v>
      </c>
      <c r="F1071" s="32" t="s">
        <v>33</v>
      </c>
      <c r="G1071" s="32" t="s">
        <v>35</v>
      </c>
      <c r="H1071" s="71" t="s">
        <v>35</v>
      </c>
      <c r="I1071" s="71" t="s">
        <v>36</v>
      </c>
      <c r="J1071" s="34" t="s">
        <v>92</v>
      </c>
      <c r="K1071" s="57" t="s">
        <v>38</v>
      </c>
      <c r="L1071" s="72">
        <v>10524.0</v>
      </c>
      <c r="M1071" s="22"/>
      <c r="N1071" s="73"/>
      <c r="O1071" s="28">
        <v>45373.0</v>
      </c>
      <c r="P1071" s="35" t="s">
        <v>4208</v>
      </c>
      <c r="Q1071" s="12"/>
      <c r="R1071" s="12"/>
      <c r="S1071" s="12"/>
      <c r="T1071" s="52">
        <v>45372.0</v>
      </c>
      <c r="U1071" s="52">
        <v>45372.0</v>
      </c>
      <c r="V1071" s="52">
        <v>45372.0</v>
      </c>
      <c r="W1071" s="30"/>
      <c r="X1071" s="30"/>
      <c r="Y1071" s="31"/>
      <c r="Z1071" s="31"/>
      <c r="AA1071" s="78" t="s">
        <v>3059</v>
      </c>
      <c r="AB1071" s="74" t="s">
        <v>4209</v>
      </c>
      <c r="AC1071" s="74"/>
    </row>
    <row r="1072" ht="16.5" customHeight="1">
      <c r="A1072" s="48" t="s">
        <v>4210</v>
      </c>
      <c r="B1072" s="53" t="s">
        <v>4035</v>
      </c>
      <c r="C1072" s="47">
        <v>1.0</v>
      </c>
      <c r="D1072" s="70" t="s">
        <v>4211</v>
      </c>
      <c r="E1072" s="55" t="s">
        <v>3395</v>
      </c>
      <c r="F1072" s="32" t="s">
        <v>48</v>
      </c>
      <c r="G1072" s="32" t="s">
        <v>35</v>
      </c>
      <c r="H1072" s="71" t="s">
        <v>35</v>
      </c>
      <c r="I1072" s="71" t="s">
        <v>36</v>
      </c>
      <c r="J1072" s="34" t="s">
        <v>65</v>
      </c>
      <c r="K1072" s="57" t="s">
        <v>38</v>
      </c>
      <c r="L1072" s="72">
        <v>10559.0</v>
      </c>
      <c r="M1072" s="22"/>
      <c r="N1072" s="73"/>
      <c r="O1072" s="28">
        <v>45384.66458333333</v>
      </c>
      <c r="P1072" s="35" t="s">
        <v>4212</v>
      </c>
      <c r="Q1072" s="12"/>
      <c r="R1072" s="12"/>
      <c r="S1072" s="12"/>
      <c r="T1072" s="52">
        <v>45372.0</v>
      </c>
      <c r="U1072" s="52">
        <v>45378.0</v>
      </c>
      <c r="V1072" s="52">
        <v>45384.0</v>
      </c>
      <c r="W1072" s="30"/>
      <c r="X1072" s="30"/>
      <c r="Y1072" s="31"/>
      <c r="Z1072" s="31"/>
      <c r="AA1072" s="78" t="s">
        <v>94</v>
      </c>
      <c r="AB1072" s="74" t="s">
        <v>4213</v>
      </c>
      <c r="AC1072" s="74"/>
    </row>
    <row r="1073" ht="16.5" customHeight="1">
      <c r="A1073" s="48" t="s">
        <v>4214</v>
      </c>
      <c r="B1073" s="53" t="s">
        <v>4215</v>
      </c>
      <c r="C1073" s="47">
        <v>0.0</v>
      </c>
      <c r="D1073" s="70" t="s">
        <v>4216</v>
      </c>
      <c r="E1073" s="55" t="s">
        <v>511</v>
      </c>
      <c r="F1073" s="32" t="s">
        <v>33</v>
      </c>
      <c r="G1073" s="32" t="s">
        <v>35</v>
      </c>
      <c r="H1073" s="71" t="s">
        <v>35</v>
      </c>
      <c r="I1073" s="71" t="s">
        <v>36</v>
      </c>
      <c r="J1073" s="34" t="s">
        <v>420</v>
      </c>
      <c r="K1073" s="57" t="s">
        <v>38</v>
      </c>
      <c r="L1073" s="72">
        <v>10546.0</v>
      </c>
      <c r="M1073" s="22"/>
      <c r="N1073" s="73"/>
      <c r="O1073" s="28">
        <v>45379.59583333333</v>
      </c>
      <c r="P1073" s="35" t="s">
        <v>4217</v>
      </c>
      <c r="Q1073" s="12"/>
      <c r="R1073" s="12"/>
      <c r="S1073" s="12"/>
      <c r="T1073" s="52">
        <v>45373.0</v>
      </c>
      <c r="U1073" s="52">
        <v>45373.0</v>
      </c>
      <c r="V1073" s="52">
        <v>45384.0</v>
      </c>
      <c r="W1073" s="30"/>
      <c r="X1073" s="30"/>
      <c r="Y1073" s="31"/>
      <c r="Z1073" s="31"/>
      <c r="AA1073" s="78" t="s">
        <v>120</v>
      </c>
      <c r="AB1073" s="74" t="s">
        <v>4218</v>
      </c>
      <c r="AC1073" s="74"/>
    </row>
    <row r="1074" ht="16.5" customHeight="1">
      <c r="A1074" s="48" t="s">
        <v>4219</v>
      </c>
      <c r="B1074" s="53" t="s">
        <v>4215</v>
      </c>
      <c r="C1074" s="47">
        <v>0.0</v>
      </c>
      <c r="D1074" s="70" t="s">
        <v>4220</v>
      </c>
      <c r="E1074" s="55" t="s">
        <v>338</v>
      </c>
      <c r="F1074" s="32" t="s">
        <v>33</v>
      </c>
      <c r="G1074" s="32" t="s">
        <v>35</v>
      </c>
      <c r="H1074" s="71" t="s">
        <v>35</v>
      </c>
      <c r="I1074" s="71" t="s">
        <v>36</v>
      </c>
      <c r="J1074" s="34" t="s">
        <v>420</v>
      </c>
      <c r="K1074" s="57" t="s">
        <v>38</v>
      </c>
      <c r="L1074" s="72">
        <v>10546.0</v>
      </c>
      <c r="M1074" s="22"/>
      <c r="N1074" s="73"/>
      <c r="O1074" s="28">
        <v>45379.59583333333</v>
      </c>
      <c r="P1074" s="35" t="s">
        <v>4217</v>
      </c>
      <c r="Q1074" s="12"/>
      <c r="R1074" s="12"/>
      <c r="S1074" s="12"/>
      <c r="T1074" s="52">
        <v>45373.0</v>
      </c>
      <c r="U1074" s="52">
        <v>45373.0</v>
      </c>
      <c r="V1074" s="52">
        <v>45378.0</v>
      </c>
      <c r="W1074" s="30"/>
      <c r="X1074" s="30"/>
      <c r="Y1074" s="31"/>
      <c r="Z1074" s="31"/>
      <c r="AA1074" s="78" t="s">
        <v>120</v>
      </c>
      <c r="AB1074" s="74" t="s">
        <v>4221</v>
      </c>
      <c r="AC1074" s="74"/>
    </row>
    <row r="1075" ht="16.5" customHeight="1">
      <c r="A1075" s="48" t="s">
        <v>4222</v>
      </c>
      <c r="B1075" s="53" t="s">
        <v>4223</v>
      </c>
      <c r="C1075" s="47">
        <v>0.0</v>
      </c>
      <c r="D1075" s="70"/>
      <c r="E1075" s="55" t="s">
        <v>217</v>
      </c>
      <c r="F1075" s="32" t="s">
        <v>33</v>
      </c>
      <c r="G1075" s="32" t="s">
        <v>35</v>
      </c>
      <c r="H1075" s="71" t="s">
        <v>35</v>
      </c>
      <c r="I1075" s="71" t="s">
        <v>36</v>
      </c>
      <c r="J1075" s="34" t="s">
        <v>49</v>
      </c>
      <c r="K1075" s="57" t="s">
        <v>38</v>
      </c>
      <c r="L1075" s="72">
        <v>10528.0</v>
      </c>
      <c r="M1075" s="22"/>
      <c r="N1075" s="73"/>
      <c r="O1075" s="28">
        <v>45373.0</v>
      </c>
      <c r="P1075" s="35" t="s">
        <v>3596</v>
      </c>
      <c r="Q1075" s="12"/>
      <c r="R1075" s="12"/>
      <c r="S1075" s="12"/>
      <c r="T1075" s="52">
        <v>45373.0</v>
      </c>
      <c r="U1075" s="52">
        <v>45373.0</v>
      </c>
      <c r="V1075" s="52">
        <v>45373.0</v>
      </c>
      <c r="W1075" s="30"/>
      <c r="X1075" s="30"/>
      <c r="Y1075" s="31"/>
      <c r="Z1075" s="31"/>
      <c r="AA1075" s="31"/>
      <c r="AB1075" s="74" t="s">
        <v>4224</v>
      </c>
      <c r="AC1075" s="74"/>
    </row>
    <row r="1076" ht="16.5" customHeight="1">
      <c r="A1076" s="48" t="s">
        <v>4225</v>
      </c>
      <c r="B1076" s="53" t="s">
        <v>4215</v>
      </c>
      <c r="C1076" s="47">
        <v>0.0</v>
      </c>
      <c r="D1076" s="70" t="s">
        <v>4226</v>
      </c>
      <c r="E1076" s="55" t="s">
        <v>550</v>
      </c>
      <c r="F1076" s="32" t="s">
        <v>33</v>
      </c>
      <c r="G1076" s="32" t="s">
        <v>35</v>
      </c>
      <c r="H1076" s="71" t="s">
        <v>35</v>
      </c>
      <c r="I1076" s="71" t="s">
        <v>36</v>
      </c>
      <c r="J1076" s="34" t="s">
        <v>420</v>
      </c>
      <c r="K1076" s="57" t="s">
        <v>38</v>
      </c>
      <c r="L1076" s="72">
        <v>10547.0</v>
      </c>
      <c r="M1076" s="22"/>
      <c r="N1076" s="73"/>
      <c r="O1076" s="28">
        <v>45379.59583333333</v>
      </c>
      <c r="P1076" s="35" t="s">
        <v>4227</v>
      </c>
      <c r="Q1076" s="12"/>
      <c r="R1076" s="12"/>
      <c r="S1076" s="12"/>
      <c r="T1076" s="52">
        <v>45373.0</v>
      </c>
      <c r="U1076" s="52">
        <v>45376.0</v>
      </c>
      <c r="V1076" s="52">
        <v>45376.0</v>
      </c>
      <c r="W1076" s="30"/>
      <c r="X1076" s="30"/>
      <c r="Y1076" s="31"/>
      <c r="Z1076" s="31"/>
      <c r="AA1076" s="78" t="s">
        <v>120</v>
      </c>
      <c r="AB1076" s="74" t="s">
        <v>4228</v>
      </c>
      <c r="AC1076" s="74"/>
    </row>
    <row r="1077" ht="16.5" customHeight="1">
      <c r="A1077" s="48" t="s">
        <v>4229</v>
      </c>
      <c r="B1077" s="53" t="s">
        <v>4215</v>
      </c>
      <c r="C1077" s="47">
        <v>0.0</v>
      </c>
      <c r="D1077" s="70" t="s">
        <v>4230</v>
      </c>
      <c r="E1077" s="55" t="s">
        <v>79</v>
      </c>
      <c r="F1077" s="32" t="s">
        <v>33</v>
      </c>
      <c r="G1077" s="32" t="s">
        <v>35</v>
      </c>
      <c r="H1077" s="71" t="s">
        <v>35</v>
      </c>
      <c r="I1077" s="71" t="s">
        <v>36</v>
      </c>
      <c r="J1077" s="34" t="s">
        <v>420</v>
      </c>
      <c r="K1077" s="57" t="s">
        <v>38</v>
      </c>
      <c r="L1077" s="72">
        <v>10547.0</v>
      </c>
      <c r="M1077" s="22"/>
      <c r="N1077" s="73"/>
      <c r="O1077" s="28">
        <v>45379.59583333333</v>
      </c>
      <c r="P1077" s="35" t="s">
        <v>4227</v>
      </c>
      <c r="Q1077" s="12"/>
      <c r="R1077" s="12"/>
      <c r="S1077" s="12"/>
      <c r="T1077" s="52">
        <v>45373.0</v>
      </c>
      <c r="U1077" s="52">
        <v>45376.0</v>
      </c>
      <c r="V1077" s="52">
        <v>45376.0</v>
      </c>
      <c r="W1077" s="30"/>
      <c r="X1077" s="30"/>
      <c r="Y1077" s="31"/>
      <c r="Z1077" s="31"/>
      <c r="AA1077" s="78" t="s">
        <v>120</v>
      </c>
      <c r="AB1077" s="74" t="s">
        <v>4231</v>
      </c>
      <c r="AC1077" s="74"/>
    </row>
    <row r="1078" ht="16.5" customHeight="1">
      <c r="A1078" s="48" t="s">
        <v>4232</v>
      </c>
      <c r="B1078" s="53" t="s">
        <v>802</v>
      </c>
      <c r="C1078" s="47">
        <v>0.0</v>
      </c>
      <c r="D1078" s="70" t="s">
        <v>4233</v>
      </c>
      <c r="E1078" s="55" t="s">
        <v>550</v>
      </c>
      <c r="F1078" s="32" t="s">
        <v>33</v>
      </c>
      <c r="G1078" s="32" t="s">
        <v>35</v>
      </c>
      <c r="H1078" s="71" t="s">
        <v>35</v>
      </c>
      <c r="I1078" s="71" t="s">
        <v>36</v>
      </c>
      <c r="J1078" s="34" t="s">
        <v>49</v>
      </c>
      <c r="K1078" s="57" t="s">
        <v>38</v>
      </c>
      <c r="L1078" s="72">
        <v>10569.0</v>
      </c>
      <c r="M1078" s="22"/>
      <c r="N1078" s="73"/>
      <c r="O1078" s="28">
        <v>45385.666666666664</v>
      </c>
      <c r="P1078" s="35" t="s">
        <v>4234</v>
      </c>
      <c r="Q1078" s="12"/>
      <c r="R1078" s="12"/>
      <c r="S1078" s="12"/>
      <c r="T1078" s="52">
        <v>45373.0</v>
      </c>
      <c r="U1078" s="52">
        <v>45376.0</v>
      </c>
      <c r="V1078" s="52">
        <v>45383.0</v>
      </c>
      <c r="W1078" s="30"/>
      <c r="X1078" s="30"/>
      <c r="Y1078" s="31"/>
      <c r="Z1078" s="31"/>
      <c r="AA1078" s="78" t="s">
        <v>3385</v>
      </c>
      <c r="AB1078" s="74" t="s">
        <v>4235</v>
      </c>
      <c r="AC1078" s="74"/>
    </row>
    <row r="1079" ht="16.5" customHeight="1">
      <c r="A1079" s="48" t="s">
        <v>4236</v>
      </c>
      <c r="B1079" s="53" t="s">
        <v>4237</v>
      </c>
      <c r="C1079" s="47">
        <v>11.0</v>
      </c>
      <c r="D1079" s="70" t="s">
        <v>4238</v>
      </c>
      <c r="E1079" s="55" t="s">
        <v>112</v>
      </c>
      <c r="F1079" s="32" t="s">
        <v>48</v>
      </c>
      <c r="G1079" s="32" t="s">
        <v>35</v>
      </c>
      <c r="H1079" s="71" t="s">
        <v>35</v>
      </c>
      <c r="I1079" s="71" t="s">
        <v>36</v>
      </c>
      <c r="J1079" s="34" t="s">
        <v>49</v>
      </c>
      <c r="K1079" s="57" t="s">
        <v>38</v>
      </c>
      <c r="L1079" s="72">
        <v>10544.0</v>
      </c>
      <c r="M1079" s="22"/>
      <c r="N1079" s="73"/>
      <c r="O1079" s="28">
        <v>45379.67916666667</v>
      </c>
      <c r="P1079" s="35" t="s">
        <v>4239</v>
      </c>
      <c r="Q1079" s="12"/>
      <c r="R1079" s="12"/>
      <c r="S1079" s="12"/>
      <c r="T1079" s="52">
        <v>45376.0</v>
      </c>
      <c r="U1079" s="52">
        <v>45378.0</v>
      </c>
      <c r="V1079" s="52">
        <v>45378.0</v>
      </c>
      <c r="W1079" s="30"/>
      <c r="X1079" s="30"/>
      <c r="Y1079" s="31"/>
      <c r="Z1079" s="31"/>
      <c r="AA1079" s="78" t="s">
        <v>127</v>
      </c>
      <c r="AB1079" s="74" t="s">
        <v>4240</v>
      </c>
      <c r="AC1079" s="74"/>
    </row>
    <row r="1080" ht="16.5" customHeight="1">
      <c r="A1080" s="48" t="s">
        <v>4241</v>
      </c>
      <c r="B1080" s="53" t="s">
        <v>140</v>
      </c>
      <c r="C1080" s="47">
        <v>90.0</v>
      </c>
      <c r="D1080" s="70" t="s">
        <v>4242</v>
      </c>
      <c r="E1080" s="55" t="s">
        <v>91</v>
      </c>
      <c r="F1080" s="32" t="s">
        <v>48</v>
      </c>
      <c r="G1080" s="32" t="s">
        <v>35</v>
      </c>
      <c r="H1080" s="71" t="s">
        <v>35</v>
      </c>
      <c r="I1080" s="71" t="s">
        <v>36</v>
      </c>
      <c r="J1080" s="34" t="s">
        <v>1098</v>
      </c>
      <c r="K1080" s="57" t="s">
        <v>38</v>
      </c>
      <c r="L1080" s="72">
        <v>10543.0</v>
      </c>
      <c r="M1080" s="22"/>
      <c r="N1080" s="73"/>
      <c r="O1080" s="28">
        <v>45379.666666666664</v>
      </c>
      <c r="P1080" s="35" t="s">
        <v>4243</v>
      </c>
      <c r="Q1080" s="12"/>
      <c r="R1080" s="12"/>
      <c r="S1080" s="12"/>
      <c r="T1080" s="52">
        <v>45376.0</v>
      </c>
      <c r="U1080" s="52">
        <v>45378.0</v>
      </c>
      <c r="V1080" s="52">
        <v>45378.0</v>
      </c>
      <c r="W1080" s="30"/>
      <c r="X1080" s="30"/>
      <c r="Y1080" s="31"/>
      <c r="Z1080" s="31"/>
      <c r="AA1080" s="78" t="s">
        <v>145</v>
      </c>
      <c r="AB1080" s="74" t="s">
        <v>4244</v>
      </c>
      <c r="AC1080" s="74"/>
    </row>
    <row r="1081" ht="16.5" customHeight="1">
      <c r="A1081" s="48" t="s">
        <v>4245</v>
      </c>
      <c r="B1081" s="53" t="s">
        <v>4246</v>
      </c>
      <c r="C1081" s="47">
        <v>1.0</v>
      </c>
      <c r="D1081" s="70"/>
      <c r="E1081" s="55" t="s">
        <v>155</v>
      </c>
      <c r="F1081" s="32" t="s">
        <v>48</v>
      </c>
      <c r="G1081" s="32" t="s">
        <v>35</v>
      </c>
      <c r="H1081" s="71" t="s">
        <v>35</v>
      </c>
      <c r="I1081" s="71" t="s">
        <v>36</v>
      </c>
      <c r="J1081" s="34" t="s">
        <v>49</v>
      </c>
      <c r="K1081" s="57" t="s">
        <v>38</v>
      </c>
      <c r="L1081" s="72"/>
      <c r="M1081" s="22"/>
      <c r="N1081" s="73"/>
      <c r="O1081" s="28">
        <v>45382.0</v>
      </c>
      <c r="P1081" s="35" t="s">
        <v>3596</v>
      </c>
      <c r="Q1081" s="12"/>
      <c r="R1081" s="12"/>
      <c r="S1081" s="12"/>
      <c r="T1081" s="52">
        <v>45377.0</v>
      </c>
      <c r="U1081" s="52">
        <v>45377.0</v>
      </c>
      <c r="V1081" s="52">
        <v>45379.0</v>
      </c>
      <c r="W1081" s="30"/>
      <c r="X1081" s="30"/>
      <c r="Y1081" s="31"/>
      <c r="Z1081" s="31"/>
      <c r="AA1081" s="31"/>
      <c r="AB1081" s="74" t="s">
        <v>4247</v>
      </c>
      <c r="AC1081" s="74"/>
    </row>
    <row r="1082" ht="16.5" customHeight="1">
      <c r="A1082" s="48" t="s">
        <v>4248</v>
      </c>
      <c r="B1082" s="53" t="s">
        <v>530</v>
      </c>
      <c r="C1082" s="47">
        <v>0.0</v>
      </c>
      <c r="D1082" s="70" t="s">
        <v>4249</v>
      </c>
      <c r="E1082" s="55" t="s">
        <v>257</v>
      </c>
      <c r="F1082" s="32" t="s">
        <v>244</v>
      </c>
      <c r="G1082" s="32" t="s">
        <v>35</v>
      </c>
      <c r="H1082" s="71" t="s">
        <v>35</v>
      </c>
      <c r="I1082" s="71" t="s">
        <v>36</v>
      </c>
      <c r="J1082" s="34" t="s">
        <v>92</v>
      </c>
      <c r="K1082" s="57" t="s">
        <v>38</v>
      </c>
      <c r="L1082" s="72">
        <v>10570.0</v>
      </c>
      <c r="M1082" s="22"/>
      <c r="N1082" s="35" t="s">
        <v>4250</v>
      </c>
      <c r="O1082" s="28">
        <v>45411.45061342593</v>
      </c>
      <c r="P1082" s="35" t="s">
        <v>4251</v>
      </c>
      <c r="Q1082" s="12"/>
      <c r="R1082" s="12"/>
      <c r="S1082" s="12"/>
      <c r="T1082" s="52">
        <v>45377.0</v>
      </c>
      <c r="U1082" s="52">
        <v>45378.0</v>
      </c>
      <c r="V1082" s="52">
        <v>45383.0</v>
      </c>
      <c r="W1082" s="30"/>
      <c r="X1082" s="30"/>
      <c r="Y1082" s="31"/>
      <c r="Z1082" s="31"/>
      <c r="AA1082" s="78" t="s">
        <v>120</v>
      </c>
      <c r="AB1082" s="74" t="s">
        <v>4252</v>
      </c>
      <c r="AC1082" s="74"/>
    </row>
    <row r="1083" ht="16.5" customHeight="1">
      <c r="A1083" s="48" t="s">
        <v>4253</v>
      </c>
      <c r="B1083" s="53" t="s">
        <v>530</v>
      </c>
      <c r="C1083" s="47">
        <v>0.0</v>
      </c>
      <c r="D1083" s="70" t="s">
        <v>4254</v>
      </c>
      <c r="E1083" s="55" t="s">
        <v>257</v>
      </c>
      <c r="F1083" s="32" t="s">
        <v>244</v>
      </c>
      <c r="G1083" s="32" t="s">
        <v>35</v>
      </c>
      <c r="H1083" s="71" t="s">
        <v>35</v>
      </c>
      <c r="I1083" s="71" t="s">
        <v>36</v>
      </c>
      <c r="J1083" s="34" t="s">
        <v>92</v>
      </c>
      <c r="K1083" s="57" t="s">
        <v>38</v>
      </c>
      <c r="L1083" s="72">
        <v>10570.0</v>
      </c>
      <c r="M1083" s="22"/>
      <c r="N1083" s="35" t="s">
        <v>4250</v>
      </c>
      <c r="O1083" s="28">
        <v>45411.45068287037</v>
      </c>
      <c r="P1083" s="35" t="s">
        <v>4251</v>
      </c>
      <c r="Q1083" s="12"/>
      <c r="R1083" s="12"/>
      <c r="S1083" s="12"/>
      <c r="T1083" s="52">
        <v>45377.0</v>
      </c>
      <c r="U1083" s="52">
        <v>45378.0</v>
      </c>
      <c r="V1083" s="52">
        <v>45384.0</v>
      </c>
      <c r="W1083" s="30"/>
      <c r="X1083" s="30"/>
      <c r="Y1083" s="31"/>
      <c r="Z1083" s="31"/>
      <c r="AA1083" s="78" t="s">
        <v>120</v>
      </c>
      <c r="AB1083" s="74" t="s">
        <v>4255</v>
      </c>
      <c r="AC1083" s="74"/>
    </row>
    <row r="1084" ht="16.5" customHeight="1">
      <c r="A1084" s="48" t="s">
        <v>4256</v>
      </c>
      <c r="B1084" s="53" t="s">
        <v>96</v>
      </c>
      <c r="C1084" s="47">
        <v>0.0</v>
      </c>
      <c r="D1084" s="70" t="s">
        <v>4257</v>
      </c>
      <c r="E1084" s="55" t="s">
        <v>165</v>
      </c>
      <c r="F1084" s="32" t="s">
        <v>33</v>
      </c>
      <c r="G1084" s="32" t="s">
        <v>34</v>
      </c>
      <c r="H1084" s="71" t="s">
        <v>35</v>
      </c>
      <c r="I1084" s="71" t="s">
        <v>36</v>
      </c>
      <c r="J1084" s="34" t="s">
        <v>49</v>
      </c>
      <c r="K1084" s="57" t="s">
        <v>38</v>
      </c>
      <c r="L1084" s="72">
        <v>10548.0</v>
      </c>
      <c r="M1084" s="22"/>
      <c r="N1084" s="73"/>
      <c r="O1084" s="28">
        <v>45379.67847222222</v>
      </c>
      <c r="P1084" s="35" t="s">
        <v>4258</v>
      </c>
      <c r="Q1084" s="12"/>
      <c r="R1084" s="12"/>
      <c r="S1084" s="12"/>
      <c r="T1084" s="52">
        <v>45377.0</v>
      </c>
      <c r="U1084" s="52">
        <v>45377.0</v>
      </c>
      <c r="V1084" s="52">
        <v>45379.0</v>
      </c>
      <c r="W1084" s="30"/>
      <c r="X1084" s="30"/>
      <c r="Y1084" s="31"/>
      <c r="Z1084" s="31"/>
      <c r="AA1084" s="78" t="s">
        <v>102</v>
      </c>
      <c r="AB1084" s="74" t="s">
        <v>4259</v>
      </c>
      <c r="AC1084" s="74"/>
    </row>
    <row r="1085" ht="16.5" customHeight="1">
      <c r="A1085" s="48" t="s">
        <v>4260</v>
      </c>
      <c r="B1085" s="53" t="s">
        <v>96</v>
      </c>
      <c r="C1085" s="47">
        <v>0.0</v>
      </c>
      <c r="D1085" s="70" t="s">
        <v>4261</v>
      </c>
      <c r="E1085" s="55" t="s">
        <v>165</v>
      </c>
      <c r="F1085" s="32" t="s">
        <v>33</v>
      </c>
      <c r="G1085" s="32" t="s">
        <v>34</v>
      </c>
      <c r="H1085" s="71" t="s">
        <v>35</v>
      </c>
      <c r="I1085" s="71" t="s">
        <v>36</v>
      </c>
      <c r="J1085" s="34" t="s">
        <v>49</v>
      </c>
      <c r="K1085" s="57" t="s">
        <v>38</v>
      </c>
      <c r="L1085" s="72">
        <v>10548.0</v>
      </c>
      <c r="M1085" s="22"/>
      <c r="N1085" s="73"/>
      <c r="O1085" s="28">
        <v>45379.67847222222</v>
      </c>
      <c r="P1085" s="35" t="s">
        <v>4258</v>
      </c>
      <c r="Q1085" s="12"/>
      <c r="R1085" s="12"/>
      <c r="S1085" s="12"/>
      <c r="T1085" s="52">
        <v>45377.0</v>
      </c>
      <c r="U1085" s="52">
        <v>45377.0</v>
      </c>
      <c r="V1085" s="52">
        <v>45379.0</v>
      </c>
      <c r="W1085" s="30"/>
      <c r="X1085" s="30"/>
      <c r="Y1085" s="31"/>
      <c r="Z1085" s="31"/>
      <c r="AA1085" s="78" t="s">
        <v>102</v>
      </c>
      <c r="AB1085" s="74" t="s">
        <v>4262</v>
      </c>
      <c r="AC1085" s="74"/>
    </row>
    <row r="1086" ht="16.5" customHeight="1">
      <c r="A1086" s="48" t="s">
        <v>4263</v>
      </c>
      <c r="B1086" s="53" t="s">
        <v>4177</v>
      </c>
      <c r="C1086" s="47">
        <v>27.0</v>
      </c>
      <c r="D1086" s="39" t="s">
        <v>4264</v>
      </c>
      <c r="E1086" s="55" t="s">
        <v>72</v>
      </c>
      <c r="F1086" s="32" t="s">
        <v>48</v>
      </c>
      <c r="G1086" s="32" t="s">
        <v>35</v>
      </c>
      <c r="H1086" s="71" t="s">
        <v>35</v>
      </c>
      <c r="I1086" s="71" t="s">
        <v>36</v>
      </c>
      <c r="J1086" s="34" t="s">
        <v>37</v>
      </c>
      <c r="K1086" s="57" t="s">
        <v>38</v>
      </c>
      <c r="L1086" s="72">
        <v>10562.0</v>
      </c>
      <c r="M1086" s="22"/>
      <c r="N1086" s="73"/>
      <c r="O1086" s="28">
        <v>45384.0</v>
      </c>
      <c r="P1086" s="35" t="s">
        <v>4265</v>
      </c>
      <c r="Q1086" s="12"/>
      <c r="R1086" s="12"/>
      <c r="S1086" s="12"/>
      <c r="T1086" s="52">
        <v>45377.0</v>
      </c>
      <c r="U1086" s="52">
        <v>45378.0</v>
      </c>
      <c r="V1086" s="52">
        <v>45384.0</v>
      </c>
      <c r="W1086" s="30"/>
      <c r="X1086" s="30"/>
      <c r="Y1086" s="31"/>
      <c r="Z1086" s="31"/>
      <c r="AA1086" s="78" t="s">
        <v>108</v>
      </c>
      <c r="AB1086" s="74" t="s">
        <v>4266</v>
      </c>
      <c r="AC1086" s="74"/>
    </row>
    <row r="1087" ht="16.5" customHeight="1">
      <c r="A1087" s="48" t="s">
        <v>4267</v>
      </c>
      <c r="B1087" s="53" t="s">
        <v>4268</v>
      </c>
      <c r="C1087" s="47">
        <v>27.0</v>
      </c>
      <c r="D1087" s="39" t="s">
        <v>4269</v>
      </c>
      <c r="E1087" s="55" t="s">
        <v>72</v>
      </c>
      <c r="F1087" s="32" t="s">
        <v>48</v>
      </c>
      <c r="G1087" s="32" t="s">
        <v>35</v>
      </c>
      <c r="H1087" s="71" t="s">
        <v>35</v>
      </c>
      <c r="I1087" s="71" t="s">
        <v>36</v>
      </c>
      <c r="J1087" s="34" t="s">
        <v>65</v>
      </c>
      <c r="K1087" s="57" t="s">
        <v>38</v>
      </c>
      <c r="L1087" s="72">
        <v>10560.0</v>
      </c>
      <c r="M1087" s="22"/>
      <c r="N1087" s="73"/>
      <c r="O1087" s="28">
        <v>45384.669444444444</v>
      </c>
      <c r="P1087" s="35" t="s">
        <v>4270</v>
      </c>
      <c r="Q1087" s="12"/>
      <c r="R1087" s="12"/>
      <c r="S1087" s="12"/>
      <c r="T1087" s="52">
        <v>45377.0</v>
      </c>
      <c r="U1087" s="52">
        <v>45378.0</v>
      </c>
      <c r="V1087" s="52">
        <v>45384.0</v>
      </c>
      <c r="W1087" s="30"/>
      <c r="X1087" s="30"/>
      <c r="Y1087" s="31"/>
      <c r="Z1087" s="31"/>
      <c r="AA1087" s="78" t="s">
        <v>3059</v>
      </c>
      <c r="AB1087" s="74" t="s">
        <v>4271</v>
      </c>
      <c r="AC1087" s="74"/>
    </row>
    <row r="1088" ht="16.5" customHeight="1">
      <c r="A1088" s="48" t="s">
        <v>4272</v>
      </c>
      <c r="B1088" s="53" t="s">
        <v>4273</v>
      </c>
      <c r="C1088" s="47">
        <v>27.0</v>
      </c>
      <c r="D1088" s="39" t="s">
        <v>4274</v>
      </c>
      <c r="E1088" s="55" t="s">
        <v>72</v>
      </c>
      <c r="F1088" s="32" t="s">
        <v>48</v>
      </c>
      <c r="G1088" s="32" t="s">
        <v>35</v>
      </c>
      <c r="H1088" s="71" t="s">
        <v>35</v>
      </c>
      <c r="I1088" s="71" t="s">
        <v>36</v>
      </c>
      <c r="J1088" s="34" t="s">
        <v>65</v>
      </c>
      <c r="K1088" s="57" t="s">
        <v>38</v>
      </c>
      <c r="L1088" s="72">
        <v>10561.0</v>
      </c>
      <c r="M1088" s="22"/>
      <c r="N1088" s="73"/>
      <c r="O1088" s="28">
        <v>45384.66805555556</v>
      </c>
      <c r="P1088" s="35" t="s">
        <v>4275</v>
      </c>
      <c r="Q1088" s="12"/>
      <c r="R1088" s="12"/>
      <c r="S1088" s="12"/>
      <c r="T1088" s="52">
        <v>45377.0</v>
      </c>
      <c r="U1088" s="52">
        <v>45379.0</v>
      </c>
      <c r="V1088" s="52">
        <v>45384.0</v>
      </c>
      <c r="W1088" s="30"/>
      <c r="X1088" s="30"/>
      <c r="Y1088" s="31"/>
      <c r="Z1088" s="31"/>
      <c r="AA1088" s="78" t="s">
        <v>94</v>
      </c>
      <c r="AB1088" s="74" t="s">
        <v>4276</v>
      </c>
      <c r="AC1088" s="74"/>
    </row>
    <row r="1089" ht="16.5" customHeight="1">
      <c r="A1089" s="48" t="s">
        <v>4277</v>
      </c>
      <c r="B1089" s="53" t="s">
        <v>3645</v>
      </c>
      <c r="C1089" s="47">
        <v>11.0</v>
      </c>
      <c r="D1089" s="70" t="s">
        <v>4278</v>
      </c>
      <c r="E1089" s="55" t="s">
        <v>112</v>
      </c>
      <c r="F1089" s="32" t="s">
        <v>48</v>
      </c>
      <c r="G1089" s="32" t="s">
        <v>35</v>
      </c>
      <c r="H1089" s="71" t="s">
        <v>35</v>
      </c>
      <c r="I1089" s="71" t="s">
        <v>36</v>
      </c>
      <c r="J1089" s="34" t="s">
        <v>49</v>
      </c>
      <c r="K1089" s="57" t="s">
        <v>38</v>
      </c>
      <c r="L1089" s="72">
        <v>10603.0</v>
      </c>
      <c r="M1089" s="22"/>
      <c r="N1089" s="35" t="s">
        <v>4183</v>
      </c>
      <c r="O1089" s="28">
        <v>45387.67222222222</v>
      </c>
      <c r="P1089" s="35" t="s">
        <v>4279</v>
      </c>
      <c r="Q1089" s="12"/>
      <c r="R1089" s="12"/>
      <c r="S1089" s="12"/>
      <c r="T1089" s="52">
        <v>45377.0</v>
      </c>
      <c r="U1089" s="52">
        <v>45383.0</v>
      </c>
      <c r="V1089" s="52">
        <v>45387.0</v>
      </c>
      <c r="W1089" s="30"/>
      <c r="X1089" s="30"/>
      <c r="Y1089" s="31"/>
      <c r="Z1089" s="31"/>
      <c r="AA1089" s="78" t="s">
        <v>127</v>
      </c>
      <c r="AB1089" s="74" t="s">
        <v>4280</v>
      </c>
      <c r="AC1089" s="74"/>
    </row>
    <row r="1090" ht="16.5" customHeight="1">
      <c r="A1090" s="48" t="s">
        <v>4281</v>
      </c>
      <c r="B1090" s="53" t="s">
        <v>3645</v>
      </c>
      <c r="C1090" s="47">
        <v>11.0</v>
      </c>
      <c r="D1090" s="70" t="s">
        <v>4282</v>
      </c>
      <c r="E1090" s="55" t="s">
        <v>112</v>
      </c>
      <c r="F1090" s="32" t="s">
        <v>48</v>
      </c>
      <c r="G1090" s="32" t="s">
        <v>35</v>
      </c>
      <c r="H1090" s="71" t="s">
        <v>35</v>
      </c>
      <c r="I1090" s="71" t="s">
        <v>36</v>
      </c>
      <c r="J1090" s="34" t="s">
        <v>49</v>
      </c>
      <c r="K1090" s="57" t="s">
        <v>38</v>
      </c>
      <c r="L1090" s="72">
        <v>10603.0</v>
      </c>
      <c r="M1090" s="22"/>
      <c r="N1090" s="35" t="s">
        <v>4183</v>
      </c>
      <c r="O1090" s="28">
        <v>45387.67222222222</v>
      </c>
      <c r="P1090" s="35" t="s">
        <v>4279</v>
      </c>
      <c r="Q1090" s="12"/>
      <c r="R1090" s="12"/>
      <c r="S1090" s="12"/>
      <c r="T1090" s="52">
        <v>45377.0</v>
      </c>
      <c r="U1090" s="52">
        <v>45383.0</v>
      </c>
      <c r="V1090" s="52">
        <v>45387.0</v>
      </c>
      <c r="W1090" s="30"/>
      <c r="X1090" s="30"/>
      <c r="Y1090" s="31"/>
      <c r="Z1090" s="31"/>
      <c r="AA1090" s="78" t="s">
        <v>127</v>
      </c>
      <c r="AB1090" s="74" t="s">
        <v>4283</v>
      </c>
      <c r="AC1090" s="74"/>
    </row>
    <row r="1091" ht="16.5" customHeight="1">
      <c r="A1091" s="48" t="s">
        <v>4284</v>
      </c>
      <c r="B1091" s="53" t="s">
        <v>4202</v>
      </c>
      <c r="C1091" s="47">
        <v>0.0</v>
      </c>
      <c r="D1091" s="70" t="s">
        <v>4285</v>
      </c>
      <c r="E1091" s="55" t="s">
        <v>268</v>
      </c>
      <c r="F1091" s="32" t="s">
        <v>33</v>
      </c>
      <c r="G1091" s="32" t="s">
        <v>34</v>
      </c>
      <c r="H1091" s="71" t="s">
        <v>35</v>
      </c>
      <c r="I1091" s="71" t="s">
        <v>36</v>
      </c>
      <c r="J1091" s="34" t="s">
        <v>518</v>
      </c>
      <c r="K1091" s="57" t="s">
        <v>38</v>
      </c>
      <c r="L1091" s="72">
        <v>10550.0</v>
      </c>
      <c r="M1091" s="22"/>
      <c r="N1091" s="73"/>
      <c r="O1091" s="28">
        <v>45379.6875</v>
      </c>
      <c r="P1091" s="35" t="s">
        <v>4286</v>
      </c>
      <c r="Q1091" s="12"/>
      <c r="R1091" s="12"/>
      <c r="S1091" s="12"/>
      <c r="T1091" s="52">
        <v>45377.0</v>
      </c>
      <c r="U1091" s="52">
        <v>45378.0</v>
      </c>
      <c r="V1091" s="52">
        <v>45379.0</v>
      </c>
      <c r="W1091" s="30"/>
      <c r="X1091" s="30"/>
      <c r="Y1091" s="31"/>
      <c r="Z1091" s="31"/>
      <c r="AA1091" s="78" t="s">
        <v>94</v>
      </c>
      <c r="AB1091" s="74" t="s">
        <v>4287</v>
      </c>
      <c r="AC1091" s="74"/>
    </row>
    <row r="1092" ht="16.5" customHeight="1">
      <c r="A1092" s="48" t="s">
        <v>4288</v>
      </c>
      <c r="B1092" s="53" t="s">
        <v>1156</v>
      </c>
      <c r="C1092" s="47">
        <v>0.0</v>
      </c>
      <c r="D1092" s="70" t="s">
        <v>4289</v>
      </c>
      <c r="E1092" s="55" t="s">
        <v>882</v>
      </c>
      <c r="F1092" s="32" t="s">
        <v>33</v>
      </c>
      <c r="G1092" s="32" t="s">
        <v>34</v>
      </c>
      <c r="H1092" s="71" t="s">
        <v>35</v>
      </c>
      <c r="I1092" s="71" t="s">
        <v>36</v>
      </c>
      <c r="J1092" s="34" t="s">
        <v>49</v>
      </c>
      <c r="K1092" s="57" t="s">
        <v>38</v>
      </c>
      <c r="L1092" s="72">
        <v>10602.0</v>
      </c>
      <c r="M1092" s="22"/>
      <c r="N1092" s="35" t="s">
        <v>4183</v>
      </c>
      <c r="O1092" s="28">
        <v>45383.67916666667</v>
      </c>
      <c r="P1092" s="35" t="s">
        <v>4290</v>
      </c>
      <c r="Q1092" s="12"/>
      <c r="R1092" s="12"/>
      <c r="S1092" s="12"/>
      <c r="T1092" s="52">
        <v>45377.0</v>
      </c>
      <c r="U1092" s="52">
        <v>45378.0</v>
      </c>
      <c r="V1092" s="52">
        <v>45385.0</v>
      </c>
      <c r="W1092" s="30"/>
      <c r="X1092" s="30"/>
      <c r="Y1092" s="31"/>
      <c r="Z1092" s="31"/>
      <c r="AA1092" s="31"/>
      <c r="AB1092" s="74" t="s">
        <v>4291</v>
      </c>
      <c r="AC1092" s="74"/>
    </row>
    <row r="1093" ht="16.5" customHeight="1">
      <c r="A1093" s="48" t="s">
        <v>4292</v>
      </c>
      <c r="B1093" s="53" t="s">
        <v>4293</v>
      </c>
      <c r="C1093" s="47">
        <v>27.0</v>
      </c>
      <c r="D1093" s="39" t="s">
        <v>4294</v>
      </c>
      <c r="E1093" s="55" t="s">
        <v>72</v>
      </c>
      <c r="F1093" s="32" t="s">
        <v>48</v>
      </c>
      <c r="G1093" s="32" t="s">
        <v>35</v>
      </c>
      <c r="H1093" s="71" t="s">
        <v>35</v>
      </c>
      <c r="I1093" s="71" t="s">
        <v>36</v>
      </c>
      <c r="J1093" s="34" t="s">
        <v>65</v>
      </c>
      <c r="K1093" s="57" t="s">
        <v>38</v>
      </c>
      <c r="L1093" s="72">
        <v>10564.0</v>
      </c>
      <c r="M1093" s="22"/>
      <c r="N1093" s="73"/>
      <c r="O1093" s="28">
        <v>45384.66458333333</v>
      </c>
      <c r="P1093" s="35" t="s">
        <v>4295</v>
      </c>
      <c r="Q1093" s="12"/>
      <c r="R1093" s="12"/>
      <c r="S1093" s="12"/>
      <c r="T1093" s="52">
        <v>45378.0</v>
      </c>
      <c r="U1093" s="52">
        <v>45378.0</v>
      </c>
      <c r="V1093" s="52">
        <v>45384.66458333333</v>
      </c>
      <c r="W1093" s="30"/>
      <c r="X1093" s="30"/>
      <c r="Y1093" s="31"/>
      <c r="Z1093" s="31"/>
      <c r="AA1093" s="78" t="s">
        <v>94</v>
      </c>
      <c r="AB1093" s="74" t="s">
        <v>4296</v>
      </c>
      <c r="AC1093" s="74"/>
    </row>
    <row r="1094" ht="16.5" customHeight="1">
      <c r="A1094" s="48" t="s">
        <v>4297</v>
      </c>
      <c r="B1094" s="53" t="s">
        <v>4293</v>
      </c>
      <c r="C1094" s="47">
        <v>27.0</v>
      </c>
      <c r="D1094" s="39" t="s">
        <v>4298</v>
      </c>
      <c r="E1094" s="55" t="s">
        <v>72</v>
      </c>
      <c r="F1094" s="32" t="s">
        <v>48</v>
      </c>
      <c r="G1094" s="32" t="s">
        <v>35</v>
      </c>
      <c r="H1094" s="71" t="s">
        <v>35</v>
      </c>
      <c r="I1094" s="71" t="s">
        <v>36</v>
      </c>
      <c r="J1094" s="34" t="s">
        <v>65</v>
      </c>
      <c r="K1094" s="57" t="s">
        <v>38</v>
      </c>
      <c r="L1094" s="72">
        <v>10564.0</v>
      </c>
      <c r="M1094" s="22"/>
      <c r="N1094" s="73"/>
      <c r="O1094" s="28">
        <v>45384.66458333333</v>
      </c>
      <c r="P1094" s="35" t="s">
        <v>4295</v>
      </c>
      <c r="Q1094" s="12"/>
      <c r="R1094" s="12"/>
      <c r="S1094" s="12"/>
      <c r="T1094" s="52">
        <v>45378.0</v>
      </c>
      <c r="U1094" s="52">
        <v>45378.0</v>
      </c>
      <c r="V1094" s="52">
        <v>45384.66458333333</v>
      </c>
      <c r="W1094" s="30"/>
      <c r="X1094" s="30"/>
      <c r="Y1094" s="31"/>
      <c r="Z1094" s="31"/>
      <c r="AA1094" s="78" t="s">
        <v>94</v>
      </c>
      <c r="AB1094" s="74" t="s">
        <v>4299</v>
      </c>
      <c r="AC1094" s="74"/>
    </row>
    <row r="1095" ht="16.5" customHeight="1">
      <c r="A1095" s="48" t="s">
        <v>4300</v>
      </c>
      <c r="B1095" s="53" t="s">
        <v>4293</v>
      </c>
      <c r="C1095" s="47">
        <v>27.0</v>
      </c>
      <c r="D1095" s="39" t="s">
        <v>4301</v>
      </c>
      <c r="E1095" s="55" t="s">
        <v>72</v>
      </c>
      <c r="F1095" s="32" t="s">
        <v>48</v>
      </c>
      <c r="G1095" s="32" t="s">
        <v>35</v>
      </c>
      <c r="H1095" s="71" t="s">
        <v>35</v>
      </c>
      <c r="I1095" s="71" t="s">
        <v>36</v>
      </c>
      <c r="J1095" s="34" t="s">
        <v>65</v>
      </c>
      <c r="K1095" s="57" t="s">
        <v>38</v>
      </c>
      <c r="L1095" s="72">
        <v>10564.0</v>
      </c>
      <c r="M1095" s="22"/>
      <c r="N1095" s="73"/>
      <c r="O1095" s="28">
        <v>45384.66458333333</v>
      </c>
      <c r="P1095" s="35" t="s">
        <v>4295</v>
      </c>
      <c r="Q1095" s="12"/>
      <c r="R1095" s="12"/>
      <c r="S1095" s="12"/>
      <c r="T1095" s="52">
        <v>45378.0</v>
      </c>
      <c r="U1095" s="52">
        <v>45378.0</v>
      </c>
      <c r="V1095" s="52">
        <v>45384.66458333333</v>
      </c>
      <c r="W1095" s="30"/>
      <c r="X1095" s="30"/>
      <c r="Y1095" s="31"/>
      <c r="Z1095" s="31"/>
      <c r="AA1095" s="78" t="s">
        <v>94</v>
      </c>
      <c r="AB1095" s="74" t="s">
        <v>4302</v>
      </c>
      <c r="AC1095" s="74"/>
    </row>
    <row r="1096" ht="16.5" customHeight="1">
      <c r="A1096" s="48" t="s">
        <v>4303</v>
      </c>
      <c r="B1096" s="53" t="s">
        <v>3289</v>
      </c>
      <c r="C1096" s="47">
        <v>11.0</v>
      </c>
      <c r="D1096" s="70" t="s">
        <v>4304</v>
      </c>
      <c r="E1096" s="55" t="s">
        <v>112</v>
      </c>
      <c r="F1096" s="32" t="s">
        <v>48</v>
      </c>
      <c r="G1096" s="32" t="s">
        <v>35</v>
      </c>
      <c r="H1096" s="71" t="s">
        <v>35</v>
      </c>
      <c r="I1096" s="71" t="s">
        <v>36</v>
      </c>
      <c r="J1096" s="34" t="s">
        <v>92</v>
      </c>
      <c r="K1096" s="57" t="s">
        <v>38</v>
      </c>
      <c r="L1096" s="72">
        <v>15042.0</v>
      </c>
      <c r="M1096" s="22"/>
      <c r="N1096" s="73"/>
      <c r="O1096" s="28">
        <v>45384.63333333333</v>
      </c>
      <c r="P1096" s="35" t="s">
        <v>4305</v>
      </c>
      <c r="Q1096" s="12"/>
      <c r="R1096" s="12"/>
      <c r="S1096" s="12"/>
      <c r="T1096" s="52">
        <v>45378.0</v>
      </c>
      <c r="U1096" s="52">
        <v>45378.0</v>
      </c>
      <c r="V1096" s="52">
        <v>45378.0</v>
      </c>
      <c r="W1096" s="30"/>
      <c r="X1096" s="30"/>
      <c r="Y1096" s="31"/>
      <c r="Z1096" s="31"/>
      <c r="AA1096" s="78" t="s">
        <v>120</v>
      </c>
      <c r="AB1096" s="74" t="s">
        <v>4306</v>
      </c>
      <c r="AC1096" s="74"/>
    </row>
    <row r="1097" ht="16.5" customHeight="1">
      <c r="A1097" s="48" t="s">
        <v>4307</v>
      </c>
      <c r="B1097" s="53" t="s">
        <v>4308</v>
      </c>
      <c r="C1097" s="47">
        <v>90.0</v>
      </c>
      <c r="D1097" s="70" t="s">
        <v>4309</v>
      </c>
      <c r="E1097" s="55" t="s">
        <v>91</v>
      </c>
      <c r="F1097" s="32" t="s">
        <v>48</v>
      </c>
      <c r="G1097" s="32" t="s">
        <v>35</v>
      </c>
      <c r="H1097" s="71" t="s">
        <v>35</v>
      </c>
      <c r="I1097" s="71" t="s">
        <v>36</v>
      </c>
      <c r="J1097" s="34" t="s">
        <v>92</v>
      </c>
      <c r="K1097" s="57" t="s">
        <v>38</v>
      </c>
      <c r="L1097" s="72">
        <v>10601.0</v>
      </c>
      <c r="M1097" s="22"/>
      <c r="N1097" s="73"/>
      <c r="O1097" s="28">
        <v>45387.0</v>
      </c>
      <c r="P1097" s="35" t="s">
        <v>4310</v>
      </c>
      <c r="Q1097" s="12"/>
      <c r="R1097" s="12"/>
      <c r="S1097" s="12"/>
      <c r="T1097" s="52">
        <v>45378.0</v>
      </c>
      <c r="U1097" s="52">
        <v>45378.0</v>
      </c>
      <c r="V1097" s="52">
        <v>45378.0</v>
      </c>
      <c r="W1097" s="30"/>
      <c r="X1097" s="30"/>
      <c r="Y1097" s="31"/>
      <c r="Z1097" s="31"/>
      <c r="AA1097" s="78" t="s">
        <v>120</v>
      </c>
      <c r="AB1097" s="74" t="s">
        <v>4311</v>
      </c>
      <c r="AC1097" s="74"/>
    </row>
    <row r="1098" ht="16.5" customHeight="1">
      <c r="A1098" s="48" t="s">
        <v>4312</v>
      </c>
      <c r="B1098" s="53" t="s">
        <v>4313</v>
      </c>
      <c r="C1098" s="47">
        <v>137.0</v>
      </c>
      <c r="D1098" s="70" t="s">
        <v>4314</v>
      </c>
      <c r="E1098" s="55" t="s">
        <v>85</v>
      </c>
      <c r="F1098" s="32" t="s">
        <v>48</v>
      </c>
      <c r="G1098" s="32" t="s">
        <v>35</v>
      </c>
      <c r="H1098" s="71" t="s">
        <v>35</v>
      </c>
      <c r="I1098" s="71" t="s">
        <v>36</v>
      </c>
      <c r="J1098" s="34" t="s">
        <v>92</v>
      </c>
      <c r="K1098" s="57" t="s">
        <v>38</v>
      </c>
      <c r="L1098" s="72">
        <v>15041.0</v>
      </c>
      <c r="M1098" s="22"/>
      <c r="N1098" s="35" t="s">
        <v>4315</v>
      </c>
      <c r="O1098" s="28">
        <v>45387.425</v>
      </c>
      <c r="P1098" s="35" t="s">
        <v>4316</v>
      </c>
      <c r="Q1098" s="12"/>
      <c r="R1098" s="12"/>
      <c r="S1098" s="12"/>
      <c r="T1098" s="52">
        <v>45378.0</v>
      </c>
      <c r="U1098" s="52">
        <v>45378.0</v>
      </c>
      <c r="V1098" s="52">
        <v>45378.0</v>
      </c>
      <c r="W1098" s="30"/>
      <c r="X1098" s="30"/>
      <c r="Y1098" s="31"/>
      <c r="Z1098" s="31"/>
      <c r="AA1098" s="78" t="s">
        <v>120</v>
      </c>
      <c r="AB1098" s="74" t="s">
        <v>4317</v>
      </c>
      <c r="AC1098" s="74"/>
    </row>
    <row r="1099" ht="16.5" customHeight="1">
      <c r="A1099" s="48" t="s">
        <v>4318</v>
      </c>
      <c r="B1099" s="53" t="s">
        <v>4313</v>
      </c>
      <c r="C1099" s="47">
        <v>90.0</v>
      </c>
      <c r="D1099" s="70" t="s">
        <v>4319</v>
      </c>
      <c r="E1099" s="55" t="s">
        <v>91</v>
      </c>
      <c r="F1099" s="32" t="s">
        <v>48</v>
      </c>
      <c r="G1099" s="32" t="s">
        <v>35</v>
      </c>
      <c r="H1099" s="71" t="s">
        <v>35</v>
      </c>
      <c r="I1099" s="71" t="s">
        <v>36</v>
      </c>
      <c r="J1099" s="34" t="s">
        <v>92</v>
      </c>
      <c r="K1099" s="57" t="s">
        <v>38</v>
      </c>
      <c r="L1099" s="72">
        <v>10541.0</v>
      </c>
      <c r="M1099" s="22"/>
      <c r="N1099" s="35" t="s">
        <v>4315</v>
      </c>
      <c r="O1099" s="28">
        <v>45387.424305555556</v>
      </c>
      <c r="P1099" s="35" t="s">
        <v>4316</v>
      </c>
      <c r="Q1099" s="12"/>
      <c r="R1099" s="12"/>
      <c r="S1099" s="12"/>
      <c r="T1099" s="52">
        <v>45378.0</v>
      </c>
      <c r="U1099" s="52">
        <v>45378.0</v>
      </c>
      <c r="V1099" s="52">
        <v>45384.0</v>
      </c>
      <c r="W1099" s="30"/>
      <c r="X1099" s="30"/>
      <c r="Y1099" s="31"/>
      <c r="Z1099" s="31"/>
      <c r="AA1099" s="78" t="s">
        <v>120</v>
      </c>
      <c r="AB1099" s="74" t="s">
        <v>4320</v>
      </c>
      <c r="AC1099" s="74"/>
    </row>
    <row r="1100" ht="16.5" customHeight="1">
      <c r="A1100" s="48" t="s">
        <v>4321</v>
      </c>
      <c r="B1100" s="53" t="s">
        <v>4313</v>
      </c>
      <c r="C1100" s="47">
        <v>27.0</v>
      </c>
      <c r="D1100" s="39" t="s">
        <v>4322</v>
      </c>
      <c r="E1100" s="55" t="s">
        <v>72</v>
      </c>
      <c r="F1100" s="32" t="s">
        <v>48</v>
      </c>
      <c r="G1100" s="32" t="s">
        <v>35</v>
      </c>
      <c r="H1100" s="71" t="s">
        <v>35</v>
      </c>
      <c r="I1100" s="71" t="s">
        <v>36</v>
      </c>
      <c r="J1100" s="34" t="s">
        <v>92</v>
      </c>
      <c r="K1100" s="57" t="s">
        <v>38</v>
      </c>
      <c r="L1100" s="72">
        <v>10716.0</v>
      </c>
      <c r="M1100" s="22"/>
      <c r="N1100" s="73"/>
      <c r="O1100" s="28">
        <v>45412.0</v>
      </c>
      <c r="P1100" s="35" t="s">
        <v>4323</v>
      </c>
      <c r="Q1100" s="12"/>
      <c r="R1100" s="12"/>
      <c r="S1100" s="12"/>
      <c r="T1100" s="52">
        <v>45378.0</v>
      </c>
      <c r="U1100" s="52">
        <v>45409.0</v>
      </c>
      <c r="V1100" s="52">
        <v>45412.0</v>
      </c>
      <c r="W1100" s="30"/>
      <c r="X1100" s="30"/>
      <c r="Y1100" s="31"/>
      <c r="Z1100" s="31"/>
      <c r="AA1100" s="78" t="s">
        <v>120</v>
      </c>
      <c r="AB1100" s="74" t="s">
        <v>4324</v>
      </c>
      <c r="AC1100" s="74"/>
    </row>
    <row r="1101" ht="16.5" customHeight="1">
      <c r="A1101" s="48" t="s">
        <v>4325</v>
      </c>
      <c r="B1101" s="53" t="s">
        <v>4313</v>
      </c>
      <c r="C1101" s="47">
        <v>27.0</v>
      </c>
      <c r="D1101" s="39" t="s">
        <v>4326</v>
      </c>
      <c r="E1101" s="55" t="s">
        <v>72</v>
      </c>
      <c r="F1101" s="32" t="s">
        <v>48</v>
      </c>
      <c r="G1101" s="32" t="s">
        <v>35</v>
      </c>
      <c r="H1101" s="71" t="s">
        <v>35</v>
      </c>
      <c r="I1101" s="71" t="s">
        <v>36</v>
      </c>
      <c r="J1101" s="34" t="s">
        <v>92</v>
      </c>
      <c r="K1101" s="57" t="s">
        <v>38</v>
      </c>
      <c r="L1101" s="72">
        <v>10716.0</v>
      </c>
      <c r="M1101" s="22"/>
      <c r="N1101" s="73"/>
      <c r="O1101" s="28">
        <v>45412.0</v>
      </c>
      <c r="P1101" s="35" t="s">
        <v>4323</v>
      </c>
      <c r="Q1101" s="12"/>
      <c r="R1101" s="12"/>
      <c r="S1101" s="12"/>
      <c r="T1101" s="52">
        <v>45378.0</v>
      </c>
      <c r="U1101" s="52">
        <v>45409.0</v>
      </c>
      <c r="V1101" s="52">
        <v>45412.0</v>
      </c>
      <c r="W1101" s="30"/>
      <c r="X1101" s="30"/>
      <c r="Y1101" s="31"/>
      <c r="Z1101" s="31"/>
      <c r="AA1101" s="78" t="s">
        <v>120</v>
      </c>
      <c r="AB1101" s="74" t="s">
        <v>4327</v>
      </c>
      <c r="AC1101" s="74"/>
    </row>
    <row r="1102" ht="16.5" customHeight="1">
      <c r="A1102" s="48" t="s">
        <v>4328</v>
      </c>
      <c r="B1102" s="53" t="s">
        <v>4313</v>
      </c>
      <c r="C1102" s="47">
        <v>27.0</v>
      </c>
      <c r="D1102" s="39" t="s">
        <v>4329</v>
      </c>
      <c r="E1102" s="55" t="s">
        <v>72</v>
      </c>
      <c r="F1102" s="32" t="s">
        <v>48</v>
      </c>
      <c r="G1102" s="32" t="s">
        <v>35</v>
      </c>
      <c r="H1102" s="71" t="s">
        <v>35</v>
      </c>
      <c r="I1102" s="71" t="s">
        <v>36</v>
      </c>
      <c r="J1102" s="34" t="s">
        <v>92</v>
      </c>
      <c r="K1102" s="57" t="s">
        <v>38</v>
      </c>
      <c r="L1102" s="72">
        <v>10716.0</v>
      </c>
      <c r="M1102" s="22"/>
      <c r="N1102" s="73"/>
      <c r="O1102" s="28">
        <v>45412.0</v>
      </c>
      <c r="P1102" s="35" t="s">
        <v>4323</v>
      </c>
      <c r="Q1102" s="12"/>
      <c r="R1102" s="12"/>
      <c r="S1102" s="12"/>
      <c r="T1102" s="52">
        <v>45378.0</v>
      </c>
      <c r="U1102" s="52">
        <v>45409.0</v>
      </c>
      <c r="V1102" s="52">
        <v>45412.0</v>
      </c>
      <c r="W1102" s="30"/>
      <c r="X1102" s="30"/>
      <c r="Y1102" s="31"/>
      <c r="Z1102" s="31"/>
      <c r="AA1102" s="78" t="s">
        <v>120</v>
      </c>
      <c r="AB1102" s="74" t="s">
        <v>4330</v>
      </c>
      <c r="AC1102" s="74"/>
    </row>
    <row r="1103" ht="16.5" customHeight="1">
      <c r="A1103" s="48" t="s">
        <v>4331</v>
      </c>
      <c r="B1103" s="53" t="s">
        <v>4313</v>
      </c>
      <c r="C1103" s="47">
        <v>27.0</v>
      </c>
      <c r="D1103" s="39" t="s">
        <v>4332</v>
      </c>
      <c r="E1103" s="55" t="s">
        <v>72</v>
      </c>
      <c r="F1103" s="32" t="s">
        <v>48</v>
      </c>
      <c r="G1103" s="32" t="s">
        <v>35</v>
      </c>
      <c r="H1103" s="71" t="s">
        <v>35</v>
      </c>
      <c r="I1103" s="71" t="s">
        <v>36</v>
      </c>
      <c r="J1103" s="34" t="s">
        <v>92</v>
      </c>
      <c r="K1103" s="57" t="s">
        <v>38</v>
      </c>
      <c r="L1103" s="72">
        <v>10588.0</v>
      </c>
      <c r="M1103" s="22"/>
      <c r="N1103" s="35" t="s">
        <v>4315</v>
      </c>
      <c r="O1103" s="28">
        <v>45387.424305555556</v>
      </c>
      <c r="P1103" s="35" t="s">
        <v>4323</v>
      </c>
      <c r="Q1103" s="12"/>
      <c r="R1103" s="12"/>
      <c r="S1103" s="12"/>
      <c r="T1103" s="52">
        <v>45378.0</v>
      </c>
      <c r="U1103" s="52">
        <v>45378.0</v>
      </c>
      <c r="V1103" s="52">
        <v>45384.0</v>
      </c>
      <c r="W1103" s="30"/>
      <c r="X1103" s="30"/>
      <c r="Y1103" s="31"/>
      <c r="Z1103" s="31"/>
      <c r="AA1103" s="78" t="s">
        <v>120</v>
      </c>
      <c r="AB1103" s="74" t="s">
        <v>4333</v>
      </c>
      <c r="AC1103" s="74"/>
    </row>
    <row r="1104" ht="16.5" customHeight="1">
      <c r="A1104" s="48" t="s">
        <v>4334</v>
      </c>
      <c r="B1104" s="53" t="s">
        <v>4313</v>
      </c>
      <c r="C1104" s="47">
        <v>0.0</v>
      </c>
      <c r="D1104" s="70" t="s">
        <v>4335</v>
      </c>
      <c r="E1104" s="55" t="s">
        <v>79</v>
      </c>
      <c r="F1104" s="32" t="s">
        <v>33</v>
      </c>
      <c r="G1104" s="32" t="s">
        <v>35</v>
      </c>
      <c r="H1104" s="71" t="s">
        <v>35</v>
      </c>
      <c r="I1104" s="71" t="s">
        <v>36</v>
      </c>
      <c r="J1104" s="34" t="s">
        <v>49</v>
      </c>
      <c r="K1104" s="57" t="s">
        <v>38</v>
      </c>
      <c r="L1104" s="72">
        <v>10600.0</v>
      </c>
      <c r="M1104" s="22"/>
      <c r="N1104" s="35" t="s">
        <v>4336</v>
      </c>
      <c r="O1104" s="28">
        <v>45393.40694444445</v>
      </c>
      <c r="P1104" s="35" t="s">
        <v>4337</v>
      </c>
      <c r="Q1104" s="12"/>
      <c r="R1104" s="12"/>
      <c r="S1104" s="12"/>
      <c r="T1104" s="52">
        <v>45378.0</v>
      </c>
      <c r="U1104" s="52">
        <v>45378.0</v>
      </c>
      <c r="V1104" s="52">
        <v>45384.0</v>
      </c>
      <c r="W1104" s="30"/>
      <c r="X1104" s="30"/>
      <c r="Y1104" s="31"/>
      <c r="Z1104" s="31"/>
      <c r="AA1104" s="78" t="s">
        <v>120</v>
      </c>
      <c r="AB1104" s="74" t="s">
        <v>4338</v>
      </c>
      <c r="AC1104" s="74"/>
    </row>
    <row r="1105" ht="16.5" customHeight="1">
      <c r="A1105" s="48" t="s">
        <v>4339</v>
      </c>
      <c r="B1105" s="53" t="s">
        <v>4313</v>
      </c>
      <c r="C1105" s="47">
        <v>0.0</v>
      </c>
      <c r="D1105" s="70" t="s">
        <v>4340</v>
      </c>
      <c r="E1105" s="55" t="s">
        <v>79</v>
      </c>
      <c r="F1105" s="32" t="s">
        <v>33</v>
      </c>
      <c r="G1105" s="32" t="s">
        <v>35</v>
      </c>
      <c r="H1105" s="71" t="s">
        <v>35</v>
      </c>
      <c r="I1105" s="71" t="s">
        <v>36</v>
      </c>
      <c r="J1105" s="34" t="s">
        <v>49</v>
      </c>
      <c r="K1105" s="57" t="s">
        <v>38</v>
      </c>
      <c r="L1105" s="72">
        <v>10600.0</v>
      </c>
      <c r="M1105" s="22"/>
      <c r="N1105" s="35" t="s">
        <v>4336</v>
      </c>
      <c r="O1105" s="28">
        <v>45393.407638888886</v>
      </c>
      <c r="P1105" s="35" t="s">
        <v>4337</v>
      </c>
      <c r="Q1105" s="12"/>
      <c r="R1105" s="12"/>
      <c r="S1105" s="12"/>
      <c r="T1105" s="52">
        <v>45378.0</v>
      </c>
      <c r="U1105" s="52">
        <v>45378.0</v>
      </c>
      <c r="V1105" s="52">
        <v>45386.0</v>
      </c>
      <c r="W1105" s="30"/>
      <c r="X1105" s="30"/>
      <c r="Y1105" s="31"/>
      <c r="Z1105" s="31"/>
      <c r="AA1105" s="78" t="s">
        <v>120</v>
      </c>
      <c r="AB1105" s="74" t="s">
        <v>4341</v>
      </c>
      <c r="AC1105" s="74"/>
    </row>
    <row r="1106" ht="16.5" customHeight="1">
      <c r="A1106" s="48" t="s">
        <v>4342</v>
      </c>
      <c r="B1106" s="53" t="s">
        <v>4215</v>
      </c>
      <c r="C1106" s="47">
        <v>0.0</v>
      </c>
      <c r="D1106" s="70" t="s">
        <v>4343</v>
      </c>
      <c r="E1106" s="55" t="s">
        <v>79</v>
      </c>
      <c r="F1106" s="32" t="s">
        <v>33</v>
      </c>
      <c r="G1106" s="32" t="s">
        <v>35</v>
      </c>
      <c r="H1106" s="71" t="s">
        <v>35</v>
      </c>
      <c r="I1106" s="71" t="s">
        <v>36</v>
      </c>
      <c r="J1106" s="34" t="s">
        <v>37</v>
      </c>
      <c r="K1106" s="57" t="s">
        <v>38</v>
      </c>
      <c r="L1106" s="72">
        <v>10599.0</v>
      </c>
      <c r="M1106" s="22"/>
      <c r="N1106" s="35" t="s">
        <v>4344</v>
      </c>
      <c r="O1106" s="28">
        <v>45387.59861111111</v>
      </c>
      <c r="P1106" s="35" t="s">
        <v>4345</v>
      </c>
      <c r="Q1106" s="12"/>
      <c r="R1106" s="12"/>
      <c r="S1106" s="12"/>
      <c r="T1106" s="52">
        <v>45378.0</v>
      </c>
      <c r="U1106" s="52">
        <v>45378.0</v>
      </c>
      <c r="V1106" s="52">
        <v>45387.0</v>
      </c>
      <c r="W1106" s="30"/>
      <c r="X1106" s="30"/>
      <c r="Y1106" s="31"/>
      <c r="Z1106" s="31"/>
      <c r="AA1106" s="78" t="s">
        <v>120</v>
      </c>
      <c r="AB1106" s="74" t="s">
        <v>4346</v>
      </c>
      <c r="AC1106" s="74"/>
    </row>
    <row r="1107" ht="16.5" customHeight="1">
      <c r="A1107" s="48" t="s">
        <v>4347</v>
      </c>
      <c r="B1107" s="53" t="s">
        <v>3669</v>
      </c>
      <c r="C1107" s="47">
        <v>0.0</v>
      </c>
      <c r="D1107" s="70" t="s">
        <v>4348</v>
      </c>
      <c r="E1107" s="55" t="s">
        <v>338</v>
      </c>
      <c r="F1107" s="32" t="s">
        <v>33</v>
      </c>
      <c r="G1107" s="32" t="s">
        <v>34</v>
      </c>
      <c r="H1107" s="71" t="s">
        <v>35</v>
      </c>
      <c r="I1107" s="71" t="s">
        <v>36</v>
      </c>
      <c r="J1107" s="34" t="s">
        <v>92</v>
      </c>
      <c r="K1107" s="57" t="s">
        <v>38</v>
      </c>
      <c r="L1107" s="72">
        <v>10549.0</v>
      </c>
      <c r="M1107" s="22"/>
      <c r="N1107" s="73"/>
      <c r="O1107" s="28"/>
      <c r="P1107" s="35" t="s">
        <v>4349</v>
      </c>
      <c r="Q1107" s="12"/>
      <c r="R1107" s="12"/>
      <c r="S1107" s="12"/>
      <c r="T1107" s="52">
        <v>45378.0</v>
      </c>
      <c r="U1107" s="52">
        <v>45378.0</v>
      </c>
      <c r="V1107" s="52">
        <v>45379.0</v>
      </c>
      <c r="W1107" s="30"/>
      <c r="X1107" s="30"/>
      <c r="Y1107" s="31"/>
      <c r="Z1107" s="31"/>
      <c r="AA1107" s="78" t="s">
        <v>120</v>
      </c>
      <c r="AB1107" s="74" t="s">
        <v>4350</v>
      </c>
      <c r="AC1107" s="74"/>
    </row>
    <row r="1108" ht="16.5" customHeight="1">
      <c r="A1108" s="48" t="s">
        <v>4351</v>
      </c>
      <c r="B1108" s="53" t="s">
        <v>4352</v>
      </c>
      <c r="C1108" s="47">
        <v>11.0</v>
      </c>
      <c r="D1108" s="70" t="s">
        <v>4353</v>
      </c>
      <c r="E1108" s="55" t="s">
        <v>112</v>
      </c>
      <c r="F1108" s="32" t="s">
        <v>48</v>
      </c>
      <c r="G1108" s="32" t="s">
        <v>35</v>
      </c>
      <c r="H1108" s="71" t="s">
        <v>35</v>
      </c>
      <c r="I1108" s="71" t="s">
        <v>36</v>
      </c>
      <c r="J1108" s="34" t="s">
        <v>49</v>
      </c>
      <c r="K1108" s="57" t="s">
        <v>38</v>
      </c>
      <c r="L1108" s="72">
        <v>10551.0</v>
      </c>
      <c r="M1108" s="22"/>
      <c r="N1108" s="73"/>
      <c r="O1108" s="28">
        <v>45383.67916666667</v>
      </c>
      <c r="P1108" s="35" t="s">
        <v>4354</v>
      </c>
      <c r="Q1108" s="12"/>
      <c r="R1108" s="12"/>
      <c r="S1108" s="12"/>
      <c r="T1108" s="52">
        <v>45378.0</v>
      </c>
      <c r="U1108" s="52">
        <v>45378.0</v>
      </c>
      <c r="V1108" s="52">
        <v>45378.0</v>
      </c>
      <c r="W1108" s="30"/>
      <c r="X1108" s="30"/>
      <c r="Y1108" s="31"/>
      <c r="Z1108" s="31"/>
      <c r="AA1108" s="31"/>
      <c r="AB1108" s="74" t="s">
        <v>4355</v>
      </c>
      <c r="AC1108" s="74"/>
    </row>
    <row r="1109" ht="16.5" customHeight="1">
      <c r="A1109" s="48" t="s">
        <v>4356</v>
      </c>
      <c r="B1109" s="53" t="s">
        <v>4035</v>
      </c>
      <c r="C1109" s="47">
        <v>90.0</v>
      </c>
      <c r="D1109" s="70" t="s">
        <v>4357</v>
      </c>
      <c r="E1109" s="55" t="s">
        <v>91</v>
      </c>
      <c r="F1109" s="32" t="s">
        <v>48</v>
      </c>
      <c r="G1109" s="32" t="s">
        <v>35</v>
      </c>
      <c r="H1109" s="71" t="s">
        <v>35</v>
      </c>
      <c r="I1109" s="71" t="s">
        <v>36</v>
      </c>
      <c r="J1109" s="34" t="s">
        <v>65</v>
      </c>
      <c r="K1109" s="57" t="s">
        <v>38</v>
      </c>
      <c r="L1109" s="72">
        <v>10598.0</v>
      </c>
      <c r="M1109" s="22"/>
      <c r="N1109" s="35" t="s">
        <v>3461</v>
      </c>
      <c r="O1109" s="28">
        <v>45387.69375</v>
      </c>
      <c r="P1109" s="35" t="s">
        <v>4358</v>
      </c>
      <c r="Q1109" s="12"/>
      <c r="R1109" s="12"/>
      <c r="S1109" s="12"/>
      <c r="T1109" s="52">
        <v>45378.0</v>
      </c>
      <c r="U1109" s="52">
        <v>45384.0</v>
      </c>
      <c r="V1109" s="52">
        <v>45387.69375</v>
      </c>
      <c r="W1109" s="30"/>
      <c r="X1109" s="30"/>
      <c r="Y1109" s="31"/>
      <c r="Z1109" s="31"/>
      <c r="AA1109" s="78" t="s">
        <v>94</v>
      </c>
      <c r="AB1109" s="74" t="s">
        <v>4359</v>
      </c>
      <c r="AC1109" s="74"/>
    </row>
    <row r="1110" ht="16.5" customHeight="1">
      <c r="A1110" s="48" t="s">
        <v>4360</v>
      </c>
      <c r="B1110" s="53" t="s">
        <v>3289</v>
      </c>
      <c r="C1110" s="47">
        <v>0.0</v>
      </c>
      <c r="D1110" s="70" t="s">
        <v>4361</v>
      </c>
      <c r="E1110" s="55" t="s">
        <v>3441</v>
      </c>
      <c r="F1110" s="32" t="s">
        <v>48</v>
      </c>
      <c r="G1110" s="32" t="s">
        <v>35</v>
      </c>
      <c r="H1110" s="71" t="s">
        <v>35</v>
      </c>
      <c r="I1110" s="71" t="s">
        <v>36</v>
      </c>
      <c r="J1110" s="34" t="s">
        <v>92</v>
      </c>
      <c r="K1110" s="57" t="s">
        <v>38</v>
      </c>
      <c r="L1110" s="72">
        <v>10851.0</v>
      </c>
      <c r="M1110" s="22" t="s">
        <v>50</v>
      </c>
      <c r="N1110" s="35" t="s">
        <v>4362</v>
      </c>
      <c r="O1110" s="28">
        <v>45436.0</v>
      </c>
      <c r="P1110" s="35" t="s">
        <v>4363</v>
      </c>
      <c r="Q1110" s="12"/>
      <c r="R1110" s="12"/>
      <c r="S1110" s="12"/>
      <c r="T1110" s="52">
        <v>45379.0</v>
      </c>
      <c r="U1110" s="52">
        <v>45433.0</v>
      </c>
      <c r="V1110" s="52">
        <v>45435.57491898148</v>
      </c>
      <c r="W1110" s="30"/>
      <c r="X1110" s="30"/>
      <c r="Y1110" s="31"/>
      <c r="Z1110" s="31"/>
      <c r="AA1110" s="31"/>
      <c r="AB1110" s="74" t="s">
        <v>4364</v>
      </c>
      <c r="AC1110" s="74"/>
    </row>
    <row r="1111" ht="16.5" customHeight="1">
      <c r="A1111" s="48" t="s">
        <v>4365</v>
      </c>
      <c r="B1111" s="53" t="s">
        <v>3211</v>
      </c>
      <c r="C1111" s="47">
        <v>90.0</v>
      </c>
      <c r="D1111" s="70" t="s">
        <v>4366</v>
      </c>
      <c r="E1111" s="55" t="s">
        <v>91</v>
      </c>
      <c r="F1111" s="32" t="s">
        <v>48</v>
      </c>
      <c r="G1111" s="32" t="s">
        <v>35</v>
      </c>
      <c r="H1111" s="71" t="s">
        <v>35</v>
      </c>
      <c r="I1111" s="71" t="s">
        <v>36</v>
      </c>
      <c r="J1111" s="34" t="s">
        <v>92</v>
      </c>
      <c r="K1111" s="57" t="s">
        <v>38</v>
      </c>
      <c r="L1111" s="72">
        <v>10552.0</v>
      </c>
      <c r="M1111" s="22"/>
      <c r="N1111" s="73"/>
      <c r="O1111" s="28">
        <v>45384.64861111111</v>
      </c>
      <c r="P1111" s="35" t="s">
        <v>4367</v>
      </c>
      <c r="Q1111" s="12"/>
      <c r="R1111" s="12"/>
      <c r="S1111" s="12"/>
      <c r="T1111" s="52">
        <v>45379.0</v>
      </c>
      <c r="U1111" s="52">
        <v>45379.0</v>
      </c>
      <c r="V1111" s="52">
        <v>45379.0</v>
      </c>
      <c r="W1111" s="30"/>
      <c r="X1111" s="30"/>
      <c r="Y1111" s="31"/>
      <c r="Z1111" s="31"/>
      <c r="AA1111" s="78" t="s">
        <v>120</v>
      </c>
      <c r="AB1111" s="74" t="s">
        <v>4368</v>
      </c>
      <c r="AC1111" s="74"/>
    </row>
    <row r="1112" ht="16.5" customHeight="1">
      <c r="A1112" s="48" t="s">
        <v>4369</v>
      </c>
      <c r="B1112" s="53" t="s">
        <v>4370</v>
      </c>
      <c r="C1112" s="47">
        <v>0.0</v>
      </c>
      <c r="D1112" s="70" t="s">
        <v>4371</v>
      </c>
      <c r="E1112" s="55" t="s">
        <v>701</v>
      </c>
      <c r="F1112" s="32" t="s">
        <v>33</v>
      </c>
      <c r="G1112" s="32" t="s">
        <v>34</v>
      </c>
      <c r="H1112" s="71" t="s">
        <v>35</v>
      </c>
      <c r="I1112" s="71" t="s">
        <v>36</v>
      </c>
      <c r="J1112" s="34" t="s">
        <v>37</v>
      </c>
      <c r="K1112" s="57" t="s">
        <v>38</v>
      </c>
      <c r="L1112" s="72">
        <v>10597.0</v>
      </c>
      <c r="M1112" s="22"/>
      <c r="N1112" s="35" t="s">
        <v>4344</v>
      </c>
      <c r="O1112" s="28">
        <v>45387.59861111111</v>
      </c>
      <c r="P1112" s="35" t="s">
        <v>4372</v>
      </c>
      <c r="Q1112" s="12"/>
      <c r="R1112" s="12"/>
      <c r="S1112" s="12"/>
      <c r="T1112" s="52">
        <v>45379.0</v>
      </c>
      <c r="U1112" s="52">
        <v>45383.0</v>
      </c>
      <c r="V1112" s="52">
        <v>45387.0</v>
      </c>
      <c r="W1112" s="30"/>
      <c r="X1112" s="30"/>
      <c r="Y1112" s="31"/>
      <c r="Z1112" s="31"/>
      <c r="AA1112" s="78" t="s">
        <v>108</v>
      </c>
      <c r="AB1112" s="74" t="s">
        <v>4373</v>
      </c>
      <c r="AC1112" s="74"/>
    </row>
    <row r="1113" ht="16.5" customHeight="1">
      <c r="A1113" s="48" t="s">
        <v>4374</v>
      </c>
      <c r="B1113" s="53" t="s">
        <v>4375</v>
      </c>
      <c r="C1113" s="47">
        <v>1.0</v>
      </c>
      <c r="D1113" s="70" t="s">
        <v>4376</v>
      </c>
      <c r="E1113" s="55" t="s">
        <v>3395</v>
      </c>
      <c r="F1113" s="32" t="s">
        <v>48</v>
      </c>
      <c r="G1113" s="32" t="s">
        <v>35</v>
      </c>
      <c r="H1113" s="71" t="s">
        <v>35</v>
      </c>
      <c r="I1113" s="71" t="s">
        <v>36</v>
      </c>
      <c r="J1113" s="34" t="s">
        <v>65</v>
      </c>
      <c r="K1113" s="57" t="s">
        <v>38</v>
      </c>
      <c r="L1113" s="72">
        <v>10571.0</v>
      </c>
      <c r="M1113" s="22"/>
      <c r="N1113" s="73"/>
      <c r="O1113" s="28">
        <v>45384.669444444444</v>
      </c>
      <c r="P1113" s="35" t="s">
        <v>4377</v>
      </c>
      <c r="Q1113" s="12"/>
      <c r="R1113" s="12"/>
      <c r="S1113" s="12"/>
      <c r="T1113" s="52">
        <v>45379.0</v>
      </c>
      <c r="U1113" s="52">
        <v>45383.0</v>
      </c>
      <c r="V1113" s="52">
        <v>45384.0</v>
      </c>
      <c r="W1113" s="30"/>
      <c r="X1113" s="30"/>
      <c r="Y1113" s="31"/>
      <c r="Z1113" s="31"/>
      <c r="AA1113" s="78" t="s">
        <v>94</v>
      </c>
      <c r="AB1113" s="74" t="s">
        <v>4378</v>
      </c>
      <c r="AC1113" s="74"/>
    </row>
    <row r="1114" ht="16.5" customHeight="1">
      <c r="A1114" s="48" t="s">
        <v>4379</v>
      </c>
      <c r="B1114" s="53" t="s">
        <v>4375</v>
      </c>
      <c r="C1114" s="47">
        <v>0.0</v>
      </c>
      <c r="D1114" s="70" t="s">
        <v>4380</v>
      </c>
      <c r="E1114" s="55" t="s">
        <v>79</v>
      </c>
      <c r="F1114" s="32" t="s">
        <v>33</v>
      </c>
      <c r="G1114" s="32" t="s">
        <v>35</v>
      </c>
      <c r="H1114" s="71" t="s">
        <v>35</v>
      </c>
      <c r="I1114" s="71" t="s">
        <v>36</v>
      </c>
      <c r="J1114" s="34" t="s">
        <v>65</v>
      </c>
      <c r="K1114" s="57" t="s">
        <v>38</v>
      </c>
      <c r="L1114" s="72">
        <v>10638.0</v>
      </c>
      <c r="M1114" s="22"/>
      <c r="N1114" s="35" t="s">
        <v>3461</v>
      </c>
      <c r="O1114" s="28">
        <v>45398.611805555556</v>
      </c>
      <c r="P1114" s="35" t="s">
        <v>4377</v>
      </c>
      <c r="Q1114" s="12"/>
      <c r="R1114" s="12"/>
      <c r="S1114" s="12"/>
      <c r="T1114" s="52">
        <v>45379.0</v>
      </c>
      <c r="U1114" s="52">
        <v>45383.0</v>
      </c>
      <c r="V1114" s="52">
        <v>45393.0</v>
      </c>
      <c r="W1114" s="30"/>
      <c r="X1114" s="30"/>
      <c r="Y1114" s="31"/>
      <c r="Z1114" s="31"/>
      <c r="AA1114" s="78" t="s">
        <v>94</v>
      </c>
      <c r="AB1114" s="74" t="s">
        <v>4381</v>
      </c>
      <c r="AC1114" s="74"/>
    </row>
    <row r="1115" ht="16.5" customHeight="1">
      <c r="A1115" s="48" t="s">
        <v>4382</v>
      </c>
      <c r="B1115" s="53" t="s">
        <v>4035</v>
      </c>
      <c r="C1115" s="47">
        <v>27.0</v>
      </c>
      <c r="D1115" s="70" t="s">
        <v>4383</v>
      </c>
      <c r="E1115" s="55" t="s">
        <v>72</v>
      </c>
      <c r="F1115" s="32" t="s">
        <v>48</v>
      </c>
      <c r="G1115" s="32" t="s">
        <v>35</v>
      </c>
      <c r="H1115" s="71" t="s">
        <v>35</v>
      </c>
      <c r="I1115" s="71" t="s">
        <v>36</v>
      </c>
      <c r="J1115" s="34" t="s">
        <v>65</v>
      </c>
      <c r="K1115" s="57" t="s">
        <v>38</v>
      </c>
      <c r="L1115" s="72">
        <v>10565.0</v>
      </c>
      <c r="M1115" s="22"/>
      <c r="N1115" s="73"/>
      <c r="O1115" s="28">
        <v>45384.669444444444</v>
      </c>
      <c r="P1115" s="35" t="s">
        <v>4384</v>
      </c>
      <c r="Q1115" s="12"/>
      <c r="R1115" s="12"/>
      <c r="S1115" s="12"/>
      <c r="T1115" s="52">
        <v>45379.0</v>
      </c>
      <c r="U1115" s="52">
        <v>45383.0</v>
      </c>
      <c r="V1115" s="52">
        <v>45384.0</v>
      </c>
      <c r="W1115" s="30"/>
      <c r="X1115" s="30"/>
      <c r="Y1115" s="31"/>
      <c r="Z1115" s="31"/>
      <c r="AA1115" s="78" t="s">
        <v>94</v>
      </c>
      <c r="AB1115" s="74" t="s">
        <v>4385</v>
      </c>
      <c r="AC1115" s="74"/>
    </row>
    <row r="1116" ht="16.5" customHeight="1">
      <c r="A1116" s="48" t="s">
        <v>4386</v>
      </c>
      <c r="B1116" s="53" t="s">
        <v>2138</v>
      </c>
      <c r="C1116" s="47">
        <v>27.0</v>
      </c>
      <c r="D1116" s="70" t="s">
        <v>4387</v>
      </c>
      <c r="E1116" s="55" t="s">
        <v>72</v>
      </c>
      <c r="F1116" s="32" t="s">
        <v>48</v>
      </c>
      <c r="G1116" s="32" t="s">
        <v>35</v>
      </c>
      <c r="H1116" s="71" t="s">
        <v>35</v>
      </c>
      <c r="I1116" s="71" t="s">
        <v>36</v>
      </c>
      <c r="J1116" s="34" t="s">
        <v>65</v>
      </c>
      <c r="K1116" s="57" t="s">
        <v>38</v>
      </c>
      <c r="L1116" s="72">
        <v>10596.0</v>
      </c>
      <c r="M1116" s="22"/>
      <c r="N1116" s="35" t="s">
        <v>3461</v>
      </c>
      <c r="O1116" s="28">
        <v>45387.694444444445</v>
      </c>
      <c r="P1116" s="35" t="s">
        <v>4388</v>
      </c>
      <c r="Q1116" s="12"/>
      <c r="R1116" s="12"/>
      <c r="S1116" s="12"/>
      <c r="T1116" s="52">
        <v>45379.0</v>
      </c>
      <c r="U1116" s="52">
        <v>45387.694444444445</v>
      </c>
      <c r="V1116" s="52">
        <v>45387.0</v>
      </c>
      <c r="W1116" s="30"/>
      <c r="X1116" s="30"/>
      <c r="Y1116" s="31"/>
      <c r="Z1116" s="31"/>
      <c r="AA1116" s="78" t="s">
        <v>94</v>
      </c>
      <c r="AB1116" s="74" t="s">
        <v>4389</v>
      </c>
      <c r="AC1116" s="74"/>
    </row>
    <row r="1117" ht="16.5" customHeight="1">
      <c r="A1117" s="48" t="s">
        <v>4390</v>
      </c>
      <c r="B1117" s="53" t="s">
        <v>4313</v>
      </c>
      <c r="C1117" s="47">
        <v>0.0</v>
      </c>
      <c r="D1117" s="70" t="s">
        <v>4391</v>
      </c>
      <c r="E1117" s="55" t="s">
        <v>1119</v>
      </c>
      <c r="F1117" s="32" t="s">
        <v>33</v>
      </c>
      <c r="G1117" s="32" t="s">
        <v>35</v>
      </c>
      <c r="H1117" s="71" t="s">
        <v>35</v>
      </c>
      <c r="I1117" s="71" t="s">
        <v>36</v>
      </c>
      <c r="J1117" s="34" t="s">
        <v>37</v>
      </c>
      <c r="K1117" s="57" t="s">
        <v>38</v>
      </c>
      <c r="L1117" s="72">
        <v>10619.0</v>
      </c>
      <c r="M1117" s="22"/>
      <c r="N1117" s="35" t="s">
        <v>4392</v>
      </c>
      <c r="O1117" s="28">
        <v>45434.681666666664</v>
      </c>
      <c r="P1117" s="35" t="s">
        <v>4393</v>
      </c>
      <c r="Q1117" s="12"/>
      <c r="R1117" s="12"/>
      <c r="S1117" s="12"/>
      <c r="T1117" s="52">
        <v>45379.0</v>
      </c>
      <c r="U1117" s="52">
        <v>45431.681666666664</v>
      </c>
      <c r="V1117" s="52">
        <v>45434.681666666664</v>
      </c>
      <c r="W1117" s="30"/>
      <c r="X1117" s="30"/>
      <c r="Y1117" s="31"/>
      <c r="Z1117" s="31"/>
      <c r="AA1117" s="78" t="s">
        <v>120</v>
      </c>
      <c r="AB1117" s="74" t="s">
        <v>4394</v>
      </c>
      <c r="AC1117" s="74"/>
    </row>
    <row r="1118" ht="16.5" customHeight="1">
      <c r="A1118" s="48" t="s">
        <v>4395</v>
      </c>
      <c r="B1118" s="53" t="s">
        <v>4313</v>
      </c>
      <c r="C1118" s="47">
        <v>0.0</v>
      </c>
      <c r="D1118" s="70" t="s">
        <v>4396</v>
      </c>
      <c r="E1118" s="55" t="s">
        <v>913</v>
      </c>
      <c r="F1118" s="32" t="s">
        <v>33</v>
      </c>
      <c r="G1118" s="32" t="s">
        <v>35</v>
      </c>
      <c r="H1118" s="71" t="s">
        <v>35</v>
      </c>
      <c r="I1118" s="71" t="s">
        <v>36</v>
      </c>
      <c r="J1118" s="34" t="s">
        <v>92</v>
      </c>
      <c r="K1118" s="57" t="s">
        <v>38</v>
      </c>
      <c r="L1118" s="72">
        <v>10619.0</v>
      </c>
      <c r="M1118" s="22"/>
      <c r="N1118" s="35" t="s">
        <v>4397</v>
      </c>
      <c r="O1118" s="28">
        <v>45411.0</v>
      </c>
      <c r="P1118" s="35" t="s">
        <v>4393</v>
      </c>
      <c r="Q1118" s="12"/>
      <c r="R1118" s="12"/>
      <c r="S1118" s="12"/>
      <c r="T1118" s="52">
        <v>45379.0</v>
      </c>
      <c r="U1118" s="52">
        <v>45383.0</v>
      </c>
      <c r="V1118" s="52">
        <v>45408.0</v>
      </c>
      <c r="W1118" s="30"/>
      <c r="X1118" s="30"/>
      <c r="Y1118" s="31"/>
      <c r="Z1118" s="31"/>
      <c r="AA1118" s="78" t="s">
        <v>120</v>
      </c>
      <c r="AB1118" s="74" t="s">
        <v>4398</v>
      </c>
      <c r="AC1118" s="74"/>
    </row>
    <row r="1119" ht="16.5" customHeight="1">
      <c r="A1119" s="48" t="s">
        <v>4399</v>
      </c>
      <c r="B1119" s="53" t="s">
        <v>4313</v>
      </c>
      <c r="C1119" s="47">
        <v>0.0</v>
      </c>
      <c r="D1119" s="70" t="s">
        <v>4400</v>
      </c>
      <c r="E1119" s="55" t="s">
        <v>913</v>
      </c>
      <c r="F1119" s="32" t="s">
        <v>33</v>
      </c>
      <c r="G1119" s="32" t="s">
        <v>35</v>
      </c>
      <c r="H1119" s="71" t="s">
        <v>35</v>
      </c>
      <c r="I1119" s="71" t="s">
        <v>36</v>
      </c>
      <c r="J1119" s="34" t="s">
        <v>92</v>
      </c>
      <c r="K1119" s="57" t="s">
        <v>38</v>
      </c>
      <c r="L1119" s="72">
        <v>10708.0</v>
      </c>
      <c r="M1119" s="22"/>
      <c r="N1119" s="35" t="s">
        <v>4397</v>
      </c>
      <c r="O1119" s="28">
        <v>45411.0</v>
      </c>
      <c r="P1119" s="35" t="s">
        <v>4393</v>
      </c>
      <c r="Q1119" s="12"/>
      <c r="R1119" s="12"/>
      <c r="S1119" s="12"/>
      <c r="T1119" s="52">
        <v>45379.0</v>
      </c>
      <c r="U1119" s="52">
        <v>45383.0</v>
      </c>
      <c r="V1119" s="52">
        <v>45408.0</v>
      </c>
      <c r="W1119" s="30"/>
      <c r="X1119" s="30"/>
      <c r="Y1119" s="31"/>
      <c r="Z1119" s="31"/>
      <c r="AA1119" s="78" t="s">
        <v>120</v>
      </c>
      <c r="AB1119" s="74" t="s">
        <v>4401</v>
      </c>
      <c r="AC1119" s="74"/>
    </row>
    <row r="1120" ht="16.5" customHeight="1">
      <c r="A1120" s="48" t="s">
        <v>4402</v>
      </c>
      <c r="B1120" s="53" t="s">
        <v>530</v>
      </c>
      <c r="C1120" s="47">
        <v>0.0</v>
      </c>
      <c r="D1120" s="70" t="s">
        <v>4403</v>
      </c>
      <c r="E1120" s="55" t="s">
        <v>1693</v>
      </c>
      <c r="F1120" s="32" t="s">
        <v>48</v>
      </c>
      <c r="G1120" s="32" t="s">
        <v>35</v>
      </c>
      <c r="H1120" s="71" t="s">
        <v>35</v>
      </c>
      <c r="I1120" s="71" t="s">
        <v>36</v>
      </c>
      <c r="J1120" s="34" t="s">
        <v>49</v>
      </c>
      <c r="K1120" s="57" t="s">
        <v>38</v>
      </c>
      <c r="L1120" s="72">
        <v>10581.0</v>
      </c>
      <c r="M1120" s="22"/>
      <c r="N1120" s="73"/>
      <c r="O1120" s="28">
        <v>45386.428506944445</v>
      </c>
      <c r="P1120" s="35" t="s">
        <v>4404</v>
      </c>
      <c r="Q1120" s="12"/>
      <c r="R1120" s="12"/>
      <c r="S1120" s="12"/>
      <c r="T1120" s="52">
        <v>45379.0</v>
      </c>
      <c r="U1120" s="52">
        <v>45384.0</v>
      </c>
      <c r="V1120" s="52">
        <v>45384.0</v>
      </c>
      <c r="W1120" s="30"/>
      <c r="X1120" s="30"/>
      <c r="Y1120" s="31"/>
      <c r="Z1120" s="31"/>
      <c r="AA1120" s="78" t="s">
        <v>120</v>
      </c>
      <c r="AB1120" s="74" t="s">
        <v>4405</v>
      </c>
      <c r="AC1120" s="74"/>
    </row>
    <row r="1121" ht="16.5" customHeight="1">
      <c r="A1121" s="48" t="s">
        <v>4406</v>
      </c>
      <c r="B1121" s="53" t="s">
        <v>3289</v>
      </c>
      <c r="C1121" s="47">
        <v>90.0</v>
      </c>
      <c r="D1121" s="70" t="s">
        <v>4407</v>
      </c>
      <c r="E1121" s="55" t="s">
        <v>91</v>
      </c>
      <c r="F1121" s="32" t="s">
        <v>48</v>
      </c>
      <c r="G1121" s="32" t="s">
        <v>35</v>
      </c>
      <c r="H1121" s="71" t="s">
        <v>35</v>
      </c>
      <c r="I1121" s="71" t="s">
        <v>36</v>
      </c>
      <c r="J1121" s="34" t="s">
        <v>92</v>
      </c>
      <c r="K1121" s="57" t="s">
        <v>38</v>
      </c>
      <c r="L1121" s="72">
        <v>10553.0</v>
      </c>
      <c r="M1121" s="22"/>
      <c r="N1121" s="73"/>
      <c r="O1121" s="28">
        <v>45384.63333333333</v>
      </c>
      <c r="P1121" s="35" t="s">
        <v>4408</v>
      </c>
      <c r="Q1121" s="12"/>
      <c r="R1121" s="12"/>
      <c r="S1121" s="12"/>
      <c r="T1121" s="52">
        <v>45379.0</v>
      </c>
      <c r="U1121" s="52">
        <v>45383.0</v>
      </c>
      <c r="V1121" s="52">
        <v>45383.0</v>
      </c>
      <c r="W1121" s="30"/>
      <c r="X1121" s="30"/>
      <c r="Y1121" s="31"/>
      <c r="Z1121" s="31"/>
      <c r="AA1121" s="78" t="s">
        <v>120</v>
      </c>
      <c r="AB1121" s="74" t="s">
        <v>4409</v>
      </c>
      <c r="AC1121" s="74"/>
    </row>
    <row r="1122" ht="16.5" customHeight="1">
      <c r="A1122" s="48" t="s">
        <v>4410</v>
      </c>
      <c r="B1122" s="53" t="s">
        <v>110</v>
      </c>
      <c r="C1122" s="47">
        <v>90.0</v>
      </c>
      <c r="D1122" s="70" t="s">
        <v>4411</v>
      </c>
      <c r="E1122" s="55" t="s">
        <v>91</v>
      </c>
      <c r="F1122" s="32" t="s">
        <v>48</v>
      </c>
      <c r="G1122" s="32" t="s">
        <v>35</v>
      </c>
      <c r="H1122" s="71" t="s">
        <v>35</v>
      </c>
      <c r="I1122" s="71" t="s">
        <v>36</v>
      </c>
      <c r="J1122" s="34" t="s">
        <v>65</v>
      </c>
      <c r="K1122" s="57" t="s">
        <v>38</v>
      </c>
      <c r="L1122" s="72">
        <v>10555.0</v>
      </c>
      <c r="M1122" s="22"/>
      <c r="N1122" s="73"/>
      <c r="O1122" s="28">
        <v>45383.657638888886</v>
      </c>
      <c r="P1122" s="35" t="s">
        <v>4412</v>
      </c>
      <c r="Q1122" s="12"/>
      <c r="R1122" s="12"/>
      <c r="S1122" s="12"/>
      <c r="T1122" s="52">
        <v>45383.0</v>
      </c>
      <c r="U1122" s="52">
        <v>45383.0</v>
      </c>
      <c r="V1122" s="52">
        <v>45383.0</v>
      </c>
      <c r="W1122" s="30"/>
      <c r="X1122" s="30"/>
      <c r="Y1122" s="31"/>
      <c r="Z1122" s="31"/>
      <c r="AA1122" s="78" t="s">
        <v>94</v>
      </c>
      <c r="AB1122" s="74" t="s">
        <v>4413</v>
      </c>
      <c r="AC1122" s="74"/>
    </row>
    <row r="1123" ht="16.5" customHeight="1">
      <c r="A1123" s="48" t="s">
        <v>4414</v>
      </c>
      <c r="B1123" s="53" t="s">
        <v>4035</v>
      </c>
      <c r="C1123" s="47">
        <v>137.0</v>
      </c>
      <c r="D1123" s="70" t="s">
        <v>4415</v>
      </c>
      <c r="E1123" s="55" t="s">
        <v>85</v>
      </c>
      <c r="F1123" s="32" t="s">
        <v>48</v>
      </c>
      <c r="G1123" s="32" t="s">
        <v>35</v>
      </c>
      <c r="H1123" s="71" t="s">
        <v>35</v>
      </c>
      <c r="I1123" s="71" t="s">
        <v>36</v>
      </c>
      <c r="J1123" s="34" t="s">
        <v>65</v>
      </c>
      <c r="K1123" s="57" t="s">
        <v>38</v>
      </c>
      <c r="L1123" s="72">
        <v>10617.0</v>
      </c>
      <c r="M1123" s="22"/>
      <c r="N1123" s="35" t="s">
        <v>4416</v>
      </c>
      <c r="O1123" s="28">
        <v>45390.66458333333</v>
      </c>
      <c r="P1123" s="35" t="s">
        <v>4417</v>
      </c>
      <c r="Q1123" s="12"/>
      <c r="R1123" s="12"/>
      <c r="S1123" s="12"/>
      <c r="T1123" s="52">
        <v>45383.0</v>
      </c>
      <c r="U1123" s="52">
        <v>45384.0</v>
      </c>
      <c r="V1123" s="52">
        <v>45384.0</v>
      </c>
      <c r="W1123" s="30"/>
      <c r="X1123" s="30"/>
      <c r="Y1123" s="31"/>
      <c r="Z1123" s="31"/>
      <c r="AA1123" s="78" t="s">
        <v>94</v>
      </c>
      <c r="AB1123" s="74" t="s">
        <v>4418</v>
      </c>
      <c r="AC1123" s="74"/>
    </row>
    <row r="1124" ht="16.5" customHeight="1">
      <c r="A1124" s="48" t="s">
        <v>4419</v>
      </c>
      <c r="B1124" s="53" t="s">
        <v>4147</v>
      </c>
      <c r="C1124" s="47">
        <v>137.0</v>
      </c>
      <c r="D1124" s="70" t="s">
        <v>4420</v>
      </c>
      <c r="E1124" s="55" t="s">
        <v>85</v>
      </c>
      <c r="F1124" s="32" t="s">
        <v>48</v>
      </c>
      <c r="G1124" s="32" t="s">
        <v>35</v>
      </c>
      <c r="H1124" s="71" t="s">
        <v>35</v>
      </c>
      <c r="I1124" s="71" t="s">
        <v>36</v>
      </c>
      <c r="J1124" s="34" t="s">
        <v>49</v>
      </c>
      <c r="K1124" s="57" t="s">
        <v>38</v>
      </c>
      <c r="L1124" s="72">
        <v>10717.0</v>
      </c>
      <c r="M1124" s="22" t="s">
        <v>50</v>
      </c>
      <c r="N1124" s="35" t="s">
        <v>3694</v>
      </c>
      <c r="O1124" s="28">
        <v>45412.62333333334</v>
      </c>
      <c r="P1124" s="35" t="s">
        <v>4421</v>
      </c>
      <c r="Q1124" s="12"/>
      <c r="R1124" s="12"/>
      <c r="S1124" s="12"/>
      <c r="T1124" s="52">
        <v>45383.0</v>
      </c>
      <c r="U1124" s="52">
        <v>45409.62333333334</v>
      </c>
      <c r="V1124" s="52">
        <v>45412.328194444446</v>
      </c>
      <c r="W1124" s="30"/>
      <c r="X1124" s="30"/>
      <c r="Y1124" s="31"/>
      <c r="Z1124" s="31"/>
      <c r="AA1124" s="78" t="s">
        <v>127</v>
      </c>
      <c r="AB1124" s="74" t="s">
        <v>4422</v>
      </c>
      <c r="AC1124" s="74"/>
    </row>
    <row r="1125" ht="16.5" customHeight="1">
      <c r="A1125" s="48" t="s">
        <v>4423</v>
      </c>
      <c r="B1125" s="53" t="s">
        <v>4424</v>
      </c>
      <c r="C1125" s="47">
        <v>0.0</v>
      </c>
      <c r="D1125" s="70" t="s">
        <v>4425</v>
      </c>
      <c r="E1125" s="55" t="s">
        <v>243</v>
      </c>
      <c r="F1125" s="32" t="s">
        <v>244</v>
      </c>
      <c r="G1125" s="32" t="s">
        <v>35</v>
      </c>
      <c r="H1125" s="71" t="s">
        <v>35</v>
      </c>
      <c r="I1125" s="71" t="s">
        <v>36</v>
      </c>
      <c r="J1125" s="34" t="s">
        <v>65</v>
      </c>
      <c r="K1125" s="57" t="s">
        <v>38</v>
      </c>
      <c r="L1125" s="72">
        <v>10595.0</v>
      </c>
      <c r="M1125" s="22"/>
      <c r="N1125" s="35" t="s">
        <v>3461</v>
      </c>
      <c r="O1125" s="28">
        <v>45387.69375</v>
      </c>
      <c r="P1125" s="35" t="s">
        <v>4426</v>
      </c>
      <c r="Q1125" s="12"/>
      <c r="R1125" s="12"/>
      <c r="S1125" s="12"/>
      <c r="T1125" s="52">
        <v>45383.0</v>
      </c>
      <c r="U1125" s="52">
        <v>45384.0</v>
      </c>
      <c r="V1125" s="52">
        <v>45387.0</v>
      </c>
      <c r="W1125" s="30"/>
      <c r="X1125" s="30"/>
      <c r="Y1125" s="31"/>
      <c r="Z1125" s="31"/>
      <c r="AA1125" s="78" t="s">
        <v>94</v>
      </c>
      <c r="AB1125" s="74" t="s">
        <v>4427</v>
      </c>
      <c r="AC1125" s="74"/>
    </row>
    <row r="1126" ht="16.5" customHeight="1">
      <c r="A1126" s="48" t="s">
        <v>4428</v>
      </c>
      <c r="B1126" s="53" t="s">
        <v>3484</v>
      </c>
      <c r="C1126" s="47">
        <v>0.0</v>
      </c>
      <c r="D1126" s="70" t="s">
        <v>4429</v>
      </c>
      <c r="E1126" s="55" t="s">
        <v>4430</v>
      </c>
      <c r="F1126" s="32" t="s">
        <v>48</v>
      </c>
      <c r="G1126" s="32" t="s">
        <v>35</v>
      </c>
      <c r="H1126" s="71" t="s">
        <v>35</v>
      </c>
      <c r="I1126" s="71" t="s">
        <v>36</v>
      </c>
      <c r="J1126" s="34" t="s">
        <v>65</v>
      </c>
      <c r="K1126" s="57" t="s">
        <v>38</v>
      </c>
      <c r="L1126" s="72">
        <v>10606.0</v>
      </c>
      <c r="M1126" s="22"/>
      <c r="N1126" s="35" t="s">
        <v>3461</v>
      </c>
      <c r="O1126" s="28">
        <v>45387.694444444445</v>
      </c>
      <c r="P1126" s="35" t="s">
        <v>4431</v>
      </c>
      <c r="Q1126" s="12"/>
      <c r="R1126" s="12"/>
      <c r="S1126" s="12"/>
      <c r="T1126" s="52">
        <v>45383.0</v>
      </c>
      <c r="U1126" s="52">
        <v>45387.694444444445</v>
      </c>
      <c r="V1126" s="52">
        <v>45387.694444444445</v>
      </c>
      <c r="W1126" s="30"/>
      <c r="X1126" s="30"/>
      <c r="Y1126" s="31"/>
      <c r="Z1126" s="31"/>
      <c r="AA1126" s="31"/>
      <c r="AB1126" s="74" t="s">
        <v>4432</v>
      </c>
      <c r="AC1126" s="74"/>
    </row>
    <row r="1127" ht="16.5" customHeight="1">
      <c r="A1127" s="48" t="s">
        <v>4433</v>
      </c>
      <c r="B1127" s="53" t="s">
        <v>2138</v>
      </c>
      <c r="C1127" s="47">
        <v>0.0</v>
      </c>
      <c r="D1127" s="70" t="s">
        <v>4434</v>
      </c>
      <c r="E1127" s="55" t="s">
        <v>117</v>
      </c>
      <c r="F1127" s="32" t="s">
        <v>33</v>
      </c>
      <c r="G1127" s="32" t="s">
        <v>34</v>
      </c>
      <c r="H1127" s="71" t="s">
        <v>35</v>
      </c>
      <c r="I1127" s="71" t="s">
        <v>36</v>
      </c>
      <c r="J1127" s="34" t="s">
        <v>65</v>
      </c>
      <c r="K1127" s="57" t="s">
        <v>38</v>
      </c>
      <c r="L1127" s="72">
        <v>10593.0</v>
      </c>
      <c r="M1127" s="22"/>
      <c r="N1127" s="35" t="s">
        <v>3461</v>
      </c>
      <c r="O1127" s="28">
        <v>45387.694444444445</v>
      </c>
      <c r="P1127" s="35" t="s">
        <v>4435</v>
      </c>
      <c r="Q1127" s="12"/>
      <c r="R1127" s="12"/>
      <c r="S1127" s="12"/>
      <c r="T1127" s="52">
        <v>45384.0</v>
      </c>
      <c r="U1127" s="52">
        <v>45384.0</v>
      </c>
      <c r="V1127" s="52">
        <v>45386.0</v>
      </c>
      <c r="W1127" s="30"/>
      <c r="X1127" s="30"/>
      <c r="Y1127" s="31"/>
      <c r="Z1127" s="31"/>
      <c r="AA1127" s="78" t="s">
        <v>94</v>
      </c>
      <c r="AB1127" s="74" t="s">
        <v>4436</v>
      </c>
      <c r="AC1127" s="74"/>
    </row>
    <row r="1128" ht="16.5" customHeight="1">
      <c r="A1128" s="48" t="s">
        <v>4437</v>
      </c>
      <c r="B1128" s="53" t="s">
        <v>4375</v>
      </c>
      <c r="C1128" s="47">
        <v>11.0</v>
      </c>
      <c r="D1128" s="70" t="s">
        <v>4438</v>
      </c>
      <c r="E1128" s="55" t="s">
        <v>112</v>
      </c>
      <c r="F1128" s="32" t="s">
        <v>48</v>
      </c>
      <c r="G1128" s="32" t="s">
        <v>35</v>
      </c>
      <c r="H1128" s="71" t="s">
        <v>35</v>
      </c>
      <c r="I1128" s="71" t="s">
        <v>36</v>
      </c>
      <c r="J1128" s="34" t="s">
        <v>65</v>
      </c>
      <c r="K1128" s="57" t="s">
        <v>38</v>
      </c>
      <c r="L1128" s="72">
        <v>10592.0</v>
      </c>
      <c r="M1128" s="22"/>
      <c r="N1128" s="35" t="s">
        <v>3461</v>
      </c>
      <c r="O1128" s="28">
        <v>45387.69513888889</v>
      </c>
      <c r="P1128" s="35" t="s">
        <v>4439</v>
      </c>
      <c r="Q1128" s="12"/>
      <c r="R1128" s="12"/>
      <c r="S1128" s="12"/>
      <c r="T1128" s="52">
        <v>45384.0</v>
      </c>
      <c r="U1128" s="52">
        <v>45384.0</v>
      </c>
      <c r="V1128" s="52">
        <v>45387.0</v>
      </c>
      <c r="W1128" s="30"/>
      <c r="X1128" s="30"/>
      <c r="Y1128" s="31"/>
      <c r="Z1128" s="31"/>
      <c r="AA1128" s="78" t="s">
        <v>94</v>
      </c>
      <c r="AB1128" s="74" t="s">
        <v>4440</v>
      </c>
      <c r="AC1128" s="74"/>
    </row>
    <row r="1129" ht="16.5" customHeight="1">
      <c r="A1129" s="48" t="s">
        <v>4441</v>
      </c>
      <c r="B1129" s="53" t="s">
        <v>4215</v>
      </c>
      <c r="C1129" s="47">
        <v>0.0</v>
      </c>
      <c r="D1129" s="70" t="s">
        <v>4442</v>
      </c>
      <c r="E1129" s="55" t="s">
        <v>79</v>
      </c>
      <c r="F1129" s="32" t="s">
        <v>33</v>
      </c>
      <c r="G1129" s="32" t="s">
        <v>34</v>
      </c>
      <c r="H1129" s="71" t="s">
        <v>35</v>
      </c>
      <c r="I1129" s="71" t="s">
        <v>36</v>
      </c>
      <c r="J1129" s="34" t="s">
        <v>420</v>
      </c>
      <c r="K1129" s="57" t="s">
        <v>38</v>
      </c>
      <c r="L1129" s="72">
        <v>10591.0</v>
      </c>
      <c r="M1129" s="22"/>
      <c r="N1129" s="35" t="s">
        <v>4031</v>
      </c>
      <c r="O1129" s="28">
        <v>45390.592361111114</v>
      </c>
      <c r="P1129" s="35" t="s">
        <v>4443</v>
      </c>
      <c r="Q1129" s="12"/>
      <c r="R1129" s="12"/>
      <c r="S1129" s="12"/>
      <c r="T1129" s="52">
        <v>45385.0</v>
      </c>
      <c r="U1129" s="52">
        <v>45385.0</v>
      </c>
      <c r="V1129" s="52">
        <v>45387.0</v>
      </c>
      <c r="W1129" s="30"/>
      <c r="X1129" s="30"/>
      <c r="Y1129" s="31"/>
      <c r="Z1129" s="31"/>
      <c r="AA1129" s="78" t="s">
        <v>120</v>
      </c>
      <c r="AB1129" s="74" t="s">
        <v>4444</v>
      </c>
      <c r="AC1129" s="74"/>
    </row>
    <row r="1130" ht="16.5" customHeight="1">
      <c r="A1130" s="48" t="s">
        <v>4445</v>
      </c>
      <c r="B1130" s="53" t="s">
        <v>4215</v>
      </c>
      <c r="C1130" s="47">
        <v>0.0</v>
      </c>
      <c r="D1130" s="70" t="s">
        <v>4446</v>
      </c>
      <c r="E1130" s="55" t="s">
        <v>550</v>
      </c>
      <c r="F1130" s="32" t="s">
        <v>33</v>
      </c>
      <c r="G1130" s="32" t="s">
        <v>34</v>
      </c>
      <c r="H1130" s="71" t="s">
        <v>35</v>
      </c>
      <c r="I1130" s="71" t="s">
        <v>36</v>
      </c>
      <c r="J1130" s="34" t="s">
        <v>420</v>
      </c>
      <c r="K1130" s="57" t="s">
        <v>38</v>
      </c>
      <c r="L1130" s="72">
        <v>10628.0</v>
      </c>
      <c r="M1130" s="22"/>
      <c r="N1130" s="35" t="s">
        <v>4031</v>
      </c>
      <c r="O1130" s="28">
        <v>45393.61319444444</v>
      </c>
      <c r="P1130" s="35" t="s">
        <v>4447</v>
      </c>
      <c r="Q1130" s="12"/>
      <c r="R1130" s="12"/>
      <c r="S1130" s="12"/>
      <c r="T1130" s="52">
        <v>45385.0</v>
      </c>
      <c r="U1130" s="52">
        <v>45385.0</v>
      </c>
      <c r="V1130" s="52">
        <v>45391.0</v>
      </c>
      <c r="W1130" s="30"/>
      <c r="X1130" s="30"/>
      <c r="Y1130" s="31"/>
      <c r="Z1130" s="31"/>
      <c r="AA1130" s="78" t="s">
        <v>120</v>
      </c>
      <c r="AB1130" s="74" t="s">
        <v>4448</v>
      </c>
      <c r="AC1130" s="74"/>
    </row>
    <row r="1131" ht="16.5" customHeight="1">
      <c r="A1131" s="48" t="s">
        <v>4449</v>
      </c>
      <c r="B1131" s="53" t="s">
        <v>4450</v>
      </c>
      <c r="C1131" s="47">
        <v>11.0</v>
      </c>
      <c r="D1131" s="70" t="s">
        <v>4451</v>
      </c>
      <c r="E1131" s="55" t="s">
        <v>112</v>
      </c>
      <c r="F1131" s="32" t="s">
        <v>48</v>
      </c>
      <c r="G1131" s="32" t="s">
        <v>35</v>
      </c>
      <c r="H1131" s="71" t="s">
        <v>35</v>
      </c>
      <c r="I1131" s="71" t="s">
        <v>36</v>
      </c>
      <c r="J1131" s="34" t="s">
        <v>420</v>
      </c>
      <c r="K1131" s="57" t="s">
        <v>38</v>
      </c>
      <c r="L1131" s="72">
        <v>11722.0</v>
      </c>
      <c r="M1131" s="22" t="s">
        <v>50</v>
      </c>
      <c r="N1131" s="35" t="s">
        <v>4031</v>
      </c>
      <c r="O1131" s="28">
        <v>45595.56288194445</v>
      </c>
      <c r="P1131" s="35" t="s">
        <v>4452</v>
      </c>
      <c r="Q1131" s="12"/>
      <c r="R1131" s="14" t="s">
        <v>67</v>
      </c>
      <c r="S1131" s="14" t="s">
        <v>50</v>
      </c>
      <c r="T1131" s="52">
        <v>45385.0</v>
      </c>
      <c r="U1131" s="52">
        <v>45576.61456018518</v>
      </c>
      <c r="V1131" s="52">
        <v>45580.37443287037</v>
      </c>
      <c r="W1131" s="30"/>
      <c r="X1131" s="30"/>
      <c r="Y1131" s="31"/>
      <c r="Z1131" s="31"/>
      <c r="AA1131" s="31"/>
      <c r="AB1131" s="74" t="s">
        <v>4453</v>
      </c>
      <c r="AC1131" s="74"/>
    </row>
    <row r="1132" ht="16.5" customHeight="1">
      <c r="A1132" s="48" t="s">
        <v>4454</v>
      </c>
      <c r="B1132" s="53" t="s">
        <v>4455</v>
      </c>
      <c r="C1132" s="47">
        <v>1.0</v>
      </c>
      <c r="D1132" s="70"/>
      <c r="E1132" s="55" t="s">
        <v>3395</v>
      </c>
      <c r="F1132" s="32" t="s">
        <v>48</v>
      </c>
      <c r="G1132" s="32" t="s">
        <v>35</v>
      </c>
      <c r="H1132" s="71" t="s">
        <v>35</v>
      </c>
      <c r="I1132" s="71" t="s">
        <v>665</v>
      </c>
      <c r="J1132" s="34" t="s">
        <v>65</v>
      </c>
      <c r="K1132" s="57" t="s">
        <v>38</v>
      </c>
      <c r="L1132" s="72">
        <v>10590.0</v>
      </c>
      <c r="M1132" s="22"/>
      <c r="N1132" s="35" t="s">
        <v>3461</v>
      </c>
      <c r="O1132" s="28">
        <v>45387.694444444445</v>
      </c>
      <c r="P1132" s="35" t="s">
        <v>4456</v>
      </c>
      <c r="Q1132" s="12"/>
      <c r="R1132" s="12"/>
      <c r="S1132" s="12"/>
      <c r="T1132" s="52">
        <v>45385.0</v>
      </c>
      <c r="U1132" s="52">
        <v>45385.0</v>
      </c>
      <c r="V1132" s="52">
        <v>45387.0</v>
      </c>
      <c r="W1132" s="30"/>
      <c r="X1132" s="30"/>
      <c r="Y1132" s="31"/>
      <c r="Z1132" s="31"/>
      <c r="AA1132" s="31"/>
      <c r="AB1132" s="74" t="s">
        <v>4457</v>
      </c>
      <c r="AC1132" s="74"/>
    </row>
    <row r="1133" ht="16.5" customHeight="1">
      <c r="A1133" s="48" t="s">
        <v>4458</v>
      </c>
      <c r="B1133" s="53" t="s">
        <v>4455</v>
      </c>
      <c r="C1133" s="47">
        <v>27.0</v>
      </c>
      <c r="D1133" s="39"/>
      <c r="E1133" s="55" t="s">
        <v>72</v>
      </c>
      <c r="F1133" s="32" t="s">
        <v>48</v>
      </c>
      <c r="G1133" s="32" t="s">
        <v>35</v>
      </c>
      <c r="H1133" s="71" t="s">
        <v>35</v>
      </c>
      <c r="I1133" s="71" t="s">
        <v>665</v>
      </c>
      <c r="J1133" s="34" t="s">
        <v>65</v>
      </c>
      <c r="K1133" s="57" t="s">
        <v>38</v>
      </c>
      <c r="L1133" s="72">
        <v>10590.0</v>
      </c>
      <c r="M1133" s="22"/>
      <c r="N1133" s="35" t="s">
        <v>3461</v>
      </c>
      <c r="O1133" s="28">
        <v>45387.694444444445</v>
      </c>
      <c r="P1133" s="35" t="s">
        <v>4459</v>
      </c>
      <c r="Q1133" s="12"/>
      <c r="R1133" s="12"/>
      <c r="S1133" s="12"/>
      <c r="T1133" s="52">
        <v>45385.0</v>
      </c>
      <c r="U1133" s="29"/>
      <c r="V1133" s="29"/>
      <c r="W1133" s="30"/>
      <c r="X1133" s="30"/>
      <c r="Y1133" s="31"/>
      <c r="Z1133" s="31"/>
      <c r="AA1133" s="31"/>
      <c r="AB1133" s="74" t="s">
        <v>4460</v>
      </c>
      <c r="AC1133" s="74"/>
    </row>
    <row r="1134" ht="16.5" customHeight="1">
      <c r="A1134" s="48" t="s">
        <v>4461</v>
      </c>
      <c r="B1134" s="53" t="s">
        <v>4455</v>
      </c>
      <c r="C1134" s="47">
        <v>137.0</v>
      </c>
      <c r="D1134" s="70"/>
      <c r="E1134" s="55" t="s">
        <v>85</v>
      </c>
      <c r="F1134" s="32" t="s">
        <v>48</v>
      </c>
      <c r="G1134" s="32" t="s">
        <v>35</v>
      </c>
      <c r="H1134" s="71" t="s">
        <v>35</v>
      </c>
      <c r="I1134" s="71" t="s">
        <v>665</v>
      </c>
      <c r="J1134" s="34" t="s">
        <v>65</v>
      </c>
      <c r="K1134" s="57" t="s">
        <v>38</v>
      </c>
      <c r="L1134" s="72">
        <v>10590.0</v>
      </c>
      <c r="M1134" s="22"/>
      <c r="N1134" s="35" t="s">
        <v>3461</v>
      </c>
      <c r="O1134" s="28">
        <v>45387.694444444445</v>
      </c>
      <c r="P1134" s="35" t="s">
        <v>4462</v>
      </c>
      <c r="Q1134" s="12"/>
      <c r="R1134" s="12"/>
      <c r="S1134" s="12"/>
      <c r="T1134" s="52">
        <v>45385.0</v>
      </c>
      <c r="U1134" s="29"/>
      <c r="V1134" s="29"/>
      <c r="W1134" s="30"/>
      <c r="X1134" s="30"/>
      <c r="Y1134" s="31"/>
      <c r="Z1134" s="31"/>
      <c r="AA1134" s="31"/>
      <c r="AB1134" s="74" t="s">
        <v>4463</v>
      </c>
      <c r="AC1134" s="74"/>
    </row>
    <row r="1135" ht="16.5" customHeight="1">
      <c r="A1135" s="48" t="s">
        <v>4464</v>
      </c>
      <c r="B1135" s="53" t="s">
        <v>2134</v>
      </c>
      <c r="C1135" s="47">
        <v>27.0</v>
      </c>
      <c r="D1135" s="39" t="s">
        <v>4465</v>
      </c>
      <c r="E1135" s="55" t="s">
        <v>72</v>
      </c>
      <c r="F1135" s="32" t="s">
        <v>48</v>
      </c>
      <c r="G1135" s="32" t="s">
        <v>35</v>
      </c>
      <c r="H1135" s="71" t="s">
        <v>35</v>
      </c>
      <c r="I1135" s="71" t="s">
        <v>36</v>
      </c>
      <c r="J1135" s="34" t="s">
        <v>65</v>
      </c>
      <c r="K1135" s="57" t="s">
        <v>38</v>
      </c>
      <c r="L1135" s="72">
        <v>15089.0</v>
      </c>
      <c r="M1135" s="22"/>
      <c r="N1135" s="35" t="s">
        <v>3461</v>
      </c>
      <c r="O1135" s="28">
        <v>45387.69375</v>
      </c>
      <c r="P1135" s="35" t="s">
        <v>4466</v>
      </c>
      <c r="Q1135" s="12"/>
      <c r="R1135" s="12"/>
      <c r="S1135" s="12"/>
      <c r="T1135" s="52">
        <v>45385.0</v>
      </c>
      <c r="U1135" s="52">
        <v>45385.0</v>
      </c>
      <c r="V1135" s="52">
        <v>45387.69375</v>
      </c>
      <c r="W1135" s="30"/>
      <c r="X1135" s="30"/>
      <c r="Y1135" s="31"/>
      <c r="Z1135" s="31"/>
      <c r="AA1135" s="78" t="s">
        <v>94</v>
      </c>
      <c r="AB1135" s="74" t="s">
        <v>4467</v>
      </c>
      <c r="AC1135" s="74"/>
    </row>
    <row r="1136" ht="16.5" customHeight="1">
      <c r="A1136" s="48" t="s">
        <v>4468</v>
      </c>
      <c r="B1136" s="53" t="s">
        <v>3289</v>
      </c>
      <c r="C1136" s="47">
        <v>137.0</v>
      </c>
      <c r="D1136" s="70" t="s">
        <v>4469</v>
      </c>
      <c r="E1136" s="55" t="s">
        <v>85</v>
      </c>
      <c r="F1136" s="32" t="s">
        <v>48</v>
      </c>
      <c r="G1136" s="32" t="s">
        <v>35</v>
      </c>
      <c r="H1136" s="71" t="s">
        <v>35</v>
      </c>
      <c r="I1136" s="71" t="s">
        <v>36</v>
      </c>
      <c r="J1136" s="34" t="s">
        <v>92</v>
      </c>
      <c r="K1136" s="57" t="s">
        <v>38</v>
      </c>
      <c r="L1136" s="72">
        <v>10585.0</v>
      </c>
      <c r="M1136" s="22"/>
      <c r="N1136" s="73"/>
      <c r="O1136" s="28">
        <v>45385.583333333336</v>
      </c>
      <c r="P1136" s="35" t="s">
        <v>4363</v>
      </c>
      <c r="Q1136" s="12"/>
      <c r="R1136" s="12"/>
      <c r="S1136" s="12"/>
      <c r="T1136" s="52">
        <v>45385.0</v>
      </c>
      <c r="U1136" s="52">
        <v>45385.0</v>
      </c>
      <c r="V1136" s="52">
        <v>45385.0</v>
      </c>
      <c r="W1136" s="30"/>
      <c r="X1136" s="30"/>
      <c r="Y1136" s="31"/>
      <c r="Z1136" s="31"/>
      <c r="AA1136" s="78" t="s">
        <v>120</v>
      </c>
      <c r="AB1136" s="74" t="s">
        <v>4470</v>
      </c>
      <c r="AC1136" s="74"/>
    </row>
    <row r="1137" ht="16.5" customHeight="1">
      <c r="A1137" s="48" t="s">
        <v>4471</v>
      </c>
      <c r="B1137" s="53" t="s">
        <v>4472</v>
      </c>
      <c r="C1137" s="47">
        <v>0.0</v>
      </c>
      <c r="D1137" s="70" t="s">
        <v>4473</v>
      </c>
      <c r="E1137" s="55" t="s">
        <v>338</v>
      </c>
      <c r="F1137" s="32" t="s">
        <v>33</v>
      </c>
      <c r="G1137" s="32" t="s">
        <v>34</v>
      </c>
      <c r="H1137" s="71" t="s">
        <v>35</v>
      </c>
      <c r="I1137" s="71" t="s">
        <v>36</v>
      </c>
      <c r="J1137" s="34" t="s">
        <v>49</v>
      </c>
      <c r="K1137" s="57" t="s">
        <v>38</v>
      </c>
      <c r="L1137" s="72">
        <v>10614.0</v>
      </c>
      <c r="M1137" s="22"/>
      <c r="N1137" s="35" t="s">
        <v>106</v>
      </c>
      <c r="O1137" s="28">
        <v>45390.67013888889</v>
      </c>
      <c r="P1137" s="35" t="s">
        <v>4474</v>
      </c>
      <c r="Q1137" s="12"/>
      <c r="R1137" s="12"/>
      <c r="S1137" s="12"/>
      <c r="T1137" s="52">
        <v>45386.0</v>
      </c>
      <c r="U1137" s="52">
        <v>45386.0</v>
      </c>
      <c r="V1137" s="52">
        <v>45390.67013888889</v>
      </c>
      <c r="W1137" s="30"/>
      <c r="X1137" s="30"/>
      <c r="Y1137" s="31"/>
      <c r="Z1137" s="31"/>
      <c r="AA1137" s="78" t="s">
        <v>102</v>
      </c>
      <c r="AB1137" s="74" t="s">
        <v>4475</v>
      </c>
      <c r="AC1137" s="74"/>
    </row>
    <row r="1138" ht="16.5" customHeight="1">
      <c r="A1138" s="48" t="s">
        <v>4476</v>
      </c>
      <c r="B1138" s="53" t="s">
        <v>4035</v>
      </c>
      <c r="C1138" s="47">
        <v>27.0</v>
      </c>
      <c r="D1138" s="39" t="s">
        <v>4477</v>
      </c>
      <c r="E1138" s="55" t="s">
        <v>72</v>
      </c>
      <c r="F1138" s="32" t="s">
        <v>48</v>
      </c>
      <c r="G1138" s="32" t="s">
        <v>35</v>
      </c>
      <c r="H1138" s="71" t="s">
        <v>35</v>
      </c>
      <c r="I1138" s="71" t="s">
        <v>36</v>
      </c>
      <c r="J1138" s="34" t="s">
        <v>65</v>
      </c>
      <c r="K1138" s="57" t="s">
        <v>38</v>
      </c>
      <c r="L1138" s="72">
        <v>10615.0</v>
      </c>
      <c r="M1138" s="22"/>
      <c r="N1138" s="35" t="s">
        <v>4416</v>
      </c>
      <c r="O1138" s="28">
        <v>45390.66458333333</v>
      </c>
      <c r="P1138" s="35" t="s">
        <v>4478</v>
      </c>
      <c r="Q1138" s="12"/>
      <c r="R1138" s="12"/>
      <c r="S1138" s="12"/>
      <c r="T1138" s="52">
        <v>45386.0</v>
      </c>
      <c r="U1138" s="52">
        <v>45386.0</v>
      </c>
      <c r="V1138" s="52">
        <v>45390.66458333333</v>
      </c>
      <c r="W1138" s="30"/>
      <c r="X1138" s="30"/>
      <c r="Y1138" s="31"/>
      <c r="Z1138" s="31"/>
      <c r="AA1138" s="78" t="s">
        <v>94</v>
      </c>
      <c r="AB1138" s="74" t="s">
        <v>4479</v>
      </c>
      <c r="AC1138" s="74"/>
    </row>
    <row r="1139" ht="16.5" customHeight="1">
      <c r="A1139" s="48" t="s">
        <v>4480</v>
      </c>
      <c r="B1139" s="53" t="s">
        <v>4481</v>
      </c>
      <c r="C1139" s="47">
        <v>0.0</v>
      </c>
      <c r="D1139" s="70" t="s">
        <v>4482</v>
      </c>
      <c r="E1139" s="55" t="s">
        <v>232</v>
      </c>
      <c r="F1139" s="32" t="s">
        <v>33</v>
      </c>
      <c r="G1139" s="32" t="s">
        <v>35</v>
      </c>
      <c r="H1139" s="71" t="s">
        <v>35</v>
      </c>
      <c r="I1139" s="71" t="s">
        <v>36</v>
      </c>
      <c r="J1139" s="34" t="s">
        <v>65</v>
      </c>
      <c r="K1139" s="57" t="s">
        <v>38</v>
      </c>
      <c r="L1139" s="72">
        <v>10627.0</v>
      </c>
      <c r="M1139" s="22"/>
      <c r="N1139" s="35" t="s">
        <v>80</v>
      </c>
      <c r="O1139" s="28">
        <v>45392.71319444444</v>
      </c>
      <c r="P1139" s="35" t="s">
        <v>4483</v>
      </c>
      <c r="Q1139" s="12"/>
      <c r="R1139" s="12"/>
      <c r="S1139" s="12"/>
      <c r="T1139" s="52">
        <v>45386.0</v>
      </c>
      <c r="U1139" s="52">
        <v>45386.0</v>
      </c>
      <c r="V1139" s="52">
        <v>45391.0</v>
      </c>
      <c r="W1139" s="30"/>
      <c r="X1139" s="30"/>
      <c r="Y1139" s="31"/>
      <c r="Z1139" s="31"/>
      <c r="AA1139" s="78" t="s">
        <v>94</v>
      </c>
      <c r="AB1139" s="74" t="s">
        <v>4484</v>
      </c>
      <c r="AC1139" s="74"/>
    </row>
    <row r="1140" ht="16.5" customHeight="1">
      <c r="A1140" s="48" t="s">
        <v>4485</v>
      </c>
      <c r="B1140" s="53" t="s">
        <v>4313</v>
      </c>
      <c r="C1140" s="47">
        <v>27.0</v>
      </c>
      <c r="D1140" s="39" t="s">
        <v>4486</v>
      </c>
      <c r="E1140" s="55" t="s">
        <v>72</v>
      </c>
      <c r="F1140" s="32" t="s">
        <v>48</v>
      </c>
      <c r="G1140" s="32" t="s">
        <v>35</v>
      </c>
      <c r="H1140" s="71" t="s">
        <v>35</v>
      </c>
      <c r="I1140" s="71" t="s">
        <v>36</v>
      </c>
      <c r="J1140" s="34" t="s">
        <v>49</v>
      </c>
      <c r="K1140" s="57" t="s">
        <v>38</v>
      </c>
      <c r="L1140" s="72">
        <v>10633.0</v>
      </c>
      <c r="M1140" s="22"/>
      <c r="N1140" s="35" t="s">
        <v>4336</v>
      </c>
      <c r="O1140" s="28">
        <v>45393.407638888886</v>
      </c>
      <c r="P1140" s="35" t="s">
        <v>4487</v>
      </c>
      <c r="Q1140" s="12"/>
      <c r="R1140" s="12"/>
      <c r="S1140" s="12"/>
      <c r="T1140" s="52">
        <v>45386.0</v>
      </c>
      <c r="U1140" s="52">
        <v>45387.0</v>
      </c>
      <c r="V1140" s="52">
        <v>45392.0</v>
      </c>
      <c r="W1140" s="30"/>
      <c r="X1140" s="30"/>
      <c r="Y1140" s="31"/>
      <c r="Z1140" s="31"/>
      <c r="AA1140" s="78" t="s">
        <v>120</v>
      </c>
      <c r="AB1140" s="74" t="s">
        <v>4488</v>
      </c>
      <c r="AC1140" s="74"/>
    </row>
    <row r="1141" ht="16.5" customHeight="1">
      <c r="A1141" s="48" t="s">
        <v>4489</v>
      </c>
      <c r="B1141" s="53" t="s">
        <v>4313</v>
      </c>
      <c r="C1141" s="47">
        <v>34.0</v>
      </c>
      <c r="D1141" s="70" t="s">
        <v>4490</v>
      </c>
      <c r="E1141" s="55" t="s">
        <v>47</v>
      </c>
      <c r="F1141" s="32" t="s">
        <v>48</v>
      </c>
      <c r="G1141" s="32" t="s">
        <v>35</v>
      </c>
      <c r="H1141" s="71" t="s">
        <v>35</v>
      </c>
      <c r="I1141" s="71" t="s">
        <v>36</v>
      </c>
      <c r="J1141" s="34" t="s">
        <v>49</v>
      </c>
      <c r="K1141" s="57" t="s">
        <v>38</v>
      </c>
      <c r="L1141" s="72">
        <v>10613.0</v>
      </c>
      <c r="M1141" s="22"/>
      <c r="N1141" s="35" t="s">
        <v>4336</v>
      </c>
      <c r="O1141" s="28">
        <v>45393.407638888886</v>
      </c>
      <c r="P1141" s="35" t="s">
        <v>4491</v>
      </c>
      <c r="Q1141" s="12"/>
      <c r="R1141" s="12"/>
      <c r="S1141" s="12"/>
      <c r="T1141" s="52">
        <v>45386.0</v>
      </c>
      <c r="U1141" s="52">
        <v>45386.0</v>
      </c>
      <c r="V1141" s="52">
        <v>45387.0</v>
      </c>
      <c r="W1141" s="30"/>
      <c r="X1141" s="30"/>
      <c r="Y1141" s="31"/>
      <c r="Z1141" s="31"/>
      <c r="AA1141" s="78" t="s">
        <v>120</v>
      </c>
      <c r="AB1141" s="74" t="s">
        <v>4492</v>
      </c>
      <c r="AC1141" s="74"/>
    </row>
    <row r="1142" ht="16.5" customHeight="1">
      <c r="A1142" s="48" t="s">
        <v>4493</v>
      </c>
      <c r="B1142" s="53" t="s">
        <v>4313</v>
      </c>
      <c r="C1142" s="47">
        <v>0.0</v>
      </c>
      <c r="D1142" s="70" t="s">
        <v>4494</v>
      </c>
      <c r="E1142" s="55" t="s">
        <v>117</v>
      </c>
      <c r="F1142" s="32" t="s">
        <v>33</v>
      </c>
      <c r="G1142" s="32" t="s">
        <v>35</v>
      </c>
      <c r="H1142" s="71" t="s">
        <v>35</v>
      </c>
      <c r="I1142" s="71" t="s">
        <v>36</v>
      </c>
      <c r="J1142" s="34" t="s">
        <v>49</v>
      </c>
      <c r="K1142" s="57" t="s">
        <v>38</v>
      </c>
      <c r="L1142" s="72">
        <v>10612.0</v>
      </c>
      <c r="M1142" s="22"/>
      <c r="N1142" s="35" t="s">
        <v>4336</v>
      </c>
      <c r="O1142" s="28">
        <v>45393.407638888886</v>
      </c>
      <c r="P1142" s="35" t="s">
        <v>4495</v>
      </c>
      <c r="Q1142" s="12"/>
      <c r="R1142" s="12"/>
      <c r="S1142" s="12"/>
      <c r="T1142" s="52">
        <v>45386.0</v>
      </c>
      <c r="U1142" s="52">
        <v>45386.0</v>
      </c>
      <c r="V1142" s="52">
        <v>45387.0</v>
      </c>
      <c r="W1142" s="30"/>
      <c r="X1142" s="30"/>
      <c r="Y1142" s="31"/>
      <c r="Z1142" s="31"/>
      <c r="AA1142" s="78" t="s">
        <v>120</v>
      </c>
      <c r="AB1142" s="74" t="s">
        <v>4496</v>
      </c>
      <c r="AC1142" s="74"/>
    </row>
    <row r="1143" ht="16.5" customHeight="1">
      <c r="A1143" s="48" t="s">
        <v>4497</v>
      </c>
      <c r="B1143" s="53" t="s">
        <v>4293</v>
      </c>
      <c r="C1143" s="47">
        <v>27.0</v>
      </c>
      <c r="D1143" s="39" t="s">
        <v>4498</v>
      </c>
      <c r="E1143" s="55" t="s">
        <v>72</v>
      </c>
      <c r="F1143" s="32" t="s">
        <v>48</v>
      </c>
      <c r="G1143" s="32" t="s">
        <v>35</v>
      </c>
      <c r="H1143" s="71" t="s">
        <v>35</v>
      </c>
      <c r="I1143" s="71" t="s">
        <v>36</v>
      </c>
      <c r="J1143" s="34" t="s">
        <v>65</v>
      </c>
      <c r="K1143" s="57" t="s">
        <v>38</v>
      </c>
      <c r="L1143" s="72">
        <v>10611.0</v>
      </c>
      <c r="M1143" s="22"/>
      <c r="N1143" s="35" t="s">
        <v>4416</v>
      </c>
      <c r="O1143" s="28">
        <v>45390.66527777778</v>
      </c>
      <c r="P1143" s="35" t="s">
        <v>4499</v>
      </c>
      <c r="Q1143" s="12"/>
      <c r="R1143" s="12"/>
      <c r="S1143" s="12"/>
      <c r="T1143" s="52">
        <v>45386.0</v>
      </c>
      <c r="U1143" s="52">
        <v>45387.0</v>
      </c>
      <c r="V1143" s="52">
        <v>45390.0</v>
      </c>
      <c r="W1143" s="30"/>
      <c r="X1143" s="30"/>
      <c r="Y1143" s="31"/>
      <c r="Z1143" s="31"/>
      <c r="AA1143" s="78" t="s">
        <v>94</v>
      </c>
      <c r="AB1143" s="74" t="s">
        <v>4500</v>
      </c>
      <c r="AC1143" s="74"/>
    </row>
    <row r="1144" ht="16.5" customHeight="1">
      <c r="A1144" s="48" t="s">
        <v>4501</v>
      </c>
      <c r="B1144" s="53" t="s">
        <v>4293</v>
      </c>
      <c r="C1144" s="47">
        <v>27.0</v>
      </c>
      <c r="D1144" s="39" t="s">
        <v>4502</v>
      </c>
      <c r="E1144" s="55" t="s">
        <v>72</v>
      </c>
      <c r="F1144" s="32" t="s">
        <v>48</v>
      </c>
      <c r="G1144" s="32" t="s">
        <v>35</v>
      </c>
      <c r="H1144" s="71" t="s">
        <v>35</v>
      </c>
      <c r="I1144" s="71" t="s">
        <v>36</v>
      </c>
      <c r="J1144" s="34" t="s">
        <v>65</v>
      </c>
      <c r="K1144" s="57" t="s">
        <v>38</v>
      </c>
      <c r="L1144" s="72">
        <v>10611.0</v>
      </c>
      <c r="M1144" s="22"/>
      <c r="N1144" s="35" t="s">
        <v>4416</v>
      </c>
      <c r="O1144" s="28">
        <v>45390.66527777778</v>
      </c>
      <c r="P1144" s="35" t="s">
        <v>4499</v>
      </c>
      <c r="Q1144" s="12"/>
      <c r="R1144" s="12"/>
      <c r="S1144" s="12"/>
      <c r="T1144" s="52">
        <v>45386.0</v>
      </c>
      <c r="U1144" s="52">
        <v>45387.0</v>
      </c>
      <c r="V1144" s="52">
        <v>45390.0</v>
      </c>
      <c r="W1144" s="30"/>
      <c r="X1144" s="30"/>
      <c r="Y1144" s="31"/>
      <c r="Z1144" s="31"/>
      <c r="AA1144" s="78" t="s">
        <v>94</v>
      </c>
      <c r="AB1144" s="74" t="s">
        <v>4503</v>
      </c>
      <c r="AC1144" s="74"/>
    </row>
    <row r="1145" ht="16.5" customHeight="1">
      <c r="A1145" s="48" t="s">
        <v>4504</v>
      </c>
      <c r="B1145" s="53" t="s">
        <v>4293</v>
      </c>
      <c r="C1145" s="47">
        <v>137.0</v>
      </c>
      <c r="D1145" s="70" t="s">
        <v>4505</v>
      </c>
      <c r="E1145" s="55" t="s">
        <v>85</v>
      </c>
      <c r="F1145" s="32" t="s">
        <v>48</v>
      </c>
      <c r="G1145" s="32" t="s">
        <v>35</v>
      </c>
      <c r="H1145" s="71" t="s">
        <v>35</v>
      </c>
      <c r="I1145" s="71" t="s">
        <v>36</v>
      </c>
      <c r="J1145" s="34" t="s">
        <v>65</v>
      </c>
      <c r="K1145" s="57" t="s">
        <v>38</v>
      </c>
      <c r="L1145" s="72">
        <v>10611.0</v>
      </c>
      <c r="M1145" s="22"/>
      <c r="N1145" s="35" t="s">
        <v>4416</v>
      </c>
      <c r="O1145" s="28">
        <v>45390.66527777778</v>
      </c>
      <c r="P1145" s="35" t="s">
        <v>4499</v>
      </c>
      <c r="Q1145" s="12"/>
      <c r="R1145" s="12"/>
      <c r="S1145" s="12"/>
      <c r="T1145" s="52">
        <v>45386.0</v>
      </c>
      <c r="U1145" s="52">
        <v>45387.0</v>
      </c>
      <c r="V1145" s="52">
        <v>45390.0</v>
      </c>
      <c r="W1145" s="30"/>
      <c r="X1145" s="30"/>
      <c r="Y1145" s="31"/>
      <c r="Z1145" s="31"/>
      <c r="AA1145" s="78" t="s">
        <v>94</v>
      </c>
      <c r="AB1145" s="74" t="s">
        <v>4506</v>
      </c>
      <c r="AC1145" s="74"/>
    </row>
    <row r="1146" ht="16.5" customHeight="1">
      <c r="A1146" s="48" t="s">
        <v>4507</v>
      </c>
      <c r="B1146" s="53" t="s">
        <v>4293</v>
      </c>
      <c r="C1146" s="47">
        <v>137.0</v>
      </c>
      <c r="D1146" s="70" t="s">
        <v>4508</v>
      </c>
      <c r="E1146" s="55" t="s">
        <v>85</v>
      </c>
      <c r="F1146" s="32" t="s">
        <v>48</v>
      </c>
      <c r="G1146" s="32" t="s">
        <v>35</v>
      </c>
      <c r="H1146" s="71" t="s">
        <v>35</v>
      </c>
      <c r="I1146" s="71" t="s">
        <v>36</v>
      </c>
      <c r="J1146" s="34" t="s">
        <v>65</v>
      </c>
      <c r="K1146" s="57" t="s">
        <v>38</v>
      </c>
      <c r="L1146" s="72">
        <v>10611.0</v>
      </c>
      <c r="M1146" s="22"/>
      <c r="N1146" s="35" t="s">
        <v>4416</v>
      </c>
      <c r="O1146" s="28">
        <v>45390.66527777778</v>
      </c>
      <c r="P1146" s="35" t="s">
        <v>4499</v>
      </c>
      <c r="Q1146" s="12"/>
      <c r="R1146" s="12"/>
      <c r="S1146" s="12"/>
      <c r="T1146" s="52">
        <v>45386.0</v>
      </c>
      <c r="U1146" s="52">
        <v>45387.0</v>
      </c>
      <c r="V1146" s="52">
        <v>45390.0</v>
      </c>
      <c r="W1146" s="30"/>
      <c r="X1146" s="30"/>
      <c r="Y1146" s="31"/>
      <c r="Z1146" s="31"/>
      <c r="AA1146" s="78" t="s">
        <v>94</v>
      </c>
      <c r="AB1146" s="74" t="s">
        <v>4509</v>
      </c>
      <c r="AC1146" s="74"/>
    </row>
    <row r="1147" ht="16.5" customHeight="1">
      <c r="A1147" s="48" t="s">
        <v>4510</v>
      </c>
      <c r="B1147" s="53" t="s">
        <v>4293</v>
      </c>
      <c r="C1147" s="47">
        <v>90.0</v>
      </c>
      <c r="D1147" s="70" t="s">
        <v>4511</v>
      </c>
      <c r="E1147" s="55" t="s">
        <v>91</v>
      </c>
      <c r="F1147" s="32" t="s">
        <v>48</v>
      </c>
      <c r="G1147" s="32" t="s">
        <v>35</v>
      </c>
      <c r="H1147" s="71" t="s">
        <v>35</v>
      </c>
      <c r="I1147" s="71" t="s">
        <v>36</v>
      </c>
      <c r="J1147" s="34" t="s">
        <v>65</v>
      </c>
      <c r="K1147" s="57" t="s">
        <v>38</v>
      </c>
      <c r="L1147" s="72">
        <v>10611.0</v>
      </c>
      <c r="M1147" s="22"/>
      <c r="N1147" s="35" t="s">
        <v>4416</v>
      </c>
      <c r="O1147" s="28">
        <v>45390.66527777778</v>
      </c>
      <c r="P1147" s="35" t="s">
        <v>4499</v>
      </c>
      <c r="Q1147" s="12"/>
      <c r="R1147" s="12"/>
      <c r="S1147" s="12"/>
      <c r="T1147" s="52">
        <v>45386.0</v>
      </c>
      <c r="U1147" s="52">
        <v>45387.0</v>
      </c>
      <c r="V1147" s="52">
        <v>45390.0</v>
      </c>
      <c r="W1147" s="30"/>
      <c r="X1147" s="30"/>
      <c r="Y1147" s="31"/>
      <c r="Z1147" s="31"/>
      <c r="AA1147" s="78" t="s">
        <v>94</v>
      </c>
      <c r="AB1147" s="74" t="s">
        <v>4512</v>
      </c>
      <c r="AC1147" s="74"/>
    </row>
    <row r="1148" ht="16.5" customHeight="1">
      <c r="A1148" s="48" t="s">
        <v>4513</v>
      </c>
      <c r="B1148" s="53" t="s">
        <v>4293</v>
      </c>
      <c r="C1148" s="47">
        <v>11.0</v>
      </c>
      <c r="D1148" s="70" t="s">
        <v>4514</v>
      </c>
      <c r="E1148" s="55" t="s">
        <v>112</v>
      </c>
      <c r="F1148" s="32" t="s">
        <v>48</v>
      </c>
      <c r="G1148" s="32" t="s">
        <v>35</v>
      </c>
      <c r="H1148" s="71" t="s">
        <v>35</v>
      </c>
      <c r="I1148" s="71" t="s">
        <v>36</v>
      </c>
      <c r="J1148" s="34" t="s">
        <v>65</v>
      </c>
      <c r="K1148" s="57" t="s">
        <v>38</v>
      </c>
      <c r="L1148" s="72">
        <v>10611.0</v>
      </c>
      <c r="M1148" s="22"/>
      <c r="N1148" s="35" t="s">
        <v>4416</v>
      </c>
      <c r="O1148" s="28">
        <v>45390.66527777778</v>
      </c>
      <c r="P1148" s="35" t="s">
        <v>4499</v>
      </c>
      <c r="Q1148" s="12"/>
      <c r="R1148" s="12"/>
      <c r="S1148" s="12"/>
      <c r="T1148" s="52">
        <v>45386.0</v>
      </c>
      <c r="U1148" s="52">
        <v>45387.0</v>
      </c>
      <c r="V1148" s="52">
        <v>45387.0</v>
      </c>
      <c r="W1148" s="30"/>
      <c r="X1148" s="30"/>
      <c r="Y1148" s="31"/>
      <c r="Z1148" s="31"/>
      <c r="AA1148" s="78" t="s">
        <v>94</v>
      </c>
      <c r="AB1148" s="74" t="s">
        <v>4515</v>
      </c>
      <c r="AC1148" s="74"/>
    </row>
    <row r="1149" ht="16.5" customHeight="1">
      <c r="A1149" s="48" t="s">
        <v>4516</v>
      </c>
      <c r="B1149" s="53" t="s">
        <v>2061</v>
      </c>
      <c r="C1149" s="47">
        <v>0.0</v>
      </c>
      <c r="D1149" s="70" t="s">
        <v>4517</v>
      </c>
      <c r="E1149" s="55" t="s">
        <v>243</v>
      </c>
      <c r="F1149" s="32" t="s">
        <v>244</v>
      </c>
      <c r="G1149" s="32" t="s">
        <v>35</v>
      </c>
      <c r="H1149" s="71" t="s">
        <v>35</v>
      </c>
      <c r="I1149" s="71" t="s">
        <v>36</v>
      </c>
      <c r="J1149" s="34" t="s">
        <v>65</v>
      </c>
      <c r="K1149" s="57" t="s">
        <v>38</v>
      </c>
      <c r="L1149" s="72">
        <v>10639.0</v>
      </c>
      <c r="M1149" s="22"/>
      <c r="N1149" s="35" t="s">
        <v>4518</v>
      </c>
      <c r="O1149" s="28">
        <v>45393.66875</v>
      </c>
      <c r="P1149" s="35" t="s">
        <v>4519</v>
      </c>
      <c r="Q1149" s="12"/>
      <c r="R1149" s="12"/>
      <c r="S1149" s="12"/>
      <c r="T1149" s="52">
        <v>45386.0</v>
      </c>
      <c r="U1149" s="52">
        <v>45386.0</v>
      </c>
      <c r="V1149" s="52">
        <v>45393.0</v>
      </c>
      <c r="W1149" s="30"/>
      <c r="X1149" s="30"/>
      <c r="Y1149" s="31"/>
      <c r="Z1149" s="31"/>
      <c r="AA1149" s="78" t="s">
        <v>94</v>
      </c>
      <c r="AB1149" s="74" t="s">
        <v>4520</v>
      </c>
      <c r="AC1149" s="74"/>
    </row>
    <row r="1150" ht="16.5" customHeight="1">
      <c r="A1150" s="48" t="s">
        <v>4521</v>
      </c>
      <c r="B1150" s="53" t="s">
        <v>2061</v>
      </c>
      <c r="C1150" s="47">
        <v>0.0</v>
      </c>
      <c r="D1150" s="70" t="s">
        <v>4522</v>
      </c>
      <c r="E1150" s="55" t="s">
        <v>243</v>
      </c>
      <c r="F1150" s="32" t="s">
        <v>244</v>
      </c>
      <c r="G1150" s="32" t="s">
        <v>35</v>
      </c>
      <c r="H1150" s="71" t="s">
        <v>35</v>
      </c>
      <c r="I1150" s="71" t="s">
        <v>36</v>
      </c>
      <c r="J1150" s="34" t="s">
        <v>65</v>
      </c>
      <c r="K1150" s="57" t="s">
        <v>38</v>
      </c>
      <c r="L1150" s="72">
        <v>10639.0</v>
      </c>
      <c r="M1150" s="22"/>
      <c r="N1150" s="35" t="s">
        <v>4518</v>
      </c>
      <c r="O1150" s="28">
        <v>45393.669444444444</v>
      </c>
      <c r="P1150" s="35" t="s">
        <v>4519</v>
      </c>
      <c r="Q1150" s="12"/>
      <c r="R1150" s="12"/>
      <c r="S1150" s="12"/>
      <c r="T1150" s="52">
        <v>45386.0</v>
      </c>
      <c r="U1150" s="52">
        <v>45386.0</v>
      </c>
      <c r="V1150" s="52">
        <v>45393.0</v>
      </c>
      <c r="W1150" s="30"/>
      <c r="X1150" s="30"/>
      <c r="Y1150" s="31"/>
      <c r="Z1150" s="31"/>
      <c r="AA1150" s="78" t="s">
        <v>94</v>
      </c>
      <c r="AB1150" s="74" t="s">
        <v>4523</v>
      </c>
      <c r="AC1150" s="74"/>
    </row>
    <row r="1151" ht="16.5" customHeight="1">
      <c r="A1151" s="48" t="s">
        <v>4524</v>
      </c>
      <c r="B1151" s="53" t="s">
        <v>4525</v>
      </c>
      <c r="C1151" s="47">
        <v>0.0</v>
      </c>
      <c r="D1151" s="70" t="s">
        <v>4526</v>
      </c>
      <c r="E1151" s="55" t="s">
        <v>1119</v>
      </c>
      <c r="F1151" s="32" t="s">
        <v>33</v>
      </c>
      <c r="G1151" s="32" t="s">
        <v>35</v>
      </c>
      <c r="H1151" s="71" t="s">
        <v>35</v>
      </c>
      <c r="I1151" s="71" t="s">
        <v>36</v>
      </c>
      <c r="J1151" s="34" t="s">
        <v>37</v>
      </c>
      <c r="K1151" s="57" t="s">
        <v>1506</v>
      </c>
      <c r="L1151" s="72">
        <v>10647.0</v>
      </c>
      <c r="M1151" s="22"/>
      <c r="N1151" s="35" t="s">
        <v>4527</v>
      </c>
      <c r="O1151" s="28">
        <v>45394.67916666667</v>
      </c>
      <c r="P1151" s="35" t="s">
        <v>4528</v>
      </c>
      <c r="Q1151" s="12"/>
      <c r="R1151" s="12"/>
      <c r="S1151" s="12"/>
      <c r="T1151" s="52">
        <v>45386.0</v>
      </c>
      <c r="U1151" s="52">
        <v>45391.0</v>
      </c>
      <c r="V1151" s="52">
        <v>45394.67916666667</v>
      </c>
      <c r="W1151" s="30"/>
      <c r="X1151" s="30"/>
      <c r="Y1151" s="31"/>
      <c r="Z1151" s="31"/>
      <c r="AA1151" s="78" t="s">
        <v>3053</v>
      </c>
      <c r="AB1151" s="74" t="s">
        <v>4529</v>
      </c>
      <c r="AC1151" s="74"/>
    </row>
    <row r="1152" ht="16.5" customHeight="1">
      <c r="A1152" s="48" t="s">
        <v>4530</v>
      </c>
      <c r="B1152" s="53" t="s">
        <v>4525</v>
      </c>
      <c r="C1152" s="47">
        <v>0.0</v>
      </c>
      <c r="D1152" s="70" t="s">
        <v>4531</v>
      </c>
      <c r="E1152" s="55" t="s">
        <v>1119</v>
      </c>
      <c r="F1152" s="32" t="s">
        <v>33</v>
      </c>
      <c r="G1152" s="32" t="s">
        <v>35</v>
      </c>
      <c r="H1152" s="71" t="s">
        <v>35</v>
      </c>
      <c r="I1152" s="71" t="s">
        <v>36</v>
      </c>
      <c r="J1152" s="34" t="s">
        <v>37</v>
      </c>
      <c r="K1152" s="57" t="s">
        <v>1506</v>
      </c>
      <c r="L1152" s="72">
        <v>10647.0</v>
      </c>
      <c r="M1152" s="22"/>
      <c r="N1152" s="35" t="s">
        <v>4527</v>
      </c>
      <c r="O1152" s="28">
        <v>45394.67916666667</v>
      </c>
      <c r="P1152" s="35" t="s">
        <v>4528</v>
      </c>
      <c r="Q1152" s="12"/>
      <c r="R1152" s="12"/>
      <c r="S1152" s="12"/>
      <c r="T1152" s="52">
        <v>45386.0</v>
      </c>
      <c r="U1152" s="52">
        <v>45391.0</v>
      </c>
      <c r="V1152" s="52">
        <v>45394.67916666667</v>
      </c>
      <c r="W1152" s="30"/>
      <c r="X1152" s="30"/>
      <c r="Y1152" s="31"/>
      <c r="Z1152" s="31"/>
      <c r="AA1152" s="78" t="s">
        <v>3053</v>
      </c>
      <c r="AB1152" s="74" t="s">
        <v>4532</v>
      </c>
      <c r="AC1152" s="74"/>
    </row>
    <row r="1153" ht="16.5" customHeight="1">
      <c r="A1153" s="48" t="s">
        <v>4533</v>
      </c>
      <c r="B1153" s="53" t="s">
        <v>4525</v>
      </c>
      <c r="C1153" s="47">
        <v>0.0</v>
      </c>
      <c r="D1153" s="70" t="s">
        <v>4534</v>
      </c>
      <c r="E1153" s="55" t="s">
        <v>1119</v>
      </c>
      <c r="F1153" s="32" t="s">
        <v>33</v>
      </c>
      <c r="G1153" s="32" t="s">
        <v>35</v>
      </c>
      <c r="H1153" s="71" t="s">
        <v>35</v>
      </c>
      <c r="I1153" s="71" t="s">
        <v>36</v>
      </c>
      <c r="J1153" s="34" t="s">
        <v>37</v>
      </c>
      <c r="K1153" s="57" t="s">
        <v>1506</v>
      </c>
      <c r="L1153" s="72">
        <v>10647.0</v>
      </c>
      <c r="M1153" s="22"/>
      <c r="N1153" s="35" t="s">
        <v>4527</v>
      </c>
      <c r="O1153" s="28">
        <v>45394.67916666667</v>
      </c>
      <c r="P1153" s="35" t="s">
        <v>4528</v>
      </c>
      <c r="Q1153" s="12"/>
      <c r="R1153" s="12"/>
      <c r="S1153" s="12"/>
      <c r="T1153" s="52">
        <v>45386.0</v>
      </c>
      <c r="U1153" s="52">
        <v>45391.0</v>
      </c>
      <c r="V1153" s="52">
        <v>45394.67916666667</v>
      </c>
      <c r="W1153" s="30"/>
      <c r="X1153" s="30"/>
      <c r="Y1153" s="31"/>
      <c r="Z1153" s="31"/>
      <c r="AA1153" s="78" t="s">
        <v>3053</v>
      </c>
      <c r="AB1153" s="74" t="s">
        <v>4535</v>
      </c>
      <c r="AC1153" s="74"/>
    </row>
    <row r="1154" ht="16.5" customHeight="1">
      <c r="A1154" s="48" t="s">
        <v>4536</v>
      </c>
      <c r="B1154" s="53" t="s">
        <v>104</v>
      </c>
      <c r="C1154" s="47">
        <v>0.0</v>
      </c>
      <c r="D1154" s="70" t="s">
        <v>4537</v>
      </c>
      <c r="E1154" s="55" t="s">
        <v>79</v>
      </c>
      <c r="F1154" s="32" t="s">
        <v>33</v>
      </c>
      <c r="G1154" s="32" t="s">
        <v>368</v>
      </c>
      <c r="H1154" s="71" t="s">
        <v>35</v>
      </c>
      <c r="I1154" s="71" t="s">
        <v>36</v>
      </c>
      <c r="J1154" s="34" t="s">
        <v>37</v>
      </c>
      <c r="K1154" s="57" t="s">
        <v>1184</v>
      </c>
      <c r="L1154" s="72"/>
      <c r="M1154" s="22"/>
      <c r="N1154" s="35" t="s">
        <v>41</v>
      </c>
      <c r="O1154" s="28">
        <v>45393.59930555556</v>
      </c>
      <c r="P1154" s="35" t="s">
        <v>4538</v>
      </c>
      <c r="Q1154" s="12"/>
      <c r="R1154" s="12"/>
      <c r="S1154" s="12"/>
      <c r="T1154" s="52">
        <v>45386.0</v>
      </c>
      <c r="U1154" s="52">
        <v>45386.0</v>
      </c>
      <c r="V1154" s="52">
        <v>45393.0</v>
      </c>
      <c r="W1154" s="30"/>
      <c r="X1154" s="30"/>
      <c r="Y1154" s="31"/>
      <c r="Z1154" s="31"/>
      <c r="AA1154" s="78" t="s">
        <v>108</v>
      </c>
      <c r="AB1154" s="74" t="s">
        <v>4539</v>
      </c>
      <c r="AC1154" s="74"/>
    </row>
    <row r="1155" ht="16.5" customHeight="1">
      <c r="A1155" s="48" t="s">
        <v>4540</v>
      </c>
      <c r="B1155" s="53" t="s">
        <v>104</v>
      </c>
      <c r="C1155" s="47">
        <v>0.0</v>
      </c>
      <c r="D1155" s="70" t="s">
        <v>4541</v>
      </c>
      <c r="E1155" s="55" t="s">
        <v>701</v>
      </c>
      <c r="F1155" s="32" t="s">
        <v>33</v>
      </c>
      <c r="G1155" s="32" t="s">
        <v>368</v>
      </c>
      <c r="H1155" s="71" t="s">
        <v>35</v>
      </c>
      <c r="I1155" s="71" t="s">
        <v>36</v>
      </c>
      <c r="J1155" s="34" t="s">
        <v>37</v>
      </c>
      <c r="K1155" s="57" t="s">
        <v>1184</v>
      </c>
      <c r="L1155" s="72">
        <v>10640.0</v>
      </c>
      <c r="M1155" s="22"/>
      <c r="N1155" s="35" t="s">
        <v>41</v>
      </c>
      <c r="O1155" s="28">
        <v>45393.59930555556</v>
      </c>
      <c r="P1155" s="35" t="s">
        <v>4538</v>
      </c>
      <c r="Q1155" s="12"/>
      <c r="R1155" s="12"/>
      <c r="S1155" s="12"/>
      <c r="T1155" s="52">
        <v>45386.0</v>
      </c>
      <c r="U1155" s="52">
        <v>45386.0</v>
      </c>
      <c r="V1155" s="52">
        <v>45391.0</v>
      </c>
      <c r="W1155" s="30"/>
      <c r="X1155" s="30"/>
      <c r="Y1155" s="31"/>
      <c r="Z1155" s="31"/>
      <c r="AA1155" s="78" t="s">
        <v>108</v>
      </c>
      <c r="AB1155" s="74" t="s">
        <v>4542</v>
      </c>
      <c r="AC1155" s="74"/>
    </row>
    <row r="1156" ht="16.5" customHeight="1">
      <c r="A1156" s="48" t="s">
        <v>4543</v>
      </c>
      <c r="B1156" s="53" t="s">
        <v>4375</v>
      </c>
      <c r="C1156" s="47">
        <v>1.0</v>
      </c>
      <c r="D1156" s="70" t="s">
        <v>4544</v>
      </c>
      <c r="E1156" s="55" t="s">
        <v>3395</v>
      </c>
      <c r="F1156" s="32" t="s">
        <v>48</v>
      </c>
      <c r="G1156" s="32" t="s">
        <v>35</v>
      </c>
      <c r="H1156" s="71" t="s">
        <v>35</v>
      </c>
      <c r="I1156" s="71" t="s">
        <v>36</v>
      </c>
      <c r="J1156" s="34" t="s">
        <v>65</v>
      </c>
      <c r="K1156" s="57" t="s">
        <v>38</v>
      </c>
      <c r="L1156" s="72">
        <v>10610.0</v>
      </c>
      <c r="M1156" s="22"/>
      <c r="N1156" s="35" t="s">
        <v>4416</v>
      </c>
      <c r="O1156" s="28">
        <v>45390.66527777778</v>
      </c>
      <c r="P1156" s="35" t="s">
        <v>4545</v>
      </c>
      <c r="Q1156" s="12"/>
      <c r="R1156" s="12"/>
      <c r="S1156" s="12"/>
      <c r="T1156" s="52">
        <v>45386.0</v>
      </c>
      <c r="U1156" s="52">
        <v>45386.0</v>
      </c>
      <c r="V1156" s="52">
        <v>45390.0</v>
      </c>
      <c r="W1156" s="30"/>
      <c r="X1156" s="30"/>
      <c r="Y1156" s="31"/>
      <c r="Z1156" s="31"/>
      <c r="AA1156" s="31"/>
      <c r="AB1156" s="74" t="s">
        <v>4546</v>
      </c>
      <c r="AC1156" s="74"/>
    </row>
    <row r="1157" ht="16.5" customHeight="1">
      <c r="A1157" s="48" t="s">
        <v>4547</v>
      </c>
      <c r="B1157" s="53" t="s">
        <v>4375</v>
      </c>
      <c r="C1157" s="47">
        <v>1.0</v>
      </c>
      <c r="D1157" s="70" t="s">
        <v>4548</v>
      </c>
      <c r="E1157" s="55" t="s">
        <v>3395</v>
      </c>
      <c r="F1157" s="32" t="s">
        <v>48</v>
      </c>
      <c r="G1157" s="32" t="s">
        <v>35</v>
      </c>
      <c r="H1157" s="71" t="s">
        <v>35</v>
      </c>
      <c r="I1157" s="71" t="s">
        <v>36</v>
      </c>
      <c r="J1157" s="34" t="s">
        <v>65</v>
      </c>
      <c r="K1157" s="57" t="s">
        <v>38</v>
      </c>
      <c r="L1157" s="72">
        <v>10610.0</v>
      </c>
      <c r="M1157" s="22"/>
      <c r="N1157" s="35" t="s">
        <v>4416</v>
      </c>
      <c r="O1157" s="28">
        <v>45390.665972222225</v>
      </c>
      <c r="P1157" s="35" t="s">
        <v>4545</v>
      </c>
      <c r="Q1157" s="12"/>
      <c r="R1157" s="12"/>
      <c r="S1157" s="12"/>
      <c r="T1157" s="52">
        <v>45386.0</v>
      </c>
      <c r="U1157" s="52">
        <v>45386.0</v>
      </c>
      <c r="V1157" s="52">
        <v>45390.0</v>
      </c>
      <c r="W1157" s="30"/>
      <c r="X1157" s="30"/>
      <c r="Y1157" s="31"/>
      <c r="Z1157" s="31"/>
      <c r="AA1157" s="31"/>
      <c r="AB1157" s="74" t="s">
        <v>4549</v>
      </c>
      <c r="AC1157" s="74"/>
    </row>
    <row r="1158" ht="16.5" customHeight="1">
      <c r="A1158" s="48" t="s">
        <v>4550</v>
      </c>
      <c r="B1158" s="53" t="s">
        <v>4375</v>
      </c>
      <c r="C1158" s="47">
        <v>1.0</v>
      </c>
      <c r="D1158" s="70"/>
      <c r="E1158" s="55" t="s">
        <v>3395</v>
      </c>
      <c r="F1158" s="32" t="s">
        <v>48</v>
      </c>
      <c r="G1158" s="32" t="s">
        <v>35</v>
      </c>
      <c r="H1158" s="71" t="s">
        <v>35</v>
      </c>
      <c r="I1158" s="71" t="s">
        <v>665</v>
      </c>
      <c r="J1158" s="34" t="s">
        <v>65</v>
      </c>
      <c r="K1158" s="57" t="s">
        <v>38</v>
      </c>
      <c r="L1158" s="72">
        <v>10610.0</v>
      </c>
      <c r="M1158" s="22"/>
      <c r="N1158" s="35" t="s">
        <v>4416</v>
      </c>
      <c r="O1158" s="28">
        <v>45390.665972222225</v>
      </c>
      <c r="P1158" s="35" t="s">
        <v>4551</v>
      </c>
      <c r="Q1158" s="12"/>
      <c r="R1158" s="12"/>
      <c r="S1158" s="12"/>
      <c r="T1158" s="52">
        <v>45386.0</v>
      </c>
      <c r="U1158" s="52">
        <v>45386.0</v>
      </c>
      <c r="V1158" s="52">
        <v>45390.0</v>
      </c>
      <c r="W1158" s="30"/>
      <c r="X1158" s="30"/>
      <c r="Y1158" s="31"/>
      <c r="Z1158" s="31"/>
      <c r="AA1158" s="31"/>
      <c r="AB1158" s="74" t="s">
        <v>4552</v>
      </c>
      <c r="AC1158" s="74"/>
    </row>
    <row r="1159" ht="16.5" customHeight="1">
      <c r="A1159" s="48" t="s">
        <v>4553</v>
      </c>
      <c r="B1159" s="53" t="s">
        <v>4375</v>
      </c>
      <c r="C1159" s="47">
        <v>1.0</v>
      </c>
      <c r="D1159" s="70"/>
      <c r="E1159" s="55" t="s">
        <v>3395</v>
      </c>
      <c r="F1159" s="32" t="s">
        <v>48</v>
      </c>
      <c r="G1159" s="32" t="s">
        <v>35</v>
      </c>
      <c r="H1159" s="71" t="s">
        <v>35</v>
      </c>
      <c r="I1159" s="71" t="s">
        <v>665</v>
      </c>
      <c r="J1159" s="34" t="s">
        <v>65</v>
      </c>
      <c r="K1159" s="57" t="s">
        <v>38</v>
      </c>
      <c r="L1159" s="72">
        <v>10610.0</v>
      </c>
      <c r="M1159" s="22"/>
      <c r="N1159" s="35" t="s">
        <v>4416</v>
      </c>
      <c r="O1159" s="28">
        <v>45390.665972222225</v>
      </c>
      <c r="P1159" s="35" t="s">
        <v>4554</v>
      </c>
      <c r="Q1159" s="12"/>
      <c r="R1159" s="12"/>
      <c r="S1159" s="12"/>
      <c r="T1159" s="52">
        <v>45386.0</v>
      </c>
      <c r="U1159" s="52">
        <v>45386.0</v>
      </c>
      <c r="V1159" s="52">
        <v>45390.0</v>
      </c>
      <c r="W1159" s="30"/>
      <c r="X1159" s="30"/>
      <c r="Y1159" s="31"/>
      <c r="Z1159" s="31"/>
      <c r="AA1159" s="31"/>
      <c r="AB1159" s="74" t="s">
        <v>4555</v>
      </c>
      <c r="AC1159" s="74"/>
    </row>
    <row r="1160" ht="16.5" customHeight="1">
      <c r="A1160" s="48" t="s">
        <v>4556</v>
      </c>
      <c r="B1160" s="53" t="s">
        <v>4375</v>
      </c>
      <c r="C1160" s="47">
        <v>27.0</v>
      </c>
      <c r="D1160" s="39" t="s">
        <v>4557</v>
      </c>
      <c r="E1160" s="55" t="s">
        <v>72</v>
      </c>
      <c r="F1160" s="32" t="s">
        <v>48</v>
      </c>
      <c r="G1160" s="32" t="s">
        <v>35</v>
      </c>
      <c r="H1160" s="71" t="s">
        <v>35</v>
      </c>
      <c r="I1160" s="71" t="s">
        <v>36</v>
      </c>
      <c r="J1160" s="34" t="s">
        <v>65</v>
      </c>
      <c r="K1160" s="57" t="s">
        <v>38</v>
      </c>
      <c r="L1160" s="72">
        <v>10610.0</v>
      </c>
      <c r="M1160" s="22"/>
      <c r="N1160" s="35" t="s">
        <v>4416</v>
      </c>
      <c r="O1160" s="28">
        <v>45390.665972222225</v>
      </c>
      <c r="P1160" s="35" t="s">
        <v>4545</v>
      </c>
      <c r="Q1160" s="12"/>
      <c r="R1160" s="12"/>
      <c r="S1160" s="12"/>
      <c r="T1160" s="52">
        <v>45386.0</v>
      </c>
      <c r="U1160" s="52">
        <v>45386.0</v>
      </c>
      <c r="V1160" s="52">
        <v>45390.0</v>
      </c>
      <c r="W1160" s="30"/>
      <c r="X1160" s="30"/>
      <c r="Y1160" s="31"/>
      <c r="Z1160" s="31"/>
      <c r="AA1160" s="31"/>
      <c r="AB1160" s="74" t="s">
        <v>4558</v>
      </c>
      <c r="AC1160" s="74"/>
    </row>
    <row r="1161" ht="16.5" customHeight="1">
      <c r="A1161" s="48" t="s">
        <v>4559</v>
      </c>
      <c r="B1161" s="53" t="s">
        <v>4375</v>
      </c>
      <c r="C1161" s="47">
        <v>27.0</v>
      </c>
      <c r="D1161" s="39" t="s">
        <v>4560</v>
      </c>
      <c r="E1161" s="55" t="s">
        <v>72</v>
      </c>
      <c r="F1161" s="32" t="s">
        <v>48</v>
      </c>
      <c r="G1161" s="32" t="s">
        <v>35</v>
      </c>
      <c r="H1161" s="71" t="s">
        <v>35</v>
      </c>
      <c r="I1161" s="71" t="s">
        <v>36</v>
      </c>
      <c r="J1161" s="34" t="s">
        <v>65</v>
      </c>
      <c r="K1161" s="57" t="s">
        <v>38</v>
      </c>
      <c r="L1161" s="72">
        <v>10610.0</v>
      </c>
      <c r="M1161" s="22"/>
      <c r="N1161" s="35" t="s">
        <v>4416</v>
      </c>
      <c r="O1161" s="28">
        <v>45390.665972222225</v>
      </c>
      <c r="P1161" s="35" t="s">
        <v>4545</v>
      </c>
      <c r="Q1161" s="12"/>
      <c r="R1161" s="12"/>
      <c r="S1161" s="12"/>
      <c r="T1161" s="52">
        <v>45386.0</v>
      </c>
      <c r="U1161" s="52">
        <v>45386.0</v>
      </c>
      <c r="V1161" s="52">
        <v>45390.0</v>
      </c>
      <c r="W1161" s="30"/>
      <c r="X1161" s="30"/>
      <c r="Y1161" s="31"/>
      <c r="Z1161" s="31"/>
      <c r="AA1161" s="31"/>
      <c r="AB1161" s="74" t="s">
        <v>4561</v>
      </c>
      <c r="AC1161" s="74"/>
    </row>
    <row r="1162" ht="16.5" customHeight="1">
      <c r="A1162" s="48" t="s">
        <v>4562</v>
      </c>
      <c r="B1162" s="53" t="s">
        <v>4375</v>
      </c>
      <c r="C1162" s="47">
        <v>11.0</v>
      </c>
      <c r="D1162" s="70" t="s">
        <v>4563</v>
      </c>
      <c r="E1162" s="55" t="s">
        <v>112</v>
      </c>
      <c r="F1162" s="32" t="s">
        <v>48</v>
      </c>
      <c r="G1162" s="32" t="s">
        <v>35</v>
      </c>
      <c r="H1162" s="71" t="s">
        <v>35</v>
      </c>
      <c r="I1162" s="71" t="s">
        <v>36</v>
      </c>
      <c r="J1162" s="34" t="s">
        <v>65</v>
      </c>
      <c r="K1162" s="57" t="s">
        <v>38</v>
      </c>
      <c r="L1162" s="72">
        <v>10610.0</v>
      </c>
      <c r="M1162" s="22"/>
      <c r="N1162" s="35" t="s">
        <v>4416</v>
      </c>
      <c r="O1162" s="28">
        <v>45390.665972222225</v>
      </c>
      <c r="P1162" s="35" t="s">
        <v>4545</v>
      </c>
      <c r="Q1162" s="12"/>
      <c r="R1162" s="12"/>
      <c r="S1162" s="12"/>
      <c r="T1162" s="52">
        <v>45386.0</v>
      </c>
      <c r="U1162" s="52">
        <v>45386.0</v>
      </c>
      <c r="V1162" s="52">
        <v>45390.0</v>
      </c>
      <c r="W1162" s="30"/>
      <c r="X1162" s="30"/>
      <c r="Y1162" s="31"/>
      <c r="Z1162" s="31"/>
      <c r="AA1162" s="31"/>
      <c r="AB1162" s="74" t="s">
        <v>4564</v>
      </c>
      <c r="AC1162" s="74"/>
    </row>
    <row r="1163" ht="16.5" customHeight="1">
      <c r="A1163" s="48" t="s">
        <v>4565</v>
      </c>
      <c r="B1163" s="53" t="s">
        <v>122</v>
      </c>
      <c r="C1163" s="47">
        <v>27.0</v>
      </c>
      <c r="D1163" s="39" t="s">
        <v>4566</v>
      </c>
      <c r="E1163" s="55" t="s">
        <v>72</v>
      </c>
      <c r="F1163" s="32" t="s">
        <v>48</v>
      </c>
      <c r="G1163" s="32" t="s">
        <v>35</v>
      </c>
      <c r="H1163" s="71" t="s">
        <v>35</v>
      </c>
      <c r="I1163" s="71" t="s">
        <v>36</v>
      </c>
      <c r="J1163" s="34" t="s">
        <v>49</v>
      </c>
      <c r="K1163" s="57" t="s">
        <v>38</v>
      </c>
      <c r="L1163" s="72">
        <v>10723.0</v>
      </c>
      <c r="M1163" s="22" t="s">
        <v>50</v>
      </c>
      <c r="N1163" s="35" t="s">
        <v>3694</v>
      </c>
      <c r="O1163" s="28">
        <v>45412.623449074075</v>
      </c>
      <c r="P1163" s="35" t="s">
        <v>4567</v>
      </c>
      <c r="Q1163" s="12"/>
      <c r="R1163" s="12"/>
      <c r="S1163" s="12"/>
      <c r="T1163" s="52">
        <v>45386.0</v>
      </c>
      <c r="U1163" s="52">
        <v>45390.0</v>
      </c>
      <c r="V1163" s="52">
        <v>45412.328888888886</v>
      </c>
      <c r="W1163" s="30"/>
      <c r="X1163" s="30"/>
      <c r="Y1163" s="31"/>
      <c r="Z1163" s="31"/>
      <c r="AA1163" s="31"/>
      <c r="AB1163" s="74" t="s">
        <v>4568</v>
      </c>
      <c r="AC1163" s="74"/>
    </row>
    <row r="1164" ht="16.5" customHeight="1">
      <c r="A1164" s="48" t="s">
        <v>4569</v>
      </c>
      <c r="B1164" s="53" t="s">
        <v>473</v>
      </c>
      <c r="C1164" s="47">
        <v>0.0</v>
      </c>
      <c r="D1164" s="70" t="s">
        <v>4570</v>
      </c>
      <c r="E1164" s="55" t="s">
        <v>165</v>
      </c>
      <c r="F1164" s="32" t="s">
        <v>33</v>
      </c>
      <c r="G1164" s="32" t="s">
        <v>34</v>
      </c>
      <c r="H1164" s="71" t="s">
        <v>35</v>
      </c>
      <c r="I1164" s="71" t="s">
        <v>36</v>
      </c>
      <c r="J1164" s="34" t="s">
        <v>65</v>
      </c>
      <c r="K1164" s="57" t="s">
        <v>38</v>
      </c>
      <c r="L1164" s="72">
        <v>10616.0</v>
      </c>
      <c r="M1164" s="22"/>
      <c r="N1164" s="35" t="s">
        <v>4416</v>
      </c>
      <c r="O1164" s="28">
        <v>45390.666666666664</v>
      </c>
      <c r="P1164" s="35" t="s">
        <v>4571</v>
      </c>
      <c r="Q1164" s="12"/>
      <c r="R1164" s="12"/>
      <c r="S1164" s="12"/>
      <c r="T1164" s="52">
        <v>45386.0</v>
      </c>
      <c r="U1164" s="52">
        <v>45387.0</v>
      </c>
      <c r="V1164" s="52">
        <v>45390.0</v>
      </c>
      <c r="W1164" s="30"/>
      <c r="X1164" s="30"/>
      <c r="Y1164" s="31"/>
      <c r="Z1164" s="31"/>
      <c r="AA1164" s="78" t="s">
        <v>94</v>
      </c>
      <c r="AB1164" s="74" t="s">
        <v>4572</v>
      </c>
      <c r="AC1164" s="74"/>
    </row>
    <row r="1165" ht="16.5" customHeight="1">
      <c r="A1165" s="48" t="s">
        <v>4573</v>
      </c>
      <c r="B1165" s="53" t="s">
        <v>4293</v>
      </c>
      <c r="C1165" s="47">
        <v>1.0</v>
      </c>
      <c r="D1165" s="70" t="s">
        <v>4574</v>
      </c>
      <c r="E1165" s="55" t="s">
        <v>3395</v>
      </c>
      <c r="F1165" s="32" t="s">
        <v>48</v>
      </c>
      <c r="G1165" s="32" t="s">
        <v>35</v>
      </c>
      <c r="H1165" s="71" t="s">
        <v>35</v>
      </c>
      <c r="I1165" s="71" t="s">
        <v>36</v>
      </c>
      <c r="J1165" s="34" t="s">
        <v>65</v>
      </c>
      <c r="K1165" s="57" t="s">
        <v>38</v>
      </c>
      <c r="L1165" s="72">
        <v>10609.0</v>
      </c>
      <c r="M1165" s="22"/>
      <c r="N1165" s="35" t="s">
        <v>4416</v>
      </c>
      <c r="O1165" s="28">
        <v>45390.665972222225</v>
      </c>
      <c r="P1165" s="35" t="s">
        <v>4575</v>
      </c>
      <c r="Q1165" s="12"/>
      <c r="R1165" s="12"/>
      <c r="S1165" s="12"/>
      <c r="T1165" s="52">
        <v>45386.0</v>
      </c>
      <c r="U1165" s="52">
        <v>45387.0</v>
      </c>
      <c r="V1165" s="52">
        <v>45390.0</v>
      </c>
      <c r="W1165" s="30"/>
      <c r="X1165" s="30"/>
      <c r="Y1165" s="31"/>
      <c r="Z1165" s="31"/>
      <c r="AA1165" s="78" t="s">
        <v>94</v>
      </c>
      <c r="AB1165" s="74" t="s">
        <v>4576</v>
      </c>
      <c r="AC1165" s="74"/>
    </row>
    <row r="1166" ht="16.5" customHeight="1">
      <c r="A1166" s="48" t="s">
        <v>4577</v>
      </c>
      <c r="B1166" s="53" t="s">
        <v>1584</v>
      </c>
      <c r="C1166" s="47">
        <v>27.0</v>
      </c>
      <c r="D1166" s="39" t="s">
        <v>4578</v>
      </c>
      <c r="E1166" s="55" t="s">
        <v>72</v>
      </c>
      <c r="F1166" s="32" t="s">
        <v>48</v>
      </c>
      <c r="G1166" s="32" t="s">
        <v>35</v>
      </c>
      <c r="H1166" s="71" t="s">
        <v>35</v>
      </c>
      <c r="I1166" s="71" t="s">
        <v>36</v>
      </c>
      <c r="J1166" s="34" t="s">
        <v>49</v>
      </c>
      <c r="K1166" s="57" t="s">
        <v>38</v>
      </c>
      <c r="L1166" s="72">
        <v>10618.0</v>
      </c>
      <c r="M1166" s="22"/>
      <c r="N1166" s="35" t="s">
        <v>106</v>
      </c>
      <c r="O1166" s="28">
        <v>45390.67013888889</v>
      </c>
      <c r="P1166" s="35" t="s">
        <v>4579</v>
      </c>
      <c r="Q1166" s="12"/>
      <c r="R1166" s="12"/>
      <c r="S1166" s="12"/>
      <c r="T1166" s="52">
        <v>45387.0</v>
      </c>
      <c r="U1166" s="52">
        <v>45390.67013888889</v>
      </c>
      <c r="V1166" s="52">
        <v>45390.0</v>
      </c>
      <c r="W1166" s="30"/>
      <c r="X1166" s="30"/>
      <c r="Y1166" s="31"/>
      <c r="Z1166" s="31"/>
      <c r="AA1166" s="78" t="s">
        <v>102</v>
      </c>
      <c r="AB1166" s="74" t="s">
        <v>4580</v>
      </c>
      <c r="AC1166" s="74"/>
    </row>
    <row r="1167" ht="16.5" customHeight="1">
      <c r="A1167" s="48" t="s">
        <v>4581</v>
      </c>
      <c r="B1167" s="53" t="s">
        <v>4582</v>
      </c>
      <c r="C1167" s="47">
        <v>27.0</v>
      </c>
      <c r="D1167" s="39" t="s">
        <v>4583</v>
      </c>
      <c r="E1167" s="55" t="s">
        <v>72</v>
      </c>
      <c r="F1167" s="32" t="s">
        <v>48</v>
      </c>
      <c r="G1167" s="32" t="s">
        <v>35</v>
      </c>
      <c r="H1167" s="71" t="s">
        <v>35</v>
      </c>
      <c r="I1167" s="71" t="s">
        <v>36</v>
      </c>
      <c r="J1167" s="34" t="s">
        <v>37</v>
      </c>
      <c r="K1167" s="57" t="s">
        <v>238</v>
      </c>
      <c r="L1167" s="72">
        <v>10626.0</v>
      </c>
      <c r="M1167" s="22"/>
      <c r="N1167" s="35" t="s">
        <v>4392</v>
      </c>
      <c r="O1167" s="28">
        <v>45392.61875</v>
      </c>
      <c r="P1167" s="35" t="s">
        <v>4584</v>
      </c>
      <c r="Q1167" s="12"/>
      <c r="R1167" s="12"/>
      <c r="S1167" s="12"/>
      <c r="T1167" s="52">
        <v>45387.0</v>
      </c>
      <c r="U1167" s="52">
        <v>45391.0</v>
      </c>
      <c r="V1167" s="52">
        <v>45392.61875</v>
      </c>
      <c r="W1167" s="30"/>
      <c r="X1167" s="30"/>
      <c r="Y1167" s="31"/>
      <c r="Z1167" s="31"/>
      <c r="AA1167" s="78" t="s">
        <v>3808</v>
      </c>
      <c r="AB1167" s="74" t="s">
        <v>4585</v>
      </c>
      <c r="AC1167" s="74"/>
    </row>
    <row r="1168" ht="16.5" customHeight="1">
      <c r="A1168" s="48" t="s">
        <v>4586</v>
      </c>
      <c r="B1168" s="53" t="s">
        <v>4587</v>
      </c>
      <c r="C1168" s="47">
        <v>90.0</v>
      </c>
      <c r="D1168" s="70" t="s">
        <v>4588</v>
      </c>
      <c r="E1168" s="55" t="s">
        <v>91</v>
      </c>
      <c r="F1168" s="32" t="s">
        <v>48</v>
      </c>
      <c r="G1168" s="32" t="s">
        <v>35</v>
      </c>
      <c r="H1168" s="71" t="s">
        <v>35</v>
      </c>
      <c r="I1168" s="71" t="s">
        <v>36</v>
      </c>
      <c r="J1168" s="34" t="s">
        <v>65</v>
      </c>
      <c r="K1168" s="57" t="s">
        <v>38</v>
      </c>
      <c r="L1168" s="72">
        <v>10625.0</v>
      </c>
      <c r="M1168" s="22"/>
      <c r="N1168" s="35" t="s">
        <v>80</v>
      </c>
      <c r="O1168" s="28">
        <v>45392.7125</v>
      </c>
      <c r="P1168" s="35" t="s">
        <v>4589</v>
      </c>
      <c r="Q1168" s="12"/>
      <c r="R1168" s="12"/>
      <c r="S1168" s="12"/>
      <c r="T1168" s="52">
        <v>45390.0</v>
      </c>
      <c r="U1168" s="52">
        <v>45391.0</v>
      </c>
      <c r="V1168" s="52">
        <v>45392.7125</v>
      </c>
      <c r="W1168" s="30"/>
      <c r="X1168" s="30"/>
      <c r="Y1168" s="31"/>
      <c r="Z1168" s="31"/>
      <c r="AA1168" s="78" t="s">
        <v>3059</v>
      </c>
      <c r="AB1168" s="74" t="s">
        <v>4590</v>
      </c>
      <c r="AC1168" s="74"/>
    </row>
    <row r="1169" ht="16.5" customHeight="1">
      <c r="A1169" s="48" t="s">
        <v>4591</v>
      </c>
      <c r="B1169" s="53" t="s">
        <v>4352</v>
      </c>
      <c r="C1169" s="47">
        <v>27.0</v>
      </c>
      <c r="D1169" s="70" t="s">
        <v>4592</v>
      </c>
      <c r="E1169" s="55" t="s">
        <v>72</v>
      </c>
      <c r="F1169" s="32" t="s">
        <v>48</v>
      </c>
      <c r="G1169" s="32" t="s">
        <v>35</v>
      </c>
      <c r="H1169" s="71" t="s">
        <v>35</v>
      </c>
      <c r="I1169" s="71" t="s">
        <v>36</v>
      </c>
      <c r="J1169" s="34" t="s">
        <v>49</v>
      </c>
      <c r="K1169" s="57" t="s">
        <v>38</v>
      </c>
      <c r="L1169" s="72">
        <v>10644.0</v>
      </c>
      <c r="M1169" s="22"/>
      <c r="N1169" s="35" t="s">
        <v>3694</v>
      </c>
      <c r="O1169" s="28">
        <v>45394.68819444445</v>
      </c>
      <c r="P1169" s="35" t="s">
        <v>4593</v>
      </c>
      <c r="Q1169" s="12"/>
      <c r="R1169" s="12"/>
      <c r="S1169" s="12"/>
      <c r="T1169" s="52">
        <v>45390.0</v>
      </c>
      <c r="U1169" s="52">
        <v>45393.0</v>
      </c>
      <c r="V1169" s="52">
        <v>45394.68819444445</v>
      </c>
      <c r="W1169" s="30"/>
      <c r="X1169" s="30"/>
      <c r="Y1169" s="31"/>
      <c r="Z1169" s="31"/>
      <c r="AA1169" s="78" t="s">
        <v>127</v>
      </c>
      <c r="AB1169" s="74" t="s">
        <v>4594</v>
      </c>
      <c r="AC1169" s="74"/>
    </row>
    <row r="1170" ht="16.5" customHeight="1">
      <c r="A1170" s="48" t="s">
        <v>4595</v>
      </c>
      <c r="B1170" s="53" t="s">
        <v>4147</v>
      </c>
      <c r="C1170" s="47">
        <v>0.0</v>
      </c>
      <c r="D1170" s="70" t="s">
        <v>4596</v>
      </c>
      <c r="E1170" s="55" t="s">
        <v>3441</v>
      </c>
      <c r="F1170" s="32" t="s">
        <v>48</v>
      </c>
      <c r="G1170" s="32" t="s">
        <v>35</v>
      </c>
      <c r="H1170" s="71" t="s">
        <v>35</v>
      </c>
      <c r="I1170" s="71" t="s">
        <v>36</v>
      </c>
      <c r="J1170" s="34" t="s">
        <v>49</v>
      </c>
      <c r="K1170" s="57" t="s">
        <v>38</v>
      </c>
      <c r="L1170" s="72">
        <v>10829.0</v>
      </c>
      <c r="M1170" s="22" t="s">
        <v>50</v>
      </c>
      <c r="N1170" s="35" t="s">
        <v>106</v>
      </c>
      <c r="O1170" s="28">
        <v>45435.6775462963</v>
      </c>
      <c r="P1170" s="35" t="s">
        <v>4597</v>
      </c>
      <c r="Q1170" s="12"/>
      <c r="R1170" s="12"/>
      <c r="S1170" s="12"/>
      <c r="T1170" s="52">
        <v>45390.0</v>
      </c>
      <c r="U1170" s="52">
        <v>45432.6775462963</v>
      </c>
      <c r="V1170" s="52">
        <v>45435.57493055556</v>
      </c>
      <c r="W1170" s="30"/>
      <c r="X1170" s="30"/>
      <c r="Y1170" s="31"/>
      <c r="Z1170" s="31"/>
      <c r="AA1170" s="78" t="s">
        <v>127</v>
      </c>
      <c r="AB1170" s="74" t="s">
        <v>4598</v>
      </c>
      <c r="AC1170" s="74"/>
    </row>
    <row r="1171" ht="16.5" customHeight="1">
      <c r="A1171" s="48" t="s">
        <v>4599</v>
      </c>
      <c r="B1171" s="53" t="s">
        <v>2753</v>
      </c>
      <c r="C1171" s="47">
        <v>137.0</v>
      </c>
      <c r="D1171" s="70" t="s">
        <v>4600</v>
      </c>
      <c r="E1171" s="55" t="s">
        <v>85</v>
      </c>
      <c r="F1171" s="32" t="s">
        <v>48</v>
      </c>
      <c r="G1171" s="32" t="s">
        <v>35</v>
      </c>
      <c r="H1171" s="71" t="s">
        <v>35</v>
      </c>
      <c r="I1171" s="71" t="s">
        <v>36</v>
      </c>
      <c r="J1171" s="34" t="s">
        <v>65</v>
      </c>
      <c r="K1171" s="57" t="s">
        <v>38</v>
      </c>
      <c r="L1171" s="72">
        <v>10637.0</v>
      </c>
      <c r="M1171" s="22"/>
      <c r="N1171" s="73"/>
      <c r="O1171" s="28">
        <v>45400.0</v>
      </c>
      <c r="P1171" s="35" t="s">
        <v>4601</v>
      </c>
      <c r="Q1171" s="12"/>
      <c r="R1171" s="12"/>
      <c r="S1171" s="12"/>
      <c r="T1171" s="52">
        <v>45390.0</v>
      </c>
      <c r="U1171" s="52">
        <v>45390.0</v>
      </c>
      <c r="V1171" s="52">
        <v>45400.0</v>
      </c>
      <c r="W1171" s="30"/>
      <c r="X1171" s="30"/>
      <c r="Y1171" s="31"/>
      <c r="Z1171" s="31"/>
      <c r="AA1171" s="78" t="s">
        <v>94</v>
      </c>
      <c r="AB1171" s="74" t="s">
        <v>4602</v>
      </c>
      <c r="AC1171" s="74"/>
    </row>
    <row r="1172" ht="16.5" customHeight="1">
      <c r="A1172" s="48" t="s">
        <v>4603</v>
      </c>
      <c r="B1172" s="53" t="s">
        <v>4604</v>
      </c>
      <c r="C1172" s="47">
        <v>0.0</v>
      </c>
      <c r="D1172" s="70" t="s">
        <v>4605</v>
      </c>
      <c r="E1172" s="55" t="s">
        <v>3441</v>
      </c>
      <c r="F1172" s="32" t="s">
        <v>48</v>
      </c>
      <c r="G1172" s="32" t="s">
        <v>35</v>
      </c>
      <c r="H1172" s="71" t="s">
        <v>35</v>
      </c>
      <c r="I1172" s="71" t="s">
        <v>36</v>
      </c>
      <c r="J1172" s="34" t="s">
        <v>65</v>
      </c>
      <c r="K1172" s="57" t="s">
        <v>38</v>
      </c>
      <c r="L1172" s="72">
        <v>10841.0</v>
      </c>
      <c r="M1172" s="22" t="s">
        <v>50</v>
      </c>
      <c r="N1172" s="35" t="s">
        <v>3442</v>
      </c>
      <c r="O1172" s="28">
        <v>45435.723969907405</v>
      </c>
      <c r="P1172" s="35" t="s">
        <v>4606</v>
      </c>
      <c r="Q1172" s="12"/>
      <c r="R1172" s="12"/>
      <c r="S1172" s="12"/>
      <c r="T1172" s="52">
        <v>45390.0</v>
      </c>
      <c r="U1172" s="52">
        <v>45432.723969907405</v>
      </c>
      <c r="V1172" s="52">
        <v>45435.57494212963</v>
      </c>
      <c r="W1172" s="30"/>
      <c r="X1172" s="30"/>
      <c r="Y1172" s="31"/>
      <c r="Z1172" s="31"/>
      <c r="AA1172" s="78" t="s">
        <v>94</v>
      </c>
      <c r="AB1172" s="74" t="s">
        <v>4607</v>
      </c>
      <c r="AC1172" s="74"/>
    </row>
    <row r="1173" ht="16.5" customHeight="1">
      <c r="A1173" s="48" t="s">
        <v>4608</v>
      </c>
      <c r="B1173" s="53" t="s">
        <v>4609</v>
      </c>
      <c r="C1173" s="47">
        <v>0.0</v>
      </c>
      <c r="D1173" s="70" t="s">
        <v>4610</v>
      </c>
      <c r="E1173" s="55" t="s">
        <v>383</v>
      </c>
      <c r="F1173" s="32" t="s">
        <v>33</v>
      </c>
      <c r="G1173" s="32" t="s">
        <v>34</v>
      </c>
      <c r="H1173" s="71" t="s">
        <v>35</v>
      </c>
      <c r="I1173" s="71" t="s">
        <v>36</v>
      </c>
      <c r="J1173" s="34" t="s">
        <v>37</v>
      </c>
      <c r="K1173" s="57" t="s">
        <v>384</v>
      </c>
      <c r="L1173" s="72">
        <v>10630.0</v>
      </c>
      <c r="M1173" s="22"/>
      <c r="N1173" s="35" t="s">
        <v>4392</v>
      </c>
      <c r="O1173" s="28">
        <v>45392.61875</v>
      </c>
      <c r="P1173" s="35" t="s">
        <v>4611</v>
      </c>
      <c r="Q1173" s="12"/>
      <c r="R1173" s="12"/>
      <c r="S1173" s="12"/>
      <c r="T1173" s="52">
        <v>45390.0</v>
      </c>
      <c r="U1173" s="52">
        <v>45392.61875</v>
      </c>
      <c r="V1173" s="52">
        <v>45392.61875</v>
      </c>
      <c r="W1173" s="30"/>
      <c r="X1173" s="30"/>
      <c r="Y1173" s="31"/>
      <c r="Z1173" s="31"/>
      <c r="AA1173" s="78" t="s">
        <v>108</v>
      </c>
      <c r="AB1173" s="74" t="s">
        <v>4612</v>
      </c>
      <c r="AC1173" s="74"/>
    </row>
    <row r="1174" ht="16.5" customHeight="1">
      <c r="A1174" s="48" t="s">
        <v>4613</v>
      </c>
      <c r="B1174" s="53" t="s">
        <v>4614</v>
      </c>
      <c r="C1174" s="47">
        <v>0.0</v>
      </c>
      <c r="D1174" s="70" t="s">
        <v>4615</v>
      </c>
      <c r="E1174" s="55" t="s">
        <v>701</v>
      </c>
      <c r="F1174" s="32" t="s">
        <v>33</v>
      </c>
      <c r="G1174" s="32" t="s">
        <v>35</v>
      </c>
      <c r="H1174" s="71" t="s">
        <v>35</v>
      </c>
      <c r="I1174" s="71" t="s">
        <v>36</v>
      </c>
      <c r="J1174" s="34" t="s">
        <v>518</v>
      </c>
      <c r="K1174" s="57" t="s">
        <v>38</v>
      </c>
      <c r="L1174" s="72">
        <v>10662.0</v>
      </c>
      <c r="M1174" s="22"/>
      <c r="N1174" s="35" t="s">
        <v>4616</v>
      </c>
      <c r="O1174" s="28">
        <v>45401.575</v>
      </c>
      <c r="P1174" s="35" t="s">
        <v>4617</v>
      </c>
      <c r="Q1174" s="12"/>
      <c r="R1174" s="12"/>
      <c r="S1174" s="12"/>
      <c r="T1174" s="52">
        <v>45391.0</v>
      </c>
      <c r="U1174" s="52">
        <v>45394.0</v>
      </c>
      <c r="V1174" s="52">
        <v>45399.0</v>
      </c>
      <c r="W1174" s="30"/>
      <c r="X1174" s="30"/>
      <c r="Y1174" s="31"/>
      <c r="Z1174" s="31"/>
      <c r="AA1174" s="78" t="s">
        <v>94</v>
      </c>
      <c r="AB1174" s="74" t="s">
        <v>4618</v>
      </c>
      <c r="AC1174" s="74"/>
    </row>
    <row r="1175" ht="16.5" customHeight="1">
      <c r="A1175" s="48" t="s">
        <v>4619</v>
      </c>
      <c r="B1175" s="53" t="s">
        <v>1359</v>
      </c>
      <c r="C1175" s="47">
        <v>0.0</v>
      </c>
      <c r="D1175" s="70" t="s">
        <v>4620</v>
      </c>
      <c r="E1175" s="55" t="s">
        <v>664</v>
      </c>
      <c r="F1175" s="32" t="s">
        <v>48</v>
      </c>
      <c r="G1175" s="32" t="s">
        <v>35</v>
      </c>
      <c r="H1175" s="71" t="s">
        <v>35</v>
      </c>
      <c r="I1175" s="71" t="s">
        <v>36</v>
      </c>
      <c r="J1175" s="34" t="s">
        <v>420</v>
      </c>
      <c r="K1175" s="57" t="s">
        <v>38</v>
      </c>
      <c r="L1175" s="72">
        <v>10645.0</v>
      </c>
      <c r="M1175" s="22"/>
      <c r="N1175" s="35" t="s">
        <v>4031</v>
      </c>
      <c r="O1175" s="28">
        <v>45419.58557870371</v>
      </c>
      <c r="P1175" s="35" t="s">
        <v>4621</v>
      </c>
      <c r="Q1175" s="12"/>
      <c r="R1175" s="12"/>
      <c r="S1175" s="12"/>
      <c r="T1175" s="52">
        <v>45391.0</v>
      </c>
      <c r="U1175" s="52">
        <v>45393.0</v>
      </c>
      <c r="V1175" s="52">
        <v>45399.0</v>
      </c>
      <c r="W1175" s="30"/>
      <c r="X1175" s="30"/>
      <c r="Y1175" s="31"/>
      <c r="Z1175" s="31"/>
      <c r="AA1175" s="78" t="s">
        <v>120</v>
      </c>
      <c r="AB1175" s="74" t="s">
        <v>4622</v>
      </c>
      <c r="AC1175" s="74"/>
    </row>
    <row r="1176" ht="16.5" customHeight="1">
      <c r="A1176" s="48" t="s">
        <v>4623</v>
      </c>
      <c r="B1176" s="53" t="s">
        <v>4090</v>
      </c>
      <c r="C1176" s="47">
        <v>0.0</v>
      </c>
      <c r="D1176" s="70" t="s">
        <v>4624</v>
      </c>
      <c r="E1176" s="55" t="s">
        <v>338</v>
      </c>
      <c r="F1176" s="32" t="s">
        <v>33</v>
      </c>
      <c r="G1176" s="32" t="s">
        <v>34</v>
      </c>
      <c r="H1176" s="71" t="s">
        <v>35</v>
      </c>
      <c r="I1176" s="71" t="s">
        <v>36</v>
      </c>
      <c r="J1176" s="34" t="s">
        <v>49</v>
      </c>
      <c r="K1176" s="57" t="s">
        <v>38</v>
      </c>
      <c r="L1176" s="72">
        <v>10663.0</v>
      </c>
      <c r="M1176" s="22"/>
      <c r="N1176" s="35" t="s">
        <v>4183</v>
      </c>
      <c r="O1176" s="28">
        <v>45400.618935185186</v>
      </c>
      <c r="P1176" s="35" t="s">
        <v>4625</v>
      </c>
      <c r="Q1176" s="12"/>
      <c r="R1176" s="12"/>
      <c r="S1176" s="12"/>
      <c r="T1176" s="52">
        <v>45391.0</v>
      </c>
      <c r="U1176" s="52">
        <v>45398.0</v>
      </c>
      <c r="V1176" s="52">
        <v>45399.0</v>
      </c>
      <c r="W1176" s="30"/>
      <c r="X1176" s="30"/>
      <c r="Y1176" s="31"/>
      <c r="Z1176" s="31"/>
      <c r="AA1176" s="78" t="s">
        <v>127</v>
      </c>
      <c r="AB1176" s="74" t="s">
        <v>4626</v>
      </c>
      <c r="AC1176" s="74"/>
    </row>
    <row r="1177" ht="16.5" customHeight="1">
      <c r="A1177" s="48" t="s">
        <v>4627</v>
      </c>
      <c r="B1177" s="53" t="s">
        <v>122</v>
      </c>
      <c r="C1177" s="47">
        <v>0.0</v>
      </c>
      <c r="D1177" s="70" t="s">
        <v>4628</v>
      </c>
      <c r="E1177" s="55" t="s">
        <v>117</v>
      </c>
      <c r="F1177" s="32" t="s">
        <v>33</v>
      </c>
      <c r="G1177" s="32" t="s">
        <v>35</v>
      </c>
      <c r="H1177" s="71" t="s">
        <v>35</v>
      </c>
      <c r="I1177" s="71" t="s">
        <v>36</v>
      </c>
      <c r="J1177" s="34" t="s">
        <v>49</v>
      </c>
      <c r="K1177" s="57" t="s">
        <v>38</v>
      </c>
      <c r="L1177" s="72">
        <v>10631.0</v>
      </c>
      <c r="M1177" s="22"/>
      <c r="N1177" s="35" t="s">
        <v>3694</v>
      </c>
      <c r="O1177" s="28">
        <v>45392.62222222222</v>
      </c>
      <c r="P1177" s="35" t="s">
        <v>4629</v>
      </c>
      <c r="Q1177" s="12"/>
      <c r="R1177" s="12"/>
      <c r="S1177" s="12"/>
      <c r="T1177" s="52">
        <v>45391.0</v>
      </c>
      <c r="U1177" s="52">
        <v>45391.0</v>
      </c>
      <c r="V1177" s="52">
        <v>45392.0</v>
      </c>
      <c r="W1177" s="30"/>
      <c r="X1177" s="30"/>
      <c r="Y1177" s="31"/>
      <c r="Z1177" s="31"/>
      <c r="AA1177" s="78" t="s">
        <v>127</v>
      </c>
      <c r="AB1177" s="74" t="s">
        <v>4630</v>
      </c>
      <c r="AC1177" s="74"/>
    </row>
    <row r="1178" ht="16.5" customHeight="1">
      <c r="A1178" s="48" t="s">
        <v>4631</v>
      </c>
      <c r="B1178" s="53" t="s">
        <v>122</v>
      </c>
      <c r="C1178" s="47">
        <v>27.0</v>
      </c>
      <c r="D1178" s="39" t="s">
        <v>4632</v>
      </c>
      <c r="E1178" s="55" t="s">
        <v>72</v>
      </c>
      <c r="F1178" s="32" t="s">
        <v>48</v>
      </c>
      <c r="G1178" s="32" t="s">
        <v>35</v>
      </c>
      <c r="H1178" s="71" t="s">
        <v>35</v>
      </c>
      <c r="I1178" s="71" t="s">
        <v>36</v>
      </c>
      <c r="J1178" s="34" t="s">
        <v>49</v>
      </c>
      <c r="K1178" s="57" t="s">
        <v>38</v>
      </c>
      <c r="L1178" s="72">
        <v>10678.0</v>
      </c>
      <c r="M1178" s="22"/>
      <c r="N1178" s="35" t="s">
        <v>4183</v>
      </c>
      <c r="O1178" s="28">
        <v>45404.78888888889</v>
      </c>
      <c r="P1178" s="35" t="s">
        <v>4633</v>
      </c>
      <c r="Q1178" s="12"/>
      <c r="R1178" s="12"/>
      <c r="S1178" s="12"/>
      <c r="T1178" s="52">
        <v>45391.0</v>
      </c>
      <c r="U1178" s="52">
        <v>45391.0</v>
      </c>
      <c r="V1178" s="52">
        <v>45404.78888888889</v>
      </c>
      <c r="W1178" s="30"/>
      <c r="X1178" s="30"/>
      <c r="Y1178" s="31"/>
      <c r="Z1178" s="31"/>
      <c r="AA1178" s="78" t="s">
        <v>127</v>
      </c>
      <c r="AB1178" s="74" t="s">
        <v>4634</v>
      </c>
      <c r="AC1178" s="74"/>
    </row>
    <row r="1179" ht="16.5" customHeight="1">
      <c r="A1179" s="48" t="s">
        <v>4635</v>
      </c>
      <c r="B1179" s="53" t="s">
        <v>4636</v>
      </c>
      <c r="C1179" s="47">
        <v>1.0</v>
      </c>
      <c r="D1179" s="70" t="s">
        <v>4637</v>
      </c>
      <c r="E1179" s="55" t="s">
        <v>3395</v>
      </c>
      <c r="F1179" s="32" t="s">
        <v>48</v>
      </c>
      <c r="G1179" s="32" t="s">
        <v>35</v>
      </c>
      <c r="H1179" s="71" t="s">
        <v>35</v>
      </c>
      <c r="I1179" s="71" t="s">
        <v>36</v>
      </c>
      <c r="J1179" s="34" t="s">
        <v>49</v>
      </c>
      <c r="K1179" s="57" t="s">
        <v>38</v>
      </c>
      <c r="L1179" s="72">
        <v>10624.0</v>
      </c>
      <c r="M1179" s="22"/>
      <c r="N1179" s="35" t="s">
        <v>3694</v>
      </c>
      <c r="O1179" s="28">
        <v>45392.62152777778</v>
      </c>
      <c r="P1179" s="35" t="s">
        <v>4638</v>
      </c>
      <c r="Q1179" s="12"/>
      <c r="R1179" s="12"/>
      <c r="S1179" s="12"/>
      <c r="T1179" s="52">
        <v>45391.0</v>
      </c>
      <c r="U1179" s="52">
        <v>45391.0</v>
      </c>
      <c r="V1179" s="52">
        <v>45392.62152777778</v>
      </c>
      <c r="W1179" s="30"/>
      <c r="X1179" s="30"/>
      <c r="Y1179" s="31"/>
      <c r="Z1179" s="31"/>
      <c r="AA1179" s="78" t="s">
        <v>102</v>
      </c>
      <c r="AB1179" s="74" t="s">
        <v>4639</v>
      </c>
      <c r="AC1179" s="74"/>
    </row>
    <row r="1180" ht="16.5" customHeight="1">
      <c r="A1180" s="48" t="s">
        <v>4640</v>
      </c>
      <c r="B1180" s="53" t="s">
        <v>725</v>
      </c>
      <c r="C1180" s="47">
        <v>11.0</v>
      </c>
      <c r="D1180" s="70" t="s">
        <v>4641</v>
      </c>
      <c r="E1180" s="55" t="s">
        <v>112</v>
      </c>
      <c r="F1180" s="32" t="s">
        <v>48</v>
      </c>
      <c r="G1180" s="32" t="s">
        <v>35</v>
      </c>
      <c r="H1180" s="71" t="s">
        <v>35</v>
      </c>
      <c r="I1180" s="71" t="s">
        <v>36</v>
      </c>
      <c r="J1180" s="34" t="s">
        <v>49</v>
      </c>
      <c r="K1180" s="57" t="s">
        <v>38</v>
      </c>
      <c r="L1180" s="72">
        <v>10623.0</v>
      </c>
      <c r="M1180" s="22"/>
      <c r="N1180" s="35" t="s">
        <v>3694</v>
      </c>
      <c r="O1180" s="28">
        <v>45392.62152777778</v>
      </c>
      <c r="P1180" s="35" t="s">
        <v>4642</v>
      </c>
      <c r="Q1180" s="12"/>
      <c r="R1180" s="12"/>
      <c r="S1180" s="12"/>
      <c r="T1180" s="52">
        <v>45391.0</v>
      </c>
      <c r="U1180" s="52">
        <v>45391.0</v>
      </c>
      <c r="V1180" s="52">
        <v>45392.62152777778</v>
      </c>
      <c r="W1180" s="30"/>
      <c r="X1180" s="30"/>
      <c r="Y1180" s="31"/>
      <c r="Z1180" s="31"/>
      <c r="AA1180" s="78" t="s">
        <v>102</v>
      </c>
      <c r="AB1180" s="74" t="s">
        <v>4643</v>
      </c>
      <c r="AC1180" s="74"/>
    </row>
    <row r="1181" ht="16.5" customHeight="1">
      <c r="A1181" s="48" t="s">
        <v>4644</v>
      </c>
      <c r="B1181" s="53" t="s">
        <v>858</v>
      </c>
      <c r="C1181" s="47">
        <v>27.0</v>
      </c>
      <c r="D1181" s="39" t="s">
        <v>4645</v>
      </c>
      <c r="E1181" s="55" t="s">
        <v>72</v>
      </c>
      <c r="F1181" s="32" t="s">
        <v>48</v>
      </c>
      <c r="G1181" s="32" t="s">
        <v>35</v>
      </c>
      <c r="H1181" s="71" t="s">
        <v>35</v>
      </c>
      <c r="I1181" s="71" t="s">
        <v>36</v>
      </c>
      <c r="J1181" s="34" t="s">
        <v>420</v>
      </c>
      <c r="K1181" s="57" t="s">
        <v>38</v>
      </c>
      <c r="L1181" s="72">
        <v>10641.0</v>
      </c>
      <c r="M1181" s="22"/>
      <c r="N1181" s="35" t="s">
        <v>4031</v>
      </c>
      <c r="O1181" s="28">
        <v>45393.61388888889</v>
      </c>
      <c r="P1181" s="35" t="s">
        <v>4646</v>
      </c>
      <c r="Q1181" s="12"/>
      <c r="R1181" s="12"/>
      <c r="S1181" s="12"/>
      <c r="T1181" s="52">
        <v>45392.0</v>
      </c>
      <c r="U1181" s="52">
        <v>45393.0</v>
      </c>
      <c r="V1181" s="52">
        <v>45393.61388888889</v>
      </c>
      <c r="W1181" s="30"/>
      <c r="X1181" s="30"/>
      <c r="Y1181" s="31"/>
      <c r="Z1181" s="31"/>
      <c r="AA1181" s="78" t="s">
        <v>120</v>
      </c>
      <c r="AB1181" s="74" t="s">
        <v>4647</v>
      </c>
      <c r="AC1181" s="74"/>
    </row>
    <row r="1182" ht="16.5" customHeight="1">
      <c r="A1182" s="48" t="s">
        <v>4648</v>
      </c>
      <c r="B1182" s="53" t="s">
        <v>1373</v>
      </c>
      <c r="C1182" s="47">
        <v>137.0</v>
      </c>
      <c r="D1182" s="70" t="s">
        <v>4649</v>
      </c>
      <c r="E1182" s="55" t="s">
        <v>85</v>
      </c>
      <c r="F1182" s="32" t="s">
        <v>48</v>
      </c>
      <c r="G1182" s="32" t="s">
        <v>35</v>
      </c>
      <c r="H1182" s="71" t="s">
        <v>35</v>
      </c>
      <c r="I1182" s="71" t="s">
        <v>36</v>
      </c>
      <c r="J1182" s="34" t="s">
        <v>65</v>
      </c>
      <c r="K1182" s="57" t="s">
        <v>38</v>
      </c>
      <c r="L1182" s="72">
        <v>10632.0</v>
      </c>
      <c r="M1182" s="22"/>
      <c r="N1182" s="73"/>
      <c r="O1182" s="28">
        <v>45402.0</v>
      </c>
      <c r="P1182" s="35" t="s">
        <v>4650</v>
      </c>
      <c r="Q1182" s="12"/>
      <c r="R1182" s="12"/>
      <c r="S1182" s="12"/>
      <c r="T1182" s="52">
        <v>45392.0</v>
      </c>
      <c r="U1182" s="52">
        <v>45392.0</v>
      </c>
      <c r="V1182" s="52">
        <v>45402.0</v>
      </c>
      <c r="W1182" s="30"/>
      <c r="X1182" s="30"/>
      <c r="Y1182" s="31"/>
      <c r="Z1182" s="31"/>
      <c r="AA1182" s="78" t="s">
        <v>94</v>
      </c>
      <c r="AB1182" s="74" t="s">
        <v>4651</v>
      </c>
      <c r="AC1182" s="74"/>
    </row>
    <row r="1183" ht="16.5" customHeight="1">
      <c r="A1183" s="48" t="s">
        <v>4652</v>
      </c>
      <c r="B1183" s="53" t="s">
        <v>489</v>
      </c>
      <c r="C1183" s="47">
        <v>27.0</v>
      </c>
      <c r="D1183" s="39" t="s">
        <v>4653</v>
      </c>
      <c r="E1183" s="55" t="s">
        <v>72</v>
      </c>
      <c r="F1183" s="32" t="s">
        <v>48</v>
      </c>
      <c r="G1183" s="32" t="s">
        <v>35</v>
      </c>
      <c r="H1183" s="71" t="s">
        <v>35</v>
      </c>
      <c r="I1183" s="71" t="s">
        <v>36</v>
      </c>
      <c r="J1183" s="34" t="s">
        <v>65</v>
      </c>
      <c r="K1183" s="57" t="s">
        <v>38</v>
      </c>
      <c r="L1183" s="72">
        <v>10643.0</v>
      </c>
      <c r="M1183" s="22"/>
      <c r="N1183" s="73"/>
      <c r="O1183" s="28">
        <v>45403.0</v>
      </c>
      <c r="P1183" s="35" t="s">
        <v>4654</v>
      </c>
      <c r="Q1183" s="12"/>
      <c r="R1183" s="12"/>
      <c r="S1183" s="12"/>
      <c r="T1183" s="52">
        <v>45393.0</v>
      </c>
      <c r="U1183" s="52">
        <v>45393.0</v>
      </c>
      <c r="V1183" s="52">
        <v>45403.0</v>
      </c>
      <c r="W1183" s="30"/>
      <c r="X1183" s="30"/>
      <c r="Y1183" s="31"/>
      <c r="Z1183" s="31"/>
      <c r="AA1183" s="78" t="s">
        <v>94</v>
      </c>
      <c r="AB1183" s="74" t="s">
        <v>4655</v>
      </c>
      <c r="AC1183" s="74"/>
    </row>
    <row r="1184" ht="16.5" customHeight="1">
      <c r="A1184" s="48" t="s">
        <v>4656</v>
      </c>
      <c r="B1184" s="53" t="s">
        <v>741</v>
      </c>
      <c r="C1184" s="47">
        <v>0.0</v>
      </c>
      <c r="D1184" s="70" t="s">
        <v>4657</v>
      </c>
      <c r="E1184" s="55" t="s">
        <v>511</v>
      </c>
      <c r="F1184" s="32" t="s">
        <v>33</v>
      </c>
      <c r="G1184" s="32" t="s">
        <v>35</v>
      </c>
      <c r="H1184" s="71" t="s">
        <v>35</v>
      </c>
      <c r="I1184" s="71" t="s">
        <v>36</v>
      </c>
      <c r="J1184" s="34" t="s">
        <v>92</v>
      </c>
      <c r="K1184" s="57" t="s">
        <v>38</v>
      </c>
      <c r="L1184" s="72">
        <v>10669.0</v>
      </c>
      <c r="M1184" s="22"/>
      <c r="N1184" s="35" t="s">
        <v>4658</v>
      </c>
      <c r="O1184" s="28">
        <v>45404.59444444445</v>
      </c>
      <c r="P1184" s="35" t="s">
        <v>4659</v>
      </c>
      <c r="Q1184" s="12"/>
      <c r="R1184" s="12"/>
      <c r="S1184" s="12"/>
      <c r="T1184" s="52">
        <v>45393.0</v>
      </c>
      <c r="U1184" s="52">
        <v>45393.0</v>
      </c>
      <c r="V1184" s="52">
        <v>45398.0</v>
      </c>
      <c r="W1184" s="30"/>
      <c r="X1184" s="30"/>
      <c r="Y1184" s="31"/>
      <c r="Z1184" s="31"/>
      <c r="AA1184" s="78" t="s">
        <v>120</v>
      </c>
      <c r="AB1184" s="74" t="s">
        <v>4660</v>
      </c>
      <c r="AC1184" s="74"/>
    </row>
    <row r="1185" ht="16.5" customHeight="1">
      <c r="A1185" s="48" t="s">
        <v>4661</v>
      </c>
      <c r="B1185" s="53" t="s">
        <v>741</v>
      </c>
      <c r="C1185" s="47">
        <v>0.0</v>
      </c>
      <c r="D1185" s="70" t="s">
        <v>4662</v>
      </c>
      <c r="E1185" s="55" t="s">
        <v>511</v>
      </c>
      <c r="F1185" s="32" t="s">
        <v>33</v>
      </c>
      <c r="G1185" s="32" t="s">
        <v>35</v>
      </c>
      <c r="H1185" s="71" t="s">
        <v>35</v>
      </c>
      <c r="I1185" s="71" t="s">
        <v>36</v>
      </c>
      <c r="J1185" s="34" t="s">
        <v>92</v>
      </c>
      <c r="K1185" s="57" t="s">
        <v>38</v>
      </c>
      <c r="L1185" s="72">
        <v>10669.0</v>
      </c>
      <c r="M1185" s="22"/>
      <c r="N1185" s="35" t="s">
        <v>4658</v>
      </c>
      <c r="O1185" s="28">
        <v>45404.72331018518</v>
      </c>
      <c r="P1185" s="35" t="s">
        <v>4659</v>
      </c>
      <c r="Q1185" s="12"/>
      <c r="R1185" s="12"/>
      <c r="S1185" s="12"/>
      <c r="T1185" s="52">
        <v>45393.0</v>
      </c>
      <c r="U1185" s="52">
        <v>45393.0</v>
      </c>
      <c r="V1185" s="52">
        <v>45398.0</v>
      </c>
      <c r="W1185" s="30"/>
      <c r="X1185" s="30"/>
      <c r="Y1185" s="31"/>
      <c r="Z1185" s="31"/>
      <c r="AA1185" s="78" t="s">
        <v>120</v>
      </c>
      <c r="AB1185" s="74" t="s">
        <v>4663</v>
      </c>
      <c r="AC1185" s="74"/>
    </row>
    <row r="1186" ht="16.5" customHeight="1">
      <c r="A1186" s="48" t="s">
        <v>4664</v>
      </c>
      <c r="B1186" s="53" t="s">
        <v>741</v>
      </c>
      <c r="C1186" s="47">
        <v>0.0</v>
      </c>
      <c r="D1186" s="70" t="s">
        <v>4665</v>
      </c>
      <c r="E1186" s="55" t="s">
        <v>511</v>
      </c>
      <c r="F1186" s="32" t="s">
        <v>33</v>
      </c>
      <c r="G1186" s="32" t="s">
        <v>35</v>
      </c>
      <c r="H1186" s="71" t="s">
        <v>35</v>
      </c>
      <c r="I1186" s="71" t="s">
        <v>36</v>
      </c>
      <c r="J1186" s="34" t="s">
        <v>92</v>
      </c>
      <c r="K1186" s="57" t="s">
        <v>38</v>
      </c>
      <c r="L1186" s="72">
        <v>10669.0</v>
      </c>
      <c r="M1186" s="22"/>
      <c r="N1186" s="35" t="s">
        <v>4658</v>
      </c>
      <c r="O1186" s="28">
        <v>45404.722916666666</v>
      </c>
      <c r="P1186" s="35" t="s">
        <v>4659</v>
      </c>
      <c r="Q1186" s="12"/>
      <c r="R1186" s="12"/>
      <c r="S1186" s="12"/>
      <c r="T1186" s="52">
        <v>45393.0</v>
      </c>
      <c r="U1186" s="52">
        <v>45393.0</v>
      </c>
      <c r="V1186" s="52">
        <v>45398.0</v>
      </c>
      <c r="W1186" s="30"/>
      <c r="X1186" s="30"/>
      <c r="Y1186" s="31"/>
      <c r="Z1186" s="31"/>
      <c r="AA1186" s="78" t="s">
        <v>120</v>
      </c>
      <c r="AB1186" s="74" t="s">
        <v>4666</v>
      </c>
      <c r="AC1186" s="74"/>
    </row>
    <row r="1187" ht="16.5" customHeight="1">
      <c r="A1187" s="48" t="s">
        <v>4667</v>
      </c>
      <c r="B1187" s="53" t="s">
        <v>741</v>
      </c>
      <c r="C1187" s="47">
        <v>0.0</v>
      </c>
      <c r="D1187" s="70" t="s">
        <v>4668</v>
      </c>
      <c r="E1187" s="55" t="s">
        <v>511</v>
      </c>
      <c r="F1187" s="32" t="s">
        <v>33</v>
      </c>
      <c r="G1187" s="32" t="s">
        <v>35</v>
      </c>
      <c r="H1187" s="71" t="s">
        <v>35</v>
      </c>
      <c r="I1187" s="71" t="s">
        <v>36</v>
      </c>
      <c r="J1187" s="34" t="s">
        <v>92</v>
      </c>
      <c r="K1187" s="57" t="s">
        <v>38</v>
      </c>
      <c r="L1187" s="72">
        <v>10669.0</v>
      </c>
      <c r="M1187" s="22"/>
      <c r="N1187" s="35" t="s">
        <v>4658</v>
      </c>
      <c r="O1187" s="28">
        <v>45404.59519675926</v>
      </c>
      <c r="P1187" s="35" t="s">
        <v>4659</v>
      </c>
      <c r="Q1187" s="12"/>
      <c r="R1187" s="12"/>
      <c r="S1187" s="12"/>
      <c r="T1187" s="52">
        <v>45393.0</v>
      </c>
      <c r="U1187" s="52">
        <v>45393.0</v>
      </c>
      <c r="V1187" s="52">
        <v>45401.0</v>
      </c>
      <c r="W1187" s="30"/>
      <c r="X1187" s="30"/>
      <c r="Y1187" s="31"/>
      <c r="Z1187" s="31"/>
      <c r="AA1187" s="78" t="s">
        <v>120</v>
      </c>
      <c r="AB1187" s="74" t="s">
        <v>4669</v>
      </c>
      <c r="AC1187" s="74"/>
    </row>
    <row r="1188" ht="16.5" customHeight="1">
      <c r="A1188" s="48" t="s">
        <v>4670</v>
      </c>
      <c r="B1188" s="53" t="s">
        <v>4352</v>
      </c>
      <c r="C1188" s="47">
        <v>90.0</v>
      </c>
      <c r="D1188" s="70" t="s">
        <v>4671</v>
      </c>
      <c r="E1188" s="55" t="s">
        <v>91</v>
      </c>
      <c r="F1188" s="32" t="s">
        <v>48</v>
      </c>
      <c r="G1188" s="32" t="s">
        <v>35</v>
      </c>
      <c r="H1188" s="71" t="s">
        <v>35</v>
      </c>
      <c r="I1188" s="71" t="s">
        <v>36</v>
      </c>
      <c r="J1188" s="34" t="s">
        <v>49</v>
      </c>
      <c r="K1188" s="57" t="s">
        <v>38</v>
      </c>
      <c r="L1188" s="72">
        <v>10642.0</v>
      </c>
      <c r="M1188" s="22"/>
      <c r="N1188" s="35" t="s">
        <v>106</v>
      </c>
      <c r="O1188" s="28">
        <v>45393.501388888886</v>
      </c>
      <c r="P1188" s="35" t="s">
        <v>4672</v>
      </c>
      <c r="Q1188" s="12"/>
      <c r="R1188" s="12"/>
      <c r="S1188" s="12"/>
      <c r="T1188" s="52">
        <v>45393.0</v>
      </c>
      <c r="U1188" s="52">
        <v>45393.0</v>
      </c>
      <c r="V1188" s="52">
        <v>45393.501388888886</v>
      </c>
      <c r="W1188" s="30"/>
      <c r="X1188" s="30"/>
      <c r="Y1188" s="31"/>
      <c r="Z1188" s="31"/>
      <c r="AA1188" s="78" t="s">
        <v>127</v>
      </c>
      <c r="AB1188" s="74" t="s">
        <v>4673</v>
      </c>
      <c r="AC1188" s="74"/>
    </row>
    <row r="1189" ht="16.5" customHeight="1">
      <c r="A1189" s="48" t="s">
        <v>4674</v>
      </c>
      <c r="B1189" s="53" t="s">
        <v>4675</v>
      </c>
      <c r="C1189" s="47">
        <v>11.0</v>
      </c>
      <c r="D1189" s="70" t="s">
        <v>4676</v>
      </c>
      <c r="E1189" s="55" t="s">
        <v>112</v>
      </c>
      <c r="F1189" s="32" t="s">
        <v>48</v>
      </c>
      <c r="G1189" s="32" t="s">
        <v>35</v>
      </c>
      <c r="H1189" s="71" t="s">
        <v>35</v>
      </c>
      <c r="I1189" s="71" t="s">
        <v>36</v>
      </c>
      <c r="J1189" s="34" t="s">
        <v>65</v>
      </c>
      <c r="K1189" s="57" t="s">
        <v>38</v>
      </c>
      <c r="L1189" s="72">
        <v>10655.0</v>
      </c>
      <c r="M1189" s="22"/>
      <c r="N1189" s="35" t="s">
        <v>4677</v>
      </c>
      <c r="O1189" s="28">
        <v>45399.66805555556</v>
      </c>
      <c r="P1189" s="35" t="s">
        <v>4678</v>
      </c>
      <c r="Q1189" s="12"/>
      <c r="R1189" s="12"/>
      <c r="S1189" s="12"/>
      <c r="T1189" s="52">
        <v>45393.0</v>
      </c>
      <c r="U1189" s="52">
        <v>45398.0</v>
      </c>
      <c r="V1189" s="52">
        <v>45398.0</v>
      </c>
      <c r="W1189" s="30"/>
      <c r="X1189" s="30"/>
      <c r="Y1189" s="31"/>
      <c r="Z1189" s="31"/>
      <c r="AA1189" s="78" t="s">
        <v>3059</v>
      </c>
      <c r="AB1189" s="74" t="s">
        <v>4679</v>
      </c>
      <c r="AC1189" s="74"/>
    </row>
    <row r="1190" ht="16.5" customHeight="1">
      <c r="A1190" s="48" t="s">
        <v>4680</v>
      </c>
      <c r="B1190" s="53" t="s">
        <v>4681</v>
      </c>
      <c r="C1190" s="47">
        <v>11.0</v>
      </c>
      <c r="D1190" s="70" t="s">
        <v>4682</v>
      </c>
      <c r="E1190" s="55" t="s">
        <v>112</v>
      </c>
      <c r="F1190" s="32" t="s">
        <v>48</v>
      </c>
      <c r="G1190" s="32" t="s">
        <v>35</v>
      </c>
      <c r="H1190" s="71" t="s">
        <v>35</v>
      </c>
      <c r="I1190" s="71" t="s">
        <v>36</v>
      </c>
      <c r="J1190" s="34" t="s">
        <v>49</v>
      </c>
      <c r="K1190" s="57" t="s">
        <v>4683</v>
      </c>
      <c r="L1190" s="72">
        <v>10664.0</v>
      </c>
      <c r="M1190" s="22"/>
      <c r="N1190" s="35" t="s">
        <v>4183</v>
      </c>
      <c r="O1190" s="28">
        <v>45400.61877314815</v>
      </c>
      <c r="P1190" s="35" t="s">
        <v>4684</v>
      </c>
      <c r="Q1190" s="12"/>
      <c r="R1190" s="12"/>
      <c r="S1190" s="12"/>
      <c r="T1190" s="52">
        <v>45393.0</v>
      </c>
      <c r="U1190" s="52">
        <v>45400.0</v>
      </c>
      <c r="V1190" s="52">
        <v>45400.0</v>
      </c>
      <c r="W1190" s="30"/>
      <c r="X1190" s="30"/>
      <c r="Y1190" s="31"/>
      <c r="Z1190" s="31"/>
      <c r="AA1190" s="78" t="s">
        <v>127</v>
      </c>
      <c r="AB1190" s="74" t="s">
        <v>4685</v>
      </c>
      <c r="AC1190" s="74"/>
    </row>
    <row r="1191" ht="16.5" customHeight="1">
      <c r="A1191" s="48" t="s">
        <v>4686</v>
      </c>
      <c r="B1191" s="53" t="s">
        <v>4687</v>
      </c>
      <c r="C1191" s="47">
        <v>27.0</v>
      </c>
      <c r="D1191" s="39" t="s">
        <v>4688</v>
      </c>
      <c r="E1191" s="55" t="s">
        <v>72</v>
      </c>
      <c r="F1191" s="32" t="s">
        <v>48</v>
      </c>
      <c r="G1191" s="32" t="s">
        <v>35</v>
      </c>
      <c r="H1191" s="71" t="s">
        <v>35</v>
      </c>
      <c r="I1191" s="71" t="s">
        <v>36</v>
      </c>
      <c r="J1191" s="34" t="s">
        <v>49</v>
      </c>
      <c r="K1191" s="57" t="s">
        <v>38</v>
      </c>
      <c r="L1191" s="72">
        <v>10646.0</v>
      </c>
      <c r="M1191" s="22"/>
      <c r="N1191" s="73"/>
      <c r="O1191" s="28">
        <v>45394.0</v>
      </c>
      <c r="P1191" s="35" t="s">
        <v>4689</v>
      </c>
      <c r="Q1191" s="12"/>
      <c r="R1191" s="12"/>
      <c r="S1191" s="12"/>
      <c r="T1191" s="52">
        <v>45393.0</v>
      </c>
      <c r="U1191" s="52">
        <v>45384.0</v>
      </c>
      <c r="V1191" s="52">
        <v>45385.0</v>
      </c>
      <c r="W1191" s="30"/>
      <c r="X1191" s="30"/>
      <c r="Y1191" s="31"/>
      <c r="Z1191" s="31"/>
      <c r="AA1191" s="78" t="s">
        <v>94</v>
      </c>
      <c r="AB1191" s="74" t="s">
        <v>4690</v>
      </c>
      <c r="AC1191" s="74"/>
    </row>
    <row r="1192" ht="16.5" customHeight="1">
      <c r="A1192" s="48" t="s">
        <v>4691</v>
      </c>
      <c r="B1192" s="53" t="s">
        <v>4687</v>
      </c>
      <c r="C1192" s="47">
        <v>90.0</v>
      </c>
      <c r="D1192" s="70" t="s">
        <v>4692</v>
      </c>
      <c r="E1192" s="55" t="s">
        <v>91</v>
      </c>
      <c r="F1192" s="32" t="s">
        <v>48</v>
      </c>
      <c r="G1192" s="32" t="s">
        <v>35</v>
      </c>
      <c r="H1192" s="71" t="s">
        <v>35</v>
      </c>
      <c r="I1192" s="71" t="s">
        <v>36</v>
      </c>
      <c r="J1192" s="34" t="s">
        <v>65</v>
      </c>
      <c r="K1192" s="57" t="s">
        <v>38</v>
      </c>
      <c r="L1192" s="72">
        <v>10646.0</v>
      </c>
      <c r="M1192" s="22"/>
      <c r="N1192" s="73"/>
      <c r="O1192" s="28">
        <v>45403.0</v>
      </c>
      <c r="P1192" s="35" t="s">
        <v>4693</v>
      </c>
      <c r="Q1192" s="12"/>
      <c r="R1192" s="12"/>
      <c r="S1192" s="12"/>
      <c r="T1192" s="52">
        <v>45393.0</v>
      </c>
      <c r="U1192" s="52">
        <v>45393.0</v>
      </c>
      <c r="V1192" s="52">
        <v>45403.0</v>
      </c>
      <c r="W1192" s="30"/>
      <c r="X1192" s="30"/>
      <c r="Y1192" s="31"/>
      <c r="Z1192" s="31"/>
      <c r="AA1192" s="78" t="s">
        <v>94</v>
      </c>
      <c r="AB1192" s="74" t="s">
        <v>4694</v>
      </c>
      <c r="AC1192" s="74"/>
    </row>
    <row r="1193" ht="16.5" customHeight="1">
      <c r="A1193" s="48" t="s">
        <v>4695</v>
      </c>
      <c r="B1193" s="53" t="s">
        <v>4696</v>
      </c>
      <c r="C1193" s="47">
        <v>0.0</v>
      </c>
      <c r="D1193" s="70" t="s">
        <v>4697</v>
      </c>
      <c r="E1193" s="55" t="s">
        <v>1530</v>
      </c>
      <c r="F1193" s="32" t="s">
        <v>33</v>
      </c>
      <c r="G1193" s="32" t="s">
        <v>35</v>
      </c>
      <c r="H1193" s="71" t="s">
        <v>35</v>
      </c>
      <c r="I1193" s="71" t="s">
        <v>36</v>
      </c>
      <c r="J1193" s="34" t="s">
        <v>65</v>
      </c>
      <c r="K1193" s="57" t="s">
        <v>38</v>
      </c>
      <c r="L1193" s="72">
        <v>10719.0</v>
      </c>
      <c r="M1193" s="22"/>
      <c r="N1193" s="35" t="s">
        <v>4698</v>
      </c>
      <c r="O1193" s="28">
        <v>45412.62189814815</v>
      </c>
      <c r="P1193" s="35" t="s">
        <v>4699</v>
      </c>
      <c r="Q1193" s="12"/>
      <c r="R1193" s="12"/>
      <c r="S1193" s="12"/>
      <c r="T1193" s="52">
        <v>45397.0</v>
      </c>
      <c r="U1193" s="52">
        <v>45399.0</v>
      </c>
      <c r="V1193" s="52">
        <v>45411.0</v>
      </c>
      <c r="W1193" s="30"/>
      <c r="X1193" s="30"/>
      <c r="Y1193" s="31"/>
      <c r="Z1193" s="31"/>
      <c r="AA1193" s="78" t="s">
        <v>120</v>
      </c>
      <c r="AB1193" s="74" t="s">
        <v>4700</v>
      </c>
      <c r="AC1193" s="74"/>
    </row>
    <row r="1194" ht="16.5" customHeight="1">
      <c r="A1194" s="48" t="s">
        <v>4701</v>
      </c>
      <c r="B1194" s="53" t="s">
        <v>4702</v>
      </c>
      <c r="C1194" s="47">
        <v>0.0</v>
      </c>
      <c r="D1194" s="70" t="s">
        <v>4703</v>
      </c>
      <c r="E1194" s="55" t="s">
        <v>251</v>
      </c>
      <c r="F1194" s="32" t="s">
        <v>33</v>
      </c>
      <c r="G1194" s="32" t="s">
        <v>35</v>
      </c>
      <c r="H1194" s="71" t="s">
        <v>35</v>
      </c>
      <c r="I1194" s="71" t="s">
        <v>36</v>
      </c>
      <c r="J1194" s="34" t="s">
        <v>49</v>
      </c>
      <c r="K1194" s="57" t="s">
        <v>38</v>
      </c>
      <c r="L1194" s="72">
        <v>10665.0</v>
      </c>
      <c r="M1194" s="22"/>
      <c r="N1194" s="35" t="s">
        <v>4183</v>
      </c>
      <c r="O1194" s="28">
        <v>45400.61849537037</v>
      </c>
      <c r="P1194" s="35" t="s">
        <v>4704</v>
      </c>
      <c r="Q1194" s="12"/>
      <c r="R1194" s="12"/>
      <c r="S1194" s="12"/>
      <c r="T1194" s="52">
        <v>45397.0</v>
      </c>
      <c r="U1194" s="52">
        <v>45398.0</v>
      </c>
      <c r="V1194" s="52">
        <v>45399.0</v>
      </c>
      <c r="W1194" s="30"/>
      <c r="X1194" s="30"/>
      <c r="Y1194" s="31"/>
      <c r="Z1194" s="31"/>
      <c r="AA1194" s="78" t="s">
        <v>127</v>
      </c>
      <c r="AB1194" s="74" t="s">
        <v>4705</v>
      </c>
      <c r="AC1194" s="74"/>
    </row>
    <row r="1195" ht="16.5" customHeight="1">
      <c r="A1195" s="48" t="s">
        <v>4706</v>
      </c>
      <c r="B1195" s="53" t="s">
        <v>3323</v>
      </c>
      <c r="C1195" s="47">
        <v>34.0</v>
      </c>
      <c r="D1195" s="70" t="s">
        <v>4707</v>
      </c>
      <c r="E1195" s="55" t="s">
        <v>47</v>
      </c>
      <c r="F1195" s="32" t="s">
        <v>48</v>
      </c>
      <c r="G1195" s="32" t="s">
        <v>35</v>
      </c>
      <c r="H1195" s="71" t="s">
        <v>35</v>
      </c>
      <c r="I1195" s="71" t="s">
        <v>36</v>
      </c>
      <c r="J1195" s="34" t="s">
        <v>65</v>
      </c>
      <c r="K1195" s="57" t="s">
        <v>38</v>
      </c>
      <c r="L1195" s="72">
        <v>10648.0</v>
      </c>
      <c r="M1195" s="22"/>
      <c r="N1195" s="73"/>
      <c r="O1195" s="28">
        <v>45407.0</v>
      </c>
      <c r="P1195" s="35" t="s">
        <v>4708</v>
      </c>
      <c r="Q1195" s="12"/>
      <c r="R1195" s="12"/>
      <c r="S1195" s="12"/>
      <c r="T1195" s="52">
        <v>45397.0</v>
      </c>
      <c r="U1195" s="52">
        <v>45397.0</v>
      </c>
      <c r="V1195" s="52">
        <v>45407.0</v>
      </c>
      <c r="W1195" s="30"/>
      <c r="X1195" s="30"/>
      <c r="Y1195" s="31"/>
      <c r="Z1195" s="31"/>
      <c r="AA1195" s="31"/>
      <c r="AB1195" s="74" t="s">
        <v>4709</v>
      </c>
      <c r="AC1195" s="74"/>
    </row>
    <row r="1196" ht="16.5" customHeight="1">
      <c r="A1196" s="48" t="s">
        <v>4710</v>
      </c>
      <c r="B1196" s="53" t="s">
        <v>4711</v>
      </c>
      <c r="C1196" s="47">
        <v>0.0</v>
      </c>
      <c r="D1196" s="70" t="s">
        <v>4712</v>
      </c>
      <c r="E1196" s="55" t="s">
        <v>701</v>
      </c>
      <c r="F1196" s="32" t="s">
        <v>33</v>
      </c>
      <c r="G1196" s="32" t="s">
        <v>35</v>
      </c>
      <c r="H1196" s="71" t="s">
        <v>35</v>
      </c>
      <c r="I1196" s="71" t="s">
        <v>36</v>
      </c>
      <c r="J1196" s="34" t="s">
        <v>65</v>
      </c>
      <c r="K1196" s="57" t="s">
        <v>38</v>
      </c>
      <c r="L1196" s="72">
        <v>10666.0</v>
      </c>
      <c r="M1196" s="22"/>
      <c r="N1196" s="35" t="s">
        <v>4518</v>
      </c>
      <c r="O1196" s="28">
        <v>45401.68958333333</v>
      </c>
      <c r="P1196" s="35" t="s">
        <v>4713</v>
      </c>
      <c r="Q1196" s="12"/>
      <c r="R1196" s="12"/>
      <c r="S1196" s="12"/>
      <c r="T1196" s="52">
        <v>45397.0</v>
      </c>
      <c r="U1196" s="52">
        <v>45397.0</v>
      </c>
      <c r="V1196" s="52">
        <v>45397.0</v>
      </c>
      <c r="W1196" s="30"/>
      <c r="X1196" s="30"/>
      <c r="Y1196" s="31"/>
      <c r="Z1196" s="31"/>
      <c r="AA1196" s="78" t="s">
        <v>94</v>
      </c>
      <c r="AB1196" s="74" t="s">
        <v>4714</v>
      </c>
      <c r="AC1196" s="74"/>
    </row>
    <row r="1197" ht="16.5" customHeight="1">
      <c r="A1197" s="48" t="s">
        <v>4715</v>
      </c>
      <c r="B1197" s="53" t="s">
        <v>4716</v>
      </c>
      <c r="C1197" s="47">
        <v>27.0</v>
      </c>
      <c r="D1197" s="70" t="s">
        <v>4717</v>
      </c>
      <c r="E1197" s="55" t="s">
        <v>72</v>
      </c>
      <c r="F1197" s="32" t="s">
        <v>48</v>
      </c>
      <c r="G1197" s="32" t="s">
        <v>35</v>
      </c>
      <c r="H1197" s="71" t="s">
        <v>35</v>
      </c>
      <c r="I1197" s="71" t="s">
        <v>36</v>
      </c>
      <c r="J1197" s="34" t="s">
        <v>258</v>
      </c>
      <c r="K1197" s="57" t="s">
        <v>38</v>
      </c>
      <c r="L1197" s="72">
        <v>10650.0</v>
      </c>
      <c r="M1197" s="22"/>
      <c r="N1197" s="35" t="s">
        <v>4718</v>
      </c>
      <c r="O1197" s="28">
        <v>45398.68680555555</v>
      </c>
      <c r="P1197" s="35" t="s">
        <v>4719</v>
      </c>
      <c r="Q1197" s="12"/>
      <c r="R1197" s="12"/>
      <c r="S1197" s="12"/>
      <c r="T1197" s="52">
        <v>45397.0</v>
      </c>
      <c r="U1197" s="52">
        <v>45397.0</v>
      </c>
      <c r="V1197" s="52">
        <v>45398.68680555555</v>
      </c>
      <c r="W1197" s="30"/>
      <c r="X1197" s="30"/>
      <c r="Y1197" s="31"/>
      <c r="Z1197" s="31"/>
      <c r="AA1197" s="78" t="s">
        <v>120</v>
      </c>
      <c r="AB1197" s="74" t="s">
        <v>4720</v>
      </c>
      <c r="AC1197" s="74"/>
    </row>
    <row r="1198" ht="16.5" customHeight="1">
      <c r="A1198" s="48" t="s">
        <v>4721</v>
      </c>
      <c r="B1198" s="53" t="s">
        <v>4716</v>
      </c>
      <c r="C1198" s="47">
        <v>0.0</v>
      </c>
      <c r="D1198" s="70" t="s">
        <v>4722</v>
      </c>
      <c r="E1198" s="55" t="s">
        <v>3441</v>
      </c>
      <c r="F1198" s="32" t="s">
        <v>48</v>
      </c>
      <c r="G1198" s="32" t="s">
        <v>35</v>
      </c>
      <c r="H1198" s="71" t="s">
        <v>35</v>
      </c>
      <c r="I1198" s="71" t="s">
        <v>36</v>
      </c>
      <c r="J1198" s="34" t="s">
        <v>258</v>
      </c>
      <c r="K1198" s="57" t="s">
        <v>38</v>
      </c>
      <c r="L1198" s="72">
        <v>10831.0</v>
      </c>
      <c r="M1198" s="22" t="s">
        <v>50</v>
      </c>
      <c r="N1198" s="35" t="s">
        <v>4193</v>
      </c>
      <c r="O1198" s="28">
        <v>45436.609247685185</v>
      </c>
      <c r="P1198" s="35" t="s">
        <v>4723</v>
      </c>
      <c r="Q1198" s="12"/>
      <c r="R1198" s="12"/>
      <c r="S1198" s="12"/>
      <c r="T1198" s="52">
        <v>45397.0</v>
      </c>
      <c r="U1198" s="52">
        <v>45433.609247685185</v>
      </c>
      <c r="V1198" s="52">
        <v>45435.574953703705</v>
      </c>
      <c r="W1198" s="30"/>
      <c r="X1198" s="30"/>
      <c r="Y1198" s="31"/>
      <c r="Z1198" s="31"/>
      <c r="AA1198" s="78" t="s">
        <v>120</v>
      </c>
      <c r="AB1198" s="74" t="s">
        <v>4724</v>
      </c>
      <c r="AC1198" s="74"/>
    </row>
    <row r="1199" ht="16.5" customHeight="1">
      <c r="A1199" s="48" t="s">
        <v>4725</v>
      </c>
      <c r="B1199" s="53" t="s">
        <v>4090</v>
      </c>
      <c r="C1199" s="47">
        <v>0.0</v>
      </c>
      <c r="D1199" s="70" t="s">
        <v>4726</v>
      </c>
      <c r="E1199" s="55" t="s">
        <v>1858</v>
      </c>
      <c r="F1199" s="32" t="s">
        <v>33</v>
      </c>
      <c r="G1199" s="32" t="s">
        <v>35</v>
      </c>
      <c r="H1199" s="71" t="s">
        <v>35</v>
      </c>
      <c r="I1199" s="71" t="s">
        <v>36</v>
      </c>
      <c r="J1199" s="34" t="s">
        <v>49</v>
      </c>
      <c r="K1199" s="57" t="s">
        <v>38</v>
      </c>
      <c r="L1199" s="72">
        <v>10687.0</v>
      </c>
      <c r="M1199" s="22"/>
      <c r="N1199" s="35" t="s">
        <v>3694</v>
      </c>
      <c r="O1199" s="28">
        <v>45405.69519675926</v>
      </c>
      <c r="P1199" s="35" t="s">
        <v>4727</v>
      </c>
      <c r="Q1199" s="12"/>
      <c r="R1199" s="12"/>
      <c r="S1199" s="12"/>
      <c r="T1199" s="52">
        <v>45397.0</v>
      </c>
      <c r="U1199" s="52">
        <v>45398.0</v>
      </c>
      <c r="V1199" s="52">
        <v>45405.0</v>
      </c>
      <c r="W1199" s="30"/>
      <c r="X1199" s="30"/>
      <c r="Y1199" s="31"/>
      <c r="Z1199" s="31"/>
      <c r="AA1199" s="78" t="s">
        <v>127</v>
      </c>
      <c r="AB1199" s="74" t="s">
        <v>4728</v>
      </c>
      <c r="AC1199" s="74"/>
    </row>
    <row r="1200" ht="16.5" customHeight="1">
      <c r="A1200" s="48" t="s">
        <v>4729</v>
      </c>
      <c r="B1200" s="53" t="s">
        <v>96</v>
      </c>
      <c r="C1200" s="47">
        <v>0.0</v>
      </c>
      <c r="D1200" s="70" t="s">
        <v>4730</v>
      </c>
      <c r="E1200" s="55" t="s">
        <v>2089</v>
      </c>
      <c r="F1200" s="32" t="s">
        <v>33</v>
      </c>
      <c r="G1200" s="32" t="s">
        <v>34</v>
      </c>
      <c r="H1200" s="71" t="s">
        <v>35</v>
      </c>
      <c r="I1200" s="71" t="s">
        <v>36</v>
      </c>
      <c r="J1200" s="34" t="s">
        <v>49</v>
      </c>
      <c r="K1200" s="57" t="s">
        <v>4731</v>
      </c>
      <c r="L1200" s="72">
        <v>10667.0</v>
      </c>
      <c r="M1200" s="22"/>
      <c r="N1200" s="35" t="s">
        <v>4183</v>
      </c>
      <c r="O1200" s="28">
        <v>45400.61886574074</v>
      </c>
      <c r="P1200" s="35" t="s">
        <v>4732</v>
      </c>
      <c r="Q1200" s="12"/>
      <c r="R1200" s="12"/>
      <c r="S1200" s="12"/>
      <c r="T1200" s="52">
        <v>45397.0</v>
      </c>
      <c r="U1200" s="52">
        <v>45397.0</v>
      </c>
      <c r="V1200" s="52">
        <v>45399.0</v>
      </c>
      <c r="W1200" s="30"/>
      <c r="X1200" s="30"/>
      <c r="Y1200" s="31"/>
      <c r="Z1200" s="31"/>
      <c r="AA1200" s="78" t="s">
        <v>102</v>
      </c>
      <c r="AB1200" s="74" t="s">
        <v>4733</v>
      </c>
      <c r="AC1200" s="74"/>
    </row>
    <row r="1201" ht="16.5" customHeight="1">
      <c r="A1201" s="48" t="s">
        <v>4734</v>
      </c>
      <c r="B1201" s="53" t="s">
        <v>4716</v>
      </c>
      <c r="C1201" s="47">
        <v>1.0</v>
      </c>
      <c r="D1201" s="70" t="s">
        <v>4735</v>
      </c>
      <c r="E1201" s="55" t="s">
        <v>3395</v>
      </c>
      <c r="F1201" s="32" t="s">
        <v>48</v>
      </c>
      <c r="G1201" s="32" t="s">
        <v>35</v>
      </c>
      <c r="H1201" s="71" t="s">
        <v>35</v>
      </c>
      <c r="I1201" s="71" t="s">
        <v>36</v>
      </c>
      <c r="J1201" s="34" t="s">
        <v>258</v>
      </c>
      <c r="K1201" s="57" t="s">
        <v>38</v>
      </c>
      <c r="L1201" s="72">
        <v>10651.0</v>
      </c>
      <c r="M1201" s="22"/>
      <c r="N1201" s="35" t="s">
        <v>4718</v>
      </c>
      <c r="O1201" s="28">
        <v>45398.68680555555</v>
      </c>
      <c r="P1201" s="35" t="s">
        <v>4736</v>
      </c>
      <c r="Q1201" s="12"/>
      <c r="R1201" s="12"/>
      <c r="S1201" s="12"/>
      <c r="T1201" s="52">
        <v>45397.0</v>
      </c>
      <c r="U1201" s="52">
        <v>45397.0</v>
      </c>
      <c r="V1201" s="52">
        <v>45398.68680555555</v>
      </c>
      <c r="W1201" s="30"/>
      <c r="X1201" s="30"/>
      <c r="Y1201" s="31"/>
      <c r="Z1201" s="31"/>
      <c r="AA1201" s="78" t="s">
        <v>120</v>
      </c>
      <c r="AB1201" s="74" t="s">
        <v>4737</v>
      </c>
      <c r="AC1201" s="74"/>
    </row>
    <row r="1202" ht="16.5" customHeight="1">
      <c r="A1202" s="48" t="s">
        <v>4738</v>
      </c>
      <c r="B1202" s="53" t="s">
        <v>4739</v>
      </c>
      <c r="C1202" s="47">
        <v>1.0</v>
      </c>
      <c r="D1202" s="70" t="s">
        <v>4740</v>
      </c>
      <c r="E1202" s="55" t="s">
        <v>3395</v>
      </c>
      <c r="F1202" s="32" t="s">
        <v>48</v>
      </c>
      <c r="G1202" s="32" t="s">
        <v>35</v>
      </c>
      <c r="H1202" s="71" t="s">
        <v>35</v>
      </c>
      <c r="I1202" s="71" t="s">
        <v>36</v>
      </c>
      <c r="J1202" s="34" t="s">
        <v>65</v>
      </c>
      <c r="K1202" s="57" t="s">
        <v>38</v>
      </c>
      <c r="L1202" s="72">
        <v>10649.0</v>
      </c>
      <c r="M1202" s="22"/>
      <c r="N1202" s="73"/>
      <c r="O1202" s="28">
        <v>45407.0</v>
      </c>
      <c r="P1202" s="35" t="s">
        <v>4741</v>
      </c>
      <c r="Q1202" s="12"/>
      <c r="R1202" s="12"/>
      <c r="S1202" s="12"/>
      <c r="T1202" s="52">
        <v>45397.0</v>
      </c>
      <c r="U1202" s="52">
        <v>45397.0</v>
      </c>
      <c r="V1202" s="52">
        <v>45407.0</v>
      </c>
      <c r="W1202" s="30"/>
      <c r="X1202" s="30"/>
      <c r="Y1202" s="31"/>
      <c r="Z1202" s="31"/>
      <c r="AA1202" s="78" t="s">
        <v>94</v>
      </c>
      <c r="AB1202" s="74" t="s">
        <v>4742</v>
      </c>
      <c r="AC1202" s="74"/>
    </row>
    <row r="1203" ht="16.5" customHeight="1">
      <c r="A1203" s="48" t="s">
        <v>4743</v>
      </c>
      <c r="B1203" s="53" t="s">
        <v>4744</v>
      </c>
      <c r="C1203" s="47">
        <v>1.0</v>
      </c>
      <c r="D1203" s="70" t="s">
        <v>4745</v>
      </c>
      <c r="E1203" s="55" t="s">
        <v>3395</v>
      </c>
      <c r="F1203" s="32" t="s">
        <v>48</v>
      </c>
      <c r="G1203" s="32" t="s">
        <v>35</v>
      </c>
      <c r="H1203" s="71" t="s">
        <v>35</v>
      </c>
      <c r="I1203" s="71" t="s">
        <v>36</v>
      </c>
      <c r="J1203" s="34" t="s">
        <v>49</v>
      </c>
      <c r="K1203" s="57" t="s">
        <v>38</v>
      </c>
      <c r="L1203" s="72">
        <v>10656.0</v>
      </c>
      <c r="M1203" s="22"/>
      <c r="N1203" s="35" t="s">
        <v>3694</v>
      </c>
      <c r="O1203" s="28">
        <v>45399.6625</v>
      </c>
      <c r="P1203" s="35" t="s">
        <v>4746</v>
      </c>
      <c r="Q1203" s="12"/>
      <c r="R1203" s="12"/>
      <c r="S1203" s="12"/>
      <c r="T1203" s="52">
        <v>45397.0</v>
      </c>
      <c r="U1203" s="52">
        <v>45398.0</v>
      </c>
      <c r="V1203" s="52">
        <v>45399.6625</v>
      </c>
      <c r="W1203" s="30"/>
      <c r="X1203" s="30"/>
      <c r="Y1203" s="31"/>
      <c r="Z1203" s="31"/>
      <c r="AA1203" s="78" t="s">
        <v>102</v>
      </c>
      <c r="AB1203" s="74" t="s">
        <v>4747</v>
      </c>
      <c r="AC1203" s="74"/>
    </row>
    <row r="1204" ht="16.5" customHeight="1">
      <c r="A1204" s="48" t="s">
        <v>4748</v>
      </c>
      <c r="B1204" s="53" t="s">
        <v>4749</v>
      </c>
      <c r="C1204" s="47">
        <v>90.0</v>
      </c>
      <c r="D1204" s="70" t="s">
        <v>4750</v>
      </c>
      <c r="E1204" s="55" t="s">
        <v>91</v>
      </c>
      <c r="F1204" s="32" t="s">
        <v>48</v>
      </c>
      <c r="G1204" s="32" t="s">
        <v>35</v>
      </c>
      <c r="H1204" s="71" t="s">
        <v>35</v>
      </c>
      <c r="I1204" s="71" t="s">
        <v>36</v>
      </c>
      <c r="J1204" s="34" t="s">
        <v>49</v>
      </c>
      <c r="K1204" s="57" t="s">
        <v>38</v>
      </c>
      <c r="L1204" s="72">
        <v>10659.0</v>
      </c>
      <c r="M1204" s="22"/>
      <c r="N1204" s="35" t="s">
        <v>3694</v>
      </c>
      <c r="O1204" s="28">
        <v>45399.6625</v>
      </c>
      <c r="P1204" s="35" t="s">
        <v>4751</v>
      </c>
      <c r="Q1204" s="12"/>
      <c r="R1204" s="12"/>
      <c r="S1204" s="12"/>
      <c r="T1204" s="52">
        <v>45397.0</v>
      </c>
      <c r="U1204" s="52">
        <v>45398.0</v>
      </c>
      <c r="V1204" s="52">
        <v>45399.6625</v>
      </c>
      <c r="W1204" s="30"/>
      <c r="X1204" s="30"/>
      <c r="Y1204" s="31"/>
      <c r="Z1204" s="31"/>
      <c r="AA1204" s="78" t="s">
        <v>127</v>
      </c>
      <c r="AB1204" s="74" t="s">
        <v>4752</v>
      </c>
      <c r="AC1204" s="74"/>
    </row>
    <row r="1205" ht="16.5" customHeight="1">
      <c r="A1205" s="48" t="s">
        <v>4753</v>
      </c>
      <c r="B1205" s="53" t="s">
        <v>4587</v>
      </c>
      <c r="C1205" s="47">
        <v>137.0</v>
      </c>
      <c r="D1205" s="70" t="s">
        <v>4754</v>
      </c>
      <c r="E1205" s="55" t="s">
        <v>85</v>
      </c>
      <c r="F1205" s="32" t="s">
        <v>48</v>
      </c>
      <c r="G1205" s="32" t="s">
        <v>35</v>
      </c>
      <c r="H1205" s="71" t="s">
        <v>35</v>
      </c>
      <c r="I1205" s="71" t="s">
        <v>36</v>
      </c>
      <c r="J1205" s="34" t="s">
        <v>65</v>
      </c>
      <c r="K1205" s="57" t="s">
        <v>38</v>
      </c>
      <c r="L1205" s="72">
        <v>10657.0</v>
      </c>
      <c r="M1205" s="22"/>
      <c r="N1205" s="35" t="s">
        <v>4677</v>
      </c>
      <c r="O1205" s="28">
        <v>45399.66805555556</v>
      </c>
      <c r="P1205" s="35" t="s">
        <v>4755</v>
      </c>
      <c r="Q1205" s="12"/>
      <c r="R1205" s="12"/>
      <c r="S1205" s="12"/>
      <c r="T1205" s="52">
        <v>45397.0</v>
      </c>
      <c r="U1205" s="52">
        <v>45398.0</v>
      </c>
      <c r="V1205" s="52">
        <v>45399.66805555556</v>
      </c>
      <c r="W1205" s="30"/>
      <c r="X1205" s="30"/>
      <c r="Y1205" s="31"/>
      <c r="Z1205" s="31"/>
      <c r="AA1205" s="78" t="s">
        <v>3059</v>
      </c>
      <c r="AB1205" s="74" t="s">
        <v>4756</v>
      </c>
      <c r="AC1205" s="74"/>
    </row>
    <row r="1206" ht="16.5" customHeight="1">
      <c r="A1206" s="48" t="s">
        <v>4757</v>
      </c>
      <c r="B1206" s="53" t="s">
        <v>4587</v>
      </c>
      <c r="C1206" s="47">
        <v>90.0</v>
      </c>
      <c r="D1206" s="70" t="s">
        <v>4758</v>
      </c>
      <c r="E1206" s="55" t="s">
        <v>91</v>
      </c>
      <c r="F1206" s="32" t="s">
        <v>48</v>
      </c>
      <c r="G1206" s="32" t="s">
        <v>35</v>
      </c>
      <c r="H1206" s="71" t="s">
        <v>35</v>
      </c>
      <c r="I1206" s="71" t="s">
        <v>36</v>
      </c>
      <c r="J1206" s="34" t="s">
        <v>65</v>
      </c>
      <c r="K1206" s="57" t="s">
        <v>38</v>
      </c>
      <c r="L1206" s="72">
        <v>10657.0</v>
      </c>
      <c r="M1206" s="22"/>
      <c r="N1206" s="35" t="s">
        <v>4677</v>
      </c>
      <c r="O1206" s="28">
        <v>45399.66805555556</v>
      </c>
      <c r="P1206" s="35" t="s">
        <v>4755</v>
      </c>
      <c r="Q1206" s="12"/>
      <c r="R1206" s="12"/>
      <c r="S1206" s="12"/>
      <c r="T1206" s="52">
        <v>45397.0</v>
      </c>
      <c r="U1206" s="52">
        <v>45398.0</v>
      </c>
      <c r="V1206" s="52">
        <v>45399.66805555556</v>
      </c>
      <c r="W1206" s="30"/>
      <c r="X1206" s="30"/>
      <c r="Y1206" s="31"/>
      <c r="Z1206" s="31"/>
      <c r="AA1206" s="78" t="s">
        <v>3059</v>
      </c>
      <c r="AB1206" s="74" t="s">
        <v>4759</v>
      </c>
      <c r="AC1206" s="74"/>
    </row>
    <row r="1207" ht="16.5" customHeight="1">
      <c r="A1207" s="48" t="s">
        <v>4760</v>
      </c>
      <c r="B1207" s="53" t="s">
        <v>4761</v>
      </c>
      <c r="C1207" s="47">
        <v>1.0</v>
      </c>
      <c r="D1207" s="70" t="s">
        <v>4762</v>
      </c>
      <c r="E1207" s="55" t="s">
        <v>3395</v>
      </c>
      <c r="F1207" s="32" t="s">
        <v>48</v>
      </c>
      <c r="G1207" s="32" t="s">
        <v>35</v>
      </c>
      <c r="H1207" s="71" t="s">
        <v>35</v>
      </c>
      <c r="I1207" s="71" t="s">
        <v>36</v>
      </c>
      <c r="J1207" s="34" t="s">
        <v>65</v>
      </c>
      <c r="K1207" s="57" t="s">
        <v>38</v>
      </c>
      <c r="L1207" s="72">
        <v>10658.0</v>
      </c>
      <c r="M1207" s="22"/>
      <c r="N1207" s="35" t="s">
        <v>4677</v>
      </c>
      <c r="O1207" s="28">
        <v>45399.66805555556</v>
      </c>
      <c r="P1207" s="35" t="s">
        <v>4763</v>
      </c>
      <c r="Q1207" s="12"/>
      <c r="R1207" s="12"/>
      <c r="S1207" s="12"/>
      <c r="T1207" s="52">
        <v>45397.0</v>
      </c>
      <c r="U1207" s="52">
        <v>45398.0</v>
      </c>
      <c r="V1207" s="52">
        <v>45399.66805555556</v>
      </c>
      <c r="W1207" s="30"/>
      <c r="X1207" s="30"/>
      <c r="Y1207" s="31"/>
      <c r="Z1207" s="31"/>
      <c r="AA1207" s="78" t="s">
        <v>3059</v>
      </c>
      <c r="AB1207" s="74" t="s">
        <v>4764</v>
      </c>
      <c r="AC1207" s="74"/>
    </row>
    <row r="1208" ht="16.5" customHeight="1">
      <c r="A1208" s="48" t="s">
        <v>4765</v>
      </c>
      <c r="B1208" s="53" t="s">
        <v>1299</v>
      </c>
      <c r="C1208" s="47">
        <v>0.0</v>
      </c>
      <c r="D1208" s="70"/>
      <c r="E1208" s="55" t="s">
        <v>4766</v>
      </c>
      <c r="F1208" s="32" t="s">
        <v>244</v>
      </c>
      <c r="G1208" s="32" t="s">
        <v>35</v>
      </c>
      <c r="H1208" s="71" t="s">
        <v>35</v>
      </c>
      <c r="I1208" s="71" t="s">
        <v>665</v>
      </c>
      <c r="J1208" s="34" t="s">
        <v>92</v>
      </c>
      <c r="K1208" s="57" t="s">
        <v>38</v>
      </c>
      <c r="L1208" s="72">
        <v>10721.0</v>
      </c>
      <c r="M1208" s="22" t="s">
        <v>50</v>
      </c>
      <c r="N1208" s="35" t="s">
        <v>4767</v>
      </c>
      <c r="O1208" s="28">
        <v>45583.41657407407</v>
      </c>
      <c r="P1208" s="35" t="s">
        <v>4768</v>
      </c>
      <c r="Q1208" s="12"/>
      <c r="R1208" s="12"/>
      <c r="S1208" s="12"/>
      <c r="T1208" s="52">
        <v>45398.0</v>
      </c>
      <c r="U1208" s="52">
        <v>45399.0</v>
      </c>
      <c r="V1208" s="52">
        <v>45407.0</v>
      </c>
      <c r="W1208" s="30"/>
      <c r="X1208" s="30"/>
      <c r="Y1208" s="31"/>
      <c r="Z1208" s="31"/>
      <c r="AA1208" s="31"/>
      <c r="AB1208" s="74" t="s">
        <v>4769</v>
      </c>
      <c r="AC1208" s="74"/>
    </row>
    <row r="1209" ht="16.5" customHeight="1">
      <c r="A1209" s="48" t="s">
        <v>4770</v>
      </c>
      <c r="B1209" s="53" t="s">
        <v>1299</v>
      </c>
      <c r="C1209" s="47">
        <v>0.0</v>
      </c>
      <c r="D1209" s="70" t="s">
        <v>4771</v>
      </c>
      <c r="E1209" s="55" t="s">
        <v>804</v>
      </c>
      <c r="F1209" s="32" t="s">
        <v>244</v>
      </c>
      <c r="G1209" s="32" t="s">
        <v>35</v>
      </c>
      <c r="H1209" s="71" t="s">
        <v>35</v>
      </c>
      <c r="I1209" s="71" t="s">
        <v>36</v>
      </c>
      <c r="J1209" s="34" t="s">
        <v>92</v>
      </c>
      <c r="K1209" s="57" t="s">
        <v>38</v>
      </c>
      <c r="L1209" s="72">
        <v>10721.0</v>
      </c>
      <c r="M1209" s="22" t="s">
        <v>50</v>
      </c>
      <c r="N1209" s="35" t="s">
        <v>4250</v>
      </c>
      <c r="O1209" s="28">
        <v>45534.46693287037</v>
      </c>
      <c r="P1209" s="35" t="s">
        <v>4772</v>
      </c>
      <c r="Q1209" s="12"/>
      <c r="R1209" s="12"/>
      <c r="S1209" s="12"/>
      <c r="T1209" s="52">
        <v>45398.0</v>
      </c>
      <c r="U1209" s="52">
        <v>45399.0</v>
      </c>
      <c r="V1209" s="52">
        <v>45408.0</v>
      </c>
      <c r="W1209" s="30"/>
      <c r="X1209" s="30"/>
      <c r="Y1209" s="31"/>
      <c r="Z1209" s="31"/>
      <c r="AA1209" s="31"/>
      <c r="AB1209" s="74" t="s">
        <v>4773</v>
      </c>
      <c r="AC1209" s="74"/>
    </row>
    <row r="1210" ht="16.5" customHeight="1">
      <c r="A1210" s="48" t="s">
        <v>4774</v>
      </c>
      <c r="B1210" s="53" t="s">
        <v>1299</v>
      </c>
      <c r="C1210" s="47">
        <v>90.0</v>
      </c>
      <c r="D1210" s="70" t="s">
        <v>4775</v>
      </c>
      <c r="E1210" s="55" t="s">
        <v>91</v>
      </c>
      <c r="F1210" s="32" t="s">
        <v>48</v>
      </c>
      <c r="G1210" s="32" t="s">
        <v>35</v>
      </c>
      <c r="H1210" s="71" t="s">
        <v>35</v>
      </c>
      <c r="I1210" s="71" t="s">
        <v>36</v>
      </c>
      <c r="J1210" s="34" t="s">
        <v>92</v>
      </c>
      <c r="K1210" s="57" t="s">
        <v>38</v>
      </c>
      <c r="L1210" s="72">
        <v>10721.0</v>
      </c>
      <c r="M1210" s="22" t="s">
        <v>50</v>
      </c>
      <c r="N1210" s="35" t="s">
        <v>4250</v>
      </c>
      <c r="O1210" s="28">
        <v>45548.358611111114</v>
      </c>
      <c r="P1210" s="35" t="s">
        <v>4772</v>
      </c>
      <c r="Q1210" s="12"/>
      <c r="R1210" s="12"/>
      <c r="S1210" s="12"/>
      <c r="T1210" s="52">
        <v>45398.0</v>
      </c>
      <c r="U1210" s="52">
        <v>45399.0</v>
      </c>
      <c r="V1210" s="52">
        <v>45407.0</v>
      </c>
      <c r="W1210" s="30"/>
      <c r="X1210" s="30"/>
      <c r="Y1210" s="31"/>
      <c r="Z1210" s="31"/>
      <c r="AA1210" s="31"/>
      <c r="AB1210" s="74" t="s">
        <v>4776</v>
      </c>
      <c r="AC1210" s="74"/>
    </row>
    <row r="1211" ht="16.5" customHeight="1">
      <c r="A1211" s="48" t="s">
        <v>4777</v>
      </c>
      <c r="B1211" s="53" t="s">
        <v>4035</v>
      </c>
      <c r="C1211" s="47">
        <v>1.0</v>
      </c>
      <c r="D1211" s="70" t="s">
        <v>4778</v>
      </c>
      <c r="E1211" s="55" t="s">
        <v>3395</v>
      </c>
      <c r="F1211" s="32" t="s">
        <v>48</v>
      </c>
      <c r="G1211" s="32" t="s">
        <v>35</v>
      </c>
      <c r="H1211" s="71" t="s">
        <v>35</v>
      </c>
      <c r="I1211" s="71" t="s">
        <v>36</v>
      </c>
      <c r="J1211" s="34" t="s">
        <v>65</v>
      </c>
      <c r="K1211" s="57" t="s">
        <v>38</v>
      </c>
      <c r="L1211" s="72">
        <v>10652.0</v>
      </c>
      <c r="M1211" s="22"/>
      <c r="N1211" s="73"/>
      <c r="O1211" s="28">
        <v>45421.0</v>
      </c>
      <c r="P1211" s="35" t="s">
        <v>4779</v>
      </c>
      <c r="Q1211" s="12"/>
      <c r="R1211" s="12"/>
      <c r="S1211" s="12"/>
      <c r="T1211" s="52">
        <v>45398.0</v>
      </c>
      <c r="U1211" s="52">
        <v>45421.0</v>
      </c>
      <c r="V1211" s="52">
        <v>45421.0</v>
      </c>
      <c r="W1211" s="30"/>
      <c r="X1211" s="30"/>
      <c r="Y1211" s="31"/>
      <c r="Z1211" s="31"/>
      <c r="AA1211" s="78" t="s">
        <v>94</v>
      </c>
      <c r="AB1211" s="74" t="s">
        <v>4780</v>
      </c>
      <c r="AC1211" s="74"/>
    </row>
    <row r="1212" ht="16.5" customHeight="1">
      <c r="A1212" s="48" t="s">
        <v>4781</v>
      </c>
      <c r="B1212" s="53" t="s">
        <v>4035</v>
      </c>
      <c r="C1212" s="47">
        <v>1.0</v>
      </c>
      <c r="D1212" s="70" t="s">
        <v>4782</v>
      </c>
      <c r="E1212" s="55" t="s">
        <v>3395</v>
      </c>
      <c r="F1212" s="32" t="s">
        <v>48</v>
      </c>
      <c r="G1212" s="32" t="s">
        <v>35</v>
      </c>
      <c r="H1212" s="71" t="s">
        <v>35</v>
      </c>
      <c r="I1212" s="71" t="s">
        <v>36</v>
      </c>
      <c r="J1212" s="34" t="s">
        <v>49</v>
      </c>
      <c r="K1212" s="57" t="s">
        <v>38</v>
      </c>
      <c r="L1212" s="72">
        <v>10697.0</v>
      </c>
      <c r="M1212" s="22"/>
      <c r="N1212" s="73"/>
      <c r="O1212" s="28">
        <v>45394.0</v>
      </c>
      <c r="P1212" s="35" t="s">
        <v>4783</v>
      </c>
      <c r="Q1212" s="12"/>
      <c r="R1212" s="12"/>
      <c r="S1212" s="12"/>
      <c r="T1212" s="52">
        <v>45398.0</v>
      </c>
      <c r="U1212" s="52">
        <v>45384.0</v>
      </c>
      <c r="V1212" s="52">
        <v>45385.0</v>
      </c>
      <c r="W1212" s="30"/>
      <c r="X1212" s="30"/>
      <c r="Y1212" s="31"/>
      <c r="Z1212" s="31"/>
      <c r="AA1212" s="78" t="s">
        <v>94</v>
      </c>
      <c r="AB1212" s="74" t="s">
        <v>4784</v>
      </c>
      <c r="AC1212" s="74"/>
    </row>
    <row r="1213" ht="16.5" customHeight="1">
      <c r="A1213" s="48" t="s">
        <v>4785</v>
      </c>
      <c r="B1213" s="53" t="s">
        <v>4035</v>
      </c>
      <c r="C1213" s="47">
        <v>1.0</v>
      </c>
      <c r="D1213" s="70" t="s">
        <v>4786</v>
      </c>
      <c r="E1213" s="55" t="s">
        <v>3395</v>
      </c>
      <c r="F1213" s="32" t="s">
        <v>48</v>
      </c>
      <c r="G1213" s="32" t="s">
        <v>35</v>
      </c>
      <c r="H1213" s="71" t="s">
        <v>35</v>
      </c>
      <c r="I1213" s="71" t="s">
        <v>36</v>
      </c>
      <c r="J1213" s="34" t="s">
        <v>49</v>
      </c>
      <c r="K1213" s="57" t="s">
        <v>38</v>
      </c>
      <c r="L1213" s="72">
        <v>10668.0</v>
      </c>
      <c r="M1213" s="22"/>
      <c r="N1213" s="73"/>
      <c r="O1213" s="28">
        <v>45394.0</v>
      </c>
      <c r="P1213" s="35" t="s">
        <v>4787</v>
      </c>
      <c r="Q1213" s="12"/>
      <c r="R1213" s="12"/>
      <c r="S1213" s="12"/>
      <c r="T1213" s="52">
        <v>45399.0</v>
      </c>
      <c r="U1213" s="52">
        <v>45384.0</v>
      </c>
      <c r="V1213" s="52">
        <v>45385.0</v>
      </c>
      <c r="W1213" s="30"/>
      <c r="X1213" s="30"/>
      <c r="Y1213" s="31"/>
      <c r="Z1213" s="31"/>
      <c r="AA1213" s="78" t="s">
        <v>94</v>
      </c>
      <c r="AB1213" s="74" t="s">
        <v>4788</v>
      </c>
      <c r="AC1213" s="74"/>
    </row>
    <row r="1214" ht="16.5" customHeight="1">
      <c r="A1214" s="48" t="s">
        <v>4789</v>
      </c>
      <c r="B1214" s="53" t="s">
        <v>4790</v>
      </c>
      <c r="C1214" s="47">
        <v>0.0</v>
      </c>
      <c r="D1214" s="70" t="s">
        <v>4791</v>
      </c>
      <c r="E1214" s="55" t="s">
        <v>4792</v>
      </c>
      <c r="F1214" s="32" t="s">
        <v>244</v>
      </c>
      <c r="G1214" s="32" t="s">
        <v>35</v>
      </c>
      <c r="H1214" s="71" t="s">
        <v>35</v>
      </c>
      <c r="I1214" s="71" t="s">
        <v>36</v>
      </c>
      <c r="J1214" s="34" t="s">
        <v>49</v>
      </c>
      <c r="K1214" s="57" t="s">
        <v>38</v>
      </c>
      <c r="L1214" s="72">
        <v>10747.0</v>
      </c>
      <c r="M1214" s="22"/>
      <c r="N1214" s="35" t="s">
        <v>106</v>
      </c>
      <c r="O1214" s="28">
        <v>45419.60581018519</v>
      </c>
      <c r="P1214" s="35" t="s">
        <v>4793</v>
      </c>
      <c r="Q1214" s="12"/>
      <c r="R1214" s="12"/>
      <c r="S1214" s="12"/>
      <c r="T1214" s="52">
        <v>45399.0</v>
      </c>
      <c r="U1214" s="52">
        <v>45400.0</v>
      </c>
      <c r="V1214" s="52">
        <v>45414.0</v>
      </c>
      <c r="W1214" s="30"/>
      <c r="X1214" s="30"/>
      <c r="Y1214" s="31"/>
      <c r="Z1214" s="31"/>
      <c r="AA1214" s="31"/>
      <c r="AB1214" s="74" t="s">
        <v>4794</v>
      </c>
      <c r="AC1214" s="74"/>
    </row>
    <row r="1215" ht="16.5" customHeight="1">
      <c r="A1215" s="48" t="s">
        <v>4795</v>
      </c>
      <c r="B1215" s="53" t="s">
        <v>96</v>
      </c>
      <c r="C1215" s="47">
        <v>0.0</v>
      </c>
      <c r="D1215" s="70" t="s">
        <v>4796</v>
      </c>
      <c r="E1215" s="55" t="s">
        <v>913</v>
      </c>
      <c r="F1215" s="32" t="s">
        <v>33</v>
      </c>
      <c r="G1215" s="32" t="s">
        <v>35</v>
      </c>
      <c r="H1215" s="71" t="s">
        <v>35</v>
      </c>
      <c r="I1215" s="71" t="s">
        <v>36</v>
      </c>
      <c r="J1215" s="34" t="s">
        <v>49</v>
      </c>
      <c r="K1215" s="57" t="s">
        <v>38</v>
      </c>
      <c r="L1215" s="72">
        <v>10677.0</v>
      </c>
      <c r="M1215" s="22"/>
      <c r="N1215" s="35" t="s">
        <v>4183</v>
      </c>
      <c r="O1215" s="28">
        <v>45404.78333333333</v>
      </c>
      <c r="P1215" s="35" t="s">
        <v>4797</v>
      </c>
      <c r="Q1215" s="12"/>
      <c r="R1215" s="12"/>
      <c r="S1215" s="12"/>
      <c r="T1215" s="52">
        <v>45399.0</v>
      </c>
      <c r="U1215" s="52">
        <v>45400.0</v>
      </c>
      <c r="V1215" s="52">
        <v>45404.0</v>
      </c>
      <c r="W1215" s="30"/>
      <c r="X1215" s="30"/>
      <c r="Y1215" s="31"/>
      <c r="Z1215" s="31"/>
      <c r="AA1215" s="78" t="s">
        <v>102</v>
      </c>
      <c r="AB1215" s="74" t="s">
        <v>4798</v>
      </c>
      <c r="AC1215" s="74"/>
    </row>
    <row r="1216" ht="16.5" customHeight="1">
      <c r="A1216" s="48" t="s">
        <v>4799</v>
      </c>
      <c r="B1216" s="53" t="s">
        <v>96</v>
      </c>
      <c r="C1216" s="47">
        <v>0.0</v>
      </c>
      <c r="D1216" s="70" t="s">
        <v>4800</v>
      </c>
      <c r="E1216" s="55" t="s">
        <v>913</v>
      </c>
      <c r="F1216" s="32" t="s">
        <v>33</v>
      </c>
      <c r="G1216" s="32" t="s">
        <v>35</v>
      </c>
      <c r="H1216" s="71" t="s">
        <v>35</v>
      </c>
      <c r="I1216" s="71" t="s">
        <v>36</v>
      </c>
      <c r="J1216" s="34" t="s">
        <v>49</v>
      </c>
      <c r="K1216" s="57" t="s">
        <v>38</v>
      </c>
      <c r="L1216" s="72">
        <v>10677.0</v>
      </c>
      <c r="M1216" s="22"/>
      <c r="N1216" s="35" t="s">
        <v>4183</v>
      </c>
      <c r="O1216" s="28">
        <v>45404.788194444445</v>
      </c>
      <c r="P1216" s="35" t="s">
        <v>4797</v>
      </c>
      <c r="Q1216" s="12"/>
      <c r="R1216" s="12"/>
      <c r="S1216" s="12"/>
      <c r="T1216" s="52">
        <v>45399.0</v>
      </c>
      <c r="U1216" s="52">
        <v>45400.0</v>
      </c>
      <c r="V1216" s="52">
        <v>45404.0</v>
      </c>
      <c r="W1216" s="30"/>
      <c r="X1216" s="30"/>
      <c r="Y1216" s="31"/>
      <c r="Z1216" s="31"/>
      <c r="AA1216" s="78" t="s">
        <v>102</v>
      </c>
      <c r="AB1216" s="74" t="s">
        <v>4801</v>
      </c>
      <c r="AC1216" s="74"/>
    </row>
    <row r="1217" ht="16.5" customHeight="1">
      <c r="A1217" s="48" t="s">
        <v>4802</v>
      </c>
      <c r="B1217" s="53" t="s">
        <v>96</v>
      </c>
      <c r="C1217" s="47">
        <v>0.0</v>
      </c>
      <c r="D1217" s="70" t="s">
        <v>4803</v>
      </c>
      <c r="E1217" s="55" t="s">
        <v>913</v>
      </c>
      <c r="F1217" s="32" t="s">
        <v>33</v>
      </c>
      <c r="G1217" s="32" t="s">
        <v>35</v>
      </c>
      <c r="H1217" s="71" t="s">
        <v>35</v>
      </c>
      <c r="I1217" s="71" t="s">
        <v>36</v>
      </c>
      <c r="J1217" s="34" t="s">
        <v>49</v>
      </c>
      <c r="K1217" s="57" t="s">
        <v>38</v>
      </c>
      <c r="L1217" s="72">
        <v>10677.0</v>
      </c>
      <c r="M1217" s="22"/>
      <c r="N1217" s="35" t="s">
        <v>4183</v>
      </c>
      <c r="O1217" s="28">
        <v>45404.78888888889</v>
      </c>
      <c r="P1217" s="35" t="s">
        <v>4797</v>
      </c>
      <c r="Q1217" s="12"/>
      <c r="R1217" s="12"/>
      <c r="S1217" s="12"/>
      <c r="T1217" s="52">
        <v>45399.0</v>
      </c>
      <c r="U1217" s="52">
        <v>45400.0</v>
      </c>
      <c r="V1217" s="52">
        <v>45404.0</v>
      </c>
      <c r="W1217" s="30"/>
      <c r="X1217" s="30"/>
      <c r="Y1217" s="31"/>
      <c r="Z1217" s="31"/>
      <c r="AA1217" s="78" t="s">
        <v>102</v>
      </c>
      <c r="AB1217" s="74" t="s">
        <v>4804</v>
      </c>
      <c r="AC1217" s="74"/>
    </row>
    <row r="1218" ht="16.5" customHeight="1">
      <c r="A1218" s="48" t="s">
        <v>4805</v>
      </c>
      <c r="B1218" s="53" t="s">
        <v>3164</v>
      </c>
      <c r="C1218" s="47">
        <v>0.0</v>
      </c>
      <c r="D1218" s="70" t="s">
        <v>4806</v>
      </c>
      <c r="E1218" s="55" t="s">
        <v>1248</v>
      </c>
      <c r="F1218" s="32" t="s">
        <v>33</v>
      </c>
      <c r="G1218" s="32" t="s">
        <v>35</v>
      </c>
      <c r="H1218" s="71" t="s">
        <v>35</v>
      </c>
      <c r="I1218" s="71" t="s">
        <v>36</v>
      </c>
      <c r="J1218" s="34" t="s">
        <v>37</v>
      </c>
      <c r="K1218" s="57" t="s">
        <v>384</v>
      </c>
      <c r="L1218" s="72">
        <v>10670.0</v>
      </c>
      <c r="M1218" s="22"/>
      <c r="N1218" s="35" t="s">
        <v>41</v>
      </c>
      <c r="O1218" s="28">
        <v>45401.60972222222</v>
      </c>
      <c r="P1218" s="35" t="s">
        <v>4807</v>
      </c>
      <c r="Q1218" s="12"/>
      <c r="R1218" s="12"/>
      <c r="S1218" s="12"/>
      <c r="T1218" s="52">
        <v>45399.0</v>
      </c>
      <c r="U1218" s="52">
        <v>45400.0</v>
      </c>
      <c r="V1218" s="52">
        <v>45401.60972222222</v>
      </c>
      <c r="W1218" s="30"/>
      <c r="X1218" s="30"/>
      <c r="Y1218" s="31"/>
      <c r="Z1218" s="31"/>
      <c r="AA1218" s="78" t="s">
        <v>108</v>
      </c>
      <c r="AB1218" s="74" t="s">
        <v>4808</v>
      </c>
      <c r="AC1218" s="74"/>
    </row>
    <row r="1219" ht="16.5" customHeight="1">
      <c r="A1219" s="48" t="s">
        <v>4809</v>
      </c>
      <c r="B1219" s="53" t="s">
        <v>3206</v>
      </c>
      <c r="C1219" s="47">
        <v>1.0</v>
      </c>
      <c r="D1219" s="70" t="s">
        <v>4810</v>
      </c>
      <c r="E1219" s="55" t="s">
        <v>3395</v>
      </c>
      <c r="F1219" s="32" t="s">
        <v>48</v>
      </c>
      <c r="G1219" s="32" t="s">
        <v>35</v>
      </c>
      <c r="H1219" s="71" t="s">
        <v>35</v>
      </c>
      <c r="I1219" s="71" t="s">
        <v>36</v>
      </c>
      <c r="J1219" s="34" t="s">
        <v>92</v>
      </c>
      <c r="K1219" s="57" t="s">
        <v>38</v>
      </c>
      <c r="L1219" s="72">
        <v>10671.0</v>
      </c>
      <c r="M1219" s="22"/>
      <c r="N1219" s="35" t="s">
        <v>4811</v>
      </c>
      <c r="O1219" s="28">
        <v>45401.569444444445</v>
      </c>
      <c r="P1219" s="35" t="s">
        <v>4812</v>
      </c>
      <c r="Q1219" s="12"/>
      <c r="R1219" s="12"/>
      <c r="S1219" s="12"/>
      <c r="T1219" s="52">
        <v>45400.0</v>
      </c>
      <c r="U1219" s="52">
        <v>45400.0</v>
      </c>
      <c r="V1219" s="52">
        <v>45401.0</v>
      </c>
      <c r="W1219" s="30"/>
      <c r="X1219" s="30"/>
      <c r="Y1219" s="31"/>
      <c r="Z1219" s="31"/>
      <c r="AA1219" s="78" t="s">
        <v>120</v>
      </c>
      <c r="AB1219" s="74" t="s">
        <v>4813</v>
      </c>
      <c r="AC1219" s="74"/>
    </row>
    <row r="1220" ht="16.5" customHeight="1">
      <c r="A1220" s="48" t="s">
        <v>4814</v>
      </c>
      <c r="B1220" s="53" t="s">
        <v>4815</v>
      </c>
      <c r="C1220" s="47">
        <v>0.0</v>
      </c>
      <c r="D1220" s="70" t="s">
        <v>4816</v>
      </c>
      <c r="E1220" s="55" t="s">
        <v>3863</v>
      </c>
      <c r="F1220" s="32" t="s">
        <v>244</v>
      </c>
      <c r="G1220" s="32" t="s">
        <v>35</v>
      </c>
      <c r="H1220" s="71" t="s">
        <v>35</v>
      </c>
      <c r="I1220" s="71" t="s">
        <v>36</v>
      </c>
      <c r="J1220" s="34" t="s">
        <v>49</v>
      </c>
      <c r="K1220" s="57" t="s">
        <v>38</v>
      </c>
      <c r="L1220" s="72">
        <v>10755.0</v>
      </c>
      <c r="M1220" s="22"/>
      <c r="N1220" s="35" t="s">
        <v>4183</v>
      </c>
      <c r="O1220" s="28">
        <v>45420.669965277775</v>
      </c>
      <c r="P1220" s="35" t="s">
        <v>4817</v>
      </c>
      <c r="Q1220" s="12"/>
      <c r="R1220" s="12"/>
      <c r="S1220" s="12"/>
      <c r="T1220" s="52">
        <v>45400.0</v>
      </c>
      <c r="U1220" s="52">
        <v>45404.0</v>
      </c>
      <c r="V1220" s="52">
        <v>45419.0</v>
      </c>
      <c r="W1220" s="30"/>
      <c r="X1220" s="30"/>
      <c r="Y1220" s="31"/>
      <c r="Z1220" s="31"/>
      <c r="AA1220" s="78" t="s">
        <v>102</v>
      </c>
      <c r="AB1220" s="74" t="s">
        <v>4818</v>
      </c>
      <c r="AC1220" s="74"/>
    </row>
    <row r="1221" ht="16.5" customHeight="1">
      <c r="A1221" s="48" t="s">
        <v>4819</v>
      </c>
      <c r="B1221" s="53" t="s">
        <v>4820</v>
      </c>
      <c r="C1221" s="47">
        <v>0.0</v>
      </c>
      <c r="D1221" s="70" t="s">
        <v>4821</v>
      </c>
      <c r="E1221" s="55" t="s">
        <v>98</v>
      </c>
      <c r="F1221" s="32" t="s">
        <v>33</v>
      </c>
      <c r="G1221" s="32" t="s">
        <v>34</v>
      </c>
      <c r="H1221" s="71" t="s">
        <v>35</v>
      </c>
      <c r="I1221" s="71" t="s">
        <v>36</v>
      </c>
      <c r="J1221" s="34" t="s">
        <v>518</v>
      </c>
      <c r="K1221" s="57" t="s">
        <v>38</v>
      </c>
      <c r="L1221" s="72">
        <v>10675.0</v>
      </c>
      <c r="M1221" s="22"/>
      <c r="N1221" s="35" t="s">
        <v>4616</v>
      </c>
      <c r="O1221" s="28">
        <v>45404.584027777775</v>
      </c>
      <c r="P1221" s="35" t="s">
        <v>4822</v>
      </c>
      <c r="Q1221" s="12"/>
      <c r="R1221" s="12"/>
      <c r="S1221" s="12"/>
      <c r="T1221" s="52">
        <v>45400.0</v>
      </c>
      <c r="U1221" s="52">
        <v>45401.0</v>
      </c>
      <c r="V1221" s="52">
        <v>45404.0</v>
      </c>
      <c r="W1221" s="30"/>
      <c r="X1221" s="30"/>
      <c r="Y1221" s="31"/>
      <c r="Z1221" s="31"/>
      <c r="AA1221" s="78" t="s">
        <v>108</v>
      </c>
      <c r="AB1221" s="74" t="s">
        <v>4823</v>
      </c>
      <c r="AC1221" s="74"/>
    </row>
    <row r="1222" ht="16.5" customHeight="1">
      <c r="A1222" s="48" t="s">
        <v>4824</v>
      </c>
      <c r="B1222" s="53" t="s">
        <v>4825</v>
      </c>
      <c r="C1222" s="47">
        <v>137.0</v>
      </c>
      <c r="D1222" s="70" t="s">
        <v>4826</v>
      </c>
      <c r="E1222" s="55" t="s">
        <v>85</v>
      </c>
      <c r="F1222" s="32" t="s">
        <v>48</v>
      </c>
      <c r="G1222" s="32" t="s">
        <v>35</v>
      </c>
      <c r="H1222" s="71" t="s">
        <v>35</v>
      </c>
      <c r="I1222" s="71" t="s">
        <v>36</v>
      </c>
      <c r="J1222" s="34" t="s">
        <v>92</v>
      </c>
      <c r="K1222" s="57" t="s">
        <v>38</v>
      </c>
      <c r="L1222" s="72">
        <v>10691.0</v>
      </c>
      <c r="M1222" s="22"/>
      <c r="N1222" s="35" t="s">
        <v>4827</v>
      </c>
      <c r="O1222" s="28">
        <v>45408.32792824074</v>
      </c>
      <c r="P1222" s="35" t="s">
        <v>4828</v>
      </c>
      <c r="Q1222" s="12"/>
      <c r="R1222" s="12"/>
      <c r="S1222" s="12"/>
      <c r="T1222" s="52">
        <v>45400.0</v>
      </c>
      <c r="U1222" s="52">
        <v>45405.0</v>
      </c>
      <c r="V1222" s="52">
        <v>45405.0</v>
      </c>
      <c r="W1222" s="30"/>
      <c r="X1222" s="30"/>
      <c r="Y1222" s="31"/>
      <c r="Z1222" s="31"/>
      <c r="AA1222" s="78" t="s">
        <v>120</v>
      </c>
      <c r="AB1222" s="74" t="s">
        <v>4829</v>
      </c>
      <c r="AC1222" s="74"/>
    </row>
    <row r="1223" ht="16.5" customHeight="1">
      <c r="A1223" s="48" t="s">
        <v>4830</v>
      </c>
      <c r="B1223" s="53" t="s">
        <v>2138</v>
      </c>
      <c r="C1223" s="47">
        <v>0.0</v>
      </c>
      <c r="D1223" s="70" t="s">
        <v>4831</v>
      </c>
      <c r="E1223" s="55" t="s">
        <v>79</v>
      </c>
      <c r="F1223" s="32" t="s">
        <v>33</v>
      </c>
      <c r="G1223" s="32" t="s">
        <v>34</v>
      </c>
      <c r="H1223" s="71" t="s">
        <v>35</v>
      </c>
      <c r="I1223" s="71" t="s">
        <v>36</v>
      </c>
      <c r="J1223" s="34" t="s">
        <v>65</v>
      </c>
      <c r="K1223" s="57" t="s">
        <v>38</v>
      </c>
      <c r="L1223" s="72">
        <v>10676.0</v>
      </c>
      <c r="M1223" s="22"/>
      <c r="N1223" s="35" t="s">
        <v>4518</v>
      </c>
      <c r="O1223" s="28">
        <v>45404.697916666664</v>
      </c>
      <c r="P1223" s="35" t="s">
        <v>4832</v>
      </c>
      <c r="Q1223" s="12"/>
      <c r="R1223" s="12"/>
      <c r="S1223" s="12"/>
      <c r="T1223" s="52">
        <v>45400.0</v>
      </c>
      <c r="U1223" s="52">
        <v>45401.0</v>
      </c>
      <c r="V1223" s="52">
        <v>45404.0</v>
      </c>
      <c r="W1223" s="30"/>
      <c r="X1223" s="30"/>
      <c r="Y1223" s="31"/>
      <c r="Z1223" s="31"/>
      <c r="AA1223" s="78" t="s">
        <v>94</v>
      </c>
      <c r="AB1223" s="74" t="s">
        <v>4833</v>
      </c>
      <c r="AC1223" s="74"/>
    </row>
    <row r="1224" ht="16.5" customHeight="1">
      <c r="A1224" s="48" t="s">
        <v>4834</v>
      </c>
      <c r="B1224" s="53" t="s">
        <v>4835</v>
      </c>
      <c r="C1224" s="47">
        <v>90.0</v>
      </c>
      <c r="D1224" s="70"/>
      <c r="E1224" s="55" t="s">
        <v>91</v>
      </c>
      <c r="F1224" s="32" t="s">
        <v>48</v>
      </c>
      <c r="G1224" s="32" t="s">
        <v>35</v>
      </c>
      <c r="H1224" s="71" t="s">
        <v>35</v>
      </c>
      <c r="I1224" s="71" t="s">
        <v>665</v>
      </c>
      <c r="J1224" s="34" t="s">
        <v>518</v>
      </c>
      <c r="K1224" s="57" t="s">
        <v>38</v>
      </c>
      <c r="L1224" s="72">
        <v>10679.0</v>
      </c>
      <c r="M1224" s="22"/>
      <c r="N1224" s="35" t="s">
        <v>4616</v>
      </c>
      <c r="O1224" s="28">
        <v>45405.56575231482</v>
      </c>
      <c r="P1224" s="35" t="s">
        <v>4836</v>
      </c>
      <c r="Q1224" s="12"/>
      <c r="R1224" s="12"/>
      <c r="S1224" s="12"/>
      <c r="T1224" s="52">
        <v>45400.0</v>
      </c>
      <c r="U1224" s="29"/>
      <c r="V1224" s="29"/>
      <c r="W1224" s="30"/>
      <c r="X1224" s="30"/>
      <c r="Y1224" s="31"/>
      <c r="Z1224" s="31"/>
      <c r="AA1224" s="31"/>
      <c r="AB1224" s="74" t="s">
        <v>4837</v>
      </c>
      <c r="AC1224" s="74"/>
    </row>
    <row r="1225" ht="16.5" customHeight="1">
      <c r="A1225" s="48" t="s">
        <v>4838</v>
      </c>
      <c r="B1225" s="53" t="s">
        <v>4352</v>
      </c>
      <c r="C1225" s="47">
        <v>1.0</v>
      </c>
      <c r="D1225" s="70" t="s">
        <v>4839</v>
      </c>
      <c r="E1225" s="55" t="s">
        <v>3395</v>
      </c>
      <c r="F1225" s="32" t="s">
        <v>48</v>
      </c>
      <c r="G1225" s="32" t="s">
        <v>35</v>
      </c>
      <c r="H1225" s="71" t="s">
        <v>35</v>
      </c>
      <c r="I1225" s="71" t="s">
        <v>36</v>
      </c>
      <c r="J1225" s="34" t="s">
        <v>49</v>
      </c>
      <c r="K1225" s="57" t="s">
        <v>38</v>
      </c>
      <c r="L1225" s="72">
        <v>10688.0</v>
      </c>
      <c r="M1225" s="22"/>
      <c r="N1225" s="35" t="s">
        <v>4183</v>
      </c>
      <c r="O1225" s="28">
        <v>45406.62594907408</v>
      </c>
      <c r="P1225" s="35" t="s">
        <v>4840</v>
      </c>
      <c r="Q1225" s="12"/>
      <c r="R1225" s="12"/>
      <c r="S1225" s="12"/>
      <c r="T1225" s="52">
        <v>45401.0</v>
      </c>
      <c r="U1225" s="52">
        <v>45406.0</v>
      </c>
      <c r="V1225" s="52">
        <v>45406.0</v>
      </c>
      <c r="W1225" s="30"/>
      <c r="X1225" s="30"/>
      <c r="Y1225" s="31"/>
      <c r="Z1225" s="31"/>
      <c r="AA1225" s="78" t="s">
        <v>127</v>
      </c>
      <c r="AB1225" s="74" t="s">
        <v>4841</v>
      </c>
      <c r="AC1225" s="74"/>
    </row>
    <row r="1226" ht="16.5" customHeight="1">
      <c r="A1226" s="48" t="s">
        <v>4842</v>
      </c>
      <c r="B1226" s="53" t="s">
        <v>4352</v>
      </c>
      <c r="C1226" s="47">
        <v>27.0</v>
      </c>
      <c r="D1226" s="70" t="s">
        <v>4843</v>
      </c>
      <c r="E1226" s="55" t="s">
        <v>72</v>
      </c>
      <c r="F1226" s="32" t="s">
        <v>48</v>
      </c>
      <c r="G1226" s="32" t="s">
        <v>35</v>
      </c>
      <c r="H1226" s="71" t="s">
        <v>35</v>
      </c>
      <c r="I1226" s="71" t="s">
        <v>36</v>
      </c>
      <c r="J1226" s="34" t="s">
        <v>49</v>
      </c>
      <c r="K1226" s="57" t="s">
        <v>38</v>
      </c>
      <c r="L1226" s="72">
        <v>10688.0</v>
      </c>
      <c r="M1226" s="22"/>
      <c r="N1226" s="35" t="s">
        <v>106</v>
      </c>
      <c r="O1226" s="28">
        <v>45406.6265162037</v>
      </c>
      <c r="P1226" s="35" t="s">
        <v>4840</v>
      </c>
      <c r="Q1226" s="12"/>
      <c r="R1226" s="12"/>
      <c r="S1226" s="12"/>
      <c r="T1226" s="52">
        <v>45401.0</v>
      </c>
      <c r="U1226" s="52">
        <v>45406.0</v>
      </c>
      <c r="V1226" s="52">
        <v>45406.0</v>
      </c>
      <c r="W1226" s="30"/>
      <c r="X1226" s="30"/>
      <c r="Y1226" s="31"/>
      <c r="Z1226" s="31"/>
      <c r="AA1226" s="78" t="s">
        <v>127</v>
      </c>
      <c r="AB1226" s="74" t="s">
        <v>4844</v>
      </c>
      <c r="AC1226" s="74"/>
    </row>
    <row r="1227" ht="16.5" customHeight="1">
      <c r="A1227" s="48" t="s">
        <v>4845</v>
      </c>
      <c r="B1227" s="53" t="s">
        <v>4352</v>
      </c>
      <c r="C1227" s="47">
        <v>90.0</v>
      </c>
      <c r="D1227" s="70" t="s">
        <v>4846</v>
      </c>
      <c r="E1227" s="55" t="s">
        <v>91</v>
      </c>
      <c r="F1227" s="32" t="s">
        <v>48</v>
      </c>
      <c r="G1227" s="32" t="s">
        <v>35</v>
      </c>
      <c r="H1227" s="71" t="s">
        <v>35</v>
      </c>
      <c r="I1227" s="71" t="s">
        <v>36</v>
      </c>
      <c r="J1227" s="34" t="s">
        <v>49</v>
      </c>
      <c r="K1227" s="57" t="s">
        <v>38</v>
      </c>
      <c r="L1227" s="72">
        <v>10688.0</v>
      </c>
      <c r="M1227" s="22"/>
      <c r="N1227" s="35" t="s">
        <v>4183</v>
      </c>
      <c r="O1227" s="28">
        <v>45406.62642361111</v>
      </c>
      <c r="P1227" s="35" t="s">
        <v>4840</v>
      </c>
      <c r="Q1227" s="12"/>
      <c r="R1227" s="12"/>
      <c r="S1227" s="12"/>
      <c r="T1227" s="52">
        <v>45401.0</v>
      </c>
      <c r="U1227" s="52">
        <v>45406.0</v>
      </c>
      <c r="V1227" s="52">
        <v>45406.0</v>
      </c>
      <c r="W1227" s="30"/>
      <c r="X1227" s="30"/>
      <c r="Y1227" s="31"/>
      <c r="Z1227" s="31"/>
      <c r="AA1227" s="78" t="s">
        <v>127</v>
      </c>
      <c r="AB1227" s="74" t="s">
        <v>4847</v>
      </c>
      <c r="AC1227" s="74"/>
    </row>
    <row r="1228" ht="16.5" customHeight="1">
      <c r="A1228" s="48" t="s">
        <v>4848</v>
      </c>
      <c r="B1228" s="53" t="s">
        <v>4352</v>
      </c>
      <c r="C1228" s="47">
        <v>90.0</v>
      </c>
      <c r="D1228" s="70" t="s">
        <v>4849</v>
      </c>
      <c r="E1228" s="55" t="s">
        <v>91</v>
      </c>
      <c r="F1228" s="32" t="s">
        <v>48</v>
      </c>
      <c r="G1228" s="32" t="s">
        <v>35</v>
      </c>
      <c r="H1228" s="71" t="s">
        <v>35</v>
      </c>
      <c r="I1228" s="71" t="s">
        <v>36</v>
      </c>
      <c r="J1228" s="34" t="s">
        <v>49</v>
      </c>
      <c r="K1228" s="57" t="s">
        <v>38</v>
      </c>
      <c r="L1228" s="72">
        <v>10688.0</v>
      </c>
      <c r="M1228" s="22"/>
      <c r="N1228" s="35" t="s">
        <v>4183</v>
      </c>
      <c r="O1228" s="28">
        <v>45406.62635416666</v>
      </c>
      <c r="P1228" s="35" t="s">
        <v>4840</v>
      </c>
      <c r="Q1228" s="12"/>
      <c r="R1228" s="12"/>
      <c r="S1228" s="12"/>
      <c r="T1228" s="52">
        <v>45401.0</v>
      </c>
      <c r="U1228" s="52">
        <v>45406.0</v>
      </c>
      <c r="V1228" s="52">
        <v>45406.0</v>
      </c>
      <c r="W1228" s="30"/>
      <c r="X1228" s="30"/>
      <c r="Y1228" s="31"/>
      <c r="Z1228" s="31"/>
      <c r="AA1228" s="78" t="s">
        <v>127</v>
      </c>
      <c r="AB1228" s="74" t="s">
        <v>4850</v>
      </c>
      <c r="AC1228" s="74"/>
    </row>
    <row r="1229" ht="16.5" customHeight="1">
      <c r="A1229" s="48" t="s">
        <v>4851</v>
      </c>
      <c r="B1229" s="53" t="s">
        <v>4352</v>
      </c>
      <c r="C1229" s="47">
        <v>11.0</v>
      </c>
      <c r="D1229" s="70" t="s">
        <v>4852</v>
      </c>
      <c r="E1229" s="55" t="s">
        <v>112</v>
      </c>
      <c r="F1229" s="32" t="s">
        <v>48</v>
      </c>
      <c r="G1229" s="32" t="s">
        <v>35</v>
      </c>
      <c r="H1229" s="71" t="s">
        <v>35</v>
      </c>
      <c r="I1229" s="71" t="s">
        <v>36</v>
      </c>
      <c r="J1229" s="34" t="s">
        <v>49</v>
      </c>
      <c r="K1229" s="57" t="s">
        <v>38</v>
      </c>
      <c r="L1229" s="72">
        <v>10688.0</v>
      </c>
      <c r="M1229" s="22"/>
      <c r="N1229" s="35" t="s">
        <v>4183</v>
      </c>
      <c r="O1229" s="28">
        <v>45406.626296296294</v>
      </c>
      <c r="P1229" s="35" t="s">
        <v>4840</v>
      </c>
      <c r="Q1229" s="12"/>
      <c r="R1229" s="12"/>
      <c r="S1229" s="12"/>
      <c r="T1229" s="52">
        <v>45401.0</v>
      </c>
      <c r="U1229" s="52">
        <v>45406.0</v>
      </c>
      <c r="V1229" s="52">
        <v>45406.0</v>
      </c>
      <c r="W1229" s="30"/>
      <c r="X1229" s="30"/>
      <c r="Y1229" s="31"/>
      <c r="Z1229" s="31"/>
      <c r="AA1229" s="78" t="s">
        <v>127</v>
      </c>
      <c r="AB1229" s="74" t="s">
        <v>4853</v>
      </c>
      <c r="AC1229" s="74"/>
    </row>
    <row r="1230" ht="16.5" customHeight="1">
      <c r="A1230" s="48" t="s">
        <v>4854</v>
      </c>
      <c r="B1230" s="53" t="s">
        <v>4352</v>
      </c>
      <c r="C1230" s="47">
        <v>34.0</v>
      </c>
      <c r="D1230" s="70" t="s">
        <v>4855</v>
      </c>
      <c r="E1230" s="55" t="s">
        <v>47</v>
      </c>
      <c r="F1230" s="32" t="s">
        <v>48</v>
      </c>
      <c r="G1230" s="32" t="s">
        <v>35</v>
      </c>
      <c r="H1230" s="71" t="s">
        <v>35</v>
      </c>
      <c r="I1230" s="71" t="s">
        <v>36</v>
      </c>
      <c r="J1230" s="34" t="s">
        <v>49</v>
      </c>
      <c r="K1230" s="57" t="s">
        <v>38</v>
      </c>
      <c r="L1230" s="72">
        <v>10688.0</v>
      </c>
      <c r="M1230" s="22"/>
      <c r="N1230" s="35" t="s">
        <v>4183</v>
      </c>
      <c r="O1230" s="28">
        <v>45406.6262037037</v>
      </c>
      <c r="P1230" s="35" t="s">
        <v>4840</v>
      </c>
      <c r="Q1230" s="12"/>
      <c r="R1230" s="12"/>
      <c r="S1230" s="12"/>
      <c r="T1230" s="52">
        <v>45401.0</v>
      </c>
      <c r="U1230" s="52">
        <v>45406.0</v>
      </c>
      <c r="V1230" s="52">
        <v>45406.0</v>
      </c>
      <c r="W1230" s="30"/>
      <c r="X1230" s="30"/>
      <c r="Y1230" s="31"/>
      <c r="Z1230" s="31"/>
      <c r="AA1230" s="78" t="s">
        <v>127</v>
      </c>
      <c r="AB1230" s="74" t="s">
        <v>4856</v>
      </c>
      <c r="AC1230" s="74"/>
    </row>
    <row r="1231" ht="16.5" customHeight="1">
      <c r="A1231" s="48" t="s">
        <v>4857</v>
      </c>
      <c r="B1231" s="53" t="s">
        <v>4352</v>
      </c>
      <c r="C1231" s="47">
        <v>34.0</v>
      </c>
      <c r="D1231" s="70" t="s">
        <v>4858</v>
      </c>
      <c r="E1231" s="55" t="s">
        <v>47</v>
      </c>
      <c r="F1231" s="32" t="s">
        <v>48</v>
      </c>
      <c r="G1231" s="32" t="s">
        <v>35</v>
      </c>
      <c r="H1231" s="71" t="s">
        <v>35</v>
      </c>
      <c r="I1231" s="71" t="s">
        <v>36</v>
      </c>
      <c r="J1231" s="34" t="s">
        <v>49</v>
      </c>
      <c r="K1231" s="57" t="s">
        <v>38</v>
      </c>
      <c r="L1231" s="72">
        <v>10688.0</v>
      </c>
      <c r="M1231" s="22"/>
      <c r="N1231" s="35" t="s">
        <v>4183</v>
      </c>
      <c r="O1231" s="28">
        <v>45406.62611111111</v>
      </c>
      <c r="P1231" s="35" t="s">
        <v>4840</v>
      </c>
      <c r="Q1231" s="12"/>
      <c r="R1231" s="12"/>
      <c r="S1231" s="12"/>
      <c r="T1231" s="52">
        <v>45401.0</v>
      </c>
      <c r="U1231" s="52">
        <v>45406.0</v>
      </c>
      <c r="V1231" s="52">
        <v>45406.0</v>
      </c>
      <c r="W1231" s="30"/>
      <c r="X1231" s="30"/>
      <c r="Y1231" s="31"/>
      <c r="Z1231" s="31"/>
      <c r="AA1231" s="78" t="s">
        <v>127</v>
      </c>
      <c r="AB1231" s="74" t="s">
        <v>4859</v>
      </c>
      <c r="AC1231" s="74"/>
    </row>
    <row r="1232" ht="16.5" customHeight="1">
      <c r="A1232" s="48" t="s">
        <v>4860</v>
      </c>
      <c r="B1232" s="53" t="s">
        <v>4352</v>
      </c>
      <c r="C1232" s="47">
        <v>34.0</v>
      </c>
      <c r="D1232" s="70" t="s">
        <v>4861</v>
      </c>
      <c r="E1232" s="55" t="s">
        <v>47</v>
      </c>
      <c r="F1232" s="32" t="s">
        <v>48</v>
      </c>
      <c r="G1232" s="32" t="s">
        <v>35</v>
      </c>
      <c r="H1232" s="71" t="s">
        <v>35</v>
      </c>
      <c r="I1232" s="71" t="s">
        <v>36</v>
      </c>
      <c r="J1232" s="34" t="s">
        <v>49</v>
      </c>
      <c r="K1232" s="57" t="s">
        <v>38</v>
      </c>
      <c r="L1232" s="72">
        <v>10688.0</v>
      </c>
      <c r="M1232" s="22"/>
      <c r="N1232" s="35" t="s">
        <v>4183</v>
      </c>
      <c r="O1232" s="28">
        <v>45406.62603009259</v>
      </c>
      <c r="P1232" s="35" t="s">
        <v>4840</v>
      </c>
      <c r="Q1232" s="12"/>
      <c r="R1232" s="12"/>
      <c r="S1232" s="12"/>
      <c r="T1232" s="52">
        <v>45401.0</v>
      </c>
      <c r="U1232" s="52">
        <v>45406.0</v>
      </c>
      <c r="V1232" s="52">
        <v>45406.0</v>
      </c>
      <c r="W1232" s="30"/>
      <c r="X1232" s="30"/>
      <c r="Y1232" s="31"/>
      <c r="Z1232" s="31"/>
      <c r="AA1232" s="78" t="s">
        <v>127</v>
      </c>
      <c r="AB1232" s="74" t="s">
        <v>4862</v>
      </c>
      <c r="AC1232" s="74"/>
    </row>
    <row r="1233" ht="16.5" customHeight="1">
      <c r="A1233" s="48" t="s">
        <v>4863</v>
      </c>
      <c r="B1233" s="53" t="s">
        <v>746</v>
      </c>
      <c r="C1233" s="47">
        <v>0.0</v>
      </c>
      <c r="D1233" s="70" t="s">
        <v>4864</v>
      </c>
      <c r="E1233" s="55" t="s">
        <v>3441</v>
      </c>
      <c r="F1233" s="32" t="s">
        <v>48</v>
      </c>
      <c r="G1233" s="32" t="s">
        <v>35</v>
      </c>
      <c r="H1233" s="71" t="s">
        <v>35</v>
      </c>
      <c r="I1233" s="71" t="s">
        <v>36</v>
      </c>
      <c r="J1233" s="34" t="s">
        <v>65</v>
      </c>
      <c r="K1233" s="57" t="s">
        <v>38</v>
      </c>
      <c r="L1233" s="72">
        <v>10825.0</v>
      </c>
      <c r="M1233" s="22" t="s">
        <v>50</v>
      </c>
      <c r="N1233" s="35" t="s">
        <v>3442</v>
      </c>
      <c r="O1233" s="28">
        <v>45435.724074074074</v>
      </c>
      <c r="P1233" s="35" t="s">
        <v>4865</v>
      </c>
      <c r="Q1233" s="12"/>
      <c r="R1233" s="12"/>
      <c r="S1233" s="12"/>
      <c r="T1233" s="52">
        <v>45401.0</v>
      </c>
      <c r="U1233" s="52">
        <v>45432.724074074074</v>
      </c>
      <c r="V1233" s="52">
        <v>45435.574953703705</v>
      </c>
      <c r="W1233" s="30"/>
      <c r="X1233" s="30"/>
      <c r="Y1233" s="31"/>
      <c r="Z1233" s="31"/>
      <c r="AA1233" s="78" t="s">
        <v>94</v>
      </c>
      <c r="AB1233" s="74" t="s">
        <v>4866</v>
      </c>
      <c r="AC1233" s="74"/>
    </row>
    <row r="1234" ht="16.5" customHeight="1">
      <c r="A1234" s="48" t="s">
        <v>4867</v>
      </c>
      <c r="B1234" s="53" t="s">
        <v>746</v>
      </c>
      <c r="C1234" s="47">
        <v>0.0</v>
      </c>
      <c r="D1234" s="70" t="s">
        <v>4868</v>
      </c>
      <c r="E1234" s="55" t="s">
        <v>3441</v>
      </c>
      <c r="F1234" s="32" t="s">
        <v>48</v>
      </c>
      <c r="G1234" s="32" t="s">
        <v>35</v>
      </c>
      <c r="H1234" s="71" t="s">
        <v>35</v>
      </c>
      <c r="I1234" s="71" t="s">
        <v>36</v>
      </c>
      <c r="J1234" s="34" t="s">
        <v>65</v>
      </c>
      <c r="K1234" s="57" t="s">
        <v>38</v>
      </c>
      <c r="L1234" s="72">
        <v>10825.0</v>
      </c>
      <c r="M1234" s="22" t="s">
        <v>50</v>
      </c>
      <c r="N1234" s="35" t="s">
        <v>3442</v>
      </c>
      <c r="O1234" s="28">
        <v>45435.72412037037</v>
      </c>
      <c r="P1234" s="35" t="s">
        <v>4865</v>
      </c>
      <c r="Q1234" s="12"/>
      <c r="R1234" s="12"/>
      <c r="S1234" s="12"/>
      <c r="T1234" s="52">
        <v>45401.0</v>
      </c>
      <c r="U1234" s="52">
        <v>45432.72412037037</v>
      </c>
      <c r="V1234" s="52">
        <v>45435.57496527778</v>
      </c>
      <c r="W1234" s="30"/>
      <c r="X1234" s="30"/>
      <c r="Y1234" s="31"/>
      <c r="Z1234" s="31"/>
      <c r="AA1234" s="78" t="s">
        <v>94</v>
      </c>
      <c r="AB1234" s="74" t="s">
        <v>4869</v>
      </c>
      <c r="AC1234" s="74"/>
    </row>
    <row r="1235" ht="16.5" customHeight="1">
      <c r="A1235" s="48" t="s">
        <v>4870</v>
      </c>
      <c r="B1235" s="53" t="s">
        <v>2138</v>
      </c>
      <c r="C1235" s="47">
        <v>27.0</v>
      </c>
      <c r="D1235" s="70" t="s">
        <v>4871</v>
      </c>
      <c r="E1235" s="55" t="s">
        <v>72</v>
      </c>
      <c r="F1235" s="32" t="s">
        <v>48</v>
      </c>
      <c r="G1235" s="32" t="s">
        <v>35</v>
      </c>
      <c r="H1235" s="71" t="s">
        <v>35</v>
      </c>
      <c r="I1235" s="71" t="s">
        <v>36</v>
      </c>
      <c r="J1235" s="34" t="s">
        <v>65</v>
      </c>
      <c r="K1235" s="57" t="s">
        <v>38</v>
      </c>
      <c r="L1235" s="72">
        <v>10680.0</v>
      </c>
      <c r="M1235" s="22"/>
      <c r="N1235" s="73"/>
      <c r="O1235" s="28">
        <v>45414.0</v>
      </c>
      <c r="P1235" s="35" t="s">
        <v>4872</v>
      </c>
      <c r="Q1235" s="12"/>
      <c r="R1235" s="12"/>
      <c r="S1235" s="12"/>
      <c r="T1235" s="52">
        <v>45401.0</v>
      </c>
      <c r="U1235" s="52">
        <v>45404.0</v>
      </c>
      <c r="V1235" s="52">
        <v>45414.0</v>
      </c>
      <c r="W1235" s="30"/>
      <c r="X1235" s="30"/>
      <c r="Y1235" s="31"/>
      <c r="Z1235" s="31"/>
      <c r="AA1235" s="78" t="s">
        <v>94</v>
      </c>
      <c r="AB1235" s="74" t="s">
        <v>4873</v>
      </c>
      <c r="AC1235" s="74"/>
    </row>
    <row r="1236" ht="16.5" customHeight="1">
      <c r="A1236" s="48" t="s">
        <v>4874</v>
      </c>
      <c r="B1236" s="53" t="s">
        <v>4875</v>
      </c>
      <c r="C1236" s="47">
        <v>0.0</v>
      </c>
      <c r="D1236" s="70" t="s">
        <v>4876</v>
      </c>
      <c r="E1236" s="55" t="s">
        <v>3441</v>
      </c>
      <c r="F1236" s="32" t="s">
        <v>48</v>
      </c>
      <c r="G1236" s="32" t="s">
        <v>35</v>
      </c>
      <c r="H1236" s="71" t="s">
        <v>35</v>
      </c>
      <c r="I1236" s="71" t="s">
        <v>36</v>
      </c>
      <c r="J1236" s="34" t="s">
        <v>65</v>
      </c>
      <c r="K1236" s="57" t="s">
        <v>38</v>
      </c>
      <c r="L1236" s="72">
        <v>10835.0</v>
      </c>
      <c r="M1236" s="22" t="s">
        <v>50</v>
      </c>
      <c r="N1236" s="35" t="s">
        <v>3442</v>
      </c>
      <c r="O1236" s="28">
        <v>45435.724224537036</v>
      </c>
      <c r="P1236" s="35" t="s">
        <v>4877</v>
      </c>
      <c r="Q1236" s="12"/>
      <c r="R1236" s="12"/>
      <c r="S1236" s="12"/>
      <c r="T1236" s="52">
        <v>45401.0</v>
      </c>
      <c r="U1236" s="52">
        <v>45432.724224537036</v>
      </c>
      <c r="V1236" s="52">
        <v>45435.57496527778</v>
      </c>
      <c r="W1236" s="30"/>
      <c r="X1236" s="30"/>
      <c r="Y1236" s="31"/>
      <c r="Z1236" s="31"/>
      <c r="AA1236" s="78" t="s">
        <v>94</v>
      </c>
      <c r="AB1236" s="74" t="s">
        <v>4878</v>
      </c>
      <c r="AC1236" s="74"/>
    </row>
    <row r="1237" ht="16.5" customHeight="1">
      <c r="A1237" s="48" t="s">
        <v>4879</v>
      </c>
      <c r="B1237" s="53" t="s">
        <v>4880</v>
      </c>
      <c r="C1237" s="47">
        <v>1.0</v>
      </c>
      <c r="D1237" s="70" t="s">
        <v>4881</v>
      </c>
      <c r="E1237" s="55" t="s">
        <v>3395</v>
      </c>
      <c r="F1237" s="32" t="s">
        <v>48</v>
      </c>
      <c r="G1237" s="32" t="s">
        <v>35</v>
      </c>
      <c r="H1237" s="71" t="s">
        <v>35</v>
      </c>
      <c r="I1237" s="71" t="s">
        <v>36</v>
      </c>
      <c r="J1237" s="34" t="s">
        <v>65</v>
      </c>
      <c r="K1237" s="57" t="s">
        <v>38</v>
      </c>
      <c r="L1237" s="72">
        <v>10674.0</v>
      </c>
      <c r="M1237" s="22"/>
      <c r="N1237" s="35" t="s">
        <v>4518</v>
      </c>
      <c r="O1237" s="28">
        <v>45406.65230324074</v>
      </c>
      <c r="P1237" s="35" t="s">
        <v>4882</v>
      </c>
      <c r="Q1237" s="12"/>
      <c r="R1237" s="12"/>
      <c r="S1237" s="12"/>
      <c r="T1237" s="52">
        <v>45401.0</v>
      </c>
      <c r="U1237" s="52">
        <v>45404.0</v>
      </c>
      <c r="V1237" s="52">
        <v>45404.0</v>
      </c>
      <c r="W1237" s="30"/>
      <c r="X1237" s="30"/>
      <c r="Y1237" s="31"/>
      <c r="Z1237" s="31"/>
      <c r="AA1237" s="78" t="s">
        <v>120</v>
      </c>
      <c r="AB1237" s="74" t="s">
        <v>4883</v>
      </c>
      <c r="AC1237" s="74"/>
    </row>
    <row r="1238" ht="16.5" customHeight="1">
      <c r="A1238" s="48" t="s">
        <v>4884</v>
      </c>
      <c r="B1238" s="53" t="s">
        <v>4885</v>
      </c>
      <c r="C1238" s="47">
        <v>137.0</v>
      </c>
      <c r="D1238" s="70" t="s">
        <v>4886</v>
      </c>
      <c r="E1238" s="55" t="s">
        <v>85</v>
      </c>
      <c r="F1238" s="32" t="s">
        <v>48</v>
      </c>
      <c r="G1238" s="32" t="s">
        <v>35</v>
      </c>
      <c r="H1238" s="71" t="s">
        <v>35</v>
      </c>
      <c r="I1238" s="71" t="s">
        <v>36</v>
      </c>
      <c r="J1238" s="34" t="s">
        <v>718</v>
      </c>
      <c r="K1238" s="57" t="s">
        <v>38</v>
      </c>
      <c r="L1238" s="72">
        <v>10684.0</v>
      </c>
      <c r="M1238" s="22"/>
      <c r="N1238" s="35" t="s">
        <v>4887</v>
      </c>
      <c r="O1238" s="28">
        <v>45411.47409722222</v>
      </c>
      <c r="P1238" s="35" t="s">
        <v>4888</v>
      </c>
      <c r="Q1238" s="12"/>
      <c r="R1238" s="12"/>
      <c r="S1238" s="12"/>
      <c r="T1238" s="52">
        <v>45401.0</v>
      </c>
      <c r="U1238" s="52">
        <v>45404.0</v>
      </c>
      <c r="V1238" s="52">
        <v>45404.0</v>
      </c>
      <c r="W1238" s="30"/>
      <c r="X1238" s="30"/>
      <c r="Y1238" s="31"/>
      <c r="Z1238" s="31"/>
      <c r="AA1238" s="78" t="s">
        <v>120</v>
      </c>
      <c r="AB1238" s="74" t="s">
        <v>4889</v>
      </c>
      <c r="AC1238" s="74"/>
    </row>
    <row r="1239" ht="16.5" customHeight="1">
      <c r="A1239" s="48" t="s">
        <v>4890</v>
      </c>
      <c r="B1239" s="53" t="s">
        <v>4885</v>
      </c>
      <c r="C1239" s="47">
        <v>137.0</v>
      </c>
      <c r="D1239" s="70" t="s">
        <v>4891</v>
      </c>
      <c r="E1239" s="55" t="s">
        <v>85</v>
      </c>
      <c r="F1239" s="32" t="s">
        <v>48</v>
      </c>
      <c r="G1239" s="32" t="s">
        <v>35</v>
      </c>
      <c r="H1239" s="71" t="s">
        <v>35</v>
      </c>
      <c r="I1239" s="71" t="s">
        <v>36</v>
      </c>
      <c r="J1239" s="34" t="s">
        <v>718</v>
      </c>
      <c r="K1239" s="57" t="s">
        <v>38</v>
      </c>
      <c r="L1239" s="72">
        <v>10684.0</v>
      </c>
      <c r="M1239" s="22"/>
      <c r="N1239" s="35" t="s">
        <v>4887</v>
      </c>
      <c r="O1239" s="28">
        <v>45411.47414351852</v>
      </c>
      <c r="P1239" s="35" t="s">
        <v>4888</v>
      </c>
      <c r="Q1239" s="12"/>
      <c r="R1239" s="12"/>
      <c r="S1239" s="12"/>
      <c r="T1239" s="52">
        <v>45401.0</v>
      </c>
      <c r="U1239" s="52">
        <v>45404.0</v>
      </c>
      <c r="V1239" s="52">
        <v>45404.0</v>
      </c>
      <c r="W1239" s="30"/>
      <c r="X1239" s="30"/>
      <c r="Y1239" s="31"/>
      <c r="Z1239" s="31"/>
      <c r="AA1239" s="78" t="s">
        <v>120</v>
      </c>
      <c r="AB1239" s="74" t="s">
        <v>4892</v>
      </c>
      <c r="AC1239" s="74"/>
    </row>
    <row r="1240" ht="16.5" customHeight="1">
      <c r="A1240" s="48" t="s">
        <v>4893</v>
      </c>
      <c r="B1240" s="53" t="s">
        <v>4885</v>
      </c>
      <c r="C1240" s="47">
        <v>1.0</v>
      </c>
      <c r="D1240" s="70" t="s">
        <v>4894</v>
      </c>
      <c r="E1240" s="55" t="s">
        <v>3395</v>
      </c>
      <c r="F1240" s="32" t="s">
        <v>48</v>
      </c>
      <c r="G1240" s="32" t="s">
        <v>35</v>
      </c>
      <c r="H1240" s="71" t="s">
        <v>35</v>
      </c>
      <c r="I1240" s="71" t="s">
        <v>36</v>
      </c>
      <c r="J1240" s="34" t="s">
        <v>718</v>
      </c>
      <c r="K1240" s="57" t="s">
        <v>38</v>
      </c>
      <c r="L1240" s="72">
        <v>10685.0</v>
      </c>
      <c r="M1240" s="22"/>
      <c r="N1240" s="35" t="s">
        <v>4887</v>
      </c>
      <c r="O1240" s="28">
        <v>45411.47420138889</v>
      </c>
      <c r="P1240" s="35" t="s">
        <v>4895</v>
      </c>
      <c r="Q1240" s="12"/>
      <c r="R1240" s="12"/>
      <c r="S1240" s="12"/>
      <c r="T1240" s="52">
        <v>45401.0</v>
      </c>
      <c r="U1240" s="52">
        <v>45404.0</v>
      </c>
      <c r="V1240" s="52">
        <v>45404.0</v>
      </c>
      <c r="W1240" s="30"/>
      <c r="X1240" s="30"/>
      <c r="Y1240" s="31"/>
      <c r="Z1240" s="31"/>
      <c r="AA1240" s="78" t="s">
        <v>120</v>
      </c>
      <c r="AB1240" s="74" t="s">
        <v>4896</v>
      </c>
      <c r="AC1240" s="74"/>
    </row>
    <row r="1241" ht="16.5" customHeight="1">
      <c r="A1241" s="48" t="s">
        <v>4897</v>
      </c>
      <c r="B1241" s="53" t="s">
        <v>4885</v>
      </c>
      <c r="C1241" s="47">
        <v>1.0</v>
      </c>
      <c r="D1241" s="70" t="s">
        <v>4898</v>
      </c>
      <c r="E1241" s="55" t="s">
        <v>3395</v>
      </c>
      <c r="F1241" s="32" t="s">
        <v>48</v>
      </c>
      <c r="G1241" s="32" t="s">
        <v>35</v>
      </c>
      <c r="H1241" s="71" t="s">
        <v>35</v>
      </c>
      <c r="I1241" s="71" t="s">
        <v>36</v>
      </c>
      <c r="J1241" s="34" t="s">
        <v>718</v>
      </c>
      <c r="K1241" s="57" t="s">
        <v>38</v>
      </c>
      <c r="L1241" s="72">
        <v>10685.0</v>
      </c>
      <c r="M1241" s="22"/>
      <c r="N1241" s="35" t="s">
        <v>4887</v>
      </c>
      <c r="O1241" s="28">
        <v>45411.47424768518</v>
      </c>
      <c r="P1241" s="35" t="s">
        <v>4895</v>
      </c>
      <c r="Q1241" s="12"/>
      <c r="R1241" s="12"/>
      <c r="S1241" s="12"/>
      <c r="T1241" s="52">
        <v>45401.0</v>
      </c>
      <c r="U1241" s="52">
        <v>45404.0</v>
      </c>
      <c r="V1241" s="52">
        <v>45404.0</v>
      </c>
      <c r="W1241" s="30"/>
      <c r="X1241" s="30"/>
      <c r="Y1241" s="31"/>
      <c r="Z1241" s="31"/>
      <c r="AA1241" s="78" t="s">
        <v>120</v>
      </c>
      <c r="AB1241" s="74" t="s">
        <v>4899</v>
      </c>
      <c r="AC1241" s="74"/>
    </row>
    <row r="1242" ht="16.5" customHeight="1">
      <c r="A1242" s="48" t="s">
        <v>4900</v>
      </c>
      <c r="B1242" s="53" t="s">
        <v>4901</v>
      </c>
      <c r="C1242" s="47">
        <v>90.0</v>
      </c>
      <c r="D1242" s="70" t="s">
        <v>4902</v>
      </c>
      <c r="E1242" s="55" t="s">
        <v>91</v>
      </c>
      <c r="F1242" s="32" t="s">
        <v>48</v>
      </c>
      <c r="G1242" s="32" t="s">
        <v>35</v>
      </c>
      <c r="H1242" s="71" t="s">
        <v>35</v>
      </c>
      <c r="I1242" s="71" t="s">
        <v>36</v>
      </c>
      <c r="J1242" s="34" t="s">
        <v>37</v>
      </c>
      <c r="K1242" s="57" t="s">
        <v>38</v>
      </c>
      <c r="L1242" s="72">
        <v>10686.0</v>
      </c>
      <c r="M1242" s="22"/>
      <c r="N1242" s="35" t="s">
        <v>41</v>
      </c>
      <c r="O1242" s="28">
        <v>45405.584178240744</v>
      </c>
      <c r="P1242" s="35" t="s">
        <v>4903</v>
      </c>
      <c r="Q1242" s="12"/>
      <c r="R1242" s="12"/>
      <c r="S1242" s="12"/>
      <c r="T1242" s="52">
        <v>45401.0</v>
      </c>
      <c r="U1242" s="52">
        <v>45404.0</v>
      </c>
      <c r="V1242" s="52">
        <v>45404.0</v>
      </c>
      <c r="W1242" s="30"/>
      <c r="X1242" s="30"/>
      <c r="Y1242" s="31"/>
      <c r="Z1242" s="31"/>
      <c r="AA1242" s="78" t="s">
        <v>4904</v>
      </c>
      <c r="AB1242" s="74" t="s">
        <v>4905</v>
      </c>
      <c r="AC1242" s="74"/>
    </row>
    <row r="1243" ht="16.5" customHeight="1">
      <c r="A1243" s="48" t="s">
        <v>4906</v>
      </c>
      <c r="B1243" s="53" t="s">
        <v>896</v>
      </c>
      <c r="C1243" s="47">
        <v>0.0</v>
      </c>
      <c r="D1243" s="70" t="s">
        <v>4907</v>
      </c>
      <c r="E1243" s="55" t="s">
        <v>1911</v>
      </c>
      <c r="F1243" s="32" t="s">
        <v>244</v>
      </c>
      <c r="G1243" s="32" t="s">
        <v>35</v>
      </c>
      <c r="H1243" s="71" t="s">
        <v>35</v>
      </c>
      <c r="I1243" s="71" t="s">
        <v>36</v>
      </c>
      <c r="J1243" s="34" t="s">
        <v>65</v>
      </c>
      <c r="K1243" s="57" t="s">
        <v>38</v>
      </c>
      <c r="L1243" s="72">
        <v>10693.0</v>
      </c>
      <c r="M1243" s="22"/>
      <c r="N1243" s="35" t="s">
        <v>4908</v>
      </c>
      <c r="O1243" s="28">
        <v>45407.686585648145</v>
      </c>
      <c r="P1243" s="35" t="s">
        <v>4909</v>
      </c>
      <c r="Q1243" s="12"/>
      <c r="R1243" s="12"/>
      <c r="S1243" s="12"/>
      <c r="T1243" s="52">
        <v>45401.0</v>
      </c>
      <c r="U1243" s="52">
        <v>45404.0</v>
      </c>
      <c r="V1243" s="52">
        <v>45407.0</v>
      </c>
      <c r="W1243" s="30"/>
      <c r="X1243" s="30"/>
      <c r="Y1243" s="31"/>
      <c r="Z1243" s="31"/>
      <c r="AA1243" s="78" t="s">
        <v>94</v>
      </c>
      <c r="AB1243" s="74" t="s">
        <v>4910</v>
      </c>
      <c r="AC1243" s="74"/>
    </row>
    <row r="1244" ht="16.5" customHeight="1">
      <c r="A1244" s="48" t="s">
        <v>4911</v>
      </c>
      <c r="B1244" s="53" t="s">
        <v>4912</v>
      </c>
      <c r="C1244" s="47">
        <v>90.0</v>
      </c>
      <c r="D1244" s="70" t="s">
        <v>4913</v>
      </c>
      <c r="E1244" s="55" t="s">
        <v>91</v>
      </c>
      <c r="F1244" s="32" t="s">
        <v>48</v>
      </c>
      <c r="G1244" s="32" t="s">
        <v>35</v>
      </c>
      <c r="H1244" s="71" t="s">
        <v>35</v>
      </c>
      <c r="I1244" s="71" t="s">
        <v>36</v>
      </c>
      <c r="J1244" s="34" t="s">
        <v>65</v>
      </c>
      <c r="K1244" s="57" t="s">
        <v>38</v>
      </c>
      <c r="L1244" s="72">
        <v>10696.0</v>
      </c>
      <c r="M1244" s="22"/>
      <c r="N1244" s="73"/>
      <c r="O1244" s="28">
        <v>45414.0</v>
      </c>
      <c r="P1244" s="35" t="s">
        <v>4914</v>
      </c>
      <c r="Q1244" s="12"/>
      <c r="R1244" s="12"/>
      <c r="S1244" s="12"/>
      <c r="T1244" s="52">
        <v>45404.0</v>
      </c>
      <c r="U1244" s="52">
        <v>45404.0</v>
      </c>
      <c r="V1244" s="52">
        <v>45414.0</v>
      </c>
      <c r="W1244" s="30"/>
      <c r="X1244" s="30"/>
      <c r="Y1244" s="31"/>
      <c r="Z1244" s="31"/>
      <c r="AA1244" s="78" t="s">
        <v>94</v>
      </c>
      <c r="AB1244" s="74" t="s">
        <v>4915</v>
      </c>
      <c r="AC1244" s="74"/>
    </row>
    <row r="1245" ht="16.5" customHeight="1">
      <c r="A1245" s="48" t="s">
        <v>4916</v>
      </c>
      <c r="B1245" s="53" t="s">
        <v>4917</v>
      </c>
      <c r="C1245" s="47">
        <v>90.0</v>
      </c>
      <c r="D1245" s="70" t="s">
        <v>4918</v>
      </c>
      <c r="E1245" s="55" t="s">
        <v>91</v>
      </c>
      <c r="F1245" s="32" t="s">
        <v>48</v>
      </c>
      <c r="G1245" s="32" t="s">
        <v>35</v>
      </c>
      <c r="H1245" s="71" t="s">
        <v>35</v>
      </c>
      <c r="I1245" s="71" t="s">
        <v>36</v>
      </c>
      <c r="J1245" s="34" t="s">
        <v>65</v>
      </c>
      <c r="K1245" s="57" t="s">
        <v>38</v>
      </c>
      <c r="L1245" s="72">
        <v>15151.0</v>
      </c>
      <c r="M1245" s="22"/>
      <c r="N1245" s="73"/>
      <c r="O1245" s="28">
        <v>45432.0</v>
      </c>
      <c r="P1245" s="35" t="s">
        <v>4919</v>
      </c>
      <c r="Q1245" s="12"/>
      <c r="R1245" s="12"/>
      <c r="S1245" s="12"/>
      <c r="T1245" s="52">
        <v>45405.0</v>
      </c>
      <c r="U1245" s="52">
        <v>45432.0</v>
      </c>
      <c r="V1245" s="52">
        <v>45432.0</v>
      </c>
      <c r="W1245" s="30"/>
      <c r="X1245" s="30"/>
      <c r="Y1245" s="31"/>
      <c r="Z1245" s="31"/>
      <c r="AA1245" s="78" t="s">
        <v>94</v>
      </c>
      <c r="AB1245" s="74" t="s">
        <v>4920</v>
      </c>
      <c r="AC1245" s="74"/>
    </row>
    <row r="1246" ht="16.5" customHeight="1">
      <c r="A1246" s="48" t="s">
        <v>4921</v>
      </c>
      <c r="B1246" s="53" t="s">
        <v>4187</v>
      </c>
      <c r="C1246" s="47">
        <v>90.0</v>
      </c>
      <c r="D1246" s="70" t="s">
        <v>4922</v>
      </c>
      <c r="E1246" s="55" t="s">
        <v>91</v>
      </c>
      <c r="F1246" s="32" t="s">
        <v>48</v>
      </c>
      <c r="G1246" s="32" t="s">
        <v>35</v>
      </c>
      <c r="H1246" s="71" t="s">
        <v>35</v>
      </c>
      <c r="I1246" s="71" t="s">
        <v>36</v>
      </c>
      <c r="J1246" s="34" t="s">
        <v>65</v>
      </c>
      <c r="K1246" s="57" t="s">
        <v>38</v>
      </c>
      <c r="L1246" s="72">
        <v>10700.0</v>
      </c>
      <c r="M1246" s="22" t="s">
        <v>50</v>
      </c>
      <c r="N1246" s="35" t="s">
        <v>4908</v>
      </c>
      <c r="O1246" s="28">
        <v>45407.68664351852</v>
      </c>
      <c r="P1246" s="35" t="s">
        <v>4923</v>
      </c>
      <c r="Q1246" s="12"/>
      <c r="R1246" s="12"/>
      <c r="S1246" s="12"/>
      <c r="T1246" s="52">
        <v>45405.0</v>
      </c>
      <c r="U1246" s="52">
        <v>45406.0</v>
      </c>
      <c r="V1246" s="52">
        <v>45407.50649305555</v>
      </c>
      <c r="W1246" s="30"/>
      <c r="X1246" s="30"/>
      <c r="Y1246" s="31"/>
      <c r="Z1246" s="31"/>
      <c r="AA1246" s="78" t="s">
        <v>94</v>
      </c>
      <c r="AB1246" s="74" t="s">
        <v>4924</v>
      </c>
      <c r="AC1246" s="74"/>
    </row>
    <row r="1247" ht="16.5" customHeight="1">
      <c r="A1247" s="48" t="s">
        <v>4925</v>
      </c>
      <c r="B1247" s="53" t="s">
        <v>4187</v>
      </c>
      <c r="C1247" s="47">
        <v>11.0</v>
      </c>
      <c r="D1247" s="70" t="s">
        <v>4926</v>
      </c>
      <c r="E1247" s="55" t="s">
        <v>112</v>
      </c>
      <c r="F1247" s="32" t="s">
        <v>48</v>
      </c>
      <c r="G1247" s="32" t="s">
        <v>35</v>
      </c>
      <c r="H1247" s="71" t="s">
        <v>35</v>
      </c>
      <c r="I1247" s="71" t="s">
        <v>36</v>
      </c>
      <c r="J1247" s="34" t="s">
        <v>65</v>
      </c>
      <c r="K1247" s="57" t="s">
        <v>38</v>
      </c>
      <c r="L1247" s="72">
        <v>10700.0</v>
      </c>
      <c r="M1247" s="22" t="s">
        <v>50</v>
      </c>
      <c r="N1247" s="35" t="s">
        <v>4908</v>
      </c>
      <c r="O1247" s="28">
        <v>45407.68670138889</v>
      </c>
      <c r="P1247" s="35" t="s">
        <v>4923</v>
      </c>
      <c r="Q1247" s="12"/>
      <c r="R1247" s="12"/>
      <c r="S1247" s="12"/>
      <c r="T1247" s="52">
        <v>45405.0</v>
      </c>
      <c r="U1247" s="52">
        <v>45406.0</v>
      </c>
      <c r="V1247" s="52">
        <v>45407.50672453704</v>
      </c>
      <c r="W1247" s="30"/>
      <c r="X1247" s="30"/>
      <c r="Y1247" s="31"/>
      <c r="Z1247" s="31"/>
      <c r="AA1247" s="78" t="s">
        <v>94</v>
      </c>
      <c r="AB1247" s="74" t="s">
        <v>4927</v>
      </c>
      <c r="AC1247" s="74"/>
    </row>
    <row r="1248" ht="16.5" customHeight="1">
      <c r="A1248" s="48" t="s">
        <v>4928</v>
      </c>
      <c r="B1248" s="53" t="s">
        <v>4187</v>
      </c>
      <c r="C1248" s="47">
        <v>137.0</v>
      </c>
      <c r="D1248" s="70" t="s">
        <v>4929</v>
      </c>
      <c r="E1248" s="55" t="s">
        <v>85</v>
      </c>
      <c r="F1248" s="32" t="s">
        <v>48</v>
      </c>
      <c r="G1248" s="32" t="s">
        <v>35</v>
      </c>
      <c r="H1248" s="71" t="s">
        <v>35</v>
      </c>
      <c r="I1248" s="71" t="s">
        <v>36</v>
      </c>
      <c r="J1248" s="34" t="s">
        <v>65</v>
      </c>
      <c r="K1248" s="57" t="s">
        <v>38</v>
      </c>
      <c r="L1248" s="72">
        <v>10700.0</v>
      </c>
      <c r="M1248" s="22" t="s">
        <v>50</v>
      </c>
      <c r="N1248" s="35" t="s">
        <v>4908</v>
      </c>
      <c r="O1248" s="28">
        <v>45407.68675925926</v>
      </c>
      <c r="P1248" s="35" t="s">
        <v>4923</v>
      </c>
      <c r="Q1248" s="12"/>
      <c r="R1248" s="12"/>
      <c r="S1248" s="12"/>
      <c r="T1248" s="52">
        <v>45405.0</v>
      </c>
      <c r="U1248" s="52">
        <v>45406.0</v>
      </c>
      <c r="V1248" s="52">
        <v>45407.50707175926</v>
      </c>
      <c r="W1248" s="30"/>
      <c r="X1248" s="30"/>
      <c r="Y1248" s="31"/>
      <c r="Z1248" s="31"/>
      <c r="AA1248" s="78" t="s">
        <v>94</v>
      </c>
      <c r="AB1248" s="74" t="s">
        <v>4930</v>
      </c>
      <c r="AC1248" s="74"/>
    </row>
    <row r="1249" ht="16.5" customHeight="1">
      <c r="A1249" s="48" t="s">
        <v>4931</v>
      </c>
      <c r="B1249" s="53" t="s">
        <v>4187</v>
      </c>
      <c r="C1249" s="47">
        <v>137.0</v>
      </c>
      <c r="D1249" s="70" t="s">
        <v>4932</v>
      </c>
      <c r="E1249" s="55" t="s">
        <v>85</v>
      </c>
      <c r="F1249" s="32" t="s">
        <v>48</v>
      </c>
      <c r="G1249" s="32" t="s">
        <v>35</v>
      </c>
      <c r="H1249" s="71" t="s">
        <v>35</v>
      </c>
      <c r="I1249" s="71" t="s">
        <v>36</v>
      </c>
      <c r="J1249" s="34" t="s">
        <v>65</v>
      </c>
      <c r="K1249" s="57" t="s">
        <v>38</v>
      </c>
      <c r="L1249" s="72">
        <v>10700.0</v>
      </c>
      <c r="M1249" s="22" t="s">
        <v>50</v>
      </c>
      <c r="N1249" s="35" t="s">
        <v>4908</v>
      </c>
      <c r="O1249" s="28">
        <v>45407.68681712963</v>
      </c>
      <c r="P1249" s="35" t="s">
        <v>4923</v>
      </c>
      <c r="Q1249" s="12"/>
      <c r="R1249" s="12"/>
      <c r="S1249" s="12"/>
      <c r="T1249" s="52">
        <v>45405.0</v>
      </c>
      <c r="U1249" s="52">
        <v>45406.0</v>
      </c>
      <c r="V1249" s="52">
        <v>45407.50729166667</v>
      </c>
      <c r="W1249" s="30"/>
      <c r="X1249" s="30"/>
      <c r="Y1249" s="31"/>
      <c r="Z1249" s="31"/>
      <c r="AA1249" s="78" t="s">
        <v>94</v>
      </c>
      <c r="AB1249" s="74" t="s">
        <v>4933</v>
      </c>
      <c r="AC1249" s="74"/>
    </row>
    <row r="1250" ht="16.5" customHeight="1">
      <c r="A1250" s="48" t="s">
        <v>4934</v>
      </c>
      <c r="B1250" s="53" t="s">
        <v>4187</v>
      </c>
      <c r="C1250" s="47">
        <v>137.0</v>
      </c>
      <c r="D1250" s="70" t="s">
        <v>4935</v>
      </c>
      <c r="E1250" s="55" t="s">
        <v>85</v>
      </c>
      <c r="F1250" s="32" t="s">
        <v>48</v>
      </c>
      <c r="G1250" s="32" t="s">
        <v>35</v>
      </c>
      <c r="H1250" s="71" t="s">
        <v>35</v>
      </c>
      <c r="I1250" s="71" t="s">
        <v>36</v>
      </c>
      <c r="J1250" s="34" t="s">
        <v>65</v>
      </c>
      <c r="K1250" s="57" t="s">
        <v>38</v>
      </c>
      <c r="L1250" s="72">
        <v>10700.0</v>
      </c>
      <c r="M1250" s="22" t="s">
        <v>50</v>
      </c>
      <c r="N1250" s="35" t="s">
        <v>4908</v>
      </c>
      <c r="O1250" s="28">
        <v>45407.686886574076</v>
      </c>
      <c r="P1250" s="35" t="s">
        <v>4923</v>
      </c>
      <c r="Q1250" s="12"/>
      <c r="R1250" s="12"/>
      <c r="S1250" s="12"/>
      <c r="T1250" s="52">
        <v>45405.0</v>
      </c>
      <c r="U1250" s="52">
        <v>45406.0</v>
      </c>
      <c r="V1250" s="52">
        <v>45407.50748842592</v>
      </c>
      <c r="W1250" s="30"/>
      <c r="X1250" s="30"/>
      <c r="Y1250" s="31"/>
      <c r="Z1250" s="31"/>
      <c r="AA1250" s="78" t="s">
        <v>94</v>
      </c>
      <c r="AB1250" s="74" t="s">
        <v>4936</v>
      </c>
      <c r="AC1250" s="74"/>
    </row>
    <row r="1251" ht="16.5" customHeight="1">
      <c r="A1251" s="48" t="s">
        <v>4937</v>
      </c>
      <c r="B1251" s="53" t="s">
        <v>4187</v>
      </c>
      <c r="C1251" s="47">
        <v>137.0</v>
      </c>
      <c r="D1251" s="70" t="s">
        <v>4938</v>
      </c>
      <c r="E1251" s="55" t="s">
        <v>85</v>
      </c>
      <c r="F1251" s="32" t="s">
        <v>48</v>
      </c>
      <c r="G1251" s="32" t="s">
        <v>35</v>
      </c>
      <c r="H1251" s="71" t="s">
        <v>35</v>
      </c>
      <c r="I1251" s="71" t="s">
        <v>36</v>
      </c>
      <c r="J1251" s="34" t="s">
        <v>65</v>
      </c>
      <c r="K1251" s="57" t="s">
        <v>38</v>
      </c>
      <c r="L1251" s="72">
        <v>10700.0</v>
      </c>
      <c r="M1251" s="22" t="s">
        <v>50</v>
      </c>
      <c r="N1251" s="35" t="s">
        <v>4908</v>
      </c>
      <c r="O1251" s="28">
        <v>45407.686944444446</v>
      </c>
      <c r="P1251" s="35" t="s">
        <v>4923</v>
      </c>
      <c r="Q1251" s="12"/>
      <c r="R1251" s="12"/>
      <c r="S1251" s="12"/>
      <c r="T1251" s="52">
        <v>45405.0</v>
      </c>
      <c r="U1251" s="52">
        <v>45406.0</v>
      </c>
      <c r="V1251" s="52">
        <v>45407.50769675926</v>
      </c>
      <c r="W1251" s="30"/>
      <c r="X1251" s="30"/>
      <c r="Y1251" s="31"/>
      <c r="Z1251" s="31"/>
      <c r="AA1251" s="78" t="s">
        <v>94</v>
      </c>
      <c r="AB1251" s="74" t="s">
        <v>4939</v>
      </c>
      <c r="AC1251" s="74"/>
    </row>
    <row r="1252" ht="16.5" customHeight="1">
      <c r="A1252" s="48" t="s">
        <v>4940</v>
      </c>
      <c r="B1252" s="53" t="s">
        <v>4941</v>
      </c>
      <c r="C1252" s="47">
        <v>0.0</v>
      </c>
      <c r="D1252" s="70" t="s">
        <v>4942</v>
      </c>
      <c r="E1252" s="55" t="s">
        <v>243</v>
      </c>
      <c r="F1252" s="32" t="s">
        <v>244</v>
      </c>
      <c r="G1252" s="32" t="s">
        <v>35</v>
      </c>
      <c r="H1252" s="71" t="s">
        <v>35</v>
      </c>
      <c r="I1252" s="71" t="s">
        <v>36</v>
      </c>
      <c r="J1252" s="34" t="s">
        <v>420</v>
      </c>
      <c r="K1252" s="57" t="s">
        <v>38</v>
      </c>
      <c r="L1252" s="72">
        <v>10725.0</v>
      </c>
      <c r="M1252" s="22" t="s">
        <v>40</v>
      </c>
      <c r="N1252" s="35" t="s">
        <v>4031</v>
      </c>
      <c r="O1252" s="28">
        <v>45415.56715277778</v>
      </c>
      <c r="P1252" s="35" t="s">
        <v>4943</v>
      </c>
      <c r="Q1252" s="12"/>
      <c r="R1252" s="12"/>
      <c r="S1252" s="12"/>
      <c r="T1252" s="52">
        <v>45405.0</v>
      </c>
      <c r="U1252" s="52">
        <v>45406.0</v>
      </c>
      <c r="V1252" s="52">
        <v>45412.0</v>
      </c>
      <c r="W1252" s="30"/>
      <c r="X1252" s="30"/>
      <c r="Y1252" s="31"/>
      <c r="Z1252" s="31"/>
      <c r="AA1252" s="78" t="s">
        <v>94</v>
      </c>
      <c r="AB1252" s="74" t="s">
        <v>4944</v>
      </c>
      <c r="AC1252" s="74"/>
    </row>
    <row r="1253" ht="16.5" customHeight="1">
      <c r="A1253" s="48" t="s">
        <v>4945</v>
      </c>
      <c r="B1253" s="53" t="s">
        <v>4941</v>
      </c>
      <c r="C1253" s="47">
        <v>0.0</v>
      </c>
      <c r="D1253" s="70" t="s">
        <v>4946</v>
      </c>
      <c r="E1253" s="55" t="s">
        <v>243</v>
      </c>
      <c r="F1253" s="32" t="s">
        <v>244</v>
      </c>
      <c r="G1253" s="32" t="s">
        <v>35</v>
      </c>
      <c r="H1253" s="71" t="s">
        <v>35</v>
      </c>
      <c r="I1253" s="71" t="s">
        <v>36</v>
      </c>
      <c r="J1253" s="34" t="s">
        <v>420</v>
      </c>
      <c r="K1253" s="57" t="s">
        <v>38</v>
      </c>
      <c r="L1253" s="72">
        <v>10725.0</v>
      </c>
      <c r="M1253" s="22" t="s">
        <v>40</v>
      </c>
      <c r="N1253" s="35" t="s">
        <v>4031</v>
      </c>
      <c r="O1253" s="28">
        <v>45415.56726851852</v>
      </c>
      <c r="P1253" s="35" t="s">
        <v>4943</v>
      </c>
      <c r="Q1253" s="12"/>
      <c r="R1253" s="12"/>
      <c r="S1253" s="12"/>
      <c r="T1253" s="52">
        <v>45405.0</v>
      </c>
      <c r="U1253" s="52">
        <v>45406.0</v>
      </c>
      <c r="V1253" s="52">
        <v>45412.0</v>
      </c>
      <c r="W1253" s="30"/>
      <c r="X1253" s="30"/>
      <c r="Y1253" s="31"/>
      <c r="Z1253" s="31"/>
      <c r="AA1253" s="78" t="s">
        <v>94</v>
      </c>
      <c r="AB1253" s="74" t="s">
        <v>4947</v>
      </c>
      <c r="AC1253" s="74"/>
    </row>
    <row r="1254" ht="16.5" customHeight="1">
      <c r="A1254" s="48" t="s">
        <v>4948</v>
      </c>
      <c r="B1254" s="53" t="s">
        <v>4941</v>
      </c>
      <c r="C1254" s="47">
        <v>0.0</v>
      </c>
      <c r="D1254" s="70" t="s">
        <v>4949</v>
      </c>
      <c r="E1254" s="55" t="s">
        <v>243</v>
      </c>
      <c r="F1254" s="32" t="s">
        <v>244</v>
      </c>
      <c r="G1254" s="32" t="s">
        <v>35</v>
      </c>
      <c r="H1254" s="71" t="s">
        <v>35</v>
      </c>
      <c r="I1254" s="71" t="s">
        <v>36</v>
      </c>
      <c r="J1254" s="34" t="s">
        <v>420</v>
      </c>
      <c r="K1254" s="57" t="s">
        <v>38</v>
      </c>
      <c r="L1254" s="72">
        <v>10725.0</v>
      </c>
      <c r="M1254" s="22" t="s">
        <v>40</v>
      </c>
      <c r="N1254" s="35" t="s">
        <v>4031</v>
      </c>
      <c r="O1254" s="28">
        <v>45415.56736111111</v>
      </c>
      <c r="P1254" s="35" t="s">
        <v>4943</v>
      </c>
      <c r="Q1254" s="12"/>
      <c r="R1254" s="12"/>
      <c r="S1254" s="12"/>
      <c r="T1254" s="52">
        <v>45405.0</v>
      </c>
      <c r="U1254" s="52">
        <v>45406.0</v>
      </c>
      <c r="V1254" s="52">
        <v>45412.0</v>
      </c>
      <c r="W1254" s="30"/>
      <c r="X1254" s="30"/>
      <c r="Y1254" s="31"/>
      <c r="Z1254" s="31"/>
      <c r="AA1254" s="78" t="s">
        <v>94</v>
      </c>
      <c r="AB1254" s="74" t="s">
        <v>4950</v>
      </c>
      <c r="AC1254" s="74"/>
    </row>
    <row r="1255" ht="16.5" customHeight="1">
      <c r="A1255" s="48" t="s">
        <v>4951</v>
      </c>
      <c r="B1255" s="53" t="s">
        <v>4952</v>
      </c>
      <c r="C1255" s="47">
        <v>0.0</v>
      </c>
      <c r="D1255" s="70" t="s">
        <v>4953</v>
      </c>
      <c r="E1255" s="55" t="s">
        <v>550</v>
      </c>
      <c r="F1255" s="32" t="s">
        <v>33</v>
      </c>
      <c r="G1255" s="32" t="s">
        <v>35</v>
      </c>
      <c r="H1255" s="71" t="s">
        <v>35</v>
      </c>
      <c r="I1255" s="71" t="s">
        <v>36</v>
      </c>
      <c r="J1255" s="34" t="s">
        <v>37</v>
      </c>
      <c r="K1255" s="57" t="s">
        <v>1506</v>
      </c>
      <c r="L1255" s="72">
        <v>10692.0</v>
      </c>
      <c r="M1255" s="22" t="s">
        <v>40</v>
      </c>
      <c r="N1255" s="35" t="s">
        <v>41</v>
      </c>
      <c r="O1255" s="28">
        <v>45408.60528935185</v>
      </c>
      <c r="P1255" s="35" t="s">
        <v>4954</v>
      </c>
      <c r="Q1255" s="12"/>
      <c r="R1255" s="12"/>
      <c r="S1255" s="12"/>
      <c r="T1255" s="52">
        <v>45405.0</v>
      </c>
      <c r="U1255" s="52">
        <v>45406.0</v>
      </c>
      <c r="V1255" s="52">
        <v>45408.0</v>
      </c>
      <c r="W1255" s="30"/>
      <c r="X1255" s="30"/>
      <c r="Y1255" s="31"/>
      <c r="Z1255" s="31"/>
      <c r="AA1255" s="78" t="s">
        <v>3053</v>
      </c>
      <c r="AB1255" s="74" t="s">
        <v>4955</v>
      </c>
      <c r="AC1255" s="74"/>
    </row>
    <row r="1256" ht="16.5" customHeight="1">
      <c r="A1256" s="48" t="s">
        <v>4956</v>
      </c>
      <c r="B1256" s="53" t="s">
        <v>4957</v>
      </c>
      <c r="C1256" s="47">
        <v>0.0</v>
      </c>
      <c r="D1256" s="70"/>
      <c r="E1256" s="55" t="s">
        <v>681</v>
      </c>
      <c r="F1256" s="32" t="s">
        <v>244</v>
      </c>
      <c r="G1256" s="32" t="s">
        <v>35</v>
      </c>
      <c r="H1256" s="71" t="s">
        <v>35</v>
      </c>
      <c r="I1256" s="71" t="s">
        <v>36</v>
      </c>
      <c r="J1256" s="34" t="s">
        <v>65</v>
      </c>
      <c r="K1256" s="57" t="s">
        <v>38</v>
      </c>
      <c r="L1256" s="72">
        <v>10699.0</v>
      </c>
      <c r="M1256" s="22" t="s">
        <v>40</v>
      </c>
      <c r="N1256" s="73"/>
      <c r="O1256" s="28">
        <v>45406.0</v>
      </c>
      <c r="P1256" s="35" t="s">
        <v>4958</v>
      </c>
      <c r="Q1256" s="12"/>
      <c r="R1256" s="12"/>
      <c r="S1256" s="12"/>
      <c r="T1256" s="52">
        <v>45405.0</v>
      </c>
      <c r="U1256" s="52">
        <v>45406.0</v>
      </c>
      <c r="V1256" s="52">
        <v>45406.0</v>
      </c>
      <c r="W1256" s="30"/>
      <c r="X1256" s="30"/>
      <c r="Y1256" s="31"/>
      <c r="Z1256" s="31"/>
      <c r="AA1256" s="78" t="s">
        <v>94</v>
      </c>
      <c r="AB1256" s="74" t="s">
        <v>4959</v>
      </c>
      <c r="AC1256" s="74"/>
    </row>
    <row r="1257" ht="16.5" customHeight="1">
      <c r="A1257" s="48" t="s">
        <v>4960</v>
      </c>
      <c r="B1257" s="53" t="s">
        <v>4961</v>
      </c>
      <c r="C1257" s="47">
        <v>0.0</v>
      </c>
      <c r="D1257" s="70" t="s">
        <v>4962</v>
      </c>
      <c r="E1257" s="55" t="s">
        <v>3441</v>
      </c>
      <c r="F1257" s="32" t="s">
        <v>48</v>
      </c>
      <c r="G1257" s="32" t="s">
        <v>35</v>
      </c>
      <c r="H1257" s="71" t="s">
        <v>35</v>
      </c>
      <c r="I1257" s="71" t="s">
        <v>36</v>
      </c>
      <c r="J1257" s="34" t="s">
        <v>339</v>
      </c>
      <c r="K1257" s="57" t="s">
        <v>38</v>
      </c>
      <c r="L1257" s="72">
        <v>10823.0</v>
      </c>
      <c r="M1257" s="22" t="s">
        <v>50</v>
      </c>
      <c r="N1257" s="35" t="s">
        <v>4963</v>
      </c>
      <c r="O1257" s="28">
        <v>45439.65185185185</v>
      </c>
      <c r="P1257" s="35" t="s">
        <v>4964</v>
      </c>
      <c r="Q1257" s="12"/>
      <c r="R1257" s="12"/>
      <c r="S1257" s="12"/>
      <c r="T1257" s="52">
        <v>45405.0</v>
      </c>
      <c r="U1257" s="52">
        <v>45439.65185185185</v>
      </c>
      <c r="V1257" s="52">
        <v>45439.65185185185</v>
      </c>
      <c r="W1257" s="30"/>
      <c r="X1257" s="30"/>
      <c r="Y1257" s="31"/>
      <c r="Z1257" s="31"/>
      <c r="AA1257" s="31"/>
      <c r="AB1257" s="74" t="s">
        <v>4965</v>
      </c>
      <c r="AC1257" s="74"/>
    </row>
    <row r="1258" ht="16.5" customHeight="1">
      <c r="A1258" s="48" t="s">
        <v>4966</v>
      </c>
      <c r="B1258" s="53" t="s">
        <v>4313</v>
      </c>
      <c r="C1258" s="47">
        <v>0.0</v>
      </c>
      <c r="D1258" s="70" t="s">
        <v>4967</v>
      </c>
      <c r="E1258" s="55" t="s">
        <v>1119</v>
      </c>
      <c r="F1258" s="32" t="s">
        <v>33</v>
      </c>
      <c r="G1258" s="32" t="s">
        <v>35</v>
      </c>
      <c r="H1258" s="71" t="s">
        <v>35</v>
      </c>
      <c r="I1258" s="71" t="s">
        <v>36</v>
      </c>
      <c r="J1258" s="34" t="s">
        <v>92</v>
      </c>
      <c r="K1258" s="57" t="s">
        <v>38</v>
      </c>
      <c r="L1258" s="72">
        <v>10760.0</v>
      </c>
      <c r="M1258" s="22" t="s">
        <v>40</v>
      </c>
      <c r="N1258" s="73"/>
      <c r="O1258" s="28">
        <v>45411.0</v>
      </c>
      <c r="P1258" s="35" t="s">
        <v>4968</v>
      </c>
      <c r="Q1258" s="12"/>
      <c r="R1258" s="12"/>
      <c r="S1258" s="12"/>
      <c r="T1258" s="52">
        <v>45405.0</v>
      </c>
      <c r="U1258" s="52">
        <v>45406.0</v>
      </c>
      <c r="V1258" s="52">
        <v>45411.0</v>
      </c>
      <c r="W1258" s="30"/>
      <c r="X1258" s="30"/>
      <c r="Y1258" s="31"/>
      <c r="Z1258" s="31"/>
      <c r="AA1258" s="78" t="s">
        <v>120</v>
      </c>
      <c r="AB1258" s="74" t="s">
        <v>4969</v>
      </c>
      <c r="AC1258" s="74"/>
    </row>
    <row r="1259" ht="16.5" customHeight="1">
      <c r="A1259" s="48" t="s">
        <v>4970</v>
      </c>
      <c r="B1259" s="53" t="s">
        <v>4313</v>
      </c>
      <c r="C1259" s="47">
        <v>90.0</v>
      </c>
      <c r="D1259" s="70" t="s">
        <v>4971</v>
      </c>
      <c r="E1259" s="55" t="s">
        <v>91</v>
      </c>
      <c r="F1259" s="32" t="s">
        <v>48</v>
      </c>
      <c r="G1259" s="32" t="s">
        <v>35</v>
      </c>
      <c r="H1259" s="71" t="s">
        <v>35</v>
      </c>
      <c r="I1259" s="71" t="s">
        <v>36</v>
      </c>
      <c r="J1259" s="34" t="s">
        <v>92</v>
      </c>
      <c r="K1259" s="57" t="s">
        <v>38</v>
      </c>
      <c r="L1259" s="72">
        <v>10696.0</v>
      </c>
      <c r="M1259" s="22" t="s">
        <v>40</v>
      </c>
      <c r="N1259" s="73"/>
      <c r="O1259" s="28">
        <v>45410.0</v>
      </c>
      <c r="P1259" s="35" t="s">
        <v>4972</v>
      </c>
      <c r="Q1259" s="12"/>
      <c r="R1259" s="12"/>
      <c r="S1259" s="12"/>
      <c r="T1259" s="52">
        <v>45405.0</v>
      </c>
      <c r="U1259" s="52">
        <v>45405.0</v>
      </c>
      <c r="V1259" s="52">
        <v>45407.0</v>
      </c>
      <c r="W1259" s="30"/>
      <c r="X1259" s="30"/>
      <c r="Y1259" s="31"/>
      <c r="Z1259" s="31"/>
      <c r="AA1259" s="78" t="s">
        <v>120</v>
      </c>
      <c r="AB1259" s="74" t="s">
        <v>4973</v>
      </c>
      <c r="AC1259" s="74"/>
    </row>
    <row r="1260" ht="16.5" customHeight="1">
      <c r="A1260" s="48" t="s">
        <v>4974</v>
      </c>
      <c r="B1260" s="53" t="s">
        <v>4975</v>
      </c>
      <c r="C1260" s="47">
        <v>27.0</v>
      </c>
      <c r="D1260" s="70" t="s">
        <v>4976</v>
      </c>
      <c r="E1260" s="55" t="s">
        <v>72</v>
      </c>
      <c r="F1260" s="32" t="s">
        <v>48</v>
      </c>
      <c r="G1260" s="32" t="s">
        <v>35</v>
      </c>
      <c r="H1260" s="71" t="s">
        <v>35</v>
      </c>
      <c r="I1260" s="71" t="s">
        <v>36</v>
      </c>
      <c r="J1260" s="34" t="s">
        <v>65</v>
      </c>
      <c r="K1260" s="57" t="s">
        <v>38</v>
      </c>
      <c r="L1260" s="72">
        <v>10689.0</v>
      </c>
      <c r="M1260" s="22"/>
      <c r="N1260" s="35" t="s">
        <v>4518</v>
      </c>
      <c r="O1260" s="28">
        <v>45406.65237268519</v>
      </c>
      <c r="P1260" s="35" t="s">
        <v>4977</v>
      </c>
      <c r="Q1260" s="12"/>
      <c r="R1260" s="12"/>
      <c r="S1260" s="12"/>
      <c r="T1260" s="52">
        <v>45406.0</v>
      </c>
      <c r="U1260" s="52">
        <v>45405.0</v>
      </c>
      <c r="V1260" s="52">
        <v>45406.0</v>
      </c>
      <c r="W1260" s="30"/>
      <c r="X1260" s="30"/>
      <c r="Y1260" s="31"/>
      <c r="Z1260" s="31"/>
      <c r="AA1260" s="78" t="s">
        <v>94</v>
      </c>
      <c r="AB1260" s="74" t="s">
        <v>4978</v>
      </c>
      <c r="AC1260" s="74"/>
    </row>
    <row r="1261" ht="16.5" customHeight="1">
      <c r="A1261" s="48" t="s">
        <v>4979</v>
      </c>
      <c r="B1261" s="53" t="s">
        <v>4313</v>
      </c>
      <c r="C1261" s="47">
        <v>0.0</v>
      </c>
      <c r="D1261" s="70" t="s">
        <v>4980</v>
      </c>
      <c r="E1261" s="55" t="s">
        <v>117</v>
      </c>
      <c r="F1261" s="32" t="s">
        <v>33</v>
      </c>
      <c r="G1261" s="32" t="s">
        <v>35</v>
      </c>
      <c r="H1261" s="71" t="s">
        <v>35</v>
      </c>
      <c r="I1261" s="71" t="s">
        <v>36</v>
      </c>
      <c r="J1261" s="34" t="s">
        <v>92</v>
      </c>
      <c r="K1261" s="57" t="s">
        <v>38</v>
      </c>
      <c r="L1261" s="72">
        <v>10690.0</v>
      </c>
      <c r="M1261" s="22" t="s">
        <v>40</v>
      </c>
      <c r="N1261" s="35" t="s">
        <v>4981</v>
      </c>
      <c r="O1261" s="28">
        <v>45406.437685185185</v>
      </c>
      <c r="P1261" s="35" t="s">
        <v>4982</v>
      </c>
      <c r="Q1261" s="12"/>
      <c r="R1261" s="12"/>
      <c r="S1261" s="12"/>
      <c r="T1261" s="52">
        <v>45406.0</v>
      </c>
      <c r="U1261" s="52">
        <v>45406.437685185185</v>
      </c>
      <c r="V1261" s="52">
        <v>45406.0</v>
      </c>
      <c r="W1261" s="30"/>
      <c r="X1261" s="30"/>
      <c r="Y1261" s="31"/>
      <c r="Z1261" s="31"/>
      <c r="AA1261" s="78" t="s">
        <v>120</v>
      </c>
      <c r="AB1261" s="74" t="s">
        <v>4983</v>
      </c>
      <c r="AC1261" s="74"/>
    </row>
    <row r="1262" ht="16.5" customHeight="1">
      <c r="A1262" s="48" t="s">
        <v>4984</v>
      </c>
      <c r="B1262" s="53" t="s">
        <v>3645</v>
      </c>
      <c r="C1262" s="47">
        <v>27.0</v>
      </c>
      <c r="D1262" s="70" t="s">
        <v>4985</v>
      </c>
      <c r="E1262" s="55" t="s">
        <v>72</v>
      </c>
      <c r="F1262" s="32" t="s">
        <v>48</v>
      </c>
      <c r="G1262" s="32" t="s">
        <v>35</v>
      </c>
      <c r="H1262" s="71" t="s">
        <v>35</v>
      </c>
      <c r="I1262" s="71" t="s">
        <v>36</v>
      </c>
      <c r="J1262" s="34" t="s">
        <v>49</v>
      </c>
      <c r="K1262" s="57" t="s">
        <v>38</v>
      </c>
      <c r="L1262" s="72">
        <v>10712.0</v>
      </c>
      <c r="M1262" s="22" t="s">
        <v>50</v>
      </c>
      <c r="N1262" s="35" t="s">
        <v>4183</v>
      </c>
      <c r="O1262" s="28">
        <v>45411.617268518516</v>
      </c>
      <c r="P1262" s="35" t="s">
        <v>4986</v>
      </c>
      <c r="Q1262" s="12"/>
      <c r="R1262" s="12"/>
      <c r="S1262" s="12"/>
      <c r="T1262" s="52">
        <v>45406.0</v>
      </c>
      <c r="U1262" s="52">
        <v>45406.0</v>
      </c>
      <c r="V1262" s="52">
        <v>45411.35628472222</v>
      </c>
      <c r="W1262" s="30"/>
      <c r="X1262" s="30"/>
      <c r="Y1262" s="31"/>
      <c r="Z1262" s="31"/>
      <c r="AA1262" s="31"/>
      <c r="AB1262" s="74" t="s">
        <v>4987</v>
      </c>
      <c r="AC1262" s="74"/>
    </row>
    <row r="1263" ht="16.5" customHeight="1">
      <c r="A1263" s="48" t="s">
        <v>4988</v>
      </c>
      <c r="B1263" s="53" t="s">
        <v>3645</v>
      </c>
      <c r="C1263" s="47">
        <v>27.0</v>
      </c>
      <c r="D1263" s="70" t="s">
        <v>4989</v>
      </c>
      <c r="E1263" s="55" t="s">
        <v>72</v>
      </c>
      <c r="F1263" s="32" t="s">
        <v>48</v>
      </c>
      <c r="G1263" s="32" t="s">
        <v>35</v>
      </c>
      <c r="H1263" s="71" t="s">
        <v>35</v>
      </c>
      <c r="I1263" s="71" t="s">
        <v>36</v>
      </c>
      <c r="J1263" s="34" t="s">
        <v>49</v>
      </c>
      <c r="K1263" s="57" t="s">
        <v>38</v>
      </c>
      <c r="L1263" s="72">
        <v>10712.0</v>
      </c>
      <c r="M1263" s="22" t="s">
        <v>50</v>
      </c>
      <c r="N1263" s="35" t="s">
        <v>4183</v>
      </c>
      <c r="O1263" s="28">
        <v>45411.61739583333</v>
      </c>
      <c r="P1263" s="35" t="s">
        <v>4986</v>
      </c>
      <c r="Q1263" s="12"/>
      <c r="R1263" s="12"/>
      <c r="S1263" s="12"/>
      <c r="T1263" s="52">
        <v>45406.0</v>
      </c>
      <c r="U1263" s="52">
        <v>45406.0</v>
      </c>
      <c r="V1263" s="52">
        <v>45411.356886574074</v>
      </c>
      <c r="W1263" s="30"/>
      <c r="X1263" s="30"/>
      <c r="Y1263" s="31"/>
      <c r="Z1263" s="31"/>
      <c r="AA1263" s="31"/>
      <c r="AB1263" s="74" t="s">
        <v>4990</v>
      </c>
      <c r="AC1263" s="74"/>
    </row>
    <row r="1264" ht="16.5" customHeight="1">
      <c r="A1264" s="48" t="s">
        <v>4991</v>
      </c>
      <c r="B1264" s="53" t="s">
        <v>3645</v>
      </c>
      <c r="C1264" s="47">
        <v>0.0</v>
      </c>
      <c r="D1264" s="70" t="s">
        <v>4992</v>
      </c>
      <c r="E1264" s="55" t="s">
        <v>3441</v>
      </c>
      <c r="F1264" s="32" t="s">
        <v>48</v>
      </c>
      <c r="G1264" s="32" t="s">
        <v>35</v>
      </c>
      <c r="H1264" s="71" t="s">
        <v>35</v>
      </c>
      <c r="I1264" s="71" t="s">
        <v>36</v>
      </c>
      <c r="J1264" s="34" t="s">
        <v>49</v>
      </c>
      <c r="K1264" s="57" t="s">
        <v>38</v>
      </c>
      <c r="L1264" s="72">
        <v>10843.0</v>
      </c>
      <c r="M1264" s="22" t="s">
        <v>50</v>
      </c>
      <c r="N1264" s="35" t="s">
        <v>106</v>
      </c>
      <c r="O1264" s="28">
        <v>45436.64965277778</v>
      </c>
      <c r="P1264" s="35" t="s">
        <v>4986</v>
      </c>
      <c r="Q1264" s="12"/>
      <c r="R1264" s="12"/>
      <c r="S1264" s="12"/>
      <c r="T1264" s="52">
        <v>45406.0</v>
      </c>
      <c r="U1264" s="52">
        <v>45433.64965277778</v>
      </c>
      <c r="V1264" s="52">
        <v>45435.57498842593</v>
      </c>
      <c r="W1264" s="30"/>
      <c r="X1264" s="30"/>
      <c r="Y1264" s="31"/>
      <c r="Z1264" s="31"/>
      <c r="AA1264" s="31"/>
      <c r="AB1264" s="74" t="s">
        <v>4993</v>
      </c>
      <c r="AC1264" s="74"/>
    </row>
    <row r="1265" ht="16.5" customHeight="1">
      <c r="A1265" s="48" t="s">
        <v>4994</v>
      </c>
      <c r="B1265" s="53" t="s">
        <v>3645</v>
      </c>
      <c r="C1265" s="47">
        <v>0.0</v>
      </c>
      <c r="D1265" s="70" t="s">
        <v>4995</v>
      </c>
      <c r="E1265" s="55" t="s">
        <v>3441</v>
      </c>
      <c r="F1265" s="32" t="s">
        <v>48</v>
      </c>
      <c r="G1265" s="32" t="s">
        <v>35</v>
      </c>
      <c r="H1265" s="71" t="s">
        <v>35</v>
      </c>
      <c r="I1265" s="71" t="s">
        <v>36</v>
      </c>
      <c r="J1265" s="34" t="s">
        <v>49</v>
      </c>
      <c r="K1265" s="57" t="s">
        <v>38</v>
      </c>
      <c r="L1265" s="72">
        <v>10843.0</v>
      </c>
      <c r="M1265" s="22" t="s">
        <v>50</v>
      </c>
      <c r="N1265" s="35" t="s">
        <v>106</v>
      </c>
      <c r="O1265" s="28">
        <v>45435.67736111111</v>
      </c>
      <c r="P1265" s="35" t="s">
        <v>4986</v>
      </c>
      <c r="Q1265" s="12"/>
      <c r="R1265" s="12"/>
      <c r="S1265" s="12"/>
      <c r="T1265" s="52">
        <v>45406.0</v>
      </c>
      <c r="U1265" s="52">
        <v>45432.67736111111</v>
      </c>
      <c r="V1265" s="52">
        <v>45435.575</v>
      </c>
      <c r="W1265" s="30"/>
      <c r="X1265" s="30"/>
      <c r="Y1265" s="31"/>
      <c r="Z1265" s="31"/>
      <c r="AA1265" s="31"/>
      <c r="AB1265" s="74" t="s">
        <v>4996</v>
      </c>
      <c r="AC1265" s="74"/>
    </row>
    <row r="1266" ht="16.5" customHeight="1">
      <c r="A1266" s="48" t="s">
        <v>4997</v>
      </c>
      <c r="B1266" s="53" t="s">
        <v>3645</v>
      </c>
      <c r="C1266" s="47">
        <v>1.0</v>
      </c>
      <c r="D1266" s="70" t="s">
        <v>4998</v>
      </c>
      <c r="E1266" s="55" t="s">
        <v>3395</v>
      </c>
      <c r="F1266" s="32" t="s">
        <v>48</v>
      </c>
      <c r="G1266" s="32" t="s">
        <v>35</v>
      </c>
      <c r="H1266" s="71" t="s">
        <v>35</v>
      </c>
      <c r="I1266" s="71" t="s">
        <v>36</v>
      </c>
      <c r="J1266" s="34" t="s">
        <v>49</v>
      </c>
      <c r="K1266" s="57" t="s">
        <v>38</v>
      </c>
      <c r="L1266" s="72">
        <v>10712.0</v>
      </c>
      <c r="M1266" s="22" t="s">
        <v>50</v>
      </c>
      <c r="N1266" s="35" t="s">
        <v>4183</v>
      </c>
      <c r="O1266" s="28">
        <v>45411.617476851854</v>
      </c>
      <c r="P1266" s="35" t="s">
        <v>4986</v>
      </c>
      <c r="Q1266" s="12"/>
      <c r="R1266" s="12"/>
      <c r="S1266" s="12"/>
      <c r="T1266" s="52">
        <v>45406.0</v>
      </c>
      <c r="U1266" s="52">
        <v>45406.0</v>
      </c>
      <c r="V1266" s="52">
        <v>45411.35724537037</v>
      </c>
      <c r="W1266" s="30"/>
      <c r="X1266" s="30"/>
      <c r="Y1266" s="31"/>
      <c r="Z1266" s="31"/>
      <c r="AA1266" s="31"/>
      <c r="AB1266" s="74" t="s">
        <v>4999</v>
      </c>
      <c r="AC1266" s="74"/>
    </row>
    <row r="1267" ht="16.5" customHeight="1">
      <c r="A1267" s="48" t="s">
        <v>5000</v>
      </c>
      <c r="B1267" s="53" t="s">
        <v>3645</v>
      </c>
      <c r="C1267" s="47">
        <v>1.0</v>
      </c>
      <c r="D1267" s="70" t="s">
        <v>5001</v>
      </c>
      <c r="E1267" s="55" t="s">
        <v>3395</v>
      </c>
      <c r="F1267" s="32" t="s">
        <v>48</v>
      </c>
      <c r="G1267" s="32" t="s">
        <v>35</v>
      </c>
      <c r="H1267" s="71" t="s">
        <v>35</v>
      </c>
      <c r="I1267" s="71" t="s">
        <v>36</v>
      </c>
      <c r="J1267" s="34" t="s">
        <v>49</v>
      </c>
      <c r="K1267" s="57" t="s">
        <v>38</v>
      </c>
      <c r="L1267" s="72">
        <v>10712.0</v>
      </c>
      <c r="M1267" s="22" t="s">
        <v>50</v>
      </c>
      <c r="N1267" s="35" t="s">
        <v>4183</v>
      </c>
      <c r="O1267" s="28">
        <v>45411.61754629629</v>
      </c>
      <c r="P1267" s="35" t="s">
        <v>4986</v>
      </c>
      <c r="Q1267" s="12"/>
      <c r="R1267" s="12"/>
      <c r="S1267" s="12"/>
      <c r="T1267" s="52">
        <v>45406.0</v>
      </c>
      <c r="U1267" s="52">
        <v>45406.0</v>
      </c>
      <c r="V1267" s="52">
        <v>45411.357569444444</v>
      </c>
      <c r="W1267" s="30"/>
      <c r="X1267" s="30"/>
      <c r="Y1267" s="31"/>
      <c r="Z1267" s="31"/>
      <c r="AA1267" s="31"/>
      <c r="AB1267" s="74" t="s">
        <v>5002</v>
      </c>
      <c r="AC1267" s="74"/>
    </row>
    <row r="1268" ht="16.5" customHeight="1">
      <c r="A1268" s="48" t="s">
        <v>5003</v>
      </c>
      <c r="B1268" s="53" t="s">
        <v>5004</v>
      </c>
      <c r="C1268" s="47">
        <v>90.0</v>
      </c>
      <c r="D1268" s="70" t="s">
        <v>5005</v>
      </c>
      <c r="E1268" s="55" t="s">
        <v>91</v>
      </c>
      <c r="F1268" s="32" t="s">
        <v>48</v>
      </c>
      <c r="G1268" s="32" t="s">
        <v>35</v>
      </c>
      <c r="H1268" s="71" t="s">
        <v>35</v>
      </c>
      <c r="I1268" s="71" t="s">
        <v>36</v>
      </c>
      <c r="J1268" s="34" t="s">
        <v>37</v>
      </c>
      <c r="K1268" s="57" t="s">
        <v>38</v>
      </c>
      <c r="L1268" s="72">
        <v>10701.0</v>
      </c>
      <c r="M1268" s="22" t="s">
        <v>50</v>
      </c>
      <c r="N1268" s="35" t="s">
        <v>41</v>
      </c>
      <c r="O1268" s="28">
        <v>45407.62861111111</v>
      </c>
      <c r="P1268" s="35" t="s">
        <v>5006</v>
      </c>
      <c r="Q1268" s="12"/>
      <c r="R1268" s="12"/>
      <c r="S1268" s="12"/>
      <c r="T1268" s="52">
        <v>45406.0</v>
      </c>
      <c r="U1268" s="52">
        <v>45406.0</v>
      </c>
      <c r="V1268" s="52">
        <v>45407.508055555554</v>
      </c>
      <c r="W1268" s="30"/>
      <c r="X1268" s="30"/>
      <c r="Y1268" s="31"/>
      <c r="Z1268" s="31"/>
      <c r="AA1268" s="78" t="s">
        <v>120</v>
      </c>
      <c r="AB1268" s="74" t="s">
        <v>5007</v>
      </c>
      <c r="AC1268" s="74"/>
    </row>
    <row r="1269" ht="16.5" customHeight="1">
      <c r="A1269" s="48" t="s">
        <v>5008</v>
      </c>
      <c r="B1269" s="53" t="s">
        <v>5004</v>
      </c>
      <c r="C1269" s="47">
        <v>11.0</v>
      </c>
      <c r="D1269" s="70" t="s">
        <v>5009</v>
      </c>
      <c r="E1269" s="55" t="s">
        <v>112</v>
      </c>
      <c r="F1269" s="32" t="s">
        <v>48</v>
      </c>
      <c r="G1269" s="32" t="s">
        <v>35</v>
      </c>
      <c r="H1269" s="71" t="s">
        <v>35</v>
      </c>
      <c r="I1269" s="71" t="s">
        <v>36</v>
      </c>
      <c r="J1269" s="34" t="s">
        <v>37</v>
      </c>
      <c r="K1269" s="57" t="s">
        <v>38</v>
      </c>
      <c r="L1269" s="72">
        <v>10701.0</v>
      </c>
      <c r="M1269" s="22" t="s">
        <v>50</v>
      </c>
      <c r="N1269" s="35" t="s">
        <v>41</v>
      </c>
      <c r="O1269" s="28">
        <v>45407.62869212963</v>
      </c>
      <c r="P1269" s="35" t="s">
        <v>5006</v>
      </c>
      <c r="Q1269" s="12"/>
      <c r="R1269" s="12"/>
      <c r="S1269" s="12"/>
      <c r="T1269" s="52">
        <v>45406.0</v>
      </c>
      <c r="U1269" s="52">
        <v>45406.0</v>
      </c>
      <c r="V1269" s="52">
        <v>45407.50832175926</v>
      </c>
      <c r="W1269" s="30"/>
      <c r="X1269" s="30"/>
      <c r="Y1269" s="31"/>
      <c r="Z1269" s="31"/>
      <c r="AA1269" s="78" t="s">
        <v>120</v>
      </c>
      <c r="AB1269" s="74" t="s">
        <v>5010</v>
      </c>
      <c r="AC1269" s="74"/>
    </row>
    <row r="1270" ht="16.5" customHeight="1">
      <c r="A1270" s="48" t="s">
        <v>5011</v>
      </c>
      <c r="B1270" s="53" t="s">
        <v>5004</v>
      </c>
      <c r="C1270" s="47">
        <v>11.0</v>
      </c>
      <c r="D1270" s="70" t="s">
        <v>5012</v>
      </c>
      <c r="E1270" s="55" t="s">
        <v>112</v>
      </c>
      <c r="F1270" s="32" t="s">
        <v>48</v>
      </c>
      <c r="G1270" s="32" t="s">
        <v>35</v>
      </c>
      <c r="H1270" s="71" t="s">
        <v>35</v>
      </c>
      <c r="I1270" s="71" t="s">
        <v>36</v>
      </c>
      <c r="J1270" s="34" t="s">
        <v>37</v>
      </c>
      <c r="K1270" s="57" t="s">
        <v>38</v>
      </c>
      <c r="L1270" s="72">
        <v>10701.0</v>
      </c>
      <c r="M1270" s="22" t="s">
        <v>50</v>
      </c>
      <c r="N1270" s="35" t="s">
        <v>41</v>
      </c>
      <c r="O1270" s="28">
        <v>45407.62875</v>
      </c>
      <c r="P1270" s="35" t="s">
        <v>5006</v>
      </c>
      <c r="Q1270" s="12"/>
      <c r="R1270" s="12"/>
      <c r="S1270" s="12"/>
      <c r="T1270" s="52">
        <v>45406.0</v>
      </c>
      <c r="U1270" s="52">
        <v>45406.0</v>
      </c>
      <c r="V1270" s="52">
        <v>45407.50849537037</v>
      </c>
      <c r="W1270" s="30"/>
      <c r="X1270" s="30"/>
      <c r="Y1270" s="31"/>
      <c r="Z1270" s="31"/>
      <c r="AA1270" s="78" t="s">
        <v>120</v>
      </c>
      <c r="AB1270" s="74" t="s">
        <v>5013</v>
      </c>
      <c r="AC1270" s="74"/>
    </row>
    <row r="1271" ht="16.5" customHeight="1">
      <c r="A1271" s="48" t="s">
        <v>5014</v>
      </c>
      <c r="B1271" s="53" t="s">
        <v>880</v>
      </c>
      <c r="C1271" s="47">
        <v>11.0</v>
      </c>
      <c r="D1271" s="70" t="s">
        <v>5015</v>
      </c>
      <c r="E1271" s="55" t="s">
        <v>112</v>
      </c>
      <c r="F1271" s="32" t="s">
        <v>48</v>
      </c>
      <c r="G1271" s="32" t="s">
        <v>35</v>
      </c>
      <c r="H1271" s="71" t="s">
        <v>35</v>
      </c>
      <c r="I1271" s="71" t="s">
        <v>36</v>
      </c>
      <c r="J1271" s="34" t="s">
        <v>65</v>
      </c>
      <c r="K1271" s="57" t="s">
        <v>38</v>
      </c>
      <c r="L1271" s="72">
        <v>10702.0</v>
      </c>
      <c r="M1271" s="22" t="s">
        <v>50</v>
      </c>
      <c r="N1271" s="35" t="s">
        <v>4908</v>
      </c>
      <c r="O1271" s="28">
        <v>45407.687002314815</v>
      </c>
      <c r="P1271" s="35" t="s">
        <v>5016</v>
      </c>
      <c r="Q1271" s="12"/>
      <c r="R1271" s="12"/>
      <c r="S1271" s="12"/>
      <c r="T1271" s="52">
        <v>45406.0</v>
      </c>
      <c r="U1271" s="52">
        <v>45406.0</v>
      </c>
      <c r="V1271" s="52">
        <v>45407.5087037037</v>
      </c>
      <c r="W1271" s="30"/>
      <c r="X1271" s="30"/>
      <c r="Y1271" s="31"/>
      <c r="Z1271" s="31"/>
      <c r="AA1271" s="78" t="s">
        <v>94</v>
      </c>
      <c r="AB1271" s="74" t="s">
        <v>5017</v>
      </c>
      <c r="AC1271" s="74"/>
    </row>
    <row r="1272" ht="16.5" customHeight="1">
      <c r="A1272" s="48" t="s">
        <v>5018</v>
      </c>
      <c r="B1272" s="53" t="s">
        <v>880</v>
      </c>
      <c r="C1272" s="47">
        <v>11.0</v>
      </c>
      <c r="D1272" s="70" t="s">
        <v>5019</v>
      </c>
      <c r="E1272" s="55" t="s">
        <v>112</v>
      </c>
      <c r="F1272" s="32" t="s">
        <v>48</v>
      </c>
      <c r="G1272" s="32" t="s">
        <v>35</v>
      </c>
      <c r="H1272" s="71" t="s">
        <v>35</v>
      </c>
      <c r="I1272" s="71" t="s">
        <v>36</v>
      </c>
      <c r="J1272" s="34" t="s">
        <v>65</v>
      </c>
      <c r="K1272" s="57" t="s">
        <v>38</v>
      </c>
      <c r="L1272" s="72">
        <v>10702.0</v>
      </c>
      <c r="M1272" s="22" t="s">
        <v>50</v>
      </c>
      <c r="N1272" s="35" t="s">
        <v>4908</v>
      </c>
      <c r="O1272" s="28">
        <v>45407.687048611115</v>
      </c>
      <c r="P1272" s="35" t="s">
        <v>5016</v>
      </c>
      <c r="Q1272" s="12"/>
      <c r="R1272" s="12"/>
      <c r="S1272" s="12"/>
      <c r="T1272" s="52">
        <v>45406.0</v>
      </c>
      <c r="U1272" s="52">
        <v>45406.0</v>
      </c>
      <c r="V1272" s="52">
        <v>45407.50885416667</v>
      </c>
      <c r="W1272" s="30"/>
      <c r="X1272" s="30"/>
      <c r="Y1272" s="31"/>
      <c r="Z1272" s="31"/>
      <c r="AA1272" s="78" t="s">
        <v>94</v>
      </c>
      <c r="AB1272" s="74" t="s">
        <v>5020</v>
      </c>
      <c r="AC1272" s="74"/>
    </row>
    <row r="1273" ht="16.5" customHeight="1">
      <c r="A1273" s="48" t="s">
        <v>5021</v>
      </c>
      <c r="B1273" s="53" t="s">
        <v>880</v>
      </c>
      <c r="C1273" s="47">
        <v>11.0</v>
      </c>
      <c r="D1273" s="70" t="s">
        <v>5022</v>
      </c>
      <c r="E1273" s="55" t="s">
        <v>112</v>
      </c>
      <c r="F1273" s="32" t="s">
        <v>48</v>
      </c>
      <c r="G1273" s="32" t="s">
        <v>35</v>
      </c>
      <c r="H1273" s="71" t="s">
        <v>35</v>
      </c>
      <c r="I1273" s="71" t="s">
        <v>36</v>
      </c>
      <c r="J1273" s="34" t="s">
        <v>65</v>
      </c>
      <c r="K1273" s="57" t="s">
        <v>38</v>
      </c>
      <c r="L1273" s="72">
        <v>10702.0</v>
      </c>
      <c r="M1273" s="22" t="s">
        <v>50</v>
      </c>
      <c r="N1273" s="35" t="s">
        <v>4908</v>
      </c>
      <c r="O1273" s="28">
        <v>45407.68711805555</v>
      </c>
      <c r="P1273" s="35" t="s">
        <v>5016</v>
      </c>
      <c r="Q1273" s="12"/>
      <c r="R1273" s="12"/>
      <c r="S1273" s="12"/>
      <c r="T1273" s="52">
        <v>45406.0</v>
      </c>
      <c r="U1273" s="52">
        <v>45406.0</v>
      </c>
      <c r="V1273" s="52">
        <v>45407.50900462963</v>
      </c>
      <c r="W1273" s="30"/>
      <c r="X1273" s="30"/>
      <c r="Y1273" s="31"/>
      <c r="Z1273" s="31"/>
      <c r="AA1273" s="78" t="s">
        <v>94</v>
      </c>
      <c r="AB1273" s="74" t="s">
        <v>5023</v>
      </c>
      <c r="AC1273" s="74"/>
    </row>
    <row r="1274" ht="16.5" customHeight="1">
      <c r="A1274" s="48" t="s">
        <v>5024</v>
      </c>
      <c r="B1274" s="53" t="s">
        <v>880</v>
      </c>
      <c r="C1274" s="47">
        <v>11.0</v>
      </c>
      <c r="D1274" s="70" t="s">
        <v>5025</v>
      </c>
      <c r="E1274" s="55" t="s">
        <v>112</v>
      </c>
      <c r="F1274" s="32" t="s">
        <v>48</v>
      </c>
      <c r="G1274" s="32" t="s">
        <v>35</v>
      </c>
      <c r="H1274" s="71" t="s">
        <v>35</v>
      </c>
      <c r="I1274" s="71" t="s">
        <v>36</v>
      </c>
      <c r="J1274" s="34" t="s">
        <v>65</v>
      </c>
      <c r="K1274" s="57" t="s">
        <v>38</v>
      </c>
      <c r="L1274" s="72">
        <v>10702.0</v>
      </c>
      <c r="M1274" s="22" t="s">
        <v>50</v>
      </c>
      <c r="N1274" s="35" t="s">
        <v>4908</v>
      </c>
      <c r="O1274" s="28">
        <v>45407.68717592592</v>
      </c>
      <c r="P1274" s="35" t="s">
        <v>5016</v>
      </c>
      <c r="Q1274" s="12"/>
      <c r="R1274" s="12"/>
      <c r="S1274" s="12"/>
      <c r="T1274" s="52">
        <v>45406.0</v>
      </c>
      <c r="U1274" s="52">
        <v>45406.0</v>
      </c>
      <c r="V1274" s="52">
        <v>45407.50914351852</v>
      </c>
      <c r="W1274" s="30"/>
      <c r="X1274" s="30"/>
      <c r="Y1274" s="31"/>
      <c r="Z1274" s="31"/>
      <c r="AA1274" s="78" t="s">
        <v>94</v>
      </c>
      <c r="AB1274" s="74" t="s">
        <v>5026</v>
      </c>
      <c r="AC1274" s="74"/>
    </row>
    <row r="1275" ht="16.5" customHeight="1">
      <c r="A1275" s="48" t="s">
        <v>5027</v>
      </c>
      <c r="B1275" s="53" t="s">
        <v>880</v>
      </c>
      <c r="C1275" s="47">
        <v>27.0</v>
      </c>
      <c r="D1275" s="70" t="s">
        <v>5028</v>
      </c>
      <c r="E1275" s="55" t="s">
        <v>72</v>
      </c>
      <c r="F1275" s="32" t="s">
        <v>48</v>
      </c>
      <c r="G1275" s="32" t="s">
        <v>35</v>
      </c>
      <c r="H1275" s="71" t="s">
        <v>35</v>
      </c>
      <c r="I1275" s="71" t="s">
        <v>36</v>
      </c>
      <c r="J1275" s="34" t="s">
        <v>65</v>
      </c>
      <c r="K1275" s="57" t="s">
        <v>38</v>
      </c>
      <c r="L1275" s="72">
        <v>10702.0</v>
      </c>
      <c r="M1275" s="22" t="s">
        <v>50</v>
      </c>
      <c r="N1275" s="35" t="s">
        <v>4908</v>
      </c>
      <c r="O1275" s="28">
        <v>45407.68724537037</v>
      </c>
      <c r="P1275" s="35" t="s">
        <v>5016</v>
      </c>
      <c r="Q1275" s="12"/>
      <c r="R1275" s="12"/>
      <c r="S1275" s="12"/>
      <c r="T1275" s="52">
        <v>45406.0</v>
      </c>
      <c r="U1275" s="52">
        <v>45406.0</v>
      </c>
      <c r="V1275" s="52">
        <v>45407.50928240741</v>
      </c>
      <c r="W1275" s="30"/>
      <c r="X1275" s="30"/>
      <c r="Y1275" s="31"/>
      <c r="Z1275" s="31"/>
      <c r="AA1275" s="78" t="s">
        <v>94</v>
      </c>
      <c r="AB1275" s="74" t="s">
        <v>5029</v>
      </c>
      <c r="AC1275" s="74"/>
    </row>
    <row r="1276" ht="16.5" customHeight="1">
      <c r="A1276" s="48" t="s">
        <v>5030</v>
      </c>
      <c r="B1276" s="53" t="s">
        <v>880</v>
      </c>
      <c r="C1276" s="47">
        <v>90.0</v>
      </c>
      <c r="D1276" s="70" t="s">
        <v>5031</v>
      </c>
      <c r="E1276" s="55" t="s">
        <v>91</v>
      </c>
      <c r="F1276" s="32" t="s">
        <v>48</v>
      </c>
      <c r="G1276" s="32" t="s">
        <v>35</v>
      </c>
      <c r="H1276" s="71" t="s">
        <v>35</v>
      </c>
      <c r="I1276" s="71" t="s">
        <v>36</v>
      </c>
      <c r="J1276" s="34" t="s">
        <v>65</v>
      </c>
      <c r="K1276" s="57" t="s">
        <v>38</v>
      </c>
      <c r="L1276" s="72">
        <v>10702.0</v>
      </c>
      <c r="M1276" s="22" t="s">
        <v>50</v>
      </c>
      <c r="N1276" s="35" t="s">
        <v>4908</v>
      </c>
      <c r="O1276" s="28">
        <v>45407.68729166667</v>
      </c>
      <c r="P1276" s="35" t="s">
        <v>5016</v>
      </c>
      <c r="Q1276" s="12"/>
      <c r="R1276" s="12"/>
      <c r="S1276" s="12"/>
      <c r="T1276" s="52">
        <v>45406.0</v>
      </c>
      <c r="U1276" s="52">
        <v>45406.0</v>
      </c>
      <c r="V1276" s="52">
        <v>45407.50953703704</v>
      </c>
      <c r="W1276" s="30"/>
      <c r="X1276" s="30"/>
      <c r="Y1276" s="31"/>
      <c r="Z1276" s="31"/>
      <c r="AA1276" s="78" t="s">
        <v>94</v>
      </c>
      <c r="AB1276" s="74" t="s">
        <v>5032</v>
      </c>
      <c r="AC1276" s="74"/>
    </row>
    <row r="1277" ht="16.5" customHeight="1">
      <c r="A1277" s="48" t="s">
        <v>5033</v>
      </c>
      <c r="B1277" s="53" t="s">
        <v>1299</v>
      </c>
      <c r="C1277" s="54">
        <v>1.0</v>
      </c>
      <c r="D1277" s="70" t="s">
        <v>5034</v>
      </c>
      <c r="E1277" s="55" t="s">
        <v>3395</v>
      </c>
      <c r="F1277" s="32" t="s">
        <v>48</v>
      </c>
      <c r="G1277" s="32" t="s">
        <v>35</v>
      </c>
      <c r="H1277" s="71" t="s">
        <v>35</v>
      </c>
      <c r="I1277" s="66" t="s">
        <v>36</v>
      </c>
      <c r="J1277" s="34" t="s">
        <v>92</v>
      </c>
      <c r="K1277" s="57" t="s">
        <v>38</v>
      </c>
      <c r="L1277" s="79" t="s">
        <v>5035</v>
      </c>
      <c r="M1277" s="22" t="s">
        <v>50</v>
      </c>
      <c r="N1277" s="26" t="s">
        <v>4250</v>
      </c>
      <c r="O1277" s="28">
        <v>45411.45052789352</v>
      </c>
      <c r="P1277" s="26" t="s">
        <v>5036</v>
      </c>
      <c r="Q1277" s="12"/>
      <c r="R1277" s="12"/>
      <c r="S1277" s="12"/>
      <c r="T1277" s="29">
        <v>45406.0</v>
      </c>
      <c r="U1277" s="29">
        <v>45406.0</v>
      </c>
      <c r="V1277" s="29">
        <v>45408.38633869213</v>
      </c>
      <c r="W1277" s="30"/>
      <c r="X1277" s="30"/>
      <c r="Y1277" s="31"/>
      <c r="Z1277" s="31"/>
      <c r="AA1277" s="31" t="s">
        <v>120</v>
      </c>
      <c r="AB1277" s="31" t="s">
        <v>5037</v>
      </c>
      <c r="AC1277" s="31"/>
    </row>
    <row r="1278" ht="16.5" customHeight="1">
      <c r="A1278" s="48" t="s">
        <v>5038</v>
      </c>
      <c r="B1278" s="53" t="s">
        <v>5039</v>
      </c>
      <c r="C1278" s="47">
        <v>0.0</v>
      </c>
      <c r="D1278" s="80" t="s">
        <v>5040</v>
      </c>
      <c r="E1278" s="55" t="s">
        <v>1595</v>
      </c>
      <c r="F1278" s="32" t="s">
        <v>33</v>
      </c>
      <c r="G1278" s="32" t="s">
        <v>35</v>
      </c>
      <c r="H1278" s="71" t="s">
        <v>35</v>
      </c>
      <c r="I1278" s="66" t="s">
        <v>36</v>
      </c>
      <c r="J1278" s="34" t="s">
        <v>49</v>
      </c>
      <c r="K1278" s="57" t="s">
        <v>38</v>
      </c>
      <c r="L1278" s="25">
        <v>10805.0</v>
      </c>
      <c r="M1278" s="22" t="s">
        <v>40</v>
      </c>
      <c r="N1278" s="26" t="s">
        <v>106</v>
      </c>
      <c r="O1278" s="28">
        <v>45432.611193125005</v>
      </c>
      <c r="P1278" s="26" t="s">
        <v>5041</v>
      </c>
      <c r="Q1278" s="12"/>
      <c r="R1278" s="30"/>
      <c r="S1278" s="12"/>
      <c r="T1278" s="29">
        <v>45406.0</v>
      </c>
      <c r="U1278" s="29">
        <v>45421.0</v>
      </c>
      <c r="V1278" s="29">
        <v>45428.0</v>
      </c>
      <c r="W1278" s="30"/>
      <c r="X1278" s="30"/>
      <c r="Y1278" s="31"/>
      <c r="Z1278" s="31"/>
      <c r="AA1278" s="31" t="s">
        <v>102</v>
      </c>
      <c r="AB1278" s="31" t="s">
        <v>5042</v>
      </c>
      <c r="AC1278" s="31"/>
    </row>
    <row r="1279" ht="16.5" customHeight="1">
      <c r="A1279" s="48" t="s">
        <v>5043</v>
      </c>
      <c r="B1279" s="53" t="s">
        <v>5039</v>
      </c>
      <c r="C1279" s="47">
        <v>0.0</v>
      </c>
      <c r="D1279" s="80" t="s">
        <v>5044</v>
      </c>
      <c r="E1279" s="55" t="s">
        <v>731</v>
      </c>
      <c r="F1279" s="32" t="s">
        <v>33</v>
      </c>
      <c r="G1279" s="32" t="s">
        <v>35</v>
      </c>
      <c r="H1279" s="71" t="s">
        <v>35</v>
      </c>
      <c r="I1279" s="66" t="s">
        <v>36</v>
      </c>
      <c r="J1279" s="34" t="s">
        <v>49</v>
      </c>
      <c r="K1279" s="57" t="s">
        <v>38</v>
      </c>
      <c r="L1279" s="25">
        <v>10805.0</v>
      </c>
      <c r="M1279" s="22" t="s">
        <v>40</v>
      </c>
      <c r="N1279" s="26" t="s">
        <v>106</v>
      </c>
      <c r="O1279" s="28">
        <v>45432.611287974534</v>
      </c>
      <c r="P1279" s="26" t="s">
        <v>5041</v>
      </c>
      <c r="Q1279" s="12"/>
      <c r="R1279" s="30"/>
      <c r="S1279" s="12"/>
      <c r="T1279" s="29">
        <v>45406.0</v>
      </c>
      <c r="U1279" s="29">
        <v>45421.0</v>
      </c>
      <c r="V1279" s="29">
        <v>45432.0</v>
      </c>
      <c r="W1279" s="30"/>
      <c r="X1279" s="30"/>
      <c r="Y1279" s="31"/>
      <c r="Z1279" s="31"/>
      <c r="AA1279" s="31" t="s">
        <v>102</v>
      </c>
      <c r="AB1279" s="31" t="s">
        <v>5045</v>
      </c>
      <c r="AC1279" s="31"/>
    </row>
    <row r="1280" ht="16.5" customHeight="1">
      <c r="A1280" s="48" t="s">
        <v>5046</v>
      </c>
      <c r="B1280" s="53" t="s">
        <v>5047</v>
      </c>
      <c r="C1280" s="54">
        <v>27.0</v>
      </c>
      <c r="D1280" s="21" t="s">
        <v>5048</v>
      </c>
      <c r="E1280" s="55" t="s">
        <v>72</v>
      </c>
      <c r="F1280" s="32" t="s">
        <v>48</v>
      </c>
      <c r="G1280" s="32" t="s">
        <v>35</v>
      </c>
      <c r="H1280" s="71" t="s">
        <v>35</v>
      </c>
      <c r="I1280" s="66" t="s">
        <v>36</v>
      </c>
      <c r="J1280" s="25" t="s">
        <v>420</v>
      </c>
      <c r="K1280" s="57" t="s">
        <v>38</v>
      </c>
      <c r="L1280" s="25">
        <v>10791.0</v>
      </c>
      <c r="M1280" s="22" t="s">
        <v>50</v>
      </c>
      <c r="N1280" s="26" t="s">
        <v>4031</v>
      </c>
      <c r="O1280" s="28">
        <v>45428.62711021991</v>
      </c>
      <c r="P1280" s="26" t="s">
        <v>5049</v>
      </c>
      <c r="Q1280" s="12"/>
      <c r="R1280" s="12"/>
      <c r="S1280" s="60"/>
      <c r="T1280" s="29">
        <v>45406.0</v>
      </c>
      <c r="U1280" s="29">
        <v>45427.0</v>
      </c>
      <c r="V1280" s="29">
        <v>45428.371983391204</v>
      </c>
      <c r="W1280" s="30"/>
      <c r="X1280" s="30"/>
      <c r="Y1280" s="31"/>
      <c r="Z1280" s="31"/>
      <c r="AA1280" s="31" t="s">
        <v>120</v>
      </c>
      <c r="AB1280" s="31" t="s">
        <v>5050</v>
      </c>
      <c r="AC1280" s="31"/>
    </row>
    <row r="1281" ht="16.5" customHeight="1">
      <c r="A1281" s="48" t="s">
        <v>5051</v>
      </c>
      <c r="B1281" s="53" t="s">
        <v>5047</v>
      </c>
      <c r="C1281" s="54">
        <v>27.0</v>
      </c>
      <c r="D1281" s="21" t="s">
        <v>5052</v>
      </c>
      <c r="E1281" s="55" t="s">
        <v>72</v>
      </c>
      <c r="F1281" s="32" t="s">
        <v>48</v>
      </c>
      <c r="G1281" s="32" t="s">
        <v>35</v>
      </c>
      <c r="H1281" s="71" t="s">
        <v>35</v>
      </c>
      <c r="I1281" s="66" t="s">
        <v>36</v>
      </c>
      <c r="J1281" s="25" t="s">
        <v>420</v>
      </c>
      <c r="K1281" s="57" t="s">
        <v>38</v>
      </c>
      <c r="L1281" s="25">
        <v>10791.0</v>
      </c>
      <c r="M1281" s="22" t="s">
        <v>50</v>
      </c>
      <c r="N1281" s="26" t="s">
        <v>4031</v>
      </c>
      <c r="O1281" s="28">
        <v>45428.6272146875</v>
      </c>
      <c r="P1281" s="26" t="s">
        <v>5049</v>
      </c>
      <c r="Q1281" s="12"/>
      <c r="R1281" s="12"/>
      <c r="S1281" s="60"/>
      <c r="T1281" s="29">
        <v>45406.0</v>
      </c>
      <c r="U1281" s="29">
        <v>45427.0</v>
      </c>
      <c r="V1281" s="29">
        <v>45428.37220747685</v>
      </c>
      <c r="W1281" s="30"/>
      <c r="X1281" s="30"/>
      <c r="Y1281" s="31"/>
      <c r="Z1281" s="31"/>
      <c r="AA1281" s="31" t="s">
        <v>120</v>
      </c>
      <c r="AB1281" s="31" t="s">
        <v>5053</v>
      </c>
      <c r="AC1281" s="31"/>
    </row>
    <row r="1282" ht="16.5" customHeight="1">
      <c r="A1282" s="48" t="s">
        <v>5054</v>
      </c>
      <c r="B1282" s="53" t="s">
        <v>5047</v>
      </c>
      <c r="C1282" s="54">
        <v>90.0</v>
      </c>
      <c r="D1282" s="70" t="s">
        <v>5055</v>
      </c>
      <c r="E1282" s="55" t="s">
        <v>91</v>
      </c>
      <c r="F1282" s="32" t="s">
        <v>48</v>
      </c>
      <c r="G1282" s="32" t="s">
        <v>35</v>
      </c>
      <c r="H1282" s="71" t="s">
        <v>35</v>
      </c>
      <c r="I1282" s="66" t="s">
        <v>36</v>
      </c>
      <c r="J1282" s="25" t="s">
        <v>420</v>
      </c>
      <c r="K1282" s="57" t="s">
        <v>38</v>
      </c>
      <c r="L1282" s="25">
        <v>10790.0</v>
      </c>
      <c r="M1282" s="22" t="s">
        <v>50</v>
      </c>
      <c r="N1282" s="26" t="s">
        <v>4031</v>
      </c>
      <c r="O1282" s="28">
        <v>45428.6272903125</v>
      </c>
      <c r="P1282" s="26" t="s">
        <v>5056</v>
      </c>
      <c r="Q1282" s="12"/>
      <c r="R1282" s="12"/>
      <c r="S1282" s="60"/>
      <c r="T1282" s="29">
        <v>45406.0</v>
      </c>
      <c r="U1282" s="29">
        <v>45427.0</v>
      </c>
      <c r="V1282" s="29">
        <v>45428.37341472223</v>
      </c>
      <c r="W1282" s="30"/>
      <c r="X1282" s="30"/>
      <c r="Y1282" s="31"/>
      <c r="Z1282" s="31"/>
      <c r="AA1282" s="31" t="s">
        <v>120</v>
      </c>
      <c r="AB1282" s="31" t="s">
        <v>5057</v>
      </c>
      <c r="AC1282" s="31"/>
    </row>
    <row r="1283" ht="16.5" customHeight="1">
      <c r="A1283" s="48" t="s">
        <v>5058</v>
      </c>
      <c r="B1283" s="53" t="s">
        <v>5059</v>
      </c>
      <c r="C1283" s="54">
        <v>0.0</v>
      </c>
      <c r="D1283" s="80" t="s">
        <v>5060</v>
      </c>
      <c r="E1283" s="55" t="s">
        <v>3441</v>
      </c>
      <c r="F1283" s="32" t="s">
        <v>48</v>
      </c>
      <c r="G1283" s="32" t="s">
        <v>35</v>
      </c>
      <c r="H1283" s="71" t="s">
        <v>35</v>
      </c>
      <c r="I1283" s="66" t="s">
        <v>36</v>
      </c>
      <c r="J1283" s="34" t="s">
        <v>37</v>
      </c>
      <c r="K1283" s="34" t="s">
        <v>5061</v>
      </c>
      <c r="L1283" s="25">
        <v>10846.0</v>
      </c>
      <c r="M1283" s="22" t="s">
        <v>50</v>
      </c>
      <c r="N1283" s="26" t="s">
        <v>4392</v>
      </c>
      <c r="O1283" s="28">
        <v>45436.36665315973</v>
      </c>
      <c r="P1283" s="26" t="s">
        <v>5062</v>
      </c>
      <c r="Q1283" s="12"/>
      <c r="R1283" s="12"/>
      <c r="S1283" s="12"/>
      <c r="T1283" s="29">
        <v>45407.0</v>
      </c>
      <c r="U1283" s="29">
        <v>45433.36665315973</v>
      </c>
      <c r="V1283" s="29">
        <v>45435.575001793986</v>
      </c>
      <c r="W1283" s="30"/>
      <c r="X1283" s="30"/>
      <c r="Y1283" s="31"/>
      <c r="Z1283" s="31"/>
      <c r="AA1283" s="31"/>
      <c r="AB1283" s="31" t="s">
        <v>5063</v>
      </c>
      <c r="AC1283" s="31"/>
    </row>
    <row r="1284" ht="16.5" customHeight="1">
      <c r="A1284" s="48" t="s">
        <v>5064</v>
      </c>
      <c r="B1284" s="53" t="s">
        <v>5059</v>
      </c>
      <c r="C1284" s="54">
        <v>27.0</v>
      </c>
      <c r="D1284" s="21" t="s">
        <v>5065</v>
      </c>
      <c r="E1284" s="55" t="s">
        <v>72</v>
      </c>
      <c r="F1284" s="32" t="s">
        <v>48</v>
      </c>
      <c r="G1284" s="32" t="s">
        <v>35</v>
      </c>
      <c r="H1284" s="71" t="s">
        <v>35</v>
      </c>
      <c r="I1284" s="66" t="s">
        <v>36</v>
      </c>
      <c r="J1284" s="34" t="s">
        <v>37</v>
      </c>
      <c r="K1284" s="34" t="s">
        <v>5061</v>
      </c>
      <c r="L1284" s="79" t="s">
        <v>5066</v>
      </c>
      <c r="M1284" s="22" t="s">
        <v>50</v>
      </c>
      <c r="N1284" s="26" t="s">
        <v>4392</v>
      </c>
      <c r="O1284" s="28">
        <v>45436.36673543981</v>
      </c>
      <c r="P1284" s="26" t="s">
        <v>5062</v>
      </c>
      <c r="Q1284" s="12"/>
      <c r="R1284" s="12"/>
      <c r="S1284" s="60"/>
      <c r="T1284" s="29">
        <v>45407.0</v>
      </c>
      <c r="U1284" s="29">
        <v>45433.36673543981</v>
      </c>
      <c r="V1284" s="29">
        <v>45435.58740974537</v>
      </c>
      <c r="W1284" s="30"/>
      <c r="X1284" s="30"/>
      <c r="Y1284" s="31"/>
      <c r="Z1284" s="31"/>
      <c r="AA1284" s="31"/>
      <c r="AB1284" s="31" t="s">
        <v>5067</v>
      </c>
      <c r="AC1284" s="31"/>
    </row>
    <row r="1285" ht="16.5" customHeight="1">
      <c r="A1285" s="48" t="s">
        <v>5068</v>
      </c>
      <c r="B1285" s="53" t="s">
        <v>3266</v>
      </c>
      <c r="C1285" s="47">
        <v>0.0</v>
      </c>
      <c r="D1285" s="80" t="s">
        <v>5069</v>
      </c>
      <c r="E1285" s="55" t="s">
        <v>243</v>
      </c>
      <c r="F1285" s="32" t="s">
        <v>244</v>
      </c>
      <c r="G1285" s="32" t="s">
        <v>35</v>
      </c>
      <c r="H1285" s="71" t="s">
        <v>35</v>
      </c>
      <c r="I1285" s="66" t="s">
        <v>36</v>
      </c>
      <c r="J1285" s="34" t="s">
        <v>65</v>
      </c>
      <c r="K1285" s="57" t="s">
        <v>38</v>
      </c>
      <c r="L1285" s="79" t="s">
        <v>5070</v>
      </c>
      <c r="M1285" s="22" t="s">
        <v>40</v>
      </c>
      <c r="N1285" s="26" t="s">
        <v>4518</v>
      </c>
      <c r="O1285" s="28">
        <v>45415.46640611111</v>
      </c>
      <c r="P1285" s="26" t="s">
        <v>5071</v>
      </c>
      <c r="Q1285" s="12"/>
      <c r="R1285" s="30"/>
      <c r="S1285" s="12"/>
      <c r="T1285" s="29">
        <v>45407.0</v>
      </c>
      <c r="U1285" s="29">
        <v>45407.0</v>
      </c>
      <c r="V1285" s="29">
        <v>45414.0</v>
      </c>
      <c r="W1285" s="30"/>
      <c r="X1285" s="30"/>
      <c r="Y1285" s="31"/>
      <c r="Z1285" s="31"/>
      <c r="AA1285" s="31" t="s">
        <v>94</v>
      </c>
      <c r="AB1285" s="31" t="s">
        <v>5072</v>
      </c>
      <c r="AC1285" s="31"/>
    </row>
    <row r="1286" ht="16.5" customHeight="1">
      <c r="A1286" s="48" t="s">
        <v>5073</v>
      </c>
      <c r="B1286" s="53" t="s">
        <v>3266</v>
      </c>
      <c r="C1286" s="47">
        <v>0.0</v>
      </c>
      <c r="D1286" s="80" t="s">
        <v>5074</v>
      </c>
      <c r="E1286" s="55" t="s">
        <v>243</v>
      </c>
      <c r="F1286" s="32" t="s">
        <v>244</v>
      </c>
      <c r="G1286" s="32" t="s">
        <v>35</v>
      </c>
      <c r="H1286" s="71" t="s">
        <v>35</v>
      </c>
      <c r="I1286" s="66" t="s">
        <v>36</v>
      </c>
      <c r="J1286" s="34" t="s">
        <v>65</v>
      </c>
      <c r="K1286" s="57" t="s">
        <v>38</v>
      </c>
      <c r="L1286" s="79" t="s">
        <v>5070</v>
      </c>
      <c r="M1286" s="22" t="s">
        <v>40</v>
      </c>
      <c r="N1286" s="26" t="s">
        <v>4518</v>
      </c>
      <c r="O1286" s="28">
        <v>45415.466498865746</v>
      </c>
      <c r="P1286" s="26" t="s">
        <v>5071</v>
      </c>
      <c r="Q1286" s="12"/>
      <c r="R1286" s="30"/>
      <c r="S1286" s="12"/>
      <c r="T1286" s="29">
        <v>45407.0</v>
      </c>
      <c r="U1286" s="29">
        <v>45407.0</v>
      </c>
      <c r="V1286" s="29">
        <v>45414.0</v>
      </c>
      <c r="W1286" s="30"/>
      <c r="X1286" s="30"/>
      <c r="Y1286" s="31"/>
      <c r="Z1286" s="31"/>
      <c r="AA1286" s="31" t="s">
        <v>94</v>
      </c>
      <c r="AB1286" s="31" t="s">
        <v>5075</v>
      </c>
      <c r="AC1286" s="31"/>
    </row>
    <row r="1287" ht="16.5" customHeight="1">
      <c r="A1287" s="48" t="s">
        <v>5076</v>
      </c>
      <c r="B1287" s="53" t="s">
        <v>5077</v>
      </c>
      <c r="C1287" s="54">
        <v>11.0</v>
      </c>
      <c r="D1287" s="70" t="s">
        <v>5078</v>
      </c>
      <c r="E1287" s="55" t="s">
        <v>112</v>
      </c>
      <c r="F1287" s="32" t="s">
        <v>48</v>
      </c>
      <c r="G1287" s="32" t="s">
        <v>35</v>
      </c>
      <c r="H1287" s="71" t="s">
        <v>35</v>
      </c>
      <c r="I1287" s="66" t="s">
        <v>36</v>
      </c>
      <c r="J1287" s="34" t="s">
        <v>37</v>
      </c>
      <c r="K1287" s="34" t="s">
        <v>5061</v>
      </c>
      <c r="L1287" s="79" t="s">
        <v>5079</v>
      </c>
      <c r="M1287" s="22" t="s">
        <v>50</v>
      </c>
      <c r="N1287" s="26" t="s">
        <v>41</v>
      </c>
      <c r="O1287" s="28">
        <v>45411.59482427083</v>
      </c>
      <c r="P1287" s="26" t="s">
        <v>5080</v>
      </c>
      <c r="Q1287" s="12"/>
      <c r="R1287" s="12"/>
      <c r="S1287" s="12"/>
      <c r="T1287" s="29">
        <v>45408.0</v>
      </c>
      <c r="U1287" s="29">
        <v>45408.0</v>
      </c>
      <c r="V1287" s="29">
        <v>45411.39092560185</v>
      </c>
      <c r="W1287" s="30"/>
      <c r="X1287" s="30"/>
      <c r="Y1287" s="31"/>
      <c r="Z1287" s="31"/>
      <c r="AA1287" s="31" t="s">
        <v>108</v>
      </c>
      <c r="AB1287" s="31" t="s">
        <v>5081</v>
      </c>
      <c r="AC1287" s="31"/>
    </row>
    <row r="1288" ht="16.5" customHeight="1">
      <c r="A1288" s="48" t="s">
        <v>5082</v>
      </c>
      <c r="B1288" s="53" t="s">
        <v>63</v>
      </c>
      <c r="C1288" s="47">
        <v>27.0</v>
      </c>
      <c r="D1288" s="70" t="s">
        <v>5083</v>
      </c>
      <c r="E1288" s="55" t="s">
        <v>72</v>
      </c>
      <c r="F1288" s="32" t="s">
        <v>48</v>
      </c>
      <c r="G1288" s="32" t="s">
        <v>35</v>
      </c>
      <c r="H1288" s="71" t="s">
        <v>35</v>
      </c>
      <c r="I1288" s="71" t="s">
        <v>36</v>
      </c>
      <c r="J1288" s="34" t="s">
        <v>65</v>
      </c>
      <c r="K1288" s="57" t="s">
        <v>38</v>
      </c>
      <c r="L1288" s="72">
        <v>10704.0</v>
      </c>
      <c r="M1288" s="22"/>
      <c r="N1288" s="73"/>
      <c r="O1288" s="28">
        <v>45418.0</v>
      </c>
      <c r="P1288" s="35" t="s">
        <v>5084</v>
      </c>
      <c r="Q1288" s="12"/>
      <c r="R1288" s="12"/>
      <c r="S1288" s="12"/>
      <c r="T1288" s="52">
        <v>45408.0</v>
      </c>
      <c r="U1288" s="52">
        <v>45408.0</v>
      </c>
      <c r="V1288" s="52">
        <v>45418.0</v>
      </c>
      <c r="W1288" s="30"/>
      <c r="X1288" s="30"/>
      <c r="Y1288" s="31"/>
      <c r="Z1288" s="31"/>
      <c r="AA1288" s="78" t="s">
        <v>94</v>
      </c>
      <c r="AB1288" s="74" t="s">
        <v>5085</v>
      </c>
      <c r="AC1288" s="74"/>
    </row>
    <row r="1289" ht="16.5" customHeight="1">
      <c r="A1289" s="48" t="s">
        <v>5086</v>
      </c>
      <c r="B1289" s="53" t="s">
        <v>63</v>
      </c>
      <c r="C1289" s="47">
        <v>27.0</v>
      </c>
      <c r="D1289" s="70" t="s">
        <v>5087</v>
      </c>
      <c r="E1289" s="55" t="s">
        <v>72</v>
      </c>
      <c r="F1289" s="32" t="s">
        <v>48</v>
      </c>
      <c r="G1289" s="32" t="s">
        <v>35</v>
      </c>
      <c r="H1289" s="71" t="s">
        <v>35</v>
      </c>
      <c r="I1289" s="71" t="s">
        <v>36</v>
      </c>
      <c r="J1289" s="34" t="s">
        <v>65</v>
      </c>
      <c r="K1289" s="57" t="s">
        <v>38</v>
      </c>
      <c r="L1289" s="72">
        <v>10704.0</v>
      </c>
      <c r="M1289" s="22"/>
      <c r="N1289" s="73"/>
      <c r="O1289" s="28">
        <v>45418.0</v>
      </c>
      <c r="P1289" s="35" t="s">
        <v>5088</v>
      </c>
      <c r="Q1289" s="12"/>
      <c r="R1289" s="12"/>
      <c r="S1289" s="12"/>
      <c r="T1289" s="52">
        <v>45408.0</v>
      </c>
      <c r="U1289" s="52">
        <v>45408.0</v>
      </c>
      <c r="V1289" s="52">
        <v>45418.0</v>
      </c>
      <c r="W1289" s="30"/>
      <c r="X1289" s="30"/>
      <c r="Y1289" s="31"/>
      <c r="Z1289" s="31"/>
      <c r="AA1289" s="78" t="s">
        <v>94</v>
      </c>
      <c r="AB1289" s="74" t="s">
        <v>5089</v>
      </c>
      <c r="AC1289" s="74"/>
    </row>
    <row r="1290" ht="16.5" customHeight="1">
      <c r="A1290" s="48" t="s">
        <v>5090</v>
      </c>
      <c r="B1290" s="53" t="s">
        <v>63</v>
      </c>
      <c r="C1290" s="47">
        <v>27.0</v>
      </c>
      <c r="D1290" s="70" t="s">
        <v>5091</v>
      </c>
      <c r="E1290" s="55" t="s">
        <v>72</v>
      </c>
      <c r="F1290" s="32" t="s">
        <v>48</v>
      </c>
      <c r="G1290" s="32" t="s">
        <v>35</v>
      </c>
      <c r="H1290" s="71" t="s">
        <v>35</v>
      </c>
      <c r="I1290" s="71" t="s">
        <v>36</v>
      </c>
      <c r="J1290" s="34" t="s">
        <v>65</v>
      </c>
      <c r="K1290" s="57" t="s">
        <v>38</v>
      </c>
      <c r="L1290" s="72">
        <v>10704.0</v>
      </c>
      <c r="M1290" s="22"/>
      <c r="N1290" s="73"/>
      <c r="O1290" s="28">
        <v>45418.0</v>
      </c>
      <c r="P1290" s="35" t="s">
        <v>5092</v>
      </c>
      <c r="Q1290" s="12"/>
      <c r="R1290" s="12"/>
      <c r="S1290" s="12"/>
      <c r="T1290" s="52">
        <v>45408.0</v>
      </c>
      <c r="U1290" s="52">
        <v>45408.0</v>
      </c>
      <c r="V1290" s="52">
        <v>45418.0</v>
      </c>
      <c r="W1290" s="30"/>
      <c r="X1290" s="30"/>
      <c r="Y1290" s="31"/>
      <c r="Z1290" s="31"/>
      <c r="AA1290" s="78" t="s">
        <v>94</v>
      </c>
      <c r="AB1290" s="74" t="s">
        <v>5093</v>
      </c>
      <c r="AC1290" s="74"/>
    </row>
    <row r="1291" ht="16.5" customHeight="1">
      <c r="A1291" s="48" t="s">
        <v>5094</v>
      </c>
      <c r="B1291" s="53" t="s">
        <v>115</v>
      </c>
      <c r="C1291" s="54">
        <v>90.0</v>
      </c>
      <c r="D1291" s="70" t="s">
        <v>5095</v>
      </c>
      <c r="E1291" s="55" t="s">
        <v>91</v>
      </c>
      <c r="F1291" s="32" t="s">
        <v>48</v>
      </c>
      <c r="G1291" s="32" t="s">
        <v>35</v>
      </c>
      <c r="H1291" s="71" t="s">
        <v>35</v>
      </c>
      <c r="I1291" s="66" t="s">
        <v>36</v>
      </c>
      <c r="J1291" s="34" t="s">
        <v>92</v>
      </c>
      <c r="K1291" s="57" t="s">
        <v>38</v>
      </c>
      <c r="L1291" s="79" t="s">
        <v>5096</v>
      </c>
      <c r="M1291" s="22" t="s">
        <v>50</v>
      </c>
      <c r="N1291" s="26" t="s">
        <v>5097</v>
      </c>
      <c r="O1291" s="28">
        <v>45412.37813138889</v>
      </c>
      <c r="P1291" s="26" t="s">
        <v>5098</v>
      </c>
      <c r="Q1291" s="12"/>
      <c r="R1291" s="12"/>
      <c r="S1291" s="60"/>
      <c r="T1291" s="29">
        <v>45408.0</v>
      </c>
      <c r="U1291" s="29">
        <v>45412.0</v>
      </c>
      <c r="V1291" s="29">
        <v>45412.374456875</v>
      </c>
      <c r="W1291" s="30"/>
      <c r="X1291" s="30"/>
      <c r="Y1291" s="31"/>
      <c r="Z1291" s="31"/>
      <c r="AA1291" s="31" t="s">
        <v>120</v>
      </c>
      <c r="AB1291" s="31" t="s">
        <v>5099</v>
      </c>
      <c r="AC1291" s="31"/>
    </row>
    <row r="1292" ht="16.5" customHeight="1">
      <c r="A1292" s="48" t="s">
        <v>5100</v>
      </c>
      <c r="B1292" s="53" t="s">
        <v>1697</v>
      </c>
      <c r="C1292" s="47">
        <v>0.0</v>
      </c>
      <c r="D1292" s="80" t="s">
        <v>5101</v>
      </c>
      <c r="E1292" s="55" t="s">
        <v>217</v>
      </c>
      <c r="F1292" s="32" t="s">
        <v>33</v>
      </c>
      <c r="G1292" s="32" t="s">
        <v>35</v>
      </c>
      <c r="H1292" s="71" t="s">
        <v>35</v>
      </c>
      <c r="I1292" s="66" t="s">
        <v>36</v>
      </c>
      <c r="J1292" s="34" t="s">
        <v>65</v>
      </c>
      <c r="K1292" s="57" t="s">
        <v>38</v>
      </c>
      <c r="L1292" s="25">
        <v>10863.0</v>
      </c>
      <c r="M1292" s="22" t="s">
        <v>40</v>
      </c>
      <c r="N1292" s="26" t="s">
        <v>5102</v>
      </c>
      <c r="O1292" s="28">
        <v>45440.49815137732</v>
      </c>
      <c r="P1292" s="26" t="s">
        <v>5103</v>
      </c>
      <c r="Q1292" s="12"/>
      <c r="R1292" s="30"/>
      <c r="S1292" s="60"/>
      <c r="T1292" s="29">
        <v>45408.0</v>
      </c>
      <c r="U1292" s="29">
        <v>45421.0</v>
      </c>
      <c r="V1292" s="29">
        <v>45439.0</v>
      </c>
      <c r="W1292" s="30"/>
      <c r="X1292" s="30"/>
      <c r="Y1292" s="31"/>
      <c r="Z1292" s="31"/>
      <c r="AA1292" s="31"/>
      <c r="AB1292" s="31" t="s">
        <v>5104</v>
      </c>
      <c r="AC1292" s="31"/>
    </row>
    <row r="1293" ht="16.5" customHeight="1">
      <c r="A1293" s="48" t="s">
        <v>5105</v>
      </c>
      <c r="B1293" s="53" t="s">
        <v>5106</v>
      </c>
      <c r="C1293" s="47">
        <v>0.0</v>
      </c>
      <c r="D1293" s="80" t="s">
        <v>5107</v>
      </c>
      <c r="E1293" s="55" t="s">
        <v>794</v>
      </c>
      <c r="F1293" s="32" t="s">
        <v>33</v>
      </c>
      <c r="G1293" s="32" t="s">
        <v>35</v>
      </c>
      <c r="H1293" s="71" t="s">
        <v>35</v>
      </c>
      <c r="I1293" s="66" t="s">
        <v>36</v>
      </c>
      <c r="J1293" s="34" t="s">
        <v>37</v>
      </c>
      <c r="K1293" s="34" t="s">
        <v>447</v>
      </c>
      <c r="L1293" s="25">
        <v>10765.0</v>
      </c>
      <c r="M1293" s="22" t="s">
        <v>40</v>
      </c>
      <c r="N1293" s="26" t="s">
        <v>41</v>
      </c>
      <c r="O1293" s="28">
        <v>45421.661120833334</v>
      </c>
      <c r="P1293" s="26" t="s">
        <v>5108</v>
      </c>
      <c r="Q1293" s="12"/>
      <c r="R1293" s="30"/>
      <c r="S1293" s="12"/>
      <c r="T1293" s="29">
        <v>45408.0</v>
      </c>
      <c r="U1293" s="29">
        <v>45412.0</v>
      </c>
      <c r="V1293" s="29">
        <v>45421.0</v>
      </c>
      <c r="W1293" s="30"/>
      <c r="X1293" s="30"/>
      <c r="Y1293" s="31"/>
      <c r="Z1293" s="31"/>
      <c r="AA1293" s="31" t="s">
        <v>108</v>
      </c>
      <c r="AB1293" s="31" t="s">
        <v>5109</v>
      </c>
      <c r="AC1293" s="31"/>
    </row>
    <row r="1294" ht="16.5" customHeight="1">
      <c r="A1294" s="48" t="s">
        <v>5110</v>
      </c>
      <c r="B1294" s="53" t="s">
        <v>911</v>
      </c>
      <c r="C1294" s="54">
        <v>1.0</v>
      </c>
      <c r="D1294" s="70" t="s">
        <v>5111</v>
      </c>
      <c r="E1294" s="55" t="s">
        <v>3395</v>
      </c>
      <c r="F1294" s="32" t="s">
        <v>48</v>
      </c>
      <c r="G1294" s="32" t="s">
        <v>35</v>
      </c>
      <c r="H1294" s="71" t="s">
        <v>35</v>
      </c>
      <c r="I1294" s="66" t="s">
        <v>36</v>
      </c>
      <c r="J1294" s="34" t="s">
        <v>49</v>
      </c>
      <c r="K1294" s="57" t="s">
        <v>38</v>
      </c>
      <c r="L1294" s="79" t="s">
        <v>5112</v>
      </c>
      <c r="M1294" s="22" t="s">
        <v>50</v>
      </c>
      <c r="N1294" s="26" t="s">
        <v>4183</v>
      </c>
      <c r="O1294" s="28">
        <v>45411.61761783565</v>
      </c>
      <c r="P1294" s="26" t="s">
        <v>5113</v>
      </c>
      <c r="Q1294" s="12"/>
      <c r="R1294" s="12"/>
      <c r="S1294" s="12"/>
      <c r="T1294" s="29">
        <v>45408.0</v>
      </c>
      <c r="U1294" s="29">
        <v>45408.0</v>
      </c>
      <c r="V1294" s="29">
        <v>45411.381092129624</v>
      </c>
      <c r="W1294" s="30"/>
      <c r="X1294" s="30"/>
      <c r="Y1294" s="31"/>
      <c r="Z1294" s="31"/>
      <c r="AA1294" s="31" t="s">
        <v>3053</v>
      </c>
      <c r="AB1294" s="31" t="s">
        <v>5114</v>
      </c>
      <c r="AC1294" s="31"/>
    </row>
    <row r="1295" ht="16.5" customHeight="1">
      <c r="A1295" s="48" t="s">
        <v>5115</v>
      </c>
      <c r="B1295" s="53" t="s">
        <v>911</v>
      </c>
      <c r="C1295" s="54">
        <v>1.0</v>
      </c>
      <c r="D1295" s="70" t="s">
        <v>5116</v>
      </c>
      <c r="E1295" s="55" t="s">
        <v>3395</v>
      </c>
      <c r="F1295" s="32" t="s">
        <v>48</v>
      </c>
      <c r="G1295" s="32" t="s">
        <v>35</v>
      </c>
      <c r="H1295" s="71" t="s">
        <v>35</v>
      </c>
      <c r="I1295" s="66" t="s">
        <v>36</v>
      </c>
      <c r="J1295" s="34" t="s">
        <v>49</v>
      </c>
      <c r="K1295" s="57" t="s">
        <v>38</v>
      </c>
      <c r="L1295" s="79" t="s">
        <v>5112</v>
      </c>
      <c r="M1295" s="22" t="s">
        <v>50</v>
      </c>
      <c r="N1295" s="26" t="s">
        <v>4183</v>
      </c>
      <c r="O1295" s="28">
        <v>45411.61769596065</v>
      </c>
      <c r="P1295" s="26" t="s">
        <v>5113</v>
      </c>
      <c r="Q1295" s="12"/>
      <c r="R1295" s="12"/>
      <c r="S1295" s="12"/>
      <c r="T1295" s="29">
        <v>45408.0</v>
      </c>
      <c r="U1295" s="29">
        <v>45408.0</v>
      </c>
      <c r="V1295" s="29">
        <v>45411.381266446755</v>
      </c>
      <c r="W1295" s="30"/>
      <c r="X1295" s="30"/>
      <c r="Y1295" s="31"/>
      <c r="Z1295" s="31"/>
      <c r="AA1295" s="31" t="s">
        <v>3053</v>
      </c>
      <c r="AB1295" s="31" t="s">
        <v>5117</v>
      </c>
      <c r="AC1295" s="31"/>
    </row>
    <row r="1296" ht="16.5" customHeight="1">
      <c r="A1296" s="48" t="s">
        <v>5118</v>
      </c>
      <c r="B1296" s="53" t="s">
        <v>911</v>
      </c>
      <c r="C1296" s="54">
        <v>0.0</v>
      </c>
      <c r="D1296" s="80" t="s">
        <v>5119</v>
      </c>
      <c r="E1296" s="55" t="s">
        <v>3441</v>
      </c>
      <c r="F1296" s="32" t="s">
        <v>48</v>
      </c>
      <c r="G1296" s="32" t="s">
        <v>35</v>
      </c>
      <c r="H1296" s="71" t="s">
        <v>35</v>
      </c>
      <c r="I1296" s="66" t="s">
        <v>36</v>
      </c>
      <c r="J1296" s="34" t="s">
        <v>49</v>
      </c>
      <c r="K1296" s="57" t="s">
        <v>38</v>
      </c>
      <c r="L1296" s="25">
        <v>10840.0</v>
      </c>
      <c r="M1296" s="22" t="s">
        <v>50</v>
      </c>
      <c r="N1296" s="26" t="s">
        <v>106</v>
      </c>
      <c r="O1296" s="28">
        <v>45435.677155868056</v>
      </c>
      <c r="P1296" s="26" t="s">
        <v>5113</v>
      </c>
      <c r="Q1296" s="12"/>
      <c r="R1296" s="12"/>
      <c r="S1296" s="12"/>
      <c r="T1296" s="29">
        <v>45408.0</v>
      </c>
      <c r="U1296" s="29">
        <v>45408.0</v>
      </c>
      <c r="V1296" s="29">
        <v>45435.575007384265</v>
      </c>
      <c r="W1296" s="30"/>
      <c r="X1296" s="30"/>
      <c r="Y1296" s="31"/>
      <c r="Z1296" s="31"/>
      <c r="AA1296" s="31" t="s">
        <v>3053</v>
      </c>
      <c r="AB1296" s="31" t="s">
        <v>5120</v>
      </c>
      <c r="AC1296" s="31"/>
    </row>
    <row r="1297" ht="16.5" customHeight="1">
      <c r="A1297" s="48" t="s">
        <v>5121</v>
      </c>
      <c r="B1297" s="53" t="s">
        <v>911</v>
      </c>
      <c r="C1297" s="54">
        <v>27.0</v>
      </c>
      <c r="D1297" s="21" t="s">
        <v>5122</v>
      </c>
      <c r="E1297" s="55" t="s">
        <v>72</v>
      </c>
      <c r="F1297" s="32" t="s">
        <v>48</v>
      </c>
      <c r="G1297" s="32" t="s">
        <v>35</v>
      </c>
      <c r="H1297" s="71" t="s">
        <v>35</v>
      </c>
      <c r="I1297" s="66" t="s">
        <v>36</v>
      </c>
      <c r="J1297" s="34" t="s">
        <v>49</v>
      </c>
      <c r="K1297" s="57" t="s">
        <v>38</v>
      </c>
      <c r="L1297" s="79" t="s">
        <v>5112</v>
      </c>
      <c r="M1297" s="22" t="s">
        <v>50</v>
      </c>
      <c r="N1297" s="26" t="s">
        <v>4183</v>
      </c>
      <c r="O1297" s="28">
        <v>45411.617798935185</v>
      </c>
      <c r="P1297" s="26" t="s">
        <v>5113</v>
      </c>
      <c r="Q1297" s="12"/>
      <c r="R1297" s="12"/>
      <c r="S1297" s="60"/>
      <c r="T1297" s="29">
        <v>45408.0</v>
      </c>
      <c r="U1297" s="29">
        <v>45408.0</v>
      </c>
      <c r="V1297" s="29">
        <v>45411.38142127315</v>
      </c>
      <c r="W1297" s="30"/>
      <c r="X1297" s="30"/>
      <c r="Y1297" s="31"/>
      <c r="Z1297" s="31"/>
      <c r="AA1297" s="31" t="s">
        <v>3053</v>
      </c>
      <c r="AB1297" s="31" t="s">
        <v>5123</v>
      </c>
      <c r="AC1297" s="31"/>
    </row>
    <row r="1298" ht="16.5" customHeight="1">
      <c r="A1298" s="48" t="s">
        <v>5124</v>
      </c>
      <c r="B1298" s="53" t="s">
        <v>911</v>
      </c>
      <c r="C1298" s="54">
        <v>27.0</v>
      </c>
      <c r="D1298" s="21" t="s">
        <v>5125</v>
      </c>
      <c r="E1298" s="55" t="s">
        <v>72</v>
      </c>
      <c r="F1298" s="32" t="s">
        <v>48</v>
      </c>
      <c r="G1298" s="32" t="s">
        <v>35</v>
      </c>
      <c r="H1298" s="71" t="s">
        <v>35</v>
      </c>
      <c r="I1298" s="66" t="s">
        <v>36</v>
      </c>
      <c r="J1298" s="34" t="s">
        <v>49</v>
      </c>
      <c r="K1298" s="57" t="s">
        <v>38</v>
      </c>
      <c r="L1298" s="79" t="s">
        <v>5112</v>
      </c>
      <c r="M1298" s="22" t="s">
        <v>50</v>
      </c>
      <c r="N1298" s="26" t="s">
        <v>4183</v>
      </c>
      <c r="O1298" s="28">
        <v>45411.61786131945</v>
      </c>
      <c r="P1298" s="26" t="s">
        <v>5113</v>
      </c>
      <c r="Q1298" s="12"/>
      <c r="R1298" s="12"/>
      <c r="S1298" s="60"/>
      <c r="T1298" s="29">
        <v>45408.0</v>
      </c>
      <c r="U1298" s="29">
        <v>45408.0</v>
      </c>
      <c r="V1298" s="29">
        <v>45411.38159733797</v>
      </c>
      <c r="W1298" s="30"/>
      <c r="X1298" s="30"/>
      <c r="Y1298" s="31"/>
      <c r="Z1298" s="31"/>
      <c r="AA1298" s="31" t="s">
        <v>3053</v>
      </c>
      <c r="AB1298" s="31" t="s">
        <v>5126</v>
      </c>
      <c r="AC1298" s="31"/>
    </row>
    <row r="1299" ht="16.5" customHeight="1">
      <c r="A1299" s="48" t="s">
        <v>5127</v>
      </c>
      <c r="B1299" s="53" t="s">
        <v>5128</v>
      </c>
      <c r="C1299" s="47">
        <v>90.0</v>
      </c>
      <c r="D1299" s="70"/>
      <c r="E1299" s="55" t="s">
        <v>91</v>
      </c>
      <c r="F1299" s="32" t="s">
        <v>48</v>
      </c>
      <c r="G1299" s="32" t="s">
        <v>35</v>
      </c>
      <c r="H1299" s="71" t="s">
        <v>35</v>
      </c>
      <c r="I1299" s="71" t="s">
        <v>665</v>
      </c>
      <c r="J1299" s="34" t="s">
        <v>65</v>
      </c>
      <c r="K1299" s="57" t="s">
        <v>38</v>
      </c>
      <c r="L1299" s="72">
        <v>10707.0</v>
      </c>
      <c r="M1299" s="22"/>
      <c r="N1299" s="73"/>
      <c r="O1299" s="28">
        <v>45416.0</v>
      </c>
      <c r="P1299" s="35" t="s">
        <v>5129</v>
      </c>
      <c r="Q1299" s="12"/>
      <c r="R1299" s="12"/>
      <c r="S1299" s="12"/>
      <c r="T1299" s="52">
        <v>45406.0</v>
      </c>
      <c r="U1299" s="52">
        <v>45377.0</v>
      </c>
      <c r="V1299" s="52">
        <v>45385.0</v>
      </c>
      <c r="W1299" s="30"/>
      <c r="X1299" s="30"/>
      <c r="Y1299" s="31"/>
      <c r="Z1299" s="31"/>
      <c r="AA1299" s="31"/>
      <c r="AB1299" s="74" t="s">
        <v>5130</v>
      </c>
      <c r="AC1299" s="74"/>
    </row>
    <row r="1300" ht="16.5" customHeight="1">
      <c r="A1300" s="48" t="s">
        <v>5131</v>
      </c>
      <c r="B1300" s="53" t="s">
        <v>4215</v>
      </c>
      <c r="C1300" s="47">
        <v>0.0</v>
      </c>
      <c r="D1300" s="80"/>
      <c r="E1300" s="55" t="s">
        <v>532</v>
      </c>
      <c r="F1300" s="32" t="s">
        <v>244</v>
      </c>
      <c r="G1300" s="32" t="s">
        <v>35</v>
      </c>
      <c r="H1300" s="71" t="s">
        <v>35</v>
      </c>
      <c r="I1300" s="66" t="s">
        <v>36</v>
      </c>
      <c r="J1300" s="34" t="s">
        <v>420</v>
      </c>
      <c r="K1300" s="57" t="s">
        <v>38</v>
      </c>
      <c r="L1300" s="79" t="s">
        <v>5132</v>
      </c>
      <c r="M1300" s="22" t="s">
        <v>40</v>
      </c>
      <c r="N1300" s="26" t="s">
        <v>4031</v>
      </c>
      <c r="O1300" s="28">
        <v>45415.56743023148</v>
      </c>
      <c r="P1300" s="26" t="s">
        <v>5133</v>
      </c>
      <c r="Q1300" s="12"/>
      <c r="R1300" s="30"/>
      <c r="S1300" s="12"/>
      <c r="T1300" s="29">
        <v>45411.0</v>
      </c>
      <c r="U1300" s="29">
        <v>45411.0</v>
      </c>
      <c r="V1300" s="29">
        <v>45412.0</v>
      </c>
      <c r="W1300" s="30"/>
      <c r="X1300" s="30"/>
      <c r="Y1300" s="31"/>
      <c r="Z1300" s="31"/>
      <c r="AA1300" s="31" t="s">
        <v>120</v>
      </c>
      <c r="AB1300" s="31" t="s">
        <v>5134</v>
      </c>
      <c r="AC1300" s="31"/>
    </row>
    <row r="1301" ht="16.5" customHeight="1">
      <c r="A1301" s="48" t="s">
        <v>5135</v>
      </c>
      <c r="B1301" s="53" t="s">
        <v>1299</v>
      </c>
      <c r="C1301" s="47">
        <v>0.0</v>
      </c>
      <c r="D1301" s="80"/>
      <c r="E1301" s="55" t="s">
        <v>532</v>
      </c>
      <c r="F1301" s="32" t="s">
        <v>244</v>
      </c>
      <c r="G1301" s="32" t="s">
        <v>35</v>
      </c>
      <c r="H1301" s="71" t="s">
        <v>35</v>
      </c>
      <c r="I1301" s="66" t="s">
        <v>36</v>
      </c>
      <c r="J1301" s="34" t="s">
        <v>92</v>
      </c>
      <c r="K1301" s="57" t="s">
        <v>38</v>
      </c>
      <c r="L1301" s="25">
        <v>10761.0</v>
      </c>
      <c r="M1301" s="22" t="s">
        <v>40</v>
      </c>
      <c r="N1301" s="26" t="s">
        <v>4250</v>
      </c>
      <c r="O1301" s="28">
        <v>45434.40069444444</v>
      </c>
      <c r="P1301" s="35" t="s">
        <v>5136</v>
      </c>
      <c r="Q1301" s="12"/>
      <c r="R1301" s="30"/>
      <c r="S1301" s="12"/>
      <c r="T1301" s="29">
        <v>45411.0</v>
      </c>
      <c r="U1301" s="29">
        <v>45411.0</v>
      </c>
      <c r="V1301" s="29">
        <v>45419.0</v>
      </c>
      <c r="W1301" s="30"/>
      <c r="X1301" s="30"/>
      <c r="Y1301" s="31"/>
      <c r="Z1301" s="31"/>
      <c r="AA1301" s="31" t="s">
        <v>120</v>
      </c>
      <c r="AB1301" s="31" t="s">
        <v>5137</v>
      </c>
      <c r="AC1301" s="31"/>
    </row>
    <row r="1302" ht="16.5" customHeight="1">
      <c r="A1302" s="48" t="s">
        <v>5138</v>
      </c>
      <c r="B1302" s="53" t="s">
        <v>1299</v>
      </c>
      <c r="C1302" s="47">
        <v>0.0</v>
      </c>
      <c r="D1302" s="80" t="s">
        <v>5139</v>
      </c>
      <c r="E1302" s="55" t="s">
        <v>532</v>
      </c>
      <c r="F1302" s="32" t="s">
        <v>244</v>
      </c>
      <c r="G1302" s="32" t="s">
        <v>35</v>
      </c>
      <c r="H1302" s="71" t="s">
        <v>35</v>
      </c>
      <c r="I1302" s="66" t="s">
        <v>36</v>
      </c>
      <c r="J1302" s="34" t="s">
        <v>92</v>
      </c>
      <c r="K1302" s="57" t="s">
        <v>38</v>
      </c>
      <c r="L1302" s="25">
        <v>10761.0</v>
      </c>
      <c r="M1302" s="22" t="s">
        <v>40</v>
      </c>
      <c r="N1302" s="26" t="s">
        <v>4250</v>
      </c>
      <c r="O1302" s="28">
        <v>45434.40069444444</v>
      </c>
      <c r="P1302" s="26" t="s">
        <v>5140</v>
      </c>
      <c r="Q1302" s="12"/>
      <c r="R1302" s="30"/>
      <c r="S1302" s="12"/>
      <c r="T1302" s="29">
        <v>45411.0</v>
      </c>
      <c r="U1302" s="29">
        <v>45411.0</v>
      </c>
      <c r="V1302" s="29">
        <v>45420.0</v>
      </c>
      <c r="W1302" s="30"/>
      <c r="X1302" s="30"/>
      <c r="Y1302" s="31"/>
      <c r="Z1302" s="31"/>
      <c r="AA1302" s="31" t="s">
        <v>120</v>
      </c>
      <c r="AB1302" s="31" t="s">
        <v>5141</v>
      </c>
      <c r="AC1302" s="31"/>
    </row>
    <row r="1303" ht="16.5" customHeight="1">
      <c r="A1303" s="48" t="s">
        <v>5142</v>
      </c>
      <c r="B1303" s="53" t="s">
        <v>96</v>
      </c>
      <c r="C1303" s="47">
        <v>0.0</v>
      </c>
      <c r="D1303" s="80" t="s">
        <v>5143</v>
      </c>
      <c r="E1303" s="55" t="s">
        <v>213</v>
      </c>
      <c r="F1303" s="32" t="s">
        <v>33</v>
      </c>
      <c r="G1303" s="32" t="s">
        <v>34</v>
      </c>
      <c r="H1303" s="71" t="s">
        <v>35</v>
      </c>
      <c r="I1303" s="66" t="s">
        <v>36</v>
      </c>
      <c r="J1303" s="34" t="s">
        <v>49</v>
      </c>
      <c r="K1303" s="57" t="s">
        <v>38</v>
      </c>
      <c r="L1303" s="79" t="s">
        <v>5144</v>
      </c>
      <c r="M1303" s="22" t="s">
        <v>40</v>
      </c>
      <c r="N1303" s="26" t="s">
        <v>3694</v>
      </c>
      <c r="O1303" s="28">
        <v>45415.70790489583</v>
      </c>
      <c r="P1303" s="26" t="s">
        <v>5145</v>
      </c>
      <c r="Q1303" s="12"/>
      <c r="R1303" s="30"/>
      <c r="S1303" s="12"/>
      <c r="T1303" s="29">
        <v>45412.0</v>
      </c>
      <c r="U1303" s="29">
        <v>45412.0</v>
      </c>
      <c r="V1303" s="29">
        <v>45414.0</v>
      </c>
      <c r="W1303" s="30"/>
      <c r="X1303" s="30"/>
      <c r="Y1303" s="31"/>
      <c r="Z1303" s="31"/>
      <c r="AA1303" s="31" t="s">
        <v>102</v>
      </c>
      <c r="AB1303" s="31" t="s">
        <v>5146</v>
      </c>
      <c r="AC1303" s="31"/>
    </row>
    <row r="1304" ht="16.5" customHeight="1">
      <c r="A1304" s="48" t="s">
        <v>5147</v>
      </c>
      <c r="B1304" s="53" t="s">
        <v>96</v>
      </c>
      <c r="C1304" s="47">
        <v>0.0</v>
      </c>
      <c r="D1304" s="80" t="s">
        <v>5148</v>
      </c>
      <c r="E1304" s="55" t="s">
        <v>213</v>
      </c>
      <c r="F1304" s="32" t="s">
        <v>33</v>
      </c>
      <c r="G1304" s="32" t="s">
        <v>34</v>
      </c>
      <c r="H1304" s="71" t="s">
        <v>35</v>
      </c>
      <c r="I1304" s="66" t="s">
        <v>36</v>
      </c>
      <c r="J1304" s="34" t="s">
        <v>49</v>
      </c>
      <c r="K1304" s="57" t="s">
        <v>38</v>
      </c>
      <c r="L1304" s="79" t="s">
        <v>5149</v>
      </c>
      <c r="M1304" s="22" t="s">
        <v>40</v>
      </c>
      <c r="N1304" s="26" t="s">
        <v>3694</v>
      </c>
      <c r="O1304" s="28">
        <v>45415.70797076389</v>
      </c>
      <c r="P1304" s="26" t="s">
        <v>5150</v>
      </c>
      <c r="Q1304" s="12"/>
      <c r="R1304" s="30"/>
      <c r="S1304" s="12"/>
      <c r="T1304" s="29">
        <v>45412.0</v>
      </c>
      <c r="U1304" s="29">
        <v>45412.0</v>
      </c>
      <c r="V1304" s="29">
        <v>45414.0</v>
      </c>
      <c r="W1304" s="30"/>
      <c r="X1304" s="30"/>
      <c r="Y1304" s="31"/>
      <c r="Z1304" s="31"/>
      <c r="AA1304" s="31" t="s">
        <v>102</v>
      </c>
      <c r="AB1304" s="31" t="s">
        <v>5151</v>
      </c>
      <c r="AC1304" s="31"/>
    </row>
    <row r="1305" ht="16.5" customHeight="1">
      <c r="A1305" s="48" t="s">
        <v>5152</v>
      </c>
      <c r="B1305" s="53" t="s">
        <v>96</v>
      </c>
      <c r="C1305" s="47">
        <v>0.0</v>
      </c>
      <c r="D1305" s="80" t="s">
        <v>5153</v>
      </c>
      <c r="E1305" s="55" t="s">
        <v>213</v>
      </c>
      <c r="F1305" s="32" t="s">
        <v>33</v>
      </c>
      <c r="G1305" s="32" t="s">
        <v>34</v>
      </c>
      <c r="H1305" s="71" t="s">
        <v>35</v>
      </c>
      <c r="I1305" s="66" t="s">
        <v>36</v>
      </c>
      <c r="J1305" s="34" t="s">
        <v>49</v>
      </c>
      <c r="K1305" s="57" t="s">
        <v>38</v>
      </c>
      <c r="L1305" s="79" t="s">
        <v>5154</v>
      </c>
      <c r="M1305" s="22" t="s">
        <v>40</v>
      </c>
      <c r="N1305" s="26" t="s">
        <v>3694</v>
      </c>
      <c r="O1305" s="28">
        <v>45415.708052256945</v>
      </c>
      <c r="P1305" s="26" t="s">
        <v>5155</v>
      </c>
      <c r="Q1305" s="12"/>
      <c r="R1305" s="30"/>
      <c r="S1305" s="12"/>
      <c r="T1305" s="29">
        <v>45412.0</v>
      </c>
      <c r="U1305" s="29">
        <v>45412.0</v>
      </c>
      <c r="V1305" s="29">
        <v>45414.0</v>
      </c>
      <c r="W1305" s="30"/>
      <c r="X1305" s="30"/>
      <c r="Y1305" s="31"/>
      <c r="Z1305" s="31"/>
      <c r="AA1305" s="31" t="s">
        <v>102</v>
      </c>
      <c r="AB1305" s="31" t="s">
        <v>5156</v>
      </c>
      <c r="AC1305" s="31"/>
    </row>
    <row r="1306" ht="16.5" customHeight="1">
      <c r="A1306" s="48" t="s">
        <v>5157</v>
      </c>
      <c r="B1306" s="53" t="s">
        <v>96</v>
      </c>
      <c r="C1306" s="47">
        <v>0.0</v>
      </c>
      <c r="D1306" s="80" t="s">
        <v>5158</v>
      </c>
      <c r="E1306" s="55" t="s">
        <v>408</v>
      </c>
      <c r="F1306" s="32" t="s">
        <v>33</v>
      </c>
      <c r="G1306" s="32" t="s">
        <v>34</v>
      </c>
      <c r="H1306" s="71" t="s">
        <v>35</v>
      </c>
      <c r="I1306" s="66" t="s">
        <v>36</v>
      </c>
      <c r="J1306" s="34" t="s">
        <v>49</v>
      </c>
      <c r="K1306" s="57" t="s">
        <v>38</v>
      </c>
      <c r="L1306" s="79" t="s">
        <v>5159</v>
      </c>
      <c r="M1306" s="22" t="s">
        <v>40</v>
      </c>
      <c r="N1306" s="26" t="s">
        <v>106</v>
      </c>
      <c r="O1306" s="28">
        <v>45419.605658518514</v>
      </c>
      <c r="P1306" s="26" t="s">
        <v>5155</v>
      </c>
      <c r="Q1306" s="12"/>
      <c r="R1306" s="30"/>
      <c r="S1306" s="12"/>
      <c r="T1306" s="29">
        <v>45412.0</v>
      </c>
      <c r="U1306" s="29">
        <v>45412.0</v>
      </c>
      <c r="V1306" s="29">
        <v>45412.0</v>
      </c>
      <c r="W1306" s="30"/>
      <c r="X1306" s="30"/>
      <c r="Y1306" s="31"/>
      <c r="Z1306" s="31"/>
      <c r="AA1306" s="31"/>
      <c r="AB1306" s="31" t="s">
        <v>5160</v>
      </c>
      <c r="AC1306" s="31"/>
    </row>
    <row r="1307" ht="16.5" customHeight="1">
      <c r="A1307" s="48" t="s">
        <v>5161</v>
      </c>
      <c r="B1307" s="53" t="s">
        <v>96</v>
      </c>
      <c r="C1307" s="47">
        <v>0.0</v>
      </c>
      <c r="D1307" s="81" t="s">
        <v>5162</v>
      </c>
      <c r="E1307" s="55" t="s">
        <v>165</v>
      </c>
      <c r="F1307" s="32" t="s">
        <v>33</v>
      </c>
      <c r="G1307" s="32" t="s">
        <v>34</v>
      </c>
      <c r="H1307" s="71" t="s">
        <v>35</v>
      </c>
      <c r="I1307" s="66" t="s">
        <v>36</v>
      </c>
      <c r="J1307" s="34" t="s">
        <v>49</v>
      </c>
      <c r="K1307" s="57" t="s">
        <v>38</v>
      </c>
      <c r="L1307" s="64" t="s">
        <v>5163</v>
      </c>
      <c r="M1307" s="22"/>
      <c r="N1307" s="26" t="s">
        <v>106</v>
      </c>
      <c r="O1307" s="28">
        <v>45448.61537113426</v>
      </c>
      <c r="P1307" s="26" t="s">
        <v>5164</v>
      </c>
      <c r="Q1307" s="12"/>
      <c r="R1307" s="30"/>
      <c r="S1307" s="12"/>
      <c r="T1307" s="29">
        <v>45412.0</v>
      </c>
      <c r="U1307" s="29">
        <v>45441.0</v>
      </c>
      <c r="V1307" s="29">
        <v>45448.0</v>
      </c>
      <c r="W1307" s="30"/>
      <c r="X1307" s="30"/>
      <c r="Y1307" s="31"/>
      <c r="Z1307" s="31"/>
      <c r="AA1307" s="31" t="s">
        <v>102</v>
      </c>
      <c r="AB1307" s="31" t="s">
        <v>5165</v>
      </c>
      <c r="AC1307" s="31"/>
    </row>
    <row r="1308" ht="16.5" customHeight="1">
      <c r="A1308" s="48" t="s">
        <v>5166</v>
      </c>
      <c r="B1308" s="53" t="s">
        <v>96</v>
      </c>
      <c r="C1308" s="47">
        <v>0.0</v>
      </c>
      <c r="D1308" s="80" t="s">
        <v>5167</v>
      </c>
      <c r="E1308" s="55" t="s">
        <v>165</v>
      </c>
      <c r="F1308" s="32" t="s">
        <v>33</v>
      </c>
      <c r="G1308" s="32" t="s">
        <v>34</v>
      </c>
      <c r="H1308" s="71" t="s">
        <v>35</v>
      </c>
      <c r="I1308" s="66" t="s">
        <v>36</v>
      </c>
      <c r="J1308" s="34" t="s">
        <v>49</v>
      </c>
      <c r="K1308" s="57" t="s">
        <v>38</v>
      </c>
      <c r="L1308" s="25">
        <v>10891.0</v>
      </c>
      <c r="M1308" s="22" t="s">
        <v>40</v>
      </c>
      <c r="N1308" s="26" t="s">
        <v>4183</v>
      </c>
      <c r="O1308" s="28">
        <v>45447.58442265046</v>
      </c>
      <c r="P1308" s="26" t="s">
        <v>5168</v>
      </c>
      <c r="Q1308" s="12"/>
      <c r="R1308" s="30"/>
      <c r="S1308" s="60"/>
      <c r="T1308" s="29">
        <v>45412.0</v>
      </c>
      <c r="U1308" s="29">
        <v>45439.0</v>
      </c>
      <c r="V1308" s="29">
        <v>45441.0</v>
      </c>
      <c r="W1308" s="30"/>
      <c r="X1308" s="30"/>
      <c r="Y1308" s="31"/>
      <c r="Z1308" s="31"/>
      <c r="AA1308" s="31" t="s">
        <v>102</v>
      </c>
      <c r="AB1308" s="31" t="s">
        <v>5169</v>
      </c>
      <c r="AC1308" s="31"/>
    </row>
    <row r="1309" ht="16.5" customHeight="1">
      <c r="A1309" s="48" t="s">
        <v>5170</v>
      </c>
      <c r="B1309" s="53" t="s">
        <v>96</v>
      </c>
      <c r="C1309" s="47">
        <v>0.0</v>
      </c>
      <c r="D1309" s="80" t="s">
        <v>5171</v>
      </c>
      <c r="E1309" s="55" t="s">
        <v>79</v>
      </c>
      <c r="F1309" s="32" t="s">
        <v>33</v>
      </c>
      <c r="G1309" s="32" t="s">
        <v>34</v>
      </c>
      <c r="H1309" s="71" t="s">
        <v>35</v>
      </c>
      <c r="I1309" s="66" t="s">
        <v>36</v>
      </c>
      <c r="J1309" s="34" t="s">
        <v>49</v>
      </c>
      <c r="K1309" s="57" t="s">
        <v>38</v>
      </c>
      <c r="L1309" s="25">
        <v>10766.0</v>
      </c>
      <c r="M1309" s="22" t="s">
        <v>40</v>
      </c>
      <c r="N1309" s="26" t="s">
        <v>106</v>
      </c>
      <c r="O1309" s="28">
        <v>45422.4916631713</v>
      </c>
      <c r="P1309" s="26" t="s">
        <v>5172</v>
      </c>
      <c r="Q1309" s="12"/>
      <c r="R1309" s="30"/>
      <c r="S1309" s="30"/>
      <c r="T1309" s="29">
        <v>45412.0</v>
      </c>
      <c r="U1309" s="29">
        <v>45412.0</v>
      </c>
      <c r="V1309" s="29">
        <v>45420.0</v>
      </c>
      <c r="W1309" s="30"/>
      <c r="X1309" s="30"/>
      <c r="Y1309" s="31"/>
      <c r="Z1309" s="31"/>
      <c r="AA1309" s="31" t="s">
        <v>102</v>
      </c>
      <c r="AB1309" s="31" t="s">
        <v>5173</v>
      </c>
      <c r="AC1309" s="31"/>
    </row>
    <row r="1310" ht="16.5" customHeight="1">
      <c r="A1310" s="48" t="s">
        <v>5174</v>
      </c>
      <c r="B1310" s="53" t="s">
        <v>4313</v>
      </c>
      <c r="C1310" s="54">
        <v>11.0</v>
      </c>
      <c r="D1310" s="70" t="s">
        <v>5175</v>
      </c>
      <c r="E1310" s="55" t="s">
        <v>112</v>
      </c>
      <c r="F1310" s="32" t="s">
        <v>48</v>
      </c>
      <c r="G1310" s="32" t="s">
        <v>35</v>
      </c>
      <c r="H1310" s="71" t="s">
        <v>35</v>
      </c>
      <c r="I1310" s="66" t="s">
        <v>36</v>
      </c>
      <c r="J1310" s="34" t="s">
        <v>92</v>
      </c>
      <c r="K1310" s="57" t="s">
        <v>38</v>
      </c>
      <c r="L1310" s="79" t="s">
        <v>5176</v>
      </c>
      <c r="M1310" s="22" t="s">
        <v>50</v>
      </c>
      <c r="N1310" s="26" t="s">
        <v>5097</v>
      </c>
      <c r="O1310" s="28">
        <v>45419.37154739583</v>
      </c>
      <c r="P1310" s="26" t="s">
        <v>5177</v>
      </c>
      <c r="Q1310" s="12"/>
      <c r="R1310" s="12"/>
      <c r="S1310" s="12"/>
      <c r="T1310" s="29">
        <v>45412.0</v>
      </c>
      <c r="U1310" s="29">
        <v>45412.0</v>
      </c>
      <c r="V1310" s="29">
        <v>45412.45988502315</v>
      </c>
      <c r="W1310" s="30"/>
      <c r="X1310" s="30"/>
      <c r="Y1310" s="31"/>
      <c r="Z1310" s="31"/>
      <c r="AA1310" s="31" t="s">
        <v>120</v>
      </c>
      <c r="AB1310" s="31" t="s">
        <v>5178</v>
      </c>
      <c r="AC1310" s="31"/>
    </row>
    <row r="1311" ht="16.5" customHeight="1">
      <c r="A1311" s="48" t="s">
        <v>5179</v>
      </c>
      <c r="B1311" s="53" t="s">
        <v>5180</v>
      </c>
      <c r="C1311" s="54">
        <v>0.0</v>
      </c>
      <c r="D1311" s="80" t="s">
        <v>5181</v>
      </c>
      <c r="E1311" s="55" t="s">
        <v>3441</v>
      </c>
      <c r="F1311" s="32" t="s">
        <v>48</v>
      </c>
      <c r="G1311" s="32" t="s">
        <v>35</v>
      </c>
      <c r="H1311" s="71" t="s">
        <v>35</v>
      </c>
      <c r="I1311" s="66" t="s">
        <v>36</v>
      </c>
      <c r="J1311" s="34" t="s">
        <v>65</v>
      </c>
      <c r="K1311" s="57" t="s">
        <v>38</v>
      </c>
      <c r="L1311" s="25">
        <v>10836.0</v>
      </c>
      <c r="M1311" s="22" t="s">
        <v>50</v>
      </c>
      <c r="N1311" s="26" t="s">
        <v>3442</v>
      </c>
      <c r="O1311" s="28">
        <v>45435.72363916667</v>
      </c>
      <c r="P1311" s="26" t="s">
        <v>5182</v>
      </c>
      <c r="Q1311" s="12"/>
      <c r="R1311" s="12"/>
      <c r="S1311" s="60"/>
      <c r="T1311" s="29">
        <v>45412.0</v>
      </c>
      <c r="U1311" s="29">
        <v>45414.0</v>
      </c>
      <c r="V1311" s="29">
        <v>45435.57501299768</v>
      </c>
      <c r="W1311" s="30"/>
      <c r="X1311" s="30"/>
      <c r="Y1311" s="31"/>
      <c r="Z1311" s="31"/>
      <c r="AA1311" s="31" t="s">
        <v>94</v>
      </c>
      <c r="AB1311" s="31" t="s">
        <v>5183</v>
      </c>
      <c r="AC1311" s="31"/>
    </row>
    <row r="1312" ht="16.5" customHeight="1">
      <c r="A1312" s="48" t="s">
        <v>5184</v>
      </c>
      <c r="B1312" s="53" t="s">
        <v>5185</v>
      </c>
      <c r="C1312" s="54">
        <v>90.0</v>
      </c>
      <c r="D1312" s="70" t="s">
        <v>5186</v>
      </c>
      <c r="E1312" s="55" t="s">
        <v>91</v>
      </c>
      <c r="F1312" s="32" t="s">
        <v>48</v>
      </c>
      <c r="G1312" s="32" t="s">
        <v>35</v>
      </c>
      <c r="H1312" s="71" t="s">
        <v>35</v>
      </c>
      <c r="I1312" s="66" t="s">
        <v>36</v>
      </c>
      <c r="J1312" s="34" t="s">
        <v>49</v>
      </c>
      <c r="K1312" s="57" t="s">
        <v>38</v>
      </c>
      <c r="L1312" s="79" t="s">
        <v>5187</v>
      </c>
      <c r="M1312" s="22" t="s">
        <v>50</v>
      </c>
      <c r="N1312" s="26" t="s">
        <v>106</v>
      </c>
      <c r="O1312" s="28">
        <v>45418.61121828704</v>
      </c>
      <c r="P1312" s="26" t="s">
        <v>5188</v>
      </c>
      <c r="Q1312" s="12"/>
      <c r="R1312" s="12"/>
      <c r="S1312" s="60"/>
      <c r="T1312" s="29">
        <v>45412.0</v>
      </c>
      <c r="U1312" s="29">
        <v>45418.0</v>
      </c>
      <c r="V1312" s="29">
        <v>45418.455887766206</v>
      </c>
      <c r="W1312" s="30"/>
      <c r="X1312" s="30"/>
      <c r="Y1312" s="31"/>
      <c r="Z1312" s="31"/>
      <c r="AA1312" s="31" t="s">
        <v>127</v>
      </c>
      <c r="AB1312" s="31" t="s">
        <v>5189</v>
      </c>
      <c r="AC1312" s="31"/>
    </row>
    <row r="1313" ht="16.5" customHeight="1">
      <c r="A1313" s="48" t="s">
        <v>5190</v>
      </c>
      <c r="B1313" s="53" t="s">
        <v>5180</v>
      </c>
      <c r="C1313" s="54">
        <v>137.0</v>
      </c>
      <c r="D1313" s="70" t="s">
        <v>5191</v>
      </c>
      <c r="E1313" s="55" t="s">
        <v>85</v>
      </c>
      <c r="F1313" s="32" t="s">
        <v>48</v>
      </c>
      <c r="G1313" s="32" t="s">
        <v>35</v>
      </c>
      <c r="H1313" s="71" t="s">
        <v>35</v>
      </c>
      <c r="I1313" s="66" t="s">
        <v>36</v>
      </c>
      <c r="J1313" s="34" t="s">
        <v>65</v>
      </c>
      <c r="K1313" s="57" t="s">
        <v>38</v>
      </c>
      <c r="L1313" s="79" t="s">
        <v>5192</v>
      </c>
      <c r="M1313" s="22" t="s">
        <v>50</v>
      </c>
      <c r="N1313" s="26" t="s">
        <v>80</v>
      </c>
      <c r="O1313" s="28">
        <v>45414.61888326389</v>
      </c>
      <c r="P1313" s="26" t="s">
        <v>5193</v>
      </c>
      <c r="Q1313" s="12"/>
      <c r="R1313" s="12"/>
      <c r="S1313" s="12"/>
      <c r="T1313" s="29">
        <v>45412.0</v>
      </c>
      <c r="U1313" s="29">
        <v>45414.0</v>
      </c>
      <c r="V1313" s="29">
        <v>45414.45745451389</v>
      </c>
      <c r="W1313" s="30"/>
      <c r="X1313" s="30"/>
      <c r="Y1313" s="31"/>
      <c r="Z1313" s="31"/>
      <c r="AA1313" s="31" t="s">
        <v>94</v>
      </c>
      <c r="AB1313" s="31" t="s">
        <v>5194</v>
      </c>
      <c r="AC1313" s="31"/>
    </row>
    <row r="1314" ht="16.5" customHeight="1">
      <c r="A1314" s="48" t="s">
        <v>5195</v>
      </c>
      <c r="B1314" s="53" t="s">
        <v>5196</v>
      </c>
      <c r="C1314" s="47">
        <v>0.0</v>
      </c>
      <c r="D1314" s="80" t="s">
        <v>5197</v>
      </c>
      <c r="E1314" s="55" t="s">
        <v>243</v>
      </c>
      <c r="F1314" s="32" t="s">
        <v>244</v>
      </c>
      <c r="G1314" s="32" t="s">
        <v>35</v>
      </c>
      <c r="H1314" s="71" t="s">
        <v>35</v>
      </c>
      <c r="I1314" s="66" t="s">
        <v>36</v>
      </c>
      <c r="J1314" s="34" t="s">
        <v>49</v>
      </c>
      <c r="K1314" s="57" t="s">
        <v>38</v>
      </c>
      <c r="L1314" s="25">
        <v>10764.0</v>
      </c>
      <c r="M1314" s="22" t="s">
        <v>40</v>
      </c>
      <c r="N1314" s="26" t="s">
        <v>106</v>
      </c>
      <c r="O1314" s="28">
        <v>45422.491727650464</v>
      </c>
      <c r="P1314" s="26" t="s">
        <v>5198</v>
      </c>
      <c r="Q1314" s="12"/>
      <c r="R1314" s="30"/>
      <c r="S1314" s="30"/>
      <c r="T1314" s="29">
        <v>45412.0</v>
      </c>
      <c r="U1314" s="29">
        <v>45412.0</v>
      </c>
      <c r="V1314" s="29">
        <v>45420.0</v>
      </c>
      <c r="W1314" s="30"/>
      <c r="X1314" s="30"/>
      <c r="Y1314" s="31"/>
      <c r="Z1314" s="31"/>
      <c r="AA1314" s="31" t="s">
        <v>5199</v>
      </c>
      <c r="AB1314" s="31" t="s">
        <v>5200</v>
      </c>
      <c r="AC1314" s="31"/>
    </row>
    <row r="1315" ht="16.5" customHeight="1">
      <c r="A1315" s="48" t="s">
        <v>5201</v>
      </c>
      <c r="B1315" s="53" t="s">
        <v>3669</v>
      </c>
      <c r="C1315" s="54">
        <v>137.0</v>
      </c>
      <c r="D1315" s="70" t="s">
        <v>5202</v>
      </c>
      <c r="E1315" s="55" t="s">
        <v>85</v>
      </c>
      <c r="F1315" s="32" t="s">
        <v>48</v>
      </c>
      <c r="G1315" s="32" t="s">
        <v>35</v>
      </c>
      <c r="H1315" s="71" t="s">
        <v>35</v>
      </c>
      <c r="I1315" s="66" t="s">
        <v>36</v>
      </c>
      <c r="J1315" s="34" t="s">
        <v>420</v>
      </c>
      <c r="K1315" s="57" t="s">
        <v>38</v>
      </c>
      <c r="L1315" s="79" t="s">
        <v>5203</v>
      </c>
      <c r="M1315" s="22" t="s">
        <v>50</v>
      </c>
      <c r="N1315" s="26" t="s">
        <v>4031</v>
      </c>
      <c r="O1315" s="28">
        <v>45415.56751685185</v>
      </c>
      <c r="P1315" s="26" t="s">
        <v>5204</v>
      </c>
      <c r="Q1315" s="12"/>
      <c r="R1315" s="12"/>
      <c r="S1315" s="12"/>
      <c r="T1315" s="29">
        <v>45412.0</v>
      </c>
      <c r="U1315" s="29">
        <v>45412.0</v>
      </c>
      <c r="V1315" s="29">
        <v>45414.457759467594</v>
      </c>
      <c r="W1315" s="30"/>
      <c r="X1315" s="30"/>
      <c r="Y1315" s="31"/>
      <c r="Z1315" s="31"/>
      <c r="AA1315" s="31" t="s">
        <v>120</v>
      </c>
      <c r="AB1315" s="31" t="s">
        <v>5205</v>
      </c>
      <c r="AC1315" s="31"/>
    </row>
    <row r="1316" ht="16.5" customHeight="1">
      <c r="A1316" s="48" t="s">
        <v>5206</v>
      </c>
      <c r="B1316" s="53" t="s">
        <v>473</v>
      </c>
      <c r="C1316" s="47">
        <v>90.0</v>
      </c>
      <c r="D1316" s="70" t="s">
        <v>5207</v>
      </c>
      <c r="E1316" s="55" t="s">
        <v>91</v>
      </c>
      <c r="F1316" s="32" t="s">
        <v>48</v>
      </c>
      <c r="G1316" s="32" t="s">
        <v>35</v>
      </c>
      <c r="H1316" s="71" t="s">
        <v>35</v>
      </c>
      <c r="I1316" s="71" t="s">
        <v>36</v>
      </c>
      <c r="J1316" s="34" t="s">
        <v>65</v>
      </c>
      <c r="K1316" s="57" t="s">
        <v>38</v>
      </c>
      <c r="L1316" s="72">
        <v>10730.0</v>
      </c>
      <c r="M1316" s="22"/>
      <c r="N1316" s="73"/>
      <c r="O1316" s="28">
        <v>45424.0</v>
      </c>
      <c r="P1316" s="35" t="s">
        <v>5208</v>
      </c>
      <c r="Q1316" s="12"/>
      <c r="R1316" s="12"/>
      <c r="S1316" s="12"/>
      <c r="T1316" s="52">
        <v>45414.0</v>
      </c>
      <c r="U1316" s="52">
        <v>45414.0</v>
      </c>
      <c r="V1316" s="52">
        <v>45424.0</v>
      </c>
      <c r="W1316" s="30"/>
      <c r="X1316" s="30"/>
      <c r="Y1316" s="31"/>
      <c r="Z1316" s="31"/>
      <c r="AA1316" s="78" t="s">
        <v>94</v>
      </c>
      <c r="AB1316" s="74" t="s">
        <v>5209</v>
      </c>
      <c r="AC1316" s="74"/>
    </row>
    <row r="1317" ht="16.5" customHeight="1">
      <c r="A1317" s="48" t="s">
        <v>5210</v>
      </c>
      <c r="B1317" s="53" t="s">
        <v>96</v>
      </c>
      <c r="C1317" s="47">
        <v>0.0</v>
      </c>
      <c r="D1317" s="80" t="s">
        <v>5211</v>
      </c>
      <c r="E1317" s="55" t="s">
        <v>491</v>
      </c>
      <c r="F1317" s="32" t="s">
        <v>33</v>
      </c>
      <c r="G1317" s="32" t="s">
        <v>34</v>
      </c>
      <c r="H1317" s="71" t="s">
        <v>35</v>
      </c>
      <c r="I1317" s="66" t="s">
        <v>36</v>
      </c>
      <c r="J1317" s="34" t="s">
        <v>49</v>
      </c>
      <c r="K1317" s="57" t="s">
        <v>38</v>
      </c>
      <c r="L1317" s="25">
        <v>10801.0</v>
      </c>
      <c r="M1317" s="22" t="s">
        <v>40</v>
      </c>
      <c r="N1317" s="26" t="s">
        <v>4183</v>
      </c>
      <c r="O1317" s="28">
        <v>45429.68402842592</v>
      </c>
      <c r="P1317" s="26" t="s">
        <v>5212</v>
      </c>
      <c r="Q1317" s="12"/>
      <c r="R1317" s="30"/>
      <c r="S1317" s="60"/>
      <c r="T1317" s="29">
        <v>45414.0</v>
      </c>
      <c r="U1317" s="29">
        <v>45414.0</v>
      </c>
      <c r="V1317" s="29">
        <v>45428.0</v>
      </c>
      <c r="W1317" s="30"/>
      <c r="X1317" s="30"/>
      <c r="Y1317" s="31"/>
      <c r="Z1317" s="31"/>
      <c r="AA1317" s="31" t="s">
        <v>102</v>
      </c>
      <c r="AB1317" s="31" t="s">
        <v>5213</v>
      </c>
      <c r="AC1317" s="31"/>
    </row>
    <row r="1318" ht="16.5" customHeight="1">
      <c r="A1318" s="48" t="s">
        <v>5214</v>
      </c>
      <c r="B1318" s="53" t="s">
        <v>96</v>
      </c>
      <c r="C1318" s="47">
        <v>0.0</v>
      </c>
      <c r="D1318" s="80" t="s">
        <v>5215</v>
      </c>
      <c r="E1318" s="55" t="s">
        <v>491</v>
      </c>
      <c r="F1318" s="32" t="s">
        <v>33</v>
      </c>
      <c r="G1318" s="32" t="s">
        <v>34</v>
      </c>
      <c r="H1318" s="71" t="s">
        <v>35</v>
      </c>
      <c r="I1318" s="66" t="s">
        <v>36</v>
      </c>
      <c r="J1318" s="34" t="s">
        <v>49</v>
      </c>
      <c r="K1318" s="57" t="s">
        <v>38</v>
      </c>
      <c r="L1318" s="25">
        <v>10801.0</v>
      </c>
      <c r="M1318" s="22" t="s">
        <v>5216</v>
      </c>
      <c r="N1318" s="26" t="s">
        <v>4183</v>
      </c>
      <c r="O1318" s="28">
        <v>45429.684248680554</v>
      </c>
      <c r="P1318" s="26" t="s">
        <v>5212</v>
      </c>
      <c r="Q1318" s="12"/>
      <c r="R1318" s="30"/>
      <c r="S1318" s="60"/>
      <c r="T1318" s="29">
        <v>45414.0</v>
      </c>
      <c r="U1318" s="29">
        <v>45414.0</v>
      </c>
      <c r="V1318" s="29">
        <v>45429.0</v>
      </c>
      <c r="W1318" s="30"/>
      <c r="X1318" s="30"/>
      <c r="Y1318" s="31"/>
      <c r="Z1318" s="31"/>
      <c r="AA1318" s="31" t="s">
        <v>102</v>
      </c>
      <c r="AB1318" s="31" t="s">
        <v>5217</v>
      </c>
      <c r="AC1318" s="31"/>
    </row>
    <row r="1319" ht="16.5" customHeight="1">
      <c r="A1319" s="48" t="s">
        <v>5218</v>
      </c>
      <c r="B1319" s="53" t="s">
        <v>96</v>
      </c>
      <c r="C1319" s="47">
        <v>0.0</v>
      </c>
      <c r="D1319" s="80" t="s">
        <v>5219</v>
      </c>
      <c r="E1319" s="55" t="s">
        <v>491</v>
      </c>
      <c r="F1319" s="32" t="s">
        <v>33</v>
      </c>
      <c r="G1319" s="32" t="s">
        <v>34</v>
      </c>
      <c r="H1319" s="71" t="s">
        <v>35</v>
      </c>
      <c r="I1319" s="66" t="s">
        <v>36</v>
      </c>
      <c r="J1319" s="34" t="s">
        <v>49</v>
      </c>
      <c r="K1319" s="57" t="s">
        <v>38</v>
      </c>
      <c r="L1319" s="25">
        <v>10801.0</v>
      </c>
      <c r="M1319" s="22" t="s">
        <v>40</v>
      </c>
      <c r="N1319" s="26" t="s">
        <v>4183</v>
      </c>
      <c r="O1319" s="28">
        <v>45429.684321030094</v>
      </c>
      <c r="P1319" s="26" t="s">
        <v>5212</v>
      </c>
      <c r="Q1319" s="12"/>
      <c r="R1319" s="30"/>
      <c r="S1319" s="60"/>
      <c r="T1319" s="29">
        <v>45414.0</v>
      </c>
      <c r="U1319" s="29">
        <v>45414.0</v>
      </c>
      <c r="V1319" s="29">
        <v>45427.0</v>
      </c>
      <c r="W1319" s="30"/>
      <c r="X1319" s="30"/>
      <c r="Y1319" s="31"/>
      <c r="Z1319" s="31"/>
      <c r="AA1319" s="31" t="s">
        <v>102</v>
      </c>
      <c r="AB1319" s="31" t="s">
        <v>5220</v>
      </c>
      <c r="AC1319" s="31"/>
    </row>
    <row r="1320" ht="16.5" customHeight="1">
      <c r="A1320" s="48" t="s">
        <v>5221</v>
      </c>
      <c r="B1320" s="53" t="s">
        <v>5222</v>
      </c>
      <c r="C1320" s="54">
        <v>27.0</v>
      </c>
      <c r="D1320" s="21" t="s">
        <v>5223</v>
      </c>
      <c r="E1320" s="55" t="s">
        <v>72</v>
      </c>
      <c r="F1320" s="32" t="s">
        <v>48</v>
      </c>
      <c r="G1320" s="32" t="s">
        <v>35</v>
      </c>
      <c r="H1320" s="23" t="s">
        <v>35</v>
      </c>
      <c r="I1320" s="66" t="s">
        <v>36</v>
      </c>
      <c r="J1320" s="34" t="s">
        <v>49</v>
      </c>
      <c r="K1320" s="57" t="s">
        <v>38</v>
      </c>
      <c r="L1320" s="79" t="s">
        <v>5224</v>
      </c>
      <c r="M1320" s="22" t="s">
        <v>50</v>
      </c>
      <c r="N1320" s="26" t="s">
        <v>106</v>
      </c>
      <c r="O1320" s="28">
        <v>45419.60574118055</v>
      </c>
      <c r="P1320" s="26" t="s">
        <v>5225</v>
      </c>
      <c r="Q1320" s="12"/>
      <c r="R1320" s="12"/>
      <c r="S1320" s="60"/>
      <c r="T1320" s="29">
        <v>45414.0</v>
      </c>
      <c r="U1320" s="29">
        <v>45418.0</v>
      </c>
      <c r="V1320" s="29">
        <v>45419.34961188657</v>
      </c>
      <c r="W1320" s="30"/>
      <c r="X1320" s="30"/>
      <c r="Y1320" s="31"/>
      <c r="Z1320" s="31"/>
      <c r="AA1320" s="31" t="s">
        <v>102</v>
      </c>
      <c r="AB1320" s="31" t="s">
        <v>5226</v>
      </c>
      <c r="AC1320" s="31"/>
    </row>
    <row r="1321" ht="16.5" customHeight="1">
      <c r="A1321" s="48" t="s">
        <v>5227</v>
      </c>
      <c r="B1321" s="53" t="s">
        <v>5228</v>
      </c>
      <c r="C1321" s="54">
        <v>90.0</v>
      </c>
      <c r="D1321" s="70" t="s">
        <v>5229</v>
      </c>
      <c r="E1321" s="55" t="s">
        <v>91</v>
      </c>
      <c r="F1321" s="32" t="s">
        <v>48</v>
      </c>
      <c r="G1321" s="32" t="s">
        <v>35</v>
      </c>
      <c r="H1321" s="23" t="s">
        <v>35</v>
      </c>
      <c r="I1321" s="66" t="s">
        <v>36</v>
      </c>
      <c r="J1321" s="34" t="s">
        <v>37</v>
      </c>
      <c r="K1321" s="34" t="s">
        <v>447</v>
      </c>
      <c r="L1321" s="64" t="s">
        <v>5230</v>
      </c>
      <c r="M1321" s="22" t="s">
        <v>50</v>
      </c>
      <c r="N1321" s="26" t="s">
        <v>5231</v>
      </c>
      <c r="O1321" s="28">
        <v>45428.59837898148</v>
      </c>
      <c r="P1321" s="26" t="s">
        <v>5232</v>
      </c>
      <c r="Q1321" s="12"/>
      <c r="R1321" s="12"/>
      <c r="S1321" s="60"/>
      <c r="T1321" s="29">
        <v>45414.0</v>
      </c>
      <c r="U1321" s="29">
        <v>45419.0</v>
      </c>
      <c r="V1321" s="29">
        <v>45425.457175104166</v>
      </c>
      <c r="W1321" s="30"/>
      <c r="X1321" s="30"/>
      <c r="Y1321" s="31"/>
      <c r="Z1321" s="31"/>
      <c r="AA1321" s="31" t="s">
        <v>3385</v>
      </c>
      <c r="AB1321" s="31" t="s">
        <v>5233</v>
      </c>
      <c r="AC1321" s="31"/>
    </row>
    <row r="1322" ht="16.5" customHeight="1">
      <c r="A1322" s="48" t="s">
        <v>5234</v>
      </c>
      <c r="B1322" s="53" t="s">
        <v>4716</v>
      </c>
      <c r="C1322" s="54">
        <v>1.0</v>
      </c>
      <c r="D1322" s="80" t="s">
        <v>5235</v>
      </c>
      <c r="E1322" s="55" t="s">
        <v>5236</v>
      </c>
      <c r="F1322" s="32" t="s">
        <v>48</v>
      </c>
      <c r="G1322" s="32" t="s">
        <v>35</v>
      </c>
      <c r="H1322" s="23" t="s">
        <v>35</v>
      </c>
      <c r="I1322" s="66" t="s">
        <v>36</v>
      </c>
      <c r="J1322" s="34" t="s">
        <v>258</v>
      </c>
      <c r="K1322" s="57" t="s">
        <v>38</v>
      </c>
      <c r="L1322" s="79" t="s">
        <v>5237</v>
      </c>
      <c r="M1322" s="82"/>
      <c r="N1322" s="26" t="s">
        <v>4193</v>
      </c>
      <c r="O1322" s="28">
        <v>45418.60805635416</v>
      </c>
      <c r="P1322" s="26" t="s">
        <v>5238</v>
      </c>
      <c r="Q1322" s="12"/>
      <c r="R1322" s="12"/>
      <c r="S1322" s="60"/>
      <c r="T1322" s="29">
        <v>45414.0</v>
      </c>
      <c r="U1322" s="29">
        <v>45415.0</v>
      </c>
      <c r="V1322" s="29">
        <f t="shared" ref="V1322:V1327" si="1">O1322</f>
        <v>45418.60806</v>
      </c>
      <c r="W1322" s="30"/>
      <c r="X1322" s="30"/>
      <c r="Y1322" s="31"/>
      <c r="Z1322" s="31"/>
      <c r="AA1322" s="31" t="s">
        <v>120</v>
      </c>
      <c r="AB1322" s="31" t="s">
        <v>5239</v>
      </c>
      <c r="AC1322" s="31"/>
    </row>
    <row r="1323" ht="16.5" customHeight="1">
      <c r="A1323" s="48" t="s">
        <v>5240</v>
      </c>
      <c r="B1323" s="53" t="s">
        <v>3183</v>
      </c>
      <c r="C1323" s="54">
        <v>90.0</v>
      </c>
      <c r="D1323" s="70" t="s">
        <v>5241</v>
      </c>
      <c r="E1323" s="55" t="s">
        <v>91</v>
      </c>
      <c r="F1323" s="32" t="s">
        <v>48</v>
      </c>
      <c r="G1323" s="32" t="s">
        <v>35</v>
      </c>
      <c r="H1323" s="23" t="s">
        <v>35</v>
      </c>
      <c r="I1323" s="66" t="s">
        <v>36</v>
      </c>
      <c r="J1323" s="34" t="s">
        <v>92</v>
      </c>
      <c r="K1323" s="57" t="s">
        <v>38</v>
      </c>
      <c r="L1323" s="79" t="s">
        <v>5242</v>
      </c>
      <c r="M1323" s="82"/>
      <c r="N1323" s="26" t="s">
        <v>5097</v>
      </c>
      <c r="O1323" s="28">
        <v>45419.37146722223</v>
      </c>
      <c r="P1323" s="26" t="s">
        <v>5243</v>
      </c>
      <c r="Q1323" s="12"/>
      <c r="R1323" s="12"/>
      <c r="S1323" s="60"/>
      <c r="T1323" s="29">
        <v>45414.0</v>
      </c>
      <c r="U1323" s="29">
        <v>45415.0</v>
      </c>
      <c r="V1323" s="29">
        <f t="shared" si="1"/>
        <v>45419.37147</v>
      </c>
      <c r="W1323" s="30"/>
      <c r="X1323" s="30"/>
      <c r="Y1323" s="31"/>
      <c r="Z1323" s="31"/>
      <c r="AA1323" s="31" t="s">
        <v>120</v>
      </c>
      <c r="AB1323" s="31" t="s">
        <v>5244</v>
      </c>
      <c r="AC1323" s="31"/>
    </row>
    <row r="1324" ht="16.5" customHeight="1">
      <c r="A1324" s="48" t="s">
        <v>5245</v>
      </c>
      <c r="B1324" s="53" t="s">
        <v>5246</v>
      </c>
      <c r="C1324" s="54">
        <v>27.0</v>
      </c>
      <c r="D1324" s="21" t="s">
        <v>5247</v>
      </c>
      <c r="E1324" s="55" t="s">
        <v>72</v>
      </c>
      <c r="F1324" s="32" t="s">
        <v>48</v>
      </c>
      <c r="G1324" s="32" t="s">
        <v>35</v>
      </c>
      <c r="H1324" s="23" t="s">
        <v>35</v>
      </c>
      <c r="I1324" s="66" t="s">
        <v>36</v>
      </c>
      <c r="J1324" s="34" t="s">
        <v>49</v>
      </c>
      <c r="K1324" s="34" t="s">
        <v>447</v>
      </c>
      <c r="L1324" s="79" t="s">
        <v>5248</v>
      </c>
      <c r="M1324" s="82"/>
      <c r="N1324" s="26" t="s">
        <v>106</v>
      </c>
      <c r="O1324" s="28">
        <v>45418.691579375</v>
      </c>
      <c r="P1324" s="26" t="s">
        <v>5249</v>
      </c>
      <c r="Q1324" s="12"/>
      <c r="R1324" s="12"/>
      <c r="S1324" s="60"/>
      <c r="T1324" s="29">
        <v>45414.0</v>
      </c>
      <c r="U1324" s="29">
        <v>45415.0</v>
      </c>
      <c r="V1324" s="29">
        <f t="shared" si="1"/>
        <v>45418.69158</v>
      </c>
      <c r="W1324" s="30"/>
      <c r="X1324" s="30"/>
      <c r="Y1324" s="31"/>
      <c r="Z1324" s="31"/>
      <c r="AA1324" s="31"/>
      <c r="AB1324" s="31" t="s">
        <v>5250</v>
      </c>
      <c r="AC1324" s="31"/>
    </row>
    <row r="1325" ht="16.5" customHeight="1">
      <c r="A1325" s="48" t="s">
        <v>5251</v>
      </c>
      <c r="B1325" s="53" t="s">
        <v>5246</v>
      </c>
      <c r="C1325" s="54">
        <v>27.0</v>
      </c>
      <c r="D1325" s="21" t="s">
        <v>5252</v>
      </c>
      <c r="E1325" s="55" t="s">
        <v>72</v>
      </c>
      <c r="F1325" s="32" t="s">
        <v>48</v>
      </c>
      <c r="G1325" s="32" t="s">
        <v>35</v>
      </c>
      <c r="H1325" s="23" t="s">
        <v>35</v>
      </c>
      <c r="I1325" s="66" t="s">
        <v>36</v>
      </c>
      <c r="J1325" s="34" t="s">
        <v>49</v>
      </c>
      <c r="K1325" s="34" t="s">
        <v>447</v>
      </c>
      <c r="L1325" s="79" t="s">
        <v>5248</v>
      </c>
      <c r="M1325" s="82"/>
      <c r="N1325" s="26" t="s">
        <v>106</v>
      </c>
      <c r="O1325" s="28">
        <v>45418.6916755787</v>
      </c>
      <c r="P1325" s="26" t="s">
        <v>5249</v>
      </c>
      <c r="Q1325" s="12"/>
      <c r="R1325" s="12"/>
      <c r="S1325" s="60"/>
      <c r="T1325" s="29">
        <v>45414.0</v>
      </c>
      <c r="U1325" s="29">
        <v>45415.0</v>
      </c>
      <c r="V1325" s="29">
        <f t="shared" si="1"/>
        <v>45418.69168</v>
      </c>
      <c r="W1325" s="30"/>
      <c r="X1325" s="30"/>
      <c r="Y1325" s="31"/>
      <c r="Z1325" s="31"/>
      <c r="AA1325" s="31"/>
      <c r="AB1325" s="31" t="s">
        <v>5253</v>
      </c>
      <c r="AC1325" s="31"/>
    </row>
    <row r="1326" ht="16.5" customHeight="1">
      <c r="A1326" s="48" t="s">
        <v>5254</v>
      </c>
      <c r="B1326" s="53" t="s">
        <v>5246</v>
      </c>
      <c r="C1326" s="54">
        <v>137.0</v>
      </c>
      <c r="D1326" s="80" t="s">
        <v>5255</v>
      </c>
      <c r="E1326" s="55" t="s">
        <v>85</v>
      </c>
      <c r="F1326" s="32" t="s">
        <v>48</v>
      </c>
      <c r="G1326" s="32" t="s">
        <v>35</v>
      </c>
      <c r="H1326" s="23" t="s">
        <v>35</v>
      </c>
      <c r="I1326" s="66" t="s">
        <v>36</v>
      </c>
      <c r="J1326" s="34" t="s">
        <v>49</v>
      </c>
      <c r="K1326" s="34" t="s">
        <v>447</v>
      </c>
      <c r="L1326" s="79" t="s">
        <v>5248</v>
      </c>
      <c r="M1326" s="82"/>
      <c r="N1326" s="26" t="s">
        <v>106</v>
      </c>
      <c r="O1326" s="28">
        <v>45418.69175938657</v>
      </c>
      <c r="P1326" s="26" t="s">
        <v>5249</v>
      </c>
      <c r="Q1326" s="12"/>
      <c r="R1326" s="12"/>
      <c r="S1326" s="60"/>
      <c r="T1326" s="29">
        <v>45414.0</v>
      </c>
      <c r="U1326" s="29">
        <v>45415.0</v>
      </c>
      <c r="V1326" s="29">
        <f t="shared" si="1"/>
        <v>45418.69176</v>
      </c>
      <c r="W1326" s="30"/>
      <c r="X1326" s="30"/>
      <c r="Y1326" s="31"/>
      <c r="Z1326" s="31"/>
      <c r="AA1326" s="31"/>
      <c r="AB1326" s="31" t="s">
        <v>5256</v>
      </c>
      <c r="AC1326" s="31"/>
    </row>
    <row r="1327" ht="16.5" customHeight="1">
      <c r="A1327" s="48" t="s">
        <v>5257</v>
      </c>
      <c r="B1327" s="53" t="s">
        <v>5258</v>
      </c>
      <c r="C1327" s="54">
        <v>11.0</v>
      </c>
      <c r="D1327" s="80" t="s">
        <v>5259</v>
      </c>
      <c r="E1327" s="55" t="s">
        <v>112</v>
      </c>
      <c r="F1327" s="32" t="s">
        <v>48</v>
      </c>
      <c r="G1327" s="32" t="s">
        <v>35</v>
      </c>
      <c r="H1327" s="23" t="s">
        <v>35</v>
      </c>
      <c r="I1327" s="66" t="s">
        <v>36</v>
      </c>
      <c r="J1327" s="34" t="s">
        <v>49</v>
      </c>
      <c r="K1327" s="57" t="s">
        <v>38</v>
      </c>
      <c r="L1327" s="79" t="s">
        <v>5260</v>
      </c>
      <c r="M1327" s="82"/>
      <c r="N1327" s="26" t="s">
        <v>106</v>
      </c>
      <c r="O1327" s="28">
        <v>45418.611374687505</v>
      </c>
      <c r="P1327" s="26" t="s">
        <v>5261</v>
      </c>
      <c r="Q1327" s="12"/>
      <c r="R1327" s="12"/>
      <c r="S1327" s="60"/>
      <c r="T1327" s="29">
        <v>45414.0</v>
      </c>
      <c r="U1327" s="29">
        <v>45415.0</v>
      </c>
      <c r="V1327" s="29">
        <f t="shared" si="1"/>
        <v>45418.61137</v>
      </c>
      <c r="W1327" s="30"/>
      <c r="X1327" s="30"/>
      <c r="Y1327" s="31"/>
      <c r="Z1327" s="31"/>
      <c r="AA1327" s="31" t="s">
        <v>102</v>
      </c>
      <c r="AB1327" s="31" t="s">
        <v>5262</v>
      </c>
      <c r="AC1327" s="31"/>
    </row>
    <row r="1328" ht="16.5" customHeight="1">
      <c r="A1328" s="48" t="s">
        <v>5263</v>
      </c>
      <c r="B1328" s="53" t="s">
        <v>5264</v>
      </c>
      <c r="C1328" s="54">
        <v>0.0</v>
      </c>
      <c r="D1328" s="80" t="s">
        <v>5265</v>
      </c>
      <c r="E1328" s="55" t="s">
        <v>3441</v>
      </c>
      <c r="F1328" s="32" t="s">
        <v>48</v>
      </c>
      <c r="G1328" s="32" t="s">
        <v>35</v>
      </c>
      <c r="H1328" s="23" t="s">
        <v>35</v>
      </c>
      <c r="I1328" s="66" t="s">
        <v>36</v>
      </c>
      <c r="J1328" s="34" t="s">
        <v>65</v>
      </c>
      <c r="K1328" s="57" t="s">
        <v>38</v>
      </c>
      <c r="L1328" s="25">
        <v>10830.0</v>
      </c>
      <c r="M1328" s="22" t="s">
        <v>50</v>
      </c>
      <c r="N1328" s="26" t="s">
        <v>3442</v>
      </c>
      <c r="O1328" s="28">
        <v>45435.7237340162</v>
      </c>
      <c r="P1328" s="26" t="s">
        <v>5266</v>
      </c>
      <c r="Q1328" s="12"/>
      <c r="R1328" s="12"/>
      <c r="S1328" s="60"/>
      <c r="T1328" s="29">
        <v>45414.0</v>
      </c>
      <c r="U1328" s="29">
        <v>45434.0</v>
      </c>
      <c r="V1328" s="29">
        <v>45435.57501775463</v>
      </c>
      <c r="W1328" s="30"/>
      <c r="X1328" s="30"/>
      <c r="Y1328" s="31"/>
      <c r="Z1328" s="31"/>
      <c r="AA1328" s="31" t="s">
        <v>3059</v>
      </c>
      <c r="AB1328" s="31" t="s">
        <v>5267</v>
      </c>
      <c r="AC1328" s="31"/>
    </row>
    <row r="1329" ht="16.5" customHeight="1">
      <c r="A1329" s="48" t="s">
        <v>5268</v>
      </c>
      <c r="B1329" s="53"/>
      <c r="C1329" s="47">
        <v>90.0</v>
      </c>
      <c r="D1329" s="70" t="s">
        <v>5269</v>
      </c>
      <c r="E1329" s="55" t="s">
        <v>91</v>
      </c>
      <c r="F1329" s="32" t="s">
        <v>48</v>
      </c>
      <c r="G1329" s="32" t="s">
        <v>35</v>
      </c>
      <c r="H1329" s="71" t="s">
        <v>35</v>
      </c>
      <c r="I1329" s="71" t="s">
        <v>36</v>
      </c>
      <c r="J1329" s="34" t="s">
        <v>49</v>
      </c>
      <c r="K1329" s="57" t="s">
        <v>38</v>
      </c>
      <c r="L1329" s="72">
        <v>10900.0</v>
      </c>
      <c r="M1329" s="22"/>
      <c r="N1329" s="73"/>
      <c r="O1329" s="28">
        <v>45394.0</v>
      </c>
      <c r="P1329" s="35" t="s">
        <v>5270</v>
      </c>
      <c r="Q1329" s="12"/>
      <c r="R1329" s="12"/>
      <c r="S1329" s="12"/>
      <c r="T1329" s="52">
        <v>45384.0</v>
      </c>
      <c r="U1329" s="52">
        <v>45384.0</v>
      </c>
      <c r="V1329" s="52">
        <v>45385.0</v>
      </c>
      <c r="W1329" s="30"/>
      <c r="X1329" s="30"/>
      <c r="Y1329" s="31"/>
      <c r="Z1329" s="31"/>
      <c r="AA1329" s="78" t="s">
        <v>94</v>
      </c>
      <c r="AB1329" s="74" t="s">
        <v>5271</v>
      </c>
      <c r="AC1329" s="74"/>
    </row>
    <row r="1330" ht="16.5" customHeight="1">
      <c r="A1330" s="48" t="s">
        <v>5272</v>
      </c>
      <c r="B1330" s="53" t="s">
        <v>4035</v>
      </c>
      <c r="C1330" s="47">
        <v>90.0</v>
      </c>
      <c r="D1330" s="70" t="s">
        <v>5273</v>
      </c>
      <c r="E1330" s="55" t="s">
        <v>91</v>
      </c>
      <c r="F1330" s="32" t="s">
        <v>48</v>
      </c>
      <c r="G1330" s="32" t="s">
        <v>35</v>
      </c>
      <c r="H1330" s="71" t="s">
        <v>35</v>
      </c>
      <c r="I1330" s="71" t="s">
        <v>36</v>
      </c>
      <c r="J1330" s="34" t="s">
        <v>49</v>
      </c>
      <c r="K1330" s="57" t="s">
        <v>38</v>
      </c>
      <c r="L1330" s="72">
        <v>10900.0</v>
      </c>
      <c r="M1330" s="22"/>
      <c r="N1330" s="73"/>
      <c r="O1330" s="28">
        <v>45394.0</v>
      </c>
      <c r="P1330" s="35" t="s">
        <v>5274</v>
      </c>
      <c r="Q1330" s="12"/>
      <c r="R1330" s="12"/>
      <c r="S1330" s="12"/>
      <c r="T1330" s="52">
        <v>45384.0</v>
      </c>
      <c r="U1330" s="52">
        <v>45384.0</v>
      </c>
      <c r="V1330" s="52">
        <v>45385.0</v>
      </c>
      <c r="W1330" s="30"/>
      <c r="X1330" s="30"/>
      <c r="Y1330" s="31"/>
      <c r="Z1330" s="31"/>
      <c r="AA1330" s="78" t="s">
        <v>94</v>
      </c>
      <c r="AB1330" s="74" t="s">
        <v>5275</v>
      </c>
      <c r="AC1330" s="74"/>
    </row>
    <row r="1331" ht="16.5" customHeight="1">
      <c r="A1331" s="48" t="s">
        <v>5276</v>
      </c>
      <c r="B1331" s="53" t="s">
        <v>5277</v>
      </c>
      <c r="C1331" s="47">
        <v>0.0</v>
      </c>
      <c r="D1331" s="80" t="s">
        <v>5278</v>
      </c>
      <c r="E1331" s="55" t="s">
        <v>1682</v>
      </c>
      <c r="F1331" s="32" t="s">
        <v>244</v>
      </c>
      <c r="G1331" s="32" t="s">
        <v>35</v>
      </c>
      <c r="H1331" s="23" t="s">
        <v>35</v>
      </c>
      <c r="I1331" s="66" t="s">
        <v>36</v>
      </c>
      <c r="J1331" s="34" t="s">
        <v>65</v>
      </c>
      <c r="K1331" s="57" t="s">
        <v>38</v>
      </c>
      <c r="L1331" s="25">
        <v>10774.0</v>
      </c>
      <c r="M1331" s="22" t="s">
        <v>40</v>
      </c>
      <c r="N1331" s="26" t="s">
        <v>5279</v>
      </c>
      <c r="O1331" s="28">
        <v>45425.6299166088</v>
      </c>
      <c r="P1331" s="26" t="s">
        <v>5280</v>
      </c>
      <c r="Q1331" s="12"/>
      <c r="R1331" s="30"/>
      <c r="S1331" s="60"/>
      <c r="T1331" s="29">
        <v>45414.0</v>
      </c>
      <c r="U1331" s="29">
        <v>45415.0</v>
      </c>
      <c r="V1331" s="29">
        <v>45425.0</v>
      </c>
      <c r="W1331" s="30"/>
      <c r="X1331" s="30"/>
      <c r="Y1331" s="31"/>
      <c r="Z1331" s="31"/>
      <c r="AA1331" s="31" t="s">
        <v>94</v>
      </c>
      <c r="AB1331" s="31" t="s">
        <v>5281</v>
      </c>
      <c r="AC1331" s="31"/>
    </row>
    <row r="1332" ht="16.5" customHeight="1">
      <c r="A1332" s="48" t="s">
        <v>5282</v>
      </c>
      <c r="B1332" s="53" t="s">
        <v>5264</v>
      </c>
      <c r="C1332" s="54">
        <v>1.0</v>
      </c>
      <c r="D1332" s="80" t="s">
        <v>5283</v>
      </c>
      <c r="E1332" s="55" t="s">
        <v>5236</v>
      </c>
      <c r="F1332" s="32" t="s">
        <v>48</v>
      </c>
      <c r="G1332" s="32" t="s">
        <v>35</v>
      </c>
      <c r="H1332" s="23" t="s">
        <v>35</v>
      </c>
      <c r="I1332" s="66" t="s">
        <v>36</v>
      </c>
      <c r="J1332" s="34" t="s">
        <v>65</v>
      </c>
      <c r="K1332" s="57" t="s">
        <v>38</v>
      </c>
      <c r="L1332" s="25">
        <v>10770.0</v>
      </c>
      <c r="M1332" s="22" t="s">
        <v>50</v>
      </c>
      <c r="N1332" s="26" t="s">
        <v>5279</v>
      </c>
      <c r="O1332" s="28">
        <v>45422.49346196759</v>
      </c>
      <c r="P1332" s="26" t="s">
        <v>5284</v>
      </c>
      <c r="Q1332" s="12"/>
      <c r="R1332" s="12"/>
      <c r="S1332" s="60"/>
      <c r="T1332" s="29">
        <v>45415.0</v>
      </c>
      <c r="U1332" s="29">
        <v>45421.0</v>
      </c>
      <c r="V1332" s="29">
        <v>45422.33584868055</v>
      </c>
      <c r="W1332" s="30"/>
      <c r="X1332" s="30"/>
      <c r="Y1332" s="31"/>
      <c r="Z1332" s="31"/>
      <c r="AA1332" s="31" t="s">
        <v>3059</v>
      </c>
      <c r="AB1332" s="31" t="s">
        <v>5285</v>
      </c>
      <c r="AC1332" s="31"/>
    </row>
    <row r="1333" ht="16.5" customHeight="1">
      <c r="A1333" s="48" t="s">
        <v>5286</v>
      </c>
      <c r="B1333" s="53" t="s">
        <v>5287</v>
      </c>
      <c r="C1333" s="54">
        <v>0.0</v>
      </c>
      <c r="D1333" s="80" t="s">
        <v>5288</v>
      </c>
      <c r="E1333" s="55" t="s">
        <v>3441</v>
      </c>
      <c r="F1333" s="32" t="s">
        <v>48</v>
      </c>
      <c r="G1333" s="32" t="s">
        <v>35</v>
      </c>
      <c r="H1333" s="23" t="s">
        <v>35</v>
      </c>
      <c r="I1333" s="66" t="s">
        <v>36</v>
      </c>
      <c r="J1333" s="34" t="s">
        <v>37</v>
      </c>
      <c r="K1333" s="34" t="s">
        <v>814</v>
      </c>
      <c r="L1333" s="25">
        <v>10824.0</v>
      </c>
      <c r="M1333" s="22" t="s">
        <v>50</v>
      </c>
      <c r="N1333" s="26" t="s">
        <v>41</v>
      </c>
      <c r="O1333" s="28">
        <v>45435.67576563657</v>
      </c>
      <c r="P1333" s="26" t="s">
        <v>5289</v>
      </c>
      <c r="Q1333" s="12"/>
      <c r="R1333" s="12"/>
      <c r="S1333" s="60"/>
      <c r="T1333" s="29">
        <v>45418.0</v>
      </c>
      <c r="U1333" s="29">
        <v>45418.0</v>
      </c>
      <c r="V1333" s="29">
        <v>45435.575025150465</v>
      </c>
      <c r="W1333" s="30"/>
      <c r="X1333" s="30"/>
      <c r="Y1333" s="31"/>
      <c r="Z1333" s="31"/>
      <c r="AA1333" s="31" t="s">
        <v>5290</v>
      </c>
      <c r="AB1333" s="31" t="s">
        <v>5291</v>
      </c>
      <c r="AC1333" s="31"/>
    </row>
    <row r="1334" ht="16.5" customHeight="1">
      <c r="A1334" s="48" t="s">
        <v>5292</v>
      </c>
      <c r="B1334" s="53" t="s">
        <v>5287</v>
      </c>
      <c r="C1334" s="54">
        <v>0.0</v>
      </c>
      <c r="D1334" s="80" t="s">
        <v>5293</v>
      </c>
      <c r="E1334" s="55" t="s">
        <v>3441</v>
      </c>
      <c r="F1334" s="32" t="s">
        <v>48</v>
      </c>
      <c r="G1334" s="32" t="s">
        <v>35</v>
      </c>
      <c r="H1334" s="23" t="s">
        <v>35</v>
      </c>
      <c r="I1334" s="66" t="s">
        <v>36</v>
      </c>
      <c r="J1334" s="34" t="s">
        <v>37</v>
      </c>
      <c r="K1334" s="34" t="s">
        <v>814</v>
      </c>
      <c r="L1334" s="25">
        <v>10824.0</v>
      </c>
      <c r="M1334" s="22" t="s">
        <v>50</v>
      </c>
      <c r="N1334" s="26" t="s">
        <v>41</v>
      </c>
      <c r="O1334" s="28">
        <v>45435.67585306713</v>
      </c>
      <c r="P1334" s="26" t="s">
        <v>5289</v>
      </c>
      <c r="Q1334" s="12"/>
      <c r="R1334" s="12"/>
      <c r="S1334" s="60"/>
      <c r="T1334" s="29">
        <v>45418.0</v>
      </c>
      <c r="U1334" s="29">
        <v>45418.0</v>
      </c>
      <c r="V1334" s="29">
        <v>45435.575030555556</v>
      </c>
      <c r="W1334" s="30"/>
      <c r="X1334" s="30"/>
      <c r="Y1334" s="31"/>
      <c r="Z1334" s="31"/>
      <c r="AA1334" s="31" t="s">
        <v>5290</v>
      </c>
      <c r="AB1334" s="31" t="s">
        <v>5294</v>
      </c>
      <c r="AC1334" s="31"/>
    </row>
    <row r="1335" ht="16.5" customHeight="1">
      <c r="A1335" s="48" t="s">
        <v>5295</v>
      </c>
      <c r="B1335" s="53" t="s">
        <v>5296</v>
      </c>
      <c r="C1335" s="54">
        <v>0.0</v>
      </c>
      <c r="D1335" s="80" t="s">
        <v>5297</v>
      </c>
      <c r="E1335" s="55" t="s">
        <v>3441</v>
      </c>
      <c r="F1335" s="32" t="s">
        <v>48</v>
      </c>
      <c r="G1335" s="32" t="s">
        <v>35</v>
      </c>
      <c r="H1335" s="23" t="s">
        <v>35</v>
      </c>
      <c r="I1335" s="66" t="s">
        <v>36</v>
      </c>
      <c r="J1335" s="34" t="s">
        <v>65</v>
      </c>
      <c r="K1335" s="34" t="s">
        <v>38</v>
      </c>
      <c r="L1335" s="25">
        <v>10826.0</v>
      </c>
      <c r="M1335" s="22" t="s">
        <v>50</v>
      </c>
      <c r="N1335" s="26" t="s">
        <v>3442</v>
      </c>
      <c r="O1335" s="28">
        <v>45435.723861770835</v>
      </c>
      <c r="P1335" s="26" t="s">
        <v>5298</v>
      </c>
      <c r="Q1335" s="12"/>
      <c r="R1335" s="12"/>
      <c r="S1335" s="60"/>
      <c r="T1335" s="29">
        <v>45418.0</v>
      </c>
      <c r="U1335" s="29">
        <v>45418.0</v>
      </c>
      <c r="V1335" s="29">
        <v>45435.57504166667</v>
      </c>
      <c r="W1335" s="30"/>
      <c r="X1335" s="30"/>
      <c r="Y1335" s="31"/>
      <c r="Z1335" s="31"/>
      <c r="AA1335" s="31" t="s">
        <v>94</v>
      </c>
      <c r="AB1335" s="31" t="s">
        <v>5299</v>
      </c>
      <c r="AC1335" s="31"/>
    </row>
    <row r="1336" ht="16.5" customHeight="1">
      <c r="A1336" s="48" t="s">
        <v>5300</v>
      </c>
      <c r="B1336" s="53" t="s">
        <v>5301</v>
      </c>
      <c r="C1336" s="54">
        <v>90.0</v>
      </c>
      <c r="D1336" s="70" t="s">
        <v>5302</v>
      </c>
      <c r="E1336" s="55" t="s">
        <v>91</v>
      </c>
      <c r="F1336" s="32" t="s">
        <v>48</v>
      </c>
      <c r="G1336" s="32" t="s">
        <v>35</v>
      </c>
      <c r="H1336" s="23" t="s">
        <v>35</v>
      </c>
      <c r="I1336" s="66" t="s">
        <v>36</v>
      </c>
      <c r="J1336" s="34" t="s">
        <v>518</v>
      </c>
      <c r="K1336" s="57" t="s">
        <v>38</v>
      </c>
      <c r="L1336" s="64" t="s">
        <v>5303</v>
      </c>
      <c r="M1336" s="22" t="s">
        <v>50</v>
      </c>
      <c r="N1336" s="26" t="s">
        <v>4616</v>
      </c>
      <c r="O1336" s="28">
        <v>45420.582810011576</v>
      </c>
      <c r="P1336" s="26" t="s">
        <v>5304</v>
      </c>
      <c r="Q1336" s="12"/>
      <c r="R1336" s="12"/>
      <c r="S1336" s="60"/>
      <c r="T1336" s="29">
        <v>45419.0</v>
      </c>
      <c r="U1336" s="29">
        <v>45419.0</v>
      </c>
      <c r="V1336" s="29">
        <v>45420.48584461806</v>
      </c>
      <c r="W1336" s="30"/>
      <c r="X1336" s="30"/>
      <c r="Y1336" s="31"/>
      <c r="Z1336" s="31"/>
      <c r="AA1336" s="31" t="s">
        <v>108</v>
      </c>
      <c r="AB1336" s="31" t="s">
        <v>5305</v>
      </c>
      <c r="AC1336" s="31"/>
    </row>
    <row r="1337" ht="16.5" customHeight="1">
      <c r="A1337" s="48" t="s">
        <v>5306</v>
      </c>
      <c r="B1337" s="53" t="s">
        <v>5307</v>
      </c>
      <c r="C1337" s="54">
        <v>1.0</v>
      </c>
      <c r="D1337" s="80" t="s">
        <v>5308</v>
      </c>
      <c r="E1337" s="55" t="s">
        <v>3395</v>
      </c>
      <c r="F1337" s="32" t="s">
        <v>48</v>
      </c>
      <c r="G1337" s="32" t="s">
        <v>35</v>
      </c>
      <c r="H1337" s="23" t="s">
        <v>35</v>
      </c>
      <c r="I1337" s="66" t="s">
        <v>36</v>
      </c>
      <c r="J1337" s="34" t="s">
        <v>49</v>
      </c>
      <c r="K1337" s="57" t="s">
        <v>38</v>
      </c>
      <c r="L1337" s="79" t="s">
        <v>5309</v>
      </c>
      <c r="M1337" s="22" t="s">
        <v>50</v>
      </c>
      <c r="N1337" s="26" t="s">
        <v>4183</v>
      </c>
      <c r="O1337" s="28">
        <v>45420.669887337965</v>
      </c>
      <c r="P1337" s="26" t="s">
        <v>5310</v>
      </c>
      <c r="Q1337" s="12"/>
      <c r="R1337" s="12"/>
      <c r="S1337" s="60"/>
      <c r="T1337" s="29">
        <v>45419.0</v>
      </c>
      <c r="U1337" s="29">
        <v>45419.0</v>
      </c>
      <c r="V1337" s="29">
        <v>45420.42997673611</v>
      </c>
      <c r="W1337" s="30"/>
      <c r="X1337" s="30"/>
      <c r="Y1337" s="31"/>
      <c r="Z1337" s="31"/>
      <c r="AA1337" s="31" t="s">
        <v>5199</v>
      </c>
      <c r="AB1337" s="31" t="s">
        <v>5311</v>
      </c>
      <c r="AC1337" s="31"/>
    </row>
    <row r="1338" ht="16.5" customHeight="1">
      <c r="A1338" s="48" t="s">
        <v>5312</v>
      </c>
      <c r="B1338" s="53" t="s">
        <v>5313</v>
      </c>
      <c r="C1338" s="47">
        <v>90.0</v>
      </c>
      <c r="D1338" s="70" t="s">
        <v>5314</v>
      </c>
      <c r="E1338" s="55" t="s">
        <v>91</v>
      </c>
      <c r="F1338" s="32" t="s">
        <v>48</v>
      </c>
      <c r="G1338" s="32" t="s">
        <v>35</v>
      </c>
      <c r="H1338" s="71" t="s">
        <v>35</v>
      </c>
      <c r="I1338" s="71" t="s">
        <v>36</v>
      </c>
      <c r="J1338" s="34" t="s">
        <v>65</v>
      </c>
      <c r="K1338" s="57" t="s">
        <v>38</v>
      </c>
      <c r="L1338" s="72">
        <v>10772.0</v>
      </c>
      <c r="M1338" s="22"/>
      <c r="N1338" s="73"/>
      <c r="O1338" s="28">
        <v>45432.0</v>
      </c>
      <c r="P1338" s="35" t="s">
        <v>5315</v>
      </c>
      <c r="Q1338" s="12"/>
      <c r="R1338" s="12"/>
      <c r="S1338" s="12"/>
      <c r="T1338" s="52">
        <v>45419.0</v>
      </c>
      <c r="U1338" s="52">
        <v>45422.0</v>
      </c>
      <c r="V1338" s="52">
        <v>45432.0</v>
      </c>
      <c r="W1338" s="30"/>
      <c r="X1338" s="30"/>
      <c r="Y1338" s="31"/>
      <c r="Z1338" s="31"/>
      <c r="AA1338" s="78" t="s">
        <v>94</v>
      </c>
      <c r="AB1338" s="74" t="s">
        <v>5316</v>
      </c>
      <c r="AC1338" s="74"/>
    </row>
    <row r="1339" ht="16.5" customHeight="1">
      <c r="A1339" s="48" t="s">
        <v>5317</v>
      </c>
      <c r="B1339" s="53" t="s">
        <v>5318</v>
      </c>
      <c r="C1339" s="54">
        <v>90.0</v>
      </c>
      <c r="D1339" s="70" t="s">
        <v>5319</v>
      </c>
      <c r="E1339" s="55" t="s">
        <v>91</v>
      </c>
      <c r="F1339" s="32" t="s">
        <v>48</v>
      </c>
      <c r="G1339" s="32" t="s">
        <v>35</v>
      </c>
      <c r="H1339" s="23" t="s">
        <v>35</v>
      </c>
      <c r="I1339" s="66" t="s">
        <v>36</v>
      </c>
      <c r="J1339" s="34" t="s">
        <v>518</v>
      </c>
      <c r="K1339" s="57" t="s">
        <v>38</v>
      </c>
      <c r="L1339" s="64" t="s">
        <v>5320</v>
      </c>
      <c r="M1339" s="22" t="s">
        <v>50</v>
      </c>
      <c r="N1339" s="26" t="s">
        <v>4616</v>
      </c>
      <c r="O1339" s="28">
        <v>45420.58291402778</v>
      </c>
      <c r="P1339" s="26" t="s">
        <v>5304</v>
      </c>
      <c r="Q1339" s="12"/>
      <c r="R1339" s="12"/>
      <c r="S1339" s="60"/>
      <c r="T1339" s="29">
        <v>45419.0</v>
      </c>
      <c r="U1339" s="29">
        <v>45419.0</v>
      </c>
      <c r="V1339" s="29">
        <v>45420.488118587964</v>
      </c>
      <c r="W1339" s="30"/>
      <c r="X1339" s="30"/>
      <c r="Y1339" s="31"/>
      <c r="Z1339" s="31"/>
      <c r="AA1339" s="31" t="s">
        <v>108</v>
      </c>
      <c r="AB1339" s="31" t="s">
        <v>5321</v>
      </c>
      <c r="AC1339" s="31"/>
    </row>
    <row r="1340" ht="16.5" customHeight="1">
      <c r="A1340" s="48" t="s">
        <v>5322</v>
      </c>
      <c r="B1340" s="53" t="s">
        <v>5323</v>
      </c>
      <c r="C1340" s="54">
        <v>34.0</v>
      </c>
      <c r="D1340" s="80" t="s">
        <v>5324</v>
      </c>
      <c r="E1340" s="55" t="s">
        <v>47</v>
      </c>
      <c r="F1340" s="32" t="s">
        <v>48</v>
      </c>
      <c r="G1340" s="32" t="s">
        <v>35</v>
      </c>
      <c r="H1340" s="23" t="s">
        <v>35</v>
      </c>
      <c r="I1340" s="66" t="s">
        <v>36</v>
      </c>
      <c r="J1340" s="34" t="s">
        <v>49</v>
      </c>
      <c r="K1340" s="57" t="s">
        <v>38</v>
      </c>
      <c r="L1340" s="25">
        <v>10771.0</v>
      </c>
      <c r="M1340" s="22" t="s">
        <v>50</v>
      </c>
      <c r="N1340" s="26" t="s">
        <v>106</v>
      </c>
      <c r="O1340" s="28">
        <v>45422.491806817125</v>
      </c>
      <c r="P1340" s="26" t="s">
        <v>5325</v>
      </c>
      <c r="Q1340" s="12"/>
      <c r="R1340" s="12"/>
      <c r="S1340" s="60"/>
      <c r="T1340" s="29">
        <v>45419.0</v>
      </c>
      <c r="U1340" s="29">
        <v>45421.0</v>
      </c>
      <c r="V1340" s="29">
        <v>45422.33638679398</v>
      </c>
      <c r="W1340" s="30"/>
      <c r="X1340" s="30"/>
      <c r="Y1340" s="31"/>
      <c r="Z1340" s="31"/>
      <c r="AA1340" s="31" t="s">
        <v>102</v>
      </c>
      <c r="AB1340" s="31" t="s">
        <v>5326</v>
      </c>
      <c r="AC1340" s="31"/>
    </row>
    <row r="1341" ht="16.5" customHeight="1">
      <c r="A1341" s="48" t="s">
        <v>5327</v>
      </c>
      <c r="B1341" s="53" t="s">
        <v>477</v>
      </c>
      <c r="C1341" s="47">
        <v>0.0</v>
      </c>
      <c r="D1341" s="80" t="s">
        <v>5328</v>
      </c>
      <c r="E1341" s="55" t="s">
        <v>295</v>
      </c>
      <c r="F1341" s="32" t="s">
        <v>33</v>
      </c>
      <c r="G1341" s="32" t="s">
        <v>34</v>
      </c>
      <c r="H1341" s="23" t="s">
        <v>35</v>
      </c>
      <c r="I1341" s="66" t="s">
        <v>36</v>
      </c>
      <c r="J1341" s="34" t="s">
        <v>65</v>
      </c>
      <c r="K1341" s="57" t="s">
        <v>38</v>
      </c>
      <c r="L1341" s="25">
        <v>10789.0</v>
      </c>
      <c r="M1341" s="22" t="s">
        <v>40</v>
      </c>
      <c r="N1341" s="26" t="s">
        <v>5279</v>
      </c>
      <c r="O1341" s="28">
        <v>45428.61808020833</v>
      </c>
      <c r="P1341" s="26" t="s">
        <v>5329</v>
      </c>
      <c r="Q1341" s="12"/>
      <c r="R1341" s="30"/>
      <c r="S1341" s="60"/>
      <c r="T1341" s="29">
        <v>45420.0</v>
      </c>
      <c r="U1341" s="29">
        <v>45420.0</v>
      </c>
      <c r="V1341" s="29">
        <v>45427.0</v>
      </c>
      <c r="W1341" s="30"/>
      <c r="X1341" s="30"/>
      <c r="Y1341" s="31"/>
      <c r="Z1341" s="31"/>
      <c r="AA1341" s="31" t="s">
        <v>94</v>
      </c>
      <c r="AB1341" s="31" t="s">
        <v>5330</v>
      </c>
      <c r="AC1341" s="31"/>
    </row>
    <row r="1342" ht="16.5" customHeight="1">
      <c r="A1342" s="48" t="s">
        <v>5331</v>
      </c>
      <c r="B1342" s="53" t="s">
        <v>4293</v>
      </c>
      <c r="C1342" s="54">
        <v>34.0</v>
      </c>
      <c r="D1342" s="83" t="s">
        <v>5332</v>
      </c>
      <c r="E1342" s="55" t="s">
        <v>47</v>
      </c>
      <c r="F1342" s="32" t="s">
        <v>48</v>
      </c>
      <c r="G1342" s="32" t="s">
        <v>35</v>
      </c>
      <c r="H1342" s="23" t="s">
        <v>35</v>
      </c>
      <c r="I1342" s="66" t="s">
        <v>36</v>
      </c>
      <c r="J1342" s="34" t="s">
        <v>65</v>
      </c>
      <c r="K1342" s="57" t="s">
        <v>38</v>
      </c>
      <c r="L1342" s="25">
        <v>10767.0</v>
      </c>
      <c r="M1342" s="22" t="s">
        <v>50</v>
      </c>
      <c r="N1342" s="26" t="s">
        <v>4698</v>
      </c>
      <c r="O1342" s="28">
        <v>45421.67803052084</v>
      </c>
      <c r="P1342" s="26" t="s">
        <v>5333</v>
      </c>
      <c r="Q1342" s="12"/>
      <c r="R1342" s="12"/>
      <c r="S1342" s="60"/>
      <c r="T1342" s="29">
        <v>45420.0</v>
      </c>
      <c r="U1342" s="29">
        <v>45420.0</v>
      </c>
      <c r="V1342" s="29">
        <f>O1342</f>
        <v>45421.67803</v>
      </c>
      <c r="W1342" s="30"/>
      <c r="X1342" s="30"/>
      <c r="Y1342" s="31"/>
      <c r="Z1342" s="31"/>
      <c r="AA1342" s="31" t="s">
        <v>94</v>
      </c>
      <c r="AB1342" s="31" t="s">
        <v>5334</v>
      </c>
      <c r="AC1342" s="31"/>
    </row>
    <row r="1343" ht="16.5" customHeight="1">
      <c r="A1343" s="48" t="s">
        <v>5335</v>
      </c>
      <c r="B1343" s="53" t="s">
        <v>5336</v>
      </c>
      <c r="C1343" s="47">
        <v>27.0</v>
      </c>
      <c r="D1343" s="39" t="s">
        <v>5337</v>
      </c>
      <c r="E1343" s="55" t="s">
        <v>72</v>
      </c>
      <c r="F1343" s="32" t="s">
        <v>48</v>
      </c>
      <c r="G1343" s="32" t="s">
        <v>35</v>
      </c>
      <c r="H1343" s="71" t="s">
        <v>35</v>
      </c>
      <c r="I1343" s="71" t="s">
        <v>36</v>
      </c>
      <c r="J1343" s="34" t="s">
        <v>65</v>
      </c>
      <c r="K1343" s="57" t="s">
        <v>38</v>
      </c>
      <c r="L1343" s="72">
        <v>10769.0</v>
      </c>
      <c r="M1343" s="22"/>
      <c r="N1343" s="73"/>
      <c r="O1343" s="28">
        <v>45430.0</v>
      </c>
      <c r="P1343" s="35" t="s">
        <v>5338</v>
      </c>
      <c r="Q1343" s="12"/>
      <c r="R1343" s="12"/>
      <c r="S1343" s="12"/>
      <c r="T1343" s="52">
        <v>45420.0</v>
      </c>
      <c r="U1343" s="52">
        <v>45420.0</v>
      </c>
      <c r="V1343" s="52">
        <v>45430.0</v>
      </c>
      <c r="W1343" s="30"/>
      <c r="X1343" s="30"/>
      <c r="Y1343" s="31"/>
      <c r="Z1343" s="31"/>
      <c r="AA1343" s="78" t="s">
        <v>94</v>
      </c>
      <c r="AB1343" s="74" t="s">
        <v>5339</v>
      </c>
      <c r="AC1343" s="74"/>
    </row>
    <row r="1344" ht="16.5" customHeight="1">
      <c r="A1344" s="48" t="s">
        <v>5340</v>
      </c>
      <c r="B1344" s="53" t="s">
        <v>5341</v>
      </c>
      <c r="C1344" s="47">
        <v>1.0</v>
      </c>
      <c r="D1344" s="70" t="s">
        <v>5342</v>
      </c>
      <c r="E1344" s="55" t="s">
        <v>3395</v>
      </c>
      <c r="F1344" s="32" t="s">
        <v>48</v>
      </c>
      <c r="G1344" s="32" t="s">
        <v>35</v>
      </c>
      <c r="H1344" s="71" t="s">
        <v>35</v>
      </c>
      <c r="I1344" s="71" t="s">
        <v>36</v>
      </c>
      <c r="J1344" s="34" t="s">
        <v>65</v>
      </c>
      <c r="K1344" s="57" t="s">
        <v>38</v>
      </c>
      <c r="L1344" s="72">
        <v>10762.0</v>
      </c>
      <c r="M1344" s="22"/>
      <c r="N1344" s="73"/>
      <c r="O1344" s="28">
        <v>45430.0</v>
      </c>
      <c r="P1344" s="35" t="s">
        <v>5343</v>
      </c>
      <c r="Q1344" s="12"/>
      <c r="R1344" s="12"/>
      <c r="S1344" s="12"/>
      <c r="T1344" s="52">
        <v>45420.0</v>
      </c>
      <c r="U1344" s="52">
        <v>45420.0</v>
      </c>
      <c r="V1344" s="52">
        <v>45430.0</v>
      </c>
      <c r="W1344" s="30"/>
      <c r="X1344" s="30"/>
      <c r="Y1344" s="31"/>
      <c r="Z1344" s="31"/>
      <c r="AA1344" s="78" t="s">
        <v>94</v>
      </c>
      <c r="AB1344" s="74" t="s">
        <v>5344</v>
      </c>
      <c r="AC1344" s="74"/>
    </row>
    <row r="1345" ht="16.5" customHeight="1">
      <c r="A1345" s="48" t="s">
        <v>5345</v>
      </c>
      <c r="B1345" s="53" t="s">
        <v>5346</v>
      </c>
      <c r="C1345" s="54">
        <v>0.0</v>
      </c>
      <c r="D1345" s="80" t="s">
        <v>5347</v>
      </c>
      <c r="E1345" s="55" t="s">
        <v>3441</v>
      </c>
      <c r="F1345" s="32" t="s">
        <v>48</v>
      </c>
      <c r="G1345" s="32" t="s">
        <v>35</v>
      </c>
      <c r="H1345" s="23" t="s">
        <v>35</v>
      </c>
      <c r="I1345" s="66" t="s">
        <v>36</v>
      </c>
      <c r="J1345" s="34" t="s">
        <v>49</v>
      </c>
      <c r="K1345" s="57" t="s">
        <v>38</v>
      </c>
      <c r="L1345" s="25">
        <v>10838.0</v>
      </c>
      <c r="M1345" s="22" t="s">
        <v>50</v>
      </c>
      <c r="N1345" s="26" t="s">
        <v>106</v>
      </c>
      <c r="O1345" s="28">
        <v>45435.6770318287</v>
      </c>
      <c r="P1345" s="26" t="s">
        <v>5348</v>
      </c>
      <c r="Q1345" s="12"/>
      <c r="R1345" s="12"/>
      <c r="S1345" s="60"/>
      <c r="T1345" s="29">
        <v>45421.0</v>
      </c>
      <c r="U1345" s="29">
        <v>45421.0</v>
      </c>
      <c r="V1345" s="29">
        <v>45435.57505104167</v>
      </c>
      <c r="W1345" s="30"/>
      <c r="X1345" s="30"/>
      <c r="Y1345" s="31"/>
      <c r="Z1345" s="31"/>
      <c r="AA1345" s="31" t="s">
        <v>127</v>
      </c>
      <c r="AB1345" s="31" t="s">
        <v>5349</v>
      </c>
      <c r="AC1345" s="31"/>
    </row>
    <row r="1346" ht="16.5" customHeight="1">
      <c r="A1346" s="48" t="s">
        <v>5350</v>
      </c>
      <c r="B1346" s="53" t="s">
        <v>3709</v>
      </c>
      <c r="C1346" s="47">
        <v>0.0</v>
      </c>
      <c r="D1346" s="80" t="s">
        <v>5351</v>
      </c>
      <c r="E1346" s="55" t="s">
        <v>713</v>
      </c>
      <c r="F1346" s="32" t="s">
        <v>33</v>
      </c>
      <c r="G1346" s="32" t="s">
        <v>35</v>
      </c>
      <c r="H1346" s="23" t="s">
        <v>35</v>
      </c>
      <c r="I1346" s="84" t="s">
        <v>36</v>
      </c>
      <c r="J1346" s="34" t="s">
        <v>92</v>
      </c>
      <c r="K1346" s="57" t="s">
        <v>38</v>
      </c>
      <c r="L1346" s="25">
        <v>10786.0</v>
      </c>
      <c r="M1346" s="22" t="s">
        <v>40</v>
      </c>
      <c r="N1346" s="26" t="s">
        <v>5352</v>
      </c>
      <c r="O1346" s="28">
        <v>45460.406726180554</v>
      </c>
      <c r="P1346" s="26" t="s">
        <v>5353</v>
      </c>
      <c r="Q1346" s="12"/>
      <c r="R1346" s="30"/>
      <c r="S1346" s="60"/>
      <c r="T1346" s="29">
        <v>45421.0</v>
      </c>
      <c r="U1346" s="29">
        <v>45422.0</v>
      </c>
      <c r="V1346" s="29">
        <v>45426.0</v>
      </c>
      <c r="W1346" s="30"/>
      <c r="X1346" s="30"/>
      <c r="Y1346" s="31"/>
      <c r="Z1346" s="31"/>
      <c r="AA1346" s="31" t="s">
        <v>120</v>
      </c>
      <c r="AB1346" s="31" t="s">
        <v>5354</v>
      </c>
      <c r="AC1346" s="31"/>
    </row>
    <row r="1347" ht="16.5" customHeight="1">
      <c r="A1347" s="85" t="s">
        <v>5355</v>
      </c>
      <c r="B1347" s="86" t="s">
        <v>5356</v>
      </c>
      <c r="C1347" s="87">
        <v>0.0</v>
      </c>
      <c r="D1347" s="88" t="s">
        <v>5357</v>
      </c>
      <c r="E1347" s="89" t="s">
        <v>4792</v>
      </c>
      <c r="F1347" s="90" t="s">
        <v>244</v>
      </c>
      <c r="G1347" s="90" t="s">
        <v>35</v>
      </c>
      <c r="H1347" s="71" t="s">
        <v>35</v>
      </c>
      <c r="I1347" s="84" t="s">
        <v>36</v>
      </c>
      <c r="J1347" s="34" t="s">
        <v>49</v>
      </c>
      <c r="K1347" s="91" t="s">
        <v>38</v>
      </c>
      <c r="L1347" s="92"/>
      <c r="M1347" s="22" t="s">
        <v>40</v>
      </c>
      <c r="N1347" s="93" t="s">
        <v>106</v>
      </c>
      <c r="O1347" s="28">
        <v>45436.647188703704</v>
      </c>
      <c r="P1347" s="26" t="s">
        <v>5358</v>
      </c>
      <c r="Q1347" s="12"/>
      <c r="R1347" s="30"/>
      <c r="S1347" s="60"/>
      <c r="T1347" s="29">
        <v>45421.0</v>
      </c>
      <c r="U1347" s="29">
        <v>45421.0</v>
      </c>
      <c r="V1347" s="29">
        <v>45433.0</v>
      </c>
      <c r="W1347" s="30"/>
      <c r="X1347" s="30"/>
      <c r="Y1347" s="31"/>
      <c r="Z1347" s="31"/>
      <c r="AA1347" s="31" t="s">
        <v>102</v>
      </c>
      <c r="AB1347" s="31" t="s">
        <v>5359</v>
      </c>
      <c r="AC1347" s="31"/>
    </row>
    <row r="1348" ht="16.5" customHeight="1">
      <c r="A1348" s="48" t="s">
        <v>5360</v>
      </c>
      <c r="B1348" s="53" t="s">
        <v>3709</v>
      </c>
      <c r="C1348" s="54">
        <v>0.0</v>
      </c>
      <c r="D1348" s="80" t="s">
        <v>5361</v>
      </c>
      <c r="E1348" s="55" t="s">
        <v>1693</v>
      </c>
      <c r="F1348" s="32" t="s">
        <v>48</v>
      </c>
      <c r="G1348" s="32" t="s">
        <v>35</v>
      </c>
      <c r="H1348" s="23" t="s">
        <v>35</v>
      </c>
      <c r="I1348" s="66" t="s">
        <v>36</v>
      </c>
      <c r="J1348" s="34" t="s">
        <v>92</v>
      </c>
      <c r="K1348" s="57" t="s">
        <v>38</v>
      </c>
      <c r="L1348" s="64" t="s">
        <v>5362</v>
      </c>
      <c r="M1348" s="22" t="s">
        <v>5216</v>
      </c>
      <c r="N1348" s="26" t="s">
        <v>5352</v>
      </c>
      <c r="O1348" s="28">
        <v>45460.40686108796</v>
      </c>
      <c r="P1348" s="26" t="s">
        <v>5363</v>
      </c>
      <c r="Q1348" s="12"/>
      <c r="R1348" s="12"/>
      <c r="S1348" s="60"/>
      <c r="T1348" s="29">
        <v>45421.0</v>
      </c>
      <c r="U1348" s="29">
        <v>45422.0</v>
      </c>
      <c r="V1348" s="29">
        <v>45425.0</v>
      </c>
      <c r="W1348" s="30"/>
      <c r="X1348" s="30"/>
      <c r="Y1348" s="31"/>
      <c r="Z1348" s="31"/>
      <c r="AA1348" s="31" t="s">
        <v>120</v>
      </c>
      <c r="AB1348" s="31" t="s">
        <v>5364</v>
      </c>
      <c r="AC1348" s="31"/>
    </row>
    <row r="1349" ht="16.5" customHeight="1">
      <c r="A1349" s="48" t="s">
        <v>5365</v>
      </c>
      <c r="B1349" s="53" t="s">
        <v>3709</v>
      </c>
      <c r="C1349" s="54">
        <v>0.0</v>
      </c>
      <c r="D1349" s="80" t="s">
        <v>5366</v>
      </c>
      <c r="E1349" s="55" t="s">
        <v>1693</v>
      </c>
      <c r="F1349" s="32" t="s">
        <v>48</v>
      </c>
      <c r="G1349" s="32" t="s">
        <v>35</v>
      </c>
      <c r="H1349" s="23" t="s">
        <v>35</v>
      </c>
      <c r="I1349" s="66" t="s">
        <v>36</v>
      </c>
      <c r="J1349" s="34" t="s">
        <v>92</v>
      </c>
      <c r="K1349" s="57" t="s">
        <v>38</v>
      </c>
      <c r="L1349" s="64" t="s">
        <v>5362</v>
      </c>
      <c r="M1349" s="22" t="s">
        <v>5216</v>
      </c>
      <c r="N1349" s="26" t="s">
        <v>5352</v>
      </c>
      <c r="O1349" s="28">
        <v>45460.40692811343</v>
      </c>
      <c r="P1349" s="26" t="s">
        <v>5363</v>
      </c>
      <c r="Q1349" s="12"/>
      <c r="R1349" s="12"/>
      <c r="S1349" s="60"/>
      <c r="T1349" s="29">
        <v>45421.0</v>
      </c>
      <c r="U1349" s="29">
        <v>45422.0</v>
      </c>
      <c r="V1349" s="29">
        <v>45425.0</v>
      </c>
      <c r="W1349" s="30"/>
      <c r="X1349" s="30"/>
      <c r="Y1349" s="31"/>
      <c r="Z1349" s="31"/>
      <c r="AA1349" s="31" t="s">
        <v>120</v>
      </c>
      <c r="AB1349" s="31" t="s">
        <v>5367</v>
      </c>
      <c r="AC1349" s="31"/>
    </row>
    <row r="1350" ht="16.5" customHeight="1">
      <c r="A1350" s="48" t="s">
        <v>5368</v>
      </c>
      <c r="B1350" s="53" t="s">
        <v>3709</v>
      </c>
      <c r="C1350" s="54">
        <v>0.0</v>
      </c>
      <c r="D1350" s="80" t="s">
        <v>5369</v>
      </c>
      <c r="E1350" s="55" t="s">
        <v>1693</v>
      </c>
      <c r="F1350" s="32" t="s">
        <v>48</v>
      </c>
      <c r="G1350" s="32" t="s">
        <v>35</v>
      </c>
      <c r="H1350" s="23" t="s">
        <v>35</v>
      </c>
      <c r="I1350" s="66" t="s">
        <v>36</v>
      </c>
      <c r="J1350" s="34" t="s">
        <v>92</v>
      </c>
      <c r="K1350" s="57" t="s">
        <v>38</v>
      </c>
      <c r="L1350" s="64" t="s">
        <v>5370</v>
      </c>
      <c r="M1350" s="22" t="s">
        <v>5216</v>
      </c>
      <c r="N1350" s="26" t="s">
        <v>5352</v>
      </c>
      <c r="O1350" s="28">
        <v>45460.40701275463</v>
      </c>
      <c r="P1350" s="26" t="s">
        <v>5371</v>
      </c>
      <c r="Q1350" s="12"/>
      <c r="R1350" s="12"/>
      <c r="S1350" s="60"/>
      <c r="T1350" s="29">
        <v>45421.0</v>
      </c>
      <c r="U1350" s="29">
        <v>45422.0</v>
      </c>
      <c r="V1350" s="29">
        <v>45425.0</v>
      </c>
      <c r="W1350" s="30"/>
      <c r="X1350" s="30"/>
      <c r="Y1350" s="31"/>
      <c r="Z1350" s="31"/>
      <c r="AA1350" s="31" t="s">
        <v>120</v>
      </c>
      <c r="AB1350" s="31" t="s">
        <v>5372</v>
      </c>
      <c r="AC1350" s="31"/>
    </row>
    <row r="1351" ht="16.5" customHeight="1">
      <c r="A1351" s="48" t="s">
        <v>5373</v>
      </c>
      <c r="B1351" s="53" t="s">
        <v>3289</v>
      </c>
      <c r="C1351" s="54">
        <v>11.0</v>
      </c>
      <c r="D1351" s="80" t="s">
        <v>5374</v>
      </c>
      <c r="E1351" s="55" t="s">
        <v>112</v>
      </c>
      <c r="F1351" s="32" t="s">
        <v>48</v>
      </c>
      <c r="G1351" s="32" t="s">
        <v>35</v>
      </c>
      <c r="H1351" s="23" t="s">
        <v>35</v>
      </c>
      <c r="I1351" s="66" t="s">
        <v>36</v>
      </c>
      <c r="J1351" s="34" t="s">
        <v>92</v>
      </c>
      <c r="K1351" s="57" t="s">
        <v>38</v>
      </c>
      <c r="L1351" s="64" t="s">
        <v>5375</v>
      </c>
      <c r="M1351" s="22" t="s">
        <v>5216</v>
      </c>
      <c r="N1351" s="26" t="s">
        <v>4362</v>
      </c>
      <c r="O1351" s="28">
        <v>45436.41850114583</v>
      </c>
      <c r="P1351" s="26" t="s">
        <v>5376</v>
      </c>
      <c r="Q1351" s="12"/>
      <c r="R1351" s="12"/>
      <c r="S1351" s="60"/>
      <c r="T1351" s="29">
        <v>45422.0</v>
      </c>
      <c r="U1351" s="29">
        <v>45422.0</v>
      </c>
      <c r="V1351" s="29">
        <v>45425.0</v>
      </c>
      <c r="W1351" s="30"/>
      <c r="X1351" s="30"/>
      <c r="Y1351" s="31"/>
      <c r="Z1351" s="31"/>
      <c r="AA1351" s="31" t="s">
        <v>120</v>
      </c>
      <c r="AB1351" s="31" t="s">
        <v>5377</v>
      </c>
      <c r="AC1351" s="31"/>
    </row>
    <row r="1352" ht="16.5" customHeight="1">
      <c r="A1352" s="48" t="s">
        <v>5378</v>
      </c>
      <c r="B1352" s="53" t="s">
        <v>3674</v>
      </c>
      <c r="C1352" s="47">
        <v>0.0</v>
      </c>
      <c r="D1352" s="80" t="s">
        <v>5379</v>
      </c>
      <c r="E1352" s="55" t="s">
        <v>243</v>
      </c>
      <c r="F1352" s="32" t="s">
        <v>244</v>
      </c>
      <c r="G1352" s="32" t="s">
        <v>35</v>
      </c>
      <c r="H1352" s="23" t="s">
        <v>35</v>
      </c>
      <c r="I1352" s="66" t="s">
        <v>36</v>
      </c>
      <c r="J1352" s="34" t="s">
        <v>65</v>
      </c>
      <c r="K1352" s="57" t="s">
        <v>38</v>
      </c>
      <c r="L1352" s="25">
        <v>10810.0</v>
      </c>
      <c r="M1352" s="22" t="s">
        <v>40</v>
      </c>
      <c r="N1352" s="26" t="s">
        <v>5279</v>
      </c>
      <c r="O1352" s="28">
        <v>45433.630279537036</v>
      </c>
      <c r="P1352" s="26" t="s">
        <v>5380</v>
      </c>
      <c r="Q1352" s="12"/>
      <c r="R1352" s="30"/>
      <c r="S1352" s="60"/>
      <c r="T1352" s="29">
        <v>45422.0</v>
      </c>
      <c r="U1352" s="29">
        <v>45425.0</v>
      </c>
      <c r="V1352" s="29">
        <v>45432.0</v>
      </c>
      <c r="W1352" s="30"/>
      <c r="X1352" s="30"/>
      <c r="Y1352" s="31"/>
      <c r="Z1352" s="31"/>
      <c r="AA1352" s="31" t="s">
        <v>94</v>
      </c>
      <c r="AB1352" s="31" t="s">
        <v>5381</v>
      </c>
      <c r="AC1352" s="31"/>
    </row>
    <row r="1353" ht="16.5" customHeight="1">
      <c r="A1353" s="48" t="s">
        <v>5382</v>
      </c>
      <c r="B1353" s="53" t="s">
        <v>4308</v>
      </c>
      <c r="C1353" s="54">
        <v>90.0</v>
      </c>
      <c r="D1353" s="70" t="s">
        <v>5383</v>
      </c>
      <c r="E1353" s="55" t="s">
        <v>91</v>
      </c>
      <c r="F1353" s="32" t="s">
        <v>48</v>
      </c>
      <c r="G1353" s="32" t="s">
        <v>35</v>
      </c>
      <c r="H1353" s="23" t="s">
        <v>35</v>
      </c>
      <c r="I1353" s="66" t="s">
        <v>36</v>
      </c>
      <c r="J1353" s="34" t="s">
        <v>92</v>
      </c>
      <c r="K1353" s="57" t="s">
        <v>38</v>
      </c>
      <c r="L1353" s="64" t="s">
        <v>5384</v>
      </c>
      <c r="M1353" s="22" t="s">
        <v>50</v>
      </c>
      <c r="N1353" s="26" t="s">
        <v>4658</v>
      </c>
      <c r="O1353" s="28">
        <v>45426.3705971875</v>
      </c>
      <c r="P1353" s="26" t="s">
        <v>5385</v>
      </c>
      <c r="Q1353" s="12"/>
      <c r="R1353" s="12"/>
      <c r="S1353" s="60"/>
      <c r="T1353" s="29">
        <v>45425.0</v>
      </c>
      <c r="U1353" s="29">
        <v>45425.0</v>
      </c>
      <c r="V1353" s="29">
        <v>45425.67115978009</v>
      </c>
      <c r="W1353" s="30"/>
      <c r="X1353" s="30"/>
      <c r="Y1353" s="31"/>
      <c r="Z1353" s="31"/>
      <c r="AA1353" s="31" t="s">
        <v>120</v>
      </c>
      <c r="AB1353" s="31" t="s">
        <v>5386</v>
      </c>
      <c r="AC1353" s="31"/>
    </row>
    <row r="1354" ht="16.5" customHeight="1">
      <c r="A1354" s="48" t="s">
        <v>5387</v>
      </c>
      <c r="B1354" s="53" t="s">
        <v>3709</v>
      </c>
      <c r="C1354" s="47">
        <v>0.0</v>
      </c>
      <c r="D1354" s="80" t="s">
        <v>5388</v>
      </c>
      <c r="E1354" s="55" t="s">
        <v>2288</v>
      </c>
      <c r="F1354" s="32" t="s">
        <v>33</v>
      </c>
      <c r="G1354" s="32" t="s">
        <v>35</v>
      </c>
      <c r="H1354" s="23" t="s">
        <v>35</v>
      </c>
      <c r="I1354" s="66" t="s">
        <v>36</v>
      </c>
      <c r="J1354" s="34" t="s">
        <v>92</v>
      </c>
      <c r="K1354" s="57" t="s">
        <v>38</v>
      </c>
      <c r="L1354" s="25">
        <v>10925.0</v>
      </c>
      <c r="M1354" s="22" t="s">
        <v>40</v>
      </c>
      <c r="N1354" s="26" t="s">
        <v>5352</v>
      </c>
      <c r="O1354" s="28">
        <v>45460.407089375</v>
      </c>
      <c r="P1354" s="26" t="s">
        <v>5389</v>
      </c>
      <c r="Q1354" s="12"/>
      <c r="R1354" s="30"/>
      <c r="S1354" s="60"/>
      <c r="T1354" s="29">
        <v>45425.0</v>
      </c>
      <c r="U1354" s="29">
        <v>45426.0</v>
      </c>
      <c r="V1354" s="29">
        <v>45449.0</v>
      </c>
      <c r="W1354" s="30"/>
      <c r="X1354" s="30"/>
      <c r="Y1354" s="31"/>
      <c r="Z1354" s="31"/>
      <c r="AA1354" s="31" t="s">
        <v>120</v>
      </c>
      <c r="AB1354" s="31" t="s">
        <v>5390</v>
      </c>
      <c r="AC1354" s="31"/>
    </row>
    <row r="1355" ht="16.5" customHeight="1">
      <c r="A1355" s="48" t="s">
        <v>5391</v>
      </c>
      <c r="B1355" s="53" t="s">
        <v>5392</v>
      </c>
      <c r="C1355" s="54">
        <v>11.0</v>
      </c>
      <c r="D1355" s="80" t="s">
        <v>5393</v>
      </c>
      <c r="E1355" s="55" t="s">
        <v>112</v>
      </c>
      <c r="F1355" s="32" t="s">
        <v>48</v>
      </c>
      <c r="G1355" s="32" t="s">
        <v>35</v>
      </c>
      <c r="H1355" s="23" t="s">
        <v>35</v>
      </c>
      <c r="I1355" s="66" t="s">
        <v>36</v>
      </c>
      <c r="J1355" s="34" t="s">
        <v>37</v>
      </c>
      <c r="K1355" s="57" t="s">
        <v>447</v>
      </c>
      <c r="L1355" s="25">
        <v>10783.0</v>
      </c>
      <c r="M1355" s="22" t="s">
        <v>50</v>
      </c>
      <c r="N1355" s="26" t="s">
        <v>41</v>
      </c>
      <c r="O1355" s="28">
        <v>45427.62174820602</v>
      </c>
      <c r="P1355" s="26" t="s">
        <v>5394</v>
      </c>
      <c r="Q1355" s="12"/>
      <c r="R1355" s="12"/>
      <c r="S1355" s="60"/>
      <c r="T1355" s="29">
        <v>45425.0</v>
      </c>
      <c r="U1355" s="29">
        <v>45426.0</v>
      </c>
      <c r="V1355" s="29">
        <v>45427.395868113425</v>
      </c>
      <c r="W1355" s="30"/>
      <c r="X1355" s="30"/>
      <c r="Y1355" s="31"/>
      <c r="Z1355" s="31"/>
      <c r="AA1355" s="31" t="s">
        <v>108</v>
      </c>
      <c r="AB1355" s="31" t="s">
        <v>5395</v>
      </c>
      <c r="AC1355" s="31"/>
    </row>
    <row r="1356" ht="16.5" customHeight="1">
      <c r="A1356" s="48" t="s">
        <v>5396</v>
      </c>
      <c r="B1356" s="53" t="s">
        <v>5392</v>
      </c>
      <c r="C1356" s="54">
        <v>137.0</v>
      </c>
      <c r="D1356" s="80" t="s">
        <v>5397</v>
      </c>
      <c r="E1356" s="55" t="s">
        <v>85</v>
      </c>
      <c r="F1356" s="32" t="s">
        <v>48</v>
      </c>
      <c r="G1356" s="32" t="s">
        <v>35</v>
      </c>
      <c r="H1356" s="23" t="s">
        <v>35</v>
      </c>
      <c r="I1356" s="66" t="s">
        <v>36</v>
      </c>
      <c r="J1356" s="34" t="s">
        <v>37</v>
      </c>
      <c r="K1356" s="57" t="s">
        <v>447</v>
      </c>
      <c r="L1356" s="25">
        <v>10783.0</v>
      </c>
      <c r="M1356" s="22" t="s">
        <v>50</v>
      </c>
      <c r="N1356" s="26" t="s">
        <v>41</v>
      </c>
      <c r="O1356" s="28">
        <v>45427.621814178245</v>
      </c>
      <c r="P1356" s="26" t="s">
        <v>5394</v>
      </c>
      <c r="Q1356" s="12"/>
      <c r="R1356" s="12"/>
      <c r="S1356" s="60"/>
      <c r="T1356" s="29">
        <v>45425.0</v>
      </c>
      <c r="U1356" s="29">
        <v>45426.0</v>
      </c>
      <c r="V1356" s="29">
        <v>45427.471683854164</v>
      </c>
      <c r="W1356" s="30"/>
      <c r="X1356" s="30"/>
      <c r="Y1356" s="31"/>
      <c r="Z1356" s="31"/>
      <c r="AA1356" s="31" t="s">
        <v>108</v>
      </c>
      <c r="AB1356" s="31" t="s">
        <v>5398</v>
      </c>
      <c r="AC1356" s="31"/>
    </row>
    <row r="1357" ht="16.5" customHeight="1">
      <c r="A1357" s="48" t="s">
        <v>5399</v>
      </c>
      <c r="B1357" s="53" t="s">
        <v>3709</v>
      </c>
      <c r="C1357" s="54">
        <v>0.0</v>
      </c>
      <c r="D1357" s="80" t="s">
        <v>5400</v>
      </c>
      <c r="E1357" s="55" t="s">
        <v>664</v>
      </c>
      <c r="F1357" s="32" t="s">
        <v>48</v>
      </c>
      <c r="G1357" s="32" t="s">
        <v>35</v>
      </c>
      <c r="H1357" s="23" t="s">
        <v>35</v>
      </c>
      <c r="I1357" s="66" t="s">
        <v>36</v>
      </c>
      <c r="J1357" s="34" t="s">
        <v>92</v>
      </c>
      <c r="K1357" s="57" t="s">
        <v>38</v>
      </c>
      <c r="L1357" s="25">
        <v>10785.0</v>
      </c>
      <c r="M1357" s="22" t="s">
        <v>50</v>
      </c>
      <c r="N1357" s="26" t="s">
        <v>5352</v>
      </c>
      <c r="O1357" s="28">
        <v>45460.40715789352</v>
      </c>
      <c r="P1357" s="26" t="s">
        <v>5401</v>
      </c>
      <c r="Q1357" s="12"/>
      <c r="R1357" s="12"/>
      <c r="S1357" s="60"/>
      <c r="T1357" s="29">
        <v>45425.0</v>
      </c>
      <c r="U1357" s="29">
        <v>45457.40715789352</v>
      </c>
      <c r="V1357" s="29">
        <f>O1357</f>
        <v>45460.40716</v>
      </c>
      <c r="W1357" s="30"/>
      <c r="X1357" s="30"/>
      <c r="Y1357" s="31"/>
      <c r="Z1357" s="31"/>
      <c r="AA1357" s="31" t="s">
        <v>120</v>
      </c>
      <c r="AB1357" s="31" t="s">
        <v>5402</v>
      </c>
      <c r="AC1357" s="31"/>
    </row>
    <row r="1358" ht="16.5" customHeight="1">
      <c r="A1358" s="48" t="s">
        <v>5403</v>
      </c>
      <c r="B1358" s="53" t="s">
        <v>802</v>
      </c>
      <c r="C1358" s="47">
        <v>0.0</v>
      </c>
      <c r="D1358" s="80" t="s">
        <v>5404</v>
      </c>
      <c r="E1358" s="55" t="s">
        <v>4766</v>
      </c>
      <c r="F1358" s="32" t="s">
        <v>244</v>
      </c>
      <c r="G1358" s="32" t="s">
        <v>35</v>
      </c>
      <c r="H1358" s="23" t="s">
        <v>35</v>
      </c>
      <c r="I1358" s="66" t="s">
        <v>36</v>
      </c>
      <c r="J1358" s="34" t="s">
        <v>37</v>
      </c>
      <c r="K1358" s="57" t="s">
        <v>238</v>
      </c>
      <c r="L1358" s="25">
        <v>10844.0</v>
      </c>
      <c r="M1358" s="22" t="s">
        <v>40</v>
      </c>
      <c r="N1358" s="26" t="s">
        <v>41</v>
      </c>
      <c r="O1358" s="28">
        <v>45439.59411872685</v>
      </c>
      <c r="P1358" s="26" t="s">
        <v>5405</v>
      </c>
      <c r="Q1358" s="12"/>
      <c r="R1358" s="30"/>
      <c r="S1358" s="60"/>
      <c r="T1358" s="29">
        <v>45425.0</v>
      </c>
      <c r="U1358" s="29">
        <v>45432.0</v>
      </c>
      <c r="V1358" s="29">
        <v>45435.0</v>
      </c>
      <c r="W1358" s="30"/>
      <c r="X1358" s="30"/>
      <c r="Y1358" s="31"/>
      <c r="Z1358" s="31"/>
      <c r="AA1358" s="31" t="s">
        <v>3385</v>
      </c>
      <c r="AB1358" s="31" t="s">
        <v>5406</v>
      </c>
      <c r="AC1358" s="31"/>
    </row>
    <row r="1359" ht="16.5" customHeight="1">
      <c r="A1359" s="48" t="s">
        <v>5407</v>
      </c>
      <c r="B1359" s="53" t="s">
        <v>5408</v>
      </c>
      <c r="C1359" s="47">
        <v>11.0</v>
      </c>
      <c r="D1359" s="70" t="s">
        <v>5409</v>
      </c>
      <c r="E1359" s="55" t="s">
        <v>112</v>
      </c>
      <c r="F1359" s="32" t="s">
        <v>48</v>
      </c>
      <c r="G1359" s="32" t="s">
        <v>35</v>
      </c>
      <c r="H1359" s="71" t="s">
        <v>35</v>
      </c>
      <c r="I1359" s="71" t="s">
        <v>36</v>
      </c>
      <c r="J1359" s="34" t="s">
        <v>49</v>
      </c>
      <c r="K1359" s="57" t="s">
        <v>38</v>
      </c>
      <c r="L1359" s="72">
        <v>10820.0</v>
      </c>
      <c r="M1359" s="22"/>
      <c r="N1359" s="73"/>
      <c r="O1359" s="28">
        <v>45394.0</v>
      </c>
      <c r="P1359" s="35" t="s">
        <v>5410</v>
      </c>
      <c r="Q1359" s="12"/>
      <c r="R1359" s="12"/>
      <c r="S1359" s="12"/>
      <c r="T1359" s="52">
        <v>45384.0</v>
      </c>
      <c r="U1359" s="52">
        <v>45384.0</v>
      </c>
      <c r="V1359" s="52">
        <v>45385.0</v>
      </c>
      <c r="W1359" s="30"/>
      <c r="X1359" s="30"/>
      <c r="Y1359" s="31"/>
      <c r="Z1359" s="31"/>
      <c r="AA1359" s="78" t="s">
        <v>94</v>
      </c>
      <c r="AB1359" s="74" t="s">
        <v>5411</v>
      </c>
      <c r="AC1359" s="74"/>
    </row>
    <row r="1360" ht="16.5" customHeight="1">
      <c r="A1360" s="48" t="s">
        <v>5412</v>
      </c>
      <c r="B1360" s="53" t="s">
        <v>4472</v>
      </c>
      <c r="C1360" s="47">
        <v>0.0</v>
      </c>
      <c r="D1360" s="80" t="s">
        <v>5413</v>
      </c>
      <c r="E1360" s="55" t="s">
        <v>117</v>
      </c>
      <c r="F1360" s="32" t="s">
        <v>33</v>
      </c>
      <c r="G1360" s="32" t="s">
        <v>35</v>
      </c>
      <c r="H1360" s="23" t="s">
        <v>35</v>
      </c>
      <c r="I1360" s="66" t="s">
        <v>36</v>
      </c>
      <c r="J1360" s="34" t="s">
        <v>49</v>
      </c>
      <c r="K1360" s="57" t="s">
        <v>38</v>
      </c>
      <c r="L1360" s="25">
        <v>10811.0</v>
      </c>
      <c r="M1360" s="22" t="s">
        <v>40</v>
      </c>
      <c r="N1360" s="26" t="s">
        <v>106</v>
      </c>
      <c r="O1360" s="28">
        <v>45433.64962790509</v>
      </c>
      <c r="P1360" s="26" t="s">
        <v>5414</v>
      </c>
      <c r="Q1360" s="12"/>
      <c r="R1360" s="30"/>
      <c r="S1360" s="60"/>
      <c r="T1360" s="29">
        <v>45426.0</v>
      </c>
      <c r="U1360" s="29">
        <v>45426.0</v>
      </c>
      <c r="V1360" s="29">
        <v>45432.0</v>
      </c>
      <c r="W1360" s="30"/>
      <c r="X1360" s="30"/>
      <c r="Y1360" s="31"/>
      <c r="Z1360" s="31"/>
      <c r="AA1360" s="31" t="s">
        <v>102</v>
      </c>
      <c r="AB1360" s="31" t="s">
        <v>5415</v>
      </c>
      <c r="AC1360" s="31"/>
    </row>
    <row r="1361" ht="16.5" customHeight="1">
      <c r="A1361" s="48" t="s">
        <v>5416</v>
      </c>
      <c r="B1361" s="53" t="s">
        <v>5417</v>
      </c>
      <c r="C1361" s="47">
        <v>90.0</v>
      </c>
      <c r="D1361" s="70" t="s">
        <v>5418</v>
      </c>
      <c r="E1361" s="55" t="s">
        <v>91</v>
      </c>
      <c r="F1361" s="32" t="s">
        <v>48</v>
      </c>
      <c r="G1361" s="32" t="s">
        <v>35</v>
      </c>
      <c r="H1361" s="71" t="s">
        <v>35</v>
      </c>
      <c r="I1361" s="71" t="s">
        <v>36</v>
      </c>
      <c r="J1361" s="34" t="s">
        <v>65</v>
      </c>
      <c r="K1361" s="57" t="s">
        <v>38</v>
      </c>
      <c r="L1361" s="72">
        <v>10782.0</v>
      </c>
      <c r="M1361" s="22"/>
      <c r="N1361" s="73"/>
      <c r="O1361" s="28">
        <v>45437.0</v>
      </c>
      <c r="P1361" s="35" t="s">
        <v>5419</v>
      </c>
      <c r="Q1361" s="14" t="s">
        <v>5420</v>
      </c>
      <c r="R1361" s="12"/>
      <c r="S1361" s="12"/>
      <c r="T1361" s="52">
        <v>45426.0</v>
      </c>
      <c r="U1361" s="52">
        <v>45427.0</v>
      </c>
      <c r="V1361" s="52">
        <v>45437.0</v>
      </c>
      <c r="W1361" s="30"/>
      <c r="X1361" s="30"/>
      <c r="Y1361" s="31"/>
      <c r="Z1361" s="31"/>
      <c r="AA1361" s="78" t="s">
        <v>94</v>
      </c>
      <c r="AB1361" s="74" t="s">
        <v>5421</v>
      </c>
      <c r="AC1361" s="74"/>
    </row>
    <row r="1362" ht="16.5" customHeight="1">
      <c r="A1362" s="94" t="s">
        <v>5416</v>
      </c>
      <c r="B1362" s="95" t="s">
        <v>5417</v>
      </c>
      <c r="C1362" s="96">
        <v>90.0</v>
      </c>
      <c r="D1362" s="97" t="s">
        <v>5422</v>
      </c>
      <c r="E1362" s="98" t="s">
        <v>91</v>
      </c>
      <c r="F1362" s="99" t="s">
        <v>48</v>
      </c>
      <c r="G1362" s="99" t="s">
        <v>35</v>
      </c>
      <c r="H1362" s="100" t="s">
        <v>35</v>
      </c>
      <c r="I1362" s="101" t="s">
        <v>36</v>
      </c>
      <c r="J1362" s="102" t="s">
        <v>65</v>
      </c>
      <c r="K1362" s="103" t="s">
        <v>38</v>
      </c>
      <c r="L1362" s="104">
        <v>10782.0</v>
      </c>
      <c r="M1362" s="105" t="s">
        <v>50</v>
      </c>
      <c r="N1362" s="106" t="s">
        <v>5279</v>
      </c>
      <c r="O1362" s="28">
        <v>45427.64445961805</v>
      </c>
      <c r="P1362" s="107" t="s">
        <v>5423</v>
      </c>
      <c r="Q1362" s="12"/>
      <c r="R1362" s="12"/>
      <c r="S1362" s="60"/>
      <c r="T1362" s="29">
        <v>45426.0</v>
      </c>
      <c r="U1362" s="29">
        <v>45426.0</v>
      </c>
      <c r="V1362" s="29">
        <v>45426.38285916667</v>
      </c>
      <c r="W1362" s="30"/>
      <c r="X1362" s="30"/>
      <c r="Y1362" s="108"/>
      <c r="Z1362" s="108"/>
      <c r="AA1362" s="31" t="s">
        <v>94</v>
      </c>
      <c r="AB1362" s="108" t="s">
        <v>5424</v>
      </c>
      <c r="AC1362" s="108"/>
    </row>
    <row r="1363" ht="16.5" customHeight="1">
      <c r="A1363" s="48" t="s">
        <v>5425</v>
      </c>
      <c r="B1363" s="53" t="s">
        <v>5417</v>
      </c>
      <c r="C1363" s="47">
        <v>90.0</v>
      </c>
      <c r="D1363" s="70" t="s">
        <v>5426</v>
      </c>
      <c r="E1363" s="55" t="s">
        <v>91</v>
      </c>
      <c r="F1363" s="32" t="s">
        <v>48</v>
      </c>
      <c r="G1363" s="32" t="s">
        <v>35</v>
      </c>
      <c r="H1363" s="71" t="s">
        <v>35</v>
      </c>
      <c r="I1363" s="71" t="s">
        <v>36</v>
      </c>
      <c r="J1363" s="34" t="s">
        <v>65</v>
      </c>
      <c r="K1363" s="57" t="s">
        <v>38</v>
      </c>
      <c r="L1363" s="72">
        <v>10782.0</v>
      </c>
      <c r="M1363" s="22"/>
      <c r="N1363" s="73"/>
      <c r="O1363" s="28">
        <v>45437.0</v>
      </c>
      <c r="P1363" s="35" t="s">
        <v>5427</v>
      </c>
      <c r="Q1363" s="14" t="s">
        <v>5420</v>
      </c>
      <c r="R1363" s="12"/>
      <c r="S1363" s="12"/>
      <c r="T1363" s="52">
        <v>45426.0</v>
      </c>
      <c r="U1363" s="52">
        <v>45427.0</v>
      </c>
      <c r="V1363" s="52">
        <v>45437.0</v>
      </c>
      <c r="W1363" s="30"/>
      <c r="X1363" s="30"/>
      <c r="Y1363" s="31"/>
      <c r="Z1363" s="31"/>
      <c r="AA1363" s="78" t="s">
        <v>94</v>
      </c>
      <c r="AB1363" s="74" t="s">
        <v>5428</v>
      </c>
      <c r="AC1363" s="74"/>
    </row>
    <row r="1364" ht="16.5" customHeight="1">
      <c r="A1364" s="94" t="s">
        <v>5425</v>
      </c>
      <c r="B1364" s="95" t="s">
        <v>5417</v>
      </c>
      <c r="C1364" s="96">
        <v>90.0</v>
      </c>
      <c r="D1364" s="97" t="s">
        <v>5429</v>
      </c>
      <c r="E1364" s="98" t="s">
        <v>91</v>
      </c>
      <c r="F1364" s="99" t="s">
        <v>48</v>
      </c>
      <c r="G1364" s="99" t="s">
        <v>35</v>
      </c>
      <c r="H1364" s="100" t="s">
        <v>35</v>
      </c>
      <c r="I1364" s="101" t="s">
        <v>36</v>
      </c>
      <c r="J1364" s="102" t="s">
        <v>65</v>
      </c>
      <c r="K1364" s="103" t="s">
        <v>38</v>
      </c>
      <c r="L1364" s="104">
        <v>10782.0</v>
      </c>
      <c r="M1364" s="105" t="s">
        <v>50</v>
      </c>
      <c r="N1364" s="106" t="s">
        <v>5279</v>
      </c>
      <c r="O1364" s="28">
        <v>45427.64453899306</v>
      </c>
      <c r="P1364" s="107" t="s">
        <v>5423</v>
      </c>
      <c r="Q1364" s="12"/>
      <c r="R1364" s="12"/>
      <c r="S1364" s="60"/>
      <c r="T1364" s="29">
        <v>45426.0</v>
      </c>
      <c r="U1364" s="29">
        <v>45426.0</v>
      </c>
      <c r="V1364" s="29">
        <v>45426.383161087964</v>
      </c>
      <c r="W1364" s="30"/>
      <c r="X1364" s="30"/>
      <c r="Y1364" s="108"/>
      <c r="Z1364" s="108"/>
      <c r="AA1364" s="31" t="s">
        <v>94</v>
      </c>
      <c r="AB1364" s="108" t="s">
        <v>5430</v>
      </c>
      <c r="AC1364" s="108"/>
    </row>
    <row r="1365" ht="16.5" customHeight="1">
      <c r="A1365" s="48" t="s">
        <v>5431</v>
      </c>
      <c r="B1365" s="53" t="s">
        <v>5432</v>
      </c>
      <c r="C1365" s="47">
        <v>0.0</v>
      </c>
      <c r="D1365" s="80" t="s">
        <v>5433</v>
      </c>
      <c r="E1365" s="55" t="s">
        <v>3834</v>
      </c>
      <c r="F1365" s="32" t="s">
        <v>33</v>
      </c>
      <c r="G1365" s="32" t="s">
        <v>34</v>
      </c>
      <c r="H1365" s="23" t="s">
        <v>35</v>
      </c>
      <c r="I1365" s="66" t="s">
        <v>36</v>
      </c>
      <c r="J1365" s="34" t="s">
        <v>37</v>
      </c>
      <c r="K1365" s="57" t="s">
        <v>38</v>
      </c>
      <c r="L1365" s="25">
        <v>10821.0</v>
      </c>
      <c r="M1365" s="22" t="s">
        <v>40</v>
      </c>
      <c r="N1365" s="26" t="s">
        <v>4392</v>
      </c>
      <c r="O1365" s="28">
        <v>45436.67899907407</v>
      </c>
      <c r="P1365" s="26" t="s">
        <v>5434</v>
      </c>
      <c r="Q1365" s="12"/>
      <c r="R1365" s="30"/>
      <c r="S1365" s="60"/>
      <c r="T1365" s="29">
        <v>45426.0</v>
      </c>
      <c r="U1365" s="29">
        <v>45427.0</v>
      </c>
      <c r="V1365" s="29">
        <v>45433.0</v>
      </c>
      <c r="W1365" s="30"/>
      <c r="X1365" s="30"/>
      <c r="Y1365" s="31"/>
      <c r="Z1365" s="31"/>
      <c r="AA1365" s="31" t="s">
        <v>127</v>
      </c>
      <c r="AB1365" s="31" t="s">
        <v>5435</v>
      </c>
      <c r="AC1365" s="31"/>
    </row>
    <row r="1366" ht="16.5" customHeight="1">
      <c r="A1366" s="48" t="s">
        <v>5436</v>
      </c>
      <c r="B1366" s="53" t="s">
        <v>5432</v>
      </c>
      <c r="C1366" s="47">
        <v>0.0</v>
      </c>
      <c r="D1366" s="80" t="s">
        <v>5437</v>
      </c>
      <c r="E1366" s="55" t="s">
        <v>3834</v>
      </c>
      <c r="F1366" s="32" t="s">
        <v>33</v>
      </c>
      <c r="G1366" s="32" t="s">
        <v>34</v>
      </c>
      <c r="H1366" s="23" t="s">
        <v>35</v>
      </c>
      <c r="I1366" s="66" t="s">
        <v>36</v>
      </c>
      <c r="J1366" s="34" t="s">
        <v>37</v>
      </c>
      <c r="K1366" s="57" t="s">
        <v>38</v>
      </c>
      <c r="L1366" s="25">
        <v>10821.0</v>
      </c>
      <c r="M1366" s="22" t="s">
        <v>40</v>
      </c>
      <c r="N1366" s="26" t="s">
        <v>4392</v>
      </c>
      <c r="O1366" s="28">
        <v>45436.679091701386</v>
      </c>
      <c r="P1366" s="26" t="s">
        <v>5434</v>
      </c>
      <c r="Q1366" s="12"/>
      <c r="R1366" s="30"/>
      <c r="S1366" s="60"/>
      <c r="T1366" s="29">
        <v>45426.0</v>
      </c>
      <c r="U1366" s="29">
        <v>45427.0</v>
      </c>
      <c r="V1366" s="29">
        <v>45433.0</v>
      </c>
      <c r="W1366" s="30"/>
      <c r="X1366" s="30"/>
      <c r="Y1366" s="31"/>
      <c r="Z1366" s="31"/>
      <c r="AA1366" s="31" t="s">
        <v>127</v>
      </c>
      <c r="AB1366" s="31" t="s">
        <v>5438</v>
      </c>
      <c r="AC1366" s="31"/>
    </row>
    <row r="1367" ht="16.5" customHeight="1">
      <c r="A1367" s="48" t="s">
        <v>5439</v>
      </c>
      <c r="B1367" s="53" t="s">
        <v>5432</v>
      </c>
      <c r="C1367" s="47">
        <v>0.0</v>
      </c>
      <c r="D1367" s="80" t="s">
        <v>5440</v>
      </c>
      <c r="E1367" s="55" t="s">
        <v>3834</v>
      </c>
      <c r="F1367" s="32" t="s">
        <v>33</v>
      </c>
      <c r="G1367" s="32" t="s">
        <v>34</v>
      </c>
      <c r="H1367" s="23" t="s">
        <v>35</v>
      </c>
      <c r="I1367" s="66" t="s">
        <v>36</v>
      </c>
      <c r="J1367" s="34" t="s">
        <v>37</v>
      </c>
      <c r="K1367" s="57" t="s">
        <v>38</v>
      </c>
      <c r="L1367" s="25">
        <v>10821.0</v>
      </c>
      <c r="M1367" s="22" t="s">
        <v>40</v>
      </c>
      <c r="N1367" s="26" t="s">
        <v>4392</v>
      </c>
      <c r="O1367" s="28">
        <v>45436.679163900466</v>
      </c>
      <c r="P1367" s="26" t="s">
        <v>5434</v>
      </c>
      <c r="Q1367" s="12"/>
      <c r="R1367" s="30"/>
      <c r="S1367" s="60"/>
      <c r="T1367" s="29">
        <v>45426.0</v>
      </c>
      <c r="U1367" s="29">
        <v>45427.0</v>
      </c>
      <c r="V1367" s="29">
        <v>45436.0</v>
      </c>
      <c r="W1367" s="30"/>
      <c r="X1367" s="30"/>
      <c r="Y1367" s="31"/>
      <c r="Z1367" s="31"/>
      <c r="AA1367" s="31" t="s">
        <v>127</v>
      </c>
      <c r="AB1367" s="31" t="s">
        <v>5441</v>
      </c>
      <c r="AC1367" s="31"/>
    </row>
    <row r="1368" ht="16.5" customHeight="1">
      <c r="A1368" s="48" t="s">
        <v>5442</v>
      </c>
      <c r="B1368" s="53" t="s">
        <v>5432</v>
      </c>
      <c r="C1368" s="47">
        <v>0.0</v>
      </c>
      <c r="D1368" s="80" t="s">
        <v>5443</v>
      </c>
      <c r="E1368" s="55" t="s">
        <v>3834</v>
      </c>
      <c r="F1368" s="32" t="s">
        <v>33</v>
      </c>
      <c r="G1368" s="32" t="s">
        <v>34</v>
      </c>
      <c r="H1368" s="23" t="s">
        <v>35</v>
      </c>
      <c r="I1368" s="66" t="s">
        <v>36</v>
      </c>
      <c r="J1368" s="34" t="s">
        <v>37</v>
      </c>
      <c r="K1368" s="57" t="s">
        <v>38</v>
      </c>
      <c r="L1368" s="25">
        <v>10821.0</v>
      </c>
      <c r="M1368" s="22" t="s">
        <v>40</v>
      </c>
      <c r="N1368" s="26" t="s">
        <v>4392</v>
      </c>
      <c r="O1368" s="28">
        <v>45436.679235034724</v>
      </c>
      <c r="P1368" s="26" t="s">
        <v>5434</v>
      </c>
      <c r="Q1368" s="12"/>
      <c r="R1368" s="30"/>
      <c r="S1368" s="60"/>
      <c r="T1368" s="29">
        <v>45426.0</v>
      </c>
      <c r="U1368" s="29">
        <v>45427.0</v>
      </c>
      <c r="V1368" s="29">
        <v>45436.0</v>
      </c>
      <c r="W1368" s="30"/>
      <c r="X1368" s="30"/>
      <c r="Y1368" s="31"/>
      <c r="Z1368" s="31"/>
      <c r="AA1368" s="31" t="s">
        <v>127</v>
      </c>
      <c r="AB1368" s="31" t="s">
        <v>5444</v>
      </c>
      <c r="AC1368" s="31"/>
    </row>
    <row r="1369" ht="16.5" customHeight="1">
      <c r="A1369" s="48" t="s">
        <v>5445</v>
      </c>
      <c r="B1369" s="53" t="s">
        <v>5180</v>
      </c>
      <c r="C1369" s="47">
        <v>137.0</v>
      </c>
      <c r="D1369" s="70" t="s">
        <v>5446</v>
      </c>
      <c r="E1369" s="55" t="s">
        <v>85</v>
      </c>
      <c r="F1369" s="32" t="s">
        <v>48</v>
      </c>
      <c r="G1369" s="32" t="s">
        <v>35</v>
      </c>
      <c r="H1369" s="71" t="s">
        <v>35</v>
      </c>
      <c r="I1369" s="71" t="s">
        <v>36</v>
      </c>
      <c r="J1369" s="34" t="s">
        <v>65</v>
      </c>
      <c r="K1369" s="57" t="s">
        <v>38</v>
      </c>
      <c r="L1369" s="72">
        <v>10781.0</v>
      </c>
      <c r="M1369" s="22"/>
      <c r="N1369" s="73"/>
      <c r="O1369" s="28">
        <v>45436.0</v>
      </c>
      <c r="P1369" s="35" t="s">
        <v>5447</v>
      </c>
      <c r="Q1369" s="12"/>
      <c r="R1369" s="12"/>
      <c r="S1369" s="12"/>
      <c r="T1369" s="52">
        <v>45426.0</v>
      </c>
      <c r="U1369" s="52">
        <v>45426.0</v>
      </c>
      <c r="V1369" s="52">
        <v>45436.0</v>
      </c>
      <c r="W1369" s="30"/>
      <c r="X1369" s="30"/>
      <c r="Y1369" s="31"/>
      <c r="Z1369" s="31"/>
      <c r="AA1369" s="78" t="s">
        <v>94</v>
      </c>
      <c r="AB1369" s="74" t="s">
        <v>5448</v>
      </c>
      <c r="AC1369" s="74"/>
    </row>
    <row r="1370" ht="16.5" customHeight="1">
      <c r="A1370" s="48" t="s">
        <v>5449</v>
      </c>
      <c r="B1370" s="53" t="s">
        <v>4450</v>
      </c>
      <c r="C1370" s="54">
        <v>11.0</v>
      </c>
      <c r="D1370" s="80" t="s">
        <v>5450</v>
      </c>
      <c r="E1370" s="55" t="s">
        <v>112</v>
      </c>
      <c r="F1370" s="32" t="s">
        <v>48</v>
      </c>
      <c r="G1370" s="32" t="s">
        <v>35</v>
      </c>
      <c r="H1370" s="23" t="s">
        <v>35</v>
      </c>
      <c r="I1370" s="66" t="s">
        <v>36</v>
      </c>
      <c r="J1370" s="34" t="s">
        <v>258</v>
      </c>
      <c r="K1370" s="57" t="s">
        <v>38</v>
      </c>
      <c r="L1370" s="25">
        <v>10787.0</v>
      </c>
      <c r="M1370" s="22" t="s">
        <v>50</v>
      </c>
      <c r="N1370" s="26" t="s">
        <v>4718</v>
      </c>
      <c r="O1370" s="28">
        <v>45429.48431262732</v>
      </c>
      <c r="P1370" s="26" t="s">
        <v>5451</v>
      </c>
      <c r="Q1370" s="12"/>
      <c r="R1370" s="12"/>
      <c r="S1370" s="60"/>
      <c r="T1370" s="29">
        <v>45426.0</v>
      </c>
      <c r="U1370" s="29">
        <v>45427.0</v>
      </c>
      <c r="V1370" s="29">
        <v>45427.573056284724</v>
      </c>
      <c r="W1370" s="30"/>
      <c r="X1370" s="30"/>
      <c r="Y1370" s="31"/>
      <c r="Z1370" s="31"/>
      <c r="AA1370" s="31" t="s">
        <v>120</v>
      </c>
      <c r="AB1370" s="31" t="s">
        <v>5452</v>
      </c>
      <c r="AC1370" s="31"/>
    </row>
    <row r="1371" ht="16.5" customHeight="1">
      <c r="A1371" s="48" t="s">
        <v>5453</v>
      </c>
      <c r="B1371" s="53" t="s">
        <v>3289</v>
      </c>
      <c r="C1371" s="54">
        <v>90.0</v>
      </c>
      <c r="D1371" s="70" t="s">
        <v>5454</v>
      </c>
      <c r="E1371" s="55" t="s">
        <v>91</v>
      </c>
      <c r="F1371" s="32" t="s">
        <v>48</v>
      </c>
      <c r="G1371" s="32" t="s">
        <v>35</v>
      </c>
      <c r="H1371" s="23" t="s">
        <v>35</v>
      </c>
      <c r="I1371" s="66" t="s">
        <v>36</v>
      </c>
      <c r="J1371" s="34" t="s">
        <v>92</v>
      </c>
      <c r="K1371" s="57" t="s">
        <v>38</v>
      </c>
      <c r="L1371" s="25">
        <v>10799.0</v>
      </c>
      <c r="M1371" s="22" t="s">
        <v>50</v>
      </c>
      <c r="N1371" s="26" t="s">
        <v>4362</v>
      </c>
      <c r="O1371" s="28">
        <v>45436.41829555556</v>
      </c>
      <c r="P1371" s="26" t="s">
        <v>5455</v>
      </c>
      <c r="Q1371" s="12"/>
      <c r="R1371" s="12"/>
      <c r="S1371" s="60"/>
      <c r="T1371" s="29">
        <v>45427.0</v>
      </c>
      <c r="U1371" s="29">
        <v>45427.0</v>
      </c>
      <c r="V1371" s="29">
        <v>45428.689762002316</v>
      </c>
      <c r="W1371" s="30"/>
      <c r="X1371" s="30"/>
      <c r="Y1371" s="31"/>
      <c r="Z1371" s="31"/>
      <c r="AA1371" s="31" t="s">
        <v>120</v>
      </c>
      <c r="AB1371" s="31" t="s">
        <v>5456</v>
      </c>
      <c r="AC1371" s="31"/>
    </row>
    <row r="1372" ht="16.5" customHeight="1">
      <c r="A1372" s="48" t="s">
        <v>5457</v>
      </c>
      <c r="B1372" s="53" t="s">
        <v>5458</v>
      </c>
      <c r="C1372" s="47">
        <v>1.0</v>
      </c>
      <c r="D1372" s="70" t="s">
        <v>5459</v>
      </c>
      <c r="E1372" s="55" t="s">
        <v>3395</v>
      </c>
      <c r="F1372" s="32" t="s">
        <v>48</v>
      </c>
      <c r="G1372" s="32" t="s">
        <v>35</v>
      </c>
      <c r="H1372" s="71" t="s">
        <v>35</v>
      </c>
      <c r="I1372" s="71" t="s">
        <v>36</v>
      </c>
      <c r="J1372" s="34" t="s">
        <v>65</v>
      </c>
      <c r="K1372" s="57" t="s">
        <v>38</v>
      </c>
      <c r="L1372" s="72">
        <v>10792.0</v>
      </c>
      <c r="M1372" s="22"/>
      <c r="N1372" s="73"/>
      <c r="O1372" s="28">
        <v>45437.0</v>
      </c>
      <c r="P1372" s="35" t="s">
        <v>5460</v>
      </c>
      <c r="Q1372" s="12"/>
      <c r="R1372" s="12"/>
      <c r="S1372" s="12"/>
      <c r="T1372" s="52">
        <v>45427.0</v>
      </c>
      <c r="U1372" s="52">
        <v>45427.0</v>
      </c>
      <c r="V1372" s="52">
        <v>45437.0</v>
      </c>
      <c r="W1372" s="30"/>
      <c r="X1372" s="30"/>
      <c r="Y1372" s="31"/>
      <c r="Z1372" s="31"/>
      <c r="AA1372" s="78" t="s">
        <v>94</v>
      </c>
      <c r="AB1372" s="74" t="s">
        <v>5461</v>
      </c>
      <c r="AC1372" s="74"/>
    </row>
    <row r="1373" ht="16.5" customHeight="1">
      <c r="A1373" s="48" t="s">
        <v>5462</v>
      </c>
      <c r="B1373" s="53" t="s">
        <v>5463</v>
      </c>
      <c r="C1373" s="54">
        <v>90.0</v>
      </c>
      <c r="D1373" s="70" t="s">
        <v>5464</v>
      </c>
      <c r="E1373" s="55" t="s">
        <v>91</v>
      </c>
      <c r="F1373" s="32" t="s">
        <v>48</v>
      </c>
      <c r="G1373" s="32" t="s">
        <v>35</v>
      </c>
      <c r="H1373" s="23" t="s">
        <v>35</v>
      </c>
      <c r="I1373" s="66" t="s">
        <v>36</v>
      </c>
      <c r="J1373" s="34" t="s">
        <v>92</v>
      </c>
      <c r="K1373" s="57" t="s">
        <v>38</v>
      </c>
      <c r="L1373" s="25">
        <v>10800.0</v>
      </c>
      <c r="M1373" s="22" t="s">
        <v>50</v>
      </c>
      <c r="N1373" s="26" t="s">
        <v>5465</v>
      </c>
      <c r="O1373" s="28">
        <v>45435.37430555555</v>
      </c>
      <c r="P1373" s="26" t="s">
        <v>5466</v>
      </c>
      <c r="Q1373" s="12"/>
      <c r="R1373" s="12"/>
      <c r="S1373" s="60"/>
      <c r="T1373" s="29">
        <v>45427.0</v>
      </c>
      <c r="U1373" s="29">
        <v>45427.0</v>
      </c>
      <c r="V1373" s="29">
        <v>45428.688316562504</v>
      </c>
      <c r="W1373" s="30"/>
      <c r="X1373" s="30"/>
      <c r="Y1373" s="31"/>
      <c r="Z1373" s="31"/>
      <c r="AA1373" s="31" t="s">
        <v>120</v>
      </c>
      <c r="AB1373" s="31" t="s">
        <v>5467</v>
      </c>
      <c r="AC1373" s="31"/>
    </row>
    <row r="1374" ht="16.5" customHeight="1">
      <c r="A1374" s="48" t="s">
        <v>5468</v>
      </c>
      <c r="B1374" s="53" t="s">
        <v>5469</v>
      </c>
      <c r="C1374" s="47">
        <v>0.0</v>
      </c>
      <c r="D1374" s="80" t="s">
        <v>5470</v>
      </c>
      <c r="E1374" s="55" t="s">
        <v>98</v>
      </c>
      <c r="F1374" s="32" t="s">
        <v>33</v>
      </c>
      <c r="G1374" s="32" t="s">
        <v>35</v>
      </c>
      <c r="H1374" s="23" t="s">
        <v>35</v>
      </c>
      <c r="I1374" s="66" t="s">
        <v>36</v>
      </c>
      <c r="J1374" s="34" t="s">
        <v>49</v>
      </c>
      <c r="K1374" s="57" t="s">
        <v>38</v>
      </c>
      <c r="L1374" s="25">
        <v>10795.0</v>
      </c>
      <c r="M1374" s="22" t="s">
        <v>40</v>
      </c>
      <c r="N1374" s="26" t="s">
        <v>106</v>
      </c>
      <c r="O1374" s="28">
        <v>45428.60962344907</v>
      </c>
      <c r="P1374" s="26" t="s">
        <v>5471</v>
      </c>
      <c r="Q1374" s="12"/>
      <c r="R1374" s="30"/>
      <c r="S1374" s="60"/>
      <c r="T1374" s="29">
        <v>45428.0</v>
      </c>
      <c r="U1374" s="29">
        <v>45428.0</v>
      </c>
      <c r="V1374" s="29">
        <v>45428.0</v>
      </c>
      <c r="W1374" s="30"/>
      <c r="X1374" s="30"/>
      <c r="Y1374" s="31"/>
      <c r="Z1374" s="31"/>
      <c r="AA1374" s="31" t="s">
        <v>102</v>
      </c>
      <c r="AB1374" s="31" t="s">
        <v>5472</v>
      </c>
      <c r="AC1374" s="31"/>
    </row>
    <row r="1375" ht="16.5" customHeight="1">
      <c r="A1375" s="48" t="s">
        <v>5473</v>
      </c>
      <c r="B1375" s="53" t="s">
        <v>5469</v>
      </c>
      <c r="C1375" s="54">
        <v>90.0</v>
      </c>
      <c r="D1375" s="70" t="s">
        <v>5474</v>
      </c>
      <c r="E1375" s="55" t="s">
        <v>91</v>
      </c>
      <c r="F1375" s="32" t="s">
        <v>48</v>
      </c>
      <c r="G1375" s="32" t="s">
        <v>35</v>
      </c>
      <c r="H1375" s="23" t="s">
        <v>35</v>
      </c>
      <c r="I1375" s="66" t="s">
        <v>36</v>
      </c>
      <c r="J1375" s="34" t="s">
        <v>49</v>
      </c>
      <c r="K1375" s="57" t="s">
        <v>38</v>
      </c>
      <c r="L1375" s="25">
        <v>10796.0</v>
      </c>
      <c r="M1375" s="22" t="s">
        <v>50</v>
      </c>
      <c r="N1375" s="26" t="s">
        <v>106</v>
      </c>
      <c r="O1375" s="28">
        <v>45428.60976157407</v>
      </c>
      <c r="P1375" s="26" t="s">
        <v>5471</v>
      </c>
      <c r="Q1375" s="12"/>
      <c r="R1375" s="12"/>
      <c r="S1375" s="60"/>
      <c r="T1375" s="29">
        <v>45428.0</v>
      </c>
      <c r="U1375" s="29">
        <v>45428.0</v>
      </c>
      <c r="V1375" s="29">
        <v>45428.43555400463</v>
      </c>
      <c r="W1375" s="30"/>
      <c r="X1375" s="30"/>
      <c r="Y1375" s="31"/>
      <c r="Z1375" s="31"/>
      <c r="AA1375" s="31" t="s">
        <v>102</v>
      </c>
      <c r="AB1375" s="31" t="s">
        <v>5475</v>
      </c>
      <c r="AC1375" s="31"/>
    </row>
    <row r="1376" ht="16.5" customHeight="1">
      <c r="A1376" s="48" t="s">
        <v>5476</v>
      </c>
      <c r="B1376" s="53" t="s">
        <v>104</v>
      </c>
      <c r="C1376" s="54">
        <v>11.0</v>
      </c>
      <c r="D1376" s="80" t="s">
        <v>5477</v>
      </c>
      <c r="E1376" s="55" t="s">
        <v>112</v>
      </c>
      <c r="F1376" s="32" t="s">
        <v>48</v>
      </c>
      <c r="G1376" s="32" t="s">
        <v>35</v>
      </c>
      <c r="H1376" s="23" t="s">
        <v>35</v>
      </c>
      <c r="I1376" s="66" t="s">
        <v>36</v>
      </c>
      <c r="J1376" s="34" t="s">
        <v>37</v>
      </c>
      <c r="K1376" s="57" t="s">
        <v>1184</v>
      </c>
      <c r="L1376" s="25">
        <v>10794.0</v>
      </c>
      <c r="M1376" s="22" t="s">
        <v>50</v>
      </c>
      <c r="N1376" s="26" t="s">
        <v>5231</v>
      </c>
      <c r="O1376" s="28">
        <v>45428.59844693287</v>
      </c>
      <c r="P1376" s="26" t="s">
        <v>5478</v>
      </c>
      <c r="Q1376" s="12"/>
      <c r="R1376" s="12"/>
      <c r="S1376" s="60"/>
      <c r="T1376" s="29">
        <v>45428.0</v>
      </c>
      <c r="U1376" s="29">
        <v>45428.0</v>
      </c>
      <c r="V1376" s="29">
        <v>45428.438721238424</v>
      </c>
      <c r="W1376" s="30"/>
      <c r="X1376" s="30"/>
      <c r="Y1376" s="31"/>
      <c r="Z1376" s="31"/>
      <c r="AA1376" s="31" t="s">
        <v>108</v>
      </c>
      <c r="AB1376" s="31" t="s">
        <v>5479</v>
      </c>
      <c r="AC1376" s="31"/>
    </row>
    <row r="1377" ht="16.5" customHeight="1">
      <c r="A1377" s="48" t="s">
        <v>5480</v>
      </c>
      <c r="B1377" s="53" t="s">
        <v>5481</v>
      </c>
      <c r="C1377" s="54">
        <v>27.0</v>
      </c>
      <c r="D1377" s="39" t="s">
        <v>5482</v>
      </c>
      <c r="E1377" s="55" t="s">
        <v>72</v>
      </c>
      <c r="F1377" s="32" t="s">
        <v>48</v>
      </c>
      <c r="G1377" s="32" t="s">
        <v>35</v>
      </c>
      <c r="H1377" s="23" t="s">
        <v>35</v>
      </c>
      <c r="I1377" s="66" t="s">
        <v>36</v>
      </c>
      <c r="J1377" s="34" t="s">
        <v>65</v>
      </c>
      <c r="K1377" s="57" t="s">
        <v>38</v>
      </c>
      <c r="L1377" s="25">
        <v>10828.0</v>
      </c>
      <c r="M1377" s="22" t="s">
        <v>50</v>
      </c>
      <c r="N1377" s="26" t="s">
        <v>5102</v>
      </c>
      <c r="O1377" s="28">
        <v>45440.49822166667</v>
      </c>
      <c r="P1377" s="26" t="s">
        <v>5483</v>
      </c>
      <c r="Q1377" s="12"/>
      <c r="R1377" s="12"/>
      <c r="S1377" s="60"/>
      <c r="T1377" s="29">
        <v>45428.0</v>
      </c>
      <c r="U1377" s="29">
        <v>45434.0</v>
      </c>
      <c r="V1377" s="29">
        <v>45439.43386712963</v>
      </c>
      <c r="W1377" s="30"/>
      <c r="X1377" s="30"/>
      <c r="Y1377" s="31"/>
      <c r="Z1377" s="31"/>
      <c r="AA1377" s="31" t="s">
        <v>3059</v>
      </c>
      <c r="AB1377" s="31" t="s">
        <v>5484</v>
      </c>
      <c r="AC1377" s="31"/>
    </row>
    <row r="1378" ht="16.5" customHeight="1">
      <c r="A1378" s="48" t="s">
        <v>5485</v>
      </c>
      <c r="B1378" s="53" t="s">
        <v>63</v>
      </c>
      <c r="C1378" s="54">
        <v>0.0</v>
      </c>
      <c r="D1378" s="21" t="s">
        <v>5486</v>
      </c>
      <c r="E1378" s="55" t="s">
        <v>3441</v>
      </c>
      <c r="F1378" s="32" t="s">
        <v>48</v>
      </c>
      <c r="G1378" s="32" t="s">
        <v>35</v>
      </c>
      <c r="H1378" s="23" t="s">
        <v>35</v>
      </c>
      <c r="I1378" s="66" t="s">
        <v>36</v>
      </c>
      <c r="J1378" s="34" t="s">
        <v>65</v>
      </c>
      <c r="K1378" s="57" t="s">
        <v>38</v>
      </c>
      <c r="L1378" s="25">
        <v>10879.0</v>
      </c>
      <c r="M1378" s="22" t="s">
        <v>50</v>
      </c>
      <c r="N1378" s="26" t="s">
        <v>5279</v>
      </c>
      <c r="O1378" s="28">
        <v>45446.61237703703</v>
      </c>
      <c r="P1378" s="26" t="s">
        <v>5487</v>
      </c>
      <c r="Q1378" s="12"/>
      <c r="R1378" s="12"/>
      <c r="S1378" s="60"/>
      <c r="T1378" s="29">
        <v>45429.0</v>
      </c>
      <c r="U1378" s="29">
        <v>45433.0</v>
      </c>
      <c r="V1378" s="29">
        <v>45441.0</v>
      </c>
      <c r="W1378" s="30"/>
      <c r="X1378" s="30"/>
      <c r="Y1378" s="31"/>
      <c r="Z1378" s="31"/>
      <c r="AA1378" s="31" t="s">
        <v>94</v>
      </c>
      <c r="AB1378" s="31" t="s">
        <v>5488</v>
      </c>
      <c r="AC1378" s="31"/>
    </row>
    <row r="1379" ht="16.5" customHeight="1">
      <c r="A1379" s="48" t="s">
        <v>5489</v>
      </c>
      <c r="B1379" s="53" t="s">
        <v>4313</v>
      </c>
      <c r="C1379" s="54">
        <v>90.0</v>
      </c>
      <c r="D1379" s="70" t="s">
        <v>5490</v>
      </c>
      <c r="E1379" s="55" t="s">
        <v>91</v>
      </c>
      <c r="F1379" s="32" t="s">
        <v>48</v>
      </c>
      <c r="G1379" s="32" t="s">
        <v>35</v>
      </c>
      <c r="H1379" s="23" t="s">
        <v>35</v>
      </c>
      <c r="I1379" s="66" t="s">
        <v>36</v>
      </c>
      <c r="J1379" s="34" t="s">
        <v>37</v>
      </c>
      <c r="K1379" s="57" t="s">
        <v>38</v>
      </c>
      <c r="L1379" s="25">
        <v>10813.0</v>
      </c>
      <c r="M1379" s="22" t="s">
        <v>50</v>
      </c>
      <c r="N1379" s="26" t="s">
        <v>41</v>
      </c>
      <c r="O1379" s="28">
        <v>45433.577934560184</v>
      </c>
      <c r="P1379" s="26" t="s">
        <v>5491</v>
      </c>
      <c r="Q1379" s="12"/>
      <c r="R1379" s="12"/>
      <c r="S1379" s="60"/>
      <c r="T1379" s="29">
        <v>45432.0</v>
      </c>
      <c r="U1379" s="29">
        <v>45432.0</v>
      </c>
      <c r="V1379" s="29">
        <v>45433.48842172454</v>
      </c>
      <c r="W1379" s="30"/>
      <c r="X1379" s="30"/>
      <c r="Y1379" s="31"/>
      <c r="Z1379" s="31"/>
      <c r="AA1379" s="31" t="s">
        <v>120</v>
      </c>
      <c r="AB1379" s="31" t="s">
        <v>5492</v>
      </c>
      <c r="AC1379" s="31"/>
    </row>
    <row r="1380" ht="16.5" customHeight="1">
      <c r="A1380" s="48" t="s">
        <v>5493</v>
      </c>
      <c r="B1380" s="53" t="s">
        <v>115</v>
      </c>
      <c r="C1380" s="54">
        <v>90.0</v>
      </c>
      <c r="D1380" s="70" t="s">
        <v>5494</v>
      </c>
      <c r="E1380" s="55" t="s">
        <v>91</v>
      </c>
      <c r="F1380" s="32" t="s">
        <v>48</v>
      </c>
      <c r="G1380" s="32" t="s">
        <v>35</v>
      </c>
      <c r="H1380" s="23" t="s">
        <v>35</v>
      </c>
      <c r="I1380" s="66" t="s">
        <v>36</v>
      </c>
      <c r="J1380" s="34" t="s">
        <v>37</v>
      </c>
      <c r="K1380" s="57" t="s">
        <v>38</v>
      </c>
      <c r="L1380" s="25">
        <v>10814.0</v>
      </c>
      <c r="M1380" s="22" t="s">
        <v>50</v>
      </c>
      <c r="N1380" s="26" t="s">
        <v>41</v>
      </c>
      <c r="O1380" s="28">
        <v>45433.57798454861</v>
      </c>
      <c r="P1380" s="26" t="s">
        <v>5495</v>
      </c>
      <c r="Q1380" s="12"/>
      <c r="R1380" s="12"/>
      <c r="S1380" s="60"/>
      <c r="T1380" s="29">
        <v>45432.0</v>
      </c>
      <c r="U1380" s="29">
        <v>45432.0</v>
      </c>
      <c r="V1380" s="29">
        <v>45433.488101400464</v>
      </c>
      <c r="W1380" s="30"/>
      <c r="X1380" s="30"/>
      <c r="Y1380" s="31"/>
      <c r="Z1380" s="31"/>
      <c r="AA1380" s="31" t="s">
        <v>120</v>
      </c>
      <c r="AB1380" s="31" t="s">
        <v>5496</v>
      </c>
      <c r="AC1380" s="31"/>
    </row>
    <row r="1381" ht="16.5" customHeight="1">
      <c r="A1381" s="48" t="s">
        <v>5497</v>
      </c>
      <c r="B1381" s="53" t="s">
        <v>115</v>
      </c>
      <c r="C1381" s="54">
        <v>27.0</v>
      </c>
      <c r="D1381" s="21" t="s">
        <v>5498</v>
      </c>
      <c r="E1381" s="55" t="s">
        <v>72</v>
      </c>
      <c r="F1381" s="32" t="s">
        <v>48</v>
      </c>
      <c r="G1381" s="32" t="s">
        <v>35</v>
      </c>
      <c r="H1381" s="23" t="s">
        <v>35</v>
      </c>
      <c r="I1381" s="66" t="s">
        <v>36</v>
      </c>
      <c r="J1381" s="34" t="s">
        <v>37</v>
      </c>
      <c r="K1381" s="57" t="s">
        <v>38</v>
      </c>
      <c r="L1381" s="25">
        <v>10816.0</v>
      </c>
      <c r="M1381" s="22" t="s">
        <v>50</v>
      </c>
      <c r="N1381" s="26" t="s">
        <v>41</v>
      </c>
      <c r="O1381" s="28">
        <v>45433.578037858795</v>
      </c>
      <c r="P1381" s="26" t="s">
        <v>5499</v>
      </c>
      <c r="Q1381" s="12"/>
      <c r="R1381" s="12"/>
      <c r="S1381" s="60"/>
      <c r="T1381" s="29">
        <v>45432.0</v>
      </c>
      <c r="U1381" s="29">
        <v>45432.0</v>
      </c>
      <c r="V1381" s="29">
        <v>45433.4886675</v>
      </c>
      <c r="W1381" s="30"/>
      <c r="X1381" s="30"/>
      <c r="Y1381" s="31"/>
      <c r="Z1381" s="31"/>
      <c r="AA1381" s="31" t="s">
        <v>120</v>
      </c>
      <c r="AB1381" s="31" t="s">
        <v>5500</v>
      </c>
      <c r="AC1381" s="31"/>
    </row>
    <row r="1382" ht="16.5" customHeight="1">
      <c r="A1382" s="48" t="s">
        <v>5501</v>
      </c>
      <c r="B1382" s="53" t="s">
        <v>5502</v>
      </c>
      <c r="C1382" s="54">
        <v>0.0</v>
      </c>
      <c r="D1382" s="80" t="s">
        <v>5503</v>
      </c>
      <c r="E1382" s="55" t="s">
        <v>3441</v>
      </c>
      <c r="F1382" s="32" t="s">
        <v>48</v>
      </c>
      <c r="G1382" s="32" t="s">
        <v>35</v>
      </c>
      <c r="H1382" s="23" t="s">
        <v>35</v>
      </c>
      <c r="I1382" s="66" t="s">
        <v>36</v>
      </c>
      <c r="J1382" s="34" t="s">
        <v>37</v>
      </c>
      <c r="K1382" s="57" t="s">
        <v>518</v>
      </c>
      <c r="L1382" s="25">
        <v>10837.0</v>
      </c>
      <c r="M1382" s="22" t="s">
        <v>50</v>
      </c>
      <c r="N1382" s="26" t="s">
        <v>41</v>
      </c>
      <c r="O1382" s="28">
        <v>45435.67604719907</v>
      </c>
      <c r="P1382" s="26" t="s">
        <v>5504</v>
      </c>
      <c r="Q1382" s="12"/>
      <c r="R1382" s="12"/>
      <c r="S1382" s="60"/>
      <c r="T1382" s="29">
        <v>45432.0</v>
      </c>
      <c r="U1382" s="29">
        <v>45434.0</v>
      </c>
      <c r="V1382" s="29">
        <v>45435.57505693287</v>
      </c>
      <c r="W1382" s="30"/>
      <c r="X1382" s="30"/>
      <c r="Y1382" s="31"/>
      <c r="Z1382" s="31"/>
      <c r="AA1382" s="31" t="s">
        <v>127</v>
      </c>
      <c r="AB1382" s="31" t="s">
        <v>5505</v>
      </c>
      <c r="AC1382" s="31"/>
    </row>
    <row r="1383" ht="16.5" customHeight="1">
      <c r="A1383" s="48" t="s">
        <v>5506</v>
      </c>
      <c r="B1383" s="53" t="s">
        <v>5507</v>
      </c>
      <c r="C1383" s="54">
        <v>11.0</v>
      </c>
      <c r="D1383" s="80" t="s">
        <v>5508</v>
      </c>
      <c r="E1383" s="55" t="s">
        <v>112</v>
      </c>
      <c r="F1383" s="32" t="s">
        <v>48</v>
      </c>
      <c r="G1383" s="32" t="s">
        <v>35</v>
      </c>
      <c r="H1383" s="23" t="s">
        <v>35</v>
      </c>
      <c r="I1383" s="66" t="s">
        <v>36</v>
      </c>
      <c r="J1383" s="34" t="s">
        <v>49</v>
      </c>
      <c r="K1383" s="57" t="s">
        <v>38</v>
      </c>
      <c r="L1383" s="25">
        <v>10819.0</v>
      </c>
      <c r="M1383" s="22" t="s">
        <v>50</v>
      </c>
      <c r="N1383" s="26" t="s">
        <v>106</v>
      </c>
      <c r="O1383" s="28">
        <v>45434.62639395833</v>
      </c>
      <c r="P1383" s="26" t="s">
        <v>5509</v>
      </c>
      <c r="Q1383" s="12"/>
      <c r="R1383" s="12"/>
      <c r="S1383" s="60"/>
      <c r="T1383" s="29">
        <v>45432.0</v>
      </c>
      <c r="U1383" s="29">
        <v>45434.0</v>
      </c>
      <c r="V1383" s="29">
        <v>45434.47002429398</v>
      </c>
      <c r="W1383" s="30"/>
      <c r="X1383" s="30"/>
      <c r="Y1383" s="31"/>
      <c r="Z1383" s="31"/>
      <c r="AA1383" s="31" t="s">
        <v>127</v>
      </c>
      <c r="AB1383" s="31" t="s">
        <v>5510</v>
      </c>
      <c r="AC1383" s="31"/>
    </row>
    <row r="1384" ht="16.5" customHeight="1">
      <c r="A1384" s="48" t="s">
        <v>5511</v>
      </c>
      <c r="B1384" s="53" t="s">
        <v>5512</v>
      </c>
      <c r="C1384" s="54">
        <v>1.0</v>
      </c>
      <c r="D1384" s="80" t="s">
        <v>5513</v>
      </c>
      <c r="E1384" s="55" t="s">
        <v>3395</v>
      </c>
      <c r="F1384" s="32" t="s">
        <v>48</v>
      </c>
      <c r="G1384" s="32" t="s">
        <v>35</v>
      </c>
      <c r="H1384" s="23" t="s">
        <v>35</v>
      </c>
      <c r="I1384" s="66" t="s">
        <v>36</v>
      </c>
      <c r="J1384" s="34" t="s">
        <v>1098</v>
      </c>
      <c r="K1384" s="57" t="s">
        <v>38</v>
      </c>
      <c r="L1384" s="25">
        <v>10804.0</v>
      </c>
      <c r="M1384" s="22" t="s">
        <v>50</v>
      </c>
      <c r="N1384" s="26" t="s">
        <v>5514</v>
      </c>
      <c r="O1384" s="28">
        <v>45432.69116203704</v>
      </c>
      <c r="P1384" s="26" t="s">
        <v>5515</v>
      </c>
      <c r="Q1384" s="12"/>
      <c r="R1384" s="12"/>
      <c r="S1384" s="60"/>
      <c r="T1384" s="29">
        <v>45432.0</v>
      </c>
      <c r="U1384" s="29">
        <v>45432.0</v>
      </c>
      <c r="V1384" s="29">
        <v>45432.466090925926</v>
      </c>
      <c r="W1384" s="30"/>
      <c r="X1384" s="30"/>
      <c r="Y1384" s="31"/>
      <c r="Z1384" s="31"/>
      <c r="AA1384" s="31" t="s">
        <v>108</v>
      </c>
      <c r="AB1384" s="31" t="s">
        <v>5516</v>
      </c>
      <c r="AC1384" s="31"/>
    </row>
    <row r="1385" ht="16.5" customHeight="1">
      <c r="A1385" s="48" t="s">
        <v>5517</v>
      </c>
      <c r="B1385" s="53" t="s">
        <v>2753</v>
      </c>
      <c r="C1385" s="54">
        <v>0.0</v>
      </c>
      <c r="D1385" s="80"/>
      <c r="E1385" s="55" t="s">
        <v>3441</v>
      </c>
      <c r="F1385" s="32" t="s">
        <v>48</v>
      </c>
      <c r="G1385" s="32" t="s">
        <v>35</v>
      </c>
      <c r="H1385" s="23" t="s">
        <v>35</v>
      </c>
      <c r="I1385" s="71" t="s">
        <v>665</v>
      </c>
      <c r="J1385" s="34" t="s">
        <v>65</v>
      </c>
      <c r="K1385" s="57" t="s">
        <v>38</v>
      </c>
      <c r="L1385" s="25">
        <v>10878.0</v>
      </c>
      <c r="M1385" s="22" t="s">
        <v>50</v>
      </c>
      <c r="N1385" s="26" t="s">
        <v>5279</v>
      </c>
      <c r="O1385" s="28">
        <v>45441.68393438657</v>
      </c>
      <c r="P1385" s="26" t="s">
        <v>5518</v>
      </c>
      <c r="Q1385" s="12"/>
      <c r="R1385" s="30"/>
      <c r="S1385" s="60"/>
      <c r="T1385" s="29">
        <v>45432.0</v>
      </c>
      <c r="U1385" s="29">
        <v>45433.0</v>
      </c>
      <c r="V1385" s="29">
        <v>45441.0</v>
      </c>
      <c r="W1385" s="30"/>
      <c r="X1385" s="30"/>
      <c r="Y1385" s="31"/>
      <c r="Z1385" s="31"/>
      <c r="AA1385" s="31"/>
      <c r="AB1385" s="31" t="s">
        <v>5519</v>
      </c>
      <c r="AC1385" s="31"/>
    </row>
    <row r="1386" ht="16.5" customHeight="1">
      <c r="A1386" s="48" t="s">
        <v>5520</v>
      </c>
      <c r="B1386" s="53" t="s">
        <v>5521</v>
      </c>
      <c r="C1386" s="54">
        <v>27.0</v>
      </c>
      <c r="D1386" s="21" t="s">
        <v>5522</v>
      </c>
      <c r="E1386" s="55" t="s">
        <v>72</v>
      </c>
      <c r="F1386" s="32" t="s">
        <v>48</v>
      </c>
      <c r="G1386" s="32" t="s">
        <v>35</v>
      </c>
      <c r="H1386" s="23" t="s">
        <v>35</v>
      </c>
      <c r="I1386" s="66" t="s">
        <v>36</v>
      </c>
      <c r="J1386" s="34" t="s">
        <v>49</v>
      </c>
      <c r="K1386" s="57" t="s">
        <v>38</v>
      </c>
      <c r="L1386" s="25">
        <v>10812.0</v>
      </c>
      <c r="M1386" s="22" t="s">
        <v>50</v>
      </c>
      <c r="N1386" s="26" t="s">
        <v>106</v>
      </c>
      <c r="O1386" s="28">
        <v>45433.649716631946</v>
      </c>
      <c r="P1386" s="26" t="s">
        <v>5523</v>
      </c>
      <c r="Q1386" s="12"/>
      <c r="R1386" s="12"/>
      <c r="S1386" s="60"/>
      <c r="T1386" s="29">
        <v>45432.0</v>
      </c>
      <c r="U1386" s="29">
        <v>45432.0</v>
      </c>
      <c r="V1386" s="29">
        <v>45433.48889101852</v>
      </c>
      <c r="W1386" s="30"/>
      <c r="X1386" s="30"/>
      <c r="Y1386" s="31"/>
      <c r="Z1386" s="31"/>
      <c r="AA1386" s="31" t="s">
        <v>102</v>
      </c>
      <c r="AB1386" s="31" t="s">
        <v>5524</v>
      </c>
      <c r="AC1386" s="31"/>
    </row>
    <row r="1387" ht="16.5" customHeight="1">
      <c r="A1387" s="48" t="s">
        <v>5525</v>
      </c>
      <c r="B1387" s="53" t="s">
        <v>5526</v>
      </c>
      <c r="C1387" s="54">
        <v>90.0</v>
      </c>
      <c r="D1387" s="70" t="s">
        <v>5527</v>
      </c>
      <c r="E1387" s="55" t="s">
        <v>91</v>
      </c>
      <c r="F1387" s="32" t="s">
        <v>48</v>
      </c>
      <c r="G1387" s="32" t="s">
        <v>35</v>
      </c>
      <c r="H1387" s="23" t="s">
        <v>35</v>
      </c>
      <c r="I1387" s="66" t="s">
        <v>36</v>
      </c>
      <c r="J1387" s="34" t="s">
        <v>37</v>
      </c>
      <c r="K1387" s="57" t="s">
        <v>38</v>
      </c>
      <c r="L1387" s="25">
        <v>10815.0</v>
      </c>
      <c r="M1387" s="22" t="s">
        <v>50</v>
      </c>
      <c r="N1387" s="26" t="s">
        <v>41</v>
      </c>
      <c r="O1387" s="28">
        <v>45433.57809362268</v>
      </c>
      <c r="P1387" s="26" t="s">
        <v>5528</v>
      </c>
      <c r="Q1387" s="12"/>
      <c r="R1387" s="12"/>
      <c r="S1387" s="60"/>
      <c r="T1387" s="29">
        <v>45432.0</v>
      </c>
      <c r="U1387" s="29">
        <v>45430.649716631946</v>
      </c>
      <c r="V1387" s="29">
        <f>O1387</f>
        <v>45433.57809</v>
      </c>
      <c r="W1387" s="30"/>
      <c r="X1387" s="30"/>
      <c r="Y1387" s="31"/>
      <c r="Z1387" s="31"/>
      <c r="AA1387" s="31" t="s">
        <v>127</v>
      </c>
      <c r="AB1387" s="31" t="s">
        <v>5529</v>
      </c>
      <c r="AC1387" s="31"/>
    </row>
    <row r="1388" ht="16.5" customHeight="1">
      <c r="A1388" s="48" t="s">
        <v>5530</v>
      </c>
      <c r="B1388" s="53" t="s">
        <v>5531</v>
      </c>
      <c r="C1388" s="47">
        <v>0.0</v>
      </c>
      <c r="D1388" s="80" t="s">
        <v>5532</v>
      </c>
      <c r="E1388" s="55" t="s">
        <v>165</v>
      </c>
      <c r="F1388" s="32" t="s">
        <v>33</v>
      </c>
      <c r="G1388" s="32" t="s">
        <v>35</v>
      </c>
      <c r="H1388" s="23" t="s">
        <v>35</v>
      </c>
      <c r="I1388" s="66" t="s">
        <v>36</v>
      </c>
      <c r="J1388" s="34" t="s">
        <v>49</v>
      </c>
      <c r="K1388" s="57" t="s">
        <v>447</v>
      </c>
      <c r="L1388" s="25">
        <v>10877.0</v>
      </c>
      <c r="M1388" s="22" t="s">
        <v>40</v>
      </c>
      <c r="N1388" s="26" t="s">
        <v>106</v>
      </c>
      <c r="O1388" s="28">
        <v>45441.62148644676</v>
      </c>
      <c r="P1388" s="26" t="s">
        <v>5533</v>
      </c>
      <c r="Q1388" s="12"/>
      <c r="R1388" s="30"/>
      <c r="S1388" s="60"/>
      <c r="T1388" s="29">
        <v>45432.0</v>
      </c>
      <c r="U1388" s="29">
        <v>45433.0</v>
      </c>
      <c r="V1388" s="29">
        <v>45439.0</v>
      </c>
      <c r="W1388" s="30"/>
      <c r="X1388" s="30"/>
      <c r="Y1388" s="31"/>
      <c r="Z1388" s="31"/>
      <c r="AA1388" s="31" t="s">
        <v>108</v>
      </c>
      <c r="AB1388" s="31" t="s">
        <v>5534</v>
      </c>
      <c r="AC1388" s="31"/>
    </row>
    <row r="1389" ht="16.5" customHeight="1">
      <c r="A1389" s="48" t="s">
        <v>5535</v>
      </c>
      <c r="B1389" s="53" t="s">
        <v>5531</v>
      </c>
      <c r="C1389" s="47">
        <v>0.0</v>
      </c>
      <c r="D1389" s="80" t="s">
        <v>5536</v>
      </c>
      <c r="E1389" s="55" t="s">
        <v>165</v>
      </c>
      <c r="F1389" s="32" t="s">
        <v>33</v>
      </c>
      <c r="G1389" s="32" t="s">
        <v>35</v>
      </c>
      <c r="H1389" s="23" t="s">
        <v>35</v>
      </c>
      <c r="I1389" s="66" t="s">
        <v>36</v>
      </c>
      <c r="J1389" s="34" t="s">
        <v>49</v>
      </c>
      <c r="K1389" s="57" t="s">
        <v>447</v>
      </c>
      <c r="L1389" s="25">
        <v>10877.0</v>
      </c>
      <c r="M1389" s="22" t="s">
        <v>40</v>
      </c>
      <c r="N1389" s="26" t="s">
        <v>106</v>
      </c>
      <c r="O1389" s="28">
        <v>45441.62155813657</v>
      </c>
      <c r="P1389" s="26" t="s">
        <v>5533</v>
      </c>
      <c r="Q1389" s="12"/>
      <c r="R1389" s="30"/>
      <c r="S1389" s="60"/>
      <c r="T1389" s="29">
        <v>45432.0</v>
      </c>
      <c r="U1389" s="29">
        <v>45433.0</v>
      </c>
      <c r="V1389" s="29">
        <v>45435.0</v>
      </c>
      <c r="W1389" s="30"/>
      <c r="X1389" s="30"/>
      <c r="Y1389" s="31"/>
      <c r="Z1389" s="31"/>
      <c r="AA1389" s="31" t="s">
        <v>108</v>
      </c>
      <c r="AB1389" s="31" t="s">
        <v>5537</v>
      </c>
      <c r="AC1389" s="31"/>
    </row>
    <row r="1390" ht="16.5" customHeight="1">
      <c r="A1390" s="32" t="s">
        <v>5538</v>
      </c>
      <c r="B1390" s="53" t="s">
        <v>5531</v>
      </c>
      <c r="C1390" s="47">
        <v>0.0</v>
      </c>
      <c r="D1390" s="80" t="s">
        <v>5539</v>
      </c>
      <c r="E1390" s="55" t="s">
        <v>165</v>
      </c>
      <c r="F1390" s="32" t="s">
        <v>33</v>
      </c>
      <c r="G1390" s="32" t="s">
        <v>35</v>
      </c>
      <c r="H1390" s="23" t="s">
        <v>35</v>
      </c>
      <c r="I1390" s="66" t="s">
        <v>36</v>
      </c>
      <c r="J1390" s="34" t="s">
        <v>49</v>
      </c>
      <c r="K1390" s="57" t="s">
        <v>447</v>
      </c>
      <c r="L1390" s="25">
        <v>10877.0</v>
      </c>
      <c r="M1390" s="22" t="s">
        <v>40</v>
      </c>
      <c r="N1390" s="26" t="s">
        <v>106</v>
      </c>
      <c r="O1390" s="28">
        <v>45441.6216374537</v>
      </c>
      <c r="P1390" s="26" t="s">
        <v>5533</v>
      </c>
      <c r="Q1390" s="12"/>
      <c r="R1390" s="30"/>
      <c r="S1390" s="60"/>
      <c r="T1390" s="29">
        <v>45432.0</v>
      </c>
      <c r="U1390" s="29">
        <v>45433.0</v>
      </c>
      <c r="V1390" s="29">
        <v>45436.0</v>
      </c>
      <c r="W1390" s="30"/>
      <c r="X1390" s="30"/>
      <c r="Y1390" s="31"/>
      <c r="Z1390" s="31"/>
      <c r="AA1390" s="31" t="s">
        <v>108</v>
      </c>
      <c r="AB1390" s="31" t="s">
        <v>5540</v>
      </c>
      <c r="AC1390" s="31"/>
    </row>
    <row r="1391" ht="16.5" customHeight="1">
      <c r="A1391" s="85" t="s">
        <v>5541</v>
      </c>
      <c r="B1391" s="86" t="s">
        <v>5542</v>
      </c>
      <c r="C1391" s="109">
        <v>90.0</v>
      </c>
      <c r="D1391" s="70" t="s">
        <v>5543</v>
      </c>
      <c r="E1391" s="110" t="s">
        <v>91</v>
      </c>
      <c r="F1391" s="111" t="s">
        <v>48</v>
      </c>
      <c r="G1391" s="90" t="s">
        <v>35</v>
      </c>
      <c r="H1391" s="112" t="s">
        <v>35</v>
      </c>
      <c r="I1391" s="66" t="s">
        <v>36</v>
      </c>
      <c r="J1391" s="34" t="s">
        <v>518</v>
      </c>
      <c r="K1391" s="91" t="s">
        <v>38</v>
      </c>
      <c r="L1391" s="25">
        <v>10817.0</v>
      </c>
      <c r="M1391" s="113" t="s">
        <v>50</v>
      </c>
      <c r="N1391" s="93" t="s">
        <v>4616</v>
      </c>
      <c r="O1391" s="28">
        <v>45434.60875788194</v>
      </c>
      <c r="P1391" s="26" t="s">
        <v>5544</v>
      </c>
      <c r="Q1391" s="12"/>
      <c r="R1391" s="12"/>
      <c r="S1391" s="60"/>
      <c r="T1391" s="29">
        <v>45432.0</v>
      </c>
      <c r="U1391" s="29">
        <v>45434.0</v>
      </c>
      <c r="V1391" s="29">
        <v>45434.461251562505</v>
      </c>
      <c r="W1391" s="30"/>
      <c r="X1391" s="30"/>
      <c r="Y1391" s="31"/>
      <c r="Z1391" s="31"/>
      <c r="AA1391" s="31" t="s">
        <v>127</v>
      </c>
      <c r="AB1391" s="31" t="s">
        <v>5545</v>
      </c>
      <c r="AC1391" s="31"/>
    </row>
    <row r="1392" ht="16.5" customHeight="1">
      <c r="A1392" s="48" t="s">
        <v>5546</v>
      </c>
      <c r="B1392" s="53" t="s">
        <v>5547</v>
      </c>
      <c r="C1392" s="54">
        <v>90.0</v>
      </c>
      <c r="D1392" s="70" t="s">
        <v>5548</v>
      </c>
      <c r="E1392" s="110" t="s">
        <v>91</v>
      </c>
      <c r="F1392" s="111" t="s">
        <v>48</v>
      </c>
      <c r="G1392" s="90" t="s">
        <v>35</v>
      </c>
      <c r="H1392" s="112" t="s">
        <v>35</v>
      </c>
      <c r="I1392" s="66" t="s">
        <v>36</v>
      </c>
      <c r="J1392" s="34" t="s">
        <v>518</v>
      </c>
      <c r="K1392" s="57" t="s">
        <v>38</v>
      </c>
      <c r="L1392" s="25">
        <v>10849.0</v>
      </c>
      <c r="M1392" s="22" t="s">
        <v>50</v>
      </c>
      <c r="N1392" s="26" t="s">
        <v>4616</v>
      </c>
      <c r="O1392" s="28">
        <v>45439.585161724535</v>
      </c>
      <c r="P1392" s="26" t="s">
        <v>5549</v>
      </c>
      <c r="Q1392" s="12"/>
      <c r="R1392" s="12"/>
      <c r="S1392" s="60"/>
      <c r="T1392" s="29">
        <v>45433.0</v>
      </c>
      <c r="U1392" s="29">
        <v>45433.0</v>
      </c>
      <c r="V1392" s="29">
        <v>45436.61449112269</v>
      </c>
      <c r="W1392" s="30"/>
      <c r="X1392" s="30"/>
      <c r="Y1392" s="31"/>
      <c r="Z1392" s="31"/>
      <c r="AA1392" s="31" t="s">
        <v>108</v>
      </c>
      <c r="AB1392" s="31" t="s">
        <v>5550</v>
      </c>
      <c r="AC1392" s="31"/>
    </row>
    <row r="1393" ht="16.5" customHeight="1">
      <c r="A1393" s="48" t="s">
        <v>5551</v>
      </c>
      <c r="B1393" s="53" t="s">
        <v>4472</v>
      </c>
      <c r="C1393" s="47">
        <v>0.0</v>
      </c>
      <c r="D1393" s="80" t="s">
        <v>5552</v>
      </c>
      <c r="E1393" s="55" t="s">
        <v>117</v>
      </c>
      <c r="F1393" s="32" t="s">
        <v>33</v>
      </c>
      <c r="G1393" s="90" t="s">
        <v>35</v>
      </c>
      <c r="H1393" s="112" t="s">
        <v>35</v>
      </c>
      <c r="I1393" s="66" t="s">
        <v>36</v>
      </c>
      <c r="J1393" s="34" t="s">
        <v>49</v>
      </c>
      <c r="K1393" s="57" t="s">
        <v>38</v>
      </c>
      <c r="L1393" s="25">
        <v>10871.0</v>
      </c>
      <c r="M1393" s="22" t="s">
        <v>40</v>
      </c>
      <c r="N1393" s="26" t="s">
        <v>106</v>
      </c>
      <c r="O1393" s="28">
        <v>45441.62176872685</v>
      </c>
      <c r="P1393" s="26" t="s">
        <v>5553</v>
      </c>
      <c r="Q1393" s="12"/>
      <c r="R1393" s="30"/>
      <c r="S1393" s="60"/>
      <c r="T1393" s="29">
        <v>45433.0</v>
      </c>
      <c r="U1393" s="29">
        <v>45433.0</v>
      </c>
      <c r="V1393" s="29">
        <v>45439.0</v>
      </c>
      <c r="W1393" s="30"/>
      <c r="X1393" s="30"/>
      <c r="Y1393" s="31"/>
      <c r="Z1393" s="31"/>
      <c r="AA1393" s="31" t="s">
        <v>102</v>
      </c>
      <c r="AB1393" s="31" t="s">
        <v>5554</v>
      </c>
      <c r="AC1393" s="31"/>
    </row>
    <row r="1394" ht="16.5" customHeight="1">
      <c r="A1394" s="48" t="s">
        <v>5555</v>
      </c>
      <c r="B1394" s="53" t="s">
        <v>5556</v>
      </c>
      <c r="C1394" s="54">
        <v>1.0</v>
      </c>
      <c r="D1394" s="80" t="s">
        <v>5557</v>
      </c>
      <c r="E1394" s="55" t="s">
        <v>3395</v>
      </c>
      <c r="F1394" s="32" t="s">
        <v>48</v>
      </c>
      <c r="G1394" s="90" t="s">
        <v>35</v>
      </c>
      <c r="H1394" s="112" t="s">
        <v>35</v>
      </c>
      <c r="I1394" s="66" t="s">
        <v>36</v>
      </c>
      <c r="J1394" s="34" t="s">
        <v>49</v>
      </c>
      <c r="K1394" s="57" t="s">
        <v>38</v>
      </c>
      <c r="L1394" s="25">
        <v>10818.0</v>
      </c>
      <c r="M1394" s="22" t="s">
        <v>50</v>
      </c>
      <c r="N1394" s="26" t="s">
        <v>106</v>
      </c>
      <c r="O1394" s="28">
        <v>45434.62648802083</v>
      </c>
      <c r="P1394" s="26" t="s">
        <v>5558</v>
      </c>
      <c r="Q1394" s="12"/>
      <c r="R1394" s="12"/>
      <c r="S1394" s="60"/>
      <c r="T1394" s="29">
        <v>45433.0</v>
      </c>
      <c r="U1394" s="29">
        <v>45434.0</v>
      </c>
      <c r="V1394" s="29">
        <v>45434.46261130787</v>
      </c>
      <c r="W1394" s="30"/>
      <c r="X1394" s="30"/>
      <c r="Y1394" s="31"/>
      <c r="Z1394" s="31"/>
      <c r="AA1394" s="31" t="s">
        <v>108</v>
      </c>
      <c r="AB1394" s="31" t="s">
        <v>5559</v>
      </c>
      <c r="AC1394" s="31"/>
    </row>
    <row r="1395" ht="16.5" customHeight="1">
      <c r="A1395" s="48" t="s">
        <v>5560</v>
      </c>
      <c r="B1395" s="53" t="s">
        <v>5561</v>
      </c>
      <c r="C1395" s="47">
        <v>0.0</v>
      </c>
      <c r="D1395" s="114" t="s">
        <v>5562</v>
      </c>
      <c r="E1395" s="55" t="s">
        <v>511</v>
      </c>
      <c r="F1395" s="32" t="s">
        <v>33</v>
      </c>
      <c r="G1395" s="90" t="s">
        <v>34</v>
      </c>
      <c r="H1395" s="112" t="s">
        <v>35</v>
      </c>
      <c r="I1395" s="66" t="s">
        <v>36</v>
      </c>
      <c r="J1395" s="34" t="s">
        <v>49</v>
      </c>
      <c r="K1395" s="57" t="s">
        <v>2375</v>
      </c>
      <c r="L1395" s="25">
        <v>10845.0</v>
      </c>
      <c r="M1395" s="22" t="s">
        <v>40</v>
      </c>
      <c r="N1395" s="26" t="s">
        <v>4183</v>
      </c>
      <c r="O1395" s="28">
        <v>45441.679235856485</v>
      </c>
      <c r="P1395" s="26" t="s">
        <v>5563</v>
      </c>
      <c r="Q1395" s="12"/>
      <c r="R1395" s="30"/>
      <c r="S1395" s="60"/>
      <c r="T1395" s="29">
        <v>45433.0</v>
      </c>
      <c r="U1395" s="29">
        <v>45435.0</v>
      </c>
      <c r="V1395" s="29">
        <v>45441.0</v>
      </c>
      <c r="W1395" s="30"/>
      <c r="X1395" s="30"/>
      <c r="Y1395" s="31"/>
      <c r="Z1395" s="31"/>
      <c r="AA1395" s="31" t="s">
        <v>5564</v>
      </c>
      <c r="AB1395" s="31" t="s">
        <v>5565</v>
      </c>
      <c r="AC1395" s="31"/>
    </row>
    <row r="1396" ht="16.5" customHeight="1">
      <c r="A1396" s="48" t="s">
        <v>5566</v>
      </c>
      <c r="B1396" s="53" t="s">
        <v>5561</v>
      </c>
      <c r="C1396" s="47">
        <v>0.0</v>
      </c>
      <c r="D1396" s="115" t="s">
        <v>5567</v>
      </c>
      <c r="E1396" s="55" t="s">
        <v>511</v>
      </c>
      <c r="F1396" s="32" t="s">
        <v>33</v>
      </c>
      <c r="G1396" s="90" t="s">
        <v>34</v>
      </c>
      <c r="H1396" s="112" t="s">
        <v>35</v>
      </c>
      <c r="I1396" s="66" t="s">
        <v>36</v>
      </c>
      <c r="J1396" s="34" t="s">
        <v>49</v>
      </c>
      <c r="K1396" s="57" t="s">
        <v>2375</v>
      </c>
      <c r="L1396" s="25">
        <v>10845.0</v>
      </c>
      <c r="M1396" s="22" t="s">
        <v>40</v>
      </c>
      <c r="N1396" s="26" t="s">
        <v>4183</v>
      </c>
      <c r="O1396" s="28">
        <v>45441.67933438657</v>
      </c>
      <c r="P1396" s="26" t="s">
        <v>5563</v>
      </c>
      <c r="Q1396" s="12"/>
      <c r="R1396" s="30"/>
      <c r="S1396" s="60"/>
      <c r="T1396" s="29">
        <v>45433.0</v>
      </c>
      <c r="U1396" s="29">
        <v>45435.0</v>
      </c>
      <c r="V1396" s="29">
        <v>45441.0</v>
      </c>
      <c r="W1396" s="30"/>
      <c r="X1396" s="30"/>
      <c r="Y1396" s="31"/>
      <c r="Z1396" s="31"/>
      <c r="AA1396" s="31" t="s">
        <v>5564</v>
      </c>
      <c r="AB1396" s="31" t="s">
        <v>5568</v>
      </c>
      <c r="AC1396" s="31"/>
    </row>
    <row r="1397" ht="16.5" customHeight="1">
      <c r="A1397" s="48" t="s">
        <v>5569</v>
      </c>
      <c r="B1397" s="53" t="s">
        <v>5561</v>
      </c>
      <c r="C1397" s="54">
        <v>27.0</v>
      </c>
      <c r="D1397" s="39" t="s">
        <v>5570</v>
      </c>
      <c r="E1397" s="55" t="s">
        <v>72</v>
      </c>
      <c r="F1397" s="32" t="s">
        <v>48</v>
      </c>
      <c r="G1397" s="90" t="s">
        <v>35</v>
      </c>
      <c r="H1397" s="112" t="s">
        <v>35</v>
      </c>
      <c r="I1397" s="66" t="s">
        <v>36</v>
      </c>
      <c r="J1397" s="34" t="s">
        <v>49</v>
      </c>
      <c r="K1397" s="57" t="s">
        <v>2375</v>
      </c>
      <c r="L1397" s="25">
        <v>10845.0</v>
      </c>
      <c r="M1397" s="22" t="s">
        <v>50</v>
      </c>
      <c r="N1397" s="26" t="s">
        <v>4183</v>
      </c>
      <c r="O1397" s="28">
        <v>45441.679418796295</v>
      </c>
      <c r="P1397" s="26" t="s">
        <v>5563</v>
      </c>
      <c r="Q1397" s="12"/>
      <c r="R1397" s="12"/>
      <c r="S1397" s="60"/>
      <c r="T1397" s="29">
        <v>45433.0</v>
      </c>
      <c r="U1397" s="29">
        <v>45435.0</v>
      </c>
      <c r="V1397" s="29">
        <v>45439.43337427083</v>
      </c>
      <c r="W1397" s="30"/>
      <c r="X1397" s="30"/>
      <c r="Y1397" s="31"/>
      <c r="Z1397" s="31"/>
      <c r="AA1397" s="31" t="s">
        <v>5564</v>
      </c>
      <c r="AB1397" s="31" t="s">
        <v>5571</v>
      </c>
      <c r="AC1397" s="31"/>
    </row>
    <row r="1398" ht="16.5" customHeight="1">
      <c r="A1398" s="48" t="s">
        <v>5572</v>
      </c>
      <c r="B1398" s="53" t="s">
        <v>4313</v>
      </c>
      <c r="C1398" s="47">
        <v>0.0</v>
      </c>
      <c r="D1398" s="80" t="s">
        <v>5573</v>
      </c>
      <c r="E1398" s="55" t="s">
        <v>301</v>
      </c>
      <c r="F1398" s="32" t="s">
        <v>33</v>
      </c>
      <c r="G1398" s="90" t="s">
        <v>35</v>
      </c>
      <c r="H1398" s="112" t="s">
        <v>35</v>
      </c>
      <c r="I1398" s="66" t="s">
        <v>36</v>
      </c>
      <c r="J1398" s="25" t="s">
        <v>5574</v>
      </c>
      <c r="K1398" s="57" t="s">
        <v>38</v>
      </c>
      <c r="L1398" s="25">
        <v>10870.0</v>
      </c>
      <c r="M1398" s="22" t="s">
        <v>40</v>
      </c>
      <c r="N1398" s="26" t="s">
        <v>118</v>
      </c>
      <c r="O1398" s="28">
        <v>45441.383061203705</v>
      </c>
      <c r="P1398" s="26" t="s">
        <v>5575</v>
      </c>
      <c r="Q1398" s="12"/>
      <c r="R1398" s="30"/>
      <c r="S1398" s="60"/>
      <c r="T1398" s="29">
        <v>45433.0</v>
      </c>
      <c r="U1398" s="29">
        <v>45434.0</v>
      </c>
      <c r="V1398" s="29">
        <v>45439.0</v>
      </c>
      <c r="W1398" s="30"/>
      <c r="X1398" s="30"/>
      <c r="Y1398" s="31"/>
      <c r="Z1398" s="31"/>
      <c r="AA1398" s="31" t="s">
        <v>120</v>
      </c>
      <c r="AB1398" s="31" t="s">
        <v>5576</v>
      </c>
      <c r="AC1398" s="31"/>
    </row>
    <row r="1399" ht="16.5" customHeight="1">
      <c r="A1399" s="48" t="s">
        <v>5577</v>
      </c>
      <c r="B1399" s="53" t="s">
        <v>4313</v>
      </c>
      <c r="C1399" s="47">
        <v>0.0</v>
      </c>
      <c r="D1399" s="80" t="s">
        <v>5578</v>
      </c>
      <c r="E1399" s="55" t="s">
        <v>532</v>
      </c>
      <c r="F1399" s="32" t="s">
        <v>244</v>
      </c>
      <c r="G1399" s="90" t="s">
        <v>35</v>
      </c>
      <c r="H1399" s="112" t="s">
        <v>35</v>
      </c>
      <c r="I1399" s="56" t="s">
        <v>36</v>
      </c>
      <c r="J1399" s="34" t="s">
        <v>5579</v>
      </c>
      <c r="K1399" s="57" t="s">
        <v>38</v>
      </c>
      <c r="L1399" s="25">
        <v>10852.0</v>
      </c>
      <c r="M1399" s="22" t="s">
        <v>40</v>
      </c>
      <c r="N1399" s="35" t="s">
        <v>5579</v>
      </c>
      <c r="O1399" s="28">
        <v>45436.0</v>
      </c>
      <c r="P1399" s="26" t="s">
        <v>5580</v>
      </c>
      <c r="Q1399" s="12"/>
      <c r="R1399" s="30"/>
      <c r="S1399" s="60"/>
      <c r="T1399" s="29">
        <v>45433.0</v>
      </c>
      <c r="U1399" s="29">
        <v>45434.0</v>
      </c>
      <c r="V1399" s="29">
        <f t="shared" ref="V1399:V1400" si="2">O1399</f>
        <v>45436</v>
      </c>
      <c r="W1399" s="30"/>
      <c r="X1399" s="30"/>
      <c r="Y1399" s="31"/>
      <c r="Z1399" s="31"/>
      <c r="AA1399" s="31" t="s">
        <v>120</v>
      </c>
      <c r="AB1399" s="31" t="s">
        <v>5581</v>
      </c>
      <c r="AC1399" s="31"/>
    </row>
    <row r="1400" ht="16.5" customHeight="1">
      <c r="A1400" s="48" t="s">
        <v>5582</v>
      </c>
      <c r="B1400" s="53" t="s">
        <v>4313</v>
      </c>
      <c r="C1400" s="47">
        <v>0.0</v>
      </c>
      <c r="D1400" s="80" t="s">
        <v>5583</v>
      </c>
      <c r="E1400" s="55" t="s">
        <v>532</v>
      </c>
      <c r="F1400" s="32" t="s">
        <v>244</v>
      </c>
      <c r="G1400" s="90" t="s">
        <v>35</v>
      </c>
      <c r="H1400" s="112" t="s">
        <v>35</v>
      </c>
      <c r="I1400" s="56" t="s">
        <v>36</v>
      </c>
      <c r="J1400" s="34" t="s">
        <v>5579</v>
      </c>
      <c r="K1400" s="57" t="s">
        <v>38</v>
      </c>
      <c r="L1400" s="25">
        <v>10852.0</v>
      </c>
      <c r="M1400" s="22" t="s">
        <v>40</v>
      </c>
      <c r="N1400" s="35" t="s">
        <v>5579</v>
      </c>
      <c r="O1400" s="28">
        <v>45436.0</v>
      </c>
      <c r="P1400" s="26" t="s">
        <v>5580</v>
      </c>
      <c r="Q1400" s="12"/>
      <c r="R1400" s="30"/>
      <c r="S1400" s="60"/>
      <c r="T1400" s="29">
        <v>45433.0</v>
      </c>
      <c r="U1400" s="29">
        <v>45434.0</v>
      </c>
      <c r="V1400" s="29">
        <f t="shared" si="2"/>
        <v>45436</v>
      </c>
      <c r="W1400" s="30"/>
      <c r="X1400" s="30"/>
      <c r="Y1400" s="31"/>
      <c r="Z1400" s="31"/>
      <c r="AA1400" s="31" t="s">
        <v>120</v>
      </c>
      <c r="AB1400" s="31" t="s">
        <v>5584</v>
      </c>
      <c r="AC1400" s="31"/>
    </row>
    <row r="1401" ht="16.5" customHeight="1">
      <c r="A1401" s="48" t="s">
        <v>5585</v>
      </c>
      <c r="B1401" s="53" t="s">
        <v>5586</v>
      </c>
      <c r="C1401" s="54">
        <v>90.0</v>
      </c>
      <c r="D1401" s="70" t="s">
        <v>5587</v>
      </c>
      <c r="E1401" s="55" t="s">
        <v>91</v>
      </c>
      <c r="F1401" s="32" t="s">
        <v>48</v>
      </c>
      <c r="G1401" s="90" t="s">
        <v>35</v>
      </c>
      <c r="H1401" s="112" t="s">
        <v>35</v>
      </c>
      <c r="I1401" s="66" t="s">
        <v>36</v>
      </c>
      <c r="J1401" s="34" t="s">
        <v>518</v>
      </c>
      <c r="K1401" s="57" t="s">
        <v>38</v>
      </c>
      <c r="L1401" s="25">
        <v>10859.0</v>
      </c>
      <c r="M1401" s="22" t="s">
        <v>50</v>
      </c>
      <c r="N1401" s="26" t="s">
        <v>4616</v>
      </c>
      <c r="O1401" s="28">
        <v>45439.58533454861</v>
      </c>
      <c r="P1401" s="26" t="s">
        <v>5588</v>
      </c>
      <c r="Q1401" s="12"/>
      <c r="R1401" s="12"/>
      <c r="S1401" s="60"/>
      <c r="T1401" s="29">
        <v>45433.0</v>
      </c>
      <c r="U1401" s="29">
        <v>45435.0</v>
      </c>
      <c r="V1401" s="29">
        <v>45439.434637847226</v>
      </c>
      <c r="W1401" s="30"/>
      <c r="X1401" s="30"/>
      <c r="Y1401" s="31"/>
      <c r="Z1401" s="31"/>
      <c r="AA1401" s="31" t="s">
        <v>108</v>
      </c>
      <c r="AB1401" s="31" t="s">
        <v>5589</v>
      </c>
      <c r="AC1401" s="31"/>
    </row>
    <row r="1402" ht="16.5" customHeight="1">
      <c r="A1402" s="48" t="s">
        <v>5590</v>
      </c>
      <c r="B1402" s="53" t="s">
        <v>4681</v>
      </c>
      <c r="C1402" s="54">
        <v>27.0</v>
      </c>
      <c r="D1402" s="39" t="s">
        <v>5591</v>
      </c>
      <c r="E1402" s="55" t="s">
        <v>72</v>
      </c>
      <c r="F1402" s="32" t="s">
        <v>48</v>
      </c>
      <c r="G1402" s="90" t="s">
        <v>35</v>
      </c>
      <c r="H1402" s="112" t="s">
        <v>35</v>
      </c>
      <c r="I1402" s="66" t="s">
        <v>36</v>
      </c>
      <c r="J1402" s="34" t="s">
        <v>49</v>
      </c>
      <c r="K1402" s="57" t="s">
        <v>4683</v>
      </c>
      <c r="L1402" s="25">
        <v>10865.0</v>
      </c>
      <c r="M1402" s="22" t="s">
        <v>50</v>
      </c>
      <c r="N1402" s="26" t="s">
        <v>106</v>
      </c>
      <c r="O1402" s="28">
        <v>45440.6754966088</v>
      </c>
      <c r="P1402" s="26" t="s">
        <v>5592</v>
      </c>
      <c r="Q1402" s="12"/>
      <c r="R1402" s="12"/>
      <c r="S1402" s="60"/>
      <c r="T1402" s="29">
        <v>45433.0</v>
      </c>
      <c r="U1402" s="29">
        <v>45439.0</v>
      </c>
      <c r="V1402" s="29">
        <v>45440.358955393516</v>
      </c>
      <c r="W1402" s="30"/>
      <c r="X1402" s="30"/>
      <c r="Y1402" s="31"/>
      <c r="Z1402" s="31"/>
      <c r="AA1402" s="31" t="s">
        <v>127</v>
      </c>
      <c r="AB1402" s="31" t="s">
        <v>5593</v>
      </c>
      <c r="AC1402" s="31"/>
    </row>
    <row r="1403" ht="16.5" customHeight="1">
      <c r="A1403" s="48" t="s">
        <v>5594</v>
      </c>
      <c r="B1403" s="53" t="s">
        <v>5595</v>
      </c>
      <c r="C1403" s="54">
        <v>0.0</v>
      </c>
      <c r="D1403" s="21" t="s">
        <v>5596</v>
      </c>
      <c r="E1403" s="55" t="s">
        <v>3441</v>
      </c>
      <c r="F1403" s="32" t="s">
        <v>48</v>
      </c>
      <c r="G1403" s="90" t="s">
        <v>35</v>
      </c>
      <c r="H1403" s="112" t="s">
        <v>35</v>
      </c>
      <c r="I1403" s="66" t="s">
        <v>36</v>
      </c>
      <c r="J1403" s="34" t="s">
        <v>65</v>
      </c>
      <c r="K1403" s="57" t="s">
        <v>38</v>
      </c>
      <c r="L1403" s="25">
        <v>10839.0</v>
      </c>
      <c r="M1403" s="22" t="s">
        <v>50</v>
      </c>
      <c r="N1403" s="26" t="s">
        <v>5102</v>
      </c>
      <c r="O1403" s="28">
        <v>45440.49828035879</v>
      </c>
      <c r="P1403" s="26" t="s">
        <v>5597</v>
      </c>
      <c r="Q1403" s="12"/>
      <c r="R1403" s="12"/>
      <c r="S1403" s="60"/>
      <c r="T1403" s="29">
        <v>45434.0</v>
      </c>
      <c r="U1403" s="29">
        <v>45435.0</v>
      </c>
      <c r="V1403" s="29">
        <v>45435.57506662037</v>
      </c>
      <c r="W1403" s="30"/>
      <c r="X1403" s="30"/>
      <c r="Y1403" s="31"/>
      <c r="Z1403" s="31"/>
      <c r="AA1403" s="31" t="s">
        <v>3059</v>
      </c>
      <c r="AB1403" s="31" t="s">
        <v>5598</v>
      </c>
      <c r="AC1403" s="31"/>
    </row>
    <row r="1404" ht="16.5" customHeight="1">
      <c r="A1404" s="48" t="s">
        <v>5599</v>
      </c>
      <c r="B1404" s="53" t="s">
        <v>5600</v>
      </c>
      <c r="C1404" s="54">
        <v>90.0</v>
      </c>
      <c r="D1404" s="70" t="s">
        <v>5601</v>
      </c>
      <c r="E1404" s="55" t="s">
        <v>91</v>
      </c>
      <c r="F1404" s="32" t="s">
        <v>48</v>
      </c>
      <c r="G1404" s="90" t="s">
        <v>35</v>
      </c>
      <c r="H1404" s="112" t="s">
        <v>35</v>
      </c>
      <c r="I1404" s="66" t="s">
        <v>36</v>
      </c>
      <c r="J1404" s="34" t="s">
        <v>65</v>
      </c>
      <c r="K1404" s="57" t="s">
        <v>38</v>
      </c>
      <c r="L1404" s="25">
        <v>10827.0</v>
      </c>
      <c r="M1404" s="22" t="s">
        <v>50</v>
      </c>
      <c r="N1404" s="26" t="s">
        <v>5102</v>
      </c>
      <c r="O1404" s="28">
        <v>45440.498426157406</v>
      </c>
      <c r="P1404" s="26" t="s">
        <v>5602</v>
      </c>
      <c r="Q1404" s="12"/>
      <c r="R1404" s="12"/>
      <c r="S1404" s="60"/>
      <c r="T1404" s="29">
        <v>45434.0</v>
      </c>
      <c r="U1404" s="29">
        <v>45434.0</v>
      </c>
      <c r="V1404" s="29">
        <v>45439.43530170139</v>
      </c>
      <c r="W1404" s="30"/>
      <c r="X1404" s="30"/>
      <c r="Y1404" s="31"/>
      <c r="Z1404" s="31"/>
      <c r="AA1404" s="31" t="s">
        <v>94</v>
      </c>
      <c r="AB1404" s="31" t="s">
        <v>5603</v>
      </c>
      <c r="AC1404" s="31"/>
    </row>
    <row r="1405" ht="16.5" customHeight="1">
      <c r="A1405" s="48" t="s">
        <v>5604</v>
      </c>
      <c r="B1405" s="53" t="s">
        <v>451</v>
      </c>
      <c r="C1405" s="47">
        <v>0.0</v>
      </c>
      <c r="D1405" s="21" t="s">
        <v>5605</v>
      </c>
      <c r="E1405" s="55" t="s">
        <v>2431</v>
      </c>
      <c r="F1405" s="32" t="s">
        <v>244</v>
      </c>
      <c r="G1405" s="90" t="s">
        <v>35</v>
      </c>
      <c r="H1405" s="112" t="s">
        <v>35</v>
      </c>
      <c r="I1405" s="66" t="s">
        <v>36</v>
      </c>
      <c r="J1405" s="34" t="s">
        <v>49</v>
      </c>
      <c r="K1405" s="57" t="s">
        <v>38</v>
      </c>
      <c r="L1405" s="64" t="s">
        <v>5606</v>
      </c>
      <c r="M1405" s="53" t="s">
        <v>40</v>
      </c>
      <c r="N1405" s="26" t="s">
        <v>106</v>
      </c>
      <c r="O1405" s="28">
        <v>45436.64739326389</v>
      </c>
      <c r="P1405" s="26" t="s">
        <v>5607</v>
      </c>
      <c r="Q1405" s="12"/>
      <c r="R1405" s="30"/>
      <c r="S1405" s="60"/>
      <c r="T1405" s="29">
        <v>45434.0</v>
      </c>
      <c r="U1405" s="29">
        <v>45434.0</v>
      </c>
      <c r="V1405" s="29">
        <v>45436.0</v>
      </c>
      <c r="W1405" s="30"/>
      <c r="X1405" s="30"/>
      <c r="Y1405" s="31"/>
      <c r="Z1405" s="31"/>
      <c r="AA1405" s="31" t="s">
        <v>127</v>
      </c>
      <c r="AB1405" s="31" t="s">
        <v>5608</v>
      </c>
      <c r="AC1405" s="31"/>
    </row>
    <row r="1406" ht="16.5" customHeight="1">
      <c r="A1406" s="48" t="s">
        <v>5609</v>
      </c>
      <c r="B1406" s="53" t="s">
        <v>451</v>
      </c>
      <c r="C1406" s="47">
        <v>0.0</v>
      </c>
      <c r="D1406" s="21" t="s">
        <v>5610</v>
      </c>
      <c r="E1406" s="55" t="s">
        <v>2431</v>
      </c>
      <c r="F1406" s="32" t="s">
        <v>244</v>
      </c>
      <c r="G1406" s="90" t="s">
        <v>35</v>
      </c>
      <c r="H1406" s="112" t="s">
        <v>35</v>
      </c>
      <c r="I1406" s="66" t="s">
        <v>36</v>
      </c>
      <c r="J1406" s="34" t="s">
        <v>49</v>
      </c>
      <c r="K1406" s="57" t="s">
        <v>38</v>
      </c>
      <c r="L1406" s="64" t="s">
        <v>5606</v>
      </c>
      <c r="M1406" s="53" t="s">
        <v>40</v>
      </c>
      <c r="N1406" s="26" t="s">
        <v>106</v>
      </c>
      <c r="O1406" s="28">
        <v>45436.64691090278</v>
      </c>
      <c r="P1406" s="26" t="s">
        <v>5607</v>
      </c>
      <c r="Q1406" s="12"/>
      <c r="R1406" s="30"/>
      <c r="S1406" s="60"/>
      <c r="T1406" s="29">
        <v>45434.0</v>
      </c>
      <c r="U1406" s="29">
        <v>45434.0</v>
      </c>
      <c r="V1406" s="29">
        <v>45436.0</v>
      </c>
      <c r="W1406" s="30"/>
      <c r="X1406" s="30"/>
      <c r="Y1406" s="31"/>
      <c r="Z1406" s="31"/>
      <c r="AA1406" s="31" t="s">
        <v>127</v>
      </c>
      <c r="AB1406" s="31" t="s">
        <v>5611</v>
      </c>
      <c r="AC1406" s="31"/>
    </row>
    <row r="1407" ht="16.5" customHeight="1">
      <c r="A1407" s="48" t="s">
        <v>5612</v>
      </c>
      <c r="B1407" s="53" t="s">
        <v>4202</v>
      </c>
      <c r="C1407" s="47">
        <v>0.0</v>
      </c>
      <c r="D1407" s="21" t="s">
        <v>5613</v>
      </c>
      <c r="E1407" s="55" t="s">
        <v>268</v>
      </c>
      <c r="F1407" s="32" t="s">
        <v>33</v>
      </c>
      <c r="G1407" s="32" t="s">
        <v>34</v>
      </c>
      <c r="H1407" s="23" t="s">
        <v>35</v>
      </c>
      <c r="I1407" s="66" t="s">
        <v>36</v>
      </c>
      <c r="J1407" s="34" t="s">
        <v>518</v>
      </c>
      <c r="K1407" s="57" t="s">
        <v>38</v>
      </c>
      <c r="L1407" s="25">
        <v>10860.0</v>
      </c>
      <c r="M1407" s="22" t="s">
        <v>40</v>
      </c>
      <c r="N1407" s="26" t="s">
        <v>4616</v>
      </c>
      <c r="O1407" s="28">
        <v>45439.58540384259</v>
      </c>
      <c r="P1407" s="26" t="s">
        <v>5614</v>
      </c>
      <c r="Q1407" s="12"/>
      <c r="R1407" s="30"/>
      <c r="S1407" s="60"/>
      <c r="T1407" s="29">
        <v>45434.0</v>
      </c>
      <c r="U1407" s="29">
        <v>45434.0</v>
      </c>
      <c r="V1407" s="29">
        <v>45439.0</v>
      </c>
      <c r="W1407" s="30"/>
      <c r="X1407" s="30"/>
      <c r="Y1407" s="31"/>
      <c r="Z1407" s="31"/>
      <c r="AA1407" s="31" t="s">
        <v>94</v>
      </c>
      <c r="AB1407" s="31" t="s">
        <v>5615</v>
      </c>
      <c r="AC1407" s="31"/>
    </row>
    <row r="1408" ht="16.5" customHeight="1">
      <c r="A1408" s="48" t="s">
        <v>5616</v>
      </c>
      <c r="B1408" s="53" t="s">
        <v>3323</v>
      </c>
      <c r="C1408" s="47">
        <v>0.0</v>
      </c>
      <c r="D1408" s="21" t="s">
        <v>5617</v>
      </c>
      <c r="E1408" s="55" t="s">
        <v>338</v>
      </c>
      <c r="F1408" s="32" t="s">
        <v>33</v>
      </c>
      <c r="G1408" s="32" t="s">
        <v>35</v>
      </c>
      <c r="H1408" s="23" t="s">
        <v>35</v>
      </c>
      <c r="I1408" s="66" t="s">
        <v>36</v>
      </c>
      <c r="J1408" s="34" t="s">
        <v>65</v>
      </c>
      <c r="K1408" s="57" t="s">
        <v>38</v>
      </c>
      <c r="L1408" s="25">
        <v>10893.0</v>
      </c>
      <c r="M1408" s="22" t="s">
        <v>40</v>
      </c>
      <c r="N1408" s="26" t="s">
        <v>5618</v>
      </c>
      <c r="O1408" s="28">
        <v>45447.60299309027</v>
      </c>
      <c r="P1408" s="26" t="s">
        <v>5619</v>
      </c>
      <c r="Q1408" s="12"/>
      <c r="R1408" s="30"/>
      <c r="S1408" s="60"/>
      <c r="T1408" s="29">
        <v>45434.0</v>
      </c>
      <c r="U1408" s="29">
        <v>45440.0</v>
      </c>
      <c r="V1408" s="29">
        <v>45446.0</v>
      </c>
      <c r="W1408" s="30"/>
      <c r="X1408" s="30"/>
      <c r="Y1408" s="31"/>
      <c r="Z1408" s="31"/>
      <c r="AA1408" s="31" t="s">
        <v>94</v>
      </c>
      <c r="AB1408" s="31" t="s">
        <v>5620</v>
      </c>
      <c r="AC1408" s="31"/>
    </row>
    <row r="1409" ht="16.5" customHeight="1">
      <c r="A1409" s="48" t="s">
        <v>5621</v>
      </c>
      <c r="B1409" s="53" t="s">
        <v>3323</v>
      </c>
      <c r="C1409" s="47">
        <v>0.0</v>
      </c>
      <c r="D1409" s="21" t="s">
        <v>5622</v>
      </c>
      <c r="E1409" s="55" t="s">
        <v>491</v>
      </c>
      <c r="F1409" s="32" t="s">
        <v>33</v>
      </c>
      <c r="G1409" s="32" t="s">
        <v>35</v>
      </c>
      <c r="H1409" s="23" t="s">
        <v>35</v>
      </c>
      <c r="I1409" s="66" t="s">
        <v>36</v>
      </c>
      <c r="J1409" s="34" t="s">
        <v>65</v>
      </c>
      <c r="K1409" s="57" t="s">
        <v>38</v>
      </c>
      <c r="L1409" s="25">
        <v>10893.0</v>
      </c>
      <c r="M1409" s="22" t="s">
        <v>40</v>
      </c>
      <c r="N1409" s="26" t="s">
        <v>5618</v>
      </c>
      <c r="O1409" s="28">
        <v>45447.6030794213</v>
      </c>
      <c r="P1409" s="26" t="s">
        <v>5619</v>
      </c>
      <c r="Q1409" s="12"/>
      <c r="R1409" s="30"/>
      <c r="S1409" s="60"/>
      <c r="T1409" s="29">
        <v>45434.0</v>
      </c>
      <c r="U1409" s="29">
        <v>45440.0</v>
      </c>
      <c r="V1409" s="29">
        <v>45446.0</v>
      </c>
      <c r="W1409" s="30"/>
      <c r="X1409" s="30"/>
      <c r="Y1409" s="31"/>
      <c r="Z1409" s="31"/>
      <c r="AA1409" s="31" t="s">
        <v>94</v>
      </c>
      <c r="AB1409" s="31" t="s">
        <v>5623</v>
      </c>
      <c r="AC1409" s="31"/>
    </row>
    <row r="1410" ht="16.5" customHeight="1">
      <c r="A1410" s="48" t="s">
        <v>5624</v>
      </c>
      <c r="B1410" s="53" t="s">
        <v>5625</v>
      </c>
      <c r="C1410" s="47">
        <v>0.0</v>
      </c>
      <c r="D1410" s="21" t="s">
        <v>5626</v>
      </c>
      <c r="E1410" s="55" t="s">
        <v>1595</v>
      </c>
      <c r="F1410" s="32" t="s">
        <v>33</v>
      </c>
      <c r="G1410" s="32" t="s">
        <v>35</v>
      </c>
      <c r="H1410" s="23" t="s">
        <v>35</v>
      </c>
      <c r="I1410" s="66" t="s">
        <v>36</v>
      </c>
      <c r="J1410" s="34" t="s">
        <v>49</v>
      </c>
      <c r="K1410" s="57" t="s">
        <v>447</v>
      </c>
      <c r="L1410" s="25">
        <v>10861.0</v>
      </c>
      <c r="M1410" s="22" t="s">
        <v>40</v>
      </c>
      <c r="N1410" s="26" t="s">
        <v>106</v>
      </c>
      <c r="O1410" s="28">
        <v>45439.58021060185</v>
      </c>
      <c r="P1410" s="26" t="s">
        <v>5627</v>
      </c>
      <c r="Q1410" s="12"/>
      <c r="R1410" s="30"/>
      <c r="S1410" s="60"/>
      <c r="T1410" s="29">
        <v>45435.0</v>
      </c>
      <c r="U1410" s="29">
        <v>45435.0</v>
      </c>
      <c r="V1410" s="29">
        <v>45439.0</v>
      </c>
      <c r="W1410" s="30"/>
      <c r="X1410" s="30"/>
      <c r="Y1410" s="31"/>
      <c r="Z1410" s="31"/>
      <c r="AA1410" s="31" t="s">
        <v>108</v>
      </c>
      <c r="AB1410" s="31" t="s">
        <v>5628</v>
      </c>
      <c r="AC1410" s="31"/>
    </row>
    <row r="1411" ht="16.5" customHeight="1">
      <c r="A1411" s="48" t="s">
        <v>5629</v>
      </c>
      <c r="B1411" s="53" t="s">
        <v>5630</v>
      </c>
      <c r="C1411" s="47">
        <v>0.0</v>
      </c>
      <c r="D1411" s="21" t="s">
        <v>5631</v>
      </c>
      <c r="E1411" s="55" t="s">
        <v>731</v>
      </c>
      <c r="F1411" s="32" t="s">
        <v>33</v>
      </c>
      <c r="G1411" s="32" t="s">
        <v>35</v>
      </c>
      <c r="H1411" s="23" t="s">
        <v>35</v>
      </c>
      <c r="I1411" s="66" t="s">
        <v>36</v>
      </c>
      <c r="J1411" s="34" t="s">
        <v>49</v>
      </c>
      <c r="K1411" s="57" t="s">
        <v>38</v>
      </c>
      <c r="L1411" s="25">
        <v>10948.0</v>
      </c>
      <c r="M1411" s="22" t="s">
        <v>40</v>
      </c>
      <c r="N1411" s="26" t="s">
        <v>99</v>
      </c>
      <c r="O1411" s="28">
        <v>45454.695243449074</v>
      </c>
      <c r="P1411" s="26" t="s">
        <v>5632</v>
      </c>
      <c r="Q1411" s="12"/>
      <c r="R1411" s="30"/>
      <c r="S1411" s="60"/>
      <c r="T1411" s="29">
        <v>45435.0</v>
      </c>
      <c r="U1411" s="29">
        <v>45435.0</v>
      </c>
      <c r="V1411" s="29">
        <v>45447.0</v>
      </c>
      <c r="W1411" s="30"/>
      <c r="X1411" s="30"/>
      <c r="Y1411" s="31"/>
      <c r="Z1411" s="31"/>
      <c r="AA1411" s="31" t="s">
        <v>102</v>
      </c>
      <c r="AB1411" s="31" t="s">
        <v>5633</v>
      </c>
      <c r="AC1411" s="31"/>
    </row>
    <row r="1412" ht="16.5" customHeight="1">
      <c r="A1412" s="48" t="s">
        <v>5634</v>
      </c>
      <c r="B1412" s="53" t="s">
        <v>5630</v>
      </c>
      <c r="C1412" s="47">
        <v>0.0</v>
      </c>
      <c r="D1412" s="21" t="s">
        <v>5635</v>
      </c>
      <c r="E1412" s="55" t="s">
        <v>731</v>
      </c>
      <c r="F1412" s="32" t="s">
        <v>33</v>
      </c>
      <c r="G1412" s="32" t="s">
        <v>35</v>
      </c>
      <c r="H1412" s="23" t="s">
        <v>35</v>
      </c>
      <c r="I1412" s="66" t="s">
        <v>36</v>
      </c>
      <c r="J1412" s="34" t="s">
        <v>49</v>
      </c>
      <c r="K1412" s="57" t="s">
        <v>38</v>
      </c>
      <c r="L1412" s="25">
        <v>10948.0</v>
      </c>
      <c r="M1412" s="22" t="s">
        <v>40</v>
      </c>
      <c r="N1412" s="26" t="s">
        <v>99</v>
      </c>
      <c r="O1412" s="28">
        <v>45454.69532706018</v>
      </c>
      <c r="P1412" s="26" t="s">
        <v>5632</v>
      </c>
      <c r="Q1412" s="12"/>
      <c r="R1412" s="30"/>
      <c r="S1412" s="60"/>
      <c r="T1412" s="29">
        <v>45435.0</v>
      </c>
      <c r="U1412" s="29">
        <v>45435.0</v>
      </c>
      <c r="V1412" s="29">
        <v>45454.0</v>
      </c>
      <c r="W1412" s="30"/>
      <c r="X1412" s="30"/>
      <c r="Y1412" s="31"/>
      <c r="Z1412" s="31"/>
      <c r="AA1412" s="31" t="s">
        <v>102</v>
      </c>
      <c r="AB1412" s="31" t="s">
        <v>5636</v>
      </c>
      <c r="AC1412" s="31"/>
    </row>
    <row r="1413" ht="16.5" customHeight="1">
      <c r="A1413" s="48" t="s">
        <v>5637</v>
      </c>
      <c r="B1413" s="53" t="s">
        <v>5630</v>
      </c>
      <c r="C1413" s="47">
        <v>0.0</v>
      </c>
      <c r="D1413" s="21" t="s">
        <v>5638</v>
      </c>
      <c r="E1413" s="55" t="s">
        <v>731</v>
      </c>
      <c r="F1413" s="32" t="s">
        <v>33</v>
      </c>
      <c r="G1413" s="32" t="s">
        <v>35</v>
      </c>
      <c r="H1413" s="23" t="s">
        <v>35</v>
      </c>
      <c r="I1413" s="66" t="s">
        <v>36</v>
      </c>
      <c r="J1413" s="34" t="s">
        <v>49</v>
      </c>
      <c r="K1413" s="57" t="s">
        <v>38</v>
      </c>
      <c r="L1413" s="25">
        <v>10948.0</v>
      </c>
      <c r="M1413" s="22" t="s">
        <v>40</v>
      </c>
      <c r="N1413" s="26" t="s">
        <v>99</v>
      </c>
      <c r="O1413" s="28">
        <v>45454.695426446764</v>
      </c>
      <c r="P1413" s="26" t="s">
        <v>5632</v>
      </c>
      <c r="Q1413" s="12"/>
      <c r="R1413" s="30"/>
      <c r="S1413" s="60"/>
      <c r="T1413" s="29">
        <v>45435.0</v>
      </c>
      <c r="U1413" s="29">
        <v>45435.0</v>
      </c>
      <c r="V1413" s="29">
        <v>45454.0</v>
      </c>
      <c r="W1413" s="30"/>
      <c r="X1413" s="30"/>
      <c r="Y1413" s="31"/>
      <c r="Z1413" s="31"/>
      <c r="AA1413" s="31" t="s">
        <v>102</v>
      </c>
      <c r="AB1413" s="31" t="s">
        <v>5639</v>
      </c>
      <c r="AC1413" s="31"/>
    </row>
    <row r="1414" ht="16.5" customHeight="1">
      <c r="A1414" s="48" t="s">
        <v>5640</v>
      </c>
      <c r="B1414" s="53" t="s">
        <v>122</v>
      </c>
      <c r="C1414" s="54">
        <v>27.0</v>
      </c>
      <c r="D1414" s="39" t="s">
        <v>5641</v>
      </c>
      <c r="E1414" s="55" t="s">
        <v>72</v>
      </c>
      <c r="F1414" s="32" t="s">
        <v>48</v>
      </c>
      <c r="G1414" s="90" t="s">
        <v>35</v>
      </c>
      <c r="H1414" s="112" t="s">
        <v>35</v>
      </c>
      <c r="I1414" s="66" t="s">
        <v>36</v>
      </c>
      <c r="J1414" s="34" t="s">
        <v>49</v>
      </c>
      <c r="K1414" s="57" t="s">
        <v>38</v>
      </c>
      <c r="L1414" s="25">
        <v>10855.0</v>
      </c>
      <c r="M1414" s="22" t="s">
        <v>50</v>
      </c>
      <c r="N1414" s="26" t="s">
        <v>106</v>
      </c>
      <c r="O1414" s="28">
        <v>45436.647057650465</v>
      </c>
      <c r="P1414" s="26" t="s">
        <v>5642</v>
      </c>
      <c r="Q1414" s="12"/>
      <c r="R1414" s="12"/>
      <c r="S1414" s="60"/>
      <c r="T1414" s="29">
        <v>45435.0</v>
      </c>
      <c r="U1414" s="29">
        <v>45436.0</v>
      </c>
      <c r="V1414" s="29">
        <v>45436.53677173611</v>
      </c>
      <c r="W1414" s="30"/>
      <c r="X1414" s="30"/>
      <c r="Y1414" s="31"/>
      <c r="Z1414" s="31"/>
      <c r="AA1414" s="31" t="s">
        <v>127</v>
      </c>
      <c r="AB1414" s="31" t="s">
        <v>5643</v>
      </c>
      <c r="AC1414" s="31"/>
    </row>
    <row r="1415" ht="16.5" customHeight="1">
      <c r="A1415" s="48" t="s">
        <v>5644</v>
      </c>
      <c r="B1415" s="53" t="s">
        <v>5645</v>
      </c>
      <c r="C1415" s="54">
        <v>90.0</v>
      </c>
      <c r="D1415" s="70" t="s">
        <v>5646</v>
      </c>
      <c r="E1415" s="55" t="s">
        <v>91</v>
      </c>
      <c r="F1415" s="32" t="s">
        <v>48</v>
      </c>
      <c r="G1415" s="90" t="s">
        <v>35</v>
      </c>
      <c r="H1415" s="112" t="s">
        <v>35</v>
      </c>
      <c r="I1415" s="66" t="s">
        <v>36</v>
      </c>
      <c r="J1415" s="34" t="s">
        <v>49</v>
      </c>
      <c r="K1415" s="57" t="s">
        <v>447</v>
      </c>
      <c r="L1415" s="25">
        <v>10872.0</v>
      </c>
      <c r="M1415" s="22" t="s">
        <v>50</v>
      </c>
      <c r="N1415" s="26" t="s">
        <v>106</v>
      </c>
      <c r="O1415" s="28">
        <v>45441.62185520833</v>
      </c>
      <c r="P1415" s="26" t="s">
        <v>5647</v>
      </c>
      <c r="Q1415" s="12"/>
      <c r="R1415" s="12"/>
      <c r="S1415" s="60"/>
      <c r="T1415" s="29">
        <v>45435.0</v>
      </c>
      <c r="U1415" s="29">
        <v>45440.0</v>
      </c>
      <c r="V1415" s="29">
        <v>45441.42320258102</v>
      </c>
      <c r="W1415" s="30"/>
      <c r="X1415" s="30"/>
      <c r="Y1415" s="31"/>
      <c r="Z1415" s="31"/>
      <c r="AA1415" s="31" t="s">
        <v>108</v>
      </c>
      <c r="AB1415" s="31" t="s">
        <v>5648</v>
      </c>
      <c r="AC1415" s="31"/>
    </row>
    <row r="1416" ht="16.5" customHeight="1">
      <c r="A1416" s="48" t="s">
        <v>5649</v>
      </c>
      <c r="B1416" s="53" t="s">
        <v>5650</v>
      </c>
      <c r="C1416" s="54">
        <v>1.0</v>
      </c>
      <c r="D1416" s="80" t="s">
        <v>5651</v>
      </c>
      <c r="E1416" s="55" t="s">
        <v>3395</v>
      </c>
      <c r="F1416" s="32" t="s">
        <v>48</v>
      </c>
      <c r="G1416" s="90" t="s">
        <v>35</v>
      </c>
      <c r="H1416" s="112" t="s">
        <v>35</v>
      </c>
      <c r="I1416" s="66" t="s">
        <v>36</v>
      </c>
      <c r="J1416" s="34" t="s">
        <v>49</v>
      </c>
      <c r="K1416" s="57" t="s">
        <v>38</v>
      </c>
      <c r="L1416" s="25">
        <v>10856.0</v>
      </c>
      <c r="M1416" s="22" t="s">
        <v>50</v>
      </c>
      <c r="N1416" s="26" t="s">
        <v>106</v>
      </c>
      <c r="O1416" s="28">
        <v>45436.64657806713</v>
      </c>
      <c r="P1416" s="26" t="s">
        <v>5652</v>
      </c>
      <c r="Q1416" s="12"/>
      <c r="R1416" s="12"/>
      <c r="S1416" s="60"/>
      <c r="T1416" s="29">
        <v>45435.0</v>
      </c>
      <c r="U1416" s="29">
        <v>45435.0</v>
      </c>
      <c r="V1416" s="29">
        <v>45436.536788831014</v>
      </c>
      <c r="W1416" s="30"/>
      <c r="X1416" s="30"/>
      <c r="Y1416" s="31"/>
      <c r="Z1416" s="31"/>
      <c r="AA1416" s="31" t="s">
        <v>102</v>
      </c>
      <c r="AB1416" s="31" t="s">
        <v>5653</v>
      </c>
      <c r="AC1416" s="31"/>
    </row>
    <row r="1417" ht="16.5" customHeight="1">
      <c r="A1417" s="48" t="s">
        <v>5654</v>
      </c>
      <c r="B1417" s="53" t="s">
        <v>5650</v>
      </c>
      <c r="C1417" s="47">
        <v>0.0</v>
      </c>
      <c r="D1417" s="80" t="s">
        <v>5655</v>
      </c>
      <c r="E1417" s="55" t="s">
        <v>681</v>
      </c>
      <c r="F1417" s="32" t="s">
        <v>244</v>
      </c>
      <c r="G1417" s="90" t="s">
        <v>35</v>
      </c>
      <c r="H1417" s="112" t="s">
        <v>35</v>
      </c>
      <c r="I1417" s="66" t="s">
        <v>36</v>
      </c>
      <c r="J1417" s="34" t="s">
        <v>49</v>
      </c>
      <c r="K1417" s="57" t="s">
        <v>38</v>
      </c>
      <c r="L1417" s="25">
        <v>10894.0</v>
      </c>
      <c r="M1417" s="22" t="s">
        <v>40</v>
      </c>
      <c r="N1417" s="26" t="s">
        <v>4183</v>
      </c>
      <c r="O1417" s="28">
        <v>45447.58453496528</v>
      </c>
      <c r="P1417" s="26" t="s">
        <v>5656</v>
      </c>
      <c r="Q1417" s="12"/>
      <c r="R1417" s="30"/>
      <c r="S1417" s="60"/>
      <c r="T1417" s="29">
        <v>45435.0</v>
      </c>
      <c r="U1417" s="29">
        <v>45435.0</v>
      </c>
      <c r="V1417" s="29">
        <v>45446.0</v>
      </c>
      <c r="W1417" s="30"/>
      <c r="X1417" s="30"/>
      <c r="Y1417" s="31"/>
      <c r="Z1417" s="31"/>
      <c r="AA1417" s="31" t="s">
        <v>102</v>
      </c>
      <c r="AB1417" s="31" t="s">
        <v>5657</v>
      </c>
      <c r="AC1417" s="31"/>
    </row>
    <row r="1418" ht="16.5" customHeight="1">
      <c r="A1418" s="48" t="s">
        <v>5658</v>
      </c>
      <c r="B1418" s="53" t="s">
        <v>5659</v>
      </c>
      <c r="C1418" s="47">
        <v>0.0</v>
      </c>
      <c r="D1418" s="21" t="s">
        <v>5660</v>
      </c>
      <c r="E1418" s="55" t="s">
        <v>295</v>
      </c>
      <c r="F1418" s="32" t="s">
        <v>33</v>
      </c>
      <c r="G1418" s="90" t="s">
        <v>35</v>
      </c>
      <c r="H1418" s="112" t="s">
        <v>35</v>
      </c>
      <c r="I1418" s="66" t="s">
        <v>36</v>
      </c>
      <c r="J1418" s="34" t="s">
        <v>49</v>
      </c>
      <c r="K1418" s="57" t="s">
        <v>1506</v>
      </c>
      <c r="L1418" s="25">
        <v>10920.0</v>
      </c>
      <c r="M1418" s="22" t="s">
        <v>40</v>
      </c>
      <c r="N1418" s="26" t="s">
        <v>4183</v>
      </c>
      <c r="O1418" s="28">
        <v>45453.45105391204</v>
      </c>
      <c r="P1418" s="26" t="s">
        <v>5661</v>
      </c>
      <c r="Q1418" s="12"/>
      <c r="R1418" s="30"/>
      <c r="S1418" s="60"/>
      <c r="T1418" s="29">
        <v>45435.0</v>
      </c>
      <c r="U1418" s="29"/>
      <c r="V1418" s="29">
        <v>45450.0</v>
      </c>
      <c r="W1418" s="30"/>
      <c r="X1418" s="30"/>
      <c r="Y1418" s="31"/>
      <c r="Z1418" s="31"/>
      <c r="AA1418" s="31" t="s">
        <v>3053</v>
      </c>
      <c r="AB1418" s="31" t="s">
        <v>5662</v>
      </c>
      <c r="AC1418" s="31"/>
    </row>
    <row r="1419" ht="16.5" customHeight="1">
      <c r="A1419" s="48" t="s">
        <v>5663</v>
      </c>
      <c r="B1419" s="53" t="s">
        <v>2138</v>
      </c>
      <c r="C1419" s="47">
        <v>0.0</v>
      </c>
      <c r="D1419" s="21" t="s">
        <v>5664</v>
      </c>
      <c r="E1419" s="55" t="s">
        <v>383</v>
      </c>
      <c r="F1419" s="32" t="s">
        <v>33</v>
      </c>
      <c r="G1419" s="90" t="s">
        <v>35</v>
      </c>
      <c r="H1419" s="112" t="s">
        <v>35</v>
      </c>
      <c r="I1419" s="66" t="s">
        <v>36</v>
      </c>
      <c r="J1419" s="34" t="s">
        <v>65</v>
      </c>
      <c r="K1419" s="57" t="s">
        <v>38</v>
      </c>
      <c r="L1419" s="25">
        <v>10943.0</v>
      </c>
      <c r="M1419" s="22" t="s">
        <v>40</v>
      </c>
      <c r="N1419" s="26" t="s">
        <v>5279</v>
      </c>
      <c r="O1419" s="28">
        <v>45454.64686354167</v>
      </c>
      <c r="P1419" s="26" t="s">
        <v>5665</v>
      </c>
      <c r="Q1419" s="12"/>
      <c r="R1419" s="30"/>
      <c r="S1419" s="60"/>
      <c r="T1419" s="29">
        <v>45435.0</v>
      </c>
      <c r="U1419" s="29">
        <v>45441.0</v>
      </c>
      <c r="V1419" s="29">
        <v>45453.0</v>
      </c>
      <c r="W1419" s="30"/>
      <c r="X1419" s="30"/>
      <c r="Y1419" s="31"/>
      <c r="Z1419" s="31"/>
      <c r="AA1419" s="31" t="s">
        <v>94</v>
      </c>
      <c r="AB1419" s="31" t="s">
        <v>5666</v>
      </c>
      <c r="AC1419" s="31"/>
    </row>
    <row r="1420" ht="16.5" customHeight="1">
      <c r="A1420" s="48" t="s">
        <v>5667</v>
      </c>
      <c r="B1420" s="53" t="s">
        <v>5668</v>
      </c>
      <c r="C1420" s="54">
        <v>27.0</v>
      </c>
      <c r="D1420" s="21" t="s">
        <v>5669</v>
      </c>
      <c r="E1420" s="55" t="s">
        <v>72</v>
      </c>
      <c r="F1420" s="32" t="s">
        <v>48</v>
      </c>
      <c r="G1420" s="32" t="s">
        <v>35</v>
      </c>
      <c r="H1420" s="23" t="s">
        <v>35</v>
      </c>
      <c r="I1420" s="56" t="s">
        <v>36</v>
      </c>
      <c r="J1420" s="34" t="s">
        <v>92</v>
      </c>
      <c r="K1420" s="57" t="s">
        <v>38</v>
      </c>
      <c r="L1420" s="64" t="s">
        <v>5670</v>
      </c>
      <c r="M1420" s="82"/>
      <c r="N1420" s="35" t="s">
        <v>5579</v>
      </c>
      <c r="O1420" s="28">
        <v>45436.0</v>
      </c>
      <c r="P1420" s="26" t="s">
        <v>5671</v>
      </c>
      <c r="Q1420" s="12"/>
      <c r="R1420" s="12"/>
      <c r="S1420" s="60"/>
      <c r="T1420" s="29">
        <v>45436.0</v>
      </c>
      <c r="U1420" s="29">
        <v>45436.0</v>
      </c>
      <c r="V1420" s="29">
        <v>45436.0</v>
      </c>
      <c r="W1420" s="30"/>
      <c r="X1420" s="30"/>
      <c r="Y1420" s="31"/>
      <c r="Z1420" s="31"/>
      <c r="AA1420" s="31" t="s">
        <v>120</v>
      </c>
      <c r="AB1420" s="31" t="s">
        <v>5672</v>
      </c>
      <c r="AC1420" s="31"/>
    </row>
    <row r="1421" ht="16.5" customHeight="1">
      <c r="A1421" s="48" t="s">
        <v>5673</v>
      </c>
      <c r="B1421" s="53" t="s">
        <v>5674</v>
      </c>
      <c r="C1421" s="47">
        <v>27.0</v>
      </c>
      <c r="D1421" s="39" t="s">
        <v>5675</v>
      </c>
      <c r="E1421" s="55" t="s">
        <v>72</v>
      </c>
      <c r="F1421" s="32" t="s">
        <v>48</v>
      </c>
      <c r="G1421" s="32" t="s">
        <v>35</v>
      </c>
      <c r="H1421" s="71" t="s">
        <v>35</v>
      </c>
      <c r="I1421" s="71" t="s">
        <v>36</v>
      </c>
      <c r="J1421" s="34" t="s">
        <v>65</v>
      </c>
      <c r="K1421" s="57" t="s">
        <v>38</v>
      </c>
      <c r="L1421" s="72">
        <v>10862.0</v>
      </c>
      <c r="M1421" s="22" t="s">
        <v>1703</v>
      </c>
      <c r="N1421" s="35" t="s">
        <v>1703</v>
      </c>
      <c r="O1421" s="34" t="s">
        <v>5676</v>
      </c>
      <c r="P1421" s="35" t="s">
        <v>5677</v>
      </c>
      <c r="Q1421" s="12"/>
      <c r="R1421" s="12"/>
      <c r="S1421" s="14" t="s">
        <v>5678</v>
      </c>
      <c r="T1421" s="71" t="s">
        <v>5676</v>
      </c>
      <c r="U1421" s="29"/>
      <c r="V1421" s="52">
        <v>45385.0</v>
      </c>
      <c r="W1421" s="30"/>
      <c r="X1421" s="30"/>
      <c r="Y1421" s="31"/>
      <c r="Z1421" s="31"/>
      <c r="AA1421" s="78" t="s">
        <v>94</v>
      </c>
      <c r="AB1421" s="74" t="s">
        <v>5679</v>
      </c>
      <c r="AC1421" s="74"/>
    </row>
    <row r="1422" ht="16.5" customHeight="1">
      <c r="A1422" s="48" t="s">
        <v>5680</v>
      </c>
      <c r="B1422" s="53" t="s">
        <v>5681</v>
      </c>
      <c r="C1422" s="54">
        <v>0.0</v>
      </c>
      <c r="D1422" s="21" t="s">
        <v>5682</v>
      </c>
      <c r="E1422" s="55" t="s">
        <v>3441</v>
      </c>
      <c r="F1422" s="32" t="s">
        <v>48</v>
      </c>
      <c r="G1422" s="32" t="s">
        <v>35</v>
      </c>
      <c r="H1422" s="23" t="s">
        <v>35</v>
      </c>
      <c r="I1422" s="66" t="s">
        <v>36</v>
      </c>
      <c r="J1422" s="34" t="s">
        <v>65</v>
      </c>
      <c r="K1422" s="57" t="s">
        <v>38</v>
      </c>
      <c r="L1422" s="25">
        <v>10858.0</v>
      </c>
      <c r="M1422" s="22" t="s">
        <v>50</v>
      </c>
      <c r="N1422" s="26" t="s">
        <v>5102</v>
      </c>
      <c r="O1422" s="28">
        <v>45440.49855011574</v>
      </c>
      <c r="P1422" s="26" t="s">
        <v>5683</v>
      </c>
      <c r="Q1422" s="12"/>
      <c r="R1422" s="12"/>
      <c r="S1422" s="60"/>
      <c r="T1422" s="29">
        <v>45436.0</v>
      </c>
      <c r="U1422" s="29">
        <v>45439.0</v>
      </c>
      <c r="V1422" s="29">
        <v>45439.43180723379</v>
      </c>
      <c r="W1422" s="30"/>
      <c r="X1422" s="30"/>
      <c r="Y1422" s="31"/>
      <c r="Z1422" s="31"/>
      <c r="AA1422" s="31" t="s">
        <v>94</v>
      </c>
      <c r="AB1422" s="31" t="s">
        <v>5684</v>
      </c>
      <c r="AC1422" s="31"/>
    </row>
    <row r="1423" ht="16.5" customHeight="1">
      <c r="A1423" s="48" t="s">
        <v>5685</v>
      </c>
      <c r="B1423" s="53" t="s">
        <v>5686</v>
      </c>
      <c r="C1423" s="54">
        <v>27.0</v>
      </c>
      <c r="D1423" s="21"/>
      <c r="E1423" s="55" t="s">
        <v>72</v>
      </c>
      <c r="F1423" s="32" t="s">
        <v>48</v>
      </c>
      <c r="G1423" s="32" t="s">
        <v>35</v>
      </c>
      <c r="H1423" s="23" t="s">
        <v>35</v>
      </c>
      <c r="I1423" s="71" t="s">
        <v>665</v>
      </c>
      <c r="J1423" s="34" t="s">
        <v>92</v>
      </c>
      <c r="K1423" s="57" t="s">
        <v>38</v>
      </c>
      <c r="L1423" s="25">
        <v>10890.0</v>
      </c>
      <c r="M1423" s="22" t="s">
        <v>50</v>
      </c>
      <c r="N1423" s="26" t="s">
        <v>5687</v>
      </c>
      <c r="O1423" s="28">
        <v>45464.72862628472</v>
      </c>
      <c r="P1423" s="35" t="s">
        <v>5688</v>
      </c>
      <c r="Q1423" s="12"/>
      <c r="R1423" s="12"/>
      <c r="S1423" s="60"/>
      <c r="T1423" s="29">
        <v>45439.0</v>
      </c>
      <c r="U1423" s="29">
        <v>45444.0</v>
      </c>
      <c r="V1423" s="29">
        <v>45454.42110466435</v>
      </c>
      <c r="W1423" s="30"/>
      <c r="X1423" s="30"/>
      <c r="Y1423" s="31"/>
      <c r="Z1423" s="31"/>
      <c r="AA1423" s="31"/>
      <c r="AB1423" s="31" t="s">
        <v>5689</v>
      </c>
      <c r="AC1423" s="31"/>
    </row>
    <row r="1424" ht="16.5" customHeight="1">
      <c r="A1424" s="48" t="s">
        <v>5690</v>
      </c>
      <c r="B1424" s="53" t="s">
        <v>4025</v>
      </c>
      <c r="C1424" s="54">
        <v>0.0</v>
      </c>
      <c r="D1424" s="21" t="s">
        <v>5691</v>
      </c>
      <c r="E1424" s="55" t="s">
        <v>3441</v>
      </c>
      <c r="F1424" s="32" t="s">
        <v>48</v>
      </c>
      <c r="G1424" s="32" t="s">
        <v>35</v>
      </c>
      <c r="H1424" s="23" t="s">
        <v>35</v>
      </c>
      <c r="I1424" s="66" t="s">
        <v>36</v>
      </c>
      <c r="J1424" s="34" t="s">
        <v>258</v>
      </c>
      <c r="K1424" s="57" t="s">
        <v>38</v>
      </c>
      <c r="L1424" s="25">
        <v>10873.0</v>
      </c>
      <c r="M1424" s="22" t="s">
        <v>50</v>
      </c>
      <c r="N1424" s="26" t="s">
        <v>4718</v>
      </c>
      <c r="O1424" s="28">
        <v>45441.64629841435</v>
      </c>
      <c r="P1424" s="26" t="s">
        <v>4032</v>
      </c>
      <c r="Q1424" s="12"/>
      <c r="R1424" s="12"/>
      <c r="S1424" s="60"/>
      <c r="T1424" s="29">
        <v>45439.0</v>
      </c>
      <c r="U1424" s="29">
        <v>45440.0</v>
      </c>
      <c r="V1424" s="29">
        <v>45441.42237824074</v>
      </c>
      <c r="W1424" s="30"/>
      <c r="X1424" s="30"/>
      <c r="Y1424" s="31"/>
      <c r="Z1424" s="31"/>
      <c r="AA1424" s="31" t="s">
        <v>120</v>
      </c>
      <c r="AB1424" s="31" t="s">
        <v>5692</v>
      </c>
      <c r="AC1424" s="31"/>
    </row>
    <row r="1425" ht="16.5" customHeight="1">
      <c r="A1425" s="48" t="s">
        <v>5693</v>
      </c>
      <c r="B1425" s="53" t="s">
        <v>4025</v>
      </c>
      <c r="C1425" s="54">
        <v>0.0</v>
      </c>
      <c r="D1425" s="21" t="s">
        <v>5694</v>
      </c>
      <c r="E1425" s="55" t="s">
        <v>3441</v>
      </c>
      <c r="F1425" s="32" t="s">
        <v>48</v>
      </c>
      <c r="G1425" s="32" t="s">
        <v>35</v>
      </c>
      <c r="H1425" s="23" t="s">
        <v>35</v>
      </c>
      <c r="I1425" s="66" t="s">
        <v>36</v>
      </c>
      <c r="J1425" s="34" t="s">
        <v>258</v>
      </c>
      <c r="K1425" s="57" t="s">
        <v>38</v>
      </c>
      <c r="L1425" s="25">
        <v>10874.0</v>
      </c>
      <c r="M1425" s="22" t="s">
        <v>50</v>
      </c>
      <c r="N1425" s="26" t="s">
        <v>4718</v>
      </c>
      <c r="O1425" s="28">
        <v>45441.646198807866</v>
      </c>
      <c r="P1425" s="26" t="s">
        <v>4194</v>
      </c>
      <c r="Q1425" s="12"/>
      <c r="R1425" s="12"/>
      <c r="S1425" s="60"/>
      <c r="T1425" s="29">
        <v>45439.0</v>
      </c>
      <c r="U1425" s="29">
        <v>45440.0</v>
      </c>
      <c r="V1425" s="29">
        <v>45441.42236498842</v>
      </c>
      <c r="W1425" s="30"/>
      <c r="X1425" s="30"/>
      <c r="Y1425" s="31"/>
      <c r="Z1425" s="31"/>
      <c r="AA1425" s="31" t="s">
        <v>120</v>
      </c>
      <c r="AB1425" s="31" t="s">
        <v>5695</v>
      </c>
      <c r="AC1425" s="31"/>
    </row>
    <row r="1426" ht="16.5" customHeight="1">
      <c r="A1426" s="48" t="s">
        <v>5696</v>
      </c>
      <c r="B1426" s="53" t="s">
        <v>1882</v>
      </c>
      <c r="C1426" s="54">
        <v>90.0</v>
      </c>
      <c r="D1426" s="70" t="s">
        <v>5697</v>
      </c>
      <c r="E1426" s="55" t="s">
        <v>91</v>
      </c>
      <c r="F1426" s="32" t="s">
        <v>48</v>
      </c>
      <c r="G1426" s="32" t="s">
        <v>35</v>
      </c>
      <c r="H1426" s="23" t="s">
        <v>35</v>
      </c>
      <c r="I1426" s="66" t="s">
        <v>36</v>
      </c>
      <c r="J1426" s="34" t="s">
        <v>65</v>
      </c>
      <c r="K1426" s="57" t="s">
        <v>38</v>
      </c>
      <c r="L1426" s="25">
        <v>10866.0</v>
      </c>
      <c r="M1426" s="22" t="s">
        <v>50</v>
      </c>
      <c r="N1426" s="26" t="s">
        <v>5102</v>
      </c>
      <c r="O1426" s="28">
        <v>45440.49860680556</v>
      </c>
      <c r="P1426" s="26" t="s">
        <v>5698</v>
      </c>
      <c r="Q1426" s="12"/>
      <c r="R1426" s="12"/>
      <c r="S1426" s="60"/>
      <c r="T1426" s="29">
        <v>45439.0</v>
      </c>
      <c r="U1426" s="29">
        <v>45439.0</v>
      </c>
      <c r="V1426" s="29">
        <v>45440.35844182871</v>
      </c>
      <c r="W1426" s="30"/>
      <c r="X1426" s="30"/>
      <c r="Y1426" s="31"/>
      <c r="Z1426" s="31"/>
      <c r="AA1426" s="31" t="s">
        <v>94</v>
      </c>
      <c r="AB1426" s="31" t="s">
        <v>5699</v>
      </c>
      <c r="AC1426" s="31"/>
    </row>
    <row r="1427" ht="16.5" customHeight="1">
      <c r="A1427" s="48" t="s">
        <v>5700</v>
      </c>
      <c r="B1427" s="53" t="s">
        <v>1882</v>
      </c>
      <c r="C1427" s="54">
        <v>1.0</v>
      </c>
      <c r="D1427" s="21" t="s">
        <v>5701</v>
      </c>
      <c r="E1427" s="55" t="s">
        <v>3395</v>
      </c>
      <c r="F1427" s="32" t="s">
        <v>48</v>
      </c>
      <c r="G1427" s="32" t="s">
        <v>35</v>
      </c>
      <c r="H1427" s="23" t="s">
        <v>35</v>
      </c>
      <c r="I1427" s="66" t="s">
        <v>36</v>
      </c>
      <c r="J1427" s="34" t="s">
        <v>65</v>
      </c>
      <c r="K1427" s="57" t="s">
        <v>38</v>
      </c>
      <c r="L1427" s="25">
        <v>10866.0</v>
      </c>
      <c r="M1427" s="22" t="s">
        <v>50</v>
      </c>
      <c r="N1427" s="26" t="s">
        <v>5102</v>
      </c>
      <c r="O1427" s="28">
        <v>45440.49867179398</v>
      </c>
      <c r="P1427" s="26" t="s">
        <v>5698</v>
      </c>
      <c r="Q1427" s="12"/>
      <c r="R1427" s="12"/>
      <c r="S1427" s="60"/>
      <c r="T1427" s="29">
        <v>45439.0</v>
      </c>
      <c r="U1427" s="29">
        <v>45439.0</v>
      </c>
      <c r="V1427" s="29">
        <v>45440.357937685185</v>
      </c>
      <c r="W1427" s="30"/>
      <c r="X1427" s="30"/>
      <c r="Y1427" s="31"/>
      <c r="Z1427" s="31"/>
      <c r="AA1427" s="31" t="s">
        <v>94</v>
      </c>
      <c r="AB1427" s="31" t="s">
        <v>5702</v>
      </c>
      <c r="AC1427" s="31"/>
    </row>
    <row r="1428" ht="16.5" customHeight="1">
      <c r="A1428" s="48" t="s">
        <v>5703</v>
      </c>
      <c r="B1428" s="53" t="s">
        <v>5704</v>
      </c>
      <c r="C1428" s="47">
        <v>0.0</v>
      </c>
      <c r="D1428" s="48" t="s">
        <v>5705</v>
      </c>
      <c r="E1428" s="55" t="s">
        <v>4792</v>
      </c>
      <c r="F1428" s="32" t="s">
        <v>244</v>
      </c>
      <c r="G1428" s="32" t="s">
        <v>35</v>
      </c>
      <c r="H1428" s="23" t="s">
        <v>35</v>
      </c>
      <c r="I1428" s="66" t="s">
        <v>36</v>
      </c>
      <c r="J1428" s="34" t="s">
        <v>65</v>
      </c>
      <c r="K1428" s="57" t="s">
        <v>38</v>
      </c>
      <c r="L1428" s="25">
        <v>11076.0</v>
      </c>
      <c r="M1428" s="22" t="s">
        <v>40</v>
      </c>
      <c r="N1428" s="26" t="s">
        <v>5706</v>
      </c>
      <c r="O1428" s="28">
        <v>45475.7103594213</v>
      </c>
      <c r="P1428" s="26" t="s">
        <v>5707</v>
      </c>
      <c r="Q1428" s="12"/>
      <c r="R1428" s="30"/>
      <c r="S1428" s="60"/>
      <c r="T1428" s="29">
        <v>45439.0</v>
      </c>
      <c r="U1428" s="29">
        <v>45475.7103594213</v>
      </c>
      <c r="V1428" s="29">
        <v>45468.0</v>
      </c>
      <c r="W1428" s="30"/>
      <c r="X1428" s="30"/>
      <c r="Y1428" s="31"/>
      <c r="Z1428" s="31"/>
      <c r="AA1428" s="31" t="s">
        <v>94</v>
      </c>
      <c r="AB1428" s="31" t="s">
        <v>5708</v>
      </c>
      <c r="AC1428" s="31"/>
    </row>
    <row r="1429" ht="16.5" customHeight="1">
      <c r="A1429" s="48" t="s">
        <v>5709</v>
      </c>
      <c r="B1429" s="53" t="s">
        <v>5710</v>
      </c>
      <c r="C1429" s="47">
        <v>27.0</v>
      </c>
      <c r="D1429" s="70" t="s">
        <v>5711</v>
      </c>
      <c r="E1429" s="55" t="s">
        <v>72</v>
      </c>
      <c r="F1429" s="32" t="s">
        <v>48</v>
      </c>
      <c r="G1429" s="32" t="s">
        <v>35</v>
      </c>
      <c r="H1429" s="71" t="s">
        <v>35</v>
      </c>
      <c r="I1429" s="71" t="s">
        <v>36</v>
      </c>
      <c r="J1429" s="34" t="s">
        <v>49</v>
      </c>
      <c r="K1429" s="57" t="s">
        <v>38</v>
      </c>
      <c r="L1429" s="72">
        <v>10884.0</v>
      </c>
      <c r="M1429" s="22"/>
      <c r="N1429" s="73"/>
      <c r="O1429" s="28">
        <v>45446.0</v>
      </c>
      <c r="P1429" s="35" t="s">
        <v>5712</v>
      </c>
      <c r="Q1429" s="12"/>
      <c r="R1429" s="12"/>
      <c r="S1429" s="12"/>
      <c r="T1429" s="52">
        <v>45446.0</v>
      </c>
      <c r="U1429" s="52">
        <v>45384.0</v>
      </c>
      <c r="V1429" s="52">
        <v>45385.0</v>
      </c>
      <c r="W1429" s="30"/>
      <c r="X1429" s="30"/>
      <c r="Y1429" s="31"/>
      <c r="Z1429" s="31"/>
      <c r="AA1429" s="78" t="s">
        <v>94</v>
      </c>
      <c r="AB1429" s="74" t="s">
        <v>5713</v>
      </c>
      <c r="AC1429" s="74"/>
    </row>
    <row r="1430" ht="16.5" customHeight="1">
      <c r="A1430" s="48" t="s">
        <v>5714</v>
      </c>
      <c r="B1430" s="53" t="s">
        <v>5715</v>
      </c>
      <c r="C1430" s="54">
        <v>11.0</v>
      </c>
      <c r="D1430" s="21" t="s">
        <v>5716</v>
      </c>
      <c r="E1430" s="55" t="s">
        <v>112</v>
      </c>
      <c r="F1430" s="32" t="s">
        <v>48</v>
      </c>
      <c r="G1430" s="32" t="s">
        <v>35</v>
      </c>
      <c r="H1430" s="23" t="s">
        <v>35</v>
      </c>
      <c r="I1430" s="66" t="s">
        <v>36</v>
      </c>
      <c r="J1430" s="34" t="s">
        <v>339</v>
      </c>
      <c r="K1430" s="57" t="s">
        <v>38</v>
      </c>
      <c r="L1430" s="64" t="s">
        <v>5717</v>
      </c>
      <c r="M1430" s="22" t="s">
        <v>50</v>
      </c>
      <c r="N1430" s="26" t="s">
        <v>4963</v>
      </c>
      <c r="O1430" s="28">
        <v>45441.66144452547</v>
      </c>
      <c r="P1430" s="26" t="s">
        <v>5718</v>
      </c>
      <c r="Q1430" s="12"/>
      <c r="R1430" s="12"/>
      <c r="S1430" s="60"/>
      <c r="T1430" s="29">
        <v>45440.0</v>
      </c>
      <c r="U1430" s="29">
        <v>45440.0</v>
      </c>
      <c r="V1430" s="29">
        <v>45441.44999255787</v>
      </c>
      <c r="W1430" s="30"/>
      <c r="X1430" s="30"/>
      <c r="Y1430" s="31"/>
      <c r="Z1430" s="31"/>
      <c r="AA1430" s="31" t="s">
        <v>3059</v>
      </c>
      <c r="AB1430" s="31" t="s">
        <v>5719</v>
      </c>
      <c r="AC1430" s="31"/>
    </row>
    <row r="1431" ht="16.5" customHeight="1">
      <c r="A1431" s="48" t="s">
        <v>5720</v>
      </c>
      <c r="B1431" s="53" t="s">
        <v>4455</v>
      </c>
      <c r="C1431" s="47">
        <v>27.0</v>
      </c>
      <c r="D1431" s="70" t="s">
        <v>5721</v>
      </c>
      <c r="E1431" s="55" t="s">
        <v>72</v>
      </c>
      <c r="F1431" s="32" t="s">
        <v>48</v>
      </c>
      <c r="G1431" s="32" t="s">
        <v>35</v>
      </c>
      <c r="H1431" s="71" t="s">
        <v>35</v>
      </c>
      <c r="I1431" s="71" t="s">
        <v>36</v>
      </c>
      <c r="J1431" s="34" t="s">
        <v>65</v>
      </c>
      <c r="K1431" s="57" t="s">
        <v>38</v>
      </c>
      <c r="L1431" s="72">
        <v>10868.0</v>
      </c>
      <c r="M1431" s="22"/>
      <c r="N1431" s="73"/>
      <c r="O1431" s="28">
        <v>45450.0</v>
      </c>
      <c r="P1431" s="35" t="s">
        <v>5722</v>
      </c>
      <c r="Q1431" s="12"/>
      <c r="R1431" s="12"/>
      <c r="S1431" s="12"/>
      <c r="T1431" s="52">
        <v>45440.0</v>
      </c>
      <c r="U1431" s="52">
        <v>45440.0</v>
      </c>
      <c r="V1431" s="52">
        <v>45450.0</v>
      </c>
      <c r="W1431" s="30"/>
      <c r="X1431" s="30"/>
      <c r="Y1431" s="31"/>
      <c r="Z1431" s="31"/>
      <c r="AA1431" s="78" t="s">
        <v>94</v>
      </c>
      <c r="AB1431" s="74" t="s">
        <v>5723</v>
      </c>
      <c r="AC1431" s="74"/>
    </row>
    <row r="1432" ht="16.5" customHeight="1">
      <c r="A1432" s="48" t="s">
        <v>5724</v>
      </c>
      <c r="B1432" s="53" t="s">
        <v>4455</v>
      </c>
      <c r="C1432" s="47">
        <v>27.0</v>
      </c>
      <c r="D1432" s="70" t="s">
        <v>5725</v>
      </c>
      <c r="E1432" s="55" t="s">
        <v>72</v>
      </c>
      <c r="F1432" s="32" t="s">
        <v>48</v>
      </c>
      <c r="G1432" s="32" t="s">
        <v>35</v>
      </c>
      <c r="H1432" s="71" t="s">
        <v>35</v>
      </c>
      <c r="I1432" s="71" t="s">
        <v>36</v>
      </c>
      <c r="J1432" s="34" t="s">
        <v>65</v>
      </c>
      <c r="K1432" s="57" t="s">
        <v>38</v>
      </c>
      <c r="L1432" s="72">
        <v>10868.0</v>
      </c>
      <c r="M1432" s="22"/>
      <c r="N1432" s="73"/>
      <c r="O1432" s="28">
        <v>45450.0</v>
      </c>
      <c r="P1432" s="35" t="s">
        <v>5726</v>
      </c>
      <c r="Q1432" s="12"/>
      <c r="R1432" s="12"/>
      <c r="S1432" s="12"/>
      <c r="T1432" s="52">
        <v>45440.0</v>
      </c>
      <c r="U1432" s="52">
        <v>45440.0</v>
      </c>
      <c r="V1432" s="52">
        <v>45450.0</v>
      </c>
      <c r="W1432" s="30"/>
      <c r="X1432" s="30"/>
      <c r="Y1432" s="31"/>
      <c r="Z1432" s="31"/>
      <c r="AA1432" s="78" t="s">
        <v>94</v>
      </c>
      <c r="AB1432" s="74" t="s">
        <v>5727</v>
      </c>
      <c r="AC1432" s="74"/>
    </row>
    <row r="1433" ht="16.5" customHeight="1">
      <c r="A1433" s="48" t="s">
        <v>5728</v>
      </c>
      <c r="B1433" s="53" t="s">
        <v>4455</v>
      </c>
      <c r="C1433" s="47">
        <v>27.0</v>
      </c>
      <c r="D1433" s="70" t="s">
        <v>5729</v>
      </c>
      <c r="E1433" s="55" t="s">
        <v>72</v>
      </c>
      <c r="F1433" s="32" t="s">
        <v>48</v>
      </c>
      <c r="G1433" s="32" t="s">
        <v>35</v>
      </c>
      <c r="H1433" s="71" t="s">
        <v>35</v>
      </c>
      <c r="I1433" s="71" t="s">
        <v>36</v>
      </c>
      <c r="J1433" s="34" t="s">
        <v>65</v>
      </c>
      <c r="K1433" s="57" t="s">
        <v>38</v>
      </c>
      <c r="L1433" s="72">
        <v>10868.0</v>
      </c>
      <c r="M1433" s="22"/>
      <c r="N1433" s="73"/>
      <c r="O1433" s="28">
        <v>45450.0</v>
      </c>
      <c r="P1433" s="35" t="s">
        <v>5730</v>
      </c>
      <c r="Q1433" s="12"/>
      <c r="R1433" s="12"/>
      <c r="S1433" s="12"/>
      <c r="T1433" s="52">
        <v>45440.0</v>
      </c>
      <c r="U1433" s="52">
        <v>45440.0</v>
      </c>
      <c r="V1433" s="52">
        <v>45450.0</v>
      </c>
      <c r="W1433" s="30"/>
      <c r="X1433" s="30"/>
      <c r="Y1433" s="31"/>
      <c r="Z1433" s="31"/>
      <c r="AA1433" s="78" t="s">
        <v>94</v>
      </c>
      <c r="AB1433" s="74" t="s">
        <v>5731</v>
      </c>
      <c r="AC1433" s="74"/>
    </row>
    <row r="1434" ht="16.5" customHeight="1">
      <c r="A1434" s="48" t="s">
        <v>5732</v>
      </c>
      <c r="B1434" s="53" t="s">
        <v>4455</v>
      </c>
      <c r="C1434" s="47">
        <v>27.0</v>
      </c>
      <c r="D1434" s="70" t="s">
        <v>5733</v>
      </c>
      <c r="E1434" s="55" t="s">
        <v>72</v>
      </c>
      <c r="F1434" s="32" t="s">
        <v>48</v>
      </c>
      <c r="G1434" s="32" t="s">
        <v>35</v>
      </c>
      <c r="H1434" s="71" t="s">
        <v>35</v>
      </c>
      <c r="I1434" s="71" t="s">
        <v>36</v>
      </c>
      <c r="J1434" s="34" t="s">
        <v>65</v>
      </c>
      <c r="K1434" s="57" t="s">
        <v>38</v>
      </c>
      <c r="L1434" s="72">
        <v>10868.0</v>
      </c>
      <c r="M1434" s="22"/>
      <c r="N1434" s="73"/>
      <c r="O1434" s="28">
        <v>45450.0</v>
      </c>
      <c r="P1434" s="35" t="s">
        <v>5734</v>
      </c>
      <c r="Q1434" s="12"/>
      <c r="R1434" s="12"/>
      <c r="S1434" s="12"/>
      <c r="T1434" s="52">
        <v>45440.0</v>
      </c>
      <c r="U1434" s="52">
        <v>45440.0</v>
      </c>
      <c r="V1434" s="52">
        <v>45450.0</v>
      </c>
      <c r="W1434" s="30"/>
      <c r="X1434" s="30"/>
      <c r="Y1434" s="31"/>
      <c r="Z1434" s="31"/>
      <c r="AA1434" s="78" t="s">
        <v>94</v>
      </c>
      <c r="AB1434" s="74" t="s">
        <v>5735</v>
      </c>
      <c r="AC1434" s="74"/>
    </row>
    <row r="1435" ht="16.5" customHeight="1">
      <c r="A1435" s="48" t="s">
        <v>5736</v>
      </c>
      <c r="B1435" s="53" t="s">
        <v>5737</v>
      </c>
      <c r="C1435" s="54">
        <v>11.0</v>
      </c>
      <c r="D1435" s="21" t="s">
        <v>5738</v>
      </c>
      <c r="E1435" s="55" t="s">
        <v>112</v>
      </c>
      <c r="F1435" s="32" t="s">
        <v>48</v>
      </c>
      <c r="G1435" s="32" t="s">
        <v>35</v>
      </c>
      <c r="H1435" s="23" t="s">
        <v>35</v>
      </c>
      <c r="I1435" s="66" t="s">
        <v>36</v>
      </c>
      <c r="J1435" s="34" t="s">
        <v>65</v>
      </c>
      <c r="K1435" s="57" t="s">
        <v>38</v>
      </c>
      <c r="L1435" s="25">
        <v>10875.0</v>
      </c>
      <c r="M1435" s="22" t="s">
        <v>50</v>
      </c>
      <c r="N1435" s="26" t="s">
        <v>5279</v>
      </c>
      <c r="O1435" s="28">
        <v>45446.61243814815</v>
      </c>
      <c r="P1435" s="26" t="s">
        <v>5739</v>
      </c>
      <c r="Q1435" s="12"/>
      <c r="R1435" s="12"/>
      <c r="S1435" s="60"/>
      <c r="T1435" s="29">
        <v>45440.0</v>
      </c>
      <c r="U1435" s="29">
        <v>45441.0</v>
      </c>
      <c r="V1435" s="29">
        <v>45441.45000318287</v>
      </c>
      <c r="W1435" s="30"/>
      <c r="X1435" s="30"/>
      <c r="Y1435" s="31"/>
      <c r="Z1435" s="31"/>
      <c r="AA1435" s="31" t="s">
        <v>94</v>
      </c>
      <c r="AB1435" s="31" t="s">
        <v>5740</v>
      </c>
      <c r="AC1435" s="31"/>
    </row>
    <row r="1436" ht="16.5" customHeight="1">
      <c r="A1436" s="48" t="s">
        <v>5741</v>
      </c>
      <c r="B1436" s="53" t="s">
        <v>5737</v>
      </c>
      <c r="C1436" s="54">
        <v>90.0</v>
      </c>
      <c r="D1436" s="70" t="s">
        <v>5742</v>
      </c>
      <c r="E1436" s="55" t="s">
        <v>91</v>
      </c>
      <c r="F1436" s="32" t="s">
        <v>48</v>
      </c>
      <c r="G1436" s="32" t="s">
        <v>35</v>
      </c>
      <c r="H1436" s="23" t="s">
        <v>35</v>
      </c>
      <c r="I1436" s="66" t="s">
        <v>36</v>
      </c>
      <c r="J1436" s="34" t="s">
        <v>65</v>
      </c>
      <c r="K1436" s="57" t="s">
        <v>38</v>
      </c>
      <c r="L1436" s="25">
        <v>10875.0</v>
      </c>
      <c r="M1436" s="22" t="s">
        <v>50</v>
      </c>
      <c r="N1436" s="26" t="s">
        <v>5279</v>
      </c>
      <c r="O1436" s="28">
        <v>45446.61251111111</v>
      </c>
      <c r="P1436" s="26" t="s">
        <v>5739</v>
      </c>
      <c r="Q1436" s="12"/>
      <c r="R1436" s="12"/>
      <c r="S1436" s="60"/>
      <c r="T1436" s="29">
        <v>45440.0</v>
      </c>
      <c r="U1436" s="29">
        <v>45441.0</v>
      </c>
      <c r="V1436" s="29">
        <v>45441.43916324074</v>
      </c>
      <c r="W1436" s="30"/>
      <c r="X1436" s="30"/>
      <c r="Y1436" s="31"/>
      <c r="Z1436" s="31"/>
      <c r="AA1436" s="31" t="s">
        <v>94</v>
      </c>
      <c r="AB1436" s="31" t="s">
        <v>5743</v>
      </c>
      <c r="AC1436" s="31"/>
    </row>
    <row r="1437" ht="16.5" customHeight="1">
      <c r="A1437" s="48" t="s">
        <v>5744</v>
      </c>
      <c r="B1437" s="53" t="s">
        <v>5745</v>
      </c>
      <c r="C1437" s="47">
        <v>0.0</v>
      </c>
      <c r="D1437" s="21" t="s">
        <v>5746</v>
      </c>
      <c r="E1437" s="55" t="s">
        <v>3834</v>
      </c>
      <c r="F1437" s="32" t="s">
        <v>33</v>
      </c>
      <c r="G1437" s="32" t="s">
        <v>34</v>
      </c>
      <c r="H1437" s="23" t="s">
        <v>35</v>
      </c>
      <c r="I1437" s="66" t="s">
        <v>36</v>
      </c>
      <c r="J1437" s="34" t="s">
        <v>49</v>
      </c>
      <c r="K1437" s="57" t="s">
        <v>38</v>
      </c>
      <c r="L1437" s="25">
        <v>10932.0</v>
      </c>
      <c r="M1437" s="22" t="s">
        <v>40</v>
      </c>
      <c r="N1437" s="26" t="s">
        <v>4183</v>
      </c>
      <c r="O1437" s="28">
        <v>45454.305160578704</v>
      </c>
      <c r="P1437" s="26" t="s">
        <v>5747</v>
      </c>
      <c r="Q1437" s="12"/>
      <c r="R1437" s="30"/>
      <c r="S1437" s="60"/>
      <c r="T1437" s="29">
        <v>45440.0</v>
      </c>
      <c r="U1437" s="29">
        <v>45441.0</v>
      </c>
      <c r="V1437" s="29">
        <v>45453.0</v>
      </c>
      <c r="W1437" s="30"/>
      <c r="X1437" s="30"/>
      <c r="Y1437" s="31"/>
      <c r="Z1437" s="31"/>
      <c r="AA1437" s="31" t="s">
        <v>127</v>
      </c>
      <c r="AB1437" s="31" t="s">
        <v>5748</v>
      </c>
      <c r="AC1437" s="31"/>
    </row>
    <row r="1438" ht="16.5" customHeight="1">
      <c r="A1438" s="48" t="s">
        <v>5749</v>
      </c>
      <c r="B1438" s="53" t="s">
        <v>5750</v>
      </c>
      <c r="C1438" s="54">
        <v>1.0</v>
      </c>
      <c r="D1438" s="21" t="s">
        <v>5751</v>
      </c>
      <c r="E1438" s="55" t="s">
        <v>3395</v>
      </c>
      <c r="F1438" s="32" t="s">
        <v>48</v>
      </c>
      <c r="G1438" s="32" t="s">
        <v>35</v>
      </c>
      <c r="H1438" s="23" t="s">
        <v>35</v>
      </c>
      <c r="I1438" s="66" t="s">
        <v>36</v>
      </c>
      <c r="J1438" s="34" t="s">
        <v>49</v>
      </c>
      <c r="K1438" s="57" t="s">
        <v>38</v>
      </c>
      <c r="L1438" s="64" t="s">
        <v>5752</v>
      </c>
      <c r="M1438" s="22"/>
      <c r="N1438" s="116" t="s">
        <v>5753</v>
      </c>
      <c r="O1438" s="28">
        <v>45441.668219259256</v>
      </c>
      <c r="P1438" s="26" t="s">
        <v>5754</v>
      </c>
      <c r="Q1438" s="12"/>
      <c r="R1438" s="12"/>
      <c r="S1438" s="60"/>
      <c r="T1438" s="29">
        <v>45440.0</v>
      </c>
      <c r="U1438" s="29">
        <v>45441.0</v>
      </c>
      <c r="V1438" s="29">
        <v>45441.595271342594</v>
      </c>
      <c r="W1438" s="30"/>
      <c r="X1438" s="30"/>
      <c r="Y1438" s="31"/>
      <c r="Z1438" s="31"/>
      <c r="AA1438" s="31" t="s">
        <v>94</v>
      </c>
      <c r="AB1438" s="31" t="s">
        <v>5755</v>
      </c>
      <c r="AC1438" s="31"/>
    </row>
    <row r="1439" ht="16.5" customHeight="1">
      <c r="A1439" s="48" t="s">
        <v>5756</v>
      </c>
      <c r="B1439" s="53" t="s">
        <v>5750</v>
      </c>
      <c r="C1439" s="54">
        <v>1.0</v>
      </c>
      <c r="D1439" s="21" t="s">
        <v>5757</v>
      </c>
      <c r="E1439" s="55" t="s">
        <v>3395</v>
      </c>
      <c r="F1439" s="32" t="s">
        <v>48</v>
      </c>
      <c r="G1439" s="32" t="s">
        <v>35</v>
      </c>
      <c r="H1439" s="23" t="s">
        <v>35</v>
      </c>
      <c r="I1439" s="66" t="s">
        <v>36</v>
      </c>
      <c r="J1439" s="34" t="s">
        <v>49</v>
      </c>
      <c r="K1439" s="57" t="s">
        <v>38</v>
      </c>
      <c r="L1439" s="64" t="s">
        <v>5752</v>
      </c>
      <c r="M1439" s="22"/>
      <c r="N1439" s="116" t="s">
        <v>5753</v>
      </c>
      <c r="O1439" s="28">
        <v>45441.668219259256</v>
      </c>
      <c r="P1439" s="26" t="s">
        <v>5754</v>
      </c>
      <c r="Q1439" s="12"/>
      <c r="R1439" s="12"/>
      <c r="S1439" s="60"/>
      <c r="T1439" s="29">
        <v>45440.0</v>
      </c>
      <c r="U1439" s="29">
        <v>45441.0</v>
      </c>
      <c r="V1439" s="29">
        <v>45441.5952787037</v>
      </c>
      <c r="W1439" s="30"/>
      <c r="X1439" s="30"/>
      <c r="Y1439" s="31"/>
      <c r="Z1439" s="31"/>
      <c r="AA1439" s="31" t="s">
        <v>94</v>
      </c>
      <c r="AB1439" s="31" t="s">
        <v>5758</v>
      </c>
      <c r="AC1439" s="31"/>
    </row>
    <row r="1440" ht="16.5" customHeight="1">
      <c r="A1440" s="48" t="s">
        <v>5759</v>
      </c>
      <c r="B1440" s="53" t="s">
        <v>5750</v>
      </c>
      <c r="C1440" s="54">
        <v>0.0</v>
      </c>
      <c r="D1440" s="21" t="s">
        <v>5760</v>
      </c>
      <c r="E1440" s="55" t="s">
        <v>3441</v>
      </c>
      <c r="F1440" s="32" t="s">
        <v>48</v>
      </c>
      <c r="G1440" s="32" t="s">
        <v>35</v>
      </c>
      <c r="H1440" s="23" t="s">
        <v>35</v>
      </c>
      <c r="I1440" s="66" t="s">
        <v>36</v>
      </c>
      <c r="J1440" s="34" t="s">
        <v>49</v>
      </c>
      <c r="K1440" s="57" t="s">
        <v>38</v>
      </c>
      <c r="L1440" s="64" t="s">
        <v>5752</v>
      </c>
      <c r="M1440" s="22"/>
      <c r="N1440" s="116" t="s">
        <v>5753</v>
      </c>
      <c r="O1440" s="28">
        <v>45441.668219259256</v>
      </c>
      <c r="P1440" s="26" t="s">
        <v>5754</v>
      </c>
      <c r="Q1440" s="12"/>
      <c r="R1440" s="12"/>
      <c r="S1440" s="60"/>
      <c r="T1440" s="29">
        <v>45440.0</v>
      </c>
      <c r="U1440" s="29">
        <v>45441.0</v>
      </c>
      <c r="V1440" s="29">
        <v>45441.6128480787</v>
      </c>
      <c r="W1440" s="30"/>
      <c r="X1440" s="30"/>
      <c r="Y1440" s="31"/>
      <c r="Z1440" s="31"/>
      <c r="AA1440" s="31" t="s">
        <v>94</v>
      </c>
      <c r="AB1440" s="31" t="s">
        <v>5761</v>
      </c>
      <c r="AC1440" s="31"/>
    </row>
    <row r="1441" ht="16.5" customHeight="1">
      <c r="A1441" s="48" t="s">
        <v>5762</v>
      </c>
      <c r="B1441" s="53" t="s">
        <v>5750</v>
      </c>
      <c r="C1441" s="54">
        <v>0.0</v>
      </c>
      <c r="D1441" s="21" t="s">
        <v>5763</v>
      </c>
      <c r="E1441" s="55" t="s">
        <v>3441</v>
      </c>
      <c r="F1441" s="32" t="s">
        <v>48</v>
      </c>
      <c r="G1441" s="32" t="s">
        <v>35</v>
      </c>
      <c r="H1441" s="23" t="s">
        <v>35</v>
      </c>
      <c r="I1441" s="66" t="s">
        <v>36</v>
      </c>
      <c r="J1441" s="34" t="s">
        <v>49</v>
      </c>
      <c r="K1441" s="57" t="s">
        <v>38</v>
      </c>
      <c r="L1441" s="64" t="s">
        <v>5752</v>
      </c>
      <c r="M1441" s="22"/>
      <c r="N1441" s="116" t="s">
        <v>5753</v>
      </c>
      <c r="O1441" s="28">
        <v>45441.668219259256</v>
      </c>
      <c r="P1441" s="26" t="s">
        <v>5754</v>
      </c>
      <c r="Q1441" s="12"/>
      <c r="R1441" s="12"/>
      <c r="S1441" s="60"/>
      <c r="T1441" s="29">
        <v>45440.0</v>
      </c>
      <c r="U1441" s="29">
        <v>45441.0</v>
      </c>
      <c r="V1441" s="29">
        <v>45441.61285462963</v>
      </c>
      <c r="W1441" s="30"/>
      <c r="X1441" s="30"/>
      <c r="Y1441" s="31"/>
      <c r="Z1441" s="31"/>
      <c r="AA1441" s="31" t="s">
        <v>94</v>
      </c>
      <c r="AB1441" s="31" t="s">
        <v>5764</v>
      </c>
      <c r="AC1441" s="31"/>
    </row>
    <row r="1442" ht="16.5" customHeight="1">
      <c r="A1442" s="48" t="s">
        <v>5765</v>
      </c>
      <c r="B1442" s="53" t="s">
        <v>5750</v>
      </c>
      <c r="C1442" s="54">
        <v>0.0</v>
      </c>
      <c r="D1442" s="21" t="s">
        <v>5766</v>
      </c>
      <c r="E1442" s="55" t="s">
        <v>3441</v>
      </c>
      <c r="F1442" s="32" t="s">
        <v>48</v>
      </c>
      <c r="G1442" s="32" t="s">
        <v>35</v>
      </c>
      <c r="H1442" s="23" t="s">
        <v>35</v>
      </c>
      <c r="I1442" s="66" t="s">
        <v>36</v>
      </c>
      <c r="J1442" s="34" t="s">
        <v>49</v>
      </c>
      <c r="K1442" s="57" t="s">
        <v>38</v>
      </c>
      <c r="L1442" s="64" t="s">
        <v>5752</v>
      </c>
      <c r="M1442" s="22"/>
      <c r="N1442" s="116" t="s">
        <v>5753</v>
      </c>
      <c r="O1442" s="28">
        <v>45441.668219259256</v>
      </c>
      <c r="P1442" s="26" t="s">
        <v>5754</v>
      </c>
      <c r="Q1442" s="12"/>
      <c r="R1442" s="12"/>
      <c r="S1442" s="60"/>
      <c r="T1442" s="29">
        <v>45440.0</v>
      </c>
      <c r="U1442" s="29">
        <v>45441.0</v>
      </c>
      <c r="V1442" s="29">
        <v>45441.6128594676</v>
      </c>
      <c r="W1442" s="30"/>
      <c r="X1442" s="30"/>
      <c r="Y1442" s="31"/>
      <c r="Z1442" s="31"/>
      <c r="AA1442" s="31" t="s">
        <v>94</v>
      </c>
      <c r="AB1442" s="31" t="s">
        <v>5767</v>
      </c>
      <c r="AC1442" s="31"/>
    </row>
    <row r="1443" ht="16.5" customHeight="1">
      <c r="A1443" s="48" t="s">
        <v>5768</v>
      </c>
      <c r="B1443" s="53" t="s">
        <v>5750</v>
      </c>
      <c r="C1443" s="54">
        <v>0.0</v>
      </c>
      <c r="D1443" s="21" t="s">
        <v>5769</v>
      </c>
      <c r="E1443" s="55" t="s">
        <v>3441</v>
      </c>
      <c r="F1443" s="32" t="s">
        <v>48</v>
      </c>
      <c r="G1443" s="32" t="s">
        <v>35</v>
      </c>
      <c r="H1443" s="23" t="s">
        <v>35</v>
      </c>
      <c r="I1443" s="66" t="s">
        <v>36</v>
      </c>
      <c r="J1443" s="34" t="s">
        <v>49</v>
      </c>
      <c r="K1443" s="57" t="s">
        <v>38</v>
      </c>
      <c r="L1443" s="64" t="s">
        <v>5752</v>
      </c>
      <c r="M1443" s="22"/>
      <c r="N1443" s="116" t="s">
        <v>5753</v>
      </c>
      <c r="O1443" s="28">
        <v>45441.668219259256</v>
      </c>
      <c r="P1443" s="26" t="s">
        <v>5754</v>
      </c>
      <c r="Q1443" s="12"/>
      <c r="R1443" s="12"/>
      <c r="S1443" s="60"/>
      <c r="T1443" s="29">
        <v>45440.0</v>
      </c>
      <c r="U1443" s="29">
        <v>45441.0</v>
      </c>
      <c r="V1443" s="29">
        <v>45441.61286299769</v>
      </c>
      <c r="W1443" s="30"/>
      <c r="X1443" s="30"/>
      <c r="Y1443" s="31"/>
      <c r="Z1443" s="31"/>
      <c r="AA1443" s="31" t="s">
        <v>94</v>
      </c>
      <c r="AB1443" s="31" t="s">
        <v>5770</v>
      </c>
      <c r="AC1443" s="31"/>
    </row>
    <row r="1444" ht="16.5" customHeight="1">
      <c r="A1444" s="48" t="s">
        <v>5771</v>
      </c>
      <c r="B1444" s="53" t="s">
        <v>5750</v>
      </c>
      <c r="C1444" s="54">
        <v>0.0</v>
      </c>
      <c r="D1444" s="21" t="s">
        <v>5772</v>
      </c>
      <c r="E1444" s="55" t="s">
        <v>3441</v>
      </c>
      <c r="F1444" s="32" t="s">
        <v>48</v>
      </c>
      <c r="G1444" s="32" t="s">
        <v>35</v>
      </c>
      <c r="H1444" s="23" t="s">
        <v>35</v>
      </c>
      <c r="I1444" s="66" t="s">
        <v>36</v>
      </c>
      <c r="J1444" s="34" t="s">
        <v>49</v>
      </c>
      <c r="K1444" s="57" t="s">
        <v>38</v>
      </c>
      <c r="L1444" s="64" t="s">
        <v>5752</v>
      </c>
      <c r="M1444" s="22"/>
      <c r="N1444" s="116" t="s">
        <v>5753</v>
      </c>
      <c r="O1444" s="28">
        <v>45441.668219259256</v>
      </c>
      <c r="P1444" s="26" t="s">
        <v>5754</v>
      </c>
      <c r="Q1444" s="12"/>
      <c r="R1444" s="12"/>
      <c r="S1444" s="60"/>
      <c r="T1444" s="29">
        <v>45440.0</v>
      </c>
      <c r="U1444" s="29">
        <v>45441.0</v>
      </c>
      <c r="V1444" s="29">
        <v>45441.61286679398</v>
      </c>
      <c r="W1444" s="30"/>
      <c r="X1444" s="30"/>
      <c r="Y1444" s="31"/>
      <c r="Z1444" s="31"/>
      <c r="AA1444" s="31" t="s">
        <v>94</v>
      </c>
      <c r="AB1444" s="31" t="s">
        <v>5773</v>
      </c>
      <c r="AC1444" s="31"/>
    </row>
    <row r="1445" ht="16.5" customHeight="1">
      <c r="A1445" s="48" t="s">
        <v>5774</v>
      </c>
      <c r="B1445" s="53" t="s">
        <v>5750</v>
      </c>
      <c r="C1445" s="54">
        <v>0.0</v>
      </c>
      <c r="D1445" s="21" t="s">
        <v>5775</v>
      </c>
      <c r="E1445" s="55" t="s">
        <v>3441</v>
      </c>
      <c r="F1445" s="32" t="s">
        <v>48</v>
      </c>
      <c r="G1445" s="32" t="s">
        <v>35</v>
      </c>
      <c r="H1445" s="23" t="s">
        <v>35</v>
      </c>
      <c r="I1445" s="66" t="s">
        <v>36</v>
      </c>
      <c r="J1445" s="34" t="s">
        <v>49</v>
      </c>
      <c r="K1445" s="57" t="s">
        <v>38</v>
      </c>
      <c r="L1445" s="64" t="s">
        <v>5752</v>
      </c>
      <c r="M1445" s="22"/>
      <c r="N1445" s="116" t="s">
        <v>5753</v>
      </c>
      <c r="O1445" s="28">
        <v>45441.668219259256</v>
      </c>
      <c r="P1445" s="26" t="s">
        <v>5754</v>
      </c>
      <c r="Q1445" s="12"/>
      <c r="R1445" s="12"/>
      <c r="S1445" s="60"/>
      <c r="T1445" s="29">
        <v>45440.0</v>
      </c>
      <c r="U1445" s="29">
        <v>45441.0</v>
      </c>
      <c r="V1445" s="29">
        <v>45441.612871562495</v>
      </c>
      <c r="W1445" s="30"/>
      <c r="X1445" s="30"/>
      <c r="Y1445" s="31"/>
      <c r="Z1445" s="31"/>
      <c r="AA1445" s="31" t="s">
        <v>94</v>
      </c>
      <c r="AB1445" s="31" t="s">
        <v>5776</v>
      </c>
      <c r="AC1445" s="31"/>
    </row>
    <row r="1446" ht="16.5" customHeight="1">
      <c r="A1446" s="48" t="s">
        <v>5777</v>
      </c>
      <c r="B1446" s="53" t="s">
        <v>5750</v>
      </c>
      <c r="C1446" s="54">
        <v>0.0</v>
      </c>
      <c r="D1446" s="21" t="s">
        <v>5778</v>
      </c>
      <c r="E1446" s="55" t="s">
        <v>3441</v>
      </c>
      <c r="F1446" s="32" t="s">
        <v>48</v>
      </c>
      <c r="G1446" s="32" t="s">
        <v>35</v>
      </c>
      <c r="H1446" s="23" t="s">
        <v>35</v>
      </c>
      <c r="I1446" s="66" t="s">
        <v>36</v>
      </c>
      <c r="J1446" s="34" t="s">
        <v>49</v>
      </c>
      <c r="K1446" s="57" t="s">
        <v>38</v>
      </c>
      <c r="L1446" s="64" t="s">
        <v>5752</v>
      </c>
      <c r="M1446" s="22"/>
      <c r="N1446" s="116" t="s">
        <v>5753</v>
      </c>
      <c r="O1446" s="28">
        <v>45441.668219259256</v>
      </c>
      <c r="P1446" s="26" t="s">
        <v>5754</v>
      </c>
      <c r="Q1446" s="12"/>
      <c r="R1446" s="12"/>
      <c r="S1446" s="60"/>
      <c r="T1446" s="29">
        <v>45440.0</v>
      </c>
      <c r="U1446" s="29">
        <v>45441.0</v>
      </c>
      <c r="V1446" s="29">
        <v>45441.612876597224</v>
      </c>
      <c r="W1446" s="30"/>
      <c r="X1446" s="30"/>
      <c r="Y1446" s="31"/>
      <c r="Z1446" s="31"/>
      <c r="AA1446" s="31" t="s">
        <v>94</v>
      </c>
      <c r="AB1446" s="31" t="s">
        <v>5779</v>
      </c>
      <c r="AC1446" s="31"/>
    </row>
    <row r="1447" ht="16.5" customHeight="1">
      <c r="A1447" s="48" t="s">
        <v>5780</v>
      </c>
      <c r="B1447" s="53" t="s">
        <v>5750</v>
      </c>
      <c r="C1447" s="54">
        <v>27.0</v>
      </c>
      <c r="D1447" s="21" t="s">
        <v>5781</v>
      </c>
      <c r="E1447" s="55" t="s">
        <v>72</v>
      </c>
      <c r="F1447" s="32" t="s">
        <v>48</v>
      </c>
      <c r="G1447" s="32" t="s">
        <v>35</v>
      </c>
      <c r="H1447" s="23" t="s">
        <v>35</v>
      </c>
      <c r="I1447" s="66" t="s">
        <v>36</v>
      </c>
      <c r="J1447" s="34" t="s">
        <v>49</v>
      </c>
      <c r="K1447" s="57" t="s">
        <v>38</v>
      </c>
      <c r="L1447" s="64" t="s">
        <v>5752</v>
      </c>
      <c r="M1447" s="22"/>
      <c r="N1447" s="116" t="s">
        <v>5753</v>
      </c>
      <c r="O1447" s="28">
        <v>45441.668219259256</v>
      </c>
      <c r="P1447" s="26" t="s">
        <v>5754</v>
      </c>
      <c r="Q1447" s="12"/>
      <c r="R1447" s="12"/>
      <c r="S1447" s="60"/>
      <c r="T1447" s="29">
        <v>45440.0</v>
      </c>
      <c r="U1447" s="29">
        <v>45441.0</v>
      </c>
      <c r="V1447" s="29">
        <v>45441.655961805554</v>
      </c>
      <c r="W1447" s="30"/>
      <c r="X1447" s="30"/>
      <c r="Y1447" s="31"/>
      <c r="Z1447" s="31"/>
      <c r="AA1447" s="31" t="s">
        <v>94</v>
      </c>
      <c r="AB1447" s="31" t="s">
        <v>5782</v>
      </c>
      <c r="AC1447" s="31"/>
    </row>
    <row r="1448" ht="16.5" customHeight="1">
      <c r="A1448" s="48" t="s">
        <v>5783</v>
      </c>
      <c r="B1448" s="53" t="s">
        <v>5750</v>
      </c>
      <c r="C1448" s="54">
        <v>27.0</v>
      </c>
      <c r="D1448" s="21" t="s">
        <v>5784</v>
      </c>
      <c r="E1448" s="55" t="s">
        <v>72</v>
      </c>
      <c r="F1448" s="32" t="s">
        <v>48</v>
      </c>
      <c r="G1448" s="32" t="s">
        <v>35</v>
      </c>
      <c r="H1448" s="23" t="s">
        <v>35</v>
      </c>
      <c r="I1448" s="66" t="s">
        <v>36</v>
      </c>
      <c r="J1448" s="34" t="s">
        <v>49</v>
      </c>
      <c r="K1448" s="57" t="s">
        <v>38</v>
      </c>
      <c r="L1448" s="64" t="s">
        <v>5752</v>
      </c>
      <c r="M1448" s="22"/>
      <c r="N1448" s="116" t="s">
        <v>5753</v>
      </c>
      <c r="O1448" s="28">
        <v>45441.668219259256</v>
      </c>
      <c r="P1448" s="26" t="s">
        <v>5754</v>
      </c>
      <c r="Q1448" s="12"/>
      <c r="R1448" s="12"/>
      <c r="S1448" s="60"/>
      <c r="T1448" s="29">
        <v>45440.0</v>
      </c>
      <c r="U1448" s="29">
        <v>45441.0</v>
      </c>
      <c r="V1448" s="29">
        <v>45441.65596703703</v>
      </c>
      <c r="W1448" s="30"/>
      <c r="X1448" s="30"/>
      <c r="Y1448" s="31"/>
      <c r="Z1448" s="31"/>
      <c r="AA1448" s="31" t="s">
        <v>94</v>
      </c>
      <c r="AB1448" s="31" t="s">
        <v>5785</v>
      </c>
      <c r="AC1448" s="31"/>
    </row>
    <row r="1449" ht="16.5" customHeight="1">
      <c r="A1449" s="48" t="s">
        <v>5786</v>
      </c>
      <c r="B1449" s="53" t="s">
        <v>5750</v>
      </c>
      <c r="C1449" s="54">
        <v>27.0</v>
      </c>
      <c r="D1449" s="21" t="s">
        <v>5787</v>
      </c>
      <c r="E1449" s="55" t="s">
        <v>72</v>
      </c>
      <c r="F1449" s="32" t="s">
        <v>48</v>
      </c>
      <c r="G1449" s="32" t="s">
        <v>35</v>
      </c>
      <c r="H1449" s="23" t="s">
        <v>35</v>
      </c>
      <c r="I1449" s="66" t="s">
        <v>36</v>
      </c>
      <c r="J1449" s="34" t="s">
        <v>49</v>
      </c>
      <c r="K1449" s="57" t="s">
        <v>38</v>
      </c>
      <c r="L1449" s="64" t="s">
        <v>5752</v>
      </c>
      <c r="M1449" s="22"/>
      <c r="N1449" s="116" t="s">
        <v>5753</v>
      </c>
      <c r="O1449" s="28">
        <v>45441.668219259256</v>
      </c>
      <c r="P1449" s="26" t="s">
        <v>5754</v>
      </c>
      <c r="Q1449" s="12"/>
      <c r="R1449" s="12"/>
      <c r="S1449" s="60"/>
      <c r="T1449" s="29">
        <v>45440.0</v>
      </c>
      <c r="U1449" s="29">
        <v>45441.0</v>
      </c>
      <c r="V1449" s="29">
        <v>45441.65597096065</v>
      </c>
      <c r="W1449" s="30"/>
      <c r="X1449" s="30"/>
      <c r="Y1449" s="31"/>
      <c r="Z1449" s="31"/>
      <c r="AA1449" s="31" t="s">
        <v>94</v>
      </c>
      <c r="AB1449" s="31" t="s">
        <v>5788</v>
      </c>
      <c r="AC1449" s="31"/>
    </row>
    <row r="1450" ht="16.5" customHeight="1">
      <c r="A1450" s="48" t="s">
        <v>5789</v>
      </c>
      <c r="B1450" s="53" t="s">
        <v>5750</v>
      </c>
      <c r="C1450" s="54">
        <v>27.0</v>
      </c>
      <c r="D1450" s="21" t="s">
        <v>5790</v>
      </c>
      <c r="E1450" s="55" t="s">
        <v>72</v>
      </c>
      <c r="F1450" s="32" t="s">
        <v>48</v>
      </c>
      <c r="G1450" s="32" t="s">
        <v>35</v>
      </c>
      <c r="H1450" s="23" t="s">
        <v>35</v>
      </c>
      <c r="I1450" s="66" t="s">
        <v>36</v>
      </c>
      <c r="J1450" s="34" t="s">
        <v>49</v>
      </c>
      <c r="K1450" s="57" t="s">
        <v>38</v>
      </c>
      <c r="L1450" s="64" t="s">
        <v>5752</v>
      </c>
      <c r="M1450" s="22"/>
      <c r="N1450" s="116" t="s">
        <v>5753</v>
      </c>
      <c r="O1450" s="28">
        <v>45441.668219259256</v>
      </c>
      <c r="P1450" s="26" t="s">
        <v>5754</v>
      </c>
      <c r="Q1450" s="12"/>
      <c r="R1450" s="12"/>
      <c r="S1450" s="60"/>
      <c r="T1450" s="29">
        <v>45440.0</v>
      </c>
      <c r="U1450" s="29">
        <v>45441.0</v>
      </c>
      <c r="V1450" s="29">
        <v>45441.655973726854</v>
      </c>
      <c r="W1450" s="30"/>
      <c r="X1450" s="30"/>
      <c r="Y1450" s="31"/>
      <c r="Z1450" s="31"/>
      <c r="AA1450" s="31" t="s">
        <v>94</v>
      </c>
      <c r="AB1450" s="31" t="s">
        <v>5791</v>
      </c>
      <c r="AC1450" s="31"/>
    </row>
    <row r="1451" ht="16.5" customHeight="1">
      <c r="A1451" s="48" t="s">
        <v>5792</v>
      </c>
      <c r="B1451" s="53" t="s">
        <v>5750</v>
      </c>
      <c r="C1451" s="54">
        <v>27.0</v>
      </c>
      <c r="D1451" s="21" t="s">
        <v>5793</v>
      </c>
      <c r="E1451" s="55" t="s">
        <v>72</v>
      </c>
      <c r="F1451" s="32" t="s">
        <v>48</v>
      </c>
      <c r="G1451" s="32" t="s">
        <v>35</v>
      </c>
      <c r="H1451" s="23" t="s">
        <v>35</v>
      </c>
      <c r="I1451" s="66" t="s">
        <v>36</v>
      </c>
      <c r="J1451" s="34" t="s">
        <v>49</v>
      </c>
      <c r="K1451" s="57" t="s">
        <v>38</v>
      </c>
      <c r="L1451" s="64" t="s">
        <v>5752</v>
      </c>
      <c r="M1451" s="22"/>
      <c r="N1451" s="116" t="s">
        <v>5753</v>
      </c>
      <c r="O1451" s="28">
        <v>45441.668219259256</v>
      </c>
      <c r="P1451" s="26" t="s">
        <v>5754</v>
      </c>
      <c r="Q1451" s="12"/>
      <c r="R1451" s="12"/>
      <c r="S1451" s="60"/>
      <c r="T1451" s="29">
        <v>45440.0</v>
      </c>
      <c r="U1451" s="29">
        <v>45441.0</v>
      </c>
      <c r="V1451" s="29">
        <v>45441.655985543985</v>
      </c>
      <c r="W1451" s="30"/>
      <c r="X1451" s="30"/>
      <c r="Y1451" s="31"/>
      <c r="Z1451" s="31"/>
      <c r="AA1451" s="31" t="s">
        <v>94</v>
      </c>
      <c r="AB1451" s="31" t="s">
        <v>5794</v>
      </c>
      <c r="AC1451" s="31"/>
    </row>
    <row r="1452" ht="16.5" customHeight="1">
      <c r="A1452" s="48" t="s">
        <v>5795</v>
      </c>
      <c r="B1452" s="53" t="s">
        <v>5750</v>
      </c>
      <c r="C1452" s="54">
        <v>137.0</v>
      </c>
      <c r="D1452" s="21" t="s">
        <v>5796</v>
      </c>
      <c r="E1452" s="55" t="s">
        <v>85</v>
      </c>
      <c r="F1452" s="32" t="s">
        <v>48</v>
      </c>
      <c r="G1452" s="32" t="s">
        <v>35</v>
      </c>
      <c r="H1452" s="23" t="s">
        <v>35</v>
      </c>
      <c r="I1452" s="66" t="s">
        <v>36</v>
      </c>
      <c r="J1452" s="34" t="s">
        <v>49</v>
      </c>
      <c r="K1452" s="57" t="s">
        <v>38</v>
      </c>
      <c r="L1452" s="64" t="s">
        <v>5752</v>
      </c>
      <c r="M1452" s="22"/>
      <c r="N1452" s="116" t="s">
        <v>5753</v>
      </c>
      <c r="O1452" s="28">
        <v>45441.668219259256</v>
      </c>
      <c r="P1452" s="26" t="s">
        <v>5754</v>
      </c>
      <c r="Q1452" s="12"/>
      <c r="R1452" s="12"/>
      <c r="S1452" s="60"/>
      <c r="T1452" s="29">
        <v>45440.0</v>
      </c>
      <c r="U1452" s="29">
        <v>45441.0</v>
      </c>
      <c r="V1452" s="29">
        <v>45441.662069108796</v>
      </c>
      <c r="W1452" s="30"/>
      <c r="X1452" s="30"/>
      <c r="Y1452" s="31"/>
      <c r="Z1452" s="31"/>
      <c r="AA1452" s="31" t="s">
        <v>94</v>
      </c>
      <c r="AB1452" s="31" t="s">
        <v>5797</v>
      </c>
      <c r="AC1452" s="31"/>
    </row>
    <row r="1453" ht="16.5" customHeight="1">
      <c r="A1453" s="48" t="s">
        <v>5798</v>
      </c>
      <c r="B1453" s="53" t="s">
        <v>5750</v>
      </c>
      <c r="C1453" s="54">
        <v>137.0</v>
      </c>
      <c r="D1453" s="21" t="s">
        <v>5799</v>
      </c>
      <c r="E1453" s="55" t="s">
        <v>85</v>
      </c>
      <c r="F1453" s="32" t="s">
        <v>48</v>
      </c>
      <c r="G1453" s="32" t="s">
        <v>35</v>
      </c>
      <c r="H1453" s="23" t="s">
        <v>35</v>
      </c>
      <c r="I1453" s="66" t="s">
        <v>36</v>
      </c>
      <c r="J1453" s="34" t="s">
        <v>49</v>
      </c>
      <c r="K1453" s="57" t="s">
        <v>38</v>
      </c>
      <c r="L1453" s="64" t="s">
        <v>5752</v>
      </c>
      <c r="M1453" s="22"/>
      <c r="N1453" s="116" t="s">
        <v>5753</v>
      </c>
      <c r="O1453" s="28">
        <v>45441.668219259256</v>
      </c>
      <c r="P1453" s="26" t="s">
        <v>5754</v>
      </c>
      <c r="Q1453" s="12"/>
      <c r="R1453" s="12"/>
      <c r="S1453" s="60"/>
      <c r="T1453" s="29">
        <v>45440.0</v>
      </c>
      <c r="U1453" s="29">
        <v>45441.0</v>
      </c>
      <c r="V1453" s="29">
        <v>45441.662074259264</v>
      </c>
      <c r="W1453" s="30"/>
      <c r="X1453" s="30"/>
      <c r="Y1453" s="31"/>
      <c r="Z1453" s="31"/>
      <c r="AA1453" s="31" t="s">
        <v>94</v>
      </c>
      <c r="AB1453" s="31" t="s">
        <v>5800</v>
      </c>
      <c r="AC1453" s="31"/>
    </row>
    <row r="1454" ht="16.5" customHeight="1">
      <c r="A1454" s="48" t="s">
        <v>5801</v>
      </c>
      <c r="B1454" s="53" t="s">
        <v>5750</v>
      </c>
      <c r="C1454" s="54">
        <v>137.0</v>
      </c>
      <c r="D1454" s="21" t="s">
        <v>5802</v>
      </c>
      <c r="E1454" s="110" t="s">
        <v>85</v>
      </c>
      <c r="F1454" s="111" t="s">
        <v>48</v>
      </c>
      <c r="G1454" s="90" t="s">
        <v>35</v>
      </c>
      <c r="H1454" s="112" t="s">
        <v>35</v>
      </c>
      <c r="I1454" s="66" t="s">
        <v>36</v>
      </c>
      <c r="J1454" s="34" t="s">
        <v>49</v>
      </c>
      <c r="K1454" s="117" t="s">
        <v>38</v>
      </c>
      <c r="L1454" s="64" t="s">
        <v>5752</v>
      </c>
      <c r="M1454" s="22"/>
      <c r="N1454" s="116" t="s">
        <v>5753</v>
      </c>
      <c r="O1454" s="28">
        <v>45441.668219259256</v>
      </c>
      <c r="P1454" s="26" t="s">
        <v>5754</v>
      </c>
      <c r="Q1454" s="12"/>
      <c r="R1454" s="12"/>
      <c r="S1454" s="60"/>
      <c r="T1454" s="29">
        <v>45440.0</v>
      </c>
      <c r="U1454" s="29">
        <v>45441.0</v>
      </c>
      <c r="V1454" s="29">
        <v>45441.662090729165</v>
      </c>
      <c r="W1454" s="30"/>
      <c r="X1454" s="30"/>
      <c r="Y1454" s="31"/>
      <c r="Z1454" s="31"/>
      <c r="AA1454" s="31" t="s">
        <v>94</v>
      </c>
      <c r="AB1454" s="31" t="s">
        <v>5803</v>
      </c>
      <c r="AC1454" s="31"/>
    </row>
    <row r="1455" ht="16.5" customHeight="1">
      <c r="A1455" s="48" t="s">
        <v>5804</v>
      </c>
      <c r="B1455" s="53" t="s">
        <v>5750</v>
      </c>
      <c r="C1455" s="54">
        <v>90.0</v>
      </c>
      <c r="D1455" s="70" t="s">
        <v>5805</v>
      </c>
      <c r="E1455" s="89" t="s">
        <v>91</v>
      </c>
      <c r="F1455" s="111" t="s">
        <v>48</v>
      </c>
      <c r="G1455" s="90" t="s">
        <v>35</v>
      </c>
      <c r="H1455" s="112" t="s">
        <v>35</v>
      </c>
      <c r="I1455" s="66" t="s">
        <v>36</v>
      </c>
      <c r="J1455" s="34" t="s">
        <v>49</v>
      </c>
      <c r="K1455" s="117" t="s">
        <v>38</v>
      </c>
      <c r="L1455" s="64" t="s">
        <v>5752</v>
      </c>
      <c r="M1455" s="22"/>
      <c r="N1455" s="116" t="s">
        <v>5753</v>
      </c>
      <c r="O1455" s="28">
        <v>45441.668219259256</v>
      </c>
      <c r="P1455" s="26" t="s">
        <v>5754</v>
      </c>
      <c r="Q1455" s="12"/>
      <c r="R1455" s="12"/>
      <c r="S1455" s="60"/>
      <c r="T1455" s="29">
        <v>45440.0</v>
      </c>
      <c r="U1455" s="29">
        <v>45441.0</v>
      </c>
      <c r="V1455" s="29">
        <v>45441.6476762963</v>
      </c>
      <c r="W1455" s="30"/>
      <c r="X1455" s="30"/>
      <c r="Y1455" s="31"/>
      <c r="Z1455" s="31"/>
      <c r="AA1455" s="31" t="s">
        <v>94</v>
      </c>
      <c r="AB1455" s="31" t="s">
        <v>5806</v>
      </c>
      <c r="AC1455" s="31"/>
    </row>
    <row r="1456" ht="16.5" customHeight="1">
      <c r="A1456" s="48" t="s">
        <v>5807</v>
      </c>
      <c r="B1456" s="53" t="s">
        <v>5750</v>
      </c>
      <c r="C1456" s="54">
        <v>90.0</v>
      </c>
      <c r="D1456" s="70" t="s">
        <v>5808</v>
      </c>
      <c r="E1456" s="89" t="s">
        <v>91</v>
      </c>
      <c r="F1456" s="111" t="s">
        <v>48</v>
      </c>
      <c r="G1456" s="90" t="s">
        <v>35</v>
      </c>
      <c r="H1456" s="112" t="s">
        <v>35</v>
      </c>
      <c r="I1456" s="66" t="s">
        <v>36</v>
      </c>
      <c r="J1456" s="34" t="s">
        <v>49</v>
      </c>
      <c r="K1456" s="117" t="s">
        <v>38</v>
      </c>
      <c r="L1456" s="64" t="s">
        <v>5752</v>
      </c>
      <c r="M1456" s="22"/>
      <c r="N1456" s="116" t="s">
        <v>5753</v>
      </c>
      <c r="O1456" s="28">
        <v>45441.668219259256</v>
      </c>
      <c r="P1456" s="26" t="s">
        <v>5754</v>
      </c>
      <c r="Q1456" s="12"/>
      <c r="R1456" s="12"/>
      <c r="S1456" s="60"/>
      <c r="T1456" s="29">
        <v>45440.0</v>
      </c>
      <c r="U1456" s="29">
        <v>45441.0</v>
      </c>
      <c r="V1456" s="29">
        <v>45441.6476858449</v>
      </c>
      <c r="W1456" s="30"/>
      <c r="X1456" s="30"/>
      <c r="Y1456" s="31"/>
      <c r="Z1456" s="31"/>
      <c r="AA1456" s="31" t="s">
        <v>94</v>
      </c>
      <c r="AB1456" s="31" t="s">
        <v>5809</v>
      </c>
      <c r="AC1456" s="31"/>
    </row>
    <row r="1457" ht="16.5" customHeight="1">
      <c r="A1457" s="48" t="s">
        <v>5810</v>
      </c>
      <c r="B1457" s="53" t="s">
        <v>5750</v>
      </c>
      <c r="C1457" s="54">
        <v>11.0</v>
      </c>
      <c r="D1457" s="21" t="s">
        <v>5811</v>
      </c>
      <c r="E1457" s="89" t="s">
        <v>112</v>
      </c>
      <c r="F1457" s="111" t="s">
        <v>48</v>
      </c>
      <c r="G1457" s="90" t="s">
        <v>35</v>
      </c>
      <c r="H1457" s="112" t="s">
        <v>35</v>
      </c>
      <c r="I1457" s="66" t="s">
        <v>36</v>
      </c>
      <c r="J1457" s="34" t="s">
        <v>49</v>
      </c>
      <c r="K1457" s="117" t="s">
        <v>38</v>
      </c>
      <c r="L1457" s="64" t="s">
        <v>5752</v>
      </c>
      <c r="M1457" s="22"/>
      <c r="N1457" s="116" t="s">
        <v>5753</v>
      </c>
      <c r="O1457" s="28">
        <v>45441.668219259256</v>
      </c>
      <c r="P1457" s="26" t="s">
        <v>5754</v>
      </c>
      <c r="Q1457" s="12"/>
      <c r="R1457" s="12"/>
      <c r="S1457" s="60"/>
      <c r="T1457" s="29">
        <v>45440.0</v>
      </c>
      <c r="U1457" s="29">
        <v>45441.0</v>
      </c>
      <c r="V1457" s="29">
        <v>45441.615008912035</v>
      </c>
      <c r="W1457" s="30"/>
      <c r="X1457" s="30"/>
      <c r="Y1457" s="31"/>
      <c r="Z1457" s="31"/>
      <c r="AA1457" s="31" t="s">
        <v>94</v>
      </c>
      <c r="AB1457" s="31" t="s">
        <v>5812</v>
      </c>
      <c r="AC1457" s="31"/>
    </row>
    <row r="1458" ht="16.5" customHeight="1">
      <c r="A1458" s="48" t="s">
        <v>5813</v>
      </c>
      <c r="B1458" s="53" t="s">
        <v>5128</v>
      </c>
      <c r="C1458" s="54">
        <v>1.0</v>
      </c>
      <c r="D1458" s="21" t="s">
        <v>5814</v>
      </c>
      <c r="E1458" s="55" t="s">
        <v>3395</v>
      </c>
      <c r="F1458" s="32" t="s">
        <v>48</v>
      </c>
      <c r="G1458" s="32" t="s">
        <v>35</v>
      </c>
      <c r="H1458" s="23" t="s">
        <v>35</v>
      </c>
      <c r="I1458" s="66" t="s">
        <v>36</v>
      </c>
      <c r="J1458" s="34" t="s">
        <v>49</v>
      </c>
      <c r="K1458" s="57" t="s">
        <v>38</v>
      </c>
      <c r="L1458" s="64" t="s">
        <v>5815</v>
      </c>
      <c r="M1458" s="22"/>
      <c r="N1458" s="116" t="s">
        <v>5753</v>
      </c>
      <c r="O1458" s="28">
        <v>45441.668219259256</v>
      </c>
      <c r="P1458" s="26" t="s">
        <v>5816</v>
      </c>
      <c r="Q1458" s="12"/>
      <c r="R1458" s="12"/>
      <c r="S1458" s="60"/>
      <c r="T1458" s="29">
        <v>45440.0</v>
      </c>
      <c r="U1458" s="29">
        <v>45441.0</v>
      </c>
      <c r="V1458" s="29">
        <v>45441.59528729167</v>
      </c>
      <c r="W1458" s="30"/>
      <c r="X1458" s="30"/>
      <c r="Y1458" s="31"/>
      <c r="Z1458" s="31"/>
      <c r="AA1458" s="31" t="s">
        <v>94</v>
      </c>
      <c r="AB1458" s="31" t="s">
        <v>5817</v>
      </c>
      <c r="AC1458" s="31"/>
    </row>
    <row r="1459" ht="16.5" customHeight="1">
      <c r="A1459" s="48" t="s">
        <v>5818</v>
      </c>
      <c r="B1459" s="53" t="s">
        <v>5128</v>
      </c>
      <c r="C1459" s="54">
        <v>1.0</v>
      </c>
      <c r="D1459" s="21" t="s">
        <v>5819</v>
      </c>
      <c r="E1459" s="55" t="s">
        <v>3395</v>
      </c>
      <c r="F1459" s="32" t="s">
        <v>48</v>
      </c>
      <c r="G1459" s="32" t="s">
        <v>35</v>
      </c>
      <c r="H1459" s="23" t="s">
        <v>35</v>
      </c>
      <c r="I1459" s="66" t="s">
        <v>36</v>
      </c>
      <c r="J1459" s="34" t="s">
        <v>49</v>
      </c>
      <c r="K1459" s="57" t="s">
        <v>38</v>
      </c>
      <c r="L1459" s="64" t="s">
        <v>5815</v>
      </c>
      <c r="M1459" s="22"/>
      <c r="N1459" s="116" t="s">
        <v>5753</v>
      </c>
      <c r="O1459" s="28">
        <v>45441.668219259256</v>
      </c>
      <c r="P1459" s="26" t="s">
        <v>5816</v>
      </c>
      <c r="Q1459" s="12"/>
      <c r="R1459" s="12"/>
      <c r="S1459" s="60"/>
      <c r="T1459" s="29">
        <v>45440.0</v>
      </c>
      <c r="U1459" s="29">
        <v>45441.0</v>
      </c>
      <c r="V1459" s="29">
        <v>45441.59529408565</v>
      </c>
      <c r="W1459" s="30"/>
      <c r="X1459" s="30"/>
      <c r="Y1459" s="31"/>
      <c r="Z1459" s="31"/>
      <c r="AA1459" s="31" t="s">
        <v>94</v>
      </c>
      <c r="AB1459" s="31" t="s">
        <v>5820</v>
      </c>
      <c r="AC1459" s="31"/>
    </row>
    <row r="1460" ht="16.5" customHeight="1">
      <c r="A1460" s="48" t="s">
        <v>5821</v>
      </c>
      <c r="B1460" s="53" t="s">
        <v>5128</v>
      </c>
      <c r="C1460" s="54">
        <v>0.0</v>
      </c>
      <c r="D1460" s="21" t="s">
        <v>5822</v>
      </c>
      <c r="E1460" s="55" t="s">
        <v>3441</v>
      </c>
      <c r="F1460" s="32" t="s">
        <v>48</v>
      </c>
      <c r="G1460" s="32" t="s">
        <v>35</v>
      </c>
      <c r="H1460" s="23" t="s">
        <v>35</v>
      </c>
      <c r="I1460" s="66" t="s">
        <v>36</v>
      </c>
      <c r="J1460" s="34" t="s">
        <v>49</v>
      </c>
      <c r="K1460" s="57" t="s">
        <v>38</v>
      </c>
      <c r="L1460" s="64" t="s">
        <v>5815</v>
      </c>
      <c r="M1460" s="22"/>
      <c r="N1460" s="116" t="s">
        <v>5753</v>
      </c>
      <c r="O1460" s="28">
        <v>45441.668219259256</v>
      </c>
      <c r="P1460" s="26" t="s">
        <v>5816</v>
      </c>
      <c r="Q1460" s="12"/>
      <c r="R1460" s="12"/>
      <c r="S1460" s="60"/>
      <c r="T1460" s="29">
        <v>45440.0</v>
      </c>
      <c r="U1460" s="29">
        <v>45441.0</v>
      </c>
      <c r="V1460" s="29">
        <v>45441.61288035879</v>
      </c>
      <c r="W1460" s="30"/>
      <c r="X1460" s="30"/>
      <c r="Y1460" s="31"/>
      <c r="Z1460" s="31"/>
      <c r="AA1460" s="31" t="s">
        <v>94</v>
      </c>
      <c r="AB1460" s="31" t="s">
        <v>5823</v>
      </c>
      <c r="AC1460" s="31"/>
    </row>
    <row r="1461" ht="16.5" customHeight="1">
      <c r="A1461" s="48" t="s">
        <v>5824</v>
      </c>
      <c r="B1461" s="53" t="s">
        <v>5128</v>
      </c>
      <c r="C1461" s="54">
        <v>0.0</v>
      </c>
      <c r="D1461" s="21" t="s">
        <v>5825</v>
      </c>
      <c r="E1461" s="55" t="s">
        <v>3441</v>
      </c>
      <c r="F1461" s="32" t="s">
        <v>48</v>
      </c>
      <c r="G1461" s="32" t="s">
        <v>35</v>
      </c>
      <c r="H1461" s="23" t="s">
        <v>35</v>
      </c>
      <c r="I1461" s="66" t="s">
        <v>36</v>
      </c>
      <c r="J1461" s="34" t="s">
        <v>49</v>
      </c>
      <c r="K1461" s="57" t="s">
        <v>38</v>
      </c>
      <c r="L1461" s="64" t="s">
        <v>5815</v>
      </c>
      <c r="M1461" s="22"/>
      <c r="N1461" s="116" t="s">
        <v>5753</v>
      </c>
      <c r="O1461" s="28">
        <v>45441.668219259256</v>
      </c>
      <c r="P1461" s="26" t="s">
        <v>5816</v>
      </c>
      <c r="Q1461" s="12"/>
      <c r="R1461" s="12"/>
      <c r="S1461" s="60"/>
      <c r="T1461" s="29">
        <v>45440.0</v>
      </c>
      <c r="U1461" s="29">
        <v>45441.0</v>
      </c>
      <c r="V1461" s="29">
        <v>45441.61288409722</v>
      </c>
      <c r="W1461" s="30"/>
      <c r="X1461" s="30"/>
      <c r="Y1461" s="31"/>
      <c r="Z1461" s="31"/>
      <c r="AA1461" s="31" t="s">
        <v>94</v>
      </c>
      <c r="AB1461" s="31" t="s">
        <v>5826</v>
      </c>
      <c r="AC1461" s="31"/>
    </row>
    <row r="1462" ht="16.5" customHeight="1">
      <c r="A1462" s="48" t="s">
        <v>5827</v>
      </c>
      <c r="B1462" s="53" t="s">
        <v>5128</v>
      </c>
      <c r="C1462" s="54">
        <v>0.0</v>
      </c>
      <c r="D1462" s="21" t="s">
        <v>5828</v>
      </c>
      <c r="E1462" s="55" t="s">
        <v>3441</v>
      </c>
      <c r="F1462" s="32" t="s">
        <v>48</v>
      </c>
      <c r="G1462" s="32" t="s">
        <v>35</v>
      </c>
      <c r="H1462" s="23" t="s">
        <v>35</v>
      </c>
      <c r="I1462" s="66" t="s">
        <v>36</v>
      </c>
      <c r="J1462" s="34" t="s">
        <v>49</v>
      </c>
      <c r="K1462" s="57" t="s">
        <v>38</v>
      </c>
      <c r="L1462" s="64" t="s">
        <v>5815</v>
      </c>
      <c r="M1462" s="22"/>
      <c r="N1462" s="116" t="s">
        <v>5753</v>
      </c>
      <c r="O1462" s="28">
        <v>45441.668219259256</v>
      </c>
      <c r="P1462" s="26" t="s">
        <v>5816</v>
      </c>
      <c r="Q1462" s="12"/>
      <c r="R1462" s="12"/>
      <c r="S1462" s="60"/>
      <c r="T1462" s="29">
        <v>45440.0</v>
      </c>
      <c r="U1462" s="29">
        <v>45441.0</v>
      </c>
      <c r="V1462" s="29">
        <v>45441.6128880787</v>
      </c>
      <c r="W1462" s="30"/>
      <c r="X1462" s="30"/>
      <c r="Y1462" s="31"/>
      <c r="Z1462" s="31"/>
      <c r="AA1462" s="31" t="s">
        <v>94</v>
      </c>
      <c r="AB1462" s="31" t="s">
        <v>5829</v>
      </c>
      <c r="AC1462" s="31"/>
    </row>
    <row r="1463" ht="16.5" customHeight="1">
      <c r="A1463" s="48" t="s">
        <v>5830</v>
      </c>
      <c r="B1463" s="53" t="s">
        <v>5128</v>
      </c>
      <c r="C1463" s="54">
        <v>0.0</v>
      </c>
      <c r="D1463" s="21" t="s">
        <v>5831</v>
      </c>
      <c r="E1463" s="55" t="s">
        <v>3441</v>
      </c>
      <c r="F1463" s="32" t="s">
        <v>48</v>
      </c>
      <c r="G1463" s="32" t="s">
        <v>35</v>
      </c>
      <c r="H1463" s="23" t="s">
        <v>35</v>
      </c>
      <c r="I1463" s="66" t="s">
        <v>36</v>
      </c>
      <c r="J1463" s="34" t="s">
        <v>49</v>
      </c>
      <c r="K1463" s="57" t="s">
        <v>38</v>
      </c>
      <c r="L1463" s="64" t="s">
        <v>5815</v>
      </c>
      <c r="M1463" s="22"/>
      <c r="N1463" s="116" t="s">
        <v>5753</v>
      </c>
      <c r="O1463" s="28">
        <v>45441.668219259256</v>
      </c>
      <c r="P1463" s="26" t="s">
        <v>5816</v>
      </c>
      <c r="Q1463" s="12"/>
      <c r="R1463" s="12"/>
      <c r="S1463" s="60"/>
      <c r="T1463" s="29">
        <v>45440.0</v>
      </c>
      <c r="U1463" s="29">
        <v>45441.0</v>
      </c>
      <c r="V1463" s="29">
        <v>45441.612906469905</v>
      </c>
      <c r="W1463" s="30"/>
      <c r="X1463" s="30"/>
      <c r="Y1463" s="31"/>
      <c r="Z1463" s="31"/>
      <c r="AA1463" s="31" t="s">
        <v>94</v>
      </c>
      <c r="AB1463" s="31" t="s">
        <v>5832</v>
      </c>
      <c r="AC1463" s="31"/>
    </row>
    <row r="1464" ht="16.5" customHeight="1">
      <c r="A1464" s="48" t="s">
        <v>5833</v>
      </c>
      <c r="B1464" s="53" t="s">
        <v>5128</v>
      </c>
      <c r="C1464" s="54">
        <v>0.0</v>
      </c>
      <c r="D1464" s="21" t="s">
        <v>5834</v>
      </c>
      <c r="E1464" s="55" t="s">
        <v>3441</v>
      </c>
      <c r="F1464" s="32" t="s">
        <v>48</v>
      </c>
      <c r="G1464" s="32" t="s">
        <v>35</v>
      </c>
      <c r="H1464" s="23" t="s">
        <v>35</v>
      </c>
      <c r="I1464" s="66" t="s">
        <v>36</v>
      </c>
      <c r="J1464" s="34" t="s">
        <v>49</v>
      </c>
      <c r="K1464" s="57" t="s">
        <v>38</v>
      </c>
      <c r="L1464" s="64" t="s">
        <v>5815</v>
      </c>
      <c r="M1464" s="22"/>
      <c r="N1464" s="116" t="s">
        <v>5753</v>
      </c>
      <c r="O1464" s="28">
        <v>45441.668219259256</v>
      </c>
      <c r="P1464" s="26" t="s">
        <v>5816</v>
      </c>
      <c r="Q1464" s="12"/>
      <c r="R1464" s="12"/>
      <c r="S1464" s="60"/>
      <c r="T1464" s="29">
        <v>45440.0</v>
      </c>
      <c r="U1464" s="29">
        <v>45441.0</v>
      </c>
      <c r="V1464" s="29">
        <v>45441.612913819445</v>
      </c>
      <c r="W1464" s="30"/>
      <c r="X1464" s="30"/>
      <c r="Y1464" s="31"/>
      <c r="Z1464" s="31"/>
      <c r="AA1464" s="31" t="s">
        <v>94</v>
      </c>
      <c r="AB1464" s="31" t="s">
        <v>5835</v>
      </c>
      <c r="AC1464" s="31"/>
    </row>
    <row r="1465" ht="16.5" customHeight="1">
      <c r="A1465" s="48" t="s">
        <v>5836</v>
      </c>
      <c r="B1465" s="53" t="s">
        <v>5128</v>
      </c>
      <c r="C1465" s="54">
        <v>0.0</v>
      </c>
      <c r="D1465" s="21" t="s">
        <v>5837</v>
      </c>
      <c r="E1465" s="55" t="s">
        <v>3441</v>
      </c>
      <c r="F1465" s="32" t="s">
        <v>48</v>
      </c>
      <c r="G1465" s="32" t="s">
        <v>35</v>
      </c>
      <c r="H1465" s="23" t="s">
        <v>35</v>
      </c>
      <c r="I1465" s="66" t="s">
        <v>36</v>
      </c>
      <c r="J1465" s="34" t="s">
        <v>49</v>
      </c>
      <c r="K1465" s="57" t="s">
        <v>38</v>
      </c>
      <c r="L1465" s="64" t="s">
        <v>5815</v>
      </c>
      <c r="M1465" s="22"/>
      <c r="N1465" s="116" t="s">
        <v>5753</v>
      </c>
      <c r="O1465" s="28">
        <v>45441.668219259256</v>
      </c>
      <c r="P1465" s="26" t="s">
        <v>5816</v>
      </c>
      <c r="Q1465" s="12"/>
      <c r="R1465" s="12"/>
      <c r="S1465" s="60"/>
      <c r="T1465" s="29">
        <v>45440.0</v>
      </c>
      <c r="U1465" s="29">
        <v>45441.0</v>
      </c>
      <c r="V1465" s="29">
        <v>45441.6129234838</v>
      </c>
      <c r="W1465" s="30"/>
      <c r="X1465" s="30"/>
      <c r="Y1465" s="31"/>
      <c r="Z1465" s="31"/>
      <c r="AA1465" s="31" t="s">
        <v>94</v>
      </c>
      <c r="AB1465" s="31" t="s">
        <v>5838</v>
      </c>
      <c r="AC1465" s="31"/>
    </row>
    <row r="1466" ht="16.5" customHeight="1">
      <c r="A1466" s="48" t="s">
        <v>5839</v>
      </c>
      <c r="B1466" s="53" t="s">
        <v>5128</v>
      </c>
      <c r="C1466" s="54">
        <v>0.0</v>
      </c>
      <c r="D1466" s="21" t="s">
        <v>5840</v>
      </c>
      <c r="E1466" s="55" t="s">
        <v>3441</v>
      </c>
      <c r="F1466" s="32" t="s">
        <v>48</v>
      </c>
      <c r="G1466" s="32" t="s">
        <v>35</v>
      </c>
      <c r="H1466" s="23" t="s">
        <v>35</v>
      </c>
      <c r="I1466" s="66" t="s">
        <v>36</v>
      </c>
      <c r="J1466" s="34" t="s">
        <v>49</v>
      </c>
      <c r="K1466" s="57" t="s">
        <v>38</v>
      </c>
      <c r="L1466" s="64" t="s">
        <v>5815</v>
      </c>
      <c r="M1466" s="22"/>
      <c r="N1466" s="116" t="s">
        <v>5753</v>
      </c>
      <c r="O1466" s="28">
        <v>45441.668219259256</v>
      </c>
      <c r="P1466" s="26" t="s">
        <v>5816</v>
      </c>
      <c r="Q1466" s="12"/>
      <c r="R1466" s="12"/>
      <c r="S1466" s="60"/>
      <c r="T1466" s="29">
        <v>45440.0</v>
      </c>
      <c r="U1466" s="29">
        <v>45441.0</v>
      </c>
      <c r="V1466" s="29">
        <v>45441.61292936343</v>
      </c>
      <c r="W1466" s="30"/>
      <c r="X1466" s="30"/>
      <c r="Y1466" s="31"/>
      <c r="Z1466" s="31"/>
      <c r="AA1466" s="31" t="s">
        <v>94</v>
      </c>
      <c r="AB1466" s="31" t="s">
        <v>5841</v>
      </c>
      <c r="AC1466" s="31"/>
    </row>
    <row r="1467" ht="16.5" customHeight="1">
      <c r="A1467" s="48" t="s">
        <v>5842</v>
      </c>
      <c r="B1467" s="53" t="s">
        <v>5128</v>
      </c>
      <c r="C1467" s="54">
        <v>27.0</v>
      </c>
      <c r="D1467" s="21" t="s">
        <v>5843</v>
      </c>
      <c r="E1467" s="55" t="s">
        <v>72</v>
      </c>
      <c r="F1467" s="32" t="s">
        <v>48</v>
      </c>
      <c r="G1467" s="32" t="s">
        <v>35</v>
      </c>
      <c r="H1467" s="23" t="s">
        <v>35</v>
      </c>
      <c r="I1467" s="66" t="s">
        <v>36</v>
      </c>
      <c r="J1467" s="34" t="s">
        <v>49</v>
      </c>
      <c r="K1467" s="57" t="s">
        <v>38</v>
      </c>
      <c r="L1467" s="64" t="s">
        <v>5815</v>
      </c>
      <c r="M1467" s="22"/>
      <c r="N1467" s="116" t="s">
        <v>5753</v>
      </c>
      <c r="O1467" s="28">
        <v>45441.668219259256</v>
      </c>
      <c r="P1467" s="26" t="s">
        <v>5816</v>
      </c>
      <c r="Q1467" s="12"/>
      <c r="R1467" s="12"/>
      <c r="S1467" s="60"/>
      <c r="T1467" s="29">
        <v>45440.0</v>
      </c>
      <c r="U1467" s="29">
        <v>45441.0</v>
      </c>
      <c r="V1467" s="29">
        <v>45441.655990659725</v>
      </c>
      <c r="W1467" s="30"/>
      <c r="X1467" s="30"/>
      <c r="Y1467" s="31"/>
      <c r="Z1467" s="31"/>
      <c r="AA1467" s="31" t="s">
        <v>94</v>
      </c>
      <c r="AB1467" s="31" t="s">
        <v>5844</v>
      </c>
      <c r="AC1467" s="31"/>
    </row>
    <row r="1468" ht="16.5" customHeight="1">
      <c r="A1468" s="48" t="s">
        <v>5845</v>
      </c>
      <c r="B1468" s="53" t="s">
        <v>5128</v>
      </c>
      <c r="C1468" s="54">
        <v>27.0</v>
      </c>
      <c r="D1468" s="21" t="s">
        <v>5846</v>
      </c>
      <c r="E1468" s="55" t="s">
        <v>72</v>
      </c>
      <c r="F1468" s="32" t="s">
        <v>48</v>
      </c>
      <c r="G1468" s="32" t="s">
        <v>35</v>
      </c>
      <c r="H1468" s="23" t="s">
        <v>35</v>
      </c>
      <c r="I1468" s="66" t="s">
        <v>36</v>
      </c>
      <c r="J1468" s="34" t="s">
        <v>49</v>
      </c>
      <c r="K1468" s="57" t="s">
        <v>38</v>
      </c>
      <c r="L1468" s="64" t="s">
        <v>5815</v>
      </c>
      <c r="M1468" s="22"/>
      <c r="N1468" s="116" t="s">
        <v>5753</v>
      </c>
      <c r="O1468" s="28">
        <v>45441.668219259256</v>
      </c>
      <c r="P1468" s="26" t="s">
        <v>5816</v>
      </c>
      <c r="Q1468" s="12"/>
      <c r="R1468" s="12"/>
      <c r="S1468" s="60"/>
      <c r="T1468" s="29">
        <v>45440.0</v>
      </c>
      <c r="U1468" s="29">
        <v>45441.0</v>
      </c>
      <c r="V1468" s="29">
        <v>45441.65599601852</v>
      </c>
      <c r="W1468" s="30"/>
      <c r="X1468" s="30"/>
      <c r="Y1468" s="31"/>
      <c r="Z1468" s="31"/>
      <c r="AA1468" s="31" t="s">
        <v>94</v>
      </c>
      <c r="AB1468" s="31" t="s">
        <v>5847</v>
      </c>
      <c r="AC1468" s="31"/>
    </row>
    <row r="1469" ht="16.5" customHeight="1">
      <c r="A1469" s="48" t="s">
        <v>5848</v>
      </c>
      <c r="B1469" s="53" t="s">
        <v>5128</v>
      </c>
      <c r="C1469" s="54">
        <v>27.0</v>
      </c>
      <c r="D1469" s="21" t="s">
        <v>5849</v>
      </c>
      <c r="E1469" s="55" t="s">
        <v>72</v>
      </c>
      <c r="F1469" s="32" t="s">
        <v>48</v>
      </c>
      <c r="G1469" s="32" t="s">
        <v>35</v>
      </c>
      <c r="H1469" s="23" t="s">
        <v>35</v>
      </c>
      <c r="I1469" s="66" t="s">
        <v>36</v>
      </c>
      <c r="J1469" s="34" t="s">
        <v>49</v>
      </c>
      <c r="K1469" s="57" t="s">
        <v>38</v>
      </c>
      <c r="L1469" s="64" t="s">
        <v>5815</v>
      </c>
      <c r="M1469" s="22"/>
      <c r="N1469" s="116" t="s">
        <v>5753</v>
      </c>
      <c r="O1469" s="28">
        <v>45441.668219259256</v>
      </c>
      <c r="P1469" s="26" t="s">
        <v>5816</v>
      </c>
      <c r="Q1469" s="12"/>
      <c r="R1469" s="12"/>
      <c r="S1469" s="60"/>
      <c r="T1469" s="29">
        <v>45440.0</v>
      </c>
      <c r="U1469" s="29">
        <v>45441.0</v>
      </c>
      <c r="V1469" s="29">
        <v>45441.65600121528</v>
      </c>
      <c r="W1469" s="30"/>
      <c r="X1469" s="30"/>
      <c r="Y1469" s="31"/>
      <c r="Z1469" s="31"/>
      <c r="AA1469" s="31" t="s">
        <v>94</v>
      </c>
      <c r="AB1469" s="31" t="s">
        <v>5850</v>
      </c>
      <c r="AC1469" s="31"/>
    </row>
    <row r="1470" ht="16.5" customHeight="1">
      <c r="A1470" s="48" t="s">
        <v>5851</v>
      </c>
      <c r="B1470" s="53" t="s">
        <v>5128</v>
      </c>
      <c r="C1470" s="54">
        <v>27.0</v>
      </c>
      <c r="D1470" s="21" t="s">
        <v>5852</v>
      </c>
      <c r="E1470" s="55" t="s">
        <v>72</v>
      </c>
      <c r="F1470" s="32" t="s">
        <v>48</v>
      </c>
      <c r="G1470" s="32" t="s">
        <v>35</v>
      </c>
      <c r="H1470" s="23" t="s">
        <v>35</v>
      </c>
      <c r="I1470" s="66" t="s">
        <v>36</v>
      </c>
      <c r="J1470" s="34" t="s">
        <v>49</v>
      </c>
      <c r="K1470" s="57" t="s">
        <v>38</v>
      </c>
      <c r="L1470" s="64" t="s">
        <v>5815</v>
      </c>
      <c r="M1470" s="22"/>
      <c r="N1470" s="116" t="s">
        <v>5753</v>
      </c>
      <c r="O1470" s="28">
        <v>45441.668219259256</v>
      </c>
      <c r="P1470" s="26" t="s">
        <v>5816</v>
      </c>
      <c r="Q1470" s="12"/>
      <c r="R1470" s="12"/>
      <c r="S1470" s="60"/>
      <c r="T1470" s="29">
        <v>45440.0</v>
      </c>
      <c r="U1470" s="29">
        <v>45441.0</v>
      </c>
      <c r="V1470" s="29">
        <v>45441.65594405093</v>
      </c>
      <c r="W1470" s="30"/>
      <c r="X1470" s="30"/>
      <c r="Y1470" s="31"/>
      <c r="Z1470" s="31"/>
      <c r="AA1470" s="31" t="s">
        <v>94</v>
      </c>
      <c r="AB1470" s="31" t="s">
        <v>5853</v>
      </c>
      <c r="AC1470" s="31"/>
    </row>
    <row r="1471" ht="16.5" customHeight="1">
      <c r="A1471" s="48" t="s">
        <v>5854</v>
      </c>
      <c r="B1471" s="53" t="s">
        <v>5128</v>
      </c>
      <c r="C1471" s="54">
        <v>27.0</v>
      </c>
      <c r="D1471" s="21" t="s">
        <v>5855</v>
      </c>
      <c r="E1471" s="55" t="s">
        <v>72</v>
      </c>
      <c r="F1471" s="32" t="s">
        <v>48</v>
      </c>
      <c r="G1471" s="32" t="s">
        <v>35</v>
      </c>
      <c r="H1471" s="23" t="s">
        <v>35</v>
      </c>
      <c r="I1471" s="66" t="s">
        <v>36</v>
      </c>
      <c r="J1471" s="34" t="s">
        <v>49</v>
      </c>
      <c r="K1471" s="57" t="s">
        <v>38</v>
      </c>
      <c r="L1471" s="64" t="s">
        <v>5815</v>
      </c>
      <c r="M1471" s="22"/>
      <c r="N1471" s="116" t="s">
        <v>5753</v>
      </c>
      <c r="O1471" s="28">
        <v>45441.668219259256</v>
      </c>
      <c r="P1471" s="26" t="s">
        <v>5816</v>
      </c>
      <c r="Q1471" s="12"/>
      <c r="R1471" s="12"/>
      <c r="S1471" s="60"/>
      <c r="T1471" s="29">
        <v>45440.0</v>
      </c>
      <c r="U1471" s="29">
        <v>45441.0</v>
      </c>
      <c r="V1471" s="29">
        <v>45441.65593030093</v>
      </c>
      <c r="W1471" s="30"/>
      <c r="X1471" s="30"/>
      <c r="Y1471" s="31"/>
      <c r="Z1471" s="31"/>
      <c r="AA1471" s="31" t="s">
        <v>94</v>
      </c>
      <c r="AB1471" s="31" t="s">
        <v>5856</v>
      </c>
      <c r="AC1471" s="31"/>
    </row>
    <row r="1472" ht="16.5" customHeight="1">
      <c r="A1472" s="48" t="s">
        <v>5857</v>
      </c>
      <c r="B1472" s="53" t="s">
        <v>5128</v>
      </c>
      <c r="C1472" s="54">
        <v>137.0</v>
      </c>
      <c r="D1472" s="21" t="s">
        <v>5858</v>
      </c>
      <c r="E1472" s="55" t="s">
        <v>85</v>
      </c>
      <c r="F1472" s="32" t="s">
        <v>48</v>
      </c>
      <c r="G1472" s="32" t="s">
        <v>35</v>
      </c>
      <c r="H1472" s="23" t="s">
        <v>35</v>
      </c>
      <c r="I1472" s="66" t="s">
        <v>36</v>
      </c>
      <c r="J1472" s="34" t="s">
        <v>49</v>
      </c>
      <c r="K1472" s="57" t="s">
        <v>38</v>
      </c>
      <c r="L1472" s="64" t="s">
        <v>5815</v>
      </c>
      <c r="M1472" s="22"/>
      <c r="N1472" s="116" t="s">
        <v>5753</v>
      </c>
      <c r="O1472" s="28">
        <v>45441.668219259256</v>
      </c>
      <c r="P1472" s="26" t="s">
        <v>5816</v>
      </c>
      <c r="Q1472" s="12"/>
      <c r="R1472" s="12"/>
      <c r="S1472" s="60"/>
      <c r="T1472" s="29">
        <v>45440.0</v>
      </c>
      <c r="U1472" s="29">
        <v>45441.0</v>
      </c>
      <c r="V1472" s="29">
        <v>45441.66210025463</v>
      </c>
      <c r="W1472" s="30"/>
      <c r="X1472" s="30"/>
      <c r="Y1472" s="31"/>
      <c r="Z1472" s="31"/>
      <c r="AA1472" s="31" t="s">
        <v>94</v>
      </c>
      <c r="AB1472" s="31" t="s">
        <v>5859</v>
      </c>
      <c r="AC1472" s="31"/>
    </row>
    <row r="1473" ht="16.5" customHeight="1">
      <c r="A1473" s="48" t="s">
        <v>5860</v>
      </c>
      <c r="B1473" s="53" t="s">
        <v>5128</v>
      </c>
      <c r="C1473" s="54">
        <v>137.0</v>
      </c>
      <c r="D1473" s="21" t="s">
        <v>5861</v>
      </c>
      <c r="E1473" s="55" t="s">
        <v>85</v>
      </c>
      <c r="F1473" s="32" t="s">
        <v>48</v>
      </c>
      <c r="G1473" s="32" t="s">
        <v>35</v>
      </c>
      <c r="H1473" s="23" t="s">
        <v>35</v>
      </c>
      <c r="I1473" s="66" t="s">
        <v>36</v>
      </c>
      <c r="J1473" s="34" t="s">
        <v>49</v>
      </c>
      <c r="K1473" s="57" t="s">
        <v>38</v>
      </c>
      <c r="L1473" s="64" t="s">
        <v>5815</v>
      </c>
      <c r="M1473" s="22"/>
      <c r="N1473" s="116" t="s">
        <v>5753</v>
      </c>
      <c r="O1473" s="28">
        <v>45441.668219259256</v>
      </c>
      <c r="P1473" s="26" t="s">
        <v>5816</v>
      </c>
      <c r="Q1473" s="12"/>
      <c r="R1473" s="12"/>
      <c r="S1473" s="60"/>
      <c r="T1473" s="29">
        <v>45440.0</v>
      </c>
      <c r="U1473" s="29">
        <v>45441.0</v>
      </c>
      <c r="V1473" s="29">
        <v>45441.66210528935</v>
      </c>
      <c r="W1473" s="30"/>
      <c r="X1473" s="30"/>
      <c r="Y1473" s="31"/>
      <c r="Z1473" s="31"/>
      <c r="AA1473" s="31" t="s">
        <v>94</v>
      </c>
      <c r="AB1473" s="31" t="s">
        <v>5862</v>
      </c>
      <c r="AC1473" s="31"/>
    </row>
    <row r="1474" ht="16.5" customHeight="1">
      <c r="A1474" s="48" t="s">
        <v>5863</v>
      </c>
      <c r="B1474" s="53" t="s">
        <v>5128</v>
      </c>
      <c r="C1474" s="54">
        <v>137.0</v>
      </c>
      <c r="D1474" s="21" t="s">
        <v>5864</v>
      </c>
      <c r="E1474" s="110" t="s">
        <v>85</v>
      </c>
      <c r="F1474" s="111" t="s">
        <v>48</v>
      </c>
      <c r="G1474" s="90" t="s">
        <v>35</v>
      </c>
      <c r="H1474" s="112" t="s">
        <v>35</v>
      </c>
      <c r="I1474" s="66" t="s">
        <v>36</v>
      </c>
      <c r="J1474" s="34" t="s">
        <v>49</v>
      </c>
      <c r="K1474" s="117" t="s">
        <v>38</v>
      </c>
      <c r="L1474" s="64" t="s">
        <v>5815</v>
      </c>
      <c r="M1474" s="22"/>
      <c r="N1474" s="116" t="s">
        <v>5753</v>
      </c>
      <c r="O1474" s="28">
        <v>45441.668219259256</v>
      </c>
      <c r="P1474" s="26" t="s">
        <v>5816</v>
      </c>
      <c r="Q1474" s="12"/>
      <c r="R1474" s="12"/>
      <c r="S1474" s="60"/>
      <c r="T1474" s="29">
        <v>45440.0</v>
      </c>
      <c r="U1474" s="29">
        <v>45441.0</v>
      </c>
      <c r="V1474" s="29">
        <v>45441.662108564815</v>
      </c>
      <c r="W1474" s="30"/>
      <c r="X1474" s="30"/>
      <c r="Y1474" s="31"/>
      <c r="Z1474" s="31"/>
      <c r="AA1474" s="31" t="s">
        <v>94</v>
      </c>
      <c r="AB1474" s="31" t="s">
        <v>5865</v>
      </c>
      <c r="AC1474" s="31"/>
    </row>
    <row r="1475" ht="16.5" customHeight="1">
      <c r="A1475" s="48" t="s">
        <v>5866</v>
      </c>
      <c r="B1475" s="53" t="s">
        <v>5128</v>
      </c>
      <c r="C1475" s="54">
        <v>90.0</v>
      </c>
      <c r="D1475" s="70" t="s">
        <v>5867</v>
      </c>
      <c r="E1475" s="89" t="s">
        <v>91</v>
      </c>
      <c r="F1475" s="111" t="s">
        <v>48</v>
      </c>
      <c r="G1475" s="90" t="s">
        <v>35</v>
      </c>
      <c r="H1475" s="112" t="s">
        <v>35</v>
      </c>
      <c r="I1475" s="66" t="s">
        <v>36</v>
      </c>
      <c r="J1475" s="34" t="s">
        <v>49</v>
      </c>
      <c r="K1475" s="117" t="s">
        <v>38</v>
      </c>
      <c r="L1475" s="64" t="s">
        <v>5815</v>
      </c>
      <c r="M1475" s="22"/>
      <c r="N1475" s="116" t="s">
        <v>5753</v>
      </c>
      <c r="O1475" s="28">
        <v>45441.668219259256</v>
      </c>
      <c r="P1475" s="26" t="s">
        <v>5816</v>
      </c>
      <c r="Q1475" s="12"/>
      <c r="R1475" s="12"/>
      <c r="S1475" s="60"/>
      <c r="T1475" s="29">
        <v>45440.0</v>
      </c>
      <c r="U1475" s="29">
        <v>45441.0</v>
      </c>
      <c r="V1475" s="29">
        <v>45441.64769414352</v>
      </c>
      <c r="W1475" s="30"/>
      <c r="X1475" s="30"/>
      <c r="Y1475" s="31"/>
      <c r="Z1475" s="31"/>
      <c r="AA1475" s="31" t="s">
        <v>94</v>
      </c>
      <c r="AB1475" s="31" t="s">
        <v>5868</v>
      </c>
      <c r="AC1475" s="31"/>
    </row>
    <row r="1476" ht="16.5" customHeight="1">
      <c r="A1476" s="48" t="s">
        <v>5869</v>
      </c>
      <c r="B1476" s="53" t="s">
        <v>5128</v>
      </c>
      <c r="C1476" s="54">
        <v>90.0</v>
      </c>
      <c r="D1476" s="70" t="s">
        <v>5870</v>
      </c>
      <c r="E1476" s="89" t="s">
        <v>91</v>
      </c>
      <c r="F1476" s="111" t="s">
        <v>48</v>
      </c>
      <c r="G1476" s="90" t="s">
        <v>35</v>
      </c>
      <c r="H1476" s="112" t="s">
        <v>35</v>
      </c>
      <c r="I1476" s="66" t="s">
        <v>36</v>
      </c>
      <c r="J1476" s="34" t="s">
        <v>49</v>
      </c>
      <c r="K1476" s="117" t="s">
        <v>38</v>
      </c>
      <c r="L1476" s="64" t="s">
        <v>5815</v>
      </c>
      <c r="M1476" s="22"/>
      <c r="N1476" s="116" t="s">
        <v>5753</v>
      </c>
      <c r="O1476" s="28">
        <v>45441.668219259256</v>
      </c>
      <c r="P1476" s="26" t="s">
        <v>5816</v>
      </c>
      <c r="Q1476" s="12"/>
      <c r="R1476" s="12"/>
      <c r="S1476" s="60"/>
      <c r="T1476" s="29">
        <v>45440.0</v>
      </c>
      <c r="U1476" s="29">
        <v>45441.0</v>
      </c>
      <c r="V1476" s="29">
        <v>45441.647700208334</v>
      </c>
      <c r="W1476" s="30"/>
      <c r="X1476" s="30"/>
      <c r="Y1476" s="31"/>
      <c r="Z1476" s="31"/>
      <c r="AA1476" s="31" t="s">
        <v>94</v>
      </c>
      <c r="AB1476" s="31" t="s">
        <v>5871</v>
      </c>
      <c r="AC1476" s="31"/>
    </row>
    <row r="1477" ht="16.5" customHeight="1">
      <c r="A1477" s="48" t="s">
        <v>5872</v>
      </c>
      <c r="B1477" s="53" t="s">
        <v>5128</v>
      </c>
      <c r="C1477" s="54">
        <v>11.0</v>
      </c>
      <c r="D1477" s="21" t="s">
        <v>5873</v>
      </c>
      <c r="E1477" s="89" t="s">
        <v>112</v>
      </c>
      <c r="F1477" s="111" t="s">
        <v>48</v>
      </c>
      <c r="G1477" s="90" t="s">
        <v>35</v>
      </c>
      <c r="H1477" s="112" t="s">
        <v>35</v>
      </c>
      <c r="I1477" s="66" t="s">
        <v>36</v>
      </c>
      <c r="J1477" s="34" t="s">
        <v>49</v>
      </c>
      <c r="K1477" s="117" t="s">
        <v>38</v>
      </c>
      <c r="L1477" s="64" t="s">
        <v>5815</v>
      </c>
      <c r="M1477" s="22" t="s">
        <v>5874</v>
      </c>
      <c r="N1477" s="116" t="s">
        <v>5753</v>
      </c>
      <c r="O1477" s="28">
        <v>45441.668219259256</v>
      </c>
      <c r="P1477" s="26" t="s">
        <v>5816</v>
      </c>
      <c r="Q1477" s="12"/>
      <c r="R1477" s="12"/>
      <c r="S1477" s="60"/>
      <c r="T1477" s="29">
        <v>45440.0</v>
      </c>
      <c r="U1477" s="29">
        <v>45441.0</v>
      </c>
      <c r="V1477" s="29">
        <v>45441.61767255787</v>
      </c>
      <c r="W1477" s="30"/>
      <c r="X1477" s="30"/>
      <c r="Y1477" s="31"/>
      <c r="Z1477" s="31"/>
      <c r="AA1477" s="31" t="s">
        <v>94</v>
      </c>
      <c r="AB1477" s="31" t="s">
        <v>5875</v>
      </c>
      <c r="AC1477" s="31"/>
    </row>
    <row r="1478" ht="16.5" customHeight="1">
      <c r="A1478" s="48" t="s">
        <v>5876</v>
      </c>
      <c r="B1478" s="53" t="s">
        <v>5877</v>
      </c>
      <c r="C1478" s="54">
        <v>137.0</v>
      </c>
      <c r="D1478" s="21" t="s">
        <v>5878</v>
      </c>
      <c r="E1478" s="55" t="s">
        <v>85</v>
      </c>
      <c r="F1478" s="32" t="s">
        <v>48</v>
      </c>
      <c r="G1478" s="32" t="s">
        <v>35</v>
      </c>
      <c r="H1478" s="23" t="s">
        <v>35</v>
      </c>
      <c r="I1478" s="84" t="s">
        <v>36</v>
      </c>
      <c r="J1478" s="34" t="s">
        <v>518</v>
      </c>
      <c r="K1478" s="57" t="s">
        <v>38</v>
      </c>
      <c r="L1478" s="25">
        <v>10876.0</v>
      </c>
      <c r="M1478" s="22" t="s">
        <v>50</v>
      </c>
      <c r="N1478" s="26" t="s">
        <v>4616</v>
      </c>
      <c r="O1478" s="28">
        <v>45446.5780680787</v>
      </c>
      <c r="P1478" s="26" t="s">
        <v>5879</v>
      </c>
      <c r="Q1478" s="12"/>
      <c r="R1478" s="12"/>
      <c r="S1478" s="60"/>
      <c r="T1478" s="29">
        <v>45440.0</v>
      </c>
      <c r="U1478" s="29">
        <v>45440.0</v>
      </c>
      <c r="V1478" s="29">
        <v>45446.577849884256</v>
      </c>
      <c r="W1478" s="30"/>
      <c r="X1478" s="30"/>
      <c r="Y1478" s="31"/>
      <c r="Z1478" s="31"/>
      <c r="AA1478" s="31" t="s">
        <v>108</v>
      </c>
      <c r="AB1478" s="31" t="s">
        <v>5880</v>
      </c>
      <c r="AC1478" s="31"/>
    </row>
    <row r="1479" ht="16.5" customHeight="1">
      <c r="A1479" s="48" t="s">
        <v>5881</v>
      </c>
      <c r="B1479" s="53" t="s">
        <v>5313</v>
      </c>
      <c r="C1479" s="54">
        <v>0.0</v>
      </c>
      <c r="D1479" s="21" t="s">
        <v>5882</v>
      </c>
      <c r="E1479" s="55" t="s">
        <v>3441</v>
      </c>
      <c r="F1479" s="32" t="s">
        <v>48</v>
      </c>
      <c r="G1479" s="32" t="s">
        <v>35</v>
      </c>
      <c r="H1479" s="23" t="s">
        <v>35</v>
      </c>
      <c r="I1479" s="84" t="s">
        <v>36</v>
      </c>
      <c r="J1479" s="34" t="s">
        <v>65</v>
      </c>
      <c r="K1479" s="57" t="s">
        <v>38</v>
      </c>
      <c r="L1479" s="25">
        <v>10904.0</v>
      </c>
      <c r="M1479" s="22" t="s">
        <v>50</v>
      </c>
      <c r="N1479" s="26" t="s">
        <v>5883</v>
      </c>
      <c r="O1479" s="28">
        <v>45448.48973103009</v>
      </c>
      <c r="P1479" s="26" t="s">
        <v>5884</v>
      </c>
      <c r="Q1479" s="12"/>
      <c r="R1479" s="12"/>
      <c r="S1479" s="60"/>
      <c r="T1479" s="29">
        <v>45440.0</v>
      </c>
      <c r="U1479" s="29">
        <v>45447.0</v>
      </c>
      <c r="V1479" s="29">
        <v>45448.33765530093</v>
      </c>
      <c r="W1479" s="30"/>
      <c r="X1479" s="30"/>
      <c r="Y1479" s="31"/>
      <c r="Z1479" s="31"/>
      <c r="AA1479" s="31" t="s">
        <v>94</v>
      </c>
      <c r="AB1479" s="31" t="s">
        <v>5885</v>
      </c>
      <c r="AC1479" s="31"/>
    </row>
    <row r="1480" ht="16.5" customHeight="1">
      <c r="A1480" s="48" t="s">
        <v>5886</v>
      </c>
      <c r="B1480" s="53" t="s">
        <v>5887</v>
      </c>
      <c r="C1480" s="54">
        <v>34.0</v>
      </c>
      <c r="D1480" s="21" t="s">
        <v>5888</v>
      </c>
      <c r="E1480" s="55" t="s">
        <v>47</v>
      </c>
      <c r="F1480" s="32" t="s">
        <v>48</v>
      </c>
      <c r="G1480" s="32" t="s">
        <v>35</v>
      </c>
      <c r="H1480" s="23" t="s">
        <v>35</v>
      </c>
      <c r="I1480" s="66" t="s">
        <v>36</v>
      </c>
      <c r="J1480" s="34" t="s">
        <v>37</v>
      </c>
      <c r="K1480" s="57" t="s">
        <v>38</v>
      </c>
      <c r="L1480" s="25">
        <v>10902.0</v>
      </c>
      <c r="M1480" s="22" t="s">
        <v>50</v>
      </c>
      <c r="N1480" s="26" t="s">
        <v>4392</v>
      </c>
      <c r="O1480" s="28">
        <v>45447.69643063657</v>
      </c>
      <c r="P1480" s="26" t="s">
        <v>5889</v>
      </c>
      <c r="Q1480" s="12"/>
      <c r="R1480" s="12"/>
      <c r="S1480" s="60"/>
      <c r="T1480" s="29">
        <v>45440.0</v>
      </c>
      <c r="U1480" s="29">
        <v>45447.0</v>
      </c>
      <c r="V1480" s="29">
        <f>O1480</f>
        <v>45447.69643</v>
      </c>
      <c r="W1480" s="30"/>
      <c r="X1480" s="30"/>
      <c r="Y1480" s="31"/>
      <c r="Z1480" s="31"/>
      <c r="AA1480" s="31" t="s">
        <v>127</v>
      </c>
      <c r="AB1480" s="31" t="s">
        <v>5890</v>
      </c>
      <c r="AC1480" s="31"/>
    </row>
    <row r="1481" ht="16.5" customHeight="1">
      <c r="A1481" s="48" t="s">
        <v>5891</v>
      </c>
      <c r="B1481" s="53" t="s">
        <v>4206</v>
      </c>
      <c r="C1481" s="47">
        <v>0.0</v>
      </c>
      <c r="D1481" s="21" t="s">
        <v>5892</v>
      </c>
      <c r="E1481" s="55" t="s">
        <v>289</v>
      </c>
      <c r="F1481" s="32" t="s">
        <v>33</v>
      </c>
      <c r="G1481" s="90" t="s">
        <v>35</v>
      </c>
      <c r="H1481" s="112" t="s">
        <v>35</v>
      </c>
      <c r="I1481" s="84" t="s">
        <v>36</v>
      </c>
      <c r="J1481" s="118" t="s">
        <v>92</v>
      </c>
      <c r="K1481" s="117" t="s">
        <v>38</v>
      </c>
      <c r="L1481" s="25">
        <v>10911.0</v>
      </c>
      <c r="M1481" s="22" t="s">
        <v>40</v>
      </c>
      <c r="N1481" s="26" t="s">
        <v>5893</v>
      </c>
      <c r="O1481" s="28">
        <v>45448.706718726855</v>
      </c>
      <c r="P1481" s="26" t="s">
        <v>5894</v>
      </c>
      <c r="Q1481" s="12"/>
      <c r="R1481" s="30"/>
      <c r="S1481" s="60"/>
      <c r="T1481" s="29">
        <v>45441.0</v>
      </c>
      <c r="U1481" s="29">
        <v>45441.0</v>
      </c>
      <c r="V1481" s="29">
        <v>45448.0</v>
      </c>
      <c r="W1481" s="30"/>
      <c r="X1481" s="30"/>
      <c r="Y1481" s="31"/>
      <c r="Z1481" s="31"/>
      <c r="AA1481" s="31" t="s">
        <v>3059</v>
      </c>
      <c r="AB1481" s="31" t="s">
        <v>5895</v>
      </c>
      <c r="AC1481" s="31"/>
    </row>
    <row r="1482" ht="16.5" customHeight="1">
      <c r="A1482" s="48" t="s">
        <v>5896</v>
      </c>
      <c r="B1482" s="119" t="s">
        <v>4206</v>
      </c>
      <c r="C1482" s="47">
        <v>0.0</v>
      </c>
      <c r="D1482" s="21"/>
      <c r="E1482" s="55" t="s">
        <v>289</v>
      </c>
      <c r="F1482" s="32" t="s">
        <v>33</v>
      </c>
      <c r="G1482" s="90" t="s">
        <v>35</v>
      </c>
      <c r="H1482" s="112" t="s">
        <v>35</v>
      </c>
      <c r="I1482" s="112" t="s">
        <v>665</v>
      </c>
      <c r="J1482" s="34" t="s">
        <v>65</v>
      </c>
      <c r="K1482" s="117" t="s">
        <v>38</v>
      </c>
      <c r="L1482" s="25">
        <v>10998.0</v>
      </c>
      <c r="M1482" s="22" t="s">
        <v>40</v>
      </c>
      <c r="N1482" s="26" t="s">
        <v>5897</v>
      </c>
      <c r="O1482" s="28">
        <v>45467.72460756944</v>
      </c>
      <c r="P1482" s="35" t="s">
        <v>5898</v>
      </c>
      <c r="Q1482" s="12"/>
      <c r="R1482" s="30"/>
      <c r="S1482" s="60"/>
      <c r="T1482" s="29">
        <v>45441.0</v>
      </c>
      <c r="U1482" s="29">
        <v>45441.0</v>
      </c>
      <c r="V1482" s="29">
        <v>45448.0</v>
      </c>
      <c r="W1482" s="30"/>
      <c r="X1482" s="30"/>
      <c r="Y1482" s="31"/>
      <c r="Z1482" s="31"/>
      <c r="AA1482" s="31" t="s">
        <v>3059</v>
      </c>
      <c r="AB1482" s="31" t="s">
        <v>5899</v>
      </c>
      <c r="AC1482" s="31"/>
    </row>
    <row r="1483" ht="16.5" customHeight="1">
      <c r="A1483" s="48" t="s">
        <v>5900</v>
      </c>
      <c r="B1483" s="53" t="s">
        <v>4206</v>
      </c>
      <c r="C1483" s="47">
        <v>0.0</v>
      </c>
      <c r="D1483" s="21" t="s">
        <v>5901</v>
      </c>
      <c r="E1483" s="55" t="s">
        <v>289</v>
      </c>
      <c r="F1483" s="32" t="s">
        <v>33</v>
      </c>
      <c r="G1483" s="90" t="s">
        <v>35</v>
      </c>
      <c r="H1483" s="112" t="s">
        <v>35</v>
      </c>
      <c r="I1483" s="84" t="s">
        <v>36</v>
      </c>
      <c r="J1483" s="34" t="s">
        <v>65</v>
      </c>
      <c r="K1483" s="117" t="s">
        <v>38</v>
      </c>
      <c r="L1483" s="25">
        <v>10998.0</v>
      </c>
      <c r="M1483" s="22" t="s">
        <v>40</v>
      </c>
      <c r="N1483" s="26" t="s">
        <v>5897</v>
      </c>
      <c r="O1483" s="28">
        <v>45467.72467585648</v>
      </c>
      <c r="P1483" s="26" t="s">
        <v>5894</v>
      </c>
      <c r="Q1483" s="12"/>
      <c r="R1483" s="30"/>
      <c r="S1483" s="60"/>
      <c r="T1483" s="29">
        <v>45441.0</v>
      </c>
      <c r="U1483" s="29">
        <v>45441.0</v>
      </c>
      <c r="V1483" s="29">
        <v>45454.0</v>
      </c>
      <c r="W1483" s="30"/>
      <c r="X1483" s="30"/>
      <c r="Y1483" s="31"/>
      <c r="Z1483" s="31"/>
      <c r="AA1483" s="31" t="s">
        <v>3059</v>
      </c>
      <c r="AB1483" s="31" t="s">
        <v>5902</v>
      </c>
      <c r="AC1483" s="31"/>
    </row>
    <row r="1484" ht="16.5" customHeight="1">
      <c r="A1484" s="85" t="s">
        <v>5903</v>
      </c>
      <c r="B1484" s="120" t="s">
        <v>4206</v>
      </c>
      <c r="C1484" s="121">
        <v>0.0</v>
      </c>
      <c r="D1484" s="122" t="s">
        <v>5904</v>
      </c>
      <c r="E1484" s="89" t="s">
        <v>1530</v>
      </c>
      <c r="F1484" s="111" t="s">
        <v>33</v>
      </c>
      <c r="G1484" s="90" t="s">
        <v>35</v>
      </c>
      <c r="H1484" s="112" t="s">
        <v>35</v>
      </c>
      <c r="I1484" s="84" t="s">
        <v>36</v>
      </c>
      <c r="J1484" s="34" t="s">
        <v>65</v>
      </c>
      <c r="K1484" s="117" t="s">
        <v>38</v>
      </c>
      <c r="L1484" s="123">
        <v>10998.0</v>
      </c>
      <c r="M1484" s="22" t="s">
        <v>40</v>
      </c>
      <c r="N1484" s="93" t="s">
        <v>5897</v>
      </c>
      <c r="O1484" s="28">
        <v>45467.72474179398</v>
      </c>
      <c r="P1484" s="26" t="s">
        <v>5894</v>
      </c>
      <c r="Q1484" s="12"/>
      <c r="R1484" s="30"/>
      <c r="S1484" s="60"/>
      <c r="T1484" s="29">
        <v>45441.0</v>
      </c>
      <c r="U1484" s="29">
        <v>45441.0</v>
      </c>
      <c r="V1484" s="29">
        <v>45456.0</v>
      </c>
      <c r="W1484" s="30"/>
      <c r="X1484" s="30"/>
      <c r="Y1484" s="31"/>
      <c r="Z1484" s="31"/>
      <c r="AA1484" s="31" t="s">
        <v>3059</v>
      </c>
      <c r="AB1484" s="31" t="s">
        <v>5905</v>
      </c>
      <c r="AC1484" s="31"/>
    </row>
    <row r="1485" ht="16.5" customHeight="1">
      <c r="A1485" s="48" t="s">
        <v>5906</v>
      </c>
      <c r="B1485" s="53" t="s">
        <v>5907</v>
      </c>
      <c r="C1485" s="54">
        <v>11.0</v>
      </c>
      <c r="D1485" s="21" t="s">
        <v>5908</v>
      </c>
      <c r="E1485" s="89" t="s">
        <v>112</v>
      </c>
      <c r="F1485" s="111" t="s">
        <v>48</v>
      </c>
      <c r="G1485" s="90" t="s">
        <v>35</v>
      </c>
      <c r="H1485" s="112" t="s">
        <v>35</v>
      </c>
      <c r="I1485" s="84" t="s">
        <v>36</v>
      </c>
      <c r="J1485" s="34" t="s">
        <v>65</v>
      </c>
      <c r="K1485" s="117" t="s">
        <v>38</v>
      </c>
      <c r="L1485" s="25">
        <v>10883.0</v>
      </c>
      <c r="M1485" s="22" t="s">
        <v>50</v>
      </c>
      <c r="N1485" s="26" t="s">
        <v>5279</v>
      </c>
      <c r="O1485" s="28">
        <v>45446.61256685185</v>
      </c>
      <c r="P1485" s="26" t="s">
        <v>5909</v>
      </c>
      <c r="Q1485" s="12"/>
      <c r="R1485" s="12"/>
      <c r="S1485" s="60"/>
      <c r="T1485" s="29">
        <v>45440.0</v>
      </c>
      <c r="U1485" s="29">
        <v>45441.61256685185</v>
      </c>
      <c r="V1485" s="29">
        <v>45443.61256685185</v>
      </c>
      <c r="W1485" s="30"/>
      <c r="X1485" s="30"/>
      <c r="Y1485" s="31"/>
      <c r="Z1485" s="31"/>
      <c r="AA1485" s="31" t="s">
        <v>3059</v>
      </c>
      <c r="AB1485" s="31" t="s">
        <v>5910</v>
      </c>
      <c r="AC1485" s="31"/>
    </row>
    <row r="1486" ht="16.5" customHeight="1">
      <c r="A1486" s="85" t="s">
        <v>5911</v>
      </c>
      <c r="B1486" s="86" t="s">
        <v>4313</v>
      </c>
      <c r="C1486" s="87">
        <v>0.0</v>
      </c>
      <c r="D1486" s="122" t="s">
        <v>5912</v>
      </c>
      <c r="E1486" s="89" t="s">
        <v>511</v>
      </c>
      <c r="F1486" s="111" t="s">
        <v>33</v>
      </c>
      <c r="G1486" s="90" t="s">
        <v>34</v>
      </c>
      <c r="H1486" s="112" t="s">
        <v>35</v>
      </c>
      <c r="I1486" s="84" t="s">
        <v>36</v>
      </c>
      <c r="J1486" s="34" t="s">
        <v>92</v>
      </c>
      <c r="K1486" s="117" t="s">
        <v>38</v>
      </c>
      <c r="L1486" s="34">
        <v>10885.0</v>
      </c>
      <c r="M1486" s="22" t="s">
        <v>40</v>
      </c>
      <c r="N1486" s="93" t="s">
        <v>118</v>
      </c>
      <c r="O1486" s="28">
        <v>45446.60907615741</v>
      </c>
      <c r="P1486" s="26" t="s">
        <v>5913</v>
      </c>
      <c r="Q1486" s="12"/>
      <c r="R1486" s="30"/>
      <c r="S1486" s="60"/>
      <c r="T1486" s="29">
        <v>45441.0</v>
      </c>
      <c r="U1486" s="29">
        <v>45441.0</v>
      </c>
      <c r="V1486" s="29">
        <v>45446.0</v>
      </c>
      <c r="W1486" s="30"/>
      <c r="X1486" s="30"/>
      <c r="Y1486" s="31"/>
      <c r="Z1486" s="31"/>
      <c r="AA1486" s="31" t="s">
        <v>120</v>
      </c>
      <c r="AB1486" s="31" t="s">
        <v>5914</v>
      </c>
      <c r="AC1486" s="31"/>
    </row>
    <row r="1487" ht="16.5" customHeight="1">
      <c r="A1487" s="48" t="s">
        <v>5915</v>
      </c>
      <c r="B1487" s="53" t="s">
        <v>5916</v>
      </c>
      <c r="C1487" s="47">
        <v>0.0</v>
      </c>
      <c r="D1487" s="21" t="s">
        <v>5917</v>
      </c>
      <c r="E1487" s="55" t="s">
        <v>1911</v>
      </c>
      <c r="F1487" s="90" t="s">
        <v>244</v>
      </c>
      <c r="G1487" s="90" t="s">
        <v>35</v>
      </c>
      <c r="H1487" s="112" t="s">
        <v>35</v>
      </c>
      <c r="I1487" s="84" t="s">
        <v>36</v>
      </c>
      <c r="J1487" s="25" t="s">
        <v>37</v>
      </c>
      <c r="K1487" s="117" t="s">
        <v>38</v>
      </c>
      <c r="L1487" s="25">
        <v>10949.0</v>
      </c>
      <c r="M1487" s="22" t="s">
        <v>40</v>
      </c>
      <c r="N1487" s="26" t="s">
        <v>41</v>
      </c>
      <c r="O1487" s="28">
        <v>45455.608393518516</v>
      </c>
      <c r="P1487" s="26" t="s">
        <v>5918</v>
      </c>
      <c r="Q1487" s="12"/>
      <c r="R1487" s="30"/>
      <c r="S1487" s="60"/>
      <c r="T1487" s="29">
        <v>45441.0</v>
      </c>
      <c r="U1487" s="29">
        <v>45454.0</v>
      </c>
      <c r="V1487" s="29">
        <f>O1487</f>
        <v>45455.60839</v>
      </c>
      <c r="W1487" s="30"/>
      <c r="X1487" s="30"/>
      <c r="Y1487" s="31"/>
      <c r="Z1487" s="31"/>
      <c r="AA1487" s="31" t="s">
        <v>127</v>
      </c>
      <c r="AB1487" s="31" t="s">
        <v>5919</v>
      </c>
      <c r="AC1487" s="31"/>
    </row>
    <row r="1488" ht="16.5" customHeight="1">
      <c r="A1488" s="48" t="s">
        <v>5920</v>
      </c>
      <c r="B1488" s="53" t="s">
        <v>110</v>
      </c>
      <c r="C1488" s="47">
        <v>27.0</v>
      </c>
      <c r="D1488" s="70" t="s">
        <v>5921</v>
      </c>
      <c r="E1488" s="55" t="s">
        <v>72</v>
      </c>
      <c r="F1488" s="32" t="s">
        <v>48</v>
      </c>
      <c r="G1488" s="32" t="s">
        <v>35</v>
      </c>
      <c r="H1488" s="71" t="s">
        <v>35</v>
      </c>
      <c r="I1488" s="71" t="s">
        <v>36</v>
      </c>
      <c r="J1488" s="34" t="s">
        <v>49</v>
      </c>
      <c r="K1488" s="57" t="s">
        <v>38</v>
      </c>
      <c r="L1488" s="72">
        <v>10882.0</v>
      </c>
      <c r="M1488" s="22"/>
      <c r="N1488" s="73"/>
      <c r="O1488" s="28">
        <v>45446.0</v>
      </c>
      <c r="P1488" s="35" t="s">
        <v>5922</v>
      </c>
      <c r="Q1488" s="12"/>
      <c r="R1488" s="12"/>
      <c r="S1488" s="12"/>
      <c r="T1488" s="52">
        <v>45446.0</v>
      </c>
      <c r="U1488" s="52">
        <v>45384.0</v>
      </c>
      <c r="V1488" s="52">
        <v>45385.0</v>
      </c>
      <c r="W1488" s="30"/>
      <c r="X1488" s="30"/>
      <c r="Y1488" s="31"/>
      <c r="Z1488" s="31"/>
      <c r="AA1488" s="78" t="s">
        <v>94</v>
      </c>
      <c r="AB1488" s="74" t="s">
        <v>5923</v>
      </c>
      <c r="AC1488" s="74"/>
    </row>
    <row r="1489" ht="16.5" customHeight="1">
      <c r="A1489" s="48" t="s">
        <v>5924</v>
      </c>
      <c r="B1489" s="53" t="s">
        <v>110</v>
      </c>
      <c r="C1489" s="47">
        <v>1.0</v>
      </c>
      <c r="D1489" s="70" t="s">
        <v>5925</v>
      </c>
      <c r="E1489" s="55" t="s">
        <v>3395</v>
      </c>
      <c r="F1489" s="32" t="s">
        <v>48</v>
      </c>
      <c r="G1489" s="32" t="s">
        <v>35</v>
      </c>
      <c r="H1489" s="71" t="s">
        <v>35</v>
      </c>
      <c r="I1489" s="71" t="s">
        <v>36</v>
      </c>
      <c r="J1489" s="34" t="s">
        <v>49</v>
      </c>
      <c r="K1489" s="57" t="s">
        <v>38</v>
      </c>
      <c r="L1489" s="72">
        <v>10882.0</v>
      </c>
      <c r="M1489" s="22"/>
      <c r="N1489" s="73"/>
      <c r="O1489" s="28">
        <v>45446.0</v>
      </c>
      <c r="P1489" s="35" t="s">
        <v>5926</v>
      </c>
      <c r="Q1489" s="12"/>
      <c r="R1489" s="12"/>
      <c r="S1489" s="12"/>
      <c r="T1489" s="52">
        <v>45384.0</v>
      </c>
      <c r="U1489" s="52">
        <v>45384.0</v>
      </c>
      <c r="V1489" s="52">
        <v>45385.0</v>
      </c>
      <c r="W1489" s="30"/>
      <c r="X1489" s="30"/>
      <c r="Y1489" s="31"/>
      <c r="Z1489" s="31"/>
      <c r="AA1489" s="78" t="s">
        <v>94</v>
      </c>
      <c r="AB1489" s="74" t="s">
        <v>5927</v>
      </c>
      <c r="AC1489" s="74"/>
    </row>
    <row r="1490" ht="16.5" customHeight="1">
      <c r="A1490" s="48" t="s">
        <v>5928</v>
      </c>
      <c r="B1490" s="119" t="s">
        <v>110</v>
      </c>
      <c r="C1490" s="54">
        <v>0.0</v>
      </c>
      <c r="D1490" s="21" t="s">
        <v>5929</v>
      </c>
      <c r="E1490" s="55" t="s">
        <v>3441</v>
      </c>
      <c r="F1490" s="32" t="s">
        <v>48</v>
      </c>
      <c r="G1490" s="32" t="s">
        <v>35</v>
      </c>
      <c r="H1490" s="23" t="s">
        <v>35</v>
      </c>
      <c r="I1490" s="56" t="s">
        <v>36</v>
      </c>
      <c r="J1490" s="34" t="s">
        <v>49</v>
      </c>
      <c r="K1490" s="57" t="s">
        <v>38</v>
      </c>
      <c r="L1490" s="64" t="s">
        <v>5930</v>
      </c>
      <c r="M1490" s="22"/>
      <c r="N1490" s="124"/>
      <c r="O1490" s="28">
        <v>45456.0</v>
      </c>
      <c r="P1490" s="26" t="s">
        <v>5931</v>
      </c>
      <c r="Q1490" s="12"/>
      <c r="R1490" s="12"/>
      <c r="S1490" s="60"/>
      <c r="T1490" s="29">
        <v>45440.0</v>
      </c>
      <c r="U1490" s="29">
        <v>45446.0</v>
      </c>
      <c r="V1490" s="29">
        <f>O1490</f>
        <v>45456</v>
      </c>
      <c r="W1490" s="30"/>
      <c r="X1490" s="30"/>
      <c r="Y1490" s="31"/>
      <c r="Z1490" s="31"/>
      <c r="AA1490" s="31" t="s">
        <v>94</v>
      </c>
      <c r="AB1490" s="31" t="s">
        <v>5932</v>
      </c>
      <c r="AC1490" s="31"/>
    </row>
    <row r="1491" ht="16.5" customHeight="1">
      <c r="A1491" s="48" t="s">
        <v>5933</v>
      </c>
      <c r="B1491" s="53" t="s">
        <v>5934</v>
      </c>
      <c r="C1491" s="47">
        <v>0.0</v>
      </c>
      <c r="D1491" s="125" t="s">
        <v>5935</v>
      </c>
      <c r="E1491" s="55" t="s">
        <v>453</v>
      </c>
      <c r="F1491" s="90" t="s">
        <v>244</v>
      </c>
      <c r="G1491" s="90" t="s">
        <v>35</v>
      </c>
      <c r="H1491" s="112" t="s">
        <v>35</v>
      </c>
      <c r="I1491" s="84" t="s">
        <v>36</v>
      </c>
      <c r="J1491" s="34" t="s">
        <v>49</v>
      </c>
      <c r="K1491" s="117" t="s">
        <v>38</v>
      </c>
      <c r="L1491" s="25">
        <v>11258.0</v>
      </c>
      <c r="M1491" s="126" t="s">
        <v>50</v>
      </c>
      <c r="N1491" s="26" t="s">
        <v>5936</v>
      </c>
      <c r="O1491" s="28">
        <v>45510.58920236111</v>
      </c>
      <c r="P1491" s="26" t="s">
        <v>5937</v>
      </c>
      <c r="Q1491" s="12"/>
      <c r="R1491" s="30"/>
      <c r="S1491" s="11" t="s">
        <v>101</v>
      </c>
      <c r="T1491" s="29">
        <v>45441.0</v>
      </c>
      <c r="U1491" s="29"/>
      <c r="V1491" s="29">
        <v>45506.37667815972</v>
      </c>
      <c r="W1491" s="30"/>
      <c r="X1491" s="30"/>
      <c r="Y1491" s="31"/>
      <c r="Z1491" s="31"/>
      <c r="AA1491" s="31" t="s">
        <v>127</v>
      </c>
      <c r="AB1491" s="31" t="s">
        <v>5938</v>
      </c>
      <c r="AC1491" s="31"/>
    </row>
    <row r="1492" ht="16.5" customHeight="1">
      <c r="A1492" s="18" t="s">
        <v>5939</v>
      </c>
      <c r="B1492" s="53" t="s">
        <v>5934</v>
      </c>
      <c r="C1492" s="47">
        <v>0.0</v>
      </c>
      <c r="D1492" s="21" t="s">
        <v>5940</v>
      </c>
      <c r="E1492" s="55" t="s">
        <v>453</v>
      </c>
      <c r="F1492" s="90" t="s">
        <v>244</v>
      </c>
      <c r="G1492" s="90" t="s">
        <v>35</v>
      </c>
      <c r="H1492" s="112" t="s">
        <v>35</v>
      </c>
      <c r="I1492" s="84" t="s">
        <v>36</v>
      </c>
      <c r="J1492" s="34" t="s">
        <v>49</v>
      </c>
      <c r="K1492" s="117" t="s">
        <v>38</v>
      </c>
      <c r="L1492" s="25">
        <v>11258.0</v>
      </c>
      <c r="M1492" s="126" t="s">
        <v>50</v>
      </c>
      <c r="N1492" s="26" t="s">
        <v>5936</v>
      </c>
      <c r="O1492" s="28">
        <v>45510.58927229166</v>
      </c>
      <c r="P1492" s="26" t="s">
        <v>5937</v>
      </c>
      <c r="Q1492" s="11" t="s">
        <v>73</v>
      </c>
      <c r="R1492" s="30"/>
      <c r="S1492" s="11" t="s">
        <v>101</v>
      </c>
      <c r="T1492" s="29">
        <v>45506.48859001158</v>
      </c>
      <c r="U1492" s="29">
        <v>45509.69340069444</v>
      </c>
      <c r="V1492" s="29">
        <v>45510.44692113426</v>
      </c>
      <c r="W1492" s="30"/>
      <c r="X1492" s="30"/>
      <c r="Y1492" s="31"/>
      <c r="Z1492" s="31"/>
      <c r="AA1492" s="31" t="s">
        <v>127</v>
      </c>
      <c r="AB1492" s="31" t="s">
        <v>5941</v>
      </c>
      <c r="AC1492" s="31"/>
    </row>
    <row r="1493" ht="16.5" customHeight="1">
      <c r="A1493" s="48" t="s">
        <v>5942</v>
      </c>
      <c r="B1493" s="53" t="s">
        <v>5934</v>
      </c>
      <c r="C1493" s="47">
        <v>0.0</v>
      </c>
      <c r="D1493" s="21" t="s">
        <v>5943</v>
      </c>
      <c r="E1493" s="55" t="s">
        <v>5944</v>
      </c>
      <c r="F1493" s="90" t="s">
        <v>244</v>
      </c>
      <c r="G1493" s="90" t="s">
        <v>35</v>
      </c>
      <c r="H1493" s="112" t="s">
        <v>35</v>
      </c>
      <c r="I1493" s="84" t="s">
        <v>36</v>
      </c>
      <c r="J1493" s="34" t="s">
        <v>49</v>
      </c>
      <c r="K1493" s="117" t="s">
        <v>38</v>
      </c>
      <c r="L1493" s="25">
        <v>11258.0</v>
      </c>
      <c r="M1493" s="126" t="s">
        <v>50</v>
      </c>
      <c r="N1493" s="26" t="s">
        <v>5936</v>
      </c>
      <c r="O1493" s="28">
        <v>45510.58933780092</v>
      </c>
      <c r="P1493" s="26" t="s">
        <v>5937</v>
      </c>
      <c r="Q1493" s="12"/>
      <c r="R1493" s="30"/>
      <c r="S1493" s="11" t="s">
        <v>101</v>
      </c>
      <c r="T1493" s="29">
        <v>45441.0</v>
      </c>
      <c r="U1493" s="29"/>
      <c r="V1493" s="29">
        <v>45509.340367048615</v>
      </c>
      <c r="W1493" s="30"/>
      <c r="X1493" s="30"/>
      <c r="Y1493" s="31"/>
      <c r="Z1493" s="31"/>
      <c r="AA1493" s="31" t="s">
        <v>127</v>
      </c>
      <c r="AB1493" s="31" t="s">
        <v>5945</v>
      </c>
      <c r="AC1493" s="31"/>
    </row>
    <row r="1494" ht="16.5" customHeight="1">
      <c r="A1494" s="48" t="s">
        <v>5946</v>
      </c>
      <c r="B1494" s="53" t="s">
        <v>5947</v>
      </c>
      <c r="C1494" s="54">
        <v>34.0</v>
      </c>
      <c r="D1494" s="21" t="s">
        <v>5948</v>
      </c>
      <c r="E1494" s="55" t="s">
        <v>47</v>
      </c>
      <c r="F1494" s="32" t="s">
        <v>48</v>
      </c>
      <c r="G1494" s="90" t="s">
        <v>35</v>
      </c>
      <c r="H1494" s="112" t="s">
        <v>35</v>
      </c>
      <c r="I1494" s="84" t="s">
        <v>36</v>
      </c>
      <c r="J1494" s="34" t="s">
        <v>420</v>
      </c>
      <c r="K1494" s="117" t="s">
        <v>38</v>
      </c>
      <c r="L1494" s="25">
        <v>10892.0</v>
      </c>
      <c r="M1494" s="22" t="s">
        <v>50</v>
      </c>
      <c r="N1494" s="26" t="s">
        <v>4031</v>
      </c>
      <c r="O1494" s="28">
        <v>45447.64061667824</v>
      </c>
      <c r="P1494" s="26" t="s">
        <v>5949</v>
      </c>
      <c r="Q1494" s="12"/>
      <c r="R1494" s="12"/>
      <c r="S1494" s="60"/>
      <c r="T1494" s="29">
        <v>45441.0</v>
      </c>
      <c r="U1494" s="29">
        <v>45446.0</v>
      </c>
      <c r="V1494" s="29">
        <v>45447.378200844905</v>
      </c>
      <c r="W1494" s="30"/>
      <c r="X1494" s="30"/>
      <c r="Y1494" s="31"/>
      <c r="Z1494" s="31"/>
      <c r="AA1494" s="31" t="s">
        <v>120</v>
      </c>
      <c r="AB1494" s="31" t="s">
        <v>5950</v>
      </c>
      <c r="AC1494" s="31"/>
    </row>
    <row r="1495" ht="16.5" customHeight="1">
      <c r="A1495" s="48" t="s">
        <v>5951</v>
      </c>
      <c r="B1495" s="53" t="s">
        <v>5952</v>
      </c>
      <c r="C1495" s="54">
        <v>0.0</v>
      </c>
      <c r="D1495" s="21" t="s">
        <v>5953</v>
      </c>
      <c r="E1495" s="55" t="s">
        <v>3441</v>
      </c>
      <c r="F1495" s="32" t="s">
        <v>48</v>
      </c>
      <c r="G1495" s="90" t="s">
        <v>35</v>
      </c>
      <c r="H1495" s="112" t="s">
        <v>35</v>
      </c>
      <c r="I1495" s="84" t="s">
        <v>36</v>
      </c>
      <c r="J1495" s="25" t="s">
        <v>1098</v>
      </c>
      <c r="K1495" s="127" t="s">
        <v>5954</v>
      </c>
      <c r="L1495" s="64" t="s">
        <v>5955</v>
      </c>
      <c r="M1495" s="22" t="s">
        <v>50</v>
      </c>
      <c r="N1495" s="26" t="s">
        <v>5956</v>
      </c>
      <c r="O1495" s="28">
        <v>45447.59017576389</v>
      </c>
      <c r="P1495" s="26" t="s">
        <v>5957</v>
      </c>
      <c r="Q1495" s="12"/>
      <c r="R1495" s="12"/>
      <c r="S1495" s="60"/>
      <c r="T1495" s="29">
        <v>45441.0</v>
      </c>
      <c r="U1495" s="29">
        <v>45447.0</v>
      </c>
      <c r="V1495" s="29">
        <f t="shared" ref="V1495:V1497" si="3">O1495</f>
        <v>45447.59018</v>
      </c>
      <c r="W1495" s="30"/>
      <c r="X1495" s="30"/>
      <c r="Y1495" s="31"/>
      <c r="Z1495" s="31"/>
      <c r="AA1495" s="31" t="s">
        <v>127</v>
      </c>
      <c r="AB1495" s="31" t="s">
        <v>5958</v>
      </c>
      <c r="AC1495" s="31"/>
    </row>
    <row r="1496" ht="16.5" customHeight="1">
      <c r="A1496" s="48" t="s">
        <v>5959</v>
      </c>
      <c r="B1496" s="53" t="s">
        <v>5952</v>
      </c>
      <c r="C1496" s="54">
        <v>0.0</v>
      </c>
      <c r="D1496" s="21" t="s">
        <v>5960</v>
      </c>
      <c r="E1496" s="55" t="s">
        <v>3441</v>
      </c>
      <c r="F1496" s="32" t="s">
        <v>48</v>
      </c>
      <c r="G1496" s="90" t="s">
        <v>35</v>
      </c>
      <c r="H1496" s="112" t="s">
        <v>35</v>
      </c>
      <c r="I1496" s="84" t="s">
        <v>36</v>
      </c>
      <c r="J1496" s="25" t="s">
        <v>1098</v>
      </c>
      <c r="K1496" s="127" t="s">
        <v>5954</v>
      </c>
      <c r="L1496" s="64" t="s">
        <v>5955</v>
      </c>
      <c r="M1496" s="22" t="s">
        <v>50</v>
      </c>
      <c r="N1496" s="26" t="s">
        <v>5956</v>
      </c>
      <c r="O1496" s="28">
        <v>45447.59025445602</v>
      </c>
      <c r="P1496" s="26" t="s">
        <v>5957</v>
      </c>
      <c r="Q1496" s="12"/>
      <c r="R1496" s="12"/>
      <c r="S1496" s="60"/>
      <c r="T1496" s="29">
        <v>45441.0</v>
      </c>
      <c r="U1496" s="29">
        <v>45447.0</v>
      </c>
      <c r="V1496" s="29">
        <f t="shared" si="3"/>
        <v>45447.59025</v>
      </c>
      <c r="W1496" s="30"/>
      <c r="X1496" s="30"/>
      <c r="Y1496" s="31"/>
      <c r="Z1496" s="31"/>
      <c r="AA1496" s="31" t="s">
        <v>127</v>
      </c>
      <c r="AB1496" s="31" t="s">
        <v>5961</v>
      </c>
      <c r="AC1496" s="31"/>
    </row>
    <row r="1497" ht="16.5" customHeight="1">
      <c r="A1497" s="48" t="s">
        <v>5962</v>
      </c>
      <c r="B1497" s="53" t="s">
        <v>5952</v>
      </c>
      <c r="C1497" s="54">
        <v>27.0</v>
      </c>
      <c r="D1497" s="21" t="s">
        <v>5963</v>
      </c>
      <c r="E1497" s="55" t="s">
        <v>72</v>
      </c>
      <c r="F1497" s="32" t="s">
        <v>48</v>
      </c>
      <c r="G1497" s="90" t="s">
        <v>35</v>
      </c>
      <c r="H1497" s="112" t="s">
        <v>35</v>
      </c>
      <c r="I1497" s="84" t="s">
        <v>36</v>
      </c>
      <c r="J1497" s="25" t="s">
        <v>1098</v>
      </c>
      <c r="K1497" s="127" t="s">
        <v>5954</v>
      </c>
      <c r="L1497" s="64" t="s">
        <v>5955</v>
      </c>
      <c r="M1497" s="22" t="s">
        <v>50</v>
      </c>
      <c r="N1497" s="26" t="s">
        <v>5956</v>
      </c>
      <c r="O1497" s="28">
        <v>45447.59031733796</v>
      </c>
      <c r="P1497" s="26" t="s">
        <v>5957</v>
      </c>
      <c r="Q1497" s="12"/>
      <c r="R1497" s="12"/>
      <c r="S1497" s="60"/>
      <c r="T1497" s="29">
        <v>45441.0</v>
      </c>
      <c r="U1497" s="29">
        <v>45447.0</v>
      </c>
      <c r="V1497" s="29">
        <f t="shared" si="3"/>
        <v>45447.59032</v>
      </c>
      <c r="W1497" s="30"/>
      <c r="X1497" s="30"/>
      <c r="Y1497" s="31"/>
      <c r="Z1497" s="31"/>
      <c r="AA1497" s="31" t="s">
        <v>127</v>
      </c>
      <c r="AB1497" s="31" t="s">
        <v>5964</v>
      </c>
      <c r="AC1497" s="31"/>
    </row>
    <row r="1498" ht="16.5" customHeight="1">
      <c r="A1498" s="48" t="s">
        <v>5965</v>
      </c>
      <c r="B1498" s="53" t="s">
        <v>5966</v>
      </c>
      <c r="C1498" s="47">
        <v>0.0</v>
      </c>
      <c r="D1498" s="21" t="s">
        <v>5967</v>
      </c>
      <c r="E1498" s="55" t="s">
        <v>295</v>
      </c>
      <c r="F1498" s="32" t="s">
        <v>33</v>
      </c>
      <c r="G1498" s="32" t="s">
        <v>34</v>
      </c>
      <c r="H1498" s="112" t="s">
        <v>35</v>
      </c>
      <c r="I1498" s="84" t="s">
        <v>36</v>
      </c>
      <c r="J1498" s="34" t="s">
        <v>49</v>
      </c>
      <c r="K1498" s="57" t="s">
        <v>1506</v>
      </c>
      <c r="L1498" s="25">
        <v>10933.0</v>
      </c>
      <c r="M1498" s="22" t="s">
        <v>40</v>
      </c>
      <c r="N1498" s="26" t="s">
        <v>4183</v>
      </c>
      <c r="O1498" s="28">
        <v>45454.30527898148</v>
      </c>
      <c r="P1498" s="26" t="s">
        <v>5968</v>
      </c>
      <c r="Q1498" s="12"/>
      <c r="R1498" s="30"/>
      <c r="S1498" s="60"/>
      <c r="T1498" s="29">
        <v>45441.0</v>
      </c>
      <c r="U1498" s="29">
        <v>45447.0</v>
      </c>
      <c r="V1498" s="29">
        <v>45450.0</v>
      </c>
      <c r="W1498" s="30"/>
      <c r="X1498" s="30"/>
      <c r="Y1498" s="31"/>
      <c r="Z1498" s="31"/>
      <c r="AA1498" s="31" t="s">
        <v>3053</v>
      </c>
      <c r="AB1498" s="31" t="s">
        <v>5969</v>
      </c>
      <c r="AC1498" s="31"/>
    </row>
    <row r="1499" ht="16.5" customHeight="1">
      <c r="A1499" s="48" t="s">
        <v>5970</v>
      </c>
      <c r="B1499" s="53" t="s">
        <v>1759</v>
      </c>
      <c r="C1499" s="54">
        <v>90.0</v>
      </c>
      <c r="D1499" s="70" t="s">
        <v>5971</v>
      </c>
      <c r="E1499" s="55" t="s">
        <v>91</v>
      </c>
      <c r="F1499" s="32" t="s">
        <v>48</v>
      </c>
      <c r="G1499" s="32" t="s">
        <v>35</v>
      </c>
      <c r="H1499" s="112" t="s">
        <v>35</v>
      </c>
      <c r="I1499" s="84" t="s">
        <v>36</v>
      </c>
      <c r="J1499" s="34" t="s">
        <v>49</v>
      </c>
      <c r="K1499" s="57" t="s">
        <v>1761</v>
      </c>
      <c r="L1499" s="25">
        <v>10905.0</v>
      </c>
      <c r="M1499" s="22" t="s">
        <v>50</v>
      </c>
      <c r="N1499" s="26" t="s">
        <v>106</v>
      </c>
      <c r="O1499" s="28">
        <v>45448.615460706016</v>
      </c>
      <c r="P1499" s="26" t="s">
        <v>5972</v>
      </c>
      <c r="Q1499" s="12"/>
      <c r="R1499" s="12"/>
      <c r="S1499" s="60"/>
      <c r="T1499" s="29">
        <v>45441.0</v>
      </c>
      <c r="U1499" s="29">
        <v>45447.0</v>
      </c>
      <c r="V1499" s="29">
        <v>45448.34148454861</v>
      </c>
      <c r="W1499" s="30"/>
      <c r="X1499" s="30"/>
      <c r="Y1499" s="31"/>
      <c r="Z1499" s="31"/>
      <c r="AA1499" s="31" t="s">
        <v>127</v>
      </c>
      <c r="AB1499" s="31" t="s">
        <v>5973</v>
      </c>
      <c r="AC1499" s="31"/>
    </row>
    <row r="1500" ht="16.5" customHeight="1">
      <c r="A1500" s="48" t="s">
        <v>5974</v>
      </c>
      <c r="B1500" s="53" t="s">
        <v>5975</v>
      </c>
      <c r="C1500" s="54">
        <v>137.0</v>
      </c>
      <c r="D1500" s="21" t="s">
        <v>5976</v>
      </c>
      <c r="E1500" s="55" t="s">
        <v>85</v>
      </c>
      <c r="F1500" s="32" t="s">
        <v>48</v>
      </c>
      <c r="G1500" s="32" t="s">
        <v>35</v>
      </c>
      <c r="H1500" s="112" t="s">
        <v>35</v>
      </c>
      <c r="I1500" s="84" t="s">
        <v>36</v>
      </c>
      <c r="J1500" s="34" t="s">
        <v>65</v>
      </c>
      <c r="K1500" s="57" t="s">
        <v>38</v>
      </c>
      <c r="L1500" s="25">
        <v>10906.0</v>
      </c>
      <c r="M1500" s="22" t="s">
        <v>50</v>
      </c>
      <c r="N1500" s="26" t="s">
        <v>5883</v>
      </c>
      <c r="O1500" s="28">
        <v>45448.48979854167</v>
      </c>
      <c r="P1500" s="26" t="s">
        <v>5977</v>
      </c>
      <c r="Q1500" s="12"/>
      <c r="R1500" s="12"/>
      <c r="S1500" s="60"/>
      <c r="T1500" s="29">
        <v>45441.0</v>
      </c>
      <c r="U1500" s="29">
        <v>45447.0</v>
      </c>
      <c r="V1500" s="29">
        <v>45448.334909502315</v>
      </c>
      <c r="W1500" s="30"/>
      <c r="X1500" s="30"/>
      <c r="Y1500" s="31"/>
      <c r="Z1500" s="31"/>
      <c r="AA1500" s="31" t="s">
        <v>94</v>
      </c>
      <c r="AB1500" s="31" t="s">
        <v>5978</v>
      </c>
      <c r="AC1500" s="31"/>
    </row>
    <row r="1501" ht="16.5" customHeight="1">
      <c r="A1501" s="48" t="s">
        <v>5979</v>
      </c>
      <c r="B1501" s="53" t="s">
        <v>5975</v>
      </c>
      <c r="C1501" s="54">
        <v>137.0</v>
      </c>
      <c r="D1501" s="21" t="s">
        <v>5980</v>
      </c>
      <c r="E1501" s="55" t="s">
        <v>85</v>
      </c>
      <c r="F1501" s="32" t="s">
        <v>48</v>
      </c>
      <c r="G1501" s="32" t="s">
        <v>35</v>
      </c>
      <c r="H1501" s="112" t="s">
        <v>35</v>
      </c>
      <c r="I1501" s="84" t="s">
        <v>36</v>
      </c>
      <c r="J1501" s="34" t="s">
        <v>65</v>
      </c>
      <c r="K1501" s="57" t="s">
        <v>38</v>
      </c>
      <c r="L1501" s="25">
        <v>10906.0</v>
      </c>
      <c r="M1501" s="22" t="s">
        <v>50</v>
      </c>
      <c r="N1501" s="26" t="s">
        <v>5883</v>
      </c>
      <c r="O1501" s="28">
        <v>45448.48986204861</v>
      </c>
      <c r="P1501" s="26" t="s">
        <v>5977</v>
      </c>
      <c r="Q1501" s="12"/>
      <c r="R1501" s="12"/>
      <c r="S1501" s="60"/>
      <c r="T1501" s="29">
        <v>45441.0</v>
      </c>
      <c r="U1501" s="29">
        <v>45447.0</v>
      </c>
      <c r="V1501" s="29">
        <v>45448.334916458334</v>
      </c>
      <c r="W1501" s="30"/>
      <c r="X1501" s="30"/>
      <c r="Y1501" s="31"/>
      <c r="Z1501" s="31"/>
      <c r="AA1501" s="31" t="s">
        <v>94</v>
      </c>
      <c r="AB1501" s="31" t="s">
        <v>5981</v>
      </c>
      <c r="AC1501" s="31"/>
    </row>
    <row r="1502" ht="16.5" customHeight="1">
      <c r="A1502" s="48" t="s">
        <v>5982</v>
      </c>
      <c r="B1502" s="53" t="s">
        <v>5975</v>
      </c>
      <c r="C1502" s="54">
        <v>137.0</v>
      </c>
      <c r="D1502" s="21" t="s">
        <v>5983</v>
      </c>
      <c r="E1502" s="55" t="s">
        <v>85</v>
      </c>
      <c r="F1502" s="32" t="s">
        <v>48</v>
      </c>
      <c r="G1502" s="32" t="s">
        <v>35</v>
      </c>
      <c r="H1502" s="112" t="s">
        <v>35</v>
      </c>
      <c r="I1502" s="84" t="s">
        <v>36</v>
      </c>
      <c r="J1502" s="34" t="s">
        <v>65</v>
      </c>
      <c r="K1502" s="57" t="s">
        <v>38</v>
      </c>
      <c r="L1502" s="25">
        <v>10906.0</v>
      </c>
      <c r="M1502" s="22" t="s">
        <v>50</v>
      </c>
      <c r="N1502" s="26" t="s">
        <v>5883</v>
      </c>
      <c r="O1502" s="28">
        <v>45448.489926724535</v>
      </c>
      <c r="P1502" s="26" t="s">
        <v>5977</v>
      </c>
      <c r="Q1502" s="12"/>
      <c r="R1502" s="12"/>
      <c r="S1502" s="60"/>
      <c r="T1502" s="29">
        <v>45441.0</v>
      </c>
      <c r="U1502" s="29">
        <v>45447.0</v>
      </c>
      <c r="V1502" s="29">
        <v>45448.334960625</v>
      </c>
      <c r="W1502" s="30"/>
      <c r="X1502" s="30"/>
      <c r="Y1502" s="31"/>
      <c r="Z1502" s="31"/>
      <c r="AA1502" s="31" t="s">
        <v>94</v>
      </c>
      <c r="AB1502" s="31" t="s">
        <v>5984</v>
      </c>
      <c r="AC1502" s="31"/>
    </row>
    <row r="1503" ht="16.5" customHeight="1">
      <c r="A1503" s="48" t="s">
        <v>5985</v>
      </c>
      <c r="B1503" s="53" t="s">
        <v>5975</v>
      </c>
      <c r="C1503" s="54">
        <v>137.0</v>
      </c>
      <c r="D1503" s="21" t="s">
        <v>5986</v>
      </c>
      <c r="E1503" s="55" t="s">
        <v>85</v>
      </c>
      <c r="F1503" s="32" t="s">
        <v>48</v>
      </c>
      <c r="G1503" s="32" t="s">
        <v>35</v>
      </c>
      <c r="H1503" s="112" t="s">
        <v>35</v>
      </c>
      <c r="I1503" s="84" t="s">
        <v>36</v>
      </c>
      <c r="J1503" s="34" t="s">
        <v>65</v>
      </c>
      <c r="K1503" s="57" t="s">
        <v>38</v>
      </c>
      <c r="L1503" s="25">
        <v>10906.0</v>
      </c>
      <c r="M1503" s="22" t="s">
        <v>50</v>
      </c>
      <c r="N1503" s="26" t="s">
        <v>5883</v>
      </c>
      <c r="O1503" s="28">
        <v>45448.48999284722</v>
      </c>
      <c r="P1503" s="26" t="s">
        <v>5977</v>
      </c>
      <c r="Q1503" s="12"/>
      <c r="R1503" s="12"/>
      <c r="S1503" s="60"/>
      <c r="T1503" s="29">
        <v>45441.0</v>
      </c>
      <c r="U1503" s="29">
        <v>45447.0</v>
      </c>
      <c r="V1503" s="29">
        <v>45448.33494719907</v>
      </c>
      <c r="W1503" s="30"/>
      <c r="X1503" s="30"/>
      <c r="Y1503" s="31"/>
      <c r="Z1503" s="31"/>
      <c r="AA1503" s="31" t="s">
        <v>94</v>
      </c>
      <c r="AB1503" s="31" t="s">
        <v>5987</v>
      </c>
      <c r="AC1503" s="31"/>
    </row>
    <row r="1504" ht="16.5" customHeight="1">
      <c r="A1504" s="48" t="s">
        <v>5988</v>
      </c>
      <c r="B1504" s="53" t="s">
        <v>802</v>
      </c>
      <c r="C1504" s="47">
        <v>0.0</v>
      </c>
      <c r="D1504" s="21" t="s">
        <v>5989</v>
      </c>
      <c r="E1504" s="55" t="s">
        <v>804</v>
      </c>
      <c r="F1504" s="32" t="s">
        <v>244</v>
      </c>
      <c r="G1504" s="32" t="s">
        <v>35</v>
      </c>
      <c r="H1504" s="23" t="s">
        <v>35</v>
      </c>
      <c r="I1504" s="66" t="s">
        <v>36</v>
      </c>
      <c r="J1504" s="34" t="s">
        <v>49</v>
      </c>
      <c r="K1504" s="57" t="s">
        <v>805</v>
      </c>
      <c r="L1504" s="25">
        <v>10934.0</v>
      </c>
      <c r="M1504" s="22" t="s">
        <v>40</v>
      </c>
      <c r="N1504" s="26" t="s">
        <v>4183</v>
      </c>
      <c r="O1504" s="28">
        <v>45454.3074709838</v>
      </c>
      <c r="P1504" s="26" t="s">
        <v>5990</v>
      </c>
      <c r="Q1504" s="12"/>
      <c r="R1504" s="30"/>
      <c r="S1504" s="60"/>
      <c r="T1504" s="29">
        <v>45441.0</v>
      </c>
      <c r="U1504" s="29">
        <v>45447.0</v>
      </c>
      <c r="V1504" s="29">
        <v>45450.0</v>
      </c>
      <c r="W1504" s="30"/>
      <c r="X1504" s="30"/>
      <c r="Y1504" s="31"/>
      <c r="Z1504" s="31"/>
      <c r="AA1504" s="31" t="s">
        <v>3385</v>
      </c>
      <c r="AB1504" s="31" t="s">
        <v>5991</v>
      </c>
      <c r="AC1504" s="31"/>
    </row>
    <row r="1505" ht="16.5" customHeight="1">
      <c r="A1505" s="48" t="s">
        <v>5992</v>
      </c>
      <c r="B1505" s="53" t="s">
        <v>802</v>
      </c>
      <c r="C1505" s="47">
        <v>0.0</v>
      </c>
      <c r="D1505" s="21" t="s">
        <v>5993</v>
      </c>
      <c r="E1505" s="55" t="s">
        <v>804</v>
      </c>
      <c r="F1505" s="32" t="s">
        <v>244</v>
      </c>
      <c r="G1505" s="32" t="s">
        <v>35</v>
      </c>
      <c r="H1505" s="23" t="s">
        <v>35</v>
      </c>
      <c r="I1505" s="66" t="s">
        <v>36</v>
      </c>
      <c r="J1505" s="34" t="s">
        <v>49</v>
      </c>
      <c r="K1505" s="57" t="s">
        <v>805</v>
      </c>
      <c r="L1505" s="25">
        <v>10934.0</v>
      </c>
      <c r="M1505" s="22" t="s">
        <v>40</v>
      </c>
      <c r="N1505" s="26" t="s">
        <v>4183</v>
      </c>
      <c r="O1505" s="28">
        <v>45454.30755203703</v>
      </c>
      <c r="P1505" s="26" t="s">
        <v>5990</v>
      </c>
      <c r="Q1505" s="12"/>
      <c r="R1505" s="30"/>
      <c r="S1505" s="60"/>
      <c r="T1505" s="29">
        <v>45441.0</v>
      </c>
      <c r="U1505" s="29">
        <v>45447.0</v>
      </c>
      <c r="V1505" s="29">
        <v>45450.0</v>
      </c>
      <c r="W1505" s="30"/>
      <c r="X1505" s="30"/>
      <c r="Y1505" s="31"/>
      <c r="Z1505" s="31"/>
      <c r="AA1505" s="31" t="s">
        <v>3385</v>
      </c>
      <c r="AB1505" s="31" t="s">
        <v>5994</v>
      </c>
      <c r="AC1505" s="31"/>
    </row>
    <row r="1506" ht="16.5" customHeight="1">
      <c r="A1506" s="48" t="s">
        <v>5995</v>
      </c>
      <c r="B1506" s="53" t="s">
        <v>802</v>
      </c>
      <c r="C1506" s="47">
        <v>0.0</v>
      </c>
      <c r="D1506" s="21" t="s">
        <v>5996</v>
      </c>
      <c r="E1506" s="55" t="s">
        <v>804</v>
      </c>
      <c r="F1506" s="32" t="s">
        <v>244</v>
      </c>
      <c r="G1506" s="32" t="s">
        <v>35</v>
      </c>
      <c r="H1506" s="23" t="s">
        <v>35</v>
      </c>
      <c r="I1506" s="66" t="s">
        <v>36</v>
      </c>
      <c r="J1506" s="34" t="s">
        <v>49</v>
      </c>
      <c r="K1506" s="57" t="s">
        <v>805</v>
      </c>
      <c r="L1506" s="25">
        <v>10934.0</v>
      </c>
      <c r="M1506" s="22" t="s">
        <v>40</v>
      </c>
      <c r="N1506" s="26" t="s">
        <v>4183</v>
      </c>
      <c r="O1506" s="28">
        <v>45454.30764983797</v>
      </c>
      <c r="P1506" s="26" t="s">
        <v>5990</v>
      </c>
      <c r="Q1506" s="12"/>
      <c r="R1506" s="30"/>
      <c r="S1506" s="60"/>
      <c r="T1506" s="29">
        <v>45441.0</v>
      </c>
      <c r="U1506" s="29">
        <v>45447.0</v>
      </c>
      <c r="V1506" s="29">
        <v>45449.0</v>
      </c>
      <c r="W1506" s="30"/>
      <c r="X1506" s="30"/>
      <c r="Y1506" s="31"/>
      <c r="Z1506" s="31"/>
      <c r="AA1506" s="31" t="s">
        <v>3385</v>
      </c>
      <c r="AB1506" s="31" t="s">
        <v>5997</v>
      </c>
      <c r="AC1506" s="31"/>
    </row>
    <row r="1507" ht="16.5" customHeight="1">
      <c r="A1507" s="48" t="s">
        <v>5998</v>
      </c>
      <c r="B1507" s="53" t="s">
        <v>802</v>
      </c>
      <c r="C1507" s="47">
        <v>0.0</v>
      </c>
      <c r="D1507" s="21" t="s">
        <v>5999</v>
      </c>
      <c r="E1507" s="55" t="s">
        <v>804</v>
      </c>
      <c r="F1507" s="32" t="s">
        <v>244</v>
      </c>
      <c r="G1507" s="32" t="s">
        <v>35</v>
      </c>
      <c r="H1507" s="23" t="s">
        <v>35</v>
      </c>
      <c r="I1507" s="66" t="s">
        <v>36</v>
      </c>
      <c r="J1507" s="34" t="s">
        <v>49</v>
      </c>
      <c r="K1507" s="57" t="s">
        <v>805</v>
      </c>
      <c r="L1507" s="25">
        <v>10934.0</v>
      </c>
      <c r="M1507" s="22" t="s">
        <v>40</v>
      </c>
      <c r="N1507" s="26" t="s">
        <v>4183</v>
      </c>
      <c r="O1507" s="28">
        <v>45454.30772152777</v>
      </c>
      <c r="P1507" s="26" t="s">
        <v>5990</v>
      </c>
      <c r="Q1507" s="12"/>
      <c r="R1507" s="30"/>
      <c r="S1507" s="60"/>
      <c r="T1507" s="29">
        <v>45441.0</v>
      </c>
      <c r="U1507" s="29">
        <v>45447.0</v>
      </c>
      <c r="V1507" s="29">
        <v>45450.0</v>
      </c>
      <c r="W1507" s="30"/>
      <c r="X1507" s="30"/>
      <c r="Y1507" s="31"/>
      <c r="Z1507" s="31"/>
      <c r="AA1507" s="31" t="s">
        <v>3385</v>
      </c>
      <c r="AB1507" s="31" t="s">
        <v>6000</v>
      </c>
      <c r="AC1507" s="31"/>
    </row>
    <row r="1508" ht="16.5" customHeight="1">
      <c r="A1508" s="48" t="s">
        <v>6001</v>
      </c>
      <c r="B1508" s="53" t="s">
        <v>5952</v>
      </c>
      <c r="C1508" s="54">
        <v>0.0</v>
      </c>
      <c r="D1508" s="21" t="s">
        <v>6002</v>
      </c>
      <c r="E1508" s="55" t="s">
        <v>3441</v>
      </c>
      <c r="F1508" s="32" t="s">
        <v>48</v>
      </c>
      <c r="G1508" s="32" t="s">
        <v>35</v>
      </c>
      <c r="H1508" s="23" t="s">
        <v>35</v>
      </c>
      <c r="I1508" s="84" t="s">
        <v>36</v>
      </c>
      <c r="J1508" s="25" t="s">
        <v>1098</v>
      </c>
      <c r="K1508" s="57" t="s">
        <v>38</v>
      </c>
      <c r="L1508" s="64" t="s">
        <v>6003</v>
      </c>
      <c r="M1508" s="22" t="s">
        <v>50</v>
      </c>
      <c r="N1508" s="26" t="s">
        <v>5956</v>
      </c>
      <c r="O1508" s="28">
        <v>45447.59038096065</v>
      </c>
      <c r="P1508" s="26" t="s">
        <v>6004</v>
      </c>
      <c r="Q1508" s="12"/>
      <c r="R1508" s="12"/>
      <c r="S1508" s="60"/>
      <c r="T1508" s="29">
        <v>45444.0</v>
      </c>
      <c r="U1508" s="29">
        <v>45447.0</v>
      </c>
      <c r="V1508" s="29">
        <f t="shared" ref="V1508:V1509" si="4">O1508</f>
        <v>45447.59038</v>
      </c>
      <c r="W1508" s="30"/>
      <c r="X1508" s="30"/>
      <c r="Y1508" s="31"/>
      <c r="Z1508" s="31"/>
      <c r="AA1508" s="31" t="s">
        <v>127</v>
      </c>
      <c r="AB1508" s="31" t="s">
        <v>6005</v>
      </c>
      <c r="AC1508" s="31"/>
    </row>
    <row r="1509" ht="16.5" customHeight="1">
      <c r="A1509" s="48" t="s">
        <v>6006</v>
      </c>
      <c r="B1509" s="53" t="s">
        <v>5952</v>
      </c>
      <c r="C1509" s="54">
        <v>90.0</v>
      </c>
      <c r="D1509" s="70" t="s">
        <v>6007</v>
      </c>
      <c r="E1509" s="55" t="s">
        <v>91</v>
      </c>
      <c r="F1509" s="32" t="s">
        <v>48</v>
      </c>
      <c r="G1509" s="32" t="s">
        <v>35</v>
      </c>
      <c r="H1509" s="23" t="s">
        <v>35</v>
      </c>
      <c r="I1509" s="84" t="s">
        <v>36</v>
      </c>
      <c r="J1509" s="25" t="s">
        <v>1098</v>
      </c>
      <c r="K1509" s="57" t="s">
        <v>38</v>
      </c>
      <c r="L1509" s="64" t="s">
        <v>6003</v>
      </c>
      <c r="M1509" s="22" t="s">
        <v>50</v>
      </c>
      <c r="N1509" s="26" t="s">
        <v>5956</v>
      </c>
      <c r="O1509" s="28">
        <v>45447.59045541666</v>
      </c>
      <c r="P1509" s="26" t="s">
        <v>6004</v>
      </c>
      <c r="Q1509" s="12"/>
      <c r="R1509" s="12"/>
      <c r="S1509" s="60"/>
      <c r="T1509" s="29">
        <v>45444.0</v>
      </c>
      <c r="U1509" s="29">
        <v>45447.0</v>
      </c>
      <c r="V1509" s="29">
        <f t="shared" si="4"/>
        <v>45447.59046</v>
      </c>
      <c r="W1509" s="30"/>
      <c r="X1509" s="30"/>
      <c r="Y1509" s="31"/>
      <c r="Z1509" s="31"/>
      <c r="AA1509" s="31" t="s">
        <v>127</v>
      </c>
      <c r="AB1509" s="31" t="s">
        <v>6008</v>
      </c>
      <c r="AC1509" s="31"/>
    </row>
    <row r="1510" ht="16.5" customHeight="1">
      <c r="A1510" s="48" t="s">
        <v>6009</v>
      </c>
      <c r="B1510" s="53" t="s">
        <v>6010</v>
      </c>
      <c r="C1510" s="54">
        <v>0.0</v>
      </c>
      <c r="D1510" s="21" t="s">
        <v>6011</v>
      </c>
      <c r="E1510" s="55" t="s">
        <v>3441</v>
      </c>
      <c r="F1510" s="32" t="s">
        <v>48</v>
      </c>
      <c r="G1510" s="32" t="s">
        <v>35</v>
      </c>
      <c r="H1510" s="23" t="s">
        <v>35</v>
      </c>
      <c r="I1510" s="66" t="s">
        <v>36</v>
      </c>
      <c r="J1510" s="34" t="s">
        <v>65</v>
      </c>
      <c r="K1510" s="57" t="s">
        <v>38</v>
      </c>
      <c r="L1510" s="25">
        <v>11066.0</v>
      </c>
      <c r="M1510" s="22" t="s">
        <v>50</v>
      </c>
      <c r="N1510" s="26" t="s">
        <v>5279</v>
      </c>
      <c r="O1510" s="28">
        <v>45474.611396458335</v>
      </c>
      <c r="P1510" s="26" t="s">
        <v>6012</v>
      </c>
      <c r="Q1510" s="12"/>
      <c r="R1510" s="59"/>
      <c r="S1510" s="60"/>
      <c r="T1510" s="29">
        <v>45444.0</v>
      </c>
      <c r="U1510" s="29">
        <v>45471.0</v>
      </c>
      <c r="V1510" s="29">
        <v>45474.44235229166</v>
      </c>
      <c r="W1510" s="30"/>
      <c r="X1510" s="30"/>
      <c r="Y1510" s="31"/>
      <c r="Z1510" s="31"/>
      <c r="AA1510" s="31" t="s">
        <v>120</v>
      </c>
      <c r="AB1510" s="31" t="s">
        <v>6013</v>
      </c>
      <c r="AC1510" s="31"/>
    </row>
    <row r="1511" ht="16.5" customHeight="1">
      <c r="A1511" s="48" t="s">
        <v>6014</v>
      </c>
      <c r="B1511" s="53" t="s">
        <v>5346</v>
      </c>
      <c r="C1511" s="54">
        <v>1.0</v>
      </c>
      <c r="D1511" s="21"/>
      <c r="E1511" s="55" t="s">
        <v>3395</v>
      </c>
      <c r="F1511" s="32" t="s">
        <v>48</v>
      </c>
      <c r="G1511" s="32" t="s">
        <v>35</v>
      </c>
      <c r="H1511" s="23" t="s">
        <v>35</v>
      </c>
      <c r="I1511" s="71" t="s">
        <v>665</v>
      </c>
      <c r="J1511" s="34" t="s">
        <v>49</v>
      </c>
      <c r="K1511" s="57" t="s">
        <v>38</v>
      </c>
      <c r="L1511" s="25">
        <v>10895.0</v>
      </c>
      <c r="M1511" s="22" t="s">
        <v>50</v>
      </c>
      <c r="N1511" s="26" t="s">
        <v>4183</v>
      </c>
      <c r="O1511" s="28">
        <v>45447.5846215162</v>
      </c>
      <c r="P1511" s="26" t="s">
        <v>6015</v>
      </c>
      <c r="Q1511" s="12"/>
      <c r="R1511" s="12"/>
      <c r="S1511" s="60"/>
      <c r="T1511" s="29">
        <v>45446.0</v>
      </c>
      <c r="U1511" s="29">
        <v>45446.0</v>
      </c>
      <c r="V1511" s="29">
        <v>45447.375855046295</v>
      </c>
      <c r="W1511" s="30"/>
      <c r="X1511" s="30"/>
      <c r="Y1511" s="31"/>
      <c r="Z1511" s="31"/>
      <c r="AA1511" s="31" t="s">
        <v>127</v>
      </c>
      <c r="AB1511" s="31" t="s">
        <v>6016</v>
      </c>
      <c r="AC1511" s="31"/>
    </row>
    <row r="1512" ht="16.5" customHeight="1">
      <c r="A1512" s="48" t="s">
        <v>6017</v>
      </c>
      <c r="B1512" s="53" t="s">
        <v>489</v>
      </c>
      <c r="C1512" s="47">
        <v>1.0</v>
      </c>
      <c r="D1512" s="70" t="s">
        <v>6018</v>
      </c>
      <c r="E1512" s="55" t="s">
        <v>3395</v>
      </c>
      <c r="F1512" s="32" t="s">
        <v>48</v>
      </c>
      <c r="G1512" s="32" t="s">
        <v>35</v>
      </c>
      <c r="H1512" s="71" t="s">
        <v>35</v>
      </c>
      <c r="I1512" s="71" t="s">
        <v>36</v>
      </c>
      <c r="J1512" s="34" t="s">
        <v>49</v>
      </c>
      <c r="K1512" s="57" t="s">
        <v>38</v>
      </c>
      <c r="L1512" s="72">
        <v>15332.0</v>
      </c>
      <c r="M1512" s="22"/>
      <c r="N1512" s="73"/>
      <c r="O1512" s="28">
        <v>45394.0</v>
      </c>
      <c r="P1512" s="35" t="s">
        <v>6019</v>
      </c>
      <c r="Q1512" s="12"/>
      <c r="R1512" s="12"/>
      <c r="S1512" s="12"/>
      <c r="T1512" s="52">
        <v>45384.0</v>
      </c>
      <c r="U1512" s="52">
        <v>45384.0</v>
      </c>
      <c r="V1512" s="52">
        <v>45385.0</v>
      </c>
      <c r="W1512" s="30"/>
      <c r="X1512" s="30"/>
      <c r="Y1512" s="31"/>
      <c r="Z1512" s="31"/>
      <c r="AA1512" s="78" t="s">
        <v>94</v>
      </c>
      <c r="AB1512" s="74" t="s">
        <v>6020</v>
      </c>
      <c r="AC1512" s="74"/>
    </row>
    <row r="1513" ht="16.5" customHeight="1">
      <c r="A1513" s="48" t="s">
        <v>6021</v>
      </c>
      <c r="B1513" s="53" t="s">
        <v>6022</v>
      </c>
      <c r="C1513" s="54">
        <v>137.0</v>
      </c>
      <c r="D1513" s="21" t="s">
        <v>6023</v>
      </c>
      <c r="E1513" s="55" t="s">
        <v>85</v>
      </c>
      <c r="F1513" s="32" t="s">
        <v>48</v>
      </c>
      <c r="G1513" s="32" t="s">
        <v>35</v>
      </c>
      <c r="H1513" s="23" t="s">
        <v>35</v>
      </c>
      <c r="I1513" s="66" t="s">
        <v>36</v>
      </c>
      <c r="J1513" s="34" t="s">
        <v>65</v>
      </c>
      <c r="K1513" s="57" t="s">
        <v>38</v>
      </c>
      <c r="L1513" s="25">
        <v>10951.0</v>
      </c>
      <c r="M1513" s="22" t="s">
        <v>50</v>
      </c>
      <c r="N1513" s="26" t="s">
        <v>5279</v>
      </c>
      <c r="O1513" s="28">
        <v>45455.65711489583</v>
      </c>
      <c r="P1513" s="26" t="s">
        <v>6024</v>
      </c>
      <c r="Q1513" s="12"/>
      <c r="R1513" s="12"/>
      <c r="S1513" s="60"/>
      <c r="T1513" s="29">
        <v>45446.0</v>
      </c>
      <c r="U1513" s="29">
        <v>45450.0</v>
      </c>
      <c r="V1513" s="29">
        <v>45455.35473928241</v>
      </c>
      <c r="W1513" s="30"/>
      <c r="X1513" s="30"/>
      <c r="Y1513" s="31"/>
      <c r="Z1513" s="31"/>
      <c r="AA1513" s="31" t="s">
        <v>94</v>
      </c>
      <c r="AB1513" s="31" t="s">
        <v>6025</v>
      </c>
      <c r="AC1513" s="31"/>
    </row>
    <row r="1514" ht="16.5" customHeight="1">
      <c r="A1514" s="48" t="s">
        <v>6026</v>
      </c>
      <c r="B1514" s="53" t="s">
        <v>1373</v>
      </c>
      <c r="C1514" s="54">
        <v>0.0</v>
      </c>
      <c r="D1514" s="128" t="s">
        <v>6027</v>
      </c>
      <c r="E1514" s="55" t="s">
        <v>3441</v>
      </c>
      <c r="F1514" s="32" t="s">
        <v>48</v>
      </c>
      <c r="G1514" s="32" t="s">
        <v>35</v>
      </c>
      <c r="H1514" s="23" t="s">
        <v>35</v>
      </c>
      <c r="I1514" s="56" t="s">
        <v>36</v>
      </c>
      <c r="J1514" s="34" t="s">
        <v>49</v>
      </c>
      <c r="K1514" s="57" t="s">
        <v>38</v>
      </c>
      <c r="L1514" s="58" t="s">
        <v>2613</v>
      </c>
      <c r="M1514" s="22"/>
      <c r="N1514" s="26" t="s">
        <v>86</v>
      </c>
      <c r="O1514" s="28" t="s">
        <v>6028</v>
      </c>
      <c r="P1514" s="26" t="s">
        <v>6029</v>
      </c>
      <c r="Q1514" s="12"/>
      <c r="R1514" s="59"/>
      <c r="S1514" s="12" t="s">
        <v>6030</v>
      </c>
      <c r="T1514" s="36" t="s">
        <v>6028</v>
      </c>
      <c r="U1514" s="29"/>
      <c r="V1514" s="29">
        <v>45446.0</v>
      </c>
      <c r="W1514" s="30"/>
      <c r="X1514" s="30"/>
      <c r="Y1514" s="31"/>
      <c r="Z1514" s="31"/>
      <c r="AA1514" s="31" t="s">
        <v>94</v>
      </c>
      <c r="AB1514" s="31" t="s">
        <v>6031</v>
      </c>
      <c r="AC1514" s="31"/>
    </row>
    <row r="1515" ht="16.5" customHeight="1">
      <c r="A1515" s="48" t="s">
        <v>6026</v>
      </c>
      <c r="B1515" s="53" t="s">
        <v>6032</v>
      </c>
      <c r="C1515" s="54">
        <v>0.0</v>
      </c>
      <c r="D1515" s="21"/>
      <c r="E1515" s="55" t="s">
        <v>3441</v>
      </c>
      <c r="F1515" s="32" t="s">
        <v>48</v>
      </c>
      <c r="G1515" s="32" t="s">
        <v>35</v>
      </c>
      <c r="H1515" s="23" t="s">
        <v>35</v>
      </c>
      <c r="I1515" s="71" t="s">
        <v>665</v>
      </c>
      <c r="J1515" s="34" t="s">
        <v>65</v>
      </c>
      <c r="K1515" s="57" t="s">
        <v>38</v>
      </c>
      <c r="L1515" s="25">
        <v>10907.0</v>
      </c>
      <c r="M1515" s="22" t="s">
        <v>50</v>
      </c>
      <c r="N1515" s="26" t="s">
        <v>5883</v>
      </c>
      <c r="O1515" s="28">
        <v>45448.490062060184</v>
      </c>
      <c r="P1515" s="26" t="s">
        <v>6033</v>
      </c>
      <c r="Q1515" s="12"/>
      <c r="R1515" s="30"/>
      <c r="S1515" s="60"/>
      <c r="T1515" s="29">
        <v>45446.0</v>
      </c>
      <c r="U1515" s="29">
        <v>45448.0</v>
      </c>
      <c r="V1515" s="29">
        <v>45448.420284259264</v>
      </c>
      <c r="W1515" s="30"/>
      <c r="X1515" s="30"/>
      <c r="Y1515" s="31"/>
      <c r="Z1515" s="31"/>
      <c r="AA1515" s="31" t="s">
        <v>94</v>
      </c>
      <c r="AB1515" s="31" t="s">
        <v>6034</v>
      </c>
      <c r="AC1515" s="31"/>
    </row>
    <row r="1516" ht="16.5" customHeight="1">
      <c r="A1516" s="48" t="s">
        <v>6035</v>
      </c>
      <c r="B1516" s="53" t="s">
        <v>6036</v>
      </c>
      <c r="C1516" s="47">
        <v>0.0</v>
      </c>
      <c r="D1516" s="21" t="s">
        <v>6037</v>
      </c>
      <c r="E1516" s="55" t="s">
        <v>408</v>
      </c>
      <c r="F1516" s="32" t="s">
        <v>33</v>
      </c>
      <c r="G1516" s="32" t="s">
        <v>34</v>
      </c>
      <c r="H1516" s="23" t="s">
        <v>35</v>
      </c>
      <c r="I1516" s="66" t="s">
        <v>36</v>
      </c>
      <c r="J1516" s="34" t="s">
        <v>49</v>
      </c>
      <c r="K1516" s="57" t="s">
        <v>38</v>
      </c>
      <c r="L1516" s="25">
        <v>10935.0</v>
      </c>
      <c r="M1516" s="22" t="s">
        <v>40</v>
      </c>
      <c r="N1516" s="26" t="s">
        <v>4183</v>
      </c>
      <c r="O1516" s="28">
        <v>45454.30784966435</v>
      </c>
      <c r="P1516" s="26" t="s">
        <v>6038</v>
      </c>
      <c r="Q1516" s="12"/>
      <c r="R1516" s="30"/>
      <c r="S1516" s="60"/>
      <c r="T1516" s="29">
        <v>45446.0</v>
      </c>
      <c r="U1516" s="29">
        <v>45446.0</v>
      </c>
      <c r="V1516" s="29">
        <v>45450.0</v>
      </c>
      <c r="W1516" s="30"/>
      <c r="X1516" s="30"/>
      <c r="Y1516" s="31"/>
      <c r="Z1516" s="31"/>
      <c r="AA1516" s="31" t="s">
        <v>102</v>
      </c>
      <c r="AB1516" s="31" t="s">
        <v>6039</v>
      </c>
      <c r="AC1516" s="31"/>
    </row>
    <row r="1517" ht="16.5" customHeight="1">
      <c r="A1517" s="48" t="s">
        <v>6040</v>
      </c>
      <c r="B1517" s="53" t="s">
        <v>936</v>
      </c>
      <c r="C1517" s="54">
        <v>27.0</v>
      </c>
      <c r="D1517" s="21" t="s">
        <v>6041</v>
      </c>
      <c r="E1517" s="55" t="s">
        <v>72</v>
      </c>
      <c r="F1517" s="32" t="s">
        <v>48</v>
      </c>
      <c r="G1517" s="32" t="s">
        <v>35</v>
      </c>
      <c r="H1517" s="23" t="s">
        <v>35</v>
      </c>
      <c r="I1517" s="66" t="s">
        <v>36</v>
      </c>
      <c r="J1517" s="34" t="s">
        <v>420</v>
      </c>
      <c r="K1517" s="57" t="s">
        <v>38</v>
      </c>
      <c r="L1517" s="25">
        <v>10921.0</v>
      </c>
      <c r="M1517" s="22" t="s">
        <v>50</v>
      </c>
      <c r="N1517" s="26" t="s">
        <v>4031</v>
      </c>
      <c r="O1517" s="28">
        <v>45450.58794679398</v>
      </c>
      <c r="P1517" s="26" t="s">
        <v>6042</v>
      </c>
      <c r="Q1517" s="12"/>
      <c r="R1517" s="12"/>
      <c r="S1517" s="60"/>
      <c r="T1517" s="29">
        <v>45446.0</v>
      </c>
      <c r="U1517" s="29">
        <v>45449.0</v>
      </c>
      <c r="V1517" s="29">
        <v>45450.39423024305</v>
      </c>
      <c r="W1517" s="30"/>
      <c r="X1517" s="30"/>
      <c r="Y1517" s="31"/>
      <c r="Z1517" s="31"/>
      <c r="AA1517" s="31" t="s">
        <v>120</v>
      </c>
      <c r="AB1517" s="31" t="s">
        <v>6043</v>
      </c>
      <c r="AC1517" s="31"/>
    </row>
    <row r="1518" ht="16.5" customHeight="1">
      <c r="A1518" s="48" t="s">
        <v>6044</v>
      </c>
      <c r="B1518" s="53" t="s">
        <v>936</v>
      </c>
      <c r="C1518" s="54">
        <v>27.0</v>
      </c>
      <c r="D1518" s="21" t="s">
        <v>6045</v>
      </c>
      <c r="E1518" s="55" t="s">
        <v>72</v>
      </c>
      <c r="F1518" s="32" t="s">
        <v>48</v>
      </c>
      <c r="G1518" s="32" t="s">
        <v>35</v>
      </c>
      <c r="H1518" s="23" t="s">
        <v>35</v>
      </c>
      <c r="I1518" s="66" t="s">
        <v>36</v>
      </c>
      <c r="J1518" s="34" t="s">
        <v>420</v>
      </c>
      <c r="K1518" s="57" t="s">
        <v>38</v>
      </c>
      <c r="L1518" s="25">
        <v>10921.0</v>
      </c>
      <c r="M1518" s="22" t="s">
        <v>50</v>
      </c>
      <c r="N1518" s="26" t="s">
        <v>4031</v>
      </c>
      <c r="O1518" s="28">
        <v>45450.58800871528</v>
      </c>
      <c r="P1518" s="26" t="s">
        <v>6042</v>
      </c>
      <c r="Q1518" s="12"/>
      <c r="R1518" s="12"/>
      <c r="S1518" s="60"/>
      <c r="T1518" s="29">
        <v>45446.0</v>
      </c>
      <c r="U1518" s="29">
        <v>45449.0</v>
      </c>
      <c r="V1518" s="29">
        <v>45450.39424015046</v>
      </c>
      <c r="W1518" s="30"/>
      <c r="X1518" s="30"/>
      <c r="Y1518" s="31"/>
      <c r="Z1518" s="31"/>
      <c r="AA1518" s="31" t="s">
        <v>120</v>
      </c>
      <c r="AB1518" s="31" t="s">
        <v>6046</v>
      </c>
      <c r="AC1518" s="31"/>
    </row>
    <row r="1519" ht="16.5" customHeight="1">
      <c r="A1519" s="48" t="s">
        <v>6047</v>
      </c>
      <c r="B1519" s="53" t="s">
        <v>6048</v>
      </c>
      <c r="C1519" s="47">
        <v>34.0</v>
      </c>
      <c r="D1519" s="70" t="s">
        <v>6049</v>
      </c>
      <c r="E1519" s="55" t="s">
        <v>47</v>
      </c>
      <c r="F1519" s="32" t="s">
        <v>48</v>
      </c>
      <c r="G1519" s="32" t="s">
        <v>35</v>
      </c>
      <c r="H1519" s="71" t="s">
        <v>35</v>
      </c>
      <c r="I1519" s="71" t="s">
        <v>36</v>
      </c>
      <c r="J1519" s="34" t="s">
        <v>49</v>
      </c>
      <c r="K1519" s="57" t="s">
        <v>38</v>
      </c>
      <c r="L1519" s="72">
        <v>10901.0</v>
      </c>
      <c r="M1519" s="22"/>
      <c r="N1519" s="73"/>
      <c r="O1519" s="28">
        <v>45457.0</v>
      </c>
      <c r="P1519" s="35" t="s">
        <v>6050</v>
      </c>
      <c r="Q1519" s="12"/>
      <c r="R1519" s="12"/>
      <c r="S1519" s="12"/>
      <c r="T1519" s="52">
        <v>45446.0</v>
      </c>
      <c r="U1519" s="52">
        <v>45447.0</v>
      </c>
      <c r="V1519" s="52">
        <v>45457.0</v>
      </c>
      <c r="W1519" s="30"/>
      <c r="X1519" s="30"/>
      <c r="Y1519" s="31"/>
      <c r="Z1519" s="31"/>
      <c r="AA1519" s="78" t="s">
        <v>94</v>
      </c>
      <c r="AB1519" s="74" t="s">
        <v>6051</v>
      </c>
      <c r="AC1519" s="74"/>
    </row>
    <row r="1520" ht="16.5" customHeight="1">
      <c r="A1520" s="48" t="s">
        <v>6052</v>
      </c>
      <c r="B1520" s="53" t="s">
        <v>96</v>
      </c>
      <c r="C1520" s="47">
        <v>0.0</v>
      </c>
      <c r="D1520" s="21" t="s">
        <v>6053</v>
      </c>
      <c r="E1520" s="55" t="s">
        <v>2089</v>
      </c>
      <c r="F1520" s="32" t="s">
        <v>33</v>
      </c>
      <c r="G1520" s="32" t="s">
        <v>34</v>
      </c>
      <c r="H1520" s="23" t="s">
        <v>35</v>
      </c>
      <c r="I1520" s="66" t="s">
        <v>36</v>
      </c>
      <c r="J1520" s="34" t="s">
        <v>49</v>
      </c>
      <c r="K1520" s="57" t="s">
        <v>38</v>
      </c>
      <c r="L1520" s="25">
        <v>10919.0</v>
      </c>
      <c r="M1520" s="22" t="s">
        <v>40</v>
      </c>
      <c r="N1520" s="26" t="s">
        <v>4183</v>
      </c>
      <c r="O1520" s="28">
        <v>45453.451150023146</v>
      </c>
      <c r="P1520" s="26" t="s">
        <v>6054</v>
      </c>
      <c r="Q1520" s="12"/>
      <c r="R1520" s="30"/>
      <c r="S1520" s="60"/>
      <c r="T1520" s="29">
        <v>45446.0</v>
      </c>
      <c r="U1520" s="29">
        <v>45446.0</v>
      </c>
      <c r="V1520" s="29">
        <v>45449.0</v>
      </c>
      <c r="W1520" s="30"/>
      <c r="X1520" s="30"/>
      <c r="Y1520" s="31"/>
      <c r="Z1520" s="31"/>
      <c r="AA1520" s="31" t="s">
        <v>102</v>
      </c>
      <c r="AB1520" s="31" t="s">
        <v>6055</v>
      </c>
      <c r="AC1520" s="31"/>
    </row>
    <row r="1521" ht="16.5" customHeight="1">
      <c r="A1521" s="48" t="s">
        <v>6056</v>
      </c>
      <c r="B1521" s="53" t="s">
        <v>1593</v>
      </c>
      <c r="C1521" s="47">
        <v>0.0</v>
      </c>
      <c r="D1521" s="21" t="s">
        <v>6057</v>
      </c>
      <c r="E1521" s="55" t="s">
        <v>408</v>
      </c>
      <c r="F1521" s="32" t="s">
        <v>33</v>
      </c>
      <c r="G1521" s="32" t="s">
        <v>34</v>
      </c>
      <c r="H1521" s="23" t="s">
        <v>35</v>
      </c>
      <c r="I1521" s="66" t="s">
        <v>36</v>
      </c>
      <c r="J1521" s="34" t="s">
        <v>49</v>
      </c>
      <c r="K1521" s="57" t="s">
        <v>3135</v>
      </c>
      <c r="L1521" s="25">
        <v>10916.0</v>
      </c>
      <c r="M1521" s="22" t="s">
        <v>40</v>
      </c>
      <c r="N1521" s="26" t="s">
        <v>106</v>
      </c>
      <c r="O1521" s="28">
        <v>45449.582686469905</v>
      </c>
      <c r="P1521" s="26" t="s">
        <v>6058</v>
      </c>
      <c r="Q1521" s="12"/>
      <c r="R1521" s="30"/>
      <c r="S1521" s="60"/>
      <c r="T1521" s="29">
        <v>45446.0</v>
      </c>
      <c r="U1521" s="29">
        <v>45446.0</v>
      </c>
      <c r="V1521" s="29">
        <v>45449.0</v>
      </c>
      <c r="W1521" s="30"/>
      <c r="X1521" s="30"/>
      <c r="Y1521" s="31"/>
      <c r="Z1521" s="31"/>
      <c r="AA1521" s="31" t="s">
        <v>102</v>
      </c>
      <c r="AB1521" s="31" t="s">
        <v>6059</v>
      </c>
      <c r="AC1521" s="31"/>
    </row>
    <row r="1522" ht="16.5" customHeight="1">
      <c r="A1522" s="48" t="s">
        <v>6060</v>
      </c>
      <c r="B1522" s="53" t="s">
        <v>6061</v>
      </c>
      <c r="C1522" s="47">
        <v>137.0</v>
      </c>
      <c r="D1522" s="70" t="s">
        <v>6062</v>
      </c>
      <c r="E1522" s="55" t="s">
        <v>85</v>
      </c>
      <c r="F1522" s="32" t="s">
        <v>48</v>
      </c>
      <c r="G1522" s="32" t="s">
        <v>35</v>
      </c>
      <c r="H1522" s="71" t="s">
        <v>35</v>
      </c>
      <c r="I1522" s="71" t="s">
        <v>36</v>
      </c>
      <c r="J1522" s="34" t="s">
        <v>49</v>
      </c>
      <c r="K1522" s="57" t="s">
        <v>38</v>
      </c>
      <c r="L1522" s="72">
        <v>10898.0</v>
      </c>
      <c r="M1522" s="22"/>
      <c r="N1522" s="73"/>
      <c r="O1522" s="28">
        <v>45394.0</v>
      </c>
      <c r="P1522" s="35" t="s">
        <v>6063</v>
      </c>
      <c r="Q1522" s="12"/>
      <c r="R1522" s="12"/>
      <c r="S1522" s="12"/>
      <c r="T1522" s="52">
        <v>45446.0</v>
      </c>
      <c r="U1522" s="52">
        <v>45384.0</v>
      </c>
      <c r="V1522" s="52">
        <v>45385.0</v>
      </c>
      <c r="W1522" s="30"/>
      <c r="X1522" s="30"/>
      <c r="Y1522" s="31"/>
      <c r="Z1522" s="31"/>
      <c r="AA1522" s="78" t="s">
        <v>94</v>
      </c>
      <c r="AB1522" s="74" t="s">
        <v>6064</v>
      </c>
      <c r="AC1522" s="74"/>
    </row>
    <row r="1523" ht="16.5" customHeight="1">
      <c r="A1523" s="48" t="s">
        <v>6065</v>
      </c>
      <c r="B1523" s="53" t="s">
        <v>896</v>
      </c>
      <c r="C1523" s="47">
        <v>1.0</v>
      </c>
      <c r="D1523" s="70" t="s">
        <v>6066</v>
      </c>
      <c r="E1523" s="55" t="s">
        <v>3395</v>
      </c>
      <c r="F1523" s="32" t="s">
        <v>48</v>
      </c>
      <c r="G1523" s="32" t="s">
        <v>35</v>
      </c>
      <c r="H1523" s="71" t="s">
        <v>35</v>
      </c>
      <c r="I1523" s="71" t="s">
        <v>36</v>
      </c>
      <c r="J1523" s="34" t="s">
        <v>49</v>
      </c>
      <c r="K1523" s="57" t="s">
        <v>38</v>
      </c>
      <c r="L1523" s="72">
        <v>10899.0</v>
      </c>
      <c r="M1523" s="22"/>
      <c r="N1523" s="73"/>
      <c r="O1523" s="28">
        <v>45394.0</v>
      </c>
      <c r="P1523" s="35" t="s">
        <v>6067</v>
      </c>
      <c r="Q1523" s="12"/>
      <c r="R1523" s="12"/>
      <c r="S1523" s="12"/>
      <c r="T1523" s="52">
        <v>45447.0</v>
      </c>
      <c r="U1523" s="52">
        <v>45384.0</v>
      </c>
      <c r="V1523" s="52">
        <v>45385.0</v>
      </c>
      <c r="W1523" s="30"/>
      <c r="X1523" s="30"/>
      <c r="Y1523" s="31"/>
      <c r="Z1523" s="31"/>
      <c r="AA1523" s="78" t="s">
        <v>94</v>
      </c>
      <c r="AB1523" s="74" t="s">
        <v>6068</v>
      </c>
      <c r="AC1523" s="74"/>
    </row>
    <row r="1524" ht="16.5" customHeight="1">
      <c r="A1524" s="48" t="s">
        <v>6069</v>
      </c>
      <c r="B1524" s="53" t="s">
        <v>6070</v>
      </c>
      <c r="C1524" s="47">
        <v>0.0</v>
      </c>
      <c r="D1524" s="21" t="s">
        <v>6071</v>
      </c>
      <c r="E1524" s="55" t="s">
        <v>6072</v>
      </c>
      <c r="F1524" s="32" t="s">
        <v>33</v>
      </c>
      <c r="G1524" s="32" t="s">
        <v>34</v>
      </c>
      <c r="H1524" s="23" t="s">
        <v>35</v>
      </c>
      <c r="I1524" s="66" t="s">
        <v>36</v>
      </c>
      <c r="J1524" s="34" t="s">
        <v>37</v>
      </c>
      <c r="K1524" s="57" t="s">
        <v>38</v>
      </c>
      <c r="L1524" s="25">
        <v>10970.0</v>
      </c>
      <c r="M1524" s="22" t="s">
        <v>40</v>
      </c>
      <c r="N1524" s="26" t="s">
        <v>41</v>
      </c>
      <c r="O1524" s="28">
        <v>45457.57554359954</v>
      </c>
      <c r="P1524" s="26" t="s">
        <v>6073</v>
      </c>
      <c r="Q1524" s="12"/>
      <c r="R1524" s="30"/>
      <c r="S1524" s="60"/>
      <c r="T1524" s="29">
        <v>45447.0</v>
      </c>
      <c r="U1524" s="29">
        <v>45448.0</v>
      </c>
      <c r="V1524" s="29">
        <v>45456.0</v>
      </c>
      <c r="W1524" s="30"/>
      <c r="X1524" s="30"/>
      <c r="Y1524" s="31"/>
      <c r="Z1524" s="31"/>
      <c r="AA1524" s="31" t="s">
        <v>120</v>
      </c>
      <c r="AB1524" s="31" t="s">
        <v>6074</v>
      </c>
      <c r="AC1524" s="31"/>
    </row>
    <row r="1525" ht="16.5" customHeight="1">
      <c r="A1525" s="48" t="s">
        <v>6075</v>
      </c>
      <c r="B1525" s="53" t="s">
        <v>4035</v>
      </c>
      <c r="C1525" s="47">
        <v>34.0</v>
      </c>
      <c r="D1525" s="70" t="s">
        <v>6076</v>
      </c>
      <c r="E1525" s="55" t="s">
        <v>47</v>
      </c>
      <c r="F1525" s="32" t="s">
        <v>48</v>
      </c>
      <c r="G1525" s="32" t="s">
        <v>35</v>
      </c>
      <c r="H1525" s="71" t="s">
        <v>35</v>
      </c>
      <c r="I1525" s="71" t="s">
        <v>36</v>
      </c>
      <c r="J1525" s="34" t="s">
        <v>49</v>
      </c>
      <c r="K1525" s="57" t="s">
        <v>38</v>
      </c>
      <c r="L1525" s="72">
        <v>10900.0</v>
      </c>
      <c r="M1525" s="22"/>
      <c r="N1525" s="73"/>
      <c r="O1525" s="28">
        <v>45457.0</v>
      </c>
      <c r="P1525" s="35" t="s">
        <v>6077</v>
      </c>
      <c r="Q1525" s="12"/>
      <c r="R1525" s="12"/>
      <c r="S1525" s="12"/>
      <c r="T1525" s="52">
        <v>45447.0</v>
      </c>
      <c r="U1525" s="52">
        <v>45447.0</v>
      </c>
      <c r="V1525" s="52">
        <v>45457.0</v>
      </c>
      <c r="W1525" s="30"/>
      <c r="X1525" s="30"/>
      <c r="Y1525" s="31"/>
      <c r="Z1525" s="31"/>
      <c r="AA1525" s="78" t="s">
        <v>94</v>
      </c>
      <c r="AB1525" s="74" t="s">
        <v>6078</v>
      </c>
      <c r="AC1525" s="74"/>
    </row>
    <row r="1526" ht="16.5" customHeight="1">
      <c r="A1526" s="48" t="s">
        <v>6079</v>
      </c>
      <c r="B1526" s="53" t="s">
        <v>6080</v>
      </c>
      <c r="C1526" s="47">
        <v>27.0</v>
      </c>
      <c r="D1526" s="39" t="s">
        <v>6081</v>
      </c>
      <c r="E1526" s="55" t="s">
        <v>72</v>
      </c>
      <c r="F1526" s="32" t="s">
        <v>48</v>
      </c>
      <c r="G1526" s="32" t="s">
        <v>35</v>
      </c>
      <c r="H1526" s="71" t="s">
        <v>35</v>
      </c>
      <c r="I1526" s="71" t="s">
        <v>36</v>
      </c>
      <c r="J1526" s="34" t="s">
        <v>49</v>
      </c>
      <c r="K1526" s="57" t="s">
        <v>38</v>
      </c>
      <c r="L1526" s="72">
        <v>10914.0</v>
      </c>
      <c r="M1526" s="22"/>
      <c r="N1526" s="35" t="s">
        <v>106</v>
      </c>
      <c r="O1526" s="28">
        <v>45449.582766203705</v>
      </c>
      <c r="P1526" s="35" t="s">
        <v>6082</v>
      </c>
      <c r="Q1526" s="12"/>
      <c r="R1526" s="12"/>
      <c r="S1526" s="12"/>
      <c r="T1526" s="52">
        <v>45448.0</v>
      </c>
      <c r="U1526" s="52">
        <v>45448.0</v>
      </c>
      <c r="V1526" s="52">
        <v>45449.0</v>
      </c>
      <c r="W1526" s="30"/>
      <c r="X1526" s="30"/>
      <c r="Y1526" s="31"/>
      <c r="Z1526" s="31"/>
      <c r="AA1526" s="78" t="s">
        <v>145</v>
      </c>
      <c r="AB1526" s="74" t="s">
        <v>6083</v>
      </c>
      <c r="AC1526" s="74"/>
    </row>
    <row r="1527" ht="16.5" customHeight="1">
      <c r="A1527" s="48" t="s">
        <v>6084</v>
      </c>
      <c r="B1527" s="53" t="s">
        <v>6080</v>
      </c>
      <c r="C1527" s="54">
        <v>90.0</v>
      </c>
      <c r="D1527" s="70" t="s">
        <v>6085</v>
      </c>
      <c r="E1527" s="55" t="s">
        <v>91</v>
      </c>
      <c r="F1527" s="32" t="s">
        <v>48</v>
      </c>
      <c r="G1527" s="32" t="s">
        <v>35</v>
      </c>
      <c r="H1527" s="23" t="s">
        <v>35</v>
      </c>
      <c r="I1527" s="66" t="s">
        <v>36</v>
      </c>
      <c r="J1527" s="34" t="s">
        <v>49</v>
      </c>
      <c r="K1527" s="57" t="s">
        <v>38</v>
      </c>
      <c r="L1527" s="64" t="s">
        <v>6086</v>
      </c>
      <c r="M1527" s="82"/>
      <c r="N1527" s="26" t="s">
        <v>106</v>
      </c>
      <c r="O1527" s="28">
        <v>45449.58286516204</v>
      </c>
      <c r="P1527" s="26" t="s">
        <v>6087</v>
      </c>
      <c r="Q1527" s="12"/>
      <c r="R1527" s="12"/>
      <c r="S1527" s="60"/>
      <c r="T1527" s="29">
        <v>45448.0</v>
      </c>
      <c r="U1527" s="29">
        <v>45448.0</v>
      </c>
      <c r="V1527" s="29">
        <v>45449.0</v>
      </c>
      <c r="W1527" s="30"/>
      <c r="X1527" s="30"/>
      <c r="Y1527" s="31"/>
      <c r="Z1527" s="31"/>
      <c r="AA1527" s="31" t="s">
        <v>145</v>
      </c>
      <c r="AB1527" s="31" t="s">
        <v>6088</v>
      </c>
      <c r="AC1527" s="31"/>
    </row>
    <row r="1528" ht="16.5" customHeight="1">
      <c r="A1528" s="48" t="s">
        <v>6089</v>
      </c>
      <c r="B1528" s="53" t="s">
        <v>6090</v>
      </c>
      <c r="C1528" s="54">
        <v>90.0</v>
      </c>
      <c r="D1528" s="70" t="s">
        <v>6091</v>
      </c>
      <c r="E1528" s="55" t="s">
        <v>91</v>
      </c>
      <c r="F1528" s="32" t="s">
        <v>48</v>
      </c>
      <c r="G1528" s="32" t="s">
        <v>35</v>
      </c>
      <c r="H1528" s="23" t="s">
        <v>35</v>
      </c>
      <c r="I1528" s="56" t="s">
        <v>36</v>
      </c>
      <c r="J1528" s="34" t="s">
        <v>49</v>
      </c>
      <c r="K1528" s="57" t="s">
        <v>38</v>
      </c>
      <c r="L1528" s="58" t="s">
        <v>6092</v>
      </c>
      <c r="M1528" s="22"/>
      <c r="N1528" s="26" t="s">
        <v>86</v>
      </c>
      <c r="O1528" s="28">
        <v>45458.0</v>
      </c>
      <c r="P1528" s="26" t="s">
        <v>6093</v>
      </c>
      <c r="Q1528" s="12"/>
      <c r="R1528" s="12"/>
      <c r="S1528" s="60"/>
      <c r="T1528" s="29">
        <v>45440.0</v>
      </c>
      <c r="U1528" s="29">
        <v>45448.0</v>
      </c>
      <c r="V1528" s="29">
        <f t="shared" ref="V1528:V1532" si="5">O1528</f>
        <v>45458</v>
      </c>
      <c r="W1528" s="30"/>
      <c r="X1528" s="30"/>
      <c r="Y1528" s="31"/>
      <c r="Z1528" s="31"/>
      <c r="AA1528" s="31" t="s">
        <v>94</v>
      </c>
      <c r="AB1528" s="31" t="s">
        <v>6094</v>
      </c>
      <c r="AC1528" s="31"/>
    </row>
    <row r="1529" ht="16.5" customHeight="1">
      <c r="A1529" s="48" t="s">
        <v>6095</v>
      </c>
      <c r="B1529" s="53" t="s">
        <v>6096</v>
      </c>
      <c r="C1529" s="54">
        <v>90.0</v>
      </c>
      <c r="D1529" s="70" t="s">
        <v>6097</v>
      </c>
      <c r="E1529" s="55" t="s">
        <v>91</v>
      </c>
      <c r="F1529" s="32" t="s">
        <v>48</v>
      </c>
      <c r="G1529" s="32" t="s">
        <v>35</v>
      </c>
      <c r="H1529" s="23" t="s">
        <v>35</v>
      </c>
      <c r="I1529" s="56" t="s">
        <v>36</v>
      </c>
      <c r="J1529" s="34" t="s">
        <v>49</v>
      </c>
      <c r="K1529" s="57" t="s">
        <v>38</v>
      </c>
      <c r="L1529" s="58" t="s">
        <v>6098</v>
      </c>
      <c r="M1529" s="22"/>
      <c r="N1529" s="26" t="s">
        <v>86</v>
      </c>
      <c r="O1529" s="28">
        <v>45458.0</v>
      </c>
      <c r="P1529" s="26" t="s">
        <v>6099</v>
      </c>
      <c r="Q1529" s="12"/>
      <c r="R1529" s="12"/>
      <c r="S1529" s="60"/>
      <c r="T1529" s="29">
        <v>45440.0</v>
      </c>
      <c r="U1529" s="29">
        <v>45448.0</v>
      </c>
      <c r="V1529" s="29">
        <f t="shared" si="5"/>
        <v>45458</v>
      </c>
      <c r="W1529" s="30"/>
      <c r="X1529" s="30"/>
      <c r="Y1529" s="31"/>
      <c r="Z1529" s="31"/>
      <c r="AA1529" s="31" t="s">
        <v>94</v>
      </c>
      <c r="AB1529" s="31" t="s">
        <v>6100</v>
      </c>
      <c r="AC1529" s="31"/>
    </row>
    <row r="1530" ht="16.5" customHeight="1">
      <c r="A1530" s="48" t="s">
        <v>6101</v>
      </c>
      <c r="B1530" s="53" t="s">
        <v>6096</v>
      </c>
      <c r="C1530" s="54">
        <v>90.0</v>
      </c>
      <c r="D1530" s="70" t="s">
        <v>6102</v>
      </c>
      <c r="E1530" s="55" t="s">
        <v>91</v>
      </c>
      <c r="F1530" s="32" t="s">
        <v>48</v>
      </c>
      <c r="G1530" s="32" t="s">
        <v>35</v>
      </c>
      <c r="H1530" s="23" t="s">
        <v>35</v>
      </c>
      <c r="I1530" s="56" t="s">
        <v>36</v>
      </c>
      <c r="J1530" s="34" t="s">
        <v>49</v>
      </c>
      <c r="K1530" s="57" t="s">
        <v>38</v>
      </c>
      <c r="L1530" s="58" t="s">
        <v>6098</v>
      </c>
      <c r="M1530" s="22"/>
      <c r="N1530" s="26" t="s">
        <v>86</v>
      </c>
      <c r="O1530" s="28">
        <v>45458.0</v>
      </c>
      <c r="P1530" s="26" t="s">
        <v>6103</v>
      </c>
      <c r="Q1530" s="12"/>
      <c r="R1530" s="12"/>
      <c r="S1530" s="60"/>
      <c r="T1530" s="29">
        <v>45440.0</v>
      </c>
      <c r="U1530" s="29">
        <v>45448.0</v>
      </c>
      <c r="V1530" s="29">
        <f t="shared" si="5"/>
        <v>45458</v>
      </c>
      <c r="W1530" s="30"/>
      <c r="X1530" s="30"/>
      <c r="Y1530" s="31"/>
      <c r="Z1530" s="31"/>
      <c r="AA1530" s="31" t="s">
        <v>94</v>
      </c>
      <c r="AB1530" s="31" t="s">
        <v>6104</v>
      </c>
      <c r="AC1530" s="31"/>
    </row>
    <row r="1531" ht="16.5" customHeight="1">
      <c r="A1531" s="48" t="s">
        <v>6105</v>
      </c>
      <c r="B1531" s="53" t="s">
        <v>6096</v>
      </c>
      <c r="C1531" s="54">
        <v>90.0</v>
      </c>
      <c r="D1531" s="70" t="s">
        <v>6106</v>
      </c>
      <c r="E1531" s="55" t="s">
        <v>91</v>
      </c>
      <c r="F1531" s="32" t="s">
        <v>48</v>
      </c>
      <c r="G1531" s="32" t="s">
        <v>35</v>
      </c>
      <c r="H1531" s="23" t="s">
        <v>35</v>
      </c>
      <c r="I1531" s="56" t="s">
        <v>36</v>
      </c>
      <c r="J1531" s="34" t="s">
        <v>49</v>
      </c>
      <c r="K1531" s="57" t="s">
        <v>38</v>
      </c>
      <c r="L1531" s="58" t="s">
        <v>6098</v>
      </c>
      <c r="M1531" s="22"/>
      <c r="N1531" s="26" t="s">
        <v>86</v>
      </c>
      <c r="O1531" s="28">
        <v>45458.0</v>
      </c>
      <c r="P1531" s="26" t="s">
        <v>6107</v>
      </c>
      <c r="Q1531" s="12"/>
      <c r="R1531" s="12"/>
      <c r="S1531" s="60"/>
      <c r="T1531" s="29">
        <v>45440.0</v>
      </c>
      <c r="U1531" s="29">
        <v>45448.0</v>
      </c>
      <c r="V1531" s="29">
        <f t="shared" si="5"/>
        <v>45458</v>
      </c>
      <c r="W1531" s="30"/>
      <c r="X1531" s="30"/>
      <c r="Y1531" s="31"/>
      <c r="Z1531" s="31"/>
      <c r="AA1531" s="31" t="s">
        <v>94</v>
      </c>
      <c r="AB1531" s="31" t="s">
        <v>6108</v>
      </c>
      <c r="AC1531" s="31"/>
    </row>
    <row r="1532" ht="16.5" customHeight="1">
      <c r="A1532" s="48" t="s">
        <v>6109</v>
      </c>
      <c r="B1532" s="53" t="s">
        <v>6096</v>
      </c>
      <c r="C1532" s="54">
        <v>90.0</v>
      </c>
      <c r="D1532" s="70" t="s">
        <v>6110</v>
      </c>
      <c r="E1532" s="55" t="s">
        <v>91</v>
      </c>
      <c r="F1532" s="32" t="s">
        <v>48</v>
      </c>
      <c r="G1532" s="32" t="s">
        <v>35</v>
      </c>
      <c r="H1532" s="23" t="s">
        <v>35</v>
      </c>
      <c r="I1532" s="56" t="s">
        <v>36</v>
      </c>
      <c r="J1532" s="34" t="s">
        <v>49</v>
      </c>
      <c r="K1532" s="57" t="s">
        <v>38</v>
      </c>
      <c r="L1532" s="58" t="s">
        <v>6098</v>
      </c>
      <c r="M1532" s="22"/>
      <c r="N1532" s="26" t="s">
        <v>86</v>
      </c>
      <c r="O1532" s="28">
        <v>45458.0</v>
      </c>
      <c r="P1532" s="26" t="s">
        <v>6111</v>
      </c>
      <c r="Q1532" s="12"/>
      <c r="R1532" s="12"/>
      <c r="S1532" s="60"/>
      <c r="T1532" s="29">
        <v>45440.0</v>
      </c>
      <c r="U1532" s="29">
        <v>45448.0</v>
      </c>
      <c r="V1532" s="29">
        <f t="shared" si="5"/>
        <v>45458</v>
      </c>
      <c r="W1532" s="30"/>
      <c r="X1532" s="30"/>
      <c r="Y1532" s="31"/>
      <c r="Z1532" s="31"/>
      <c r="AA1532" s="31" t="s">
        <v>94</v>
      </c>
      <c r="AB1532" s="31" t="s">
        <v>6112</v>
      </c>
      <c r="AC1532" s="31"/>
    </row>
    <row r="1533" ht="16.5" customHeight="1">
      <c r="A1533" s="48" t="s">
        <v>6113</v>
      </c>
      <c r="B1533" s="53" t="s">
        <v>6114</v>
      </c>
      <c r="C1533" s="47">
        <v>0.0</v>
      </c>
      <c r="D1533" s="21" t="s">
        <v>6115</v>
      </c>
      <c r="E1533" s="55" t="s">
        <v>461</v>
      </c>
      <c r="F1533" s="32" t="s">
        <v>244</v>
      </c>
      <c r="G1533" s="32" t="s">
        <v>35</v>
      </c>
      <c r="H1533" s="23" t="s">
        <v>35</v>
      </c>
      <c r="I1533" s="66" t="s">
        <v>36</v>
      </c>
      <c r="J1533" s="34" t="s">
        <v>420</v>
      </c>
      <c r="K1533" s="57" t="s">
        <v>38</v>
      </c>
      <c r="L1533" s="64" t="s">
        <v>6116</v>
      </c>
      <c r="M1533" s="22" t="s">
        <v>50</v>
      </c>
      <c r="N1533" s="26" t="s">
        <v>4031</v>
      </c>
      <c r="O1533" s="28">
        <v>45455.623403958336</v>
      </c>
      <c r="P1533" s="26" t="s">
        <v>6117</v>
      </c>
      <c r="Q1533" s="12"/>
      <c r="R1533" s="30"/>
      <c r="S1533" s="60"/>
      <c r="T1533" s="29">
        <v>45448.0</v>
      </c>
      <c r="U1533" s="29">
        <v>45448.0</v>
      </c>
      <c r="V1533" s="29">
        <v>45455.0</v>
      </c>
      <c r="W1533" s="30"/>
      <c r="X1533" s="30"/>
      <c r="Y1533" s="31"/>
      <c r="Z1533" s="31"/>
      <c r="AA1533" s="31" t="s">
        <v>120</v>
      </c>
      <c r="AB1533" s="31" t="s">
        <v>6118</v>
      </c>
      <c r="AC1533" s="31"/>
    </row>
    <row r="1534" ht="16.5" customHeight="1">
      <c r="A1534" s="48" t="s">
        <v>6119</v>
      </c>
      <c r="B1534" s="53" t="s">
        <v>6120</v>
      </c>
      <c r="C1534" s="54">
        <v>27.0</v>
      </c>
      <c r="D1534" s="39" t="s">
        <v>6121</v>
      </c>
      <c r="E1534" s="55" t="s">
        <v>72</v>
      </c>
      <c r="F1534" s="32" t="s">
        <v>48</v>
      </c>
      <c r="G1534" s="32" t="s">
        <v>35</v>
      </c>
      <c r="H1534" s="23" t="s">
        <v>35</v>
      </c>
      <c r="I1534" s="66" t="s">
        <v>36</v>
      </c>
      <c r="J1534" s="34" t="s">
        <v>49</v>
      </c>
      <c r="K1534" s="57" t="s">
        <v>38</v>
      </c>
      <c r="L1534" s="25">
        <v>10912.0</v>
      </c>
      <c r="M1534" s="22" t="s">
        <v>50</v>
      </c>
      <c r="N1534" s="26" t="s">
        <v>106</v>
      </c>
      <c r="O1534" s="28">
        <v>45449.58292880787</v>
      </c>
      <c r="P1534" s="26" t="s">
        <v>6122</v>
      </c>
      <c r="Q1534" s="12"/>
      <c r="R1534" s="12"/>
      <c r="S1534" s="60"/>
      <c r="T1534" s="29">
        <v>45448.0</v>
      </c>
      <c r="U1534" s="29">
        <v>45448.0</v>
      </c>
      <c r="V1534" s="29">
        <v>45449.38869842593</v>
      </c>
      <c r="W1534" s="30"/>
      <c r="X1534" s="30"/>
      <c r="Y1534" s="31"/>
      <c r="Z1534" s="31"/>
      <c r="AA1534" s="31" t="s">
        <v>102</v>
      </c>
      <c r="AB1534" s="31" t="s">
        <v>6123</v>
      </c>
      <c r="AC1534" s="31"/>
    </row>
    <row r="1535" ht="16.5" customHeight="1">
      <c r="A1535" s="48" t="s">
        <v>6124</v>
      </c>
      <c r="B1535" s="53" t="s">
        <v>6120</v>
      </c>
      <c r="C1535" s="54">
        <v>90.0</v>
      </c>
      <c r="D1535" s="70" t="s">
        <v>6125</v>
      </c>
      <c r="E1535" s="55" t="s">
        <v>91</v>
      </c>
      <c r="F1535" s="32" t="s">
        <v>48</v>
      </c>
      <c r="G1535" s="32" t="s">
        <v>35</v>
      </c>
      <c r="H1535" s="23" t="s">
        <v>35</v>
      </c>
      <c r="I1535" s="66" t="s">
        <v>36</v>
      </c>
      <c r="J1535" s="34" t="s">
        <v>49</v>
      </c>
      <c r="K1535" s="57" t="s">
        <v>38</v>
      </c>
      <c r="L1535" s="25">
        <v>10912.0</v>
      </c>
      <c r="M1535" s="22" t="s">
        <v>50</v>
      </c>
      <c r="N1535" s="26" t="s">
        <v>106</v>
      </c>
      <c r="O1535" s="28">
        <v>45449.582995000004</v>
      </c>
      <c r="P1535" s="26" t="s">
        <v>6122</v>
      </c>
      <c r="Q1535" s="12"/>
      <c r="R1535" s="12"/>
      <c r="S1535" s="60"/>
      <c r="T1535" s="29">
        <v>45448.0</v>
      </c>
      <c r="U1535" s="29">
        <v>45448.0</v>
      </c>
      <c r="V1535" s="29">
        <v>45449.38882605324</v>
      </c>
      <c r="W1535" s="30"/>
      <c r="X1535" s="30"/>
      <c r="Y1535" s="31"/>
      <c r="Z1535" s="31"/>
      <c r="AA1535" s="31" t="s">
        <v>102</v>
      </c>
      <c r="AB1535" s="31" t="s">
        <v>6126</v>
      </c>
      <c r="AC1535" s="31"/>
    </row>
    <row r="1536" ht="16.5" customHeight="1">
      <c r="A1536" s="48" t="s">
        <v>6127</v>
      </c>
      <c r="B1536" s="53" t="s">
        <v>6120</v>
      </c>
      <c r="C1536" s="54">
        <v>90.0</v>
      </c>
      <c r="D1536" s="70" t="s">
        <v>6128</v>
      </c>
      <c r="E1536" s="55" t="s">
        <v>91</v>
      </c>
      <c r="F1536" s="32" t="s">
        <v>48</v>
      </c>
      <c r="G1536" s="32" t="s">
        <v>35</v>
      </c>
      <c r="H1536" s="23" t="s">
        <v>35</v>
      </c>
      <c r="I1536" s="66" t="s">
        <v>36</v>
      </c>
      <c r="J1536" s="34" t="s">
        <v>49</v>
      </c>
      <c r="K1536" s="57" t="s">
        <v>38</v>
      </c>
      <c r="L1536" s="25">
        <v>10912.0</v>
      </c>
      <c r="M1536" s="22" t="s">
        <v>50</v>
      </c>
      <c r="N1536" s="26" t="s">
        <v>106</v>
      </c>
      <c r="O1536" s="28">
        <v>45449.58309685186</v>
      </c>
      <c r="P1536" s="26" t="s">
        <v>6122</v>
      </c>
      <c r="Q1536" s="12"/>
      <c r="R1536" s="12"/>
      <c r="S1536" s="60"/>
      <c r="T1536" s="29">
        <v>45448.0</v>
      </c>
      <c r="U1536" s="29">
        <v>45448.0</v>
      </c>
      <c r="V1536" s="29">
        <v>45449.388952141206</v>
      </c>
      <c r="W1536" s="30"/>
      <c r="X1536" s="30"/>
      <c r="Y1536" s="31"/>
      <c r="Z1536" s="31"/>
      <c r="AA1536" s="31" t="s">
        <v>102</v>
      </c>
      <c r="AB1536" s="31" t="s">
        <v>6129</v>
      </c>
      <c r="AC1536" s="31"/>
    </row>
    <row r="1537" ht="16.5" customHeight="1">
      <c r="A1537" s="48" t="s">
        <v>6130</v>
      </c>
      <c r="B1537" s="53" t="s">
        <v>6131</v>
      </c>
      <c r="C1537" s="54">
        <v>33.0</v>
      </c>
      <c r="D1537" s="21" t="s">
        <v>6132</v>
      </c>
      <c r="E1537" s="55" t="s">
        <v>6133</v>
      </c>
      <c r="F1537" s="32" t="s">
        <v>48</v>
      </c>
      <c r="G1537" s="32" t="s">
        <v>35</v>
      </c>
      <c r="H1537" s="23" t="s">
        <v>35</v>
      </c>
      <c r="I1537" s="66" t="s">
        <v>36</v>
      </c>
      <c r="J1537" s="34" t="s">
        <v>65</v>
      </c>
      <c r="K1537" s="57" t="s">
        <v>38</v>
      </c>
      <c r="L1537" s="25">
        <v>10942.0</v>
      </c>
      <c r="M1537" s="126" t="s">
        <v>6134</v>
      </c>
      <c r="N1537" s="26" t="s">
        <v>5279</v>
      </c>
      <c r="O1537" s="28">
        <v>45453.63280324074</v>
      </c>
      <c r="P1537" s="26" t="s">
        <v>6135</v>
      </c>
      <c r="Q1537" s="12"/>
      <c r="R1537" s="12"/>
      <c r="S1537" s="60"/>
      <c r="T1537" s="29">
        <v>45448.0</v>
      </c>
      <c r="U1537" s="29">
        <v>45453.0</v>
      </c>
      <c r="V1537" s="29">
        <v>45453.49239491898</v>
      </c>
      <c r="W1537" s="30"/>
      <c r="X1537" s="30"/>
      <c r="Y1537" s="31"/>
      <c r="Z1537" s="31"/>
      <c r="AA1537" s="31" t="s">
        <v>3059</v>
      </c>
      <c r="AB1537" s="31" t="s">
        <v>6136</v>
      </c>
      <c r="AC1537" s="31"/>
    </row>
    <row r="1538" ht="16.5" customHeight="1">
      <c r="A1538" s="48" t="s">
        <v>6137</v>
      </c>
      <c r="B1538" s="53" t="s">
        <v>104</v>
      </c>
      <c r="C1538" s="54">
        <v>90.0</v>
      </c>
      <c r="D1538" s="70" t="s">
        <v>6138</v>
      </c>
      <c r="E1538" s="55" t="s">
        <v>91</v>
      </c>
      <c r="F1538" s="32" t="s">
        <v>48</v>
      </c>
      <c r="G1538" s="32" t="s">
        <v>35</v>
      </c>
      <c r="H1538" s="23" t="s">
        <v>35</v>
      </c>
      <c r="I1538" s="66" t="s">
        <v>36</v>
      </c>
      <c r="J1538" s="34" t="s">
        <v>49</v>
      </c>
      <c r="K1538" s="57" t="s">
        <v>1184</v>
      </c>
      <c r="L1538" s="64" t="s">
        <v>6139</v>
      </c>
      <c r="M1538" s="82"/>
      <c r="N1538" s="26" t="s">
        <v>106</v>
      </c>
      <c r="O1538" s="28">
        <v>45449.583151666666</v>
      </c>
      <c r="P1538" s="26" t="s">
        <v>6140</v>
      </c>
      <c r="Q1538" s="12"/>
      <c r="R1538" s="12"/>
      <c r="S1538" s="60"/>
      <c r="T1538" s="29">
        <v>45448.0</v>
      </c>
      <c r="U1538" s="29">
        <v>45449.0</v>
      </c>
      <c r="V1538" s="29">
        <v>45449.0</v>
      </c>
      <c r="W1538" s="30"/>
      <c r="X1538" s="30"/>
      <c r="Y1538" s="31"/>
      <c r="Z1538" s="31"/>
      <c r="AA1538" s="31" t="s">
        <v>108</v>
      </c>
      <c r="AB1538" s="31" t="s">
        <v>6141</v>
      </c>
      <c r="AC1538" s="31"/>
    </row>
    <row r="1539" ht="16.5" customHeight="1">
      <c r="A1539" s="48" t="s">
        <v>6142</v>
      </c>
      <c r="B1539" s="53" t="s">
        <v>6143</v>
      </c>
      <c r="C1539" s="47">
        <v>0.0</v>
      </c>
      <c r="D1539" s="21" t="s">
        <v>6144</v>
      </c>
      <c r="E1539" s="55" t="s">
        <v>1027</v>
      </c>
      <c r="F1539" s="32" t="s">
        <v>33</v>
      </c>
      <c r="G1539" s="32" t="s">
        <v>35</v>
      </c>
      <c r="H1539" s="23" t="s">
        <v>35</v>
      </c>
      <c r="I1539" s="66" t="s">
        <v>36</v>
      </c>
      <c r="J1539" s="34" t="s">
        <v>65</v>
      </c>
      <c r="K1539" s="57" t="s">
        <v>38</v>
      </c>
      <c r="L1539" s="25">
        <v>10936.0</v>
      </c>
      <c r="M1539" s="82"/>
      <c r="N1539" s="26" t="s">
        <v>5279</v>
      </c>
      <c r="O1539" s="28">
        <v>45453.63289835648</v>
      </c>
      <c r="P1539" s="26" t="s">
        <v>6145</v>
      </c>
      <c r="Q1539" s="12"/>
      <c r="R1539" s="30"/>
      <c r="S1539" s="60"/>
      <c r="T1539" s="29">
        <v>45448.0</v>
      </c>
      <c r="U1539" s="29">
        <v>45449.0</v>
      </c>
      <c r="V1539" s="29">
        <v>45450.0</v>
      </c>
      <c r="W1539" s="30"/>
      <c r="X1539" s="30"/>
      <c r="Y1539" s="31"/>
      <c r="Z1539" s="31"/>
      <c r="AA1539" s="31" t="s">
        <v>94</v>
      </c>
      <c r="AB1539" s="31" t="s">
        <v>6146</v>
      </c>
      <c r="AC1539" s="31"/>
    </row>
    <row r="1540" ht="16.5" customHeight="1">
      <c r="A1540" s="48" t="s">
        <v>6147</v>
      </c>
      <c r="B1540" s="53" t="s">
        <v>2782</v>
      </c>
      <c r="C1540" s="47">
        <v>0.0</v>
      </c>
      <c r="D1540" s="21" t="s">
        <v>6148</v>
      </c>
      <c r="E1540" s="55" t="s">
        <v>506</v>
      </c>
      <c r="F1540" s="32" t="s">
        <v>33</v>
      </c>
      <c r="G1540" s="32" t="s">
        <v>35</v>
      </c>
      <c r="H1540" s="23" t="s">
        <v>35</v>
      </c>
      <c r="I1540" s="66" t="s">
        <v>36</v>
      </c>
      <c r="J1540" s="34" t="s">
        <v>49</v>
      </c>
      <c r="K1540" s="57" t="s">
        <v>38</v>
      </c>
      <c r="L1540" s="25">
        <v>10971.0</v>
      </c>
      <c r="M1540" s="22" t="s">
        <v>6149</v>
      </c>
      <c r="N1540" s="26" t="s">
        <v>5936</v>
      </c>
      <c r="O1540" s="28">
        <v>45457.64862260417</v>
      </c>
      <c r="P1540" s="26" t="s">
        <v>6150</v>
      </c>
      <c r="Q1540" s="12"/>
      <c r="R1540" s="30"/>
      <c r="S1540" s="60"/>
      <c r="T1540" s="29">
        <v>45448.0</v>
      </c>
      <c r="U1540" s="29">
        <v>45453.0</v>
      </c>
      <c r="V1540" s="29">
        <v>45455.0</v>
      </c>
      <c r="W1540" s="30"/>
      <c r="X1540" s="30"/>
      <c r="Y1540" s="31"/>
      <c r="Z1540" s="31"/>
      <c r="AA1540" s="31" t="s">
        <v>102</v>
      </c>
      <c r="AB1540" s="31" t="s">
        <v>6151</v>
      </c>
      <c r="AC1540" s="31"/>
    </row>
    <row r="1541" ht="16.5" customHeight="1">
      <c r="A1541" s="48" t="s">
        <v>6152</v>
      </c>
      <c r="B1541" s="53" t="s">
        <v>6153</v>
      </c>
      <c r="C1541" s="47">
        <v>1.0</v>
      </c>
      <c r="D1541" s="70" t="s">
        <v>6154</v>
      </c>
      <c r="E1541" s="55" t="s">
        <v>3395</v>
      </c>
      <c r="F1541" s="32" t="s">
        <v>48</v>
      </c>
      <c r="G1541" s="32" t="s">
        <v>35</v>
      </c>
      <c r="H1541" s="71" t="s">
        <v>35</v>
      </c>
      <c r="I1541" s="71" t="s">
        <v>36</v>
      </c>
      <c r="J1541" s="34" t="s">
        <v>49</v>
      </c>
      <c r="K1541" s="57" t="s">
        <v>38</v>
      </c>
      <c r="L1541" s="72">
        <v>10913.0</v>
      </c>
      <c r="M1541" s="22"/>
      <c r="N1541" s="73"/>
      <c r="O1541" s="28">
        <v>45394.0</v>
      </c>
      <c r="P1541" s="35" t="s">
        <v>6155</v>
      </c>
      <c r="Q1541" s="12"/>
      <c r="R1541" s="12"/>
      <c r="S1541" s="12"/>
      <c r="T1541" s="52">
        <v>45448.0</v>
      </c>
      <c r="U1541" s="52">
        <v>45384.0</v>
      </c>
      <c r="V1541" s="52">
        <v>45385.0</v>
      </c>
      <c r="W1541" s="30"/>
      <c r="X1541" s="30"/>
      <c r="Y1541" s="31"/>
      <c r="Z1541" s="31"/>
      <c r="AA1541" s="78" t="s">
        <v>94</v>
      </c>
      <c r="AB1541" s="74" t="s">
        <v>6156</v>
      </c>
      <c r="AC1541" s="74"/>
    </row>
    <row r="1542" ht="16.5" customHeight="1">
      <c r="A1542" s="48" t="s">
        <v>6157</v>
      </c>
      <c r="B1542" s="53" t="s">
        <v>6153</v>
      </c>
      <c r="C1542" s="47">
        <v>27.0</v>
      </c>
      <c r="D1542" s="39" t="s">
        <v>6158</v>
      </c>
      <c r="E1542" s="55" t="s">
        <v>72</v>
      </c>
      <c r="F1542" s="32" t="s">
        <v>48</v>
      </c>
      <c r="G1542" s="32" t="s">
        <v>35</v>
      </c>
      <c r="H1542" s="71" t="s">
        <v>35</v>
      </c>
      <c r="I1542" s="71" t="s">
        <v>36</v>
      </c>
      <c r="J1542" s="34" t="s">
        <v>49</v>
      </c>
      <c r="K1542" s="57" t="s">
        <v>38</v>
      </c>
      <c r="L1542" s="72">
        <v>10913.0</v>
      </c>
      <c r="M1542" s="22"/>
      <c r="N1542" s="73"/>
      <c r="O1542" s="28">
        <v>45394.0</v>
      </c>
      <c r="P1542" s="35" t="s">
        <v>6159</v>
      </c>
      <c r="Q1542" s="12"/>
      <c r="R1542" s="12"/>
      <c r="S1542" s="12"/>
      <c r="T1542" s="52">
        <v>45448.0</v>
      </c>
      <c r="U1542" s="52">
        <v>45384.0</v>
      </c>
      <c r="V1542" s="52">
        <v>45385.0</v>
      </c>
      <c r="W1542" s="30"/>
      <c r="X1542" s="30"/>
      <c r="Y1542" s="31"/>
      <c r="Z1542" s="31"/>
      <c r="AA1542" s="78" t="s">
        <v>94</v>
      </c>
      <c r="AB1542" s="74" t="s">
        <v>6160</v>
      </c>
      <c r="AC1542" s="74"/>
    </row>
    <row r="1543" ht="16.5" customHeight="1">
      <c r="A1543" s="48" t="s">
        <v>6161</v>
      </c>
      <c r="B1543" s="53" t="s">
        <v>6153</v>
      </c>
      <c r="C1543" s="54">
        <v>0.0</v>
      </c>
      <c r="D1543" s="21" t="s">
        <v>6162</v>
      </c>
      <c r="E1543" s="55" t="s">
        <v>3441</v>
      </c>
      <c r="F1543" s="32" t="s">
        <v>48</v>
      </c>
      <c r="G1543" s="32" t="s">
        <v>35</v>
      </c>
      <c r="H1543" s="23" t="s">
        <v>35</v>
      </c>
      <c r="I1543" s="56" t="s">
        <v>36</v>
      </c>
      <c r="J1543" s="34" t="s">
        <v>49</v>
      </c>
      <c r="K1543" s="57" t="s">
        <v>38</v>
      </c>
      <c r="L1543" s="58" t="s">
        <v>6163</v>
      </c>
      <c r="M1543" s="22"/>
      <c r="N1543" s="26" t="s">
        <v>86</v>
      </c>
      <c r="O1543" s="28">
        <v>45459.0</v>
      </c>
      <c r="P1543" s="26" t="s">
        <v>6164</v>
      </c>
      <c r="Q1543" s="12"/>
      <c r="R1543" s="12"/>
      <c r="S1543" s="60"/>
      <c r="T1543" s="29">
        <v>45440.0</v>
      </c>
      <c r="U1543" s="29">
        <v>45449.0</v>
      </c>
      <c r="V1543" s="29">
        <f>O1543</f>
        <v>45459</v>
      </c>
      <c r="W1543" s="30"/>
      <c r="X1543" s="30"/>
      <c r="Y1543" s="31"/>
      <c r="Z1543" s="31"/>
      <c r="AA1543" s="31" t="s">
        <v>94</v>
      </c>
      <c r="AB1543" s="31" t="s">
        <v>6165</v>
      </c>
      <c r="AC1543" s="31"/>
    </row>
    <row r="1544" ht="16.5" customHeight="1">
      <c r="A1544" s="48" t="s">
        <v>6166</v>
      </c>
      <c r="B1544" s="53" t="s">
        <v>6167</v>
      </c>
      <c r="C1544" s="129">
        <v>90.0</v>
      </c>
      <c r="D1544" s="70" t="s">
        <v>6168</v>
      </c>
      <c r="E1544" s="55" t="s">
        <v>91</v>
      </c>
      <c r="F1544" s="32" t="s">
        <v>48</v>
      </c>
      <c r="G1544" s="32" t="s">
        <v>35</v>
      </c>
      <c r="H1544" s="23" t="s">
        <v>35</v>
      </c>
      <c r="I1544" s="66" t="s">
        <v>36</v>
      </c>
      <c r="J1544" s="34" t="s">
        <v>420</v>
      </c>
      <c r="K1544" s="57" t="s">
        <v>38</v>
      </c>
      <c r="L1544" s="25">
        <v>10922.0</v>
      </c>
      <c r="M1544" s="22" t="s">
        <v>50</v>
      </c>
      <c r="N1544" s="26" t="s">
        <v>4031</v>
      </c>
      <c r="O1544" s="28">
        <v>45450.58807349537</v>
      </c>
      <c r="P1544" s="26" t="s">
        <v>6169</v>
      </c>
      <c r="Q1544" s="12"/>
      <c r="R1544" s="12"/>
      <c r="S1544" s="60"/>
      <c r="T1544" s="29">
        <v>45449.0</v>
      </c>
      <c r="U1544" s="29">
        <v>45449.0</v>
      </c>
      <c r="V1544" s="29">
        <v>45450.39443195602</v>
      </c>
      <c r="W1544" s="30"/>
      <c r="X1544" s="30"/>
      <c r="Y1544" s="31"/>
      <c r="Z1544" s="31"/>
      <c r="AA1544" s="31" t="s">
        <v>120</v>
      </c>
      <c r="AB1544" s="31" t="s">
        <v>6170</v>
      </c>
      <c r="AC1544" s="31"/>
    </row>
    <row r="1545" ht="16.5" customHeight="1">
      <c r="A1545" s="48" t="s">
        <v>6171</v>
      </c>
      <c r="B1545" s="53" t="s">
        <v>936</v>
      </c>
      <c r="C1545" s="129">
        <v>137.0</v>
      </c>
      <c r="D1545" s="21" t="s">
        <v>6172</v>
      </c>
      <c r="E1545" s="55" t="s">
        <v>85</v>
      </c>
      <c r="F1545" s="32" t="s">
        <v>48</v>
      </c>
      <c r="G1545" s="32" t="s">
        <v>35</v>
      </c>
      <c r="H1545" s="23" t="s">
        <v>35</v>
      </c>
      <c r="I1545" s="66" t="s">
        <v>36</v>
      </c>
      <c r="J1545" s="34" t="s">
        <v>420</v>
      </c>
      <c r="K1545" s="57" t="s">
        <v>38</v>
      </c>
      <c r="L1545" s="25">
        <v>10923.0</v>
      </c>
      <c r="M1545" s="22" t="s">
        <v>50</v>
      </c>
      <c r="N1545" s="26" t="s">
        <v>4031</v>
      </c>
      <c r="O1545" s="28">
        <v>45450.58812971065</v>
      </c>
      <c r="P1545" s="26" t="s">
        <v>6173</v>
      </c>
      <c r="Q1545" s="12"/>
      <c r="R1545" s="12"/>
      <c r="S1545" s="60"/>
      <c r="T1545" s="29">
        <v>45449.0</v>
      </c>
      <c r="U1545" s="29">
        <v>45449.0</v>
      </c>
      <c r="V1545" s="29">
        <v>45450.39461613426</v>
      </c>
      <c r="W1545" s="30"/>
      <c r="X1545" s="30"/>
      <c r="Y1545" s="31"/>
      <c r="Z1545" s="31"/>
      <c r="AA1545" s="31" t="s">
        <v>120</v>
      </c>
      <c r="AB1545" s="31" t="s">
        <v>6174</v>
      </c>
      <c r="AC1545" s="31"/>
    </row>
    <row r="1546" ht="16.5" customHeight="1">
      <c r="A1546" s="48" t="s">
        <v>6175</v>
      </c>
      <c r="B1546" s="53" t="s">
        <v>936</v>
      </c>
      <c r="C1546" s="129">
        <v>1.0</v>
      </c>
      <c r="D1546" s="21" t="s">
        <v>6176</v>
      </c>
      <c r="E1546" s="55" t="s">
        <v>3395</v>
      </c>
      <c r="F1546" s="32" t="s">
        <v>48</v>
      </c>
      <c r="G1546" s="32" t="s">
        <v>35</v>
      </c>
      <c r="H1546" s="23" t="s">
        <v>35</v>
      </c>
      <c r="I1546" s="66" t="s">
        <v>36</v>
      </c>
      <c r="J1546" s="34" t="s">
        <v>420</v>
      </c>
      <c r="K1546" s="57" t="s">
        <v>38</v>
      </c>
      <c r="L1546" s="25">
        <v>10924.0</v>
      </c>
      <c r="M1546" s="22" t="s">
        <v>50</v>
      </c>
      <c r="N1546" s="26" t="s">
        <v>4031</v>
      </c>
      <c r="O1546" s="28">
        <v>45450.58818924769</v>
      </c>
      <c r="P1546" s="26" t="s">
        <v>6173</v>
      </c>
      <c r="Q1546" s="12"/>
      <c r="R1546" s="12"/>
      <c r="S1546" s="60"/>
      <c r="T1546" s="29">
        <v>45449.0</v>
      </c>
      <c r="U1546" s="29">
        <v>45449.0</v>
      </c>
      <c r="V1546" s="29">
        <v>45450.394732870365</v>
      </c>
      <c r="W1546" s="30"/>
      <c r="X1546" s="30"/>
      <c r="Y1546" s="31"/>
      <c r="Z1546" s="31"/>
      <c r="AA1546" s="31" t="s">
        <v>120</v>
      </c>
      <c r="AB1546" s="31" t="s">
        <v>6177</v>
      </c>
      <c r="AC1546" s="31"/>
    </row>
    <row r="1547" ht="16.5" customHeight="1">
      <c r="A1547" s="48" t="s">
        <v>6178</v>
      </c>
      <c r="B1547" s="53" t="s">
        <v>5737</v>
      </c>
      <c r="C1547" s="47">
        <v>1.0</v>
      </c>
      <c r="D1547" s="70" t="s">
        <v>6179</v>
      </c>
      <c r="E1547" s="55" t="s">
        <v>3395</v>
      </c>
      <c r="F1547" s="32" t="s">
        <v>48</v>
      </c>
      <c r="G1547" s="32" t="s">
        <v>35</v>
      </c>
      <c r="H1547" s="71" t="s">
        <v>35</v>
      </c>
      <c r="I1547" s="71" t="s">
        <v>36</v>
      </c>
      <c r="J1547" s="34" t="s">
        <v>49</v>
      </c>
      <c r="K1547" s="57" t="s">
        <v>38</v>
      </c>
      <c r="L1547" s="72">
        <v>10926.0</v>
      </c>
      <c r="M1547" s="22"/>
      <c r="N1547" s="73"/>
      <c r="O1547" s="28">
        <v>45460.0</v>
      </c>
      <c r="P1547" s="35" t="s">
        <v>6180</v>
      </c>
      <c r="Q1547" s="12"/>
      <c r="R1547" s="12"/>
      <c r="S1547" s="12"/>
      <c r="T1547" s="52">
        <v>45449.0</v>
      </c>
      <c r="U1547" s="52">
        <v>45450.0</v>
      </c>
      <c r="V1547" s="52">
        <v>45460.0</v>
      </c>
      <c r="W1547" s="30"/>
      <c r="X1547" s="30"/>
      <c r="Y1547" s="31"/>
      <c r="Z1547" s="31"/>
      <c r="AA1547" s="78" t="s">
        <v>94</v>
      </c>
      <c r="AB1547" s="74" t="s">
        <v>6181</v>
      </c>
      <c r="AC1547" s="74"/>
    </row>
    <row r="1548" ht="16.5" customHeight="1">
      <c r="A1548" s="48" t="s">
        <v>6182</v>
      </c>
      <c r="B1548" s="53" t="s">
        <v>6183</v>
      </c>
      <c r="C1548" s="129">
        <v>90.0</v>
      </c>
      <c r="D1548" s="70" t="s">
        <v>6184</v>
      </c>
      <c r="E1548" s="55" t="s">
        <v>91</v>
      </c>
      <c r="F1548" s="32" t="s">
        <v>48</v>
      </c>
      <c r="G1548" s="32" t="s">
        <v>35</v>
      </c>
      <c r="H1548" s="23" t="s">
        <v>35</v>
      </c>
      <c r="I1548" s="66" t="s">
        <v>36</v>
      </c>
      <c r="J1548" s="34" t="s">
        <v>49</v>
      </c>
      <c r="K1548" s="57" t="s">
        <v>518</v>
      </c>
      <c r="L1548" s="25">
        <v>10927.0</v>
      </c>
      <c r="M1548" s="22" t="s">
        <v>50</v>
      </c>
      <c r="N1548" s="26" t="s">
        <v>5936</v>
      </c>
      <c r="O1548" s="28">
        <v>45450.70925488426</v>
      </c>
      <c r="P1548" s="26" t="s">
        <v>6185</v>
      </c>
      <c r="Q1548" s="12"/>
      <c r="R1548" s="12"/>
      <c r="S1548" s="60"/>
      <c r="T1548" s="29">
        <v>45450.0</v>
      </c>
      <c r="U1548" s="29">
        <v>45450.0</v>
      </c>
      <c r="V1548" s="29">
        <v>45450.48118803241</v>
      </c>
      <c r="W1548" s="30"/>
      <c r="X1548" s="30"/>
      <c r="Y1548" s="31"/>
      <c r="Z1548" s="31"/>
      <c r="AA1548" s="31" t="s">
        <v>108</v>
      </c>
      <c r="AB1548" s="31" t="s">
        <v>6186</v>
      </c>
      <c r="AC1548" s="31"/>
    </row>
    <row r="1549" ht="16.5" customHeight="1">
      <c r="A1549" s="48" t="s">
        <v>6187</v>
      </c>
      <c r="B1549" s="53" t="s">
        <v>3382</v>
      </c>
      <c r="C1549" s="130">
        <v>0.0</v>
      </c>
      <c r="D1549" s="125" t="s">
        <v>6188</v>
      </c>
      <c r="E1549" s="55" t="s">
        <v>4766</v>
      </c>
      <c r="F1549" s="32" t="s">
        <v>244</v>
      </c>
      <c r="G1549" s="32" t="s">
        <v>35</v>
      </c>
      <c r="H1549" s="23" t="s">
        <v>35</v>
      </c>
      <c r="I1549" s="66" t="s">
        <v>36</v>
      </c>
      <c r="J1549" s="34" t="s">
        <v>49</v>
      </c>
      <c r="K1549" s="57" t="s">
        <v>805</v>
      </c>
      <c r="L1549" s="25">
        <v>11065.0</v>
      </c>
      <c r="M1549" s="22" t="s">
        <v>40</v>
      </c>
      <c r="N1549" s="26" t="s">
        <v>3694</v>
      </c>
      <c r="O1549" s="28">
        <v>45474.682790543986</v>
      </c>
      <c r="P1549" s="26" t="s">
        <v>6189</v>
      </c>
      <c r="Q1549" s="12"/>
      <c r="R1549" s="30"/>
      <c r="S1549" s="60"/>
      <c r="T1549" s="29">
        <v>45450.0</v>
      </c>
      <c r="U1549" s="29">
        <v>45450.0</v>
      </c>
      <c r="V1549" s="29">
        <v>45456.0</v>
      </c>
      <c r="W1549" s="30"/>
      <c r="X1549" s="30"/>
      <c r="Y1549" s="31"/>
      <c r="Z1549" s="31"/>
      <c r="AA1549" s="31" t="s">
        <v>3385</v>
      </c>
      <c r="AB1549" s="31" t="s">
        <v>6190</v>
      </c>
      <c r="AC1549" s="31"/>
    </row>
    <row r="1550" ht="16.5" customHeight="1">
      <c r="A1550" s="48" t="s">
        <v>6191</v>
      </c>
      <c r="B1550" s="53" t="s">
        <v>1345</v>
      </c>
      <c r="C1550" s="47">
        <v>137.0</v>
      </c>
      <c r="D1550" s="70" t="s">
        <v>6192</v>
      </c>
      <c r="E1550" s="55" t="s">
        <v>85</v>
      </c>
      <c r="F1550" s="32" t="s">
        <v>48</v>
      </c>
      <c r="G1550" s="32" t="s">
        <v>35</v>
      </c>
      <c r="H1550" s="71" t="s">
        <v>35</v>
      </c>
      <c r="I1550" s="71" t="s">
        <v>36</v>
      </c>
      <c r="J1550" s="34" t="s">
        <v>49</v>
      </c>
      <c r="K1550" s="57" t="s">
        <v>38</v>
      </c>
      <c r="L1550" s="72">
        <v>10929.0</v>
      </c>
      <c r="M1550" s="22"/>
      <c r="N1550" s="73"/>
      <c r="O1550" s="28">
        <v>45394.0</v>
      </c>
      <c r="P1550" s="35" t="s">
        <v>6193</v>
      </c>
      <c r="Q1550" s="12"/>
      <c r="R1550" s="12"/>
      <c r="S1550" s="12"/>
      <c r="T1550" s="52">
        <v>45449.0</v>
      </c>
      <c r="U1550" s="52">
        <v>45384.0</v>
      </c>
      <c r="V1550" s="52">
        <v>45385.0</v>
      </c>
      <c r="W1550" s="30"/>
      <c r="X1550" s="30"/>
      <c r="Y1550" s="31"/>
      <c r="Z1550" s="31"/>
      <c r="AA1550" s="78" t="s">
        <v>94</v>
      </c>
      <c r="AB1550" s="74" t="s">
        <v>6194</v>
      </c>
      <c r="AC1550" s="74"/>
    </row>
    <row r="1551" ht="16.5" customHeight="1">
      <c r="A1551" s="48" t="s">
        <v>6195</v>
      </c>
      <c r="B1551" s="53" t="s">
        <v>1345</v>
      </c>
      <c r="C1551" s="47">
        <v>11.0</v>
      </c>
      <c r="D1551" s="70" t="s">
        <v>6196</v>
      </c>
      <c r="E1551" s="55" t="s">
        <v>112</v>
      </c>
      <c r="F1551" s="32" t="s">
        <v>48</v>
      </c>
      <c r="G1551" s="32" t="s">
        <v>35</v>
      </c>
      <c r="H1551" s="71" t="s">
        <v>35</v>
      </c>
      <c r="I1551" s="71" t="s">
        <v>36</v>
      </c>
      <c r="J1551" s="34" t="s">
        <v>49</v>
      </c>
      <c r="K1551" s="57" t="s">
        <v>38</v>
      </c>
      <c r="L1551" s="72">
        <v>10929.0</v>
      </c>
      <c r="M1551" s="22"/>
      <c r="N1551" s="73"/>
      <c r="O1551" s="28">
        <v>45394.0</v>
      </c>
      <c r="P1551" s="35" t="s">
        <v>6197</v>
      </c>
      <c r="Q1551" s="12"/>
      <c r="R1551" s="12"/>
      <c r="S1551" s="12"/>
      <c r="T1551" s="52">
        <v>45449.0</v>
      </c>
      <c r="U1551" s="52">
        <v>45384.0</v>
      </c>
      <c r="V1551" s="52">
        <v>45385.0</v>
      </c>
      <c r="W1551" s="30"/>
      <c r="X1551" s="30"/>
      <c r="Y1551" s="31"/>
      <c r="Z1551" s="31"/>
      <c r="AA1551" s="78" t="s">
        <v>94</v>
      </c>
      <c r="AB1551" s="74" t="s">
        <v>6198</v>
      </c>
      <c r="AC1551" s="74"/>
    </row>
    <row r="1552" ht="16.5" customHeight="1">
      <c r="A1552" s="48" t="s">
        <v>6199</v>
      </c>
      <c r="B1552" s="53" t="s">
        <v>1345</v>
      </c>
      <c r="C1552" s="47">
        <v>34.0</v>
      </c>
      <c r="D1552" s="70" t="s">
        <v>6200</v>
      </c>
      <c r="E1552" s="55" t="s">
        <v>47</v>
      </c>
      <c r="F1552" s="32" t="s">
        <v>48</v>
      </c>
      <c r="G1552" s="32" t="s">
        <v>35</v>
      </c>
      <c r="H1552" s="71" t="s">
        <v>35</v>
      </c>
      <c r="I1552" s="71" t="s">
        <v>36</v>
      </c>
      <c r="J1552" s="34" t="s">
        <v>49</v>
      </c>
      <c r="K1552" s="57" t="s">
        <v>38</v>
      </c>
      <c r="L1552" s="72">
        <v>10929.0</v>
      </c>
      <c r="M1552" s="22"/>
      <c r="N1552" s="73"/>
      <c r="O1552" s="28">
        <v>45394.0</v>
      </c>
      <c r="P1552" s="35" t="s">
        <v>6201</v>
      </c>
      <c r="Q1552" s="12"/>
      <c r="R1552" s="12"/>
      <c r="S1552" s="12"/>
      <c r="T1552" s="52">
        <v>45449.0</v>
      </c>
      <c r="U1552" s="52">
        <v>45384.0</v>
      </c>
      <c r="V1552" s="52">
        <v>45385.0</v>
      </c>
      <c r="W1552" s="30"/>
      <c r="X1552" s="30"/>
      <c r="Y1552" s="31"/>
      <c r="Z1552" s="31"/>
      <c r="AA1552" s="78" t="s">
        <v>94</v>
      </c>
      <c r="AB1552" s="74" t="s">
        <v>6202</v>
      </c>
      <c r="AC1552" s="74"/>
    </row>
    <row r="1553" ht="16.5" customHeight="1">
      <c r="A1553" s="48" t="s">
        <v>6203</v>
      </c>
      <c r="B1553" s="53" t="s">
        <v>1345</v>
      </c>
      <c r="C1553" s="47">
        <v>137.0</v>
      </c>
      <c r="D1553" s="70" t="s">
        <v>6204</v>
      </c>
      <c r="E1553" s="55" t="s">
        <v>85</v>
      </c>
      <c r="F1553" s="32" t="s">
        <v>48</v>
      </c>
      <c r="G1553" s="32" t="s">
        <v>35</v>
      </c>
      <c r="H1553" s="71" t="s">
        <v>35</v>
      </c>
      <c r="I1553" s="71" t="s">
        <v>36</v>
      </c>
      <c r="J1553" s="34" t="s">
        <v>65</v>
      </c>
      <c r="K1553" s="57" t="s">
        <v>38</v>
      </c>
      <c r="L1553" s="72">
        <v>10929.0</v>
      </c>
      <c r="M1553" s="22"/>
      <c r="N1553" s="35" t="s">
        <v>3461</v>
      </c>
      <c r="O1553" s="28">
        <v>45390.0</v>
      </c>
      <c r="P1553" s="35" t="s">
        <v>6205</v>
      </c>
      <c r="Q1553" s="12"/>
      <c r="R1553" s="12"/>
      <c r="S1553" s="12"/>
      <c r="T1553" s="52">
        <v>45385.0</v>
      </c>
      <c r="U1553" s="52">
        <v>45385.0</v>
      </c>
      <c r="V1553" s="52">
        <v>45387.0</v>
      </c>
      <c r="W1553" s="30"/>
      <c r="X1553" s="30"/>
      <c r="Y1553" s="31"/>
      <c r="Z1553" s="31"/>
      <c r="AA1553" s="78" t="s">
        <v>94</v>
      </c>
      <c r="AB1553" s="74" t="s">
        <v>6206</v>
      </c>
      <c r="AC1553" s="74"/>
    </row>
    <row r="1554" ht="16.5" customHeight="1">
      <c r="A1554" s="48" t="s">
        <v>6207</v>
      </c>
      <c r="B1554" s="53" t="s">
        <v>1345</v>
      </c>
      <c r="C1554" s="54">
        <v>0.0</v>
      </c>
      <c r="D1554" s="21" t="s">
        <v>6208</v>
      </c>
      <c r="E1554" s="55" t="s">
        <v>3441</v>
      </c>
      <c r="F1554" s="32" t="s">
        <v>48</v>
      </c>
      <c r="G1554" s="32" t="s">
        <v>35</v>
      </c>
      <c r="H1554" s="23" t="s">
        <v>35</v>
      </c>
      <c r="I1554" s="56" t="s">
        <v>36</v>
      </c>
      <c r="J1554" s="34" t="s">
        <v>49</v>
      </c>
      <c r="K1554" s="57" t="s">
        <v>38</v>
      </c>
      <c r="L1554" s="58" t="s">
        <v>6209</v>
      </c>
      <c r="M1554" s="22"/>
      <c r="N1554" s="26" t="s">
        <v>86</v>
      </c>
      <c r="O1554" s="28">
        <v>45463.0</v>
      </c>
      <c r="P1554" s="26" t="s">
        <v>6210</v>
      </c>
      <c r="Q1554" s="12"/>
      <c r="R1554" s="12"/>
      <c r="S1554" s="60"/>
      <c r="T1554" s="29">
        <v>45440.0</v>
      </c>
      <c r="U1554" s="29">
        <v>45453.0</v>
      </c>
      <c r="V1554" s="29">
        <f t="shared" ref="V1554:V1556" si="6">O1554</f>
        <v>45463</v>
      </c>
      <c r="W1554" s="30"/>
      <c r="X1554" s="30"/>
      <c r="Y1554" s="31"/>
      <c r="Z1554" s="31"/>
      <c r="AA1554" s="31" t="s">
        <v>94</v>
      </c>
      <c r="AB1554" s="31" t="s">
        <v>6211</v>
      </c>
      <c r="AC1554" s="31"/>
    </row>
    <row r="1555" ht="16.5" customHeight="1">
      <c r="A1555" s="48" t="s">
        <v>6212</v>
      </c>
      <c r="B1555" s="53" t="s">
        <v>1345</v>
      </c>
      <c r="C1555" s="54">
        <v>0.0</v>
      </c>
      <c r="D1555" s="21" t="s">
        <v>6213</v>
      </c>
      <c r="E1555" s="55" t="s">
        <v>3441</v>
      </c>
      <c r="F1555" s="32" t="s">
        <v>48</v>
      </c>
      <c r="G1555" s="32" t="s">
        <v>35</v>
      </c>
      <c r="H1555" s="23" t="s">
        <v>35</v>
      </c>
      <c r="I1555" s="56" t="s">
        <v>36</v>
      </c>
      <c r="J1555" s="34" t="s">
        <v>49</v>
      </c>
      <c r="K1555" s="57" t="s">
        <v>38</v>
      </c>
      <c r="L1555" s="58" t="s">
        <v>6209</v>
      </c>
      <c r="M1555" s="22"/>
      <c r="N1555" s="26" t="s">
        <v>86</v>
      </c>
      <c r="O1555" s="28">
        <v>45463.0</v>
      </c>
      <c r="P1555" s="26" t="s">
        <v>6214</v>
      </c>
      <c r="Q1555" s="12"/>
      <c r="R1555" s="12"/>
      <c r="S1555" s="60"/>
      <c r="T1555" s="29">
        <v>45440.0</v>
      </c>
      <c r="U1555" s="29">
        <v>45453.0</v>
      </c>
      <c r="V1555" s="29">
        <f t="shared" si="6"/>
        <v>45463</v>
      </c>
      <c r="W1555" s="30"/>
      <c r="X1555" s="30"/>
      <c r="Y1555" s="31"/>
      <c r="Z1555" s="31"/>
      <c r="AA1555" s="31" t="s">
        <v>94</v>
      </c>
      <c r="AB1555" s="31" t="s">
        <v>6215</v>
      </c>
      <c r="AC1555" s="31"/>
    </row>
    <row r="1556" ht="16.5" customHeight="1">
      <c r="A1556" s="48" t="s">
        <v>6216</v>
      </c>
      <c r="B1556" s="53" t="s">
        <v>1345</v>
      </c>
      <c r="C1556" s="54">
        <v>0.0</v>
      </c>
      <c r="D1556" s="21" t="s">
        <v>6217</v>
      </c>
      <c r="E1556" s="55" t="s">
        <v>3441</v>
      </c>
      <c r="F1556" s="32" t="s">
        <v>48</v>
      </c>
      <c r="G1556" s="32" t="s">
        <v>35</v>
      </c>
      <c r="H1556" s="23" t="s">
        <v>35</v>
      </c>
      <c r="I1556" s="56" t="s">
        <v>36</v>
      </c>
      <c r="J1556" s="34" t="s">
        <v>49</v>
      </c>
      <c r="K1556" s="57" t="s">
        <v>38</v>
      </c>
      <c r="L1556" s="58" t="s">
        <v>6209</v>
      </c>
      <c r="M1556" s="22"/>
      <c r="N1556" s="26" t="s">
        <v>86</v>
      </c>
      <c r="O1556" s="28">
        <v>45463.0</v>
      </c>
      <c r="P1556" s="26" t="s">
        <v>6218</v>
      </c>
      <c r="Q1556" s="12"/>
      <c r="R1556" s="12"/>
      <c r="S1556" s="60"/>
      <c r="T1556" s="29">
        <v>45440.0</v>
      </c>
      <c r="U1556" s="29">
        <v>45453.0</v>
      </c>
      <c r="V1556" s="29">
        <f t="shared" si="6"/>
        <v>45463</v>
      </c>
      <c r="W1556" s="30"/>
      <c r="X1556" s="30"/>
      <c r="Y1556" s="31"/>
      <c r="Z1556" s="31"/>
      <c r="AA1556" s="31" t="s">
        <v>94</v>
      </c>
      <c r="AB1556" s="31" t="s">
        <v>6219</v>
      </c>
      <c r="AC1556" s="31"/>
    </row>
    <row r="1557" ht="16.5" customHeight="1">
      <c r="A1557" s="32" t="s">
        <v>6220</v>
      </c>
      <c r="B1557" s="53" t="s">
        <v>1345</v>
      </c>
      <c r="C1557" s="54">
        <v>0.0</v>
      </c>
      <c r="D1557" s="21" t="s">
        <v>6221</v>
      </c>
      <c r="E1557" s="55" t="s">
        <v>3441</v>
      </c>
      <c r="F1557" s="32" t="s">
        <v>48</v>
      </c>
      <c r="G1557" s="32" t="s">
        <v>35</v>
      </c>
      <c r="H1557" s="23" t="s">
        <v>35</v>
      </c>
      <c r="I1557" s="37" t="s">
        <v>36</v>
      </c>
      <c r="J1557" s="34" t="s">
        <v>65</v>
      </c>
      <c r="K1557" s="57" t="s">
        <v>38</v>
      </c>
      <c r="L1557" s="58" t="s">
        <v>6222</v>
      </c>
      <c r="M1557" s="27" t="s">
        <v>50</v>
      </c>
      <c r="N1557" s="26" t="s">
        <v>5706</v>
      </c>
      <c r="O1557" s="28">
        <v>45656.69179168982</v>
      </c>
      <c r="P1557" s="35" t="s">
        <v>6223</v>
      </c>
      <c r="Q1557" s="12"/>
      <c r="R1557" s="12"/>
      <c r="S1557" s="11" t="s">
        <v>50</v>
      </c>
      <c r="T1557" s="29">
        <v>45440.0</v>
      </c>
      <c r="U1557" s="29">
        <v>45567.0</v>
      </c>
      <c r="V1557" s="29">
        <v>45656.37446273148</v>
      </c>
      <c r="W1557" s="30"/>
      <c r="X1557" s="30"/>
      <c r="Y1557" s="31"/>
      <c r="Z1557" s="31"/>
      <c r="AA1557" s="31" t="s">
        <v>94</v>
      </c>
      <c r="AB1557" s="31" t="s">
        <v>6224</v>
      </c>
      <c r="AC1557" s="31"/>
    </row>
    <row r="1558" ht="16.5" customHeight="1">
      <c r="A1558" s="48" t="s">
        <v>6225</v>
      </c>
      <c r="B1558" s="53" t="s">
        <v>1345</v>
      </c>
      <c r="C1558" s="54">
        <v>0.0</v>
      </c>
      <c r="D1558" s="21" t="s">
        <v>6226</v>
      </c>
      <c r="E1558" s="55" t="s">
        <v>3441</v>
      </c>
      <c r="F1558" s="32" t="s">
        <v>48</v>
      </c>
      <c r="G1558" s="32" t="s">
        <v>35</v>
      </c>
      <c r="H1558" s="23" t="s">
        <v>35</v>
      </c>
      <c r="I1558" s="56" t="s">
        <v>36</v>
      </c>
      <c r="J1558" s="34" t="s">
        <v>49</v>
      </c>
      <c r="K1558" s="57" t="s">
        <v>38</v>
      </c>
      <c r="L1558" s="58" t="s">
        <v>6209</v>
      </c>
      <c r="M1558" s="22"/>
      <c r="N1558" s="26" t="s">
        <v>86</v>
      </c>
      <c r="O1558" s="28">
        <v>45463.0</v>
      </c>
      <c r="P1558" s="26" t="s">
        <v>6227</v>
      </c>
      <c r="Q1558" s="12"/>
      <c r="R1558" s="12"/>
      <c r="S1558" s="60"/>
      <c r="T1558" s="29">
        <v>45440.0</v>
      </c>
      <c r="U1558" s="29">
        <v>45453.0</v>
      </c>
      <c r="V1558" s="29">
        <f t="shared" ref="V1558:V1565" si="7">O1558</f>
        <v>45463</v>
      </c>
      <c r="W1558" s="30"/>
      <c r="X1558" s="30"/>
      <c r="Y1558" s="31"/>
      <c r="Z1558" s="31"/>
      <c r="AA1558" s="31" t="s">
        <v>94</v>
      </c>
      <c r="AB1558" s="31" t="s">
        <v>6228</v>
      </c>
      <c r="AC1558" s="31"/>
    </row>
    <row r="1559" ht="16.5" customHeight="1">
      <c r="A1559" s="48" t="s">
        <v>6229</v>
      </c>
      <c r="B1559" s="53" t="s">
        <v>1345</v>
      </c>
      <c r="C1559" s="54">
        <v>137.0</v>
      </c>
      <c r="D1559" s="21" t="s">
        <v>6230</v>
      </c>
      <c r="E1559" s="55" t="s">
        <v>85</v>
      </c>
      <c r="F1559" s="32" t="s">
        <v>48</v>
      </c>
      <c r="G1559" s="32" t="s">
        <v>35</v>
      </c>
      <c r="H1559" s="23" t="s">
        <v>35</v>
      </c>
      <c r="I1559" s="56" t="s">
        <v>36</v>
      </c>
      <c r="J1559" s="34" t="s">
        <v>49</v>
      </c>
      <c r="K1559" s="57" t="s">
        <v>38</v>
      </c>
      <c r="L1559" s="58" t="s">
        <v>6209</v>
      </c>
      <c r="M1559" s="22"/>
      <c r="N1559" s="26" t="s">
        <v>86</v>
      </c>
      <c r="O1559" s="28">
        <v>45463.0</v>
      </c>
      <c r="P1559" s="26" t="s">
        <v>6231</v>
      </c>
      <c r="Q1559" s="12"/>
      <c r="R1559" s="12"/>
      <c r="S1559" s="60"/>
      <c r="T1559" s="29">
        <v>45440.0</v>
      </c>
      <c r="U1559" s="29">
        <v>45453.0</v>
      </c>
      <c r="V1559" s="29">
        <f t="shared" si="7"/>
        <v>45463</v>
      </c>
      <c r="W1559" s="30"/>
      <c r="X1559" s="30"/>
      <c r="Y1559" s="31"/>
      <c r="Z1559" s="31"/>
      <c r="AA1559" s="31" t="s">
        <v>94</v>
      </c>
      <c r="AB1559" s="31" t="s">
        <v>6232</v>
      </c>
      <c r="AC1559" s="31"/>
    </row>
    <row r="1560" ht="16.5" customHeight="1">
      <c r="A1560" s="48" t="s">
        <v>6233</v>
      </c>
      <c r="B1560" s="53" t="s">
        <v>1345</v>
      </c>
      <c r="C1560" s="54">
        <v>137.0</v>
      </c>
      <c r="D1560" s="21" t="s">
        <v>6234</v>
      </c>
      <c r="E1560" s="55" t="s">
        <v>85</v>
      </c>
      <c r="F1560" s="32" t="s">
        <v>48</v>
      </c>
      <c r="G1560" s="32" t="s">
        <v>35</v>
      </c>
      <c r="H1560" s="23" t="s">
        <v>35</v>
      </c>
      <c r="I1560" s="56" t="s">
        <v>36</v>
      </c>
      <c r="J1560" s="34" t="s">
        <v>49</v>
      </c>
      <c r="K1560" s="57" t="s">
        <v>38</v>
      </c>
      <c r="L1560" s="58" t="s">
        <v>6209</v>
      </c>
      <c r="M1560" s="22"/>
      <c r="N1560" s="26" t="s">
        <v>86</v>
      </c>
      <c r="O1560" s="28">
        <v>45463.0</v>
      </c>
      <c r="P1560" s="26" t="s">
        <v>6235</v>
      </c>
      <c r="Q1560" s="12"/>
      <c r="R1560" s="12"/>
      <c r="S1560" s="60"/>
      <c r="T1560" s="29">
        <v>45440.0</v>
      </c>
      <c r="U1560" s="29">
        <v>45453.0</v>
      </c>
      <c r="V1560" s="29">
        <f t="shared" si="7"/>
        <v>45463</v>
      </c>
      <c r="W1560" s="30"/>
      <c r="X1560" s="30"/>
      <c r="Y1560" s="31"/>
      <c r="Z1560" s="31"/>
      <c r="AA1560" s="31" t="s">
        <v>94</v>
      </c>
      <c r="AB1560" s="31" t="s">
        <v>6236</v>
      </c>
      <c r="AC1560" s="31"/>
    </row>
    <row r="1561" ht="16.5" customHeight="1">
      <c r="A1561" s="48" t="s">
        <v>6237</v>
      </c>
      <c r="B1561" s="53" t="s">
        <v>1345</v>
      </c>
      <c r="C1561" s="54">
        <v>137.0</v>
      </c>
      <c r="D1561" s="21" t="s">
        <v>6238</v>
      </c>
      <c r="E1561" s="55" t="s">
        <v>85</v>
      </c>
      <c r="F1561" s="32" t="s">
        <v>48</v>
      </c>
      <c r="G1561" s="32" t="s">
        <v>35</v>
      </c>
      <c r="H1561" s="23" t="s">
        <v>35</v>
      </c>
      <c r="I1561" s="56" t="s">
        <v>36</v>
      </c>
      <c r="J1561" s="34" t="s">
        <v>49</v>
      </c>
      <c r="K1561" s="57" t="s">
        <v>38</v>
      </c>
      <c r="L1561" s="58" t="s">
        <v>6209</v>
      </c>
      <c r="M1561" s="22"/>
      <c r="N1561" s="26" t="s">
        <v>86</v>
      </c>
      <c r="O1561" s="28">
        <v>45463.0</v>
      </c>
      <c r="P1561" s="26" t="s">
        <v>6239</v>
      </c>
      <c r="Q1561" s="12"/>
      <c r="R1561" s="12"/>
      <c r="S1561" s="60"/>
      <c r="T1561" s="29">
        <v>45440.0</v>
      </c>
      <c r="U1561" s="29">
        <v>45453.0</v>
      </c>
      <c r="V1561" s="29">
        <f t="shared" si="7"/>
        <v>45463</v>
      </c>
      <c r="W1561" s="30"/>
      <c r="X1561" s="30"/>
      <c r="Y1561" s="31"/>
      <c r="Z1561" s="31"/>
      <c r="AA1561" s="31" t="s">
        <v>94</v>
      </c>
      <c r="AB1561" s="31" t="s">
        <v>6240</v>
      </c>
      <c r="AC1561" s="31"/>
    </row>
    <row r="1562" ht="16.5" customHeight="1">
      <c r="A1562" s="48" t="s">
        <v>6241</v>
      </c>
      <c r="B1562" s="53" t="s">
        <v>1345</v>
      </c>
      <c r="C1562" s="54">
        <v>90.0</v>
      </c>
      <c r="D1562" s="70" t="s">
        <v>6242</v>
      </c>
      <c r="E1562" s="55" t="s">
        <v>91</v>
      </c>
      <c r="F1562" s="32" t="s">
        <v>48</v>
      </c>
      <c r="G1562" s="32" t="s">
        <v>35</v>
      </c>
      <c r="H1562" s="23" t="s">
        <v>35</v>
      </c>
      <c r="I1562" s="56" t="s">
        <v>36</v>
      </c>
      <c r="J1562" s="34" t="s">
        <v>49</v>
      </c>
      <c r="K1562" s="57" t="s">
        <v>38</v>
      </c>
      <c r="L1562" s="58" t="s">
        <v>6209</v>
      </c>
      <c r="M1562" s="22"/>
      <c r="N1562" s="26" t="s">
        <v>86</v>
      </c>
      <c r="O1562" s="28">
        <v>45463.0</v>
      </c>
      <c r="P1562" s="26" t="s">
        <v>6243</v>
      </c>
      <c r="Q1562" s="12"/>
      <c r="R1562" s="12"/>
      <c r="S1562" s="60"/>
      <c r="T1562" s="29">
        <v>45440.0</v>
      </c>
      <c r="U1562" s="29">
        <v>45453.0</v>
      </c>
      <c r="V1562" s="29">
        <f t="shared" si="7"/>
        <v>45463</v>
      </c>
      <c r="W1562" s="30"/>
      <c r="X1562" s="30"/>
      <c r="Y1562" s="31"/>
      <c r="Z1562" s="31"/>
      <c r="AA1562" s="31" t="s">
        <v>94</v>
      </c>
      <c r="AB1562" s="31" t="s">
        <v>6244</v>
      </c>
      <c r="AC1562" s="31"/>
    </row>
    <row r="1563" ht="16.5" customHeight="1">
      <c r="A1563" s="48" t="s">
        <v>6245</v>
      </c>
      <c r="B1563" s="53" t="s">
        <v>1345</v>
      </c>
      <c r="C1563" s="54">
        <v>90.0</v>
      </c>
      <c r="D1563" s="70" t="s">
        <v>6246</v>
      </c>
      <c r="E1563" s="55" t="s">
        <v>91</v>
      </c>
      <c r="F1563" s="32" t="s">
        <v>48</v>
      </c>
      <c r="G1563" s="32" t="s">
        <v>35</v>
      </c>
      <c r="H1563" s="23" t="s">
        <v>35</v>
      </c>
      <c r="I1563" s="56" t="s">
        <v>36</v>
      </c>
      <c r="J1563" s="34" t="s">
        <v>49</v>
      </c>
      <c r="K1563" s="57" t="s">
        <v>38</v>
      </c>
      <c r="L1563" s="58" t="s">
        <v>6209</v>
      </c>
      <c r="M1563" s="22"/>
      <c r="N1563" s="26" t="s">
        <v>86</v>
      </c>
      <c r="O1563" s="28">
        <v>45463.0</v>
      </c>
      <c r="P1563" s="26" t="s">
        <v>6247</v>
      </c>
      <c r="Q1563" s="12"/>
      <c r="R1563" s="12"/>
      <c r="S1563" s="60"/>
      <c r="T1563" s="29">
        <v>45440.0</v>
      </c>
      <c r="U1563" s="29">
        <v>45453.0</v>
      </c>
      <c r="V1563" s="29">
        <f t="shared" si="7"/>
        <v>45463</v>
      </c>
      <c r="W1563" s="30"/>
      <c r="X1563" s="30"/>
      <c r="Y1563" s="31"/>
      <c r="Z1563" s="31"/>
      <c r="AA1563" s="31" t="s">
        <v>94</v>
      </c>
      <c r="AB1563" s="31" t="s">
        <v>6248</v>
      </c>
      <c r="AC1563" s="31"/>
    </row>
    <row r="1564" ht="16.5" customHeight="1">
      <c r="A1564" s="48" t="s">
        <v>6249</v>
      </c>
      <c r="B1564" s="53" t="s">
        <v>1345</v>
      </c>
      <c r="C1564" s="54">
        <v>90.0</v>
      </c>
      <c r="D1564" s="70" t="s">
        <v>6250</v>
      </c>
      <c r="E1564" s="55" t="s">
        <v>91</v>
      </c>
      <c r="F1564" s="32" t="s">
        <v>48</v>
      </c>
      <c r="G1564" s="32" t="s">
        <v>35</v>
      </c>
      <c r="H1564" s="23" t="s">
        <v>35</v>
      </c>
      <c r="I1564" s="56" t="s">
        <v>36</v>
      </c>
      <c r="J1564" s="34" t="s">
        <v>49</v>
      </c>
      <c r="K1564" s="57" t="s">
        <v>38</v>
      </c>
      <c r="L1564" s="58" t="s">
        <v>6209</v>
      </c>
      <c r="M1564" s="22"/>
      <c r="N1564" s="26" t="s">
        <v>86</v>
      </c>
      <c r="O1564" s="28">
        <v>45463.0</v>
      </c>
      <c r="P1564" s="26" t="s">
        <v>6251</v>
      </c>
      <c r="Q1564" s="12"/>
      <c r="R1564" s="12"/>
      <c r="S1564" s="60"/>
      <c r="T1564" s="29">
        <v>45440.0</v>
      </c>
      <c r="U1564" s="29">
        <v>45453.0</v>
      </c>
      <c r="V1564" s="29">
        <f t="shared" si="7"/>
        <v>45463</v>
      </c>
      <c r="W1564" s="30"/>
      <c r="X1564" s="30"/>
      <c r="Y1564" s="31"/>
      <c r="Z1564" s="31"/>
      <c r="AA1564" s="31" t="s">
        <v>94</v>
      </c>
      <c r="AB1564" s="31" t="s">
        <v>6252</v>
      </c>
      <c r="AC1564" s="31"/>
    </row>
    <row r="1565" ht="16.5" customHeight="1">
      <c r="A1565" s="18" t="s">
        <v>6253</v>
      </c>
      <c r="B1565" s="19" t="s">
        <v>1345</v>
      </c>
      <c r="C1565" s="20">
        <v>90.0</v>
      </c>
      <c r="D1565" s="21" t="s">
        <v>6254</v>
      </c>
      <c r="E1565" s="27" t="s">
        <v>91</v>
      </c>
      <c r="F1565" s="18" t="s">
        <v>48</v>
      </c>
      <c r="G1565" s="32" t="s">
        <v>35</v>
      </c>
      <c r="H1565" s="23" t="s">
        <v>35</v>
      </c>
      <c r="I1565" s="24" t="s">
        <v>36</v>
      </c>
      <c r="J1565" s="25" t="s">
        <v>49</v>
      </c>
      <c r="K1565" s="26" t="s">
        <v>38</v>
      </c>
      <c r="L1565" s="25" t="s">
        <v>6209</v>
      </c>
      <c r="M1565" s="27" t="s">
        <v>50</v>
      </c>
      <c r="N1565" s="26" t="s">
        <v>51</v>
      </c>
      <c r="O1565" s="28">
        <v>45489.64364498843</v>
      </c>
      <c r="P1565" s="26" t="s">
        <v>6028</v>
      </c>
      <c r="Q1565" s="11" t="s">
        <v>67</v>
      </c>
      <c r="R1565" s="11"/>
      <c r="S1565" s="11"/>
      <c r="T1565" s="29">
        <v>45440.0</v>
      </c>
      <c r="U1565" s="29">
        <v>45486.64364498843</v>
      </c>
      <c r="V1565" s="29">
        <f t="shared" si="7"/>
        <v>45489.64364</v>
      </c>
      <c r="W1565" s="30"/>
      <c r="X1565" s="30"/>
      <c r="Y1565" s="31"/>
      <c r="Z1565" s="31"/>
      <c r="AA1565" s="31" t="s">
        <v>94</v>
      </c>
      <c r="AB1565" s="31" t="s">
        <v>6255</v>
      </c>
      <c r="AC1565" s="31"/>
    </row>
    <row r="1566" ht="16.5" customHeight="1">
      <c r="A1566" s="18" t="s">
        <v>6256</v>
      </c>
      <c r="B1566" s="19" t="s">
        <v>1345</v>
      </c>
      <c r="C1566" s="20">
        <v>0.0</v>
      </c>
      <c r="D1566" s="21" t="s">
        <v>6257</v>
      </c>
      <c r="E1566" s="27" t="s">
        <v>3441</v>
      </c>
      <c r="F1566" s="18"/>
      <c r="G1566" s="32" t="s">
        <v>35</v>
      </c>
      <c r="H1566" s="23" t="s">
        <v>35</v>
      </c>
      <c r="I1566" s="24" t="s">
        <v>36</v>
      </c>
      <c r="J1566" s="25" t="s">
        <v>49</v>
      </c>
      <c r="K1566" s="26" t="s">
        <v>38</v>
      </c>
      <c r="L1566" s="25" t="s">
        <v>6209</v>
      </c>
      <c r="M1566" s="27" t="s">
        <v>1703</v>
      </c>
      <c r="N1566" s="26"/>
      <c r="O1566" s="28">
        <v>45541.0</v>
      </c>
      <c r="P1566" s="26" t="s">
        <v>6258</v>
      </c>
      <c r="Q1566" s="11"/>
      <c r="R1566" s="11"/>
      <c r="S1566" s="11" t="s">
        <v>6259</v>
      </c>
      <c r="T1566" s="29">
        <v>45440.0</v>
      </c>
      <c r="U1566" s="29">
        <v>45541.0</v>
      </c>
      <c r="V1566" s="29">
        <v>45541.0</v>
      </c>
      <c r="W1566" s="30"/>
      <c r="X1566" s="30"/>
      <c r="Y1566" s="31"/>
      <c r="Z1566" s="31"/>
      <c r="AA1566" s="31" t="s">
        <v>94</v>
      </c>
      <c r="AB1566" s="31" t="s">
        <v>6260</v>
      </c>
      <c r="AC1566" s="31"/>
    </row>
    <row r="1567" ht="16.5" customHeight="1">
      <c r="A1567" s="48" t="s">
        <v>6261</v>
      </c>
      <c r="B1567" s="53" t="s">
        <v>6262</v>
      </c>
      <c r="C1567" s="129">
        <v>34.0</v>
      </c>
      <c r="D1567" s="21" t="s">
        <v>6263</v>
      </c>
      <c r="E1567" s="55" t="s">
        <v>47</v>
      </c>
      <c r="F1567" s="32" t="s">
        <v>48</v>
      </c>
      <c r="G1567" s="32" t="s">
        <v>35</v>
      </c>
      <c r="H1567" s="23" t="s">
        <v>35</v>
      </c>
      <c r="I1567" s="66" t="s">
        <v>36</v>
      </c>
      <c r="J1567" s="34" t="s">
        <v>420</v>
      </c>
      <c r="K1567" s="57" t="s">
        <v>38</v>
      </c>
      <c r="L1567" s="25">
        <v>10937.0</v>
      </c>
      <c r="M1567" s="126" t="s">
        <v>6134</v>
      </c>
      <c r="N1567" s="26" t="s">
        <v>4031</v>
      </c>
      <c r="O1567" s="28">
        <v>45453.61450527778</v>
      </c>
      <c r="P1567" s="26" t="s">
        <v>6264</v>
      </c>
      <c r="Q1567" s="12"/>
      <c r="R1567" s="12"/>
      <c r="S1567" s="60"/>
      <c r="T1567" s="29">
        <v>45450.0</v>
      </c>
      <c r="U1567" s="29">
        <v>45453.0</v>
      </c>
      <c r="V1567" s="29">
        <v>45453.49298321759</v>
      </c>
      <c r="W1567" s="30"/>
      <c r="X1567" s="30"/>
      <c r="Y1567" s="31"/>
      <c r="Z1567" s="31"/>
      <c r="AA1567" s="31" t="s">
        <v>94</v>
      </c>
      <c r="AB1567" s="31" t="s">
        <v>6265</v>
      </c>
      <c r="AC1567" s="31"/>
    </row>
    <row r="1568" ht="16.5" customHeight="1">
      <c r="A1568" s="48" t="s">
        <v>6266</v>
      </c>
      <c r="B1568" s="53" t="s">
        <v>6262</v>
      </c>
      <c r="C1568" s="129">
        <v>34.0</v>
      </c>
      <c r="D1568" s="21" t="s">
        <v>6267</v>
      </c>
      <c r="E1568" s="55" t="s">
        <v>47</v>
      </c>
      <c r="F1568" s="32" t="s">
        <v>48</v>
      </c>
      <c r="G1568" s="32" t="s">
        <v>35</v>
      </c>
      <c r="H1568" s="23" t="s">
        <v>35</v>
      </c>
      <c r="I1568" s="66" t="s">
        <v>36</v>
      </c>
      <c r="J1568" s="34" t="s">
        <v>420</v>
      </c>
      <c r="K1568" s="57" t="s">
        <v>38</v>
      </c>
      <c r="L1568" s="25">
        <v>10937.0</v>
      </c>
      <c r="M1568" s="126" t="s">
        <v>6134</v>
      </c>
      <c r="N1568" s="26" t="s">
        <v>4031</v>
      </c>
      <c r="O1568" s="28">
        <v>45453.61458966435</v>
      </c>
      <c r="P1568" s="26" t="s">
        <v>6264</v>
      </c>
      <c r="Q1568" s="12"/>
      <c r="R1568" s="12"/>
      <c r="S1568" s="60"/>
      <c r="T1568" s="29">
        <v>45450.0</v>
      </c>
      <c r="U1568" s="29">
        <v>45453.0</v>
      </c>
      <c r="V1568" s="29">
        <v>45453.49300945602</v>
      </c>
      <c r="W1568" s="30"/>
      <c r="X1568" s="30"/>
      <c r="Y1568" s="31"/>
      <c r="Z1568" s="31"/>
      <c r="AA1568" s="31" t="s">
        <v>94</v>
      </c>
      <c r="AB1568" s="31" t="s">
        <v>6268</v>
      </c>
      <c r="AC1568" s="31"/>
    </row>
    <row r="1569" ht="16.5" customHeight="1">
      <c r="A1569" s="48" t="s">
        <v>6269</v>
      </c>
      <c r="B1569" s="53" t="s">
        <v>6270</v>
      </c>
      <c r="C1569" s="129">
        <v>1.0</v>
      </c>
      <c r="D1569" s="21" t="s">
        <v>6271</v>
      </c>
      <c r="E1569" s="55" t="s">
        <v>3395</v>
      </c>
      <c r="F1569" s="32" t="s">
        <v>48</v>
      </c>
      <c r="G1569" s="32" t="s">
        <v>35</v>
      </c>
      <c r="H1569" s="23" t="s">
        <v>35</v>
      </c>
      <c r="I1569" s="66" t="s">
        <v>36</v>
      </c>
      <c r="J1569" s="34" t="s">
        <v>49</v>
      </c>
      <c r="K1569" s="57" t="s">
        <v>38</v>
      </c>
      <c r="L1569" s="25">
        <v>10938.0</v>
      </c>
      <c r="M1569" s="126" t="s">
        <v>6134</v>
      </c>
      <c r="N1569" s="26" t="s">
        <v>5936</v>
      </c>
      <c r="O1569" s="28">
        <v>45454.44033673611</v>
      </c>
      <c r="P1569" s="26" t="s">
        <v>6272</v>
      </c>
      <c r="Q1569" s="12"/>
      <c r="R1569" s="12"/>
      <c r="S1569" s="60"/>
      <c r="T1569" s="29">
        <v>45450.0</v>
      </c>
      <c r="U1569" s="29">
        <v>45450.0</v>
      </c>
      <c r="V1569" s="29">
        <v>45453.494573310185</v>
      </c>
      <c r="W1569" s="30"/>
      <c r="X1569" s="30"/>
      <c r="Y1569" s="31"/>
      <c r="Z1569" s="31"/>
      <c r="AA1569" s="31" t="s">
        <v>6273</v>
      </c>
      <c r="AB1569" s="31" t="s">
        <v>6274</v>
      </c>
      <c r="AC1569" s="31"/>
    </row>
    <row r="1570" ht="16.5" customHeight="1">
      <c r="A1570" s="48" t="s">
        <v>6275</v>
      </c>
      <c r="B1570" s="53" t="s">
        <v>936</v>
      </c>
      <c r="C1570" s="129">
        <v>90.0</v>
      </c>
      <c r="D1570" s="70"/>
      <c r="E1570" s="55" t="s">
        <v>91</v>
      </c>
      <c r="F1570" s="32" t="s">
        <v>48</v>
      </c>
      <c r="G1570" s="32" t="s">
        <v>35</v>
      </c>
      <c r="H1570" s="23" t="s">
        <v>35</v>
      </c>
      <c r="I1570" s="71" t="s">
        <v>665</v>
      </c>
      <c r="J1570" s="34" t="s">
        <v>92</v>
      </c>
      <c r="K1570" s="57" t="s">
        <v>38</v>
      </c>
      <c r="L1570" s="25">
        <v>10939.0</v>
      </c>
      <c r="M1570" s="126" t="s">
        <v>6134</v>
      </c>
      <c r="N1570" s="26" t="s">
        <v>6276</v>
      </c>
      <c r="O1570" s="28">
        <v>45453.56863366898</v>
      </c>
      <c r="P1570" s="35" t="s">
        <v>6277</v>
      </c>
      <c r="Q1570" s="12"/>
      <c r="R1570" s="12"/>
      <c r="S1570" s="60"/>
      <c r="T1570" s="29">
        <v>45450.0</v>
      </c>
      <c r="U1570" s="29">
        <v>45450.0</v>
      </c>
      <c r="V1570" s="29">
        <v>45453.49323921296</v>
      </c>
      <c r="W1570" s="30"/>
      <c r="X1570" s="30"/>
      <c r="Y1570" s="31"/>
      <c r="Z1570" s="31"/>
      <c r="AA1570" s="31"/>
      <c r="AB1570" s="31" t="s">
        <v>6278</v>
      </c>
      <c r="AC1570" s="31"/>
    </row>
    <row r="1571" ht="16.5" customHeight="1">
      <c r="A1571" s="48" t="s">
        <v>6279</v>
      </c>
      <c r="B1571" s="53" t="s">
        <v>4716</v>
      </c>
      <c r="C1571" s="129">
        <v>137.0</v>
      </c>
      <c r="D1571" s="21" t="s">
        <v>6280</v>
      </c>
      <c r="E1571" s="55" t="s">
        <v>85</v>
      </c>
      <c r="F1571" s="32" t="s">
        <v>48</v>
      </c>
      <c r="G1571" s="32" t="s">
        <v>35</v>
      </c>
      <c r="H1571" s="23" t="s">
        <v>35</v>
      </c>
      <c r="I1571" s="66" t="s">
        <v>36</v>
      </c>
      <c r="J1571" s="34" t="s">
        <v>420</v>
      </c>
      <c r="K1571" s="57" t="s">
        <v>38</v>
      </c>
      <c r="L1571" s="25">
        <v>10940.0</v>
      </c>
      <c r="M1571" s="126" t="s">
        <v>6134</v>
      </c>
      <c r="N1571" s="26" t="s">
        <v>4031</v>
      </c>
      <c r="O1571" s="28">
        <v>45453.61468557871</v>
      </c>
      <c r="P1571" s="26" t="s">
        <v>6281</v>
      </c>
      <c r="Q1571" s="12"/>
      <c r="R1571" s="12"/>
      <c r="S1571" s="60"/>
      <c r="T1571" s="29">
        <v>45450.0</v>
      </c>
      <c r="U1571" s="29">
        <v>45450.0</v>
      </c>
      <c r="V1571" s="29">
        <v>45453.49489777778</v>
      </c>
      <c r="W1571" s="30"/>
      <c r="X1571" s="30"/>
      <c r="Y1571" s="31"/>
      <c r="Z1571" s="31"/>
      <c r="AA1571" s="31" t="s">
        <v>120</v>
      </c>
      <c r="AB1571" s="31" t="s">
        <v>6282</v>
      </c>
      <c r="AC1571" s="31"/>
    </row>
    <row r="1572" ht="16.5" customHeight="1">
      <c r="A1572" s="48" t="s">
        <v>6283</v>
      </c>
      <c r="B1572" s="53" t="s">
        <v>2753</v>
      </c>
      <c r="C1572" s="47">
        <v>27.0</v>
      </c>
      <c r="D1572" s="39" t="s">
        <v>6284</v>
      </c>
      <c r="E1572" s="55" t="s">
        <v>72</v>
      </c>
      <c r="F1572" s="32" t="s">
        <v>48</v>
      </c>
      <c r="G1572" s="32" t="s">
        <v>35</v>
      </c>
      <c r="H1572" s="71" t="s">
        <v>35</v>
      </c>
      <c r="I1572" s="71" t="s">
        <v>36</v>
      </c>
      <c r="J1572" s="34" t="s">
        <v>65</v>
      </c>
      <c r="K1572" s="57" t="s">
        <v>38</v>
      </c>
      <c r="L1572" s="72">
        <v>10930.0</v>
      </c>
      <c r="M1572" s="22"/>
      <c r="N1572" s="35" t="s">
        <v>3461</v>
      </c>
      <c r="O1572" s="28">
        <v>45453.0</v>
      </c>
      <c r="P1572" s="35" t="s">
        <v>6285</v>
      </c>
      <c r="Q1572" s="12"/>
      <c r="R1572" s="12"/>
      <c r="S1572" s="12"/>
      <c r="T1572" s="52">
        <v>45385.0</v>
      </c>
      <c r="U1572" s="52">
        <v>45450.0</v>
      </c>
      <c r="V1572" s="52">
        <v>45453.0</v>
      </c>
      <c r="W1572" s="30"/>
      <c r="X1572" s="30"/>
      <c r="Y1572" s="31"/>
      <c r="Z1572" s="31"/>
      <c r="AA1572" s="78" t="s">
        <v>94</v>
      </c>
      <c r="AB1572" s="74" t="s">
        <v>6286</v>
      </c>
      <c r="AC1572" s="74"/>
    </row>
    <row r="1573" ht="16.5" customHeight="1">
      <c r="A1573" s="48" t="s">
        <v>6287</v>
      </c>
      <c r="B1573" s="53" t="s">
        <v>6288</v>
      </c>
      <c r="C1573" s="129">
        <v>27.0</v>
      </c>
      <c r="D1573" s="21" t="s">
        <v>6289</v>
      </c>
      <c r="E1573" s="55" t="s">
        <v>72</v>
      </c>
      <c r="F1573" s="32" t="s">
        <v>48</v>
      </c>
      <c r="G1573" s="32" t="s">
        <v>35</v>
      </c>
      <c r="H1573" s="23" t="s">
        <v>35</v>
      </c>
      <c r="I1573" s="66" t="s">
        <v>36</v>
      </c>
      <c r="J1573" s="34" t="s">
        <v>92</v>
      </c>
      <c r="K1573" s="57" t="s">
        <v>38</v>
      </c>
      <c r="L1573" s="64" t="s">
        <v>6290</v>
      </c>
      <c r="M1573" s="126" t="s">
        <v>6134</v>
      </c>
      <c r="N1573" s="35" t="s">
        <v>6291</v>
      </c>
      <c r="O1573" s="28">
        <v>45453.38364662037</v>
      </c>
      <c r="P1573" s="26" t="s">
        <v>6292</v>
      </c>
      <c r="Q1573" s="12"/>
      <c r="R1573" s="12"/>
      <c r="S1573" s="60"/>
      <c r="T1573" s="29">
        <v>45450.0</v>
      </c>
      <c r="U1573" s="29">
        <v>45450.0</v>
      </c>
      <c r="V1573" s="29">
        <v>45453.378760520834</v>
      </c>
      <c r="W1573" s="30"/>
      <c r="X1573" s="30"/>
      <c r="Y1573" s="31"/>
      <c r="Z1573" s="31"/>
      <c r="AA1573" s="31" t="s">
        <v>120</v>
      </c>
      <c r="AB1573" s="31" t="s">
        <v>6293</v>
      </c>
      <c r="AC1573" s="31"/>
    </row>
    <row r="1574" ht="16.5" customHeight="1">
      <c r="A1574" s="48" t="s">
        <v>6294</v>
      </c>
      <c r="B1574" s="53" t="s">
        <v>6288</v>
      </c>
      <c r="C1574" s="129">
        <v>27.0</v>
      </c>
      <c r="D1574" s="21" t="s">
        <v>6295</v>
      </c>
      <c r="E1574" s="55" t="s">
        <v>72</v>
      </c>
      <c r="F1574" s="32" t="s">
        <v>48</v>
      </c>
      <c r="G1574" s="32" t="s">
        <v>35</v>
      </c>
      <c r="H1574" s="23" t="s">
        <v>35</v>
      </c>
      <c r="I1574" s="66" t="s">
        <v>36</v>
      </c>
      <c r="J1574" s="34" t="s">
        <v>92</v>
      </c>
      <c r="K1574" s="57" t="s">
        <v>38</v>
      </c>
      <c r="L1574" s="64" t="s">
        <v>6290</v>
      </c>
      <c r="M1574" s="126" t="s">
        <v>6134</v>
      </c>
      <c r="N1574" s="26" t="s">
        <v>118</v>
      </c>
      <c r="O1574" s="28">
        <v>45453.383732256945</v>
      </c>
      <c r="P1574" s="26" t="s">
        <v>6292</v>
      </c>
      <c r="Q1574" s="12"/>
      <c r="R1574" s="12"/>
      <c r="S1574" s="60"/>
      <c r="T1574" s="29">
        <v>45450.0</v>
      </c>
      <c r="U1574" s="29">
        <v>45450.0</v>
      </c>
      <c r="V1574" s="29">
        <v>45453.380279895835</v>
      </c>
      <c r="W1574" s="30"/>
      <c r="X1574" s="30"/>
      <c r="Y1574" s="31"/>
      <c r="Z1574" s="31"/>
      <c r="AA1574" s="31" t="s">
        <v>120</v>
      </c>
      <c r="AB1574" s="31" t="s">
        <v>6296</v>
      </c>
      <c r="AC1574" s="31"/>
    </row>
    <row r="1575" ht="16.5" customHeight="1">
      <c r="A1575" s="48" t="s">
        <v>6297</v>
      </c>
      <c r="B1575" s="53" t="s">
        <v>4835</v>
      </c>
      <c r="C1575" s="129">
        <v>90.0</v>
      </c>
      <c r="D1575" s="70" t="s">
        <v>6298</v>
      </c>
      <c r="E1575" s="55" t="s">
        <v>91</v>
      </c>
      <c r="F1575" s="32" t="s">
        <v>48</v>
      </c>
      <c r="G1575" s="32" t="s">
        <v>35</v>
      </c>
      <c r="H1575" s="23" t="s">
        <v>35</v>
      </c>
      <c r="I1575" s="66" t="s">
        <v>36</v>
      </c>
      <c r="J1575" s="25" t="s">
        <v>49</v>
      </c>
      <c r="K1575" s="57" t="s">
        <v>38</v>
      </c>
      <c r="L1575" s="25">
        <v>10931.0</v>
      </c>
      <c r="M1575" s="126" t="s">
        <v>6134</v>
      </c>
      <c r="N1575" s="26" t="s">
        <v>5936</v>
      </c>
      <c r="O1575" s="28">
        <v>45454.440422326385</v>
      </c>
      <c r="P1575" s="26" t="s">
        <v>6299</v>
      </c>
      <c r="Q1575" s="12"/>
      <c r="R1575" s="12"/>
      <c r="S1575" s="60"/>
      <c r="T1575" s="29">
        <v>45450.0</v>
      </c>
      <c r="U1575" s="29">
        <v>45450.0</v>
      </c>
      <c r="V1575" s="29">
        <v>45453.4982699074</v>
      </c>
      <c r="W1575" s="30"/>
      <c r="X1575" s="30"/>
      <c r="Y1575" s="31"/>
      <c r="Z1575" s="31"/>
      <c r="AA1575" s="31" t="s">
        <v>108</v>
      </c>
      <c r="AB1575" s="31" t="s">
        <v>6300</v>
      </c>
      <c r="AC1575" s="31"/>
    </row>
    <row r="1576" ht="16.5" customHeight="1">
      <c r="A1576" s="48" t="s">
        <v>6301</v>
      </c>
      <c r="B1576" s="53" t="s">
        <v>6036</v>
      </c>
      <c r="C1576" s="129">
        <v>27.0</v>
      </c>
      <c r="D1576" s="21" t="s">
        <v>6302</v>
      </c>
      <c r="E1576" s="131" t="s">
        <v>72</v>
      </c>
      <c r="F1576" s="32" t="s">
        <v>48</v>
      </c>
      <c r="G1576" s="32" t="s">
        <v>35</v>
      </c>
      <c r="H1576" s="23" t="s">
        <v>35</v>
      </c>
      <c r="I1576" s="66" t="s">
        <v>36</v>
      </c>
      <c r="J1576" s="34" t="s">
        <v>49</v>
      </c>
      <c r="K1576" s="57" t="s">
        <v>38</v>
      </c>
      <c r="L1576" s="25">
        <v>10962.0</v>
      </c>
      <c r="M1576" s="22" t="s">
        <v>50</v>
      </c>
      <c r="N1576" s="26" t="s">
        <v>5936</v>
      </c>
      <c r="O1576" s="28">
        <v>45456.63784591435</v>
      </c>
      <c r="P1576" s="26" t="s">
        <v>6303</v>
      </c>
      <c r="Q1576" s="12"/>
      <c r="R1576" s="12"/>
      <c r="S1576" s="60"/>
      <c r="T1576" s="29">
        <v>45450.0</v>
      </c>
      <c r="U1576" s="29">
        <v>45455.0</v>
      </c>
      <c r="V1576" s="29">
        <v>45456.4256062037</v>
      </c>
      <c r="W1576" s="30"/>
      <c r="X1576" s="30"/>
      <c r="Y1576" s="31"/>
      <c r="Z1576" s="31"/>
      <c r="AA1576" s="31" t="s">
        <v>102</v>
      </c>
      <c r="AB1576" s="31" t="s">
        <v>6304</v>
      </c>
      <c r="AC1576" s="31"/>
    </row>
    <row r="1577" ht="16.5" customHeight="1">
      <c r="A1577" s="48" t="s">
        <v>6305</v>
      </c>
      <c r="B1577" s="53" t="s">
        <v>6306</v>
      </c>
      <c r="C1577" s="129">
        <v>0.0</v>
      </c>
      <c r="D1577" s="21" t="s">
        <v>6307</v>
      </c>
      <c r="E1577" s="55" t="s">
        <v>3441</v>
      </c>
      <c r="F1577" s="32" t="s">
        <v>48</v>
      </c>
      <c r="G1577" s="32" t="s">
        <v>35</v>
      </c>
      <c r="H1577" s="23" t="s">
        <v>35</v>
      </c>
      <c r="I1577" s="66" t="s">
        <v>36</v>
      </c>
      <c r="J1577" s="34" t="s">
        <v>65</v>
      </c>
      <c r="K1577" s="57" t="s">
        <v>38</v>
      </c>
      <c r="L1577" s="25">
        <v>10941.0</v>
      </c>
      <c r="M1577" s="22" t="s">
        <v>50</v>
      </c>
      <c r="N1577" s="26" t="s">
        <v>5279</v>
      </c>
      <c r="O1577" s="28">
        <v>45453.63297266204</v>
      </c>
      <c r="P1577" s="26" t="s">
        <v>6308</v>
      </c>
      <c r="Q1577" s="12"/>
      <c r="R1577" s="12"/>
      <c r="S1577" s="60"/>
      <c r="T1577" s="29">
        <v>45450.0</v>
      </c>
      <c r="U1577" s="29">
        <v>45453.0</v>
      </c>
      <c r="V1577" s="29">
        <v>45453.507364861114</v>
      </c>
      <c r="W1577" s="30"/>
      <c r="X1577" s="30"/>
      <c r="Y1577" s="31"/>
      <c r="Z1577" s="31"/>
      <c r="AA1577" s="31" t="s">
        <v>3059</v>
      </c>
      <c r="AB1577" s="31" t="s">
        <v>6309</v>
      </c>
      <c r="AC1577" s="31"/>
    </row>
    <row r="1578" ht="16.5" customHeight="1">
      <c r="A1578" s="48" t="s">
        <v>6310</v>
      </c>
      <c r="B1578" s="53" t="s">
        <v>6306</v>
      </c>
      <c r="C1578" s="129">
        <v>0.0</v>
      </c>
      <c r="D1578" s="21" t="s">
        <v>6311</v>
      </c>
      <c r="E1578" s="55" t="s">
        <v>3441</v>
      </c>
      <c r="F1578" s="32" t="s">
        <v>48</v>
      </c>
      <c r="G1578" s="32" t="s">
        <v>35</v>
      </c>
      <c r="H1578" s="23" t="s">
        <v>35</v>
      </c>
      <c r="I1578" s="66" t="s">
        <v>36</v>
      </c>
      <c r="J1578" s="34" t="s">
        <v>65</v>
      </c>
      <c r="K1578" s="57" t="s">
        <v>38</v>
      </c>
      <c r="L1578" s="25">
        <v>10941.0</v>
      </c>
      <c r="M1578" s="22" t="s">
        <v>50</v>
      </c>
      <c r="N1578" s="26" t="s">
        <v>5279</v>
      </c>
      <c r="O1578" s="28">
        <v>45453.63309953704</v>
      </c>
      <c r="P1578" s="26" t="s">
        <v>6308</v>
      </c>
      <c r="Q1578" s="12"/>
      <c r="R1578" s="12"/>
      <c r="S1578" s="60"/>
      <c r="T1578" s="29">
        <v>45450.0</v>
      </c>
      <c r="U1578" s="29">
        <v>45453.0</v>
      </c>
      <c r="V1578" s="29">
        <v>45453.5073762963</v>
      </c>
      <c r="W1578" s="30"/>
      <c r="X1578" s="30"/>
      <c r="Y1578" s="31"/>
      <c r="Z1578" s="31"/>
      <c r="AA1578" s="31" t="s">
        <v>3059</v>
      </c>
      <c r="AB1578" s="31" t="s">
        <v>6312</v>
      </c>
      <c r="AC1578" s="31"/>
    </row>
    <row r="1579" ht="16.5" customHeight="1">
      <c r="A1579" s="48" t="s">
        <v>6313</v>
      </c>
      <c r="B1579" s="53" t="s">
        <v>6314</v>
      </c>
      <c r="C1579" s="129">
        <v>0.0</v>
      </c>
      <c r="D1579" s="21" t="s">
        <v>6315</v>
      </c>
      <c r="E1579" s="55" t="s">
        <v>3441</v>
      </c>
      <c r="F1579" s="32" t="s">
        <v>48</v>
      </c>
      <c r="G1579" s="32" t="s">
        <v>35</v>
      </c>
      <c r="H1579" s="23" t="s">
        <v>35</v>
      </c>
      <c r="I1579" s="66" t="s">
        <v>36</v>
      </c>
      <c r="J1579" s="34" t="s">
        <v>92</v>
      </c>
      <c r="K1579" s="57" t="s">
        <v>38</v>
      </c>
      <c r="L1579" s="25">
        <v>10950.0</v>
      </c>
      <c r="M1579" s="22" t="s">
        <v>50</v>
      </c>
      <c r="N1579" s="26" t="s">
        <v>4250</v>
      </c>
      <c r="O1579" s="28">
        <v>45456.4089265625</v>
      </c>
      <c r="P1579" s="26" t="s">
        <v>6316</v>
      </c>
      <c r="Q1579" s="12"/>
      <c r="R1579" s="12"/>
      <c r="S1579" s="60"/>
      <c r="T1579" s="29">
        <v>45454.0</v>
      </c>
      <c r="U1579" s="29">
        <v>45454.0</v>
      </c>
      <c r="V1579" s="29">
        <v>45455.3549</v>
      </c>
      <c r="W1579" s="30"/>
      <c r="X1579" s="30"/>
      <c r="Y1579" s="31"/>
      <c r="Z1579" s="31"/>
      <c r="AA1579" s="31" t="s">
        <v>120</v>
      </c>
      <c r="AB1579" s="31" t="s">
        <v>6317</v>
      </c>
      <c r="AC1579" s="31"/>
    </row>
    <row r="1580" ht="16.5" customHeight="1">
      <c r="A1580" s="48" t="s">
        <v>6318</v>
      </c>
      <c r="B1580" s="53" t="s">
        <v>4352</v>
      </c>
      <c r="C1580" s="129">
        <v>11.0</v>
      </c>
      <c r="D1580" s="21" t="s">
        <v>6319</v>
      </c>
      <c r="E1580" s="55" t="s">
        <v>112</v>
      </c>
      <c r="F1580" s="32" t="s">
        <v>48</v>
      </c>
      <c r="G1580" s="32" t="s">
        <v>35</v>
      </c>
      <c r="H1580" s="23" t="s">
        <v>35</v>
      </c>
      <c r="I1580" s="66" t="s">
        <v>36</v>
      </c>
      <c r="J1580" s="34" t="s">
        <v>49</v>
      </c>
      <c r="K1580" s="57" t="s">
        <v>38</v>
      </c>
      <c r="L1580" s="25">
        <v>10947.0</v>
      </c>
      <c r="M1580" s="22" t="s">
        <v>50</v>
      </c>
      <c r="N1580" s="26" t="s">
        <v>99</v>
      </c>
      <c r="O1580" s="28">
        <v>45454.6955079051</v>
      </c>
      <c r="P1580" s="26" t="s">
        <v>6320</v>
      </c>
      <c r="Q1580" s="12"/>
      <c r="R1580" s="30"/>
      <c r="S1580" s="60"/>
      <c r="T1580" s="29">
        <v>45454.0</v>
      </c>
      <c r="U1580" s="29">
        <v>45454.0</v>
      </c>
      <c r="V1580" s="29">
        <v>45454.62156702546</v>
      </c>
      <c r="W1580" s="30"/>
      <c r="X1580" s="30"/>
      <c r="Y1580" s="31"/>
      <c r="Z1580" s="31"/>
      <c r="AA1580" s="31" t="s">
        <v>127</v>
      </c>
      <c r="AB1580" s="31" t="s">
        <v>6321</v>
      </c>
      <c r="AC1580" s="31"/>
    </row>
    <row r="1581" ht="16.5" customHeight="1">
      <c r="A1581" s="48" t="s">
        <v>6322</v>
      </c>
      <c r="B1581" s="53" t="s">
        <v>4352</v>
      </c>
      <c r="C1581" s="129">
        <v>137.0</v>
      </c>
      <c r="D1581" s="21" t="s">
        <v>6323</v>
      </c>
      <c r="E1581" s="55" t="s">
        <v>85</v>
      </c>
      <c r="F1581" s="32" t="s">
        <v>48</v>
      </c>
      <c r="G1581" s="32" t="s">
        <v>35</v>
      </c>
      <c r="H1581" s="23" t="s">
        <v>35</v>
      </c>
      <c r="I1581" s="66" t="s">
        <v>36</v>
      </c>
      <c r="J1581" s="34" t="s">
        <v>49</v>
      </c>
      <c r="K1581" s="57" t="s">
        <v>38</v>
      </c>
      <c r="L1581" s="25">
        <v>10946.0</v>
      </c>
      <c r="M1581" s="126" t="s">
        <v>6134</v>
      </c>
      <c r="N1581" s="26" t="s">
        <v>99</v>
      </c>
      <c r="O1581" s="28">
        <v>45454.69559498843</v>
      </c>
      <c r="P1581" s="26" t="s">
        <v>6324</v>
      </c>
      <c r="Q1581" s="12"/>
      <c r="R1581" s="30"/>
      <c r="S1581" s="60"/>
      <c r="T1581" s="29">
        <v>45454.0</v>
      </c>
      <c r="U1581" s="29">
        <v>45454.0</v>
      </c>
      <c r="V1581" s="29">
        <v>45454.60367523148</v>
      </c>
      <c r="W1581" s="30"/>
      <c r="X1581" s="30"/>
      <c r="Y1581" s="31"/>
      <c r="Z1581" s="31"/>
      <c r="AA1581" s="31" t="s">
        <v>127</v>
      </c>
      <c r="AB1581" s="31" t="s">
        <v>6325</v>
      </c>
      <c r="AC1581" s="31"/>
    </row>
    <row r="1582" ht="16.5" customHeight="1">
      <c r="A1582" s="48" t="s">
        <v>6326</v>
      </c>
      <c r="B1582" s="53" t="s">
        <v>4352</v>
      </c>
      <c r="C1582" s="129">
        <v>0.0</v>
      </c>
      <c r="D1582" s="21" t="s">
        <v>6327</v>
      </c>
      <c r="E1582" s="55" t="s">
        <v>3441</v>
      </c>
      <c r="F1582" s="32" t="s">
        <v>48</v>
      </c>
      <c r="G1582" s="32" t="s">
        <v>35</v>
      </c>
      <c r="H1582" s="23" t="s">
        <v>35</v>
      </c>
      <c r="I1582" s="66" t="s">
        <v>36</v>
      </c>
      <c r="J1582" s="34" t="s">
        <v>49</v>
      </c>
      <c r="K1582" s="57" t="s">
        <v>38</v>
      </c>
      <c r="L1582" s="25">
        <v>10945.0</v>
      </c>
      <c r="M1582" s="126" t="s">
        <v>6134</v>
      </c>
      <c r="N1582" s="26" t="s">
        <v>99</v>
      </c>
      <c r="O1582" s="28">
        <v>45454.69567582176</v>
      </c>
      <c r="P1582" s="26" t="s">
        <v>6328</v>
      </c>
      <c r="Q1582" s="12"/>
      <c r="R1582" s="30"/>
      <c r="S1582" s="60"/>
      <c r="T1582" s="29">
        <v>45454.0</v>
      </c>
      <c r="U1582" s="29">
        <v>45454.0</v>
      </c>
      <c r="V1582" s="29">
        <v>45454.60476386574</v>
      </c>
      <c r="W1582" s="30"/>
      <c r="X1582" s="30"/>
      <c r="Y1582" s="31"/>
      <c r="Z1582" s="31"/>
      <c r="AA1582" s="31" t="s">
        <v>127</v>
      </c>
      <c r="AB1582" s="31" t="s">
        <v>6329</v>
      </c>
      <c r="AC1582" s="31"/>
    </row>
    <row r="1583" ht="16.5" customHeight="1">
      <c r="A1583" s="48" t="s">
        <v>6330</v>
      </c>
      <c r="B1583" s="53" t="s">
        <v>4352</v>
      </c>
      <c r="C1583" s="129">
        <v>0.0</v>
      </c>
      <c r="D1583" s="21" t="s">
        <v>6331</v>
      </c>
      <c r="E1583" s="55" t="s">
        <v>3441</v>
      </c>
      <c r="F1583" s="32" t="s">
        <v>48</v>
      </c>
      <c r="G1583" s="32" t="s">
        <v>35</v>
      </c>
      <c r="H1583" s="23" t="s">
        <v>35</v>
      </c>
      <c r="I1583" s="66" t="s">
        <v>36</v>
      </c>
      <c r="J1583" s="34" t="s">
        <v>49</v>
      </c>
      <c r="K1583" s="57" t="s">
        <v>38</v>
      </c>
      <c r="L1583" s="25">
        <v>10945.0</v>
      </c>
      <c r="M1583" s="126" t="s">
        <v>6134</v>
      </c>
      <c r="N1583" s="26" t="s">
        <v>99</v>
      </c>
      <c r="O1583" s="28">
        <v>45454.69574592593</v>
      </c>
      <c r="P1583" s="26" t="s">
        <v>6328</v>
      </c>
      <c r="Q1583" s="12"/>
      <c r="R1583" s="30"/>
      <c r="S1583" s="60"/>
      <c r="T1583" s="29">
        <v>45454.0</v>
      </c>
      <c r="U1583" s="29">
        <v>45454.0</v>
      </c>
      <c r="V1583" s="29">
        <v>45454.612707685184</v>
      </c>
      <c r="W1583" s="30"/>
      <c r="X1583" s="30"/>
      <c r="Y1583" s="31"/>
      <c r="Z1583" s="31"/>
      <c r="AA1583" s="31" t="s">
        <v>127</v>
      </c>
      <c r="AB1583" s="31" t="s">
        <v>6332</v>
      </c>
      <c r="AC1583" s="31"/>
    </row>
    <row r="1584" ht="16.5" customHeight="1">
      <c r="A1584" s="48" t="s">
        <v>6333</v>
      </c>
      <c r="B1584" s="53" t="s">
        <v>6334</v>
      </c>
      <c r="C1584" s="54">
        <v>0.0</v>
      </c>
      <c r="D1584" s="21" t="s">
        <v>6335</v>
      </c>
      <c r="E1584" s="55" t="s">
        <v>3441</v>
      </c>
      <c r="F1584" s="32" t="s">
        <v>48</v>
      </c>
      <c r="G1584" s="32" t="s">
        <v>35</v>
      </c>
      <c r="H1584" s="23" t="s">
        <v>35</v>
      </c>
      <c r="I1584" s="56" t="s">
        <v>36</v>
      </c>
      <c r="J1584" s="34" t="s">
        <v>49</v>
      </c>
      <c r="K1584" s="57" t="s">
        <v>38</v>
      </c>
      <c r="L1584" s="58" t="s">
        <v>6336</v>
      </c>
      <c r="M1584" s="22"/>
      <c r="N1584" s="26" t="s">
        <v>86</v>
      </c>
      <c r="O1584" s="28">
        <v>45464.0</v>
      </c>
      <c r="P1584" s="26" t="s">
        <v>6337</v>
      </c>
      <c r="Q1584" s="12"/>
      <c r="R1584" s="12"/>
      <c r="S1584" s="60"/>
      <c r="T1584" s="29">
        <v>45440.0</v>
      </c>
      <c r="U1584" s="29">
        <v>45454.0</v>
      </c>
      <c r="V1584" s="29">
        <f>O1584</f>
        <v>45464</v>
      </c>
      <c r="W1584" s="30"/>
      <c r="X1584" s="30"/>
      <c r="Y1584" s="31"/>
      <c r="Z1584" s="31"/>
      <c r="AA1584" s="31" t="s">
        <v>94</v>
      </c>
      <c r="AB1584" s="31" t="s">
        <v>6338</v>
      </c>
      <c r="AC1584" s="31"/>
    </row>
    <row r="1585" ht="16.5" customHeight="1">
      <c r="A1585" s="48" t="s">
        <v>6339</v>
      </c>
      <c r="B1585" s="53" t="s">
        <v>6131</v>
      </c>
      <c r="C1585" s="129">
        <v>90.0</v>
      </c>
      <c r="D1585" s="70" t="s">
        <v>6340</v>
      </c>
      <c r="E1585" s="55" t="s">
        <v>91</v>
      </c>
      <c r="F1585" s="32" t="s">
        <v>48</v>
      </c>
      <c r="G1585" s="32" t="s">
        <v>35</v>
      </c>
      <c r="H1585" s="23" t="s">
        <v>35</v>
      </c>
      <c r="I1585" s="66" t="s">
        <v>36</v>
      </c>
      <c r="J1585" s="34" t="s">
        <v>65</v>
      </c>
      <c r="K1585" s="57" t="s">
        <v>38</v>
      </c>
      <c r="L1585" s="25">
        <v>10963.0</v>
      </c>
      <c r="M1585" s="22" t="s">
        <v>50</v>
      </c>
      <c r="N1585" s="26" t="s">
        <v>5279</v>
      </c>
      <c r="O1585" s="28">
        <v>45456.6590994213</v>
      </c>
      <c r="P1585" s="26" t="s">
        <v>6341</v>
      </c>
      <c r="Q1585" s="12"/>
      <c r="R1585" s="30"/>
      <c r="S1585" s="60"/>
      <c r="T1585" s="29">
        <v>45454.0</v>
      </c>
      <c r="U1585" s="29">
        <v>45455.0</v>
      </c>
      <c r="V1585" s="29">
        <v>45456.41934608796</v>
      </c>
      <c r="W1585" s="30"/>
      <c r="X1585" s="30"/>
      <c r="Y1585" s="31"/>
      <c r="Z1585" s="31"/>
      <c r="AA1585" s="31" t="s">
        <v>3059</v>
      </c>
      <c r="AB1585" s="31" t="s">
        <v>6342</v>
      </c>
      <c r="AC1585" s="31"/>
    </row>
    <row r="1586" ht="16.5" customHeight="1">
      <c r="A1586" s="48" t="s">
        <v>6343</v>
      </c>
      <c r="B1586" s="53" t="s">
        <v>6344</v>
      </c>
      <c r="C1586" s="47">
        <v>1.0</v>
      </c>
      <c r="D1586" s="70" t="s">
        <v>6345</v>
      </c>
      <c r="E1586" s="55" t="s">
        <v>3395</v>
      </c>
      <c r="F1586" s="32" t="s">
        <v>48</v>
      </c>
      <c r="G1586" s="32" t="s">
        <v>35</v>
      </c>
      <c r="H1586" s="71" t="s">
        <v>35</v>
      </c>
      <c r="I1586" s="71" t="s">
        <v>36</v>
      </c>
      <c r="J1586" s="34" t="s">
        <v>49</v>
      </c>
      <c r="K1586" s="57" t="s">
        <v>38</v>
      </c>
      <c r="L1586" s="72">
        <v>10958.0</v>
      </c>
      <c r="M1586" s="22"/>
      <c r="N1586" s="73"/>
      <c r="O1586" s="28">
        <v>45394.0</v>
      </c>
      <c r="P1586" s="35" t="s">
        <v>6346</v>
      </c>
      <c r="Q1586" s="12"/>
      <c r="R1586" s="12"/>
      <c r="S1586" s="12"/>
      <c r="T1586" s="52">
        <v>45453.0</v>
      </c>
      <c r="U1586" s="52">
        <v>45384.0</v>
      </c>
      <c r="V1586" s="52">
        <v>45385.0</v>
      </c>
      <c r="W1586" s="30"/>
      <c r="X1586" s="30"/>
      <c r="Y1586" s="31"/>
      <c r="Z1586" s="31"/>
      <c r="AA1586" s="78" t="s">
        <v>94</v>
      </c>
      <c r="AB1586" s="74" t="s">
        <v>6347</v>
      </c>
      <c r="AC1586" s="74"/>
    </row>
    <row r="1587" ht="16.5" customHeight="1">
      <c r="A1587" s="48" t="s">
        <v>6348</v>
      </c>
      <c r="B1587" s="53" t="s">
        <v>6344</v>
      </c>
      <c r="C1587" s="47">
        <v>1.0</v>
      </c>
      <c r="D1587" s="70" t="s">
        <v>6349</v>
      </c>
      <c r="E1587" s="55" t="s">
        <v>3395</v>
      </c>
      <c r="F1587" s="32" t="s">
        <v>48</v>
      </c>
      <c r="G1587" s="32" t="s">
        <v>35</v>
      </c>
      <c r="H1587" s="71" t="s">
        <v>35</v>
      </c>
      <c r="I1587" s="71" t="s">
        <v>36</v>
      </c>
      <c r="J1587" s="34" t="s">
        <v>49</v>
      </c>
      <c r="K1587" s="57" t="s">
        <v>38</v>
      </c>
      <c r="L1587" s="72">
        <v>10958.0</v>
      </c>
      <c r="M1587" s="22"/>
      <c r="N1587" s="73"/>
      <c r="O1587" s="28">
        <v>45394.0</v>
      </c>
      <c r="P1587" s="35" t="s">
        <v>6350</v>
      </c>
      <c r="Q1587" s="12"/>
      <c r="R1587" s="12"/>
      <c r="S1587" s="12"/>
      <c r="T1587" s="52">
        <v>45453.0</v>
      </c>
      <c r="U1587" s="52">
        <v>45384.0</v>
      </c>
      <c r="V1587" s="52">
        <v>45385.0</v>
      </c>
      <c r="W1587" s="30"/>
      <c r="X1587" s="30"/>
      <c r="Y1587" s="31"/>
      <c r="Z1587" s="31"/>
      <c r="AA1587" s="78" t="s">
        <v>94</v>
      </c>
      <c r="AB1587" s="74" t="s">
        <v>6351</v>
      </c>
      <c r="AC1587" s="74"/>
    </row>
    <row r="1588" ht="16.5" customHeight="1">
      <c r="A1588" s="48" t="s">
        <v>6352</v>
      </c>
      <c r="B1588" s="53" t="s">
        <v>6344</v>
      </c>
      <c r="C1588" s="47">
        <v>1.0</v>
      </c>
      <c r="D1588" s="70" t="s">
        <v>6353</v>
      </c>
      <c r="E1588" s="55" t="s">
        <v>3395</v>
      </c>
      <c r="F1588" s="32" t="s">
        <v>48</v>
      </c>
      <c r="G1588" s="32" t="s">
        <v>35</v>
      </c>
      <c r="H1588" s="71" t="s">
        <v>35</v>
      </c>
      <c r="I1588" s="71" t="s">
        <v>36</v>
      </c>
      <c r="J1588" s="34" t="s">
        <v>49</v>
      </c>
      <c r="K1588" s="57" t="s">
        <v>38</v>
      </c>
      <c r="L1588" s="72">
        <v>10958.0</v>
      </c>
      <c r="M1588" s="22"/>
      <c r="N1588" s="73"/>
      <c r="O1588" s="28">
        <v>45394.0</v>
      </c>
      <c r="P1588" s="35" t="s">
        <v>6354</v>
      </c>
      <c r="Q1588" s="12"/>
      <c r="R1588" s="12"/>
      <c r="S1588" s="12"/>
      <c r="T1588" s="52">
        <v>45453.0</v>
      </c>
      <c r="U1588" s="52">
        <v>45384.0</v>
      </c>
      <c r="V1588" s="52">
        <v>45385.0</v>
      </c>
      <c r="W1588" s="30"/>
      <c r="X1588" s="30"/>
      <c r="Y1588" s="31"/>
      <c r="Z1588" s="31"/>
      <c r="AA1588" s="78" t="s">
        <v>94</v>
      </c>
      <c r="AB1588" s="74" t="s">
        <v>6355</v>
      </c>
      <c r="AC1588" s="74"/>
    </row>
    <row r="1589" ht="16.5" customHeight="1">
      <c r="A1589" s="48" t="s">
        <v>6356</v>
      </c>
      <c r="B1589" s="53" t="s">
        <v>6344</v>
      </c>
      <c r="C1589" s="47">
        <v>1.0</v>
      </c>
      <c r="D1589" s="70" t="s">
        <v>6357</v>
      </c>
      <c r="E1589" s="55" t="s">
        <v>3395</v>
      </c>
      <c r="F1589" s="32" t="s">
        <v>48</v>
      </c>
      <c r="G1589" s="32" t="s">
        <v>35</v>
      </c>
      <c r="H1589" s="71" t="s">
        <v>35</v>
      </c>
      <c r="I1589" s="71" t="s">
        <v>36</v>
      </c>
      <c r="J1589" s="34" t="s">
        <v>49</v>
      </c>
      <c r="K1589" s="57" t="s">
        <v>38</v>
      </c>
      <c r="L1589" s="72">
        <v>10958.0</v>
      </c>
      <c r="M1589" s="22"/>
      <c r="N1589" s="73"/>
      <c r="O1589" s="28">
        <v>45394.0</v>
      </c>
      <c r="P1589" s="35" t="s">
        <v>6358</v>
      </c>
      <c r="Q1589" s="12"/>
      <c r="R1589" s="12"/>
      <c r="S1589" s="12"/>
      <c r="T1589" s="52">
        <v>45453.0</v>
      </c>
      <c r="U1589" s="52">
        <v>45384.0</v>
      </c>
      <c r="V1589" s="52">
        <v>45385.0</v>
      </c>
      <c r="W1589" s="30"/>
      <c r="X1589" s="30"/>
      <c r="Y1589" s="31"/>
      <c r="Z1589" s="31"/>
      <c r="AA1589" s="78" t="s">
        <v>94</v>
      </c>
      <c r="AB1589" s="74" t="s">
        <v>6359</v>
      </c>
      <c r="AC1589" s="74"/>
    </row>
    <row r="1590" ht="16.5" customHeight="1">
      <c r="A1590" s="48" t="s">
        <v>6360</v>
      </c>
      <c r="B1590" s="53" t="s">
        <v>6361</v>
      </c>
      <c r="C1590" s="54">
        <v>0.0</v>
      </c>
      <c r="D1590" s="21" t="s">
        <v>6362</v>
      </c>
      <c r="E1590" s="55" t="s">
        <v>3441</v>
      </c>
      <c r="F1590" s="32" t="s">
        <v>48</v>
      </c>
      <c r="G1590" s="32" t="s">
        <v>35</v>
      </c>
      <c r="H1590" s="23" t="s">
        <v>35</v>
      </c>
      <c r="I1590" s="56" t="s">
        <v>36</v>
      </c>
      <c r="J1590" s="34" t="s">
        <v>49</v>
      </c>
      <c r="K1590" s="57" t="s">
        <v>38</v>
      </c>
      <c r="L1590" s="58" t="s">
        <v>6363</v>
      </c>
      <c r="M1590" s="22"/>
      <c r="N1590" s="26" t="s">
        <v>86</v>
      </c>
      <c r="O1590" s="28" t="s">
        <v>6028</v>
      </c>
      <c r="P1590" s="26" t="s">
        <v>6364</v>
      </c>
      <c r="Q1590" s="12"/>
      <c r="R1590" s="12"/>
      <c r="S1590" s="60"/>
      <c r="T1590" s="29">
        <v>45440.0</v>
      </c>
      <c r="U1590" s="29"/>
      <c r="V1590" s="29">
        <v>45446.0</v>
      </c>
      <c r="W1590" s="30"/>
      <c r="X1590" s="30"/>
      <c r="Y1590" s="31"/>
      <c r="Z1590" s="31"/>
      <c r="AA1590" s="31" t="s">
        <v>94</v>
      </c>
      <c r="AB1590" s="31" t="s">
        <v>6365</v>
      </c>
      <c r="AC1590" s="31"/>
    </row>
    <row r="1591" ht="16.5" customHeight="1">
      <c r="A1591" s="48" t="s">
        <v>6366</v>
      </c>
      <c r="B1591" s="53" t="s">
        <v>6367</v>
      </c>
      <c r="C1591" s="129">
        <v>137.0</v>
      </c>
      <c r="D1591" s="21" t="s">
        <v>6368</v>
      </c>
      <c r="E1591" s="55" t="s">
        <v>85</v>
      </c>
      <c r="F1591" s="32" t="s">
        <v>48</v>
      </c>
      <c r="G1591" s="32" t="s">
        <v>35</v>
      </c>
      <c r="H1591" s="23" t="s">
        <v>35</v>
      </c>
      <c r="I1591" s="66" t="s">
        <v>36</v>
      </c>
      <c r="J1591" s="34" t="s">
        <v>37</v>
      </c>
      <c r="K1591" s="57" t="s">
        <v>2978</v>
      </c>
      <c r="L1591" s="25">
        <v>10952.0</v>
      </c>
      <c r="M1591" s="22" t="s">
        <v>50</v>
      </c>
      <c r="N1591" s="26" t="s">
        <v>41</v>
      </c>
      <c r="O1591" s="28">
        <v>45455.60861805556</v>
      </c>
      <c r="P1591" s="26" t="s">
        <v>6369</v>
      </c>
      <c r="Q1591" s="12"/>
      <c r="R1591" s="30"/>
      <c r="S1591" s="60"/>
      <c r="T1591" s="29">
        <v>45454.0</v>
      </c>
      <c r="U1591" s="29">
        <v>45454.0</v>
      </c>
      <c r="V1591" s="29">
        <v>45455.35508679398</v>
      </c>
      <c r="W1591" s="30"/>
      <c r="X1591" s="30"/>
      <c r="Y1591" s="31"/>
      <c r="Z1591" s="31"/>
      <c r="AA1591" s="31" t="s">
        <v>108</v>
      </c>
      <c r="AB1591" s="31" t="s">
        <v>6370</v>
      </c>
      <c r="AC1591" s="31"/>
    </row>
    <row r="1592" ht="16.5" customHeight="1">
      <c r="A1592" s="48" t="s">
        <v>6371</v>
      </c>
      <c r="B1592" s="53" t="s">
        <v>6367</v>
      </c>
      <c r="C1592" s="129">
        <v>11.0</v>
      </c>
      <c r="D1592" s="21" t="s">
        <v>6372</v>
      </c>
      <c r="E1592" s="55" t="s">
        <v>112</v>
      </c>
      <c r="F1592" s="32" t="s">
        <v>48</v>
      </c>
      <c r="G1592" s="32" t="s">
        <v>35</v>
      </c>
      <c r="H1592" s="23" t="s">
        <v>35</v>
      </c>
      <c r="I1592" s="66" t="s">
        <v>36</v>
      </c>
      <c r="J1592" s="34" t="s">
        <v>37</v>
      </c>
      <c r="K1592" s="57" t="s">
        <v>2978</v>
      </c>
      <c r="L1592" s="25">
        <v>10952.0</v>
      </c>
      <c r="M1592" s="22" t="s">
        <v>50</v>
      </c>
      <c r="N1592" s="26" t="s">
        <v>41</v>
      </c>
      <c r="O1592" s="28">
        <v>45455.608731851855</v>
      </c>
      <c r="P1592" s="26" t="s">
        <v>6369</v>
      </c>
      <c r="Q1592" s="12"/>
      <c r="R1592" s="30"/>
      <c r="S1592" s="60"/>
      <c r="T1592" s="29">
        <v>45454.0</v>
      </c>
      <c r="U1592" s="29">
        <v>45454.0</v>
      </c>
      <c r="V1592" s="29">
        <v>45455.355268495376</v>
      </c>
      <c r="W1592" s="30"/>
      <c r="X1592" s="30"/>
      <c r="Y1592" s="31"/>
      <c r="Z1592" s="31"/>
      <c r="AA1592" s="31" t="s">
        <v>108</v>
      </c>
      <c r="AB1592" s="31" t="s">
        <v>6373</v>
      </c>
      <c r="AC1592" s="31"/>
    </row>
    <row r="1593" ht="16.5" customHeight="1">
      <c r="A1593" s="48" t="s">
        <v>6374</v>
      </c>
      <c r="B1593" s="53" t="s">
        <v>6036</v>
      </c>
      <c r="C1593" s="129">
        <v>137.0</v>
      </c>
      <c r="D1593" s="21" t="s">
        <v>6375</v>
      </c>
      <c r="E1593" s="55" t="s">
        <v>85</v>
      </c>
      <c r="F1593" s="32" t="s">
        <v>48</v>
      </c>
      <c r="G1593" s="32" t="s">
        <v>35</v>
      </c>
      <c r="H1593" s="23" t="s">
        <v>35</v>
      </c>
      <c r="I1593" s="66" t="s">
        <v>36</v>
      </c>
      <c r="J1593" s="34" t="s">
        <v>49</v>
      </c>
      <c r="K1593" s="57" t="s">
        <v>38</v>
      </c>
      <c r="L1593" s="25">
        <v>10954.0</v>
      </c>
      <c r="M1593" s="22" t="s">
        <v>50</v>
      </c>
      <c r="N1593" s="26" t="s">
        <v>5936</v>
      </c>
      <c r="O1593" s="28">
        <v>45455.65023609954</v>
      </c>
      <c r="P1593" s="26" t="s">
        <v>6376</v>
      </c>
      <c r="Q1593" s="12"/>
      <c r="R1593" s="30"/>
      <c r="S1593" s="60"/>
      <c r="T1593" s="29">
        <v>45454.0</v>
      </c>
      <c r="U1593" s="29">
        <v>45454.0</v>
      </c>
      <c r="V1593" s="29">
        <v>45455.379083472224</v>
      </c>
      <c r="W1593" s="30"/>
      <c r="X1593" s="30"/>
      <c r="Y1593" s="31"/>
      <c r="Z1593" s="31"/>
      <c r="AA1593" s="31" t="s">
        <v>102</v>
      </c>
      <c r="AB1593" s="31" t="s">
        <v>6377</v>
      </c>
      <c r="AC1593" s="31"/>
    </row>
    <row r="1594" ht="16.5" customHeight="1">
      <c r="A1594" s="18" t="s">
        <v>6378</v>
      </c>
      <c r="B1594" s="19" t="s">
        <v>6379</v>
      </c>
      <c r="C1594" s="20">
        <v>137.0</v>
      </c>
      <c r="D1594" s="21"/>
      <c r="E1594" s="27" t="s">
        <v>85</v>
      </c>
      <c r="F1594" s="18" t="s">
        <v>48</v>
      </c>
      <c r="G1594" s="32" t="s">
        <v>35</v>
      </c>
      <c r="H1594" s="23" t="s">
        <v>35</v>
      </c>
      <c r="I1594" s="24" t="s">
        <v>665</v>
      </c>
      <c r="J1594" s="25" t="s">
        <v>49</v>
      </c>
      <c r="K1594" s="26" t="s">
        <v>447</v>
      </c>
      <c r="L1594" s="25">
        <v>10964.0</v>
      </c>
      <c r="M1594" s="27" t="s">
        <v>50</v>
      </c>
      <c r="N1594" s="26" t="s">
        <v>5936</v>
      </c>
      <c r="O1594" s="28">
        <v>45456.63797416667</v>
      </c>
      <c r="P1594" s="35" t="s">
        <v>6380</v>
      </c>
      <c r="Q1594" s="11"/>
      <c r="R1594" s="11"/>
      <c r="S1594" s="11"/>
      <c r="T1594" s="29">
        <v>45454.0</v>
      </c>
      <c r="U1594" s="29">
        <v>45455.0</v>
      </c>
      <c r="V1594" s="29">
        <v>45456.46916228009</v>
      </c>
      <c r="W1594" s="30"/>
      <c r="X1594" s="30"/>
      <c r="Y1594" s="31"/>
      <c r="Z1594" s="31"/>
      <c r="AA1594" s="31" t="s">
        <v>108</v>
      </c>
      <c r="AB1594" s="31" t="s">
        <v>6381</v>
      </c>
      <c r="AC1594" s="31"/>
    </row>
    <row r="1595" ht="16.5" customHeight="1">
      <c r="A1595" s="48" t="s">
        <v>6382</v>
      </c>
      <c r="B1595" s="53" t="s">
        <v>4875</v>
      </c>
      <c r="C1595" s="54">
        <v>90.0</v>
      </c>
      <c r="D1595" s="70" t="s">
        <v>6383</v>
      </c>
      <c r="E1595" s="55" t="s">
        <v>91</v>
      </c>
      <c r="F1595" s="32" t="s">
        <v>48</v>
      </c>
      <c r="G1595" s="32" t="s">
        <v>35</v>
      </c>
      <c r="H1595" s="23" t="s">
        <v>35</v>
      </c>
      <c r="I1595" s="56" t="s">
        <v>36</v>
      </c>
      <c r="J1595" s="34" t="s">
        <v>49</v>
      </c>
      <c r="K1595" s="57" t="s">
        <v>38</v>
      </c>
      <c r="L1595" s="58" t="s">
        <v>6384</v>
      </c>
      <c r="M1595" s="22"/>
      <c r="N1595" s="26" t="s">
        <v>86</v>
      </c>
      <c r="O1595" s="28">
        <v>45465.0</v>
      </c>
      <c r="P1595" s="26" t="s">
        <v>6385</v>
      </c>
      <c r="Q1595" s="12"/>
      <c r="R1595" s="12"/>
      <c r="S1595" s="60"/>
      <c r="T1595" s="29">
        <v>45440.0</v>
      </c>
      <c r="U1595" s="29">
        <v>45455.0</v>
      </c>
      <c r="V1595" s="29">
        <f>O1595</f>
        <v>45465</v>
      </c>
      <c r="W1595" s="30"/>
      <c r="X1595" s="30"/>
      <c r="Y1595" s="31"/>
      <c r="Z1595" s="31"/>
      <c r="AA1595" s="31" t="s">
        <v>94</v>
      </c>
      <c r="AB1595" s="31" t="s">
        <v>6386</v>
      </c>
      <c r="AC1595" s="31"/>
    </row>
    <row r="1596" ht="16.5" customHeight="1">
      <c r="A1596" s="18" t="s">
        <v>6387</v>
      </c>
      <c r="B1596" s="19" t="s">
        <v>6388</v>
      </c>
      <c r="C1596" s="20">
        <v>34.0</v>
      </c>
      <c r="D1596" s="21" t="s">
        <v>6389</v>
      </c>
      <c r="E1596" s="27" t="s">
        <v>47</v>
      </c>
      <c r="F1596" s="18" t="s">
        <v>48</v>
      </c>
      <c r="G1596" s="32" t="s">
        <v>35</v>
      </c>
      <c r="H1596" s="23" t="s">
        <v>35</v>
      </c>
      <c r="I1596" s="24" t="s">
        <v>36</v>
      </c>
      <c r="J1596" s="25" t="s">
        <v>518</v>
      </c>
      <c r="K1596" s="26" t="s">
        <v>38</v>
      </c>
      <c r="L1596" s="25">
        <v>10965.0</v>
      </c>
      <c r="M1596" s="27" t="s">
        <v>50</v>
      </c>
      <c r="N1596" s="26" t="s">
        <v>4616</v>
      </c>
      <c r="O1596" s="28">
        <v>45461.58175032407</v>
      </c>
      <c r="P1596" s="26" t="s">
        <v>6390</v>
      </c>
      <c r="Q1596" s="11"/>
      <c r="R1596" s="11"/>
      <c r="S1596" s="11"/>
      <c r="T1596" s="29">
        <v>45454.0</v>
      </c>
      <c r="U1596" s="29">
        <v>45455.0</v>
      </c>
      <c r="V1596" s="29">
        <v>45456.42621056713</v>
      </c>
      <c r="W1596" s="30"/>
      <c r="X1596" s="30"/>
      <c r="Y1596" s="31"/>
      <c r="Z1596" s="31"/>
      <c r="AA1596" s="31" t="s">
        <v>94</v>
      </c>
      <c r="AB1596" s="31" t="s">
        <v>6391</v>
      </c>
      <c r="AC1596" s="31"/>
    </row>
    <row r="1597" ht="16.5" customHeight="1">
      <c r="A1597" s="18" t="s">
        <v>6392</v>
      </c>
      <c r="B1597" s="19" t="s">
        <v>6393</v>
      </c>
      <c r="C1597" s="20">
        <v>0.0</v>
      </c>
      <c r="D1597" s="21" t="s">
        <v>6394</v>
      </c>
      <c r="E1597" s="27" t="s">
        <v>79</v>
      </c>
      <c r="F1597" s="18" t="s">
        <v>33</v>
      </c>
      <c r="G1597" s="32" t="s">
        <v>35</v>
      </c>
      <c r="H1597" s="23" t="s">
        <v>35</v>
      </c>
      <c r="I1597" s="24" t="s">
        <v>36</v>
      </c>
      <c r="J1597" s="25" t="s">
        <v>49</v>
      </c>
      <c r="K1597" s="26" t="s">
        <v>1506</v>
      </c>
      <c r="L1597" s="25">
        <v>10972.0</v>
      </c>
      <c r="M1597" s="27" t="s">
        <v>40</v>
      </c>
      <c r="N1597" s="26" t="s">
        <v>106</v>
      </c>
      <c r="O1597" s="28">
        <v>45462.583681261574</v>
      </c>
      <c r="P1597" s="26" t="s">
        <v>6395</v>
      </c>
      <c r="Q1597" s="11"/>
      <c r="R1597" s="11"/>
      <c r="S1597" s="11"/>
      <c r="T1597" s="29">
        <v>45455.0</v>
      </c>
      <c r="U1597" s="29">
        <v>45455.0</v>
      </c>
      <c r="V1597" s="29">
        <v>45456.0</v>
      </c>
      <c r="W1597" s="30"/>
      <c r="X1597" s="30"/>
      <c r="Y1597" s="31"/>
      <c r="Z1597" s="31"/>
      <c r="AA1597" s="31" t="s">
        <v>3053</v>
      </c>
      <c r="AB1597" s="31" t="s">
        <v>6396</v>
      </c>
      <c r="AC1597" s="31"/>
    </row>
    <row r="1598" ht="16.5" customHeight="1">
      <c r="A1598" s="48" t="s">
        <v>6397</v>
      </c>
      <c r="B1598" s="53" t="s">
        <v>6398</v>
      </c>
      <c r="C1598" s="54">
        <v>0.0</v>
      </c>
      <c r="D1598" s="21" t="s">
        <v>6399</v>
      </c>
      <c r="E1598" s="55" t="s">
        <v>3441</v>
      </c>
      <c r="F1598" s="32" t="s">
        <v>48</v>
      </c>
      <c r="G1598" s="32" t="s">
        <v>35</v>
      </c>
      <c r="H1598" s="23" t="s">
        <v>35</v>
      </c>
      <c r="I1598" s="56" t="s">
        <v>36</v>
      </c>
      <c r="J1598" s="34" t="s">
        <v>49</v>
      </c>
      <c r="K1598" s="57" t="s">
        <v>38</v>
      </c>
      <c r="L1598" s="58" t="s">
        <v>6400</v>
      </c>
      <c r="M1598" s="22"/>
      <c r="N1598" s="26" t="s">
        <v>86</v>
      </c>
      <c r="O1598" s="28">
        <v>45465.0</v>
      </c>
      <c r="P1598" s="26" t="s">
        <v>6401</v>
      </c>
      <c r="Q1598" s="12"/>
      <c r="R1598" s="12"/>
      <c r="S1598" s="60"/>
      <c r="T1598" s="29">
        <v>45440.0</v>
      </c>
      <c r="U1598" s="29">
        <v>45455.0</v>
      </c>
      <c r="V1598" s="29">
        <f t="shared" ref="V1598:V1599" si="8">O1598</f>
        <v>45465</v>
      </c>
      <c r="W1598" s="30"/>
      <c r="X1598" s="30"/>
      <c r="Y1598" s="31"/>
      <c r="Z1598" s="31"/>
      <c r="AA1598" s="31" t="s">
        <v>94</v>
      </c>
      <c r="AB1598" s="31" t="s">
        <v>6402</v>
      </c>
      <c r="AC1598" s="31"/>
    </row>
    <row r="1599" ht="16.5" customHeight="1">
      <c r="A1599" s="48" t="s">
        <v>6403</v>
      </c>
      <c r="B1599" s="53" t="s">
        <v>6398</v>
      </c>
      <c r="C1599" s="54">
        <v>0.0</v>
      </c>
      <c r="D1599" s="21" t="s">
        <v>6404</v>
      </c>
      <c r="E1599" s="55" t="s">
        <v>3441</v>
      </c>
      <c r="F1599" s="32" t="s">
        <v>48</v>
      </c>
      <c r="G1599" s="32" t="s">
        <v>35</v>
      </c>
      <c r="H1599" s="23" t="s">
        <v>35</v>
      </c>
      <c r="I1599" s="56" t="s">
        <v>36</v>
      </c>
      <c r="J1599" s="34" t="s">
        <v>49</v>
      </c>
      <c r="K1599" s="57" t="s">
        <v>38</v>
      </c>
      <c r="L1599" s="58" t="s">
        <v>6405</v>
      </c>
      <c r="M1599" s="22"/>
      <c r="N1599" s="26" t="s">
        <v>86</v>
      </c>
      <c r="O1599" s="28">
        <v>45465.0</v>
      </c>
      <c r="P1599" s="26" t="s">
        <v>6406</v>
      </c>
      <c r="Q1599" s="12"/>
      <c r="R1599" s="12"/>
      <c r="S1599" s="60"/>
      <c r="T1599" s="29">
        <v>45440.0</v>
      </c>
      <c r="U1599" s="29">
        <v>45455.0</v>
      </c>
      <c r="V1599" s="29">
        <f t="shared" si="8"/>
        <v>45465</v>
      </c>
      <c r="W1599" s="30"/>
      <c r="X1599" s="30"/>
      <c r="Y1599" s="31"/>
      <c r="Z1599" s="31"/>
      <c r="AA1599" s="31" t="s">
        <v>94</v>
      </c>
      <c r="AB1599" s="31" t="s">
        <v>6407</v>
      </c>
      <c r="AC1599" s="31"/>
    </row>
    <row r="1600" ht="16.5" customHeight="1">
      <c r="A1600" s="18" t="s">
        <v>6408</v>
      </c>
      <c r="B1600" s="19" t="s">
        <v>6409</v>
      </c>
      <c r="C1600" s="20">
        <v>90.0</v>
      </c>
      <c r="D1600" s="21" t="s">
        <v>6410</v>
      </c>
      <c r="E1600" s="27" t="s">
        <v>91</v>
      </c>
      <c r="F1600" s="18" t="s">
        <v>48</v>
      </c>
      <c r="G1600" s="32" t="s">
        <v>35</v>
      </c>
      <c r="H1600" s="23" t="s">
        <v>35</v>
      </c>
      <c r="I1600" s="24" t="s">
        <v>36</v>
      </c>
      <c r="J1600" s="25" t="s">
        <v>518</v>
      </c>
      <c r="K1600" s="26" t="s">
        <v>38</v>
      </c>
      <c r="L1600" s="25" t="s">
        <v>6411</v>
      </c>
      <c r="M1600" s="27" t="s">
        <v>50</v>
      </c>
      <c r="N1600" s="26" t="s">
        <v>4616</v>
      </c>
      <c r="O1600" s="28">
        <v>45461.58183332176</v>
      </c>
      <c r="P1600" s="26" t="s">
        <v>6412</v>
      </c>
      <c r="Q1600" s="11"/>
      <c r="R1600" s="11"/>
      <c r="S1600" s="11"/>
      <c r="T1600" s="29">
        <v>45455.0</v>
      </c>
      <c r="U1600" s="29">
        <v>45455.0</v>
      </c>
      <c r="V1600" s="29">
        <v>45461.37260487268</v>
      </c>
      <c r="W1600" s="30"/>
      <c r="X1600" s="30"/>
      <c r="Y1600" s="31"/>
      <c r="Z1600" s="31"/>
      <c r="AA1600" s="31"/>
      <c r="AB1600" s="31" t="s">
        <v>6413</v>
      </c>
      <c r="AC1600" s="31"/>
    </row>
    <row r="1601" ht="16.5" customHeight="1">
      <c r="A1601" s="18" t="s">
        <v>6414</v>
      </c>
      <c r="B1601" s="19" t="s">
        <v>6409</v>
      </c>
      <c r="C1601" s="20">
        <v>90.0</v>
      </c>
      <c r="D1601" s="21" t="s">
        <v>6415</v>
      </c>
      <c r="E1601" s="27" t="s">
        <v>91</v>
      </c>
      <c r="F1601" s="18" t="s">
        <v>48</v>
      </c>
      <c r="G1601" s="32" t="s">
        <v>35</v>
      </c>
      <c r="H1601" s="23" t="s">
        <v>35</v>
      </c>
      <c r="I1601" s="24" t="s">
        <v>36</v>
      </c>
      <c r="J1601" s="25" t="s">
        <v>518</v>
      </c>
      <c r="K1601" s="26" t="s">
        <v>38</v>
      </c>
      <c r="L1601" s="25" t="s">
        <v>6411</v>
      </c>
      <c r="M1601" s="27" t="s">
        <v>50</v>
      </c>
      <c r="N1601" s="26" t="s">
        <v>4616</v>
      </c>
      <c r="O1601" s="28">
        <v>45461.581922303245</v>
      </c>
      <c r="P1601" s="26" t="s">
        <v>6412</v>
      </c>
      <c r="Q1601" s="11"/>
      <c r="R1601" s="11"/>
      <c r="S1601" s="11"/>
      <c r="T1601" s="29">
        <v>45455.0</v>
      </c>
      <c r="U1601" s="29">
        <v>45455.0</v>
      </c>
      <c r="V1601" s="29">
        <v>45461.37272086805</v>
      </c>
      <c r="W1601" s="30"/>
      <c r="X1601" s="30"/>
      <c r="Y1601" s="31"/>
      <c r="Z1601" s="31"/>
      <c r="AA1601" s="31"/>
      <c r="AB1601" s="31" t="s">
        <v>6416</v>
      </c>
      <c r="AC1601" s="31"/>
    </row>
    <row r="1602" ht="16.5" customHeight="1">
      <c r="A1602" s="18" t="s">
        <v>6417</v>
      </c>
      <c r="B1602" s="19" t="s">
        <v>96</v>
      </c>
      <c r="C1602" s="20">
        <v>0.0</v>
      </c>
      <c r="D1602" s="21" t="s">
        <v>6418</v>
      </c>
      <c r="E1602" s="22" t="s">
        <v>882</v>
      </c>
      <c r="F1602" s="18" t="s">
        <v>33</v>
      </c>
      <c r="G1602" s="18" t="s">
        <v>34</v>
      </c>
      <c r="H1602" s="23" t="s">
        <v>35</v>
      </c>
      <c r="I1602" s="24" t="s">
        <v>36</v>
      </c>
      <c r="J1602" s="25" t="s">
        <v>49</v>
      </c>
      <c r="K1602" s="26" t="s">
        <v>38</v>
      </c>
      <c r="L1602" s="25">
        <v>10976.0</v>
      </c>
      <c r="M1602" s="27" t="s">
        <v>40</v>
      </c>
      <c r="N1602" s="26" t="s">
        <v>5936</v>
      </c>
      <c r="O1602" s="28">
        <v>45457.64875489583</v>
      </c>
      <c r="P1602" s="26" t="s">
        <v>6419</v>
      </c>
      <c r="Q1602" s="11"/>
      <c r="R1602" s="11"/>
      <c r="S1602" s="11"/>
      <c r="T1602" s="29">
        <v>45455.0</v>
      </c>
      <c r="U1602" s="29">
        <v>45455.0</v>
      </c>
      <c r="V1602" s="29">
        <v>45457.0</v>
      </c>
      <c r="W1602" s="30"/>
      <c r="X1602" s="30"/>
      <c r="Y1602" s="31"/>
      <c r="Z1602" s="31"/>
      <c r="AA1602" s="31" t="s">
        <v>102</v>
      </c>
      <c r="AB1602" s="31" t="s">
        <v>6420</v>
      </c>
      <c r="AC1602" s="31"/>
    </row>
    <row r="1603" ht="16.5" customHeight="1">
      <c r="A1603" s="18" t="s">
        <v>6421</v>
      </c>
      <c r="B1603" s="19" t="s">
        <v>96</v>
      </c>
      <c r="C1603" s="20">
        <v>0.0</v>
      </c>
      <c r="D1603" s="21" t="s">
        <v>6422</v>
      </c>
      <c r="E1603" s="22" t="s">
        <v>882</v>
      </c>
      <c r="F1603" s="18" t="s">
        <v>33</v>
      </c>
      <c r="G1603" s="18" t="s">
        <v>34</v>
      </c>
      <c r="H1603" s="23" t="s">
        <v>35</v>
      </c>
      <c r="I1603" s="24" t="s">
        <v>36</v>
      </c>
      <c r="J1603" s="25" t="s">
        <v>49</v>
      </c>
      <c r="K1603" s="26" t="s">
        <v>38</v>
      </c>
      <c r="L1603" s="25">
        <v>10977.0</v>
      </c>
      <c r="M1603" s="27" t="s">
        <v>40</v>
      </c>
      <c r="N1603" s="26" t="s">
        <v>5936</v>
      </c>
      <c r="O1603" s="28">
        <v>45457.64882609954</v>
      </c>
      <c r="P1603" s="26" t="s">
        <v>6423</v>
      </c>
      <c r="Q1603" s="11"/>
      <c r="R1603" s="11"/>
      <c r="S1603" s="11"/>
      <c r="T1603" s="29">
        <v>45455.0</v>
      </c>
      <c r="U1603" s="29">
        <v>45455.0</v>
      </c>
      <c r="V1603" s="29">
        <v>45457.0</v>
      </c>
      <c r="W1603" s="30"/>
      <c r="X1603" s="30"/>
      <c r="Y1603" s="31"/>
      <c r="Z1603" s="31"/>
      <c r="AA1603" s="31" t="s">
        <v>102</v>
      </c>
      <c r="AB1603" s="31" t="s">
        <v>6424</v>
      </c>
      <c r="AC1603" s="31"/>
    </row>
    <row r="1604" ht="16.5" customHeight="1">
      <c r="A1604" s="18" t="s">
        <v>6425</v>
      </c>
      <c r="B1604" s="19" t="s">
        <v>96</v>
      </c>
      <c r="C1604" s="20">
        <v>0.0</v>
      </c>
      <c r="D1604" s="21" t="s">
        <v>6426</v>
      </c>
      <c r="E1604" s="27" t="s">
        <v>251</v>
      </c>
      <c r="F1604" s="18" t="s">
        <v>33</v>
      </c>
      <c r="G1604" s="18" t="s">
        <v>34</v>
      </c>
      <c r="H1604" s="23" t="s">
        <v>35</v>
      </c>
      <c r="I1604" s="24" t="s">
        <v>36</v>
      </c>
      <c r="J1604" s="25" t="s">
        <v>49</v>
      </c>
      <c r="K1604" s="26" t="s">
        <v>38</v>
      </c>
      <c r="L1604" s="25">
        <v>10973.0</v>
      </c>
      <c r="M1604" s="27" t="s">
        <v>40</v>
      </c>
      <c r="N1604" s="26" t="s">
        <v>5936</v>
      </c>
      <c r="O1604" s="28">
        <v>45457.64890488426</v>
      </c>
      <c r="P1604" s="26" t="s">
        <v>6427</v>
      </c>
      <c r="Q1604" s="11"/>
      <c r="R1604" s="11"/>
      <c r="S1604" s="11"/>
      <c r="T1604" s="29">
        <v>45455.0</v>
      </c>
      <c r="U1604" s="29">
        <v>45455.0</v>
      </c>
      <c r="V1604" s="29">
        <v>45457.0</v>
      </c>
      <c r="W1604" s="30"/>
      <c r="X1604" s="30"/>
      <c r="Y1604" s="31"/>
      <c r="Z1604" s="31"/>
      <c r="AA1604" s="31" t="s">
        <v>102</v>
      </c>
      <c r="AB1604" s="31" t="s">
        <v>6428</v>
      </c>
      <c r="AC1604" s="31"/>
    </row>
    <row r="1605" ht="16.5" customHeight="1">
      <c r="A1605" s="18" t="s">
        <v>6429</v>
      </c>
      <c r="B1605" s="19" t="s">
        <v>6430</v>
      </c>
      <c r="C1605" s="20">
        <v>0.0</v>
      </c>
      <c r="D1605" s="21" t="s">
        <v>6431</v>
      </c>
      <c r="E1605" s="27" t="s">
        <v>3441</v>
      </c>
      <c r="F1605" s="18" t="s">
        <v>48</v>
      </c>
      <c r="G1605" s="32" t="s">
        <v>35</v>
      </c>
      <c r="H1605" s="23" t="s">
        <v>35</v>
      </c>
      <c r="I1605" s="24" t="s">
        <v>36</v>
      </c>
      <c r="J1605" s="25" t="s">
        <v>49</v>
      </c>
      <c r="K1605" s="26" t="s">
        <v>6432</v>
      </c>
      <c r="L1605" s="25">
        <v>10995.0</v>
      </c>
      <c r="M1605" s="27" t="s">
        <v>50</v>
      </c>
      <c r="N1605" s="26" t="s">
        <v>106</v>
      </c>
      <c r="O1605" s="28">
        <v>45462.58377445602</v>
      </c>
      <c r="P1605" s="26" t="s">
        <v>6433</v>
      </c>
      <c r="Q1605" s="11"/>
      <c r="R1605" s="11"/>
      <c r="S1605" s="11"/>
      <c r="T1605" s="29">
        <v>45455.0</v>
      </c>
      <c r="U1605" s="29">
        <v>45462.0</v>
      </c>
      <c r="V1605" s="29">
        <v>45462.42425923611</v>
      </c>
      <c r="W1605" s="30"/>
      <c r="X1605" s="30"/>
      <c r="Y1605" s="31"/>
      <c r="Z1605" s="31"/>
      <c r="AA1605" s="31" t="s">
        <v>5290</v>
      </c>
      <c r="AB1605" s="31" t="s">
        <v>6434</v>
      </c>
      <c r="AC1605" s="31"/>
    </row>
    <row r="1606" ht="16.5" customHeight="1">
      <c r="A1606" s="18" t="s">
        <v>6435</v>
      </c>
      <c r="B1606" s="19" t="s">
        <v>6430</v>
      </c>
      <c r="C1606" s="20">
        <v>0.0</v>
      </c>
      <c r="D1606" s="21" t="s">
        <v>6436</v>
      </c>
      <c r="E1606" s="27" t="s">
        <v>3441</v>
      </c>
      <c r="F1606" s="18" t="s">
        <v>48</v>
      </c>
      <c r="G1606" s="32" t="s">
        <v>35</v>
      </c>
      <c r="H1606" s="23" t="s">
        <v>35</v>
      </c>
      <c r="I1606" s="24" t="s">
        <v>36</v>
      </c>
      <c r="J1606" s="25" t="s">
        <v>49</v>
      </c>
      <c r="K1606" s="26" t="s">
        <v>6432</v>
      </c>
      <c r="L1606" s="25">
        <v>10995.0</v>
      </c>
      <c r="M1606" s="27" t="s">
        <v>50</v>
      </c>
      <c r="N1606" s="26" t="s">
        <v>106</v>
      </c>
      <c r="O1606" s="28">
        <v>45462.58390092592</v>
      </c>
      <c r="P1606" s="26" t="s">
        <v>6433</v>
      </c>
      <c r="Q1606" s="11"/>
      <c r="R1606" s="11"/>
      <c r="S1606" s="11"/>
      <c r="T1606" s="29">
        <v>45455.0</v>
      </c>
      <c r="U1606" s="29">
        <v>45462.0</v>
      </c>
      <c r="V1606" s="29">
        <v>45462.42427666667</v>
      </c>
      <c r="W1606" s="30"/>
      <c r="X1606" s="30"/>
      <c r="Y1606" s="31"/>
      <c r="Z1606" s="31"/>
      <c r="AA1606" s="31" t="s">
        <v>5290</v>
      </c>
      <c r="AB1606" s="31" t="s">
        <v>6437</v>
      </c>
      <c r="AC1606" s="31"/>
    </row>
    <row r="1607" ht="16.5" customHeight="1">
      <c r="A1607" s="18" t="s">
        <v>6438</v>
      </c>
      <c r="B1607" s="19" t="s">
        <v>6430</v>
      </c>
      <c r="C1607" s="20">
        <v>34.0</v>
      </c>
      <c r="D1607" s="21" t="s">
        <v>6439</v>
      </c>
      <c r="E1607" s="27" t="s">
        <v>47</v>
      </c>
      <c r="F1607" s="18" t="s">
        <v>48</v>
      </c>
      <c r="G1607" s="32" t="s">
        <v>35</v>
      </c>
      <c r="H1607" s="23" t="s">
        <v>35</v>
      </c>
      <c r="I1607" s="24" t="s">
        <v>36</v>
      </c>
      <c r="J1607" s="25" t="s">
        <v>49</v>
      </c>
      <c r="K1607" s="26" t="s">
        <v>6432</v>
      </c>
      <c r="L1607" s="25">
        <v>10995.0</v>
      </c>
      <c r="M1607" s="27" t="s">
        <v>50</v>
      </c>
      <c r="N1607" s="26" t="s">
        <v>106</v>
      </c>
      <c r="O1607" s="28">
        <v>45462.58397857639</v>
      </c>
      <c r="P1607" s="26" t="s">
        <v>6433</v>
      </c>
      <c r="Q1607" s="11"/>
      <c r="R1607" s="11"/>
      <c r="S1607" s="11"/>
      <c r="T1607" s="29">
        <v>45455.0</v>
      </c>
      <c r="U1607" s="29">
        <v>45462.0</v>
      </c>
      <c r="V1607" s="29">
        <v>45462.4360474537</v>
      </c>
      <c r="W1607" s="30"/>
      <c r="X1607" s="30"/>
      <c r="Y1607" s="31"/>
      <c r="Z1607" s="31"/>
      <c r="AA1607" s="31" t="s">
        <v>5290</v>
      </c>
      <c r="AB1607" s="31" t="s">
        <v>6440</v>
      </c>
      <c r="AC1607" s="31"/>
    </row>
    <row r="1608" ht="16.5" customHeight="1">
      <c r="A1608" s="18" t="s">
        <v>6441</v>
      </c>
      <c r="B1608" s="19" t="s">
        <v>6430</v>
      </c>
      <c r="C1608" s="20">
        <v>34.0</v>
      </c>
      <c r="D1608" s="21" t="s">
        <v>6442</v>
      </c>
      <c r="E1608" s="27" t="s">
        <v>47</v>
      </c>
      <c r="F1608" s="18" t="s">
        <v>48</v>
      </c>
      <c r="G1608" s="32" t="s">
        <v>35</v>
      </c>
      <c r="H1608" s="23" t="s">
        <v>35</v>
      </c>
      <c r="I1608" s="24" t="s">
        <v>36</v>
      </c>
      <c r="J1608" s="25" t="s">
        <v>49</v>
      </c>
      <c r="K1608" s="26" t="s">
        <v>6432</v>
      </c>
      <c r="L1608" s="25">
        <v>10995.0</v>
      </c>
      <c r="M1608" s="27" t="s">
        <v>50</v>
      </c>
      <c r="N1608" s="26" t="s">
        <v>106</v>
      </c>
      <c r="O1608" s="28">
        <v>45462.58405469907</v>
      </c>
      <c r="P1608" s="26" t="s">
        <v>6433</v>
      </c>
      <c r="Q1608" s="11"/>
      <c r="R1608" s="11"/>
      <c r="S1608" s="11"/>
      <c r="T1608" s="29">
        <v>45455.0</v>
      </c>
      <c r="U1608" s="29">
        <v>45462.0</v>
      </c>
      <c r="V1608" s="29">
        <v>45462.43621364584</v>
      </c>
      <c r="W1608" s="30"/>
      <c r="X1608" s="30"/>
      <c r="Y1608" s="31"/>
      <c r="Z1608" s="31"/>
      <c r="AA1608" s="31" t="s">
        <v>5290</v>
      </c>
      <c r="AB1608" s="31" t="s">
        <v>6443</v>
      </c>
      <c r="AC1608" s="31"/>
    </row>
    <row r="1609" ht="16.5" customHeight="1">
      <c r="A1609" s="18" t="s">
        <v>6444</v>
      </c>
      <c r="B1609" s="19" t="s">
        <v>6430</v>
      </c>
      <c r="C1609" s="20">
        <v>11.0</v>
      </c>
      <c r="D1609" s="21" t="s">
        <v>6445</v>
      </c>
      <c r="E1609" s="27" t="s">
        <v>112</v>
      </c>
      <c r="F1609" s="18" t="s">
        <v>48</v>
      </c>
      <c r="G1609" s="32" t="s">
        <v>35</v>
      </c>
      <c r="H1609" s="23" t="s">
        <v>35</v>
      </c>
      <c r="I1609" s="24" t="s">
        <v>36</v>
      </c>
      <c r="J1609" s="25" t="s">
        <v>49</v>
      </c>
      <c r="K1609" s="26" t="s">
        <v>6432</v>
      </c>
      <c r="L1609" s="25">
        <v>10995.0</v>
      </c>
      <c r="M1609" s="27" t="s">
        <v>50</v>
      </c>
      <c r="N1609" s="26" t="s">
        <v>106</v>
      </c>
      <c r="O1609" s="28">
        <v>45462.5841296412</v>
      </c>
      <c r="P1609" s="26" t="s">
        <v>6433</v>
      </c>
      <c r="Q1609" s="11"/>
      <c r="R1609" s="11"/>
      <c r="S1609" s="11"/>
      <c r="T1609" s="29">
        <v>45455.0</v>
      </c>
      <c r="U1609" s="29">
        <v>45462.0</v>
      </c>
      <c r="V1609" s="29">
        <v>45462.45309980324</v>
      </c>
      <c r="W1609" s="30"/>
      <c r="X1609" s="30"/>
      <c r="Y1609" s="31"/>
      <c r="Z1609" s="31"/>
      <c r="AA1609" s="31" t="s">
        <v>5290</v>
      </c>
      <c r="AB1609" s="31" t="s">
        <v>6446</v>
      </c>
      <c r="AC1609" s="31"/>
    </row>
    <row r="1610" ht="16.5" customHeight="1">
      <c r="A1610" s="48" t="s">
        <v>6447</v>
      </c>
      <c r="B1610" s="53" t="s">
        <v>4711</v>
      </c>
      <c r="C1610" s="47">
        <v>11.0</v>
      </c>
      <c r="D1610" s="70" t="s">
        <v>6448</v>
      </c>
      <c r="E1610" s="55" t="s">
        <v>112</v>
      </c>
      <c r="F1610" s="32" t="s">
        <v>48</v>
      </c>
      <c r="G1610" s="32" t="s">
        <v>35</v>
      </c>
      <c r="H1610" s="71" t="s">
        <v>35</v>
      </c>
      <c r="I1610" s="71" t="s">
        <v>36</v>
      </c>
      <c r="J1610" s="34" t="s">
        <v>49</v>
      </c>
      <c r="K1610" s="57" t="s">
        <v>38</v>
      </c>
      <c r="L1610" s="72">
        <v>10960.0</v>
      </c>
      <c r="M1610" s="22"/>
      <c r="N1610" s="73"/>
      <c r="O1610" s="28">
        <v>45465.0</v>
      </c>
      <c r="P1610" s="35" t="s">
        <v>6449</v>
      </c>
      <c r="Q1610" s="12"/>
      <c r="R1610" s="12"/>
      <c r="S1610" s="12"/>
      <c r="T1610" s="52">
        <v>45455.0</v>
      </c>
      <c r="U1610" s="52">
        <v>45455.0</v>
      </c>
      <c r="V1610" s="52">
        <v>45465.0</v>
      </c>
      <c r="W1610" s="30"/>
      <c r="X1610" s="30"/>
      <c r="Y1610" s="31"/>
      <c r="Z1610" s="31"/>
      <c r="AA1610" s="78" t="s">
        <v>94</v>
      </c>
      <c r="AB1610" s="74" t="s">
        <v>6450</v>
      </c>
      <c r="AC1610" s="74"/>
    </row>
    <row r="1611" ht="16.5" customHeight="1">
      <c r="A1611" s="18" t="s">
        <v>6451</v>
      </c>
      <c r="B1611" s="19" t="s">
        <v>6452</v>
      </c>
      <c r="C1611" s="20">
        <v>0.0</v>
      </c>
      <c r="D1611" s="21" t="s">
        <v>6453</v>
      </c>
      <c r="E1611" s="27" t="s">
        <v>491</v>
      </c>
      <c r="F1611" s="18" t="s">
        <v>33</v>
      </c>
      <c r="G1611" s="32" t="s">
        <v>35</v>
      </c>
      <c r="H1611" s="23" t="s">
        <v>35</v>
      </c>
      <c r="I1611" s="24" t="s">
        <v>36</v>
      </c>
      <c r="J1611" s="34" t="s">
        <v>65</v>
      </c>
      <c r="K1611" s="26" t="s">
        <v>38</v>
      </c>
      <c r="L1611" s="25">
        <v>11087.0</v>
      </c>
      <c r="M1611" s="27" t="s">
        <v>40</v>
      </c>
      <c r="N1611" s="26" t="s">
        <v>5706</v>
      </c>
      <c r="O1611" s="28">
        <v>45475.71044563658</v>
      </c>
      <c r="P1611" s="26" t="s">
        <v>6454</v>
      </c>
      <c r="Q1611" s="11"/>
      <c r="R1611" s="11"/>
      <c r="S1611" s="11"/>
      <c r="T1611" s="29">
        <v>45455.0</v>
      </c>
      <c r="U1611" s="29">
        <v>45474.0</v>
      </c>
      <c r="V1611" s="29">
        <v>45475.0</v>
      </c>
      <c r="W1611" s="30"/>
      <c r="X1611" s="30"/>
      <c r="Y1611" s="31"/>
      <c r="Z1611" s="31"/>
      <c r="AA1611" s="31" t="s">
        <v>3059</v>
      </c>
      <c r="AB1611" s="31" t="s">
        <v>6455</v>
      </c>
      <c r="AC1611" s="31"/>
    </row>
    <row r="1612" ht="16.5" customHeight="1">
      <c r="A1612" s="18" t="s">
        <v>6456</v>
      </c>
      <c r="B1612" s="19" t="s">
        <v>6457</v>
      </c>
      <c r="C1612" s="20">
        <v>90.0</v>
      </c>
      <c r="D1612" s="21" t="s">
        <v>6458</v>
      </c>
      <c r="E1612" s="27" t="s">
        <v>91</v>
      </c>
      <c r="F1612" s="18" t="s">
        <v>48</v>
      </c>
      <c r="G1612" s="32" t="s">
        <v>35</v>
      </c>
      <c r="H1612" s="23" t="s">
        <v>35</v>
      </c>
      <c r="I1612" s="24" t="s">
        <v>36</v>
      </c>
      <c r="J1612" s="25" t="s">
        <v>49</v>
      </c>
      <c r="K1612" s="26" t="s">
        <v>38</v>
      </c>
      <c r="L1612" s="25">
        <v>10966.0</v>
      </c>
      <c r="M1612" s="27" t="s">
        <v>50</v>
      </c>
      <c r="N1612" s="26" t="s">
        <v>5936</v>
      </c>
      <c r="O1612" s="28">
        <v>45456.63805864583</v>
      </c>
      <c r="P1612" s="26" t="s">
        <v>6459</v>
      </c>
      <c r="Q1612" s="11"/>
      <c r="R1612" s="11"/>
      <c r="S1612" s="11"/>
      <c r="T1612" s="29">
        <v>45455.0</v>
      </c>
      <c r="U1612" s="29">
        <v>45455.0</v>
      </c>
      <c r="V1612" s="29">
        <v>45456.41947978009</v>
      </c>
      <c r="W1612" s="30"/>
      <c r="X1612" s="30"/>
      <c r="Y1612" s="31"/>
      <c r="Z1612" s="31"/>
      <c r="AA1612" s="31" t="s">
        <v>102</v>
      </c>
      <c r="AB1612" s="31" t="s">
        <v>6460</v>
      </c>
      <c r="AC1612" s="31"/>
    </row>
    <row r="1613" ht="16.5" customHeight="1">
      <c r="A1613" s="18" t="s">
        <v>6461</v>
      </c>
      <c r="B1613" s="19" t="s">
        <v>6462</v>
      </c>
      <c r="C1613" s="20">
        <v>0.0</v>
      </c>
      <c r="D1613" s="21" t="s">
        <v>6463</v>
      </c>
      <c r="E1613" s="27" t="s">
        <v>2205</v>
      </c>
      <c r="F1613" s="18" t="s">
        <v>33</v>
      </c>
      <c r="G1613" s="32" t="s">
        <v>35</v>
      </c>
      <c r="H1613" s="23" t="s">
        <v>35</v>
      </c>
      <c r="I1613" s="24" t="s">
        <v>36</v>
      </c>
      <c r="J1613" s="25" t="s">
        <v>92</v>
      </c>
      <c r="K1613" s="26" t="s">
        <v>38</v>
      </c>
      <c r="L1613" s="25">
        <v>10992.0</v>
      </c>
      <c r="M1613" s="27" t="s">
        <v>6464</v>
      </c>
      <c r="N1613" s="26" t="s">
        <v>6465</v>
      </c>
      <c r="O1613" s="28">
        <v>45464.58674060185</v>
      </c>
      <c r="P1613" s="26" t="s">
        <v>6466</v>
      </c>
      <c r="Q1613" s="11"/>
      <c r="R1613" s="11"/>
      <c r="S1613" s="11"/>
      <c r="T1613" s="29">
        <v>45455.0</v>
      </c>
      <c r="U1613" s="29">
        <v>45460.0</v>
      </c>
      <c r="V1613" s="29">
        <v>45462.0</v>
      </c>
      <c r="W1613" s="30"/>
      <c r="X1613" s="30"/>
      <c r="Y1613" s="31"/>
      <c r="Z1613" s="31"/>
      <c r="AA1613" s="31" t="s">
        <v>3059</v>
      </c>
      <c r="AB1613" s="31" t="s">
        <v>6467</v>
      </c>
      <c r="AC1613" s="31"/>
    </row>
    <row r="1614" ht="16.5" customHeight="1">
      <c r="A1614" s="18" t="s">
        <v>6468</v>
      </c>
      <c r="B1614" s="19" t="s">
        <v>6469</v>
      </c>
      <c r="C1614" s="20">
        <v>0.0</v>
      </c>
      <c r="D1614" s="21" t="s">
        <v>6470</v>
      </c>
      <c r="E1614" s="27" t="s">
        <v>6471</v>
      </c>
      <c r="F1614" s="18" t="s">
        <v>244</v>
      </c>
      <c r="G1614" s="32" t="s">
        <v>35</v>
      </c>
      <c r="H1614" s="23" t="s">
        <v>35</v>
      </c>
      <c r="I1614" s="24" t="s">
        <v>36</v>
      </c>
      <c r="J1614" s="25" t="s">
        <v>49</v>
      </c>
      <c r="K1614" s="26" t="s">
        <v>38</v>
      </c>
      <c r="L1614" s="25">
        <v>11144.0</v>
      </c>
      <c r="M1614" s="27" t="s">
        <v>40</v>
      </c>
      <c r="N1614" s="26" t="s">
        <v>4183</v>
      </c>
      <c r="O1614" s="28">
        <v>45484.651186504634</v>
      </c>
      <c r="P1614" s="26" t="s">
        <v>6472</v>
      </c>
      <c r="Q1614" s="11"/>
      <c r="R1614" s="11"/>
      <c r="S1614" s="11"/>
      <c r="T1614" s="29">
        <v>45455.0</v>
      </c>
      <c r="U1614" s="29">
        <v>45471.0</v>
      </c>
      <c r="V1614" s="29">
        <v>45478.0</v>
      </c>
      <c r="W1614" s="30"/>
      <c r="X1614" s="30"/>
      <c r="Y1614" s="31"/>
      <c r="Z1614" s="31"/>
      <c r="AA1614" s="31" t="s">
        <v>145</v>
      </c>
      <c r="AB1614" s="31" t="s">
        <v>6473</v>
      </c>
      <c r="AC1614" s="31"/>
    </row>
    <row r="1615" ht="16.5" customHeight="1">
      <c r="A1615" s="18" t="s">
        <v>6474</v>
      </c>
      <c r="B1615" s="19" t="s">
        <v>6469</v>
      </c>
      <c r="C1615" s="20">
        <v>0.0</v>
      </c>
      <c r="D1615" s="21" t="s">
        <v>6475</v>
      </c>
      <c r="E1615" s="27" t="s">
        <v>6471</v>
      </c>
      <c r="F1615" s="18" t="s">
        <v>244</v>
      </c>
      <c r="G1615" s="32" t="s">
        <v>35</v>
      </c>
      <c r="H1615" s="23" t="s">
        <v>35</v>
      </c>
      <c r="I1615" s="24" t="s">
        <v>36</v>
      </c>
      <c r="J1615" s="25" t="s">
        <v>49</v>
      </c>
      <c r="K1615" s="26" t="s">
        <v>38</v>
      </c>
      <c r="L1615" s="25">
        <v>11144.0</v>
      </c>
      <c r="M1615" s="27" t="s">
        <v>40</v>
      </c>
      <c r="N1615" s="26" t="s">
        <v>4183</v>
      </c>
      <c r="O1615" s="28">
        <v>45484.65125761574</v>
      </c>
      <c r="P1615" s="26" t="s">
        <v>6472</v>
      </c>
      <c r="Q1615" s="11"/>
      <c r="R1615" s="11"/>
      <c r="S1615" s="11"/>
      <c r="T1615" s="29">
        <v>45455.0</v>
      </c>
      <c r="U1615" s="29">
        <v>45471.0</v>
      </c>
      <c r="V1615" s="29">
        <v>45478.0</v>
      </c>
      <c r="W1615" s="30"/>
      <c r="X1615" s="30"/>
      <c r="Y1615" s="31"/>
      <c r="Z1615" s="31"/>
      <c r="AA1615" s="31" t="s">
        <v>145</v>
      </c>
      <c r="AB1615" s="31" t="s">
        <v>6476</v>
      </c>
      <c r="AC1615" s="31"/>
    </row>
    <row r="1616" ht="16.5" customHeight="1">
      <c r="A1616" s="18" t="s">
        <v>6477</v>
      </c>
      <c r="B1616" s="19" t="s">
        <v>6469</v>
      </c>
      <c r="C1616" s="20">
        <v>0.0</v>
      </c>
      <c r="D1616" s="21" t="s">
        <v>6478</v>
      </c>
      <c r="E1616" s="27" t="s">
        <v>6471</v>
      </c>
      <c r="F1616" s="18" t="s">
        <v>244</v>
      </c>
      <c r="G1616" s="32" t="s">
        <v>35</v>
      </c>
      <c r="H1616" s="23" t="s">
        <v>35</v>
      </c>
      <c r="I1616" s="24" t="s">
        <v>36</v>
      </c>
      <c r="J1616" s="25" t="s">
        <v>49</v>
      </c>
      <c r="K1616" s="26" t="s">
        <v>38</v>
      </c>
      <c r="L1616" s="25">
        <v>11144.0</v>
      </c>
      <c r="M1616" s="27" t="s">
        <v>40</v>
      </c>
      <c r="N1616" s="26" t="s">
        <v>4183</v>
      </c>
      <c r="O1616" s="28">
        <v>45484.65133378472</v>
      </c>
      <c r="P1616" s="26" t="s">
        <v>6472</v>
      </c>
      <c r="Q1616" s="11"/>
      <c r="R1616" s="11"/>
      <c r="S1616" s="11"/>
      <c r="T1616" s="29">
        <v>45455.0</v>
      </c>
      <c r="U1616" s="29">
        <v>45471.0</v>
      </c>
      <c r="V1616" s="29">
        <v>45481.0</v>
      </c>
      <c r="W1616" s="30"/>
      <c r="X1616" s="30"/>
      <c r="Y1616" s="31"/>
      <c r="Z1616" s="31"/>
      <c r="AA1616" s="31" t="s">
        <v>145</v>
      </c>
      <c r="AB1616" s="31" t="s">
        <v>6479</v>
      </c>
      <c r="AC1616" s="31"/>
    </row>
    <row r="1617" ht="16.5" customHeight="1">
      <c r="A1617" s="18" t="s">
        <v>6480</v>
      </c>
      <c r="B1617" s="19" t="s">
        <v>6469</v>
      </c>
      <c r="C1617" s="20">
        <v>0.0</v>
      </c>
      <c r="D1617" s="21" t="s">
        <v>6481</v>
      </c>
      <c r="E1617" s="27" t="s">
        <v>6471</v>
      </c>
      <c r="F1617" s="18" t="s">
        <v>244</v>
      </c>
      <c r="G1617" s="32" t="s">
        <v>35</v>
      </c>
      <c r="H1617" s="23" t="s">
        <v>35</v>
      </c>
      <c r="I1617" s="24" t="s">
        <v>36</v>
      </c>
      <c r="J1617" s="25" t="s">
        <v>49</v>
      </c>
      <c r="K1617" s="26" t="s">
        <v>38</v>
      </c>
      <c r="L1617" s="25">
        <v>11144.0</v>
      </c>
      <c r="M1617" s="27" t="s">
        <v>40</v>
      </c>
      <c r="N1617" s="26" t="s">
        <v>4183</v>
      </c>
      <c r="O1617" s="28">
        <v>45484.6513862037</v>
      </c>
      <c r="P1617" s="26" t="s">
        <v>6472</v>
      </c>
      <c r="Q1617" s="11"/>
      <c r="R1617" s="11"/>
      <c r="S1617" s="11"/>
      <c r="T1617" s="29">
        <v>45455.0</v>
      </c>
      <c r="U1617" s="29">
        <v>45471.0</v>
      </c>
      <c r="V1617" s="29">
        <v>45481.0</v>
      </c>
      <c r="W1617" s="30"/>
      <c r="X1617" s="30"/>
      <c r="Y1617" s="31"/>
      <c r="Z1617" s="31"/>
      <c r="AA1617" s="31" t="s">
        <v>145</v>
      </c>
      <c r="AB1617" s="31" t="s">
        <v>6482</v>
      </c>
      <c r="AC1617" s="31"/>
    </row>
    <row r="1618" ht="16.5" customHeight="1">
      <c r="A1618" s="18" t="s">
        <v>6483</v>
      </c>
      <c r="B1618" s="19" t="s">
        <v>6484</v>
      </c>
      <c r="C1618" s="20">
        <v>0.0</v>
      </c>
      <c r="D1618" s="21" t="s">
        <v>6485</v>
      </c>
      <c r="E1618" s="27" t="s">
        <v>1530</v>
      </c>
      <c r="F1618" s="18" t="s">
        <v>33</v>
      </c>
      <c r="G1618" s="32" t="s">
        <v>35</v>
      </c>
      <c r="H1618" s="23" t="s">
        <v>35</v>
      </c>
      <c r="I1618" s="24" t="s">
        <v>36</v>
      </c>
      <c r="J1618" s="34" t="s">
        <v>65</v>
      </c>
      <c r="K1618" s="26" t="s">
        <v>38</v>
      </c>
      <c r="L1618" s="25">
        <v>11110.0</v>
      </c>
      <c r="M1618" s="27" t="s">
        <v>40</v>
      </c>
      <c r="N1618" s="26" t="s">
        <v>3442</v>
      </c>
      <c r="O1618" s="28">
        <v>45478.488947777776</v>
      </c>
      <c r="P1618" s="26" t="s">
        <v>6486</v>
      </c>
      <c r="Q1618" s="11"/>
      <c r="R1618" s="11"/>
      <c r="S1618" s="11"/>
      <c r="T1618" s="29">
        <v>45455.0</v>
      </c>
      <c r="U1618" s="29">
        <v>45457.0</v>
      </c>
      <c r="V1618" s="29">
        <f t="shared" ref="V1618:V1622" si="9">O1618</f>
        <v>45478.48895</v>
      </c>
      <c r="W1618" s="30"/>
      <c r="X1618" s="30"/>
      <c r="Y1618" s="31"/>
      <c r="Z1618" s="31"/>
      <c r="AA1618" s="31" t="s">
        <v>120</v>
      </c>
      <c r="AB1618" s="31" t="s">
        <v>6487</v>
      </c>
      <c r="AC1618" s="31"/>
    </row>
    <row r="1619" ht="16.5" customHeight="1">
      <c r="A1619" s="132" t="s">
        <v>6488</v>
      </c>
      <c r="B1619" s="133" t="s">
        <v>6489</v>
      </c>
      <c r="C1619" s="54">
        <v>0.0</v>
      </c>
      <c r="D1619" s="21" t="s">
        <v>6490</v>
      </c>
      <c r="E1619" s="55" t="s">
        <v>3441</v>
      </c>
      <c r="F1619" s="32" t="s">
        <v>48</v>
      </c>
      <c r="G1619" s="32" t="s">
        <v>35</v>
      </c>
      <c r="H1619" s="23" t="s">
        <v>35</v>
      </c>
      <c r="I1619" s="56" t="s">
        <v>36</v>
      </c>
      <c r="J1619" s="34" t="s">
        <v>49</v>
      </c>
      <c r="K1619" s="57" t="s">
        <v>38</v>
      </c>
      <c r="L1619" s="58" t="s">
        <v>6491</v>
      </c>
      <c r="M1619" s="22"/>
      <c r="N1619" s="26" t="s">
        <v>86</v>
      </c>
      <c r="O1619" s="28">
        <v>45465.0</v>
      </c>
      <c r="P1619" s="26" t="s">
        <v>6492</v>
      </c>
      <c r="Q1619" s="12"/>
      <c r="R1619" s="12"/>
      <c r="S1619" s="60"/>
      <c r="T1619" s="29">
        <v>45440.0</v>
      </c>
      <c r="U1619" s="29">
        <v>45455.0</v>
      </c>
      <c r="V1619" s="29">
        <f t="shared" si="9"/>
        <v>45465</v>
      </c>
      <c r="W1619" s="30"/>
      <c r="X1619" s="30"/>
      <c r="Y1619" s="31"/>
      <c r="Z1619" s="31"/>
      <c r="AA1619" s="31" t="s">
        <v>94</v>
      </c>
      <c r="AB1619" s="31" t="s">
        <v>6493</v>
      </c>
      <c r="AC1619" s="31"/>
    </row>
    <row r="1620" ht="16.5" customHeight="1">
      <c r="A1620" s="134" t="s">
        <v>6494</v>
      </c>
      <c r="B1620" s="133" t="s">
        <v>6489</v>
      </c>
      <c r="C1620" s="54">
        <v>0.0</v>
      </c>
      <c r="D1620" s="21" t="s">
        <v>6495</v>
      </c>
      <c r="E1620" s="55" t="s">
        <v>3441</v>
      </c>
      <c r="F1620" s="32" t="s">
        <v>48</v>
      </c>
      <c r="G1620" s="32" t="s">
        <v>35</v>
      </c>
      <c r="H1620" s="23" t="s">
        <v>35</v>
      </c>
      <c r="I1620" s="56" t="s">
        <v>36</v>
      </c>
      <c r="J1620" s="34" t="s">
        <v>49</v>
      </c>
      <c r="K1620" s="57" t="s">
        <v>38</v>
      </c>
      <c r="L1620" s="58" t="s">
        <v>6491</v>
      </c>
      <c r="M1620" s="22"/>
      <c r="N1620" s="26" t="s">
        <v>86</v>
      </c>
      <c r="O1620" s="28">
        <v>45465.0</v>
      </c>
      <c r="P1620" s="26" t="s">
        <v>6496</v>
      </c>
      <c r="Q1620" s="12"/>
      <c r="R1620" s="12"/>
      <c r="S1620" s="60"/>
      <c r="T1620" s="29">
        <v>45440.0</v>
      </c>
      <c r="U1620" s="29">
        <v>45455.0</v>
      </c>
      <c r="V1620" s="29">
        <f t="shared" si="9"/>
        <v>45465</v>
      </c>
      <c r="W1620" s="30"/>
      <c r="X1620" s="30"/>
      <c r="Y1620" s="31"/>
      <c r="Z1620" s="31"/>
      <c r="AA1620" s="31" t="s">
        <v>94</v>
      </c>
      <c r="AB1620" s="31" t="s">
        <v>6497</v>
      </c>
      <c r="AC1620" s="31"/>
    </row>
    <row r="1621" ht="16.5" customHeight="1">
      <c r="A1621" s="48" t="s">
        <v>6498</v>
      </c>
      <c r="B1621" s="53" t="s">
        <v>6489</v>
      </c>
      <c r="C1621" s="54">
        <v>0.0</v>
      </c>
      <c r="D1621" s="21" t="s">
        <v>6499</v>
      </c>
      <c r="E1621" s="55" t="s">
        <v>3441</v>
      </c>
      <c r="F1621" s="32" t="s">
        <v>48</v>
      </c>
      <c r="G1621" s="32" t="s">
        <v>35</v>
      </c>
      <c r="H1621" s="23" t="s">
        <v>35</v>
      </c>
      <c r="I1621" s="56" t="s">
        <v>36</v>
      </c>
      <c r="J1621" s="34" t="s">
        <v>49</v>
      </c>
      <c r="K1621" s="57" t="s">
        <v>38</v>
      </c>
      <c r="L1621" s="58" t="s">
        <v>6491</v>
      </c>
      <c r="M1621" s="22"/>
      <c r="N1621" s="26" t="s">
        <v>86</v>
      </c>
      <c r="O1621" s="28">
        <v>45465.0</v>
      </c>
      <c r="P1621" s="26" t="s">
        <v>6500</v>
      </c>
      <c r="Q1621" s="12"/>
      <c r="R1621" s="12"/>
      <c r="S1621" s="60"/>
      <c r="T1621" s="29">
        <v>45440.0</v>
      </c>
      <c r="U1621" s="29">
        <v>45455.0</v>
      </c>
      <c r="V1621" s="29">
        <f t="shared" si="9"/>
        <v>45465</v>
      </c>
      <c r="W1621" s="30"/>
      <c r="X1621" s="30"/>
      <c r="Y1621" s="31"/>
      <c r="Z1621" s="31"/>
      <c r="AA1621" s="31" t="s">
        <v>94</v>
      </c>
      <c r="AB1621" s="31" t="s">
        <v>6501</v>
      </c>
      <c r="AC1621" s="31"/>
    </row>
    <row r="1622" ht="16.5" customHeight="1">
      <c r="A1622" s="134" t="s">
        <v>6502</v>
      </c>
      <c r="B1622" s="133" t="s">
        <v>6489</v>
      </c>
      <c r="C1622" s="54">
        <v>0.0</v>
      </c>
      <c r="D1622" s="21" t="s">
        <v>6503</v>
      </c>
      <c r="E1622" s="55" t="s">
        <v>3441</v>
      </c>
      <c r="F1622" s="32" t="s">
        <v>48</v>
      </c>
      <c r="G1622" s="32" t="s">
        <v>35</v>
      </c>
      <c r="H1622" s="23" t="s">
        <v>35</v>
      </c>
      <c r="I1622" s="56" t="s">
        <v>36</v>
      </c>
      <c r="J1622" s="34" t="s">
        <v>49</v>
      </c>
      <c r="K1622" s="57" t="s">
        <v>38</v>
      </c>
      <c r="L1622" s="58" t="s">
        <v>6491</v>
      </c>
      <c r="M1622" s="22"/>
      <c r="N1622" s="26" t="s">
        <v>86</v>
      </c>
      <c r="O1622" s="28">
        <v>45465.0</v>
      </c>
      <c r="P1622" s="26" t="s">
        <v>6504</v>
      </c>
      <c r="Q1622" s="12"/>
      <c r="R1622" s="12"/>
      <c r="S1622" s="60"/>
      <c r="T1622" s="29">
        <v>45440.0</v>
      </c>
      <c r="U1622" s="29">
        <v>45455.0</v>
      </c>
      <c r="V1622" s="29">
        <f t="shared" si="9"/>
        <v>45465</v>
      </c>
      <c r="W1622" s="30"/>
      <c r="X1622" s="30"/>
      <c r="Y1622" s="31"/>
      <c r="Z1622" s="31"/>
      <c r="AA1622" s="31" t="s">
        <v>94</v>
      </c>
      <c r="AB1622" s="31" t="s">
        <v>6505</v>
      </c>
      <c r="AC1622" s="31"/>
    </row>
    <row r="1623" ht="16.5" customHeight="1">
      <c r="A1623" s="18" t="s">
        <v>6506</v>
      </c>
      <c r="B1623" s="19" t="s">
        <v>6507</v>
      </c>
      <c r="C1623" s="20">
        <v>0.0</v>
      </c>
      <c r="D1623" s="21" t="s">
        <v>6508</v>
      </c>
      <c r="E1623" s="27" t="s">
        <v>1530</v>
      </c>
      <c r="F1623" s="18" t="s">
        <v>33</v>
      </c>
      <c r="G1623" s="18" t="s">
        <v>34</v>
      </c>
      <c r="H1623" s="23" t="s">
        <v>35</v>
      </c>
      <c r="I1623" s="24" t="s">
        <v>36</v>
      </c>
      <c r="J1623" s="25" t="s">
        <v>420</v>
      </c>
      <c r="K1623" s="26" t="s">
        <v>38</v>
      </c>
      <c r="L1623" s="25">
        <v>11036.0</v>
      </c>
      <c r="M1623" s="27" t="s">
        <v>40</v>
      </c>
      <c r="N1623" s="26" t="s">
        <v>4031</v>
      </c>
      <c r="O1623" s="28">
        <v>45468.61382141204</v>
      </c>
      <c r="P1623" s="26" t="s">
        <v>6509</v>
      </c>
      <c r="Q1623" s="11"/>
      <c r="R1623" s="11"/>
      <c r="S1623" s="11"/>
      <c r="T1623" s="29">
        <v>45455.0</v>
      </c>
      <c r="U1623" s="29">
        <v>45460.0</v>
      </c>
      <c r="V1623" s="29">
        <v>45464.0</v>
      </c>
      <c r="W1623" s="30"/>
      <c r="X1623" s="30"/>
      <c r="Y1623" s="31"/>
      <c r="Z1623" s="31"/>
      <c r="AA1623" s="31" t="s">
        <v>120</v>
      </c>
      <c r="AB1623" s="31" t="s">
        <v>6510</v>
      </c>
      <c r="AC1623" s="31"/>
    </row>
    <row r="1624" ht="16.5" customHeight="1">
      <c r="A1624" s="18" t="s">
        <v>6511</v>
      </c>
      <c r="B1624" s="19" t="s">
        <v>5047</v>
      </c>
      <c r="C1624" s="20">
        <v>90.0</v>
      </c>
      <c r="D1624" s="21" t="s">
        <v>6512</v>
      </c>
      <c r="E1624" s="27" t="s">
        <v>91</v>
      </c>
      <c r="F1624" s="18" t="s">
        <v>48</v>
      </c>
      <c r="G1624" s="32" t="s">
        <v>35</v>
      </c>
      <c r="H1624" s="23" t="s">
        <v>35</v>
      </c>
      <c r="I1624" s="24" t="s">
        <v>36</v>
      </c>
      <c r="J1624" s="25" t="s">
        <v>37</v>
      </c>
      <c r="K1624" s="26" t="s">
        <v>38</v>
      </c>
      <c r="L1624" s="25">
        <v>10986.0</v>
      </c>
      <c r="M1624" s="27" t="s">
        <v>50</v>
      </c>
      <c r="N1624" s="26" t="s">
        <v>41</v>
      </c>
      <c r="O1624" s="28">
        <v>45461.604448819446</v>
      </c>
      <c r="P1624" s="26" t="s">
        <v>6513</v>
      </c>
      <c r="Q1624" s="11"/>
      <c r="R1624" s="11"/>
      <c r="S1624" s="11"/>
      <c r="T1624" s="29">
        <v>45455.0</v>
      </c>
      <c r="U1624" s="29">
        <v>45461.0</v>
      </c>
      <c r="V1624" s="29">
        <v>45461.41769746528</v>
      </c>
      <c r="W1624" s="30"/>
      <c r="X1624" s="30"/>
      <c r="Y1624" s="31"/>
      <c r="Z1624" s="31"/>
      <c r="AA1624" s="31" t="s">
        <v>120</v>
      </c>
      <c r="AB1624" s="31" t="s">
        <v>6514</v>
      </c>
      <c r="AC1624" s="31"/>
    </row>
    <row r="1625" ht="16.5" customHeight="1">
      <c r="A1625" s="18" t="s">
        <v>6515</v>
      </c>
      <c r="B1625" s="19" t="s">
        <v>5047</v>
      </c>
      <c r="C1625" s="20">
        <v>90.0</v>
      </c>
      <c r="D1625" s="21" t="s">
        <v>6516</v>
      </c>
      <c r="E1625" s="27" t="s">
        <v>91</v>
      </c>
      <c r="F1625" s="18" t="s">
        <v>48</v>
      </c>
      <c r="G1625" s="32" t="s">
        <v>35</v>
      </c>
      <c r="H1625" s="23" t="s">
        <v>35</v>
      </c>
      <c r="I1625" s="24" t="s">
        <v>36</v>
      </c>
      <c r="J1625" s="25" t="s">
        <v>37</v>
      </c>
      <c r="K1625" s="26" t="s">
        <v>38</v>
      </c>
      <c r="L1625" s="25">
        <v>10986.0</v>
      </c>
      <c r="M1625" s="27" t="s">
        <v>50</v>
      </c>
      <c r="N1625" s="26" t="s">
        <v>41</v>
      </c>
      <c r="O1625" s="28">
        <v>45461.60451936343</v>
      </c>
      <c r="P1625" s="26" t="s">
        <v>6513</v>
      </c>
      <c r="Q1625" s="11"/>
      <c r="R1625" s="11"/>
      <c r="S1625" s="11"/>
      <c r="T1625" s="29">
        <v>45455.0</v>
      </c>
      <c r="U1625" s="29">
        <v>45461.0</v>
      </c>
      <c r="V1625" s="29">
        <v>45461.41773725694</v>
      </c>
      <c r="W1625" s="30"/>
      <c r="X1625" s="30"/>
      <c r="Y1625" s="31"/>
      <c r="Z1625" s="31"/>
      <c r="AA1625" s="31" t="s">
        <v>120</v>
      </c>
      <c r="AB1625" s="31" t="s">
        <v>6517</v>
      </c>
      <c r="AC1625" s="31"/>
    </row>
    <row r="1626" ht="16.5" customHeight="1">
      <c r="A1626" s="18" t="s">
        <v>6518</v>
      </c>
      <c r="B1626" s="19" t="s">
        <v>5047</v>
      </c>
      <c r="C1626" s="20">
        <v>137.0</v>
      </c>
      <c r="D1626" s="21" t="s">
        <v>6519</v>
      </c>
      <c r="E1626" s="27" t="s">
        <v>85</v>
      </c>
      <c r="F1626" s="18" t="s">
        <v>48</v>
      </c>
      <c r="G1626" s="32" t="s">
        <v>35</v>
      </c>
      <c r="H1626" s="23" t="s">
        <v>35</v>
      </c>
      <c r="I1626" s="24" t="s">
        <v>36</v>
      </c>
      <c r="J1626" s="25" t="s">
        <v>37</v>
      </c>
      <c r="K1626" s="26" t="s">
        <v>38</v>
      </c>
      <c r="L1626" s="25">
        <v>10967.0</v>
      </c>
      <c r="M1626" s="27" t="s">
        <v>50</v>
      </c>
      <c r="N1626" s="26" t="s">
        <v>41</v>
      </c>
      <c r="O1626" s="28">
        <v>45456.64091019676</v>
      </c>
      <c r="P1626" s="26" t="s">
        <v>6520</v>
      </c>
      <c r="Q1626" s="11"/>
      <c r="R1626" s="11"/>
      <c r="S1626" s="11"/>
      <c r="T1626" s="29">
        <v>45455.0</v>
      </c>
      <c r="U1626" s="29">
        <v>45456.0</v>
      </c>
      <c r="V1626" s="29">
        <v>45456.46962101852</v>
      </c>
      <c r="W1626" s="30"/>
      <c r="X1626" s="30"/>
      <c r="Y1626" s="31"/>
      <c r="Z1626" s="31"/>
      <c r="AA1626" s="31" t="s">
        <v>120</v>
      </c>
      <c r="AB1626" s="31" t="s">
        <v>6521</v>
      </c>
      <c r="AC1626" s="31"/>
    </row>
    <row r="1627" ht="16.5" customHeight="1">
      <c r="A1627" s="18" t="s">
        <v>6522</v>
      </c>
      <c r="B1627" s="19" t="s">
        <v>5047</v>
      </c>
      <c r="C1627" s="20">
        <v>137.0</v>
      </c>
      <c r="D1627" s="21" t="s">
        <v>6523</v>
      </c>
      <c r="E1627" s="27" t="s">
        <v>85</v>
      </c>
      <c r="F1627" s="18" t="s">
        <v>48</v>
      </c>
      <c r="G1627" s="32" t="s">
        <v>35</v>
      </c>
      <c r="H1627" s="23" t="s">
        <v>35</v>
      </c>
      <c r="I1627" s="24" t="s">
        <v>36</v>
      </c>
      <c r="J1627" s="25" t="s">
        <v>37</v>
      </c>
      <c r="K1627" s="26" t="s">
        <v>38</v>
      </c>
      <c r="L1627" s="25">
        <v>10967.0</v>
      </c>
      <c r="M1627" s="27" t="s">
        <v>50</v>
      </c>
      <c r="N1627" s="26" t="s">
        <v>41</v>
      </c>
      <c r="O1627" s="28">
        <v>45456.64097320602</v>
      </c>
      <c r="P1627" s="26" t="s">
        <v>6520</v>
      </c>
      <c r="Q1627" s="11"/>
      <c r="R1627" s="11"/>
      <c r="S1627" s="11"/>
      <c r="T1627" s="29">
        <v>45455.0</v>
      </c>
      <c r="U1627" s="29">
        <v>45456.0</v>
      </c>
      <c r="V1627" s="29">
        <v>45456.470008495366</v>
      </c>
      <c r="W1627" s="30"/>
      <c r="X1627" s="30"/>
      <c r="Y1627" s="31"/>
      <c r="Z1627" s="31"/>
      <c r="AA1627" s="31" t="s">
        <v>120</v>
      </c>
      <c r="AB1627" s="31" t="s">
        <v>6524</v>
      </c>
      <c r="AC1627" s="31"/>
    </row>
    <row r="1628" ht="18.75" customHeight="1">
      <c r="A1628" s="18" t="s">
        <v>6525</v>
      </c>
      <c r="B1628" s="19" t="s">
        <v>6526</v>
      </c>
      <c r="C1628" s="20">
        <v>0.0</v>
      </c>
      <c r="D1628" s="21" t="s">
        <v>6527</v>
      </c>
      <c r="E1628" s="27" t="s">
        <v>4430</v>
      </c>
      <c r="F1628" s="18" t="s">
        <v>48</v>
      </c>
      <c r="G1628" s="32" t="s">
        <v>35</v>
      </c>
      <c r="H1628" s="23" t="s">
        <v>35</v>
      </c>
      <c r="I1628" s="24" t="s">
        <v>36</v>
      </c>
      <c r="J1628" s="34" t="s">
        <v>65</v>
      </c>
      <c r="K1628" s="26" t="s">
        <v>38</v>
      </c>
      <c r="L1628" s="25">
        <v>10968.0</v>
      </c>
      <c r="M1628" s="27" t="s">
        <v>50</v>
      </c>
      <c r="N1628" s="26" t="s">
        <v>5279</v>
      </c>
      <c r="O1628" s="28">
        <v>45456.65927880787</v>
      </c>
      <c r="P1628" s="26" t="s">
        <v>6528</v>
      </c>
      <c r="Q1628" s="11"/>
      <c r="R1628" s="11"/>
      <c r="S1628" s="11"/>
      <c r="T1628" s="29">
        <v>45455.0</v>
      </c>
      <c r="U1628" s="29">
        <v>45456.0</v>
      </c>
      <c r="V1628" s="29">
        <v>45456.43101990741</v>
      </c>
      <c r="W1628" s="30"/>
      <c r="X1628" s="30"/>
      <c r="Y1628" s="31"/>
      <c r="Z1628" s="31"/>
      <c r="AA1628" s="31" t="s">
        <v>120</v>
      </c>
      <c r="AB1628" s="31" t="s">
        <v>6529</v>
      </c>
      <c r="AC1628" s="31"/>
    </row>
    <row r="1629" ht="18.75" customHeight="1">
      <c r="A1629" s="18" t="s">
        <v>6530</v>
      </c>
      <c r="B1629" s="19" t="s">
        <v>6526</v>
      </c>
      <c r="C1629" s="20">
        <v>0.0</v>
      </c>
      <c r="D1629" s="21" t="s">
        <v>6531</v>
      </c>
      <c r="E1629" s="27" t="s">
        <v>664</v>
      </c>
      <c r="F1629" s="18" t="s">
        <v>48</v>
      </c>
      <c r="G1629" s="32" t="s">
        <v>35</v>
      </c>
      <c r="H1629" s="23" t="s">
        <v>35</v>
      </c>
      <c r="I1629" s="24" t="s">
        <v>36</v>
      </c>
      <c r="J1629" s="34" t="s">
        <v>65</v>
      </c>
      <c r="K1629" s="26" t="s">
        <v>38</v>
      </c>
      <c r="L1629" s="25">
        <v>10968.0</v>
      </c>
      <c r="M1629" s="27" t="s">
        <v>50</v>
      </c>
      <c r="N1629" s="26" t="s">
        <v>5279</v>
      </c>
      <c r="O1629" s="28">
        <v>45456.659349062495</v>
      </c>
      <c r="P1629" s="26" t="s">
        <v>6528</v>
      </c>
      <c r="Q1629" s="11"/>
      <c r="R1629" s="11"/>
      <c r="S1629" s="11"/>
      <c r="T1629" s="29">
        <v>45455.0</v>
      </c>
      <c r="U1629" s="29">
        <v>45456.0</v>
      </c>
      <c r="V1629" s="29">
        <v>45456.47096268518</v>
      </c>
      <c r="W1629" s="30"/>
      <c r="X1629" s="30"/>
      <c r="Y1629" s="31"/>
      <c r="Z1629" s="31"/>
      <c r="AA1629" s="31" t="s">
        <v>120</v>
      </c>
      <c r="AB1629" s="31" t="s">
        <v>6532</v>
      </c>
      <c r="AC1629" s="31"/>
    </row>
    <row r="1630" ht="18.75" customHeight="1">
      <c r="A1630" s="18" t="s">
        <v>6533</v>
      </c>
      <c r="B1630" s="19" t="s">
        <v>6526</v>
      </c>
      <c r="C1630" s="20">
        <v>0.0</v>
      </c>
      <c r="D1630" s="21" t="s">
        <v>6534</v>
      </c>
      <c r="E1630" s="27" t="s">
        <v>664</v>
      </c>
      <c r="F1630" s="18" t="s">
        <v>48</v>
      </c>
      <c r="G1630" s="32" t="s">
        <v>35</v>
      </c>
      <c r="H1630" s="23" t="s">
        <v>35</v>
      </c>
      <c r="I1630" s="24" t="s">
        <v>36</v>
      </c>
      <c r="J1630" s="34" t="s">
        <v>65</v>
      </c>
      <c r="K1630" s="26" t="s">
        <v>38</v>
      </c>
      <c r="L1630" s="25">
        <v>10968.0</v>
      </c>
      <c r="M1630" s="27" t="s">
        <v>50</v>
      </c>
      <c r="N1630" s="26" t="s">
        <v>5279</v>
      </c>
      <c r="O1630" s="28">
        <v>45456.65941449074</v>
      </c>
      <c r="P1630" s="26" t="s">
        <v>6528</v>
      </c>
      <c r="Q1630" s="11"/>
      <c r="R1630" s="11"/>
      <c r="S1630" s="11"/>
      <c r="T1630" s="29">
        <v>45455.0</v>
      </c>
      <c r="U1630" s="29">
        <v>45456.0</v>
      </c>
      <c r="V1630" s="29">
        <v>45456.47137537037</v>
      </c>
      <c r="W1630" s="30"/>
      <c r="X1630" s="30"/>
      <c r="Y1630" s="31"/>
      <c r="Z1630" s="31"/>
      <c r="AA1630" s="31" t="s">
        <v>120</v>
      </c>
      <c r="AB1630" s="31" t="s">
        <v>6535</v>
      </c>
      <c r="AC1630" s="31"/>
    </row>
    <row r="1631" ht="18.75" customHeight="1">
      <c r="A1631" s="18" t="s">
        <v>6536</v>
      </c>
      <c r="B1631" s="19" t="s">
        <v>1849</v>
      </c>
      <c r="C1631" s="20">
        <v>137.0</v>
      </c>
      <c r="D1631" s="21" t="s">
        <v>6537</v>
      </c>
      <c r="E1631" s="27" t="s">
        <v>85</v>
      </c>
      <c r="F1631" s="18" t="s">
        <v>48</v>
      </c>
      <c r="G1631" s="32" t="s">
        <v>35</v>
      </c>
      <c r="H1631" s="23" t="s">
        <v>35</v>
      </c>
      <c r="I1631" s="24" t="s">
        <v>36</v>
      </c>
      <c r="J1631" s="25" t="s">
        <v>49</v>
      </c>
      <c r="K1631" s="26" t="s">
        <v>38</v>
      </c>
      <c r="L1631" s="25">
        <v>10969.0</v>
      </c>
      <c r="M1631" s="27" t="s">
        <v>50</v>
      </c>
      <c r="N1631" s="26" t="s">
        <v>5936</v>
      </c>
      <c r="O1631" s="28">
        <v>45456.63813212963</v>
      </c>
      <c r="P1631" s="26" t="s">
        <v>6538</v>
      </c>
      <c r="Q1631" s="11"/>
      <c r="R1631" s="11"/>
      <c r="S1631" s="11"/>
      <c r="T1631" s="29">
        <v>45455.0</v>
      </c>
      <c r="U1631" s="29">
        <v>45455.0</v>
      </c>
      <c r="V1631" s="29">
        <v>45456.47057931713</v>
      </c>
      <c r="W1631" s="30"/>
      <c r="X1631" s="30"/>
      <c r="Y1631" s="31"/>
      <c r="Z1631" s="31"/>
      <c r="AA1631" s="31" t="s">
        <v>102</v>
      </c>
      <c r="AB1631" s="31" t="s">
        <v>6539</v>
      </c>
      <c r="AC1631" s="31"/>
    </row>
    <row r="1632" ht="18.75" customHeight="1">
      <c r="A1632" s="18" t="s">
        <v>6540</v>
      </c>
      <c r="B1632" s="19" t="s">
        <v>96</v>
      </c>
      <c r="C1632" s="20">
        <v>0.0</v>
      </c>
      <c r="D1632" s="21" t="s">
        <v>6541</v>
      </c>
      <c r="E1632" s="27" t="s">
        <v>165</v>
      </c>
      <c r="F1632" s="18" t="s">
        <v>33</v>
      </c>
      <c r="G1632" s="18" t="s">
        <v>34</v>
      </c>
      <c r="H1632" s="23" t="s">
        <v>35</v>
      </c>
      <c r="I1632" s="24" t="s">
        <v>36</v>
      </c>
      <c r="J1632" s="25" t="s">
        <v>49</v>
      </c>
      <c r="K1632" s="26" t="s">
        <v>38</v>
      </c>
      <c r="L1632" s="25">
        <v>10993.0</v>
      </c>
      <c r="M1632" s="27" t="s">
        <v>40</v>
      </c>
      <c r="N1632" s="26" t="s">
        <v>106</v>
      </c>
      <c r="O1632" s="28">
        <v>45462.5842040625</v>
      </c>
      <c r="P1632" s="26" t="s">
        <v>6542</v>
      </c>
      <c r="Q1632" s="11"/>
      <c r="R1632" s="11"/>
      <c r="S1632" s="11"/>
      <c r="T1632" s="29">
        <v>45456.0</v>
      </c>
      <c r="U1632" s="29">
        <v>45456.0</v>
      </c>
      <c r="V1632" s="29">
        <v>45462.0</v>
      </c>
      <c r="W1632" s="30"/>
      <c r="X1632" s="30"/>
      <c r="Y1632" s="31"/>
      <c r="Z1632" s="31"/>
      <c r="AA1632" s="31" t="s">
        <v>102</v>
      </c>
      <c r="AB1632" s="31" t="s">
        <v>6543</v>
      </c>
      <c r="AC1632" s="31"/>
    </row>
    <row r="1633" ht="18.75" customHeight="1">
      <c r="A1633" s="18" t="s">
        <v>6544</v>
      </c>
      <c r="B1633" s="19" t="s">
        <v>6545</v>
      </c>
      <c r="C1633" s="20">
        <v>137.0</v>
      </c>
      <c r="D1633" s="21" t="s">
        <v>6546</v>
      </c>
      <c r="E1633" s="27" t="s">
        <v>85</v>
      </c>
      <c r="F1633" s="18" t="s">
        <v>48</v>
      </c>
      <c r="G1633" s="32" t="s">
        <v>35</v>
      </c>
      <c r="H1633" s="23" t="s">
        <v>35</v>
      </c>
      <c r="I1633" s="24" t="s">
        <v>36</v>
      </c>
      <c r="J1633" s="25" t="s">
        <v>49</v>
      </c>
      <c r="K1633" s="26" t="s">
        <v>518</v>
      </c>
      <c r="L1633" s="25">
        <v>11078.0</v>
      </c>
      <c r="M1633" s="27" t="s">
        <v>50</v>
      </c>
      <c r="N1633" s="26" t="s">
        <v>6547</v>
      </c>
      <c r="O1633" s="28">
        <v>45475.608575949074</v>
      </c>
      <c r="P1633" s="26" t="s">
        <v>6548</v>
      </c>
      <c r="Q1633" s="11"/>
      <c r="R1633" s="11"/>
      <c r="S1633" s="11"/>
      <c r="T1633" s="29">
        <v>45456.0</v>
      </c>
      <c r="U1633" s="29">
        <v>45475.0</v>
      </c>
      <c r="V1633" s="29">
        <v>45475.44080012731</v>
      </c>
      <c r="W1633" s="30"/>
      <c r="X1633" s="30"/>
      <c r="Y1633" s="31"/>
      <c r="Z1633" s="31"/>
      <c r="AA1633" s="31" t="s">
        <v>4904</v>
      </c>
      <c r="AB1633" s="31" t="s">
        <v>6549</v>
      </c>
      <c r="AC1633" s="31"/>
    </row>
    <row r="1634" ht="18.75" customHeight="1">
      <c r="A1634" s="48" t="s">
        <v>6550</v>
      </c>
      <c r="B1634" s="53" t="s">
        <v>6551</v>
      </c>
      <c r="C1634" s="47">
        <v>27.0</v>
      </c>
      <c r="D1634" s="70" t="s">
        <v>6552</v>
      </c>
      <c r="E1634" s="55" t="s">
        <v>72</v>
      </c>
      <c r="F1634" s="32" t="s">
        <v>48</v>
      </c>
      <c r="G1634" s="32" t="s">
        <v>35</v>
      </c>
      <c r="H1634" s="71" t="s">
        <v>35</v>
      </c>
      <c r="I1634" s="71" t="s">
        <v>36</v>
      </c>
      <c r="J1634" s="34" t="s">
        <v>49</v>
      </c>
      <c r="K1634" s="57" t="s">
        <v>38</v>
      </c>
      <c r="L1634" s="72">
        <v>10978.0</v>
      </c>
      <c r="M1634" s="22"/>
      <c r="N1634" s="73"/>
      <c r="O1634" s="28">
        <v>45456.0</v>
      </c>
      <c r="P1634" s="35" t="s">
        <v>6553</v>
      </c>
      <c r="Q1634" s="12"/>
      <c r="R1634" s="12"/>
      <c r="S1634" s="12"/>
      <c r="T1634" s="52">
        <v>45456.0</v>
      </c>
      <c r="U1634" s="52">
        <v>45384.0</v>
      </c>
      <c r="V1634" s="52">
        <v>45385.0</v>
      </c>
      <c r="W1634" s="30"/>
      <c r="X1634" s="30"/>
      <c r="Y1634" s="31"/>
      <c r="Z1634" s="31"/>
      <c r="AA1634" s="78" t="s">
        <v>94</v>
      </c>
      <c r="AB1634" s="74" t="s">
        <v>6554</v>
      </c>
      <c r="AC1634" s="74"/>
    </row>
    <row r="1635" ht="18.75" customHeight="1">
      <c r="A1635" s="18" t="s">
        <v>6555</v>
      </c>
      <c r="B1635" s="19" t="s">
        <v>6556</v>
      </c>
      <c r="C1635" s="20">
        <v>0.0</v>
      </c>
      <c r="D1635" s="21"/>
      <c r="E1635" s="27" t="s">
        <v>664</v>
      </c>
      <c r="F1635" s="18" t="s">
        <v>48</v>
      </c>
      <c r="G1635" s="32" t="s">
        <v>35</v>
      </c>
      <c r="H1635" s="23" t="s">
        <v>35</v>
      </c>
      <c r="I1635" s="24" t="s">
        <v>665</v>
      </c>
      <c r="J1635" s="25" t="s">
        <v>49</v>
      </c>
      <c r="K1635" s="26" t="s">
        <v>38</v>
      </c>
      <c r="L1635" s="25">
        <v>10983.0</v>
      </c>
      <c r="M1635" s="27" t="s">
        <v>50</v>
      </c>
      <c r="N1635" s="26" t="s">
        <v>5936</v>
      </c>
      <c r="O1635" s="28">
        <v>45460.60151695602</v>
      </c>
      <c r="P1635" s="26" t="s">
        <v>6557</v>
      </c>
      <c r="Q1635" s="11"/>
      <c r="R1635" s="11"/>
      <c r="S1635" s="11"/>
      <c r="T1635" s="29">
        <v>45456.0</v>
      </c>
      <c r="U1635" s="29">
        <v>45457.0</v>
      </c>
      <c r="V1635" s="29">
        <v>45460.450161817134</v>
      </c>
      <c r="W1635" s="30"/>
      <c r="X1635" s="30"/>
      <c r="Y1635" s="31"/>
      <c r="Z1635" s="31"/>
      <c r="AA1635" s="31"/>
      <c r="AB1635" s="31" t="s">
        <v>6558</v>
      </c>
      <c r="AC1635" s="31"/>
    </row>
    <row r="1636" ht="18.75" customHeight="1">
      <c r="A1636" s="18" t="s">
        <v>6559</v>
      </c>
      <c r="B1636" s="19" t="s">
        <v>6556</v>
      </c>
      <c r="C1636" s="20">
        <v>34.0</v>
      </c>
      <c r="D1636" s="21" t="s">
        <v>6560</v>
      </c>
      <c r="E1636" s="27" t="s">
        <v>47</v>
      </c>
      <c r="F1636" s="18" t="s">
        <v>48</v>
      </c>
      <c r="G1636" s="32" t="s">
        <v>35</v>
      </c>
      <c r="H1636" s="23" t="s">
        <v>35</v>
      </c>
      <c r="I1636" s="24" t="s">
        <v>36</v>
      </c>
      <c r="J1636" s="25" t="s">
        <v>49</v>
      </c>
      <c r="K1636" s="26" t="s">
        <v>38</v>
      </c>
      <c r="L1636" s="25">
        <v>10982.0</v>
      </c>
      <c r="M1636" s="27" t="s">
        <v>50</v>
      </c>
      <c r="N1636" s="26" t="s">
        <v>5936</v>
      </c>
      <c r="O1636" s="28">
        <v>45460.60162008102</v>
      </c>
      <c r="P1636" s="26" t="s">
        <v>6561</v>
      </c>
      <c r="Q1636" s="11"/>
      <c r="R1636" s="11"/>
      <c r="S1636" s="11"/>
      <c r="T1636" s="29">
        <v>45456.0</v>
      </c>
      <c r="U1636" s="29">
        <v>45457.0</v>
      </c>
      <c r="V1636" s="29">
        <v>45460.41410005787</v>
      </c>
      <c r="W1636" s="30"/>
      <c r="X1636" s="30"/>
      <c r="Y1636" s="31"/>
      <c r="Z1636" s="31"/>
      <c r="AA1636" s="31" t="s">
        <v>102</v>
      </c>
      <c r="AB1636" s="31" t="s">
        <v>6562</v>
      </c>
      <c r="AC1636" s="31"/>
    </row>
    <row r="1637" ht="18.75" customHeight="1">
      <c r="A1637" s="18" t="s">
        <v>6563</v>
      </c>
      <c r="B1637" s="19" t="s">
        <v>6564</v>
      </c>
      <c r="C1637" s="20">
        <v>0.0</v>
      </c>
      <c r="D1637" s="21" t="s">
        <v>6565</v>
      </c>
      <c r="E1637" s="27" t="s">
        <v>892</v>
      </c>
      <c r="F1637" s="18" t="s">
        <v>244</v>
      </c>
      <c r="G1637" s="32" t="s">
        <v>35</v>
      </c>
      <c r="H1637" s="23" t="s">
        <v>35</v>
      </c>
      <c r="I1637" s="24" t="s">
        <v>36</v>
      </c>
      <c r="J1637" s="25" t="s">
        <v>49</v>
      </c>
      <c r="K1637" s="26" t="s">
        <v>38</v>
      </c>
      <c r="L1637" s="25">
        <v>11034.0</v>
      </c>
      <c r="M1637" s="27" t="s">
        <v>6149</v>
      </c>
      <c r="N1637" s="26" t="s">
        <v>5936</v>
      </c>
      <c r="O1637" s="28">
        <v>45468.6300694213</v>
      </c>
      <c r="P1637" s="26" t="s">
        <v>6566</v>
      </c>
      <c r="Q1637" s="11"/>
      <c r="R1637" s="11"/>
      <c r="S1637" s="11"/>
      <c r="T1637" s="29">
        <v>45456.0</v>
      </c>
      <c r="U1637" s="29">
        <v>45457.0</v>
      </c>
      <c r="V1637" s="29">
        <v>45461.0</v>
      </c>
      <c r="W1637" s="30"/>
      <c r="X1637" s="30"/>
      <c r="Y1637" s="31"/>
      <c r="Z1637" s="31"/>
      <c r="AA1637" s="31" t="s">
        <v>102</v>
      </c>
      <c r="AB1637" s="31" t="s">
        <v>6567</v>
      </c>
      <c r="AC1637" s="31"/>
    </row>
    <row r="1638" ht="18.75" customHeight="1">
      <c r="A1638" s="18" t="s">
        <v>6568</v>
      </c>
      <c r="B1638" s="19" t="s">
        <v>6564</v>
      </c>
      <c r="C1638" s="20">
        <v>0.0</v>
      </c>
      <c r="D1638" s="21" t="s">
        <v>6569</v>
      </c>
      <c r="E1638" s="27" t="s">
        <v>243</v>
      </c>
      <c r="F1638" s="18" t="s">
        <v>244</v>
      </c>
      <c r="G1638" s="32" t="s">
        <v>35</v>
      </c>
      <c r="H1638" s="23" t="s">
        <v>35</v>
      </c>
      <c r="I1638" s="24" t="s">
        <v>36</v>
      </c>
      <c r="J1638" s="25" t="s">
        <v>49</v>
      </c>
      <c r="K1638" s="26" t="s">
        <v>38</v>
      </c>
      <c r="L1638" s="25">
        <v>11034.0</v>
      </c>
      <c r="M1638" s="27" t="s">
        <v>6149</v>
      </c>
      <c r="N1638" s="26" t="s">
        <v>5936</v>
      </c>
      <c r="O1638" s="28">
        <v>45468.63018603009</v>
      </c>
      <c r="P1638" s="26" t="s">
        <v>6566</v>
      </c>
      <c r="Q1638" s="11"/>
      <c r="R1638" s="11"/>
      <c r="S1638" s="11"/>
      <c r="T1638" s="29">
        <v>45456.0</v>
      </c>
      <c r="U1638" s="29">
        <v>45457.0</v>
      </c>
      <c r="V1638" s="29">
        <v>45464.0</v>
      </c>
      <c r="W1638" s="30"/>
      <c r="X1638" s="30"/>
      <c r="Y1638" s="31"/>
      <c r="Z1638" s="31"/>
      <c r="AA1638" s="31" t="s">
        <v>102</v>
      </c>
      <c r="AB1638" s="31" t="s">
        <v>6570</v>
      </c>
      <c r="AC1638" s="31"/>
    </row>
    <row r="1639" ht="18.75" customHeight="1">
      <c r="A1639" s="18" t="s">
        <v>6571</v>
      </c>
      <c r="B1639" s="19" t="s">
        <v>4108</v>
      </c>
      <c r="C1639" s="20">
        <v>0.0</v>
      </c>
      <c r="D1639" s="21" t="s">
        <v>6572</v>
      </c>
      <c r="E1639" s="27" t="s">
        <v>3441</v>
      </c>
      <c r="F1639" s="18" t="s">
        <v>48</v>
      </c>
      <c r="G1639" s="32" t="s">
        <v>35</v>
      </c>
      <c r="H1639" s="23" t="s">
        <v>35</v>
      </c>
      <c r="I1639" s="24" t="s">
        <v>36</v>
      </c>
      <c r="J1639" s="25" t="s">
        <v>49</v>
      </c>
      <c r="K1639" s="26" t="s">
        <v>38</v>
      </c>
      <c r="L1639" s="25" t="s">
        <v>6573</v>
      </c>
      <c r="M1639" s="27" t="s">
        <v>50</v>
      </c>
      <c r="N1639" s="26" t="s">
        <v>106</v>
      </c>
      <c r="O1639" s="28">
        <v>45467.62005837963</v>
      </c>
      <c r="P1639" s="26" t="s">
        <v>6574</v>
      </c>
      <c r="Q1639" s="11"/>
      <c r="R1639" s="11"/>
      <c r="S1639" s="11"/>
      <c r="T1639" s="29">
        <v>45456.0</v>
      </c>
      <c r="U1639" s="29">
        <v>45462.0</v>
      </c>
      <c r="V1639" s="29">
        <v>45467.57905314815</v>
      </c>
      <c r="W1639" s="30"/>
      <c r="X1639" s="30"/>
      <c r="Y1639" s="31"/>
      <c r="Z1639" s="31"/>
      <c r="AA1639" s="31" t="s">
        <v>127</v>
      </c>
      <c r="AB1639" s="31" t="s">
        <v>6575</v>
      </c>
      <c r="AC1639" s="31"/>
    </row>
    <row r="1640" ht="18.75" customHeight="1">
      <c r="A1640" s="48" t="s">
        <v>6576</v>
      </c>
      <c r="B1640" s="53" t="s">
        <v>5336</v>
      </c>
      <c r="C1640" s="54">
        <v>137.0</v>
      </c>
      <c r="D1640" s="21" t="s">
        <v>6577</v>
      </c>
      <c r="E1640" s="55" t="s">
        <v>85</v>
      </c>
      <c r="F1640" s="32" t="s">
        <v>48</v>
      </c>
      <c r="G1640" s="32" t="s">
        <v>35</v>
      </c>
      <c r="H1640" s="23" t="s">
        <v>35</v>
      </c>
      <c r="I1640" s="56" t="s">
        <v>36</v>
      </c>
      <c r="J1640" s="34" t="s">
        <v>49</v>
      </c>
      <c r="K1640" s="57" t="s">
        <v>38</v>
      </c>
      <c r="L1640" s="58" t="s">
        <v>6578</v>
      </c>
      <c r="M1640" s="22"/>
      <c r="N1640" s="26" t="s">
        <v>86</v>
      </c>
      <c r="O1640" s="28">
        <v>45467.0</v>
      </c>
      <c r="P1640" s="26" t="s">
        <v>6579</v>
      </c>
      <c r="Q1640" s="12"/>
      <c r="R1640" s="12"/>
      <c r="S1640" s="60"/>
      <c r="T1640" s="29">
        <v>45440.0</v>
      </c>
      <c r="U1640" s="29">
        <v>45457.0</v>
      </c>
      <c r="V1640" s="29">
        <f>O1640</f>
        <v>45467</v>
      </c>
      <c r="W1640" s="30"/>
      <c r="X1640" s="30"/>
      <c r="Y1640" s="31"/>
      <c r="Z1640" s="31"/>
      <c r="AA1640" s="31" t="s">
        <v>94</v>
      </c>
      <c r="AB1640" s="31" t="s">
        <v>6580</v>
      </c>
      <c r="AC1640" s="31"/>
    </row>
    <row r="1641" ht="18.75" customHeight="1">
      <c r="A1641" s="18" t="s">
        <v>6581</v>
      </c>
      <c r="B1641" s="19" t="s">
        <v>6582</v>
      </c>
      <c r="C1641" s="20">
        <v>90.0</v>
      </c>
      <c r="D1641" s="21" t="s">
        <v>6583</v>
      </c>
      <c r="E1641" s="27" t="s">
        <v>91</v>
      </c>
      <c r="F1641" s="18" t="s">
        <v>48</v>
      </c>
      <c r="G1641" s="32" t="s">
        <v>35</v>
      </c>
      <c r="H1641" s="23" t="s">
        <v>35</v>
      </c>
      <c r="I1641" s="24" t="s">
        <v>36</v>
      </c>
      <c r="J1641" s="34" t="s">
        <v>65</v>
      </c>
      <c r="K1641" s="26" t="s">
        <v>38</v>
      </c>
      <c r="L1641" s="25">
        <v>10980.0</v>
      </c>
      <c r="M1641" s="27" t="s">
        <v>50</v>
      </c>
      <c r="N1641" s="26" t="s">
        <v>5883</v>
      </c>
      <c r="O1641" s="28">
        <v>45461.485494594905</v>
      </c>
      <c r="P1641" s="26" t="s">
        <v>6584</v>
      </c>
      <c r="Q1641" s="11"/>
      <c r="R1641" s="11"/>
      <c r="S1641" s="11"/>
      <c r="T1641" s="29">
        <v>45457.0</v>
      </c>
      <c r="U1641" s="29">
        <v>45457.0</v>
      </c>
      <c r="V1641" s="29">
        <v>45460.431454398145</v>
      </c>
      <c r="W1641" s="30"/>
      <c r="X1641" s="30"/>
      <c r="Y1641" s="31"/>
      <c r="Z1641" s="31"/>
      <c r="AA1641" s="31" t="s">
        <v>94</v>
      </c>
      <c r="AB1641" s="31" t="s">
        <v>6585</v>
      </c>
      <c r="AC1641" s="31"/>
    </row>
    <row r="1642" ht="18.75" customHeight="1">
      <c r="A1642" s="18" t="s">
        <v>6586</v>
      </c>
      <c r="B1642" s="19" t="s">
        <v>6582</v>
      </c>
      <c r="C1642" s="20">
        <v>90.0</v>
      </c>
      <c r="D1642" s="21" t="s">
        <v>6587</v>
      </c>
      <c r="E1642" s="27" t="s">
        <v>91</v>
      </c>
      <c r="F1642" s="18" t="s">
        <v>48</v>
      </c>
      <c r="G1642" s="32" t="s">
        <v>35</v>
      </c>
      <c r="H1642" s="23" t="s">
        <v>35</v>
      </c>
      <c r="I1642" s="24" t="s">
        <v>36</v>
      </c>
      <c r="J1642" s="34" t="s">
        <v>65</v>
      </c>
      <c r="K1642" s="26" t="s">
        <v>38</v>
      </c>
      <c r="L1642" s="25">
        <v>10980.0</v>
      </c>
      <c r="M1642" s="27" t="s">
        <v>50</v>
      </c>
      <c r="N1642" s="26" t="s">
        <v>5883</v>
      </c>
      <c r="O1642" s="28">
        <v>45461.485583946764</v>
      </c>
      <c r="P1642" s="26" t="s">
        <v>6584</v>
      </c>
      <c r="Q1642" s="11"/>
      <c r="R1642" s="11"/>
      <c r="S1642" s="11"/>
      <c r="T1642" s="29">
        <v>45457.0</v>
      </c>
      <c r="U1642" s="29">
        <v>45457.0</v>
      </c>
      <c r="V1642" s="29">
        <v>45460.431572546295</v>
      </c>
      <c r="W1642" s="30"/>
      <c r="X1642" s="30"/>
      <c r="Y1642" s="31"/>
      <c r="Z1642" s="31"/>
      <c r="AA1642" s="31" t="s">
        <v>94</v>
      </c>
      <c r="AB1642" s="31" t="s">
        <v>6588</v>
      </c>
      <c r="AC1642" s="31"/>
    </row>
    <row r="1643" ht="18.75" customHeight="1">
      <c r="A1643" s="18" t="s">
        <v>6589</v>
      </c>
      <c r="B1643" s="19" t="s">
        <v>6582</v>
      </c>
      <c r="C1643" s="20">
        <v>90.0</v>
      </c>
      <c r="D1643" s="21" t="s">
        <v>6590</v>
      </c>
      <c r="E1643" s="27" t="s">
        <v>91</v>
      </c>
      <c r="F1643" s="18" t="s">
        <v>48</v>
      </c>
      <c r="G1643" s="32" t="s">
        <v>35</v>
      </c>
      <c r="H1643" s="23" t="s">
        <v>35</v>
      </c>
      <c r="I1643" s="24" t="s">
        <v>36</v>
      </c>
      <c r="J1643" s="34" t="s">
        <v>65</v>
      </c>
      <c r="K1643" s="26" t="s">
        <v>38</v>
      </c>
      <c r="L1643" s="25">
        <v>10980.0</v>
      </c>
      <c r="M1643" s="27" t="s">
        <v>50</v>
      </c>
      <c r="N1643" s="26" t="s">
        <v>5883</v>
      </c>
      <c r="O1643" s="28">
        <v>45461.485660590275</v>
      </c>
      <c r="P1643" s="26" t="s">
        <v>6584</v>
      </c>
      <c r="Q1643" s="11"/>
      <c r="R1643" s="11"/>
      <c r="S1643" s="11"/>
      <c r="T1643" s="29">
        <v>45457.0</v>
      </c>
      <c r="U1643" s="29">
        <v>45457.0</v>
      </c>
      <c r="V1643" s="29">
        <v>45460.43169863426</v>
      </c>
      <c r="W1643" s="30"/>
      <c r="X1643" s="30"/>
      <c r="Y1643" s="31"/>
      <c r="Z1643" s="31"/>
      <c r="AA1643" s="31" t="s">
        <v>94</v>
      </c>
      <c r="AB1643" s="31" t="s">
        <v>6591</v>
      </c>
      <c r="AC1643" s="31"/>
    </row>
    <row r="1644" ht="18.75" customHeight="1">
      <c r="A1644" s="18" t="s">
        <v>6592</v>
      </c>
      <c r="B1644" s="19" t="s">
        <v>6582</v>
      </c>
      <c r="C1644" s="20">
        <v>90.0</v>
      </c>
      <c r="D1644" s="21" t="s">
        <v>6593</v>
      </c>
      <c r="E1644" s="27" t="s">
        <v>91</v>
      </c>
      <c r="F1644" s="18" t="s">
        <v>48</v>
      </c>
      <c r="G1644" s="32" t="s">
        <v>35</v>
      </c>
      <c r="H1644" s="23" t="s">
        <v>35</v>
      </c>
      <c r="I1644" s="24" t="s">
        <v>36</v>
      </c>
      <c r="J1644" s="34" t="s">
        <v>65</v>
      </c>
      <c r="K1644" s="26" t="s">
        <v>38</v>
      </c>
      <c r="L1644" s="25">
        <v>10980.0</v>
      </c>
      <c r="M1644" s="27" t="s">
        <v>50</v>
      </c>
      <c r="N1644" s="26" t="s">
        <v>5883</v>
      </c>
      <c r="O1644" s="28">
        <v>45461.48573606482</v>
      </c>
      <c r="P1644" s="26" t="s">
        <v>6584</v>
      </c>
      <c r="Q1644" s="11"/>
      <c r="R1644" s="11"/>
      <c r="S1644" s="11"/>
      <c r="T1644" s="29">
        <v>45457.0</v>
      </c>
      <c r="U1644" s="29">
        <v>45457.0</v>
      </c>
      <c r="V1644" s="29">
        <v>45460.43187158565</v>
      </c>
      <c r="W1644" s="30"/>
      <c r="X1644" s="30"/>
      <c r="Y1644" s="31"/>
      <c r="Z1644" s="31"/>
      <c r="AA1644" s="31" t="s">
        <v>94</v>
      </c>
      <c r="AB1644" s="31" t="s">
        <v>6594</v>
      </c>
      <c r="AC1644" s="31"/>
    </row>
    <row r="1645" ht="18.75" customHeight="1">
      <c r="A1645" s="18" t="s">
        <v>6595</v>
      </c>
      <c r="B1645" s="19" t="s">
        <v>6582</v>
      </c>
      <c r="C1645" s="20">
        <v>1.0</v>
      </c>
      <c r="D1645" s="21" t="s">
        <v>6596</v>
      </c>
      <c r="E1645" s="27" t="s">
        <v>3395</v>
      </c>
      <c r="F1645" s="18" t="s">
        <v>48</v>
      </c>
      <c r="G1645" s="32" t="s">
        <v>35</v>
      </c>
      <c r="H1645" s="23" t="s">
        <v>35</v>
      </c>
      <c r="I1645" s="24" t="s">
        <v>36</v>
      </c>
      <c r="J1645" s="34" t="s">
        <v>65</v>
      </c>
      <c r="K1645" s="26" t="s">
        <v>38</v>
      </c>
      <c r="L1645" s="25">
        <v>10981.0</v>
      </c>
      <c r="M1645" s="27" t="s">
        <v>50</v>
      </c>
      <c r="N1645" s="26" t="s">
        <v>5883</v>
      </c>
      <c r="O1645" s="28">
        <v>45461.48582277777</v>
      </c>
      <c r="P1645" s="26" t="s">
        <v>6597</v>
      </c>
      <c r="Q1645" s="11"/>
      <c r="R1645" s="11"/>
      <c r="S1645" s="11"/>
      <c r="T1645" s="29">
        <v>45457.0</v>
      </c>
      <c r="U1645" s="29">
        <v>45457.0</v>
      </c>
      <c r="V1645" s="29">
        <v>45460.412547569445</v>
      </c>
      <c r="W1645" s="30"/>
      <c r="X1645" s="30"/>
      <c r="Y1645" s="31"/>
      <c r="Z1645" s="31"/>
      <c r="AA1645" s="31" t="s">
        <v>94</v>
      </c>
      <c r="AB1645" s="31" t="s">
        <v>6598</v>
      </c>
      <c r="AC1645" s="31"/>
    </row>
    <row r="1646" ht="18.75" customHeight="1">
      <c r="A1646" s="48" t="s">
        <v>6599</v>
      </c>
      <c r="B1646" s="53" t="s">
        <v>6600</v>
      </c>
      <c r="C1646" s="47">
        <v>137.0</v>
      </c>
      <c r="D1646" s="70" t="s">
        <v>6601</v>
      </c>
      <c r="E1646" s="55" t="s">
        <v>85</v>
      </c>
      <c r="F1646" s="32" t="s">
        <v>48</v>
      </c>
      <c r="G1646" s="32" t="s">
        <v>35</v>
      </c>
      <c r="H1646" s="71" t="s">
        <v>35</v>
      </c>
      <c r="I1646" s="71" t="s">
        <v>36</v>
      </c>
      <c r="J1646" s="34" t="s">
        <v>49</v>
      </c>
      <c r="K1646" s="57" t="s">
        <v>38</v>
      </c>
      <c r="L1646" s="72">
        <v>10984.0</v>
      </c>
      <c r="M1646" s="22"/>
      <c r="N1646" s="73"/>
      <c r="O1646" s="28">
        <v>45470.0</v>
      </c>
      <c r="P1646" s="35" t="s">
        <v>6602</v>
      </c>
      <c r="Q1646" s="12"/>
      <c r="R1646" s="12"/>
      <c r="S1646" s="12"/>
      <c r="T1646" s="52">
        <v>45459.0</v>
      </c>
      <c r="U1646" s="52">
        <v>45460.0</v>
      </c>
      <c r="V1646" s="52">
        <v>45470.0</v>
      </c>
      <c r="W1646" s="30"/>
      <c r="X1646" s="30"/>
      <c r="Y1646" s="31"/>
      <c r="Z1646" s="31"/>
      <c r="AA1646" s="78" t="s">
        <v>94</v>
      </c>
      <c r="AB1646" s="74" t="s">
        <v>6603</v>
      </c>
      <c r="AC1646" s="74"/>
    </row>
    <row r="1647" ht="18.75" customHeight="1">
      <c r="A1647" s="48" t="s">
        <v>6604</v>
      </c>
      <c r="B1647" s="53" t="s">
        <v>6600</v>
      </c>
      <c r="C1647" s="47">
        <v>137.0</v>
      </c>
      <c r="D1647" s="70" t="s">
        <v>6605</v>
      </c>
      <c r="E1647" s="55" t="s">
        <v>85</v>
      </c>
      <c r="F1647" s="32" t="s">
        <v>48</v>
      </c>
      <c r="G1647" s="32" t="s">
        <v>35</v>
      </c>
      <c r="H1647" s="71" t="s">
        <v>35</v>
      </c>
      <c r="I1647" s="71" t="s">
        <v>36</v>
      </c>
      <c r="J1647" s="34" t="s">
        <v>49</v>
      </c>
      <c r="K1647" s="57" t="s">
        <v>38</v>
      </c>
      <c r="L1647" s="72">
        <v>10984.0</v>
      </c>
      <c r="M1647" s="22"/>
      <c r="N1647" s="73"/>
      <c r="O1647" s="28">
        <v>45470.0</v>
      </c>
      <c r="P1647" s="35" t="s">
        <v>6606</v>
      </c>
      <c r="Q1647" s="12"/>
      <c r="R1647" s="12"/>
      <c r="S1647" s="12"/>
      <c r="T1647" s="52">
        <v>45459.0</v>
      </c>
      <c r="U1647" s="52">
        <v>45460.0</v>
      </c>
      <c r="V1647" s="52">
        <v>45470.0</v>
      </c>
      <c r="W1647" s="30"/>
      <c r="X1647" s="30"/>
      <c r="Y1647" s="31"/>
      <c r="Z1647" s="31"/>
      <c r="AA1647" s="78" t="s">
        <v>94</v>
      </c>
      <c r="AB1647" s="74" t="s">
        <v>6607</v>
      </c>
      <c r="AC1647" s="74"/>
    </row>
    <row r="1648" ht="18.75" customHeight="1">
      <c r="A1648" s="48" t="s">
        <v>6608</v>
      </c>
      <c r="B1648" s="53" t="s">
        <v>6600</v>
      </c>
      <c r="C1648" s="54">
        <v>90.0</v>
      </c>
      <c r="D1648" s="70" t="s">
        <v>6609</v>
      </c>
      <c r="E1648" s="55" t="s">
        <v>91</v>
      </c>
      <c r="F1648" s="32" t="s">
        <v>48</v>
      </c>
      <c r="G1648" s="32" t="s">
        <v>35</v>
      </c>
      <c r="H1648" s="23" t="s">
        <v>35</v>
      </c>
      <c r="I1648" s="56" t="s">
        <v>36</v>
      </c>
      <c r="J1648" s="34" t="s">
        <v>49</v>
      </c>
      <c r="K1648" s="57" t="s">
        <v>38</v>
      </c>
      <c r="L1648" s="58" t="s">
        <v>6610</v>
      </c>
      <c r="M1648" s="22"/>
      <c r="N1648" s="26" t="s">
        <v>86</v>
      </c>
      <c r="O1648" s="28">
        <v>45470.0</v>
      </c>
      <c r="P1648" s="26" t="s">
        <v>6611</v>
      </c>
      <c r="Q1648" s="12"/>
      <c r="R1648" s="12"/>
      <c r="S1648" s="60"/>
      <c r="T1648" s="29">
        <v>45440.0</v>
      </c>
      <c r="U1648" s="29">
        <v>45460.0</v>
      </c>
      <c r="V1648" s="29">
        <f>O1648</f>
        <v>45470</v>
      </c>
      <c r="W1648" s="30"/>
      <c r="X1648" s="30"/>
      <c r="Y1648" s="31"/>
      <c r="Z1648" s="31"/>
      <c r="AA1648" s="31" t="s">
        <v>94</v>
      </c>
      <c r="AB1648" s="31" t="s">
        <v>6612</v>
      </c>
      <c r="AC1648" s="31"/>
    </row>
    <row r="1649" ht="18.75" customHeight="1">
      <c r="A1649" s="18" t="s">
        <v>6613</v>
      </c>
      <c r="B1649" s="19" t="s">
        <v>96</v>
      </c>
      <c r="C1649" s="20">
        <v>0.0</v>
      </c>
      <c r="D1649" s="135" t="s">
        <v>6614</v>
      </c>
      <c r="E1649" s="27" t="s">
        <v>117</v>
      </c>
      <c r="F1649" s="18" t="s">
        <v>33</v>
      </c>
      <c r="G1649" s="18" t="s">
        <v>34</v>
      </c>
      <c r="H1649" s="23" t="s">
        <v>35</v>
      </c>
      <c r="I1649" s="37" t="s">
        <v>36</v>
      </c>
      <c r="J1649" s="25" t="s">
        <v>49</v>
      </c>
      <c r="K1649" s="26" t="s">
        <v>38</v>
      </c>
      <c r="L1649" s="25">
        <v>12510.0</v>
      </c>
      <c r="M1649" s="27" t="s">
        <v>50</v>
      </c>
      <c r="N1649" s="26" t="s">
        <v>143</v>
      </c>
      <c r="O1649" s="28">
        <v>45685.6371228125</v>
      </c>
      <c r="P1649" s="26" t="s">
        <v>6615</v>
      </c>
      <c r="Q1649" s="11" t="s">
        <v>75</v>
      </c>
      <c r="R1649" s="11" t="s">
        <v>75</v>
      </c>
      <c r="S1649" s="11"/>
      <c r="T1649" s="29">
        <v>45674.66142923611</v>
      </c>
      <c r="U1649" s="29">
        <v>45674.661912615746</v>
      </c>
      <c r="V1649" s="29"/>
      <c r="W1649" s="30"/>
      <c r="X1649" s="30"/>
      <c r="Y1649" s="31"/>
      <c r="Z1649" s="31"/>
      <c r="AA1649" s="31"/>
      <c r="AB1649" s="31" t="s">
        <v>6616</v>
      </c>
      <c r="AC1649" s="31"/>
    </row>
    <row r="1650" ht="18.75" customHeight="1">
      <c r="A1650" s="18" t="s">
        <v>6617</v>
      </c>
      <c r="B1650" s="19" t="s">
        <v>96</v>
      </c>
      <c r="C1650" s="20">
        <v>0.0</v>
      </c>
      <c r="D1650" s="135" t="s">
        <v>1243</v>
      </c>
      <c r="E1650" s="27" t="s">
        <v>117</v>
      </c>
      <c r="F1650" s="18" t="s">
        <v>33</v>
      </c>
      <c r="G1650" s="18" t="s">
        <v>34</v>
      </c>
      <c r="H1650" s="23" t="s">
        <v>35</v>
      </c>
      <c r="I1650" s="37" t="s">
        <v>36</v>
      </c>
      <c r="J1650" s="25" t="s">
        <v>49</v>
      </c>
      <c r="K1650" s="26" t="s">
        <v>38</v>
      </c>
      <c r="L1650" s="25">
        <v>12510.0</v>
      </c>
      <c r="M1650" s="27" t="s">
        <v>50</v>
      </c>
      <c r="N1650" s="26" t="s">
        <v>143</v>
      </c>
      <c r="O1650" s="28">
        <v>45685.63719059028</v>
      </c>
      <c r="P1650" s="26" t="s">
        <v>6615</v>
      </c>
      <c r="Q1650" s="11" t="s">
        <v>75</v>
      </c>
      <c r="R1650" s="11" t="s">
        <v>75</v>
      </c>
      <c r="S1650" s="11"/>
      <c r="T1650" s="29">
        <v>45674.66146159722</v>
      </c>
      <c r="U1650" s="29">
        <v>45674.66192412037</v>
      </c>
      <c r="V1650" s="29"/>
      <c r="W1650" s="30"/>
      <c r="X1650" s="30"/>
      <c r="Y1650" s="31"/>
      <c r="Z1650" s="31"/>
      <c r="AA1650" s="31"/>
      <c r="AB1650" s="31" t="s">
        <v>6618</v>
      </c>
      <c r="AC1650" s="31"/>
    </row>
    <row r="1651" ht="18.75" customHeight="1">
      <c r="A1651" s="18" t="s">
        <v>6619</v>
      </c>
      <c r="B1651" s="19" t="s">
        <v>96</v>
      </c>
      <c r="C1651" s="20">
        <v>0.0</v>
      </c>
      <c r="D1651" s="135" t="s">
        <v>6620</v>
      </c>
      <c r="E1651" s="27" t="s">
        <v>79</v>
      </c>
      <c r="F1651" s="18" t="s">
        <v>33</v>
      </c>
      <c r="G1651" s="18" t="s">
        <v>34</v>
      </c>
      <c r="H1651" s="23" t="s">
        <v>35</v>
      </c>
      <c r="I1651" s="37" t="s">
        <v>36</v>
      </c>
      <c r="J1651" s="25" t="s">
        <v>49</v>
      </c>
      <c r="K1651" s="26" t="s">
        <v>38</v>
      </c>
      <c r="L1651" s="25">
        <v>12509.0</v>
      </c>
      <c r="M1651" s="27" t="s">
        <v>50</v>
      </c>
      <c r="N1651" s="26" t="s">
        <v>143</v>
      </c>
      <c r="O1651" s="28">
        <v>45685.63727628472</v>
      </c>
      <c r="P1651" s="26" t="s">
        <v>6621</v>
      </c>
      <c r="Q1651" s="11" t="s">
        <v>75</v>
      </c>
      <c r="R1651" s="11" t="s">
        <v>75</v>
      </c>
      <c r="S1651" s="11"/>
      <c r="T1651" s="29">
        <v>45674.654991840274</v>
      </c>
      <c r="U1651" s="29">
        <v>45674.66006083333</v>
      </c>
      <c r="V1651" s="29"/>
      <c r="W1651" s="30"/>
      <c r="X1651" s="30"/>
      <c r="Y1651" s="31"/>
      <c r="Z1651" s="31"/>
      <c r="AA1651" s="31"/>
      <c r="AB1651" s="31" t="s">
        <v>6622</v>
      </c>
      <c r="AC1651" s="31"/>
    </row>
    <row r="1652" ht="18.75" customHeight="1">
      <c r="A1652" s="18" t="s">
        <v>6623</v>
      </c>
      <c r="B1652" s="19" t="s">
        <v>96</v>
      </c>
      <c r="C1652" s="20">
        <v>0.0</v>
      </c>
      <c r="D1652" s="135" t="s">
        <v>1238</v>
      </c>
      <c r="E1652" s="27" t="s">
        <v>79</v>
      </c>
      <c r="F1652" s="18" t="s">
        <v>33</v>
      </c>
      <c r="G1652" s="18" t="s">
        <v>34</v>
      </c>
      <c r="H1652" s="23" t="s">
        <v>35</v>
      </c>
      <c r="I1652" s="37" t="s">
        <v>36</v>
      </c>
      <c r="J1652" s="25" t="s">
        <v>49</v>
      </c>
      <c r="K1652" s="26" t="s">
        <v>38</v>
      </c>
      <c r="L1652" s="25">
        <v>12509.0</v>
      </c>
      <c r="M1652" s="27" t="s">
        <v>50</v>
      </c>
      <c r="N1652" s="26" t="s">
        <v>143</v>
      </c>
      <c r="O1652" s="28">
        <v>45685.637370833334</v>
      </c>
      <c r="P1652" s="26" t="s">
        <v>6621</v>
      </c>
      <c r="Q1652" s="11" t="s">
        <v>75</v>
      </c>
      <c r="R1652" s="11" t="s">
        <v>75</v>
      </c>
      <c r="S1652" s="11"/>
      <c r="T1652" s="29">
        <v>45674.65507497685</v>
      </c>
      <c r="U1652" s="29">
        <v>45674.66013481481</v>
      </c>
      <c r="V1652" s="29"/>
      <c r="W1652" s="30"/>
      <c r="X1652" s="30"/>
      <c r="Y1652" s="31"/>
      <c r="Z1652" s="31"/>
      <c r="AA1652" s="31"/>
      <c r="AB1652" s="31" t="s">
        <v>6624</v>
      </c>
      <c r="AC1652" s="31"/>
    </row>
    <row r="1653" ht="18.75" customHeight="1">
      <c r="A1653" s="18" t="s">
        <v>6625</v>
      </c>
      <c r="B1653" s="19" t="s">
        <v>96</v>
      </c>
      <c r="C1653" s="20">
        <v>0.0</v>
      </c>
      <c r="D1653" s="21" t="s">
        <v>6626</v>
      </c>
      <c r="E1653" s="27" t="s">
        <v>79</v>
      </c>
      <c r="F1653" s="18" t="s">
        <v>33</v>
      </c>
      <c r="G1653" s="18" t="s">
        <v>34</v>
      </c>
      <c r="H1653" s="23" t="s">
        <v>35</v>
      </c>
      <c r="I1653" s="37" t="s">
        <v>36</v>
      </c>
      <c r="J1653" s="25" t="s">
        <v>49</v>
      </c>
      <c r="K1653" s="26" t="s">
        <v>38</v>
      </c>
      <c r="L1653" s="25">
        <v>12509.0</v>
      </c>
      <c r="M1653" s="27" t="s">
        <v>50</v>
      </c>
      <c r="N1653" s="26" t="s">
        <v>143</v>
      </c>
      <c r="O1653" s="28">
        <v>45685.637437337966</v>
      </c>
      <c r="P1653" s="26" t="s">
        <v>6621</v>
      </c>
      <c r="Q1653" s="11" t="s">
        <v>75</v>
      </c>
      <c r="R1653" s="11" t="s">
        <v>75</v>
      </c>
      <c r="S1653" s="11" t="s">
        <v>101</v>
      </c>
      <c r="T1653" s="29">
        <v>45674.65515068287</v>
      </c>
      <c r="U1653" s="29">
        <v>45674.660141875</v>
      </c>
      <c r="V1653" s="29">
        <v>45680.64857954861</v>
      </c>
      <c r="W1653" s="30"/>
      <c r="X1653" s="30"/>
      <c r="Y1653" s="31"/>
      <c r="Z1653" s="31"/>
      <c r="AA1653" s="31"/>
      <c r="AB1653" s="31" t="s">
        <v>6627</v>
      </c>
      <c r="AC1653" s="31"/>
    </row>
    <row r="1654" ht="18.75" customHeight="1">
      <c r="A1654" s="18" t="s">
        <v>6628</v>
      </c>
      <c r="B1654" s="19" t="s">
        <v>96</v>
      </c>
      <c r="C1654" s="20">
        <v>0.0</v>
      </c>
      <c r="D1654" s="21" t="s">
        <v>1065</v>
      </c>
      <c r="E1654" s="27" t="s">
        <v>79</v>
      </c>
      <c r="F1654" s="18" t="s">
        <v>33</v>
      </c>
      <c r="G1654" s="18" t="s">
        <v>34</v>
      </c>
      <c r="H1654" s="23" t="s">
        <v>35</v>
      </c>
      <c r="I1654" s="37" t="s">
        <v>36</v>
      </c>
      <c r="J1654" s="25" t="s">
        <v>49</v>
      </c>
      <c r="K1654" s="26" t="s">
        <v>38</v>
      </c>
      <c r="L1654" s="25">
        <v>12509.0</v>
      </c>
      <c r="M1654" s="27" t="s">
        <v>50</v>
      </c>
      <c r="N1654" s="26" t="s">
        <v>143</v>
      </c>
      <c r="O1654" s="28">
        <v>45685.63751236111</v>
      </c>
      <c r="P1654" s="26" t="s">
        <v>6621</v>
      </c>
      <c r="Q1654" s="11" t="s">
        <v>75</v>
      </c>
      <c r="R1654" s="11" t="s">
        <v>75</v>
      </c>
      <c r="S1654" s="11" t="s">
        <v>101</v>
      </c>
      <c r="T1654" s="29">
        <v>45674.65528076389</v>
      </c>
      <c r="U1654" s="29">
        <v>45674.660148344905</v>
      </c>
      <c r="V1654" s="29">
        <v>45680.64858350695</v>
      </c>
      <c r="W1654" s="30"/>
      <c r="X1654" s="30"/>
      <c r="Y1654" s="31"/>
      <c r="Z1654" s="31"/>
      <c r="AA1654" s="31"/>
      <c r="AB1654" s="31" t="s">
        <v>6629</v>
      </c>
      <c r="AC1654" s="31"/>
    </row>
    <row r="1655" ht="18.75" customHeight="1">
      <c r="A1655" s="18" t="s">
        <v>6630</v>
      </c>
      <c r="B1655" s="19" t="s">
        <v>96</v>
      </c>
      <c r="C1655" s="20">
        <v>0.0</v>
      </c>
      <c r="D1655" s="21" t="s">
        <v>6631</v>
      </c>
      <c r="E1655" s="27" t="s">
        <v>79</v>
      </c>
      <c r="F1655" s="18" t="s">
        <v>33</v>
      </c>
      <c r="G1655" s="18" t="s">
        <v>34</v>
      </c>
      <c r="H1655" s="23" t="s">
        <v>35</v>
      </c>
      <c r="I1655" s="37" t="s">
        <v>36</v>
      </c>
      <c r="J1655" s="25" t="s">
        <v>49</v>
      </c>
      <c r="K1655" s="26" t="s">
        <v>38</v>
      </c>
      <c r="L1655" s="25">
        <v>12509.0</v>
      </c>
      <c r="M1655" s="27" t="s">
        <v>50</v>
      </c>
      <c r="N1655" s="26" t="s">
        <v>143</v>
      </c>
      <c r="O1655" s="28">
        <v>45685.63759728009</v>
      </c>
      <c r="P1655" s="26" t="s">
        <v>6621</v>
      </c>
      <c r="Q1655" s="11" t="s">
        <v>75</v>
      </c>
      <c r="R1655" s="11" t="s">
        <v>75</v>
      </c>
      <c r="S1655" s="11" t="s">
        <v>101</v>
      </c>
      <c r="T1655" s="29">
        <v>45674.65534971065</v>
      </c>
      <c r="U1655" s="29">
        <v>45674.660155300924</v>
      </c>
      <c r="V1655" s="29">
        <v>45680.64858868056</v>
      </c>
      <c r="W1655" s="30"/>
      <c r="X1655" s="30"/>
      <c r="Y1655" s="31"/>
      <c r="Z1655" s="31"/>
      <c r="AA1655" s="31"/>
      <c r="AB1655" s="31" t="s">
        <v>6632</v>
      </c>
      <c r="AC1655" s="31"/>
    </row>
    <row r="1656" ht="18.75" customHeight="1">
      <c r="A1656" s="18" t="s">
        <v>6633</v>
      </c>
      <c r="B1656" s="19" t="s">
        <v>96</v>
      </c>
      <c r="C1656" s="20">
        <v>0.0</v>
      </c>
      <c r="D1656" s="21" t="s">
        <v>6634</v>
      </c>
      <c r="E1656" s="27" t="s">
        <v>165</v>
      </c>
      <c r="F1656" s="18" t="s">
        <v>33</v>
      </c>
      <c r="G1656" s="18" t="s">
        <v>34</v>
      </c>
      <c r="H1656" s="23" t="s">
        <v>35</v>
      </c>
      <c r="I1656" s="37" t="s">
        <v>36</v>
      </c>
      <c r="J1656" s="25" t="s">
        <v>49</v>
      </c>
      <c r="K1656" s="26" t="s">
        <v>38</v>
      </c>
      <c r="L1656" s="25">
        <v>12501.0</v>
      </c>
      <c r="M1656" s="27" t="s">
        <v>50</v>
      </c>
      <c r="N1656" s="26" t="s">
        <v>143</v>
      </c>
      <c r="O1656" s="28">
        <v>45686.58833210648</v>
      </c>
      <c r="P1656" s="26" t="s">
        <v>6635</v>
      </c>
      <c r="Q1656" s="11" t="s">
        <v>75</v>
      </c>
      <c r="R1656" s="11" t="s">
        <v>75</v>
      </c>
      <c r="S1656" s="11" t="s">
        <v>101</v>
      </c>
      <c r="T1656" s="29">
        <v>45674.65347784723</v>
      </c>
      <c r="U1656" s="29">
        <v>45674.65370232639</v>
      </c>
      <c r="V1656" s="29">
        <v>45680.64859344908</v>
      </c>
      <c r="W1656" s="30"/>
      <c r="X1656" s="30"/>
      <c r="Y1656" s="31"/>
      <c r="Z1656" s="31"/>
      <c r="AA1656" s="31" t="s">
        <v>102</v>
      </c>
      <c r="AB1656" s="31" t="s">
        <v>6636</v>
      </c>
      <c r="AC1656" s="31"/>
    </row>
    <row r="1657" ht="18.75" customHeight="1">
      <c r="A1657" s="18" t="s">
        <v>6637</v>
      </c>
      <c r="B1657" s="19" t="s">
        <v>96</v>
      </c>
      <c r="C1657" s="20">
        <v>0.0</v>
      </c>
      <c r="D1657" s="21" t="s">
        <v>6638</v>
      </c>
      <c r="E1657" s="27" t="s">
        <v>165</v>
      </c>
      <c r="F1657" s="18" t="s">
        <v>33</v>
      </c>
      <c r="G1657" s="18" t="s">
        <v>34</v>
      </c>
      <c r="H1657" s="23" t="s">
        <v>35</v>
      </c>
      <c r="I1657" s="37" t="s">
        <v>36</v>
      </c>
      <c r="J1657" s="25" t="s">
        <v>49</v>
      </c>
      <c r="K1657" s="26" t="s">
        <v>38</v>
      </c>
      <c r="L1657" s="25">
        <v>12501.0</v>
      </c>
      <c r="M1657" s="27" t="s">
        <v>50</v>
      </c>
      <c r="N1657" s="26" t="s">
        <v>143</v>
      </c>
      <c r="O1657" s="28">
        <v>45686.588397604166</v>
      </c>
      <c r="P1657" s="26" t="s">
        <v>6635</v>
      </c>
      <c r="Q1657" s="11" t="s">
        <v>75</v>
      </c>
      <c r="R1657" s="11" t="s">
        <v>75</v>
      </c>
      <c r="S1657" s="11" t="s">
        <v>101</v>
      </c>
      <c r="T1657" s="29">
        <v>45674.65352440972</v>
      </c>
      <c r="U1657" s="29">
        <v>45674.65371423611</v>
      </c>
      <c r="V1657" s="29">
        <v>45680.648606076385</v>
      </c>
      <c r="W1657" s="30"/>
      <c r="X1657" s="30"/>
      <c r="Y1657" s="31"/>
      <c r="Z1657" s="31"/>
      <c r="AA1657" s="31" t="s">
        <v>102</v>
      </c>
      <c r="AB1657" s="31" t="s">
        <v>6639</v>
      </c>
      <c r="AC1657" s="31"/>
    </row>
    <row r="1658" ht="18.75" customHeight="1">
      <c r="A1658" s="18" t="s">
        <v>6640</v>
      </c>
      <c r="B1658" s="19" t="s">
        <v>96</v>
      </c>
      <c r="C1658" s="20">
        <v>0.0</v>
      </c>
      <c r="D1658" s="21" t="s">
        <v>380</v>
      </c>
      <c r="E1658" s="27" t="s">
        <v>408</v>
      </c>
      <c r="F1658" s="18" t="s">
        <v>33</v>
      </c>
      <c r="G1658" s="18" t="s">
        <v>34</v>
      </c>
      <c r="H1658" s="23" t="s">
        <v>35</v>
      </c>
      <c r="I1658" s="37" t="s">
        <v>36</v>
      </c>
      <c r="J1658" s="25" t="s">
        <v>49</v>
      </c>
      <c r="K1658" s="26" t="s">
        <v>38</v>
      </c>
      <c r="L1658" s="25">
        <v>11782.0</v>
      </c>
      <c r="M1658" s="27" t="s">
        <v>50</v>
      </c>
      <c r="N1658" s="26" t="s">
        <v>99</v>
      </c>
      <c r="O1658" s="28">
        <v>45588.69229019676</v>
      </c>
      <c r="P1658" s="26" t="s">
        <v>6641</v>
      </c>
      <c r="Q1658" s="11"/>
      <c r="R1658" s="11" t="s">
        <v>67</v>
      </c>
      <c r="S1658" s="11" t="s">
        <v>101</v>
      </c>
      <c r="T1658" s="29">
        <v>45457.0</v>
      </c>
      <c r="U1658" s="29">
        <v>45581.59424287037</v>
      </c>
      <c r="V1658" s="29">
        <v>45587.43538181713</v>
      </c>
      <c r="W1658" s="30"/>
      <c r="X1658" s="30"/>
      <c r="Y1658" s="31"/>
      <c r="Z1658" s="31"/>
      <c r="AA1658" s="31" t="s">
        <v>102</v>
      </c>
      <c r="AB1658" s="31" t="s">
        <v>6642</v>
      </c>
      <c r="AC1658" s="31"/>
    </row>
    <row r="1659" ht="18.75" customHeight="1">
      <c r="A1659" s="18" t="s">
        <v>6643</v>
      </c>
      <c r="B1659" s="19" t="s">
        <v>96</v>
      </c>
      <c r="C1659" s="20">
        <v>0.0</v>
      </c>
      <c r="D1659" s="136" t="s">
        <v>6644</v>
      </c>
      <c r="E1659" s="27" t="s">
        <v>165</v>
      </c>
      <c r="F1659" s="18" t="s">
        <v>33</v>
      </c>
      <c r="G1659" s="18" t="s">
        <v>34</v>
      </c>
      <c r="H1659" s="23" t="s">
        <v>35</v>
      </c>
      <c r="I1659" s="37" t="s">
        <v>36</v>
      </c>
      <c r="J1659" s="25" t="s">
        <v>49</v>
      </c>
      <c r="K1659" s="26" t="s">
        <v>38</v>
      </c>
      <c r="L1659" s="25">
        <v>11781.0</v>
      </c>
      <c r="M1659" s="27" t="s">
        <v>50</v>
      </c>
      <c r="N1659" s="26" t="s">
        <v>99</v>
      </c>
      <c r="O1659" s="28">
        <v>45588.692361284724</v>
      </c>
      <c r="P1659" s="26" t="s">
        <v>6645</v>
      </c>
      <c r="Q1659" s="11"/>
      <c r="R1659" s="11" t="s">
        <v>67</v>
      </c>
      <c r="S1659" s="11" t="s">
        <v>101</v>
      </c>
      <c r="T1659" s="29">
        <v>45457.0</v>
      </c>
      <c r="U1659" s="29">
        <v>45581.59382625</v>
      </c>
      <c r="V1659" s="29">
        <v>45587.474912418984</v>
      </c>
      <c r="W1659" s="30"/>
      <c r="X1659" s="30"/>
      <c r="Y1659" s="31"/>
      <c r="Z1659" s="31"/>
      <c r="AA1659" s="31" t="s">
        <v>102</v>
      </c>
      <c r="AB1659" s="31" t="s">
        <v>6646</v>
      </c>
      <c r="AC1659" s="31"/>
    </row>
    <row r="1660" ht="18.75" customHeight="1">
      <c r="A1660" s="18" t="s">
        <v>6647</v>
      </c>
      <c r="B1660" s="19" t="s">
        <v>96</v>
      </c>
      <c r="C1660" s="20">
        <v>0.0</v>
      </c>
      <c r="D1660" s="137" t="s">
        <v>6648</v>
      </c>
      <c r="E1660" s="27" t="s">
        <v>268</v>
      </c>
      <c r="F1660" s="18" t="s">
        <v>33</v>
      </c>
      <c r="G1660" s="18" t="s">
        <v>34</v>
      </c>
      <c r="H1660" s="23" t="s">
        <v>35</v>
      </c>
      <c r="I1660" s="37" t="s">
        <v>36</v>
      </c>
      <c r="J1660" s="25" t="s">
        <v>49</v>
      </c>
      <c r="K1660" s="26" t="s">
        <v>38</v>
      </c>
      <c r="L1660" s="25">
        <v>11784.0</v>
      </c>
      <c r="M1660" s="27" t="s">
        <v>50</v>
      </c>
      <c r="N1660" s="26" t="s">
        <v>99</v>
      </c>
      <c r="O1660" s="28">
        <v>45588.692431076386</v>
      </c>
      <c r="P1660" s="26" t="s">
        <v>6649</v>
      </c>
      <c r="Q1660" s="11"/>
      <c r="R1660" s="11" t="s">
        <v>67</v>
      </c>
      <c r="S1660" s="11"/>
      <c r="T1660" s="29">
        <v>45457.0</v>
      </c>
      <c r="U1660" s="29">
        <v>45581.593319004634</v>
      </c>
      <c r="V1660" s="29"/>
      <c r="W1660" s="30"/>
      <c r="X1660" s="30"/>
      <c r="Y1660" s="31"/>
      <c r="Z1660" s="31"/>
      <c r="AA1660" s="31" t="s">
        <v>102</v>
      </c>
      <c r="AB1660" s="31" t="s">
        <v>6650</v>
      </c>
      <c r="AC1660" s="31"/>
    </row>
    <row r="1661" ht="18.75" customHeight="1">
      <c r="A1661" s="18" t="s">
        <v>6651</v>
      </c>
      <c r="B1661" s="19" t="s">
        <v>96</v>
      </c>
      <c r="C1661" s="20">
        <v>0.0</v>
      </c>
      <c r="D1661" s="21" t="s">
        <v>6652</v>
      </c>
      <c r="E1661" s="27" t="s">
        <v>408</v>
      </c>
      <c r="F1661" s="18" t="s">
        <v>33</v>
      </c>
      <c r="G1661" s="18" t="s">
        <v>34</v>
      </c>
      <c r="H1661" s="23" t="s">
        <v>35</v>
      </c>
      <c r="I1661" s="24" t="s">
        <v>36</v>
      </c>
      <c r="J1661" s="25" t="s">
        <v>49</v>
      </c>
      <c r="K1661" s="26" t="s">
        <v>38</v>
      </c>
      <c r="L1661" s="25">
        <v>11060.0</v>
      </c>
      <c r="M1661" s="27" t="s">
        <v>40</v>
      </c>
      <c r="N1661" s="26" t="s">
        <v>106</v>
      </c>
      <c r="O1661" s="28">
        <v>45471.615135092594</v>
      </c>
      <c r="P1661" s="26" t="s">
        <v>6653</v>
      </c>
      <c r="Q1661" s="11"/>
      <c r="R1661" s="11"/>
      <c r="S1661" s="11"/>
      <c r="T1661" s="29">
        <v>45457.0</v>
      </c>
      <c r="U1661" s="29">
        <v>45467.0</v>
      </c>
      <c r="V1661" s="29">
        <v>45471.0</v>
      </c>
      <c r="W1661" s="30"/>
      <c r="X1661" s="30"/>
      <c r="Y1661" s="31"/>
      <c r="Z1661" s="31"/>
      <c r="AA1661" s="31" t="s">
        <v>102</v>
      </c>
      <c r="AB1661" s="31" t="s">
        <v>6654</v>
      </c>
      <c r="AC1661" s="31"/>
    </row>
    <row r="1662" ht="18.75" customHeight="1">
      <c r="A1662" s="18" t="s">
        <v>6655</v>
      </c>
      <c r="B1662" s="19" t="s">
        <v>96</v>
      </c>
      <c r="C1662" s="20">
        <v>0.0</v>
      </c>
      <c r="D1662" s="21" t="s">
        <v>6656</v>
      </c>
      <c r="E1662" s="27" t="s">
        <v>165</v>
      </c>
      <c r="F1662" s="18" t="s">
        <v>33</v>
      </c>
      <c r="G1662" s="18" t="s">
        <v>34</v>
      </c>
      <c r="H1662" s="23" t="s">
        <v>35</v>
      </c>
      <c r="I1662" s="24" t="s">
        <v>36</v>
      </c>
      <c r="J1662" s="25" t="s">
        <v>49</v>
      </c>
      <c r="K1662" s="26" t="s">
        <v>38</v>
      </c>
      <c r="L1662" s="25">
        <v>11061.0</v>
      </c>
      <c r="M1662" s="27" t="s">
        <v>40</v>
      </c>
      <c r="N1662" s="26" t="s">
        <v>106</v>
      </c>
      <c r="O1662" s="28">
        <v>45471.615220023145</v>
      </c>
      <c r="P1662" s="26" t="s">
        <v>6657</v>
      </c>
      <c r="Q1662" s="11"/>
      <c r="R1662" s="11"/>
      <c r="S1662" s="11"/>
      <c r="T1662" s="29">
        <v>45457.0</v>
      </c>
      <c r="U1662" s="29">
        <v>45467.0</v>
      </c>
      <c r="V1662" s="29">
        <v>45471.0</v>
      </c>
      <c r="W1662" s="30"/>
      <c r="X1662" s="30"/>
      <c r="Y1662" s="31"/>
      <c r="Z1662" s="31"/>
      <c r="AA1662" s="31" t="s">
        <v>102</v>
      </c>
      <c r="AB1662" s="31" t="s">
        <v>6658</v>
      </c>
      <c r="AC1662" s="31"/>
    </row>
    <row r="1663" ht="18.75" customHeight="1">
      <c r="A1663" s="18" t="s">
        <v>6659</v>
      </c>
      <c r="B1663" s="19" t="s">
        <v>96</v>
      </c>
      <c r="C1663" s="20">
        <v>0.0</v>
      </c>
      <c r="D1663" s="21" t="s">
        <v>6660</v>
      </c>
      <c r="E1663" s="27" t="s">
        <v>383</v>
      </c>
      <c r="F1663" s="18" t="s">
        <v>33</v>
      </c>
      <c r="G1663" s="18" t="s">
        <v>34</v>
      </c>
      <c r="H1663" s="23" t="s">
        <v>35</v>
      </c>
      <c r="I1663" s="24" t="s">
        <v>36</v>
      </c>
      <c r="J1663" s="25" t="s">
        <v>49</v>
      </c>
      <c r="K1663" s="26" t="s">
        <v>38</v>
      </c>
      <c r="L1663" s="25">
        <v>11100.0</v>
      </c>
      <c r="M1663" s="27" t="s">
        <v>40</v>
      </c>
      <c r="N1663" s="26" t="s">
        <v>6547</v>
      </c>
      <c r="O1663" s="28">
        <v>45477.60475726852</v>
      </c>
      <c r="P1663" s="26" t="s">
        <v>6661</v>
      </c>
      <c r="Q1663" s="11"/>
      <c r="R1663" s="11"/>
      <c r="S1663" s="11"/>
      <c r="T1663" s="29">
        <v>45457.0</v>
      </c>
      <c r="U1663" s="29">
        <v>45467.0</v>
      </c>
      <c r="V1663" s="29">
        <v>45476.0</v>
      </c>
      <c r="W1663" s="30"/>
      <c r="X1663" s="30"/>
      <c r="Y1663" s="31"/>
      <c r="Z1663" s="31"/>
      <c r="AA1663" s="31" t="s">
        <v>102</v>
      </c>
      <c r="AB1663" s="31" t="s">
        <v>6662</v>
      </c>
      <c r="AC1663" s="31"/>
    </row>
    <row r="1664" ht="18.75" customHeight="1">
      <c r="A1664" s="18" t="s">
        <v>6663</v>
      </c>
      <c r="B1664" s="19" t="s">
        <v>96</v>
      </c>
      <c r="C1664" s="20">
        <v>0.0</v>
      </c>
      <c r="D1664" s="135" t="s">
        <v>6664</v>
      </c>
      <c r="E1664" s="22" t="s">
        <v>882</v>
      </c>
      <c r="F1664" s="18" t="s">
        <v>33</v>
      </c>
      <c r="G1664" s="18" t="s">
        <v>34</v>
      </c>
      <c r="H1664" s="23" t="s">
        <v>35</v>
      </c>
      <c r="I1664" s="24" t="s">
        <v>36</v>
      </c>
      <c r="J1664" s="25" t="s">
        <v>49</v>
      </c>
      <c r="K1664" s="26" t="s">
        <v>38</v>
      </c>
      <c r="L1664" s="25">
        <v>11062.0</v>
      </c>
      <c r="M1664" s="27" t="s">
        <v>40</v>
      </c>
      <c r="N1664" s="26" t="s">
        <v>106</v>
      </c>
      <c r="O1664" s="28">
        <v>45471.6153152662</v>
      </c>
      <c r="P1664" s="26" t="s">
        <v>6665</v>
      </c>
      <c r="Q1664" s="11"/>
      <c r="R1664" s="11"/>
      <c r="S1664" s="11"/>
      <c r="T1664" s="29">
        <v>45457.0</v>
      </c>
      <c r="U1664" s="29">
        <v>45467.0</v>
      </c>
      <c r="V1664" s="29">
        <v>45470.0</v>
      </c>
      <c r="W1664" s="30"/>
      <c r="X1664" s="30"/>
      <c r="Y1664" s="31"/>
      <c r="Z1664" s="31"/>
      <c r="AA1664" s="31" t="s">
        <v>102</v>
      </c>
      <c r="AB1664" s="31" t="s">
        <v>6666</v>
      </c>
      <c r="AC1664" s="31"/>
    </row>
    <row r="1665" ht="18.75" customHeight="1">
      <c r="A1665" s="18" t="s">
        <v>6667</v>
      </c>
      <c r="B1665" s="19" t="s">
        <v>96</v>
      </c>
      <c r="C1665" s="20">
        <v>0.0</v>
      </c>
      <c r="D1665" s="21" t="s">
        <v>6668</v>
      </c>
      <c r="E1665" s="27" t="s">
        <v>165</v>
      </c>
      <c r="F1665" s="18" t="s">
        <v>33</v>
      </c>
      <c r="G1665" s="18" t="s">
        <v>34</v>
      </c>
      <c r="H1665" s="23" t="s">
        <v>35</v>
      </c>
      <c r="I1665" s="24" t="s">
        <v>36</v>
      </c>
      <c r="J1665" s="25" t="s">
        <v>49</v>
      </c>
      <c r="K1665" s="26" t="s">
        <v>38</v>
      </c>
      <c r="L1665" s="25">
        <v>11063.0</v>
      </c>
      <c r="M1665" s="27" t="s">
        <v>40</v>
      </c>
      <c r="N1665" s="26" t="s">
        <v>106</v>
      </c>
      <c r="O1665" s="28">
        <v>45471.615406875004</v>
      </c>
      <c r="P1665" s="26" t="s">
        <v>6669</v>
      </c>
      <c r="Q1665" s="11"/>
      <c r="R1665" s="11"/>
      <c r="S1665" s="11"/>
      <c r="T1665" s="29">
        <v>45457.0</v>
      </c>
      <c r="U1665" s="29">
        <v>45467.0</v>
      </c>
      <c r="V1665" s="29">
        <v>45470.0</v>
      </c>
      <c r="W1665" s="30"/>
      <c r="X1665" s="30"/>
      <c r="Y1665" s="31"/>
      <c r="Z1665" s="31"/>
      <c r="AA1665" s="31" t="s">
        <v>102</v>
      </c>
      <c r="AB1665" s="31" t="s">
        <v>6670</v>
      </c>
      <c r="AC1665" s="31"/>
    </row>
    <row r="1666" ht="18.75" customHeight="1">
      <c r="A1666" s="18" t="s">
        <v>6671</v>
      </c>
      <c r="B1666" s="19" t="s">
        <v>96</v>
      </c>
      <c r="C1666" s="20">
        <v>0.0</v>
      </c>
      <c r="D1666" s="21" t="s">
        <v>6672</v>
      </c>
      <c r="E1666" s="27" t="s">
        <v>408</v>
      </c>
      <c r="F1666" s="18" t="s">
        <v>33</v>
      </c>
      <c r="G1666" s="18" t="s">
        <v>34</v>
      </c>
      <c r="H1666" s="23" t="s">
        <v>35</v>
      </c>
      <c r="I1666" s="24" t="s">
        <v>36</v>
      </c>
      <c r="J1666" s="25" t="s">
        <v>49</v>
      </c>
      <c r="K1666" s="26" t="s">
        <v>38</v>
      </c>
      <c r="L1666" s="25">
        <v>11064.0</v>
      </c>
      <c r="M1666" s="27" t="s">
        <v>40</v>
      </c>
      <c r="N1666" s="26" t="s">
        <v>106</v>
      </c>
      <c r="O1666" s="28">
        <v>45471.70457140046</v>
      </c>
      <c r="P1666" s="26" t="s">
        <v>6673</v>
      </c>
      <c r="Q1666" s="11"/>
      <c r="R1666" s="11"/>
      <c r="S1666" s="11"/>
      <c r="T1666" s="29">
        <v>45457.0</v>
      </c>
      <c r="U1666" s="29">
        <v>45467.0</v>
      </c>
      <c r="V1666" s="29">
        <v>45469.0</v>
      </c>
      <c r="W1666" s="30"/>
      <c r="X1666" s="30"/>
      <c r="Y1666" s="31"/>
      <c r="Z1666" s="31"/>
      <c r="AA1666" s="31" t="s">
        <v>102</v>
      </c>
      <c r="AB1666" s="31" t="s">
        <v>6674</v>
      </c>
      <c r="AC1666" s="31"/>
    </row>
    <row r="1667" ht="18.75" customHeight="1">
      <c r="A1667" s="18" t="s">
        <v>6675</v>
      </c>
      <c r="B1667" s="19" t="s">
        <v>96</v>
      </c>
      <c r="C1667" s="20">
        <v>0.0</v>
      </c>
      <c r="D1667" s="21" t="s">
        <v>6676</v>
      </c>
      <c r="E1667" s="22" t="s">
        <v>731</v>
      </c>
      <c r="F1667" s="18" t="s">
        <v>33</v>
      </c>
      <c r="G1667" s="18" t="s">
        <v>34</v>
      </c>
      <c r="H1667" s="23" t="s">
        <v>35</v>
      </c>
      <c r="I1667" s="24" t="s">
        <v>36</v>
      </c>
      <c r="J1667" s="25" t="s">
        <v>49</v>
      </c>
      <c r="K1667" s="26" t="s">
        <v>38</v>
      </c>
      <c r="L1667" s="25" t="s">
        <v>6677</v>
      </c>
      <c r="M1667" s="27" t="s">
        <v>6678</v>
      </c>
      <c r="N1667" s="26" t="s">
        <v>6547</v>
      </c>
      <c r="O1667" s="28">
        <v>45477.60547165509</v>
      </c>
      <c r="P1667" s="26" t="s">
        <v>6679</v>
      </c>
      <c r="Q1667" s="11"/>
      <c r="R1667" s="11"/>
      <c r="S1667" s="11"/>
      <c r="T1667" s="29">
        <v>45457.0</v>
      </c>
      <c r="U1667" s="29">
        <v>45460.0</v>
      </c>
      <c r="V1667" s="29">
        <v>45470.0</v>
      </c>
      <c r="W1667" s="30"/>
      <c r="X1667" s="30"/>
      <c r="Y1667" s="31"/>
      <c r="Z1667" s="31"/>
      <c r="AA1667" s="31" t="s">
        <v>102</v>
      </c>
      <c r="AB1667" s="31" t="s">
        <v>6680</v>
      </c>
      <c r="AC1667" s="31"/>
    </row>
    <row r="1668" ht="18.75" customHeight="1">
      <c r="A1668" s="18" t="s">
        <v>6681</v>
      </c>
      <c r="B1668" s="19" t="s">
        <v>96</v>
      </c>
      <c r="C1668" s="20">
        <v>0.0</v>
      </c>
      <c r="D1668" s="21" t="s">
        <v>6682</v>
      </c>
      <c r="E1668" s="27" t="s">
        <v>491</v>
      </c>
      <c r="F1668" s="18" t="s">
        <v>33</v>
      </c>
      <c r="G1668" s="18" t="s">
        <v>34</v>
      </c>
      <c r="H1668" s="40" t="s">
        <v>980</v>
      </c>
      <c r="I1668" s="24" t="s">
        <v>36</v>
      </c>
      <c r="J1668" s="25" t="s">
        <v>49</v>
      </c>
      <c r="K1668" s="26" t="s">
        <v>38</v>
      </c>
      <c r="L1668" s="25">
        <v>11008.0</v>
      </c>
      <c r="M1668" s="27" t="s">
        <v>40</v>
      </c>
      <c r="N1668" s="26" t="s">
        <v>106</v>
      </c>
      <c r="O1668" s="28">
        <v>45464.58174196759</v>
      </c>
      <c r="P1668" s="26" t="s">
        <v>6683</v>
      </c>
      <c r="Q1668" s="11"/>
      <c r="R1668" s="11"/>
      <c r="S1668" s="11"/>
      <c r="T1668" s="29">
        <v>45457.0</v>
      </c>
      <c r="U1668" s="29">
        <v>45463.0</v>
      </c>
      <c r="V1668" s="29">
        <v>45464.0</v>
      </c>
      <c r="W1668" s="30"/>
      <c r="X1668" s="30"/>
      <c r="Y1668" s="31"/>
      <c r="Z1668" s="31"/>
      <c r="AA1668" s="31" t="s">
        <v>102</v>
      </c>
      <c r="AB1668" s="31" t="s">
        <v>6684</v>
      </c>
      <c r="AC1668" s="31"/>
    </row>
    <row r="1669" ht="18.75" customHeight="1">
      <c r="A1669" s="18" t="s">
        <v>6685</v>
      </c>
      <c r="B1669" s="19" t="s">
        <v>6686</v>
      </c>
      <c r="C1669" s="20">
        <v>0.0</v>
      </c>
      <c r="D1669" s="21" t="s">
        <v>6687</v>
      </c>
      <c r="E1669" s="27" t="s">
        <v>338</v>
      </c>
      <c r="F1669" s="18" t="s">
        <v>33</v>
      </c>
      <c r="G1669" s="32" t="s">
        <v>35</v>
      </c>
      <c r="H1669" s="23" t="s">
        <v>35</v>
      </c>
      <c r="I1669" s="24" t="s">
        <v>36</v>
      </c>
      <c r="J1669" s="25" t="s">
        <v>37</v>
      </c>
      <c r="K1669" s="26" t="s">
        <v>447</v>
      </c>
      <c r="L1669" s="25">
        <v>11002.0</v>
      </c>
      <c r="M1669" s="27" t="s">
        <v>40</v>
      </c>
      <c r="N1669" s="26" t="s">
        <v>41</v>
      </c>
      <c r="O1669" s="28">
        <v>45464.58157859954</v>
      </c>
      <c r="P1669" s="26" t="s">
        <v>6688</v>
      </c>
      <c r="Q1669" s="11"/>
      <c r="R1669" s="11"/>
      <c r="S1669" s="11"/>
      <c r="T1669" s="29">
        <v>45457.0</v>
      </c>
      <c r="U1669" s="29">
        <v>45460.0</v>
      </c>
      <c r="V1669" s="29">
        <v>45464.0</v>
      </c>
      <c r="W1669" s="30"/>
      <c r="X1669" s="30"/>
      <c r="Y1669" s="31"/>
      <c r="Z1669" s="31"/>
      <c r="AA1669" s="31" t="s">
        <v>108</v>
      </c>
      <c r="AB1669" s="31" t="s">
        <v>6689</v>
      </c>
      <c r="AC1669" s="31"/>
    </row>
    <row r="1670" ht="18.75" customHeight="1">
      <c r="A1670" s="18" t="s">
        <v>6690</v>
      </c>
      <c r="B1670" s="19" t="s">
        <v>6096</v>
      </c>
      <c r="C1670" s="20">
        <v>0.0</v>
      </c>
      <c r="D1670" s="21" t="s">
        <v>6691</v>
      </c>
      <c r="E1670" s="27" t="s">
        <v>491</v>
      </c>
      <c r="F1670" s="18" t="s">
        <v>33</v>
      </c>
      <c r="G1670" s="32" t="s">
        <v>35</v>
      </c>
      <c r="H1670" s="23" t="s">
        <v>35</v>
      </c>
      <c r="I1670" s="24" t="s">
        <v>36</v>
      </c>
      <c r="J1670" s="34" t="s">
        <v>65</v>
      </c>
      <c r="K1670" s="26" t="s">
        <v>38</v>
      </c>
      <c r="L1670" s="25">
        <v>11033.0</v>
      </c>
      <c r="M1670" s="27" t="s">
        <v>40</v>
      </c>
      <c r="N1670" s="26" t="s">
        <v>5102</v>
      </c>
      <c r="O1670" s="28">
        <v>45469.63287347222</v>
      </c>
      <c r="P1670" s="26" t="s">
        <v>6692</v>
      </c>
      <c r="Q1670" s="11"/>
      <c r="R1670" s="11"/>
      <c r="S1670" s="11"/>
      <c r="T1670" s="29">
        <v>45457.0</v>
      </c>
      <c r="U1670" s="29">
        <v>45461.0</v>
      </c>
      <c r="V1670" s="29">
        <v>45464.0</v>
      </c>
      <c r="W1670" s="30"/>
      <c r="X1670" s="30"/>
      <c r="Y1670" s="31"/>
      <c r="Z1670" s="31"/>
      <c r="AA1670" s="31" t="s">
        <v>94</v>
      </c>
      <c r="AB1670" s="31" t="s">
        <v>6693</v>
      </c>
      <c r="AC1670" s="31"/>
    </row>
    <row r="1671" ht="18.75" customHeight="1">
      <c r="A1671" s="18" t="s">
        <v>6694</v>
      </c>
      <c r="B1671" s="19" t="s">
        <v>6096</v>
      </c>
      <c r="C1671" s="20">
        <v>0.0</v>
      </c>
      <c r="D1671" s="21" t="s">
        <v>6695</v>
      </c>
      <c r="E1671" s="27" t="s">
        <v>491</v>
      </c>
      <c r="F1671" s="18" t="s">
        <v>33</v>
      </c>
      <c r="G1671" s="32" t="s">
        <v>35</v>
      </c>
      <c r="H1671" s="23" t="s">
        <v>35</v>
      </c>
      <c r="I1671" s="24" t="s">
        <v>36</v>
      </c>
      <c r="J1671" s="34" t="s">
        <v>65</v>
      </c>
      <c r="K1671" s="26" t="s">
        <v>38</v>
      </c>
      <c r="L1671" s="25">
        <v>11033.0</v>
      </c>
      <c r="M1671" s="27" t="s">
        <v>40</v>
      </c>
      <c r="N1671" s="26" t="s">
        <v>5102</v>
      </c>
      <c r="O1671" s="28">
        <v>45469.63296050926</v>
      </c>
      <c r="P1671" s="26" t="s">
        <v>6692</v>
      </c>
      <c r="Q1671" s="11"/>
      <c r="R1671" s="11"/>
      <c r="S1671" s="11"/>
      <c r="T1671" s="29">
        <v>45457.0</v>
      </c>
      <c r="U1671" s="29">
        <v>45461.0</v>
      </c>
      <c r="V1671" s="29">
        <v>45464.0</v>
      </c>
      <c r="W1671" s="30"/>
      <c r="X1671" s="30"/>
      <c r="Y1671" s="31"/>
      <c r="Z1671" s="31"/>
      <c r="AA1671" s="31" t="s">
        <v>94</v>
      </c>
      <c r="AB1671" s="31" t="s">
        <v>6696</v>
      </c>
      <c r="AC1671" s="31"/>
    </row>
    <row r="1672" ht="18.75" customHeight="1">
      <c r="A1672" s="18" t="s">
        <v>6697</v>
      </c>
      <c r="B1672" s="19" t="s">
        <v>6096</v>
      </c>
      <c r="C1672" s="20">
        <v>0.0</v>
      </c>
      <c r="D1672" s="21" t="s">
        <v>6698</v>
      </c>
      <c r="E1672" s="27" t="s">
        <v>491</v>
      </c>
      <c r="F1672" s="18" t="s">
        <v>33</v>
      </c>
      <c r="G1672" s="32" t="s">
        <v>35</v>
      </c>
      <c r="H1672" s="23" t="s">
        <v>35</v>
      </c>
      <c r="I1672" s="24" t="s">
        <v>36</v>
      </c>
      <c r="J1672" s="34" t="s">
        <v>65</v>
      </c>
      <c r="K1672" s="26" t="s">
        <v>38</v>
      </c>
      <c r="L1672" s="25">
        <v>11033.0</v>
      </c>
      <c r="M1672" s="27" t="s">
        <v>40</v>
      </c>
      <c r="N1672" s="26" t="s">
        <v>5102</v>
      </c>
      <c r="O1672" s="28">
        <v>45469.633325092596</v>
      </c>
      <c r="P1672" s="26" t="s">
        <v>6692</v>
      </c>
      <c r="Q1672" s="11"/>
      <c r="R1672" s="11"/>
      <c r="S1672" s="11"/>
      <c r="T1672" s="29">
        <v>45457.0</v>
      </c>
      <c r="U1672" s="29">
        <v>45461.0</v>
      </c>
      <c r="V1672" s="29">
        <v>45464.0</v>
      </c>
      <c r="W1672" s="30"/>
      <c r="X1672" s="30"/>
      <c r="Y1672" s="31"/>
      <c r="Z1672" s="31"/>
      <c r="AA1672" s="31" t="s">
        <v>94</v>
      </c>
      <c r="AB1672" s="31" t="s">
        <v>6699</v>
      </c>
      <c r="AC1672" s="31"/>
    </row>
    <row r="1673" ht="18.75" customHeight="1">
      <c r="A1673" s="18" t="s">
        <v>6700</v>
      </c>
      <c r="B1673" s="19" t="s">
        <v>6096</v>
      </c>
      <c r="C1673" s="20">
        <v>0.0</v>
      </c>
      <c r="D1673" s="21" t="s">
        <v>6701</v>
      </c>
      <c r="E1673" s="27" t="s">
        <v>491</v>
      </c>
      <c r="F1673" s="18" t="s">
        <v>33</v>
      </c>
      <c r="G1673" s="32" t="s">
        <v>35</v>
      </c>
      <c r="H1673" s="23" t="s">
        <v>35</v>
      </c>
      <c r="I1673" s="24" t="s">
        <v>36</v>
      </c>
      <c r="J1673" s="34" t="s">
        <v>65</v>
      </c>
      <c r="K1673" s="26" t="s">
        <v>38</v>
      </c>
      <c r="L1673" s="25">
        <v>11033.0</v>
      </c>
      <c r="M1673" s="27" t="s">
        <v>40</v>
      </c>
      <c r="N1673" s="26" t="s">
        <v>5102</v>
      </c>
      <c r="O1673" s="28">
        <v>45469.63341891204</v>
      </c>
      <c r="P1673" s="26" t="s">
        <v>6692</v>
      </c>
      <c r="Q1673" s="11"/>
      <c r="R1673" s="11"/>
      <c r="S1673" s="11"/>
      <c r="T1673" s="29">
        <v>45457.0</v>
      </c>
      <c r="U1673" s="29">
        <v>45461.0</v>
      </c>
      <c r="V1673" s="29">
        <v>45468.0</v>
      </c>
      <c r="W1673" s="30"/>
      <c r="X1673" s="30"/>
      <c r="Y1673" s="31"/>
      <c r="Z1673" s="31"/>
      <c r="AA1673" s="31" t="s">
        <v>94</v>
      </c>
      <c r="AB1673" s="31" t="s">
        <v>6702</v>
      </c>
      <c r="AC1673" s="31"/>
    </row>
    <row r="1674" ht="18.75" customHeight="1">
      <c r="A1674" s="18" t="s">
        <v>6703</v>
      </c>
      <c r="B1674" s="19" t="s">
        <v>6096</v>
      </c>
      <c r="C1674" s="20">
        <v>0.0</v>
      </c>
      <c r="D1674" s="21" t="s">
        <v>6704</v>
      </c>
      <c r="E1674" s="27" t="s">
        <v>491</v>
      </c>
      <c r="F1674" s="18" t="s">
        <v>33</v>
      </c>
      <c r="G1674" s="32" t="s">
        <v>35</v>
      </c>
      <c r="H1674" s="23" t="s">
        <v>35</v>
      </c>
      <c r="I1674" s="24" t="s">
        <v>36</v>
      </c>
      <c r="J1674" s="34" t="s">
        <v>65</v>
      </c>
      <c r="K1674" s="26" t="s">
        <v>38</v>
      </c>
      <c r="L1674" s="25">
        <v>11033.0</v>
      </c>
      <c r="M1674" s="27" t="s">
        <v>40</v>
      </c>
      <c r="N1674" s="26" t="s">
        <v>5102</v>
      </c>
      <c r="O1674" s="28">
        <v>45469.63350506945</v>
      </c>
      <c r="P1674" s="26" t="s">
        <v>6692</v>
      </c>
      <c r="Q1674" s="11"/>
      <c r="R1674" s="11"/>
      <c r="S1674" s="11"/>
      <c r="T1674" s="29">
        <v>45457.0</v>
      </c>
      <c r="U1674" s="29">
        <v>45461.0</v>
      </c>
      <c r="V1674" s="29">
        <v>45468.0</v>
      </c>
      <c r="W1674" s="30"/>
      <c r="X1674" s="30"/>
      <c r="Y1674" s="31"/>
      <c r="Z1674" s="31"/>
      <c r="AA1674" s="31" t="s">
        <v>94</v>
      </c>
      <c r="AB1674" s="31" t="s">
        <v>6705</v>
      </c>
      <c r="AC1674" s="31"/>
    </row>
    <row r="1675" ht="18.75" customHeight="1">
      <c r="A1675" s="18" t="s">
        <v>6706</v>
      </c>
      <c r="B1675" s="19" t="s">
        <v>96</v>
      </c>
      <c r="C1675" s="20">
        <v>0.0</v>
      </c>
      <c r="D1675" s="21" t="s">
        <v>6707</v>
      </c>
      <c r="E1675" s="27" t="s">
        <v>165</v>
      </c>
      <c r="F1675" s="18" t="s">
        <v>33</v>
      </c>
      <c r="G1675" s="18" t="s">
        <v>34</v>
      </c>
      <c r="H1675" s="23" t="s">
        <v>35</v>
      </c>
      <c r="I1675" s="24" t="s">
        <v>36</v>
      </c>
      <c r="J1675" s="25" t="s">
        <v>49</v>
      </c>
      <c r="K1675" s="26" t="s">
        <v>38</v>
      </c>
      <c r="L1675" s="25" t="s">
        <v>6708</v>
      </c>
      <c r="M1675" s="27"/>
      <c r="N1675" s="26" t="s">
        <v>99</v>
      </c>
      <c r="O1675" s="28">
        <v>45482.70934006944</v>
      </c>
      <c r="P1675" s="26" t="s">
        <v>6709</v>
      </c>
      <c r="Q1675" s="11"/>
      <c r="R1675" s="11"/>
      <c r="S1675" s="11"/>
      <c r="T1675" s="29">
        <v>45460.0</v>
      </c>
      <c r="U1675" s="29">
        <v>45482.0</v>
      </c>
      <c r="V1675" s="29">
        <f>O1675</f>
        <v>45482.70934</v>
      </c>
      <c r="W1675" s="30"/>
      <c r="X1675" s="30"/>
      <c r="Y1675" s="31"/>
      <c r="Z1675" s="31"/>
      <c r="AA1675" s="31" t="s">
        <v>102</v>
      </c>
      <c r="AB1675" s="31" t="s">
        <v>6710</v>
      </c>
      <c r="AC1675" s="31"/>
    </row>
    <row r="1676" ht="18.75" customHeight="1">
      <c r="A1676" s="18" t="s">
        <v>6711</v>
      </c>
      <c r="B1676" s="19" t="s">
        <v>6712</v>
      </c>
      <c r="C1676" s="20">
        <v>0.0</v>
      </c>
      <c r="D1676" s="21" t="s">
        <v>6713</v>
      </c>
      <c r="E1676" s="27" t="s">
        <v>4430</v>
      </c>
      <c r="F1676" s="18" t="s">
        <v>48</v>
      </c>
      <c r="G1676" s="32" t="s">
        <v>35</v>
      </c>
      <c r="H1676" s="23" t="s">
        <v>35</v>
      </c>
      <c r="I1676" s="24" t="s">
        <v>36</v>
      </c>
      <c r="J1676" s="25" t="s">
        <v>339</v>
      </c>
      <c r="K1676" s="26" t="s">
        <v>38</v>
      </c>
      <c r="L1676" s="25">
        <v>10996.0</v>
      </c>
      <c r="M1676" s="27" t="s">
        <v>50</v>
      </c>
      <c r="N1676" s="26" t="s">
        <v>4963</v>
      </c>
      <c r="O1676" s="28">
        <v>45462.673709375</v>
      </c>
      <c r="P1676" s="26" t="s">
        <v>6714</v>
      </c>
      <c r="Q1676" s="11"/>
      <c r="R1676" s="11"/>
      <c r="S1676" s="11"/>
      <c r="T1676" s="29">
        <v>45461.0</v>
      </c>
      <c r="U1676" s="29">
        <v>45462.0</v>
      </c>
      <c r="V1676" s="29">
        <v>45462.48164292824</v>
      </c>
      <c r="W1676" s="30"/>
      <c r="X1676" s="30"/>
      <c r="Y1676" s="31"/>
      <c r="Z1676" s="31"/>
      <c r="AA1676" s="31" t="s">
        <v>3059</v>
      </c>
      <c r="AB1676" s="31" t="s">
        <v>6715</v>
      </c>
      <c r="AC1676" s="31"/>
    </row>
    <row r="1677" ht="18.75" customHeight="1">
      <c r="A1677" s="18" t="s">
        <v>6716</v>
      </c>
      <c r="B1677" s="19" t="s">
        <v>4472</v>
      </c>
      <c r="C1677" s="20">
        <v>0.0</v>
      </c>
      <c r="D1677" s="21" t="s">
        <v>6717</v>
      </c>
      <c r="E1677" s="27" t="s">
        <v>165</v>
      </c>
      <c r="F1677" s="18" t="s">
        <v>33</v>
      </c>
      <c r="G1677" s="18" t="s">
        <v>34</v>
      </c>
      <c r="H1677" s="23" t="s">
        <v>35</v>
      </c>
      <c r="I1677" s="24" t="s">
        <v>36</v>
      </c>
      <c r="J1677" s="25" t="s">
        <v>49</v>
      </c>
      <c r="K1677" s="26" t="s">
        <v>38</v>
      </c>
      <c r="L1677" s="25">
        <v>11004.0</v>
      </c>
      <c r="M1677" s="27" t="s">
        <v>6149</v>
      </c>
      <c r="N1677" s="26" t="s">
        <v>106</v>
      </c>
      <c r="O1677" s="28">
        <v>45464.58191537037</v>
      </c>
      <c r="P1677" s="26" t="s">
        <v>6718</v>
      </c>
      <c r="Q1677" s="11"/>
      <c r="R1677" s="11"/>
      <c r="S1677" s="11"/>
      <c r="T1677" s="29">
        <v>45461.0</v>
      </c>
      <c r="U1677" s="29">
        <v>45461.0</v>
      </c>
      <c r="V1677" s="29">
        <v>45464.0</v>
      </c>
      <c r="W1677" s="30"/>
      <c r="X1677" s="30"/>
      <c r="Y1677" s="31"/>
      <c r="Z1677" s="31"/>
      <c r="AA1677" s="31" t="s">
        <v>102</v>
      </c>
      <c r="AB1677" s="31" t="s">
        <v>6719</v>
      </c>
      <c r="AC1677" s="31"/>
    </row>
    <row r="1678" ht="18.75" customHeight="1">
      <c r="A1678" s="18" t="s">
        <v>6720</v>
      </c>
      <c r="B1678" s="19" t="s">
        <v>3964</v>
      </c>
      <c r="C1678" s="20">
        <v>137.0</v>
      </c>
      <c r="D1678" s="21" t="s">
        <v>6721</v>
      </c>
      <c r="E1678" s="27" t="s">
        <v>85</v>
      </c>
      <c r="F1678" s="18" t="s">
        <v>48</v>
      </c>
      <c r="G1678" s="32" t="s">
        <v>35</v>
      </c>
      <c r="H1678" s="23" t="s">
        <v>35</v>
      </c>
      <c r="I1678" s="24" t="s">
        <v>36</v>
      </c>
      <c r="J1678" s="25" t="s">
        <v>49</v>
      </c>
      <c r="K1678" s="26" t="s">
        <v>38</v>
      </c>
      <c r="L1678" s="25">
        <v>10989.0</v>
      </c>
      <c r="M1678" s="27" t="s">
        <v>50</v>
      </c>
      <c r="N1678" s="26" t="s">
        <v>106</v>
      </c>
      <c r="O1678" s="28">
        <v>45461.57793302083</v>
      </c>
      <c r="P1678" s="26" t="s">
        <v>6722</v>
      </c>
      <c r="Q1678" s="11"/>
      <c r="R1678" s="11"/>
      <c r="S1678" s="11"/>
      <c r="T1678" s="29">
        <v>45461.0</v>
      </c>
      <c r="U1678" s="29">
        <v>45461.0</v>
      </c>
      <c r="V1678" s="29">
        <v>45461.42010423611</v>
      </c>
      <c r="W1678" s="30"/>
      <c r="X1678" s="30"/>
      <c r="Y1678" s="31"/>
      <c r="Z1678" s="31"/>
      <c r="AA1678" s="31" t="s">
        <v>127</v>
      </c>
      <c r="AB1678" s="31" t="s">
        <v>6723</v>
      </c>
      <c r="AC1678" s="31"/>
    </row>
    <row r="1679" ht="18.75" customHeight="1">
      <c r="A1679" s="18" t="s">
        <v>6724</v>
      </c>
      <c r="B1679" s="19" t="s">
        <v>6430</v>
      </c>
      <c r="C1679" s="20">
        <v>90.0</v>
      </c>
      <c r="D1679" s="21" t="s">
        <v>6725</v>
      </c>
      <c r="E1679" s="27" t="s">
        <v>91</v>
      </c>
      <c r="F1679" s="18" t="s">
        <v>48</v>
      </c>
      <c r="G1679" s="32" t="s">
        <v>35</v>
      </c>
      <c r="H1679" s="23" t="s">
        <v>35</v>
      </c>
      <c r="I1679" s="24" t="s">
        <v>36</v>
      </c>
      <c r="J1679" s="25" t="s">
        <v>49</v>
      </c>
      <c r="K1679" s="26" t="s">
        <v>6432</v>
      </c>
      <c r="L1679" s="25">
        <v>10988.0</v>
      </c>
      <c r="M1679" s="27" t="s">
        <v>50</v>
      </c>
      <c r="N1679" s="26" t="s">
        <v>106</v>
      </c>
      <c r="O1679" s="28">
        <v>45461.578040532404</v>
      </c>
      <c r="P1679" s="26" t="s">
        <v>6726</v>
      </c>
      <c r="Q1679" s="11"/>
      <c r="R1679" s="11"/>
      <c r="S1679" s="11"/>
      <c r="T1679" s="29">
        <v>45461.0</v>
      </c>
      <c r="U1679" s="29">
        <v>45461.0</v>
      </c>
      <c r="V1679" s="29">
        <v>45461.4214883449</v>
      </c>
      <c r="W1679" s="30"/>
      <c r="X1679" s="30"/>
      <c r="Y1679" s="31"/>
      <c r="Z1679" s="31"/>
      <c r="AA1679" s="31" t="s">
        <v>5290</v>
      </c>
      <c r="AB1679" s="31" t="s">
        <v>6727</v>
      </c>
      <c r="AC1679" s="31"/>
    </row>
    <row r="1680" ht="18.75" customHeight="1">
      <c r="A1680" s="18" t="s">
        <v>6728</v>
      </c>
      <c r="B1680" s="19" t="s">
        <v>6729</v>
      </c>
      <c r="C1680" s="20">
        <v>0.0</v>
      </c>
      <c r="D1680" s="21" t="s">
        <v>6730</v>
      </c>
      <c r="E1680" s="27" t="s">
        <v>243</v>
      </c>
      <c r="F1680" s="18" t="s">
        <v>244</v>
      </c>
      <c r="G1680" s="32" t="s">
        <v>35</v>
      </c>
      <c r="H1680" s="23" t="s">
        <v>35</v>
      </c>
      <c r="I1680" s="24" t="s">
        <v>36</v>
      </c>
      <c r="J1680" s="34" t="s">
        <v>65</v>
      </c>
      <c r="K1680" s="26" t="s">
        <v>38</v>
      </c>
      <c r="L1680" s="25">
        <v>11077.0</v>
      </c>
      <c r="M1680" s="27" t="s">
        <v>40</v>
      </c>
      <c r="N1680" s="26" t="s">
        <v>5706</v>
      </c>
      <c r="O1680" s="28">
        <v>45475.710520023145</v>
      </c>
      <c r="P1680" s="26" t="s">
        <v>6731</v>
      </c>
      <c r="Q1680" s="11"/>
      <c r="R1680" s="11"/>
      <c r="S1680" s="11"/>
      <c r="T1680" s="29">
        <v>45461.0</v>
      </c>
      <c r="U1680" s="29">
        <v>45463.0</v>
      </c>
      <c r="V1680" s="29">
        <v>45471.0</v>
      </c>
      <c r="W1680" s="30"/>
      <c r="X1680" s="30"/>
      <c r="Y1680" s="31"/>
      <c r="Z1680" s="31"/>
      <c r="AA1680" s="31" t="s">
        <v>94</v>
      </c>
      <c r="AB1680" s="31" t="s">
        <v>6732</v>
      </c>
      <c r="AC1680" s="31"/>
    </row>
    <row r="1681" ht="18.75" customHeight="1">
      <c r="A1681" s="18" t="s">
        <v>6733</v>
      </c>
      <c r="B1681" s="19" t="s">
        <v>6734</v>
      </c>
      <c r="C1681" s="20">
        <v>27.0</v>
      </c>
      <c r="D1681" s="39" t="s">
        <v>6735</v>
      </c>
      <c r="E1681" s="27" t="s">
        <v>72</v>
      </c>
      <c r="F1681" s="18" t="s">
        <v>48</v>
      </c>
      <c r="G1681" s="32" t="s">
        <v>35</v>
      </c>
      <c r="H1681" s="23" t="s">
        <v>35</v>
      </c>
      <c r="I1681" s="24" t="s">
        <v>36</v>
      </c>
      <c r="J1681" s="34" t="s">
        <v>65</v>
      </c>
      <c r="K1681" s="26" t="s">
        <v>38</v>
      </c>
      <c r="L1681" s="25">
        <v>10994.0</v>
      </c>
      <c r="M1681" s="27" t="s">
        <v>50</v>
      </c>
      <c r="N1681" s="26" t="s">
        <v>5279</v>
      </c>
      <c r="O1681" s="28">
        <v>45462.63555997685</v>
      </c>
      <c r="P1681" s="26" t="s">
        <v>6736</v>
      </c>
      <c r="Q1681" s="11"/>
      <c r="R1681" s="11"/>
      <c r="S1681" s="11"/>
      <c r="T1681" s="29">
        <v>45461.0</v>
      </c>
      <c r="U1681" s="29">
        <v>45462.0</v>
      </c>
      <c r="V1681" s="29">
        <v>45462.41766878472</v>
      </c>
      <c r="W1681" s="30"/>
      <c r="X1681" s="30"/>
      <c r="Y1681" s="31"/>
      <c r="Z1681" s="31"/>
      <c r="AA1681" s="31" t="s">
        <v>3059</v>
      </c>
      <c r="AB1681" s="31" t="s">
        <v>6737</v>
      </c>
      <c r="AC1681" s="31"/>
    </row>
    <row r="1682" ht="18.75" customHeight="1">
      <c r="A1682" s="18" t="s">
        <v>6738</v>
      </c>
      <c r="B1682" s="19" t="s">
        <v>6288</v>
      </c>
      <c r="C1682" s="20">
        <v>1.0</v>
      </c>
      <c r="D1682" s="21" t="s">
        <v>6739</v>
      </c>
      <c r="E1682" s="27" t="s">
        <v>3395</v>
      </c>
      <c r="F1682" s="18" t="s">
        <v>48</v>
      </c>
      <c r="G1682" s="32" t="s">
        <v>35</v>
      </c>
      <c r="H1682" s="23" t="s">
        <v>35</v>
      </c>
      <c r="I1682" s="24" t="s">
        <v>36</v>
      </c>
      <c r="J1682" s="34" t="s">
        <v>65</v>
      </c>
      <c r="K1682" s="26" t="s">
        <v>38</v>
      </c>
      <c r="L1682" s="25" t="s">
        <v>6740</v>
      </c>
      <c r="M1682" s="27" t="s">
        <v>50</v>
      </c>
      <c r="N1682" s="26" t="s">
        <v>6741</v>
      </c>
      <c r="O1682" s="28">
        <v>45467.69672261574</v>
      </c>
      <c r="P1682" s="26" t="s">
        <v>6742</v>
      </c>
      <c r="Q1682" s="11"/>
      <c r="R1682" s="11"/>
      <c r="S1682" s="11"/>
      <c r="T1682" s="29">
        <v>45462.0</v>
      </c>
      <c r="U1682" s="29">
        <v>45463.0</v>
      </c>
      <c r="V1682" s="29">
        <v>45467.54948103009</v>
      </c>
      <c r="W1682" s="30"/>
      <c r="X1682" s="30"/>
      <c r="Y1682" s="31"/>
      <c r="Z1682" s="31"/>
      <c r="AA1682" s="31" t="s">
        <v>120</v>
      </c>
      <c r="AB1682" s="31" t="s">
        <v>6743</v>
      </c>
      <c r="AC1682" s="31"/>
    </row>
    <row r="1683" ht="18.75" customHeight="1">
      <c r="A1683" s="18" t="s">
        <v>6744</v>
      </c>
      <c r="B1683" s="19" t="s">
        <v>6288</v>
      </c>
      <c r="C1683" s="20">
        <v>137.0</v>
      </c>
      <c r="D1683" s="21" t="s">
        <v>6745</v>
      </c>
      <c r="E1683" s="27" t="s">
        <v>85</v>
      </c>
      <c r="F1683" s="18" t="s">
        <v>48</v>
      </c>
      <c r="G1683" s="32" t="s">
        <v>35</v>
      </c>
      <c r="H1683" s="23" t="s">
        <v>35</v>
      </c>
      <c r="I1683" s="24" t="s">
        <v>36</v>
      </c>
      <c r="J1683" s="25" t="s">
        <v>49</v>
      </c>
      <c r="K1683" s="26" t="s">
        <v>38</v>
      </c>
      <c r="L1683" s="25" t="s">
        <v>6746</v>
      </c>
      <c r="M1683" s="27" t="s">
        <v>50</v>
      </c>
      <c r="N1683" s="26" t="s">
        <v>6741</v>
      </c>
      <c r="O1683" s="28">
        <v>45467.69768701389</v>
      </c>
      <c r="P1683" s="26" t="s">
        <v>6747</v>
      </c>
      <c r="Q1683" s="11"/>
      <c r="R1683" s="11"/>
      <c r="S1683" s="11"/>
      <c r="T1683" s="29">
        <v>45462.0</v>
      </c>
      <c r="U1683" s="29">
        <v>45463.0</v>
      </c>
      <c r="V1683" s="29">
        <v>45467.54949278935</v>
      </c>
      <c r="W1683" s="30"/>
      <c r="X1683" s="30"/>
      <c r="Y1683" s="31"/>
      <c r="Z1683" s="31"/>
      <c r="AA1683" s="31" t="s">
        <v>120</v>
      </c>
      <c r="AB1683" s="31" t="s">
        <v>6748</v>
      </c>
      <c r="AC1683" s="31"/>
    </row>
    <row r="1684" ht="18.75" customHeight="1">
      <c r="A1684" s="18" t="s">
        <v>6749</v>
      </c>
      <c r="B1684" s="19" t="s">
        <v>6288</v>
      </c>
      <c r="C1684" s="20">
        <v>137.0</v>
      </c>
      <c r="D1684" s="21" t="s">
        <v>6750</v>
      </c>
      <c r="E1684" s="27" t="s">
        <v>85</v>
      </c>
      <c r="F1684" s="18" t="s">
        <v>48</v>
      </c>
      <c r="G1684" s="32" t="s">
        <v>35</v>
      </c>
      <c r="H1684" s="23" t="s">
        <v>35</v>
      </c>
      <c r="I1684" s="24" t="s">
        <v>36</v>
      </c>
      <c r="J1684" s="25" t="s">
        <v>49</v>
      </c>
      <c r="K1684" s="26" t="s">
        <v>38</v>
      </c>
      <c r="L1684" s="25" t="s">
        <v>6746</v>
      </c>
      <c r="M1684" s="27" t="s">
        <v>50</v>
      </c>
      <c r="N1684" s="26" t="s">
        <v>6741</v>
      </c>
      <c r="O1684" s="28">
        <v>45467.6977590162</v>
      </c>
      <c r="P1684" s="26" t="s">
        <v>6747</v>
      </c>
      <c r="Q1684" s="11"/>
      <c r="R1684" s="11"/>
      <c r="S1684" s="11"/>
      <c r="T1684" s="29">
        <v>45462.0</v>
      </c>
      <c r="U1684" s="29">
        <v>45463.0</v>
      </c>
      <c r="V1684" s="29">
        <v>45467.549502662034</v>
      </c>
      <c r="W1684" s="30"/>
      <c r="X1684" s="30"/>
      <c r="Y1684" s="31"/>
      <c r="Z1684" s="31"/>
      <c r="AA1684" s="31" t="s">
        <v>120</v>
      </c>
      <c r="AB1684" s="31" t="s">
        <v>6751</v>
      </c>
      <c r="AC1684" s="31"/>
    </row>
    <row r="1685" ht="18.75" customHeight="1">
      <c r="A1685" s="18" t="s">
        <v>6752</v>
      </c>
      <c r="B1685" s="19" t="s">
        <v>6288</v>
      </c>
      <c r="C1685" s="20">
        <v>90.0</v>
      </c>
      <c r="D1685" s="21" t="s">
        <v>6753</v>
      </c>
      <c r="E1685" s="27" t="s">
        <v>91</v>
      </c>
      <c r="F1685" s="18" t="s">
        <v>48</v>
      </c>
      <c r="G1685" s="32" t="s">
        <v>35</v>
      </c>
      <c r="H1685" s="23" t="s">
        <v>35</v>
      </c>
      <c r="I1685" s="24" t="s">
        <v>36</v>
      </c>
      <c r="J1685" s="25" t="s">
        <v>49</v>
      </c>
      <c r="K1685" s="26" t="s">
        <v>38</v>
      </c>
      <c r="L1685" s="25" t="s">
        <v>6754</v>
      </c>
      <c r="M1685" s="27" t="s">
        <v>50</v>
      </c>
      <c r="N1685" s="26" t="s">
        <v>6741</v>
      </c>
      <c r="O1685" s="28">
        <v>45467.697131747685</v>
      </c>
      <c r="P1685" s="26" t="s">
        <v>6755</v>
      </c>
      <c r="Q1685" s="11"/>
      <c r="R1685" s="11"/>
      <c r="S1685" s="11"/>
      <c r="T1685" s="29">
        <v>45462.0</v>
      </c>
      <c r="U1685" s="29">
        <v>45463.0</v>
      </c>
      <c r="V1685" s="29">
        <v>45467.550663368056</v>
      </c>
      <c r="W1685" s="30"/>
      <c r="X1685" s="30"/>
      <c r="Y1685" s="31"/>
      <c r="Z1685" s="31"/>
      <c r="AA1685" s="31" t="s">
        <v>120</v>
      </c>
      <c r="AB1685" s="31" t="s">
        <v>6756</v>
      </c>
      <c r="AC1685" s="31"/>
    </row>
    <row r="1686" ht="18.75" customHeight="1">
      <c r="A1686" s="18" t="s">
        <v>6757</v>
      </c>
      <c r="B1686" s="19" t="s">
        <v>6288</v>
      </c>
      <c r="C1686" s="20">
        <v>90.0</v>
      </c>
      <c r="D1686" s="21" t="s">
        <v>6758</v>
      </c>
      <c r="E1686" s="27" t="s">
        <v>91</v>
      </c>
      <c r="F1686" s="18" t="s">
        <v>48</v>
      </c>
      <c r="G1686" s="32" t="s">
        <v>35</v>
      </c>
      <c r="H1686" s="23" t="s">
        <v>35</v>
      </c>
      <c r="I1686" s="24" t="s">
        <v>36</v>
      </c>
      <c r="J1686" s="25" t="s">
        <v>49</v>
      </c>
      <c r="K1686" s="26" t="s">
        <v>38</v>
      </c>
      <c r="L1686" s="25" t="s">
        <v>6754</v>
      </c>
      <c r="M1686" s="27" t="s">
        <v>50</v>
      </c>
      <c r="N1686" s="26" t="s">
        <v>6741</v>
      </c>
      <c r="O1686" s="28">
        <v>45467.6968519213</v>
      </c>
      <c r="P1686" s="26" t="s">
        <v>6755</v>
      </c>
      <c r="Q1686" s="11"/>
      <c r="R1686" s="11"/>
      <c r="S1686" s="11"/>
      <c r="T1686" s="29">
        <v>45462.0</v>
      </c>
      <c r="U1686" s="29">
        <v>45463.0</v>
      </c>
      <c r="V1686" s="29">
        <v>45467.55067261574</v>
      </c>
      <c r="W1686" s="30"/>
      <c r="X1686" s="30"/>
      <c r="Y1686" s="31"/>
      <c r="Z1686" s="31"/>
      <c r="AA1686" s="31" t="s">
        <v>120</v>
      </c>
      <c r="AB1686" s="31" t="s">
        <v>6759</v>
      </c>
      <c r="AC1686" s="31"/>
    </row>
    <row r="1687" ht="18.75" customHeight="1">
      <c r="A1687" s="18" t="s">
        <v>6760</v>
      </c>
      <c r="B1687" s="19" t="s">
        <v>3183</v>
      </c>
      <c r="C1687" s="20">
        <v>90.0</v>
      </c>
      <c r="D1687" s="21" t="s">
        <v>6761</v>
      </c>
      <c r="E1687" s="27" t="s">
        <v>91</v>
      </c>
      <c r="F1687" s="18" t="s">
        <v>48</v>
      </c>
      <c r="G1687" s="32" t="s">
        <v>35</v>
      </c>
      <c r="H1687" s="23" t="s">
        <v>35</v>
      </c>
      <c r="I1687" s="24" t="s">
        <v>36</v>
      </c>
      <c r="J1687" s="25" t="s">
        <v>49</v>
      </c>
      <c r="K1687" s="26" t="s">
        <v>38</v>
      </c>
      <c r="L1687" s="25" t="s">
        <v>6762</v>
      </c>
      <c r="M1687" s="27" t="s">
        <v>50</v>
      </c>
      <c r="N1687" s="26" t="s">
        <v>6741</v>
      </c>
      <c r="O1687" s="28">
        <v>45467.69696952547</v>
      </c>
      <c r="P1687" s="26" t="s">
        <v>6763</v>
      </c>
      <c r="Q1687" s="11"/>
      <c r="R1687" s="11"/>
      <c r="S1687" s="11"/>
      <c r="T1687" s="29">
        <v>45462.0</v>
      </c>
      <c r="U1687" s="29">
        <v>45463.0</v>
      </c>
      <c r="V1687" s="29">
        <v>45467.552288182866</v>
      </c>
      <c r="W1687" s="30"/>
      <c r="X1687" s="30"/>
      <c r="Y1687" s="31"/>
      <c r="Z1687" s="31"/>
      <c r="AA1687" s="31" t="s">
        <v>120</v>
      </c>
      <c r="AB1687" s="31" t="s">
        <v>6764</v>
      </c>
      <c r="AC1687" s="31"/>
    </row>
    <row r="1688" ht="18.75" customHeight="1">
      <c r="A1688" s="18" t="s">
        <v>6765</v>
      </c>
      <c r="B1688" s="19" t="s">
        <v>3183</v>
      </c>
      <c r="C1688" s="20">
        <v>90.0</v>
      </c>
      <c r="D1688" s="21" t="s">
        <v>6766</v>
      </c>
      <c r="E1688" s="27" t="s">
        <v>91</v>
      </c>
      <c r="F1688" s="18" t="s">
        <v>48</v>
      </c>
      <c r="G1688" s="32" t="s">
        <v>35</v>
      </c>
      <c r="H1688" s="23" t="s">
        <v>35</v>
      </c>
      <c r="I1688" s="24" t="s">
        <v>36</v>
      </c>
      <c r="J1688" s="25" t="s">
        <v>49</v>
      </c>
      <c r="K1688" s="26" t="s">
        <v>38</v>
      </c>
      <c r="L1688" s="25" t="s">
        <v>6762</v>
      </c>
      <c r="M1688" s="27" t="s">
        <v>50</v>
      </c>
      <c r="N1688" s="26" t="s">
        <v>6741</v>
      </c>
      <c r="O1688" s="28">
        <v>45467.69702619213</v>
      </c>
      <c r="P1688" s="26" t="s">
        <v>6763</v>
      </c>
      <c r="Q1688" s="11"/>
      <c r="R1688" s="11"/>
      <c r="S1688" s="11"/>
      <c r="T1688" s="29">
        <v>45462.0</v>
      </c>
      <c r="U1688" s="29">
        <v>45463.0</v>
      </c>
      <c r="V1688" s="29">
        <v>45467.55229846065</v>
      </c>
      <c r="W1688" s="30"/>
      <c r="X1688" s="30"/>
      <c r="Y1688" s="31"/>
      <c r="Z1688" s="31"/>
      <c r="AA1688" s="31" t="s">
        <v>120</v>
      </c>
      <c r="AB1688" s="31" t="s">
        <v>6767</v>
      </c>
      <c r="AC1688" s="31"/>
    </row>
    <row r="1689" ht="18.75" customHeight="1">
      <c r="A1689" s="18" t="s">
        <v>6768</v>
      </c>
      <c r="B1689" s="19" t="s">
        <v>3183</v>
      </c>
      <c r="C1689" s="20">
        <v>90.0</v>
      </c>
      <c r="D1689" s="21" t="s">
        <v>6769</v>
      </c>
      <c r="E1689" s="27" t="s">
        <v>91</v>
      </c>
      <c r="F1689" s="18" t="s">
        <v>48</v>
      </c>
      <c r="G1689" s="32" t="s">
        <v>35</v>
      </c>
      <c r="H1689" s="23" t="s">
        <v>35</v>
      </c>
      <c r="I1689" s="24" t="s">
        <v>36</v>
      </c>
      <c r="J1689" s="25" t="s">
        <v>49</v>
      </c>
      <c r="K1689" s="26" t="s">
        <v>38</v>
      </c>
      <c r="L1689" s="25" t="s">
        <v>6762</v>
      </c>
      <c r="M1689" s="27" t="s">
        <v>50</v>
      </c>
      <c r="N1689" s="26" t="s">
        <v>6741</v>
      </c>
      <c r="O1689" s="28">
        <v>45467.697191134255</v>
      </c>
      <c r="P1689" s="26" t="s">
        <v>6763</v>
      </c>
      <c r="Q1689" s="11"/>
      <c r="R1689" s="11"/>
      <c r="S1689" s="11"/>
      <c r="T1689" s="29">
        <v>45462.0</v>
      </c>
      <c r="U1689" s="29">
        <v>45463.0</v>
      </c>
      <c r="V1689" s="29">
        <v>45467.55230649306</v>
      </c>
      <c r="W1689" s="30"/>
      <c r="X1689" s="30"/>
      <c r="Y1689" s="31"/>
      <c r="Z1689" s="31"/>
      <c r="AA1689" s="31" t="s">
        <v>120</v>
      </c>
      <c r="AB1689" s="31" t="s">
        <v>6770</v>
      </c>
      <c r="AC1689" s="31"/>
    </row>
    <row r="1690" ht="18.75" customHeight="1">
      <c r="A1690" s="18" t="s">
        <v>6771</v>
      </c>
      <c r="B1690" s="19" t="s">
        <v>3183</v>
      </c>
      <c r="C1690" s="20">
        <v>137.0</v>
      </c>
      <c r="D1690" s="21" t="s">
        <v>6772</v>
      </c>
      <c r="E1690" s="27" t="s">
        <v>85</v>
      </c>
      <c r="F1690" s="18" t="s">
        <v>48</v>
      </c>
      <c r="G1690" s="32" t="s">
        <v>35</v>
      </c>
      <c r="H1690" s="23" t="s">
        <v>35</v>
      </c>
      <c r="I1690" s="24" t="s">
        <v>36</v>
      </c>
      <c r="J1690" s="25" t="s">
        <v>49</v>
      </c>
      <c r="K1690" s="26" t="s">
        <v>38</v>
      </c>
      <c r="L1690" s="25" t="s">
        <v>6773</v>
      </c>
      <c r="M1690" s="27" t="s">
        <v>50</v>
      </c>
      <c r="N1690" s="26" t="s">
        <v>6741</v>
      </c>
      <c r="O1690" s="28">
        <v>45467.697076365745</v>
      </c>
      <c r="P1690" s="26" t="s">
        <v>6774</v>
      </c>
      <c r="Q1690" s="11"/>
      <c r="R1690" s="11"/>
      <c r="S1690" s="11"/>
      <c r="T1690" s="29">
        <v>45462.0</v>
      </c>
      <c r="U1690" s="29">
        <v>45463.0</v>
      </c>
      <c r="V1690" s="29">
        <v>45467.554525694446</v>
      </c>
      <c r="W1690" s="30"/>
      <c r="X1690" s="30"/>
      <c r="Y1690" s="31"/>
      <c r="Z1690" s="31"/>
      <c r="AA1690" s="31" t="s">
        <v>120</v>
      </c>
      <c r="AB1690" s="31" t="s">
        <v>6775</v>
      </c>
      <c r="AC1690" s="31"/>
    </row>
    <row r="1691" ht="18.75" customHeight="1">
      <c r="A1691" s="18" t="s">
        <v>6776</v>
      </c>
      <c r="B1691" s="19" t="s">
        <v>3183</v>
      </c>
      <c r="C1691" s="20">
        <v>137.0</v>
      </c>
      <c r="D1691" s="21" t="s">
        <v>6777</v>
      </c>
      <c r="E1691" s="27" t="s">
        <v>85</v>
      </c>
      <c r="F1691" s="18" t="s">
        <v>48</v>
      </c>
      <c r="G1691" s="32" t="s">
        <v>35</v>
      </c>
      <c r="H1691" s="23" t="s">
        <v>35</v>
      </c>
      <c r="I1691" s="24" t="s">
        <v>36</v>
      </c>
      <c r="J1691" s="25" t="s">
        <v>49</v>
      </c>
      <c r="K1691" s="26" t="s">
        <v>38</v>
      </c>
      <c r="L1691" s="25" t="s">
        <v>6773</v>
      </c>
      <c r="M1691" s="27" t="s">
        <v>50</v>
      </c>
      <c r="N1691" s="26" t="s">
        <v>6741</v>
      </c>
      <c r="O1691" s="28">
        <v>45467.69691267361</v>
      </c>
      <c r="P1691" s="26" t="s">
        <v>6774</v>
      </c>
      <c r="Q1691" s="11"/>
      <c r="R1691" s="11"/>
      <c r="S1691" s="11"/>
      <c r="T1691" s="29">
        <v>45462.0</v>
      </c>
      <c r="U1691" s="29">
        <v>45463.0</v>
      </c>
      <c r="V1691" s="29">
        <v>45467.55453641203</v>
      </c>
      <c r="W1691" s="30"/>
      <c r="X1691" s="30"/>
      <c r="Y1691" s="31"/>
      <c r="Z1691" s="31"/>
      <c r="AA1691" s="31" t="s">
        <v>120</v>
      </c>
      <c r="AB1691" s="31" t="s">
        <v>6778</v>
      </c>
      <c r="AC1691" s="31"/>
    </row>
    <row r="1692" ht="18.75" customHeight="1">
      <c r="A1692" s="18" t="s">
        <v>6779</v>
      </c>
      <c r="B1692" s="19" t="s">
        <v>3183</v>
      </c>
      <c r="C1692" s="20">
        <v>137.0</v>
      </c>
      <c r="D1692" s="21" t="s">
        <v>6780</v>
      </c>
      <c r="E1692" s="27" t="s">
        <v>85</v>
      </c>
      <c r="F1692" s="18" t="s">
        <v>48</v>
      </c>
      <c r="G1692" s="32" t="s">
        <v>35</v>
      </c>
      <c r="H1692" s="23" t="s">
        <v>35</v>
      </c>
      <c r="I1692" s="24" t="s">
        <v>36</v>
      </c>
      <c r="J1692" s="25" t="s">
        <v>49</v>
      </c>
      <c r="K1692" s="26" t="s">
        <v>38</v>
      </c>
      <c r="L1692" s="25" t="s">
        <v>6773</v>
      </c>
      <c r="M1692" s="27" t="s">
        <v>50</v>
      </c>
      <c r="N1692" s="26" t="s">
        <v>6741</v>
      </c>
      <c r="O1692" s="28">
        <v>45467.6973837963</v>
      </c>
      <c r="P1692" s="26" t="s">
        <v>6774</v>
      </c>
      <c r="Q1692" s="11"/>
      <c r="R1692" s="11"/>
      <c r="S1692" s="11"/>
      <c r="T1692" s="29">
        <v>45462.0</v>
      </c>
      <c r="U1692" s="29">
        <v>45463.0</v>
      </c>
      <c r="V1692" s="29">
        <v>45467.55454515046</v>
      </c>
      <c r="W1692" s="30"/>
      <c r="X1692" s="30"/>
      <c r="Y1692" s="31"/>
      <c r="Z1692" s="31"/>
      <c r="AA1692" s="31" t="s">
        <v>120</v>
      </c>
      <c r="AB1692" s="31" t="s">
        <v>6781</v>
      </c>
      <c r="AC1692" s="31"/>
    </row>
    <row r="1693" ht="18.75" customHeight="1">
      <c r="A1693" s="18" t="s">
        <v>6782</v>
      </c>
      <c r="B1693" s="19" t="s">
        <v>3183</v>
      </c>
      <c r="C1693" s="20">
        <v>1.0</v>
      </c>
      <c r="D1693" s="21" t="s">
        <v>6783</v>
      </c>
      <c r="E1693" s="27" t="s">
        <v>3395</v>
      </c>
      <c r="F1693" s="18" t="s">
        <v>48</v>
      </c>
      <c r="G1693" s="32" t="s">
        <v>35</v>
      </c>
      <c r="H1693" s="23" t="s">
        <v>35</v>
      </c>
      <c r="I1693" s="24" t="s">
        <v>36</v>
      </c>
      <c r="J1693" s="25" t="s">
        <v>49</v>
      </c>
      <c r="K1693" s="26" t="s">
        <v>38</v>
      </c>
      <c r="L1693" s="25" t="s">
        <v>6784</v>
      </c>
      <c r="M1693" s="27" t="s">
        <v>50</v>
      </c>
      <c r="N1693" s="26" t="s">
        <v>6741</v>
      </c>
      <c r="O1693" s="28">
        <v>45467.69724324074</v>
      </c>
      <c r="P1693" s="26" t="s">
        <v>6785</v>
      </c>
      <c r="Q1693" s="11"/>
      <c r="R1693" s="11"/>
      <c r="S1693" s="11"/>
      <c r="T1693" s="29">
        <v>45462.0</v>
      </c>
      <c r="U1693" s="29">
        <v>45463.0</v>
      </c>
      <c r="V1693" s="29">
        <v>45467.556554421295</v>
      </c>
      <c r="W1693" s="30"/>
      <c r="X1693" s="30"/>
      <c r="Y1693" s="31"/>
      <c r="Z1693" s="31"/>
      <c r="AA1693" s="31" t="s">
        <v>120</v>
      </c>
      <c r="AB1693" s="31" t="s">
        <v>6786</v>
      </c>
      <c r="AC1693" s="31"/>
    </row>
    <row r="1694" ht="18.75" customHeight="1">
      <c r="A1694" s="18" t="s">
        <v>6787</v>
      </c>
      <c r="B1694" s="19" t="s">
        <v>3183</v>
      </c>
      <c r="C1694" s="20">
        <v>1.0</v>
      </c>
      <c r="D1694" s="21" t="s">
        <v>6788</v>
      </c>
      <c r="E1694" s="27" t="s">
        <v>3395</v>
      </c>
      <c r="F1694" s="18" t="s">
        <v>48</v>
      </c>
      <c r="G1694" s="32" t="s">
        <v>35</v>
      </c>
      <c r="H1694" s="23" t="s">
        <v>35</v>
      </c>
      <c r="I1694" s="24" t="s">
        <v>36</v>
      </c>
      <c r="J1694" s="25" t="s">
        <v>49</v>
      </c>
      <c r="K1694" s="26" t="s">
        <v>38</v>
      </c>
      <c r="L1694" s="25" t="s">
        <v>6784</v>
      </c>
      <c r="M1694" s="27" t="s">
        <v>50</v>
      </c>
      <c r="N1694" s="26" t="s">
        <v>6741</v>
      </c>
      <c r="O1694" s="28">
        <v>45467.69757483796</v>
      </c>
      <c r="P1694" s="26" t="s">
        <v>6785</v>
      </c>
      <c r="Q1694" s="11"/>
      <c r="R1694" s="11"/>
      <c r="S1694" s="11"/>
      <c r="T1694" s="29">
        <v>45462.0</v>
      </c>
      <c r="U1694" s="29">
        <v>45463.0</v>
      </c>
      <c r="V1694" s="29">
        <v>45467.556560868055</v>
      </c>
      <c r="W1694" s="30"/>
      <c r="X1694" s="30"/>
      <c r="Y1694" s="31"/>
      <c r="Z1694" s="31"/>
      <c r="AA1694" s="31" t="s">
        <v>120</v>
      </c>
      <c r="AB1694" s="31" t="s">
        <v>6789</v>
      </c>
      <c r="AC1694" s="31"/>
    </row>
    <row r="1695" ht="18.75" customHeight="1">
      <c r="A1695" s="18" t="s">
        <v>6790</v>
      </c>
      <c r="B1695" s="19" t="s">
        <v>3183</v>
      </c>
      <c r="C1695" s="20">
        <v>1.0</v>
      </c>
      <c r="D1695" s="21" t="s">
        <v>6791</v>
      </c>
      <c r="E1695" s="27" t="s">
        <v>3395</v>
      </c>
      <c r="F1695" s="18" t="s">
        <v>48</v>
      </c>
      <c r="G1695" s="32" t="s">
        <v>35</v>
      </c>
      <c r="H1695" s="23" t="s">
        <v>35</v>
      </c>
      <c r="I1695" s="24" t="s">
        <v>36</v>
      </c>
      <c r="J1695" s="25" t="s">
        <v>49</v>
      </c>
      <c r="K1695" s="26" t="s">
        <v>38</v>
      </c>
      <c r="L1695" s="25" t="s">
        <v>6784</v>
      </c>
      <c r="M1695" s="27" t="s">
        <v>50</v>
      </c>
      <c r="N1695" s="26" t="s">
        <v>6741</v>
      </c>
      <c r="O1695" s="28">
        <v>45467.69748131944</v>
      </c>
      <c r="P1695" s="26" t="s">
        <v>6785</v>
      </c>
      <c r="Q1695" s="11"/>
      <c r="R1695" s="11"/>
      <c r="S1695" s="11"/>
      <c r="T1695" s="29">
        <v>45462.0</v>
      </c>
      <c r="U1695" s="29">
        <v>45463.0</v>
      </c>
      <c r="V1695" s="29">
        <v>45467.556568263884</v>
      </c>
      <c r="W1695" s="30"/>
      <c r="X1695" s="30"/>
      <c r="Y1695" s="31"/>
      <c r="Z1695" s="31"/>
      <c r="AA1695" s="31" t="s">
        <v>120</v>
      </c>
      <c r="AB1695" s="31" t="s">
        <v>6792</v>
      </c>
      <c r="AC1695" s="31"/>
    </row>
    <row r="1696" ht="18.75" customHeight="1">
      <c r="A1696" s="18" t="s">
        <v>6793</v>
      </c>
      <c r="B1696" s="19" t="s">
        <v>3183</v>
      </c>
      <c r="C1696" s="20">
        <v>0.0</v>
      </c>
      <c r="D1696" s="21" t="s">
        <v>6794</v>
      </c>
      <c r="E1696" s="27" t="s">
        <v>664</v>
      </c>
      <c r="F1696" s="18" t="s">
        <v>48</v>
      </c>
      <c r="G1696" s="32" t="s">
        <v>35</v>
      </c>
      <c r="H1696" s="23" t="s">
        <v>35</v>
      </c>
      <c r="I1696" s="24" t="s">
        <v>36</v>
      </c>
      <c r="J1696" s="25" t="s">
        <v>49</v>
      </c>
      <c r="K1696" s="26" t="s">
        <v>38</v>
      </c>
      <c r="L1696" s="25" t="s">
        <v>6795</v>
      </c>
      <c r="M1696" s="27" t="s">
        <v>50</v>
      </c>
      <c r="N1696" s="26" t="s">
        <v>6741</v>
      </c>
      <c r="O1696" s="28">
        <v>45467.6975275463</v>
      </c>
      <c r="P1696" s="26" t="s">
        <v>6796</v>
      </c>
      <c r="Q1696" s="11"/>
      <c r="R1696" s="11"/>
      <c r="S1696" s="11"/>
      <c r="T1696" s="29">
        <v>45462.0</v>
      </c>
      <c r="U1696" s="29">
        <v>45463.0</v>
      </c>
      <c r="V1696" s="29">
        <v>45467.55783517361</v>
      </c>
      <c r="W1696" s="30"/>
      <c r="X1696" s="30"/>
      <c r="Y1696" s="31"/>
      <c r="Z1696" s="31"/>
      <c r="AA1696" s="31" t="s">
        <v>120</v>
      </c>
      <c r="AB1696" s="31" t="s">
        <v>6797</v>
      </c>
      <c r="AC1696" s="31"/>
    </row>
    <row r="1697" ht="18.75" customHeight="1">
      <c r="A1697" s="18" t="s">
        <v>6798</v>
      </c>
      <c r="B1697" s="19" t="s">
        <v>3183</v>
      </c>
      <c r="C1697" s="20">
        <v>0.0</v>
      </c>
      <c r="D1697" s="21" t="s">
        <v>6799</v>
      </c>
      <c r="E1697" s="27" t="s">
        <v>664</v>
      </c>
      <c r="F1697" s="18" t="s">
        <v>48</v>
      </c>
      <c r="G1697" s="32" t="s">
        <v>35</v>
      </c>
      <c r="H1697" s="23" t="s">
        <v>35</v>
      </c>
      <c r="I1697" s="24" t="s">
        <v>36</v>
      </c>
      <c r="J1697" s="25" t="s">
        <v>49</v>
      </c>
      <c r="K1697" s="26" t="s">
        <v>38</v>
      </c>
      <c r="L1697" s="25" t="s">
        <v>6795</v>
      </c>
      <c r="M1697" s="27" t="s">
        <v>50</v>
      </c>
      <c r="N1697" s="26" t="s">
        <v>6741</v>
      </c>
      <c r="O1697" s="28">
        <v>45467.69732118056</v>
      </c>
      <c r="P1697" s="26" t="s">
        <v>6796</v>
      </c>
      <c r="Q1697" s="11"/>
      <c r="R1697" s="11"/>
      <c r="S1697" s="11"/>
      <c r="T1697" s="29">
        <v>45462.0</v>
      </c>
      <c r="U1697" s="29">
        <v>45463.0</v>
      </c>
      <c r="V1697" s="29">
        <v>45467.55784216435</v>
      </c>
      <c r="W1697" s="30"/>
      <c r="X1697" s="30"/>
      <c r="Y1697" s="31"/>
      <c r="Z1697" s="31"/>
      <c r="AA1697" s="31" t="s">
        <v>120</v>
      </c>
      <c r="AB1697" s="31" t="s">
        <v>6800</v>
      </c>
      <c r="AC1697" s="31"/>
    </row>
    <row r="1698" ht="18.75" customHeight="1">
      <c r="A1698" s="18" t="s">
        <v>6801</v>
      </c>
      <c r="B1698" s="19" t="s">
        <v>3183</v>
      </c>
      <c r="C1698" s="20">
        <v>0.0</v>
      </c>
      <c r="D1698" s="21" t="s">
        <v>6802</v>
      </c>
      <c r="E1698" s="27" t="s">
        <v>664</v>
      </c>
      <c r="F1698" s="18" t="s">
        <v>48</v>
      </c>
      <c r="G1698" s="32" t="s">
        <v>35</v>
      </c>
      <c r="H1698" s="23" t="s">
        <v>35</v>
      </c>
      <c r="I1698" s="24" t="s">
        <v>36</v>
      </c>
      <c r="J1698" s="25" t="s">
        <v>49</v>
      </c>
      <c r="K1698" s="26" t="s">
        <v>38</v>
      </c>
      <c r="L1698" s="25" t="s">
        <v>6795</v>
      </c>
      <c r="M1698" s="27" t="s">
        <v>50</v>
      </c>
      <c r="N1698" s="26" t="s">
        <v>6741</v>
      </c>
      <c r="O1698" s="28">
        <v>45467.697434016205</v>
      </c>
      <c r="P1698" s="26" t="s">
        <v>6796</v>
      </c>
      <c r="Q1698" s="11"/>
      <c r="R1698" s="11"/>
      <c r="S1698" s="11"/>
      <c r="T1698" s="29">
        <v>45462.0</v>
      </c>
      <c r="U1698" s="29">
        <v>45463.0</v>
      </c>
      <c r="V1698" s="29">
        <v>45467.557849398145</v>
      </c>
      <c r="W1698" s="30"/>
      <c r="X1698" s="30"/>
      <c r="Y1698" s="31"/>
      <c r="Z1698" s="31"/>
      <c r="AA1698" s="31" t="s">
        <v>120</v>
      </c>
      <c r="AB1698" s="31" t="s">
        <v>6803</v>
      </c>
      <c r="AC1698" s="31"/>
    </row>
    <row r="1699" ht="18.75" customHeight="1">
      <c r="A1699" s="18" t="s">
        <v>6804</v>
      </c>
      <c r="B1699" s="19" t="s">
        <v>3183</v>
      </c>
      <c r="C1699" s="20">
        <v>0.0</v>
      </c>
      <c r="D1699" s="21" t="s">
        <v>6805</v>
      </c>
      <c r="E1699" s="27" t="s">
        <v>664</v>
      </c>
      <c r="F1699" s="18" t="s">
        <v>48</v>
      </c>
      <c r="G1699" s="32" t="s">
        <v>35</v>
      </c>
      <c r="H1699" s="23" t="s">
        <v>35</v>
      </c>
      <c r="I1699" s="24" t="s">
        <v>36</v>
      </c>
      <c r="J1699" s="25" t="s">
        <v>49</v>
      </c>
      <c r="K1699" s="26" t="s">
        <v>38</v>
      </c>
      <c r="L1699" s="25" t="s">
        <v>6795</v>
      </c>
      <c r="M1699" s="27" t="s">
        <v>50</v>
      </c>
      <c r="N1699" s="26" t="s">
        <v>6741</v>
      </c>
      <c r="O1699" s="28">
        <v>45467.697864814814</v>
      </c>
      <c r="P1699" s="26" t="s">
        <v>6796</v>
      </c>
      <c r="Q1699" s="11"/>
      <c r="R1699" s="11"/>
      <c r="S1699" s="11"/>
      <c r="T1699" s="29">
        <v>45462.0</v>
      </c>
      <c r="U1699" s="29">
        <v>45463.0</v>
      </c>
      <c r="V1699" s="29">
        <v>45467.55785752315</v>
      </c>
      <c r="W1699" s="30"/>
      <c r="X1699" s="30"/>
      <c r="Y1699" s="31"/>
      <c r="Z1699" s="31"/>
      <c r="AA1699" s="31" t="s">
        <v>120</v>
      </c>
      <c r="AB1699" s="31" t="s">
        <v>6806</v>
      </c>
      <c r="AC1699" s="31"/>
    </row>
    <row r="1700" ht="18.75" customHeight="1">
      <c r="A1700" s="48" t="s">
        <v>6807</v>
      </c>
      <c r="B1700" s="53" t="s">
        <v>5336</v>
      </c>
      <c r="C1700" s="47">
        <v>27.0</v>
      </c>
      <c r="D1700" s="70" t="s">
        <v>6808</v>
      </c>
      <c r="E1700" s="55" t="s">
        <v>72</v>
      </c>
      <c r="F1700" s="32" t="s">
        <v>48</v>
      </c>
      <c r="G1700" s="32" t="s">
        <v>35</v>
      </c>
      <c r="H1700" s="71" t="s">
        <v>35</v>
      </c>
      <c r="I1700" s="71" t="s">
        <v>36</v>
      </c>
      <c r="J1700" s="34" t="s">
        <v>49</v>
      </c>
      <c r="K1700" s="57" t="s">
        <v>38</v>
      </c>
      <c r="L1700" s="72">
        <v>11000.0</v>
      </c>
      <c r="M1700" s="22"/>
      <c r="N1700" s="73"/>
      <c r="O1700" s="28">
        <v>45463.0</v>
      </c>
      <c r="P1700" s="35" t="s">
        <v>6809</v>
      </c>
      <c r="Q1700" s="12"/>
      <c r="R1700" s="12"/>
      <c r="S1700" s="12"/>
      <c r="T1700" s="52">
        <v>45462.0</v>
      </c>
      <c r="U1700" s="52">
        <v>45384.0</v>
      </c>
      <c r="V1700" s="52">
        <v>45385.0</v>
      </c>
      <c r="W1700" s="30"/>
      <c r="X1700" s="30"/>
      <c r="Y1700" s="31"/>
      <c r="Z1700" s="31"/>
      <c r="AA1700" s="78" t="s">
        <v>94</v>
      </c>
      <c r="AB1700" s="74" t="s">
        <v>6810</v>
      </c>
      <c r="AC1700" s="74"/>
    </row>
    <row r="1701" ht="18.75" customHeight="1">
      <c r="A1701" s="18" t="s">
        <v>6811</v>
      </c>
      <c r="B1701" s="19" t="s">
        <v>6812</v>
      </c>
      <c r="C1701" s="20">
        <v>0.0</v>
      </c>
      <c r="D1701" s="21" t="s">
        <v>6813</v>
      </c>
      <c r="E1701" s="27" t="s">
        <v>3441</v>
      </c>
      <c r="F1701" s="18" t="s">
        <v>48</v>
      </c>
      <c r="G1701" s="32" t="s">
        <v>35</v>
      </c>
      <c r="H1701" s="23" t="s">
        <v>35</v>
      </c>
      <c r="I1701" s="24" t="s">
        <v>36</v>
      </c>
      <c r="J1701" s="25" t="s">
        <v>49</v>
      </c>
      <c r="K1701" s="26" t="s">
        <v>38</v>
      </c>
      <c r="L1701" s="25">
        <v>11005.0</v>
      </c>
      <c r="M1701" s="27" t="s">
        <v>50</v>
      </c>
      <c r="N1701" s="26" t="s">
        <v>106</v>
      </c>
      <c r="O1701" s="28">
        <v>45464.58200171296</v>
      </c>
      <c r="P1701" s="26" t="s">
        <v>6814</v>
      </c>
      <c r="Q1701" s="11"/>
      <c r="R1701" s="11"/>
      <c r="S1701" s="11"/>
      <c r="T1701" s="29">
        <v>45462.0</v>
      </c>
      <c r="U1701" s="29">
        <v>45463.0</v>
      </c>
      <c r="V1701" s="29">
        <v>45464.45864309028</v>
      </c>
      <c r="W1701" s="30"/>
      <c r="X1701" s="30"/>
      <c r="Y1701" s="31"/>
      <c r="Z1701" s="31"/>
      <c r="AA1701" s="31" t="s">
        <v>5199</v>
      </c>
      <c r="AB1701" s="31" t="s">
        <v>6815</v>
      </c>
      <c r="AC1701" s="31"/>
    </row>
    <row r="1702" ht="18.75" customHeight="1">
      <c r="A1702" s="18" t="s">
        <v>6816</v>
      </c>
      <c r="B1702" s="19" t="s">
        <v>6812</v>
      </c>
      <c r="C1702" s="20">
        <v>0.0</v>
      </c>
      <c r="D1702" s="21" t="s">
        <v>6817</v>
      </c>
      <c r="E1702" s="27" t="s">
        <v>3441</v>
      </c>
      <c r="F1702" s="18" t="s">
        <v>48</v>
      </c>
      <c r="G1702" s="32" t="s">
        <v>35</v>
      </c>
      <c r="H1702" s="23" t="s">
        <v>35</v>
      </c>
      <c r="I1702" s="24" t="s">
        <v>36</v>
      </c>
      <c r="J1702" s="25" t="s">
        <v>49</v>
      </c>
      <c r="K1702" s="26" t="s">
        <v>38</v>
      </c>
      <c r="L1702" s="25">
        <v>11006.0</v>
      </c>
      <c r="M1702" s="27" t="s">
        <v>50</v>
      </c>
      <c r="N1702" s="26" t="s">
        <v>106</v>
      </c>
      <c r="O1702" s="28">
        <v>45464.58210005787</v>
      </c>
      <c r="P1702" s="26" t="s">
        <v>6818</v>
      </c>
      <c r="Q1702" s="11"/>
      <c r="R1702" s="11"/>
      <c r="S1702" s="11"/>
      <c r="T1702" s="29">
        <v>45463.0</v>
      </c>
      <c r="U1702" s="29">
        <v>45463.0</v>
      </c>
      <c r="V1702" s="29">
        <v>45464.45952380787</v>
      </c>
      <c r="W1702" s="30"/>
      <c r="X1702" s="30"/>
      <c r="Y1702" s="31"/>
      <c r="Z1702" s="31"/>
      <c r="AA1702" s="31" t="s">
        <v>5199</v>
      </c>
      <c r="AB1702" s="31" t="s">
        <v>6819</v>
      </c>
      <c r="AC1702" s="31"/>
    </row>
    <row r="1703" ht="18.75" customHeight="1">
      <c r="A1703" s="18" t="s">
        <v>6820</v>
      </c>
      <c r="B1703" s="19" t="s">
        <v>6821</v>
      </c>
      <c r="C1703" s="20">
        <v>34.0</v>
      </c>
      <c r="D1703" s="21" t="s">
        <v>6822</v>
      </c>
      <c r="E1703" s="27" t="s">
        <v>47</v>
      </c>
      <c r="F1703" s="18" t="s">
        <v>48</v>
      </c>
      <c r="G1703" s="32" t="s">
        <v>35</v>
      </c>
      <c r="H1703" s="23" t="s">
        <v>35</v>
      </c>
      <c r="I1703" s="24" t="s">
        <v>36</v>
      </c>
      <c r="J1703" s="25" t="s">
        <v>37</v>
      </c>
      <c r="K1703" s="26" t="s">
        <v>384</v>
      </c>
      <c r="L1703" s="25">
        <v>11003.0</v>
      </c>
      <c r="M1703" s="27" t="s">
        <v>50</v>
      </c>
      <c r="N1703" s="26" t="s">
        <v>41</v>
      </c>
      <c r="O1703" s="28">
        <v>45464.581655671296</v>
      </c>
      <c r="P1703" s="26" t="s">
        <v>6823</v>
      </c>
      <c r="Q1703" s="11"/>
      <c r="R1703" s="11"/>
      <c r="S1703" s="11"/>
      <c r="T1703" s="29">
        <v>45463.0</v>
      </c>
      <c r="U1703" s="29">
        <v>45463.0</v>
      </c>
      <c r="V1703" s="29">
        <v>45464.41327704861</v>
      </c>
      <c r="W1703" s="30"/>
      <c r="X1703" s="30"/>
      <c r="Y1703" s="31"/>
      <c r="Z1703" s="31"/>
      <c r="AA1703" s="31" t="s">
        <v>108</v>
      </c>
      <c r="AB1703" s="31" t="s">
        <v>6824</v>
      </c>
      <c r="AC1703" s="31"/>
    </row>
    <row r="1704" ht="18.75" customHeight="1">
      <c r="A1704" s="18" t="s">
        <v>6825</v>
      </c>
      <c r="B1704" s="19" t="s">
        <v>4744</v>
      </c>
      <c r="C1704" s="20">
        <v>90.0</v>
      </c>
      <c r="D1704" s="21" t="s">
        <v>6826</v>
      </c>
      <c r="E1704" s="27" t="s">
        <v>91</v>
      </c>
      <c r="F1704" s="18" t="s">
        <v>48</v>
      </c>
      <c r="G1704" s="32" t="s">
        <v>35</v>
      </c>
      <c r="H1704" s="23" t="s">
        <v>35</v>
      </c>
      <c r="I1704" s="24" t="s">
        <v>36</v>
      </c>
      <c r="J1704" s="25" t="s">
        <v>49</v>
      </c>
      <c r="K1704" s="26" t="s">
        <v>38</v>
      </c>
      <c r="L1704" s="25">
        <v>11007.0</v>
      </c>
      <c r="M1704" s="27" t="s">
        <v>50</v>
      </c>
      <c r="N1704" s="26" t="s">
        <v>106</v>
      </c>
      <c r="O1704" s="28">
        <v>45464.58220502315</v>
      </c>
      <c r="P1704" s="26" t="s">
        <v>6827</v>
      </c>
      <c r="Q1704" s="11"/>
      <c r="R1704" s="11"/>
      <c r="S1704" s="11"/>
      <c r="T1704" s="29">
        <v>45463.0</v>
      </c>
      <c r="U1704" s="29">
        <v>45463.0</v>
      </c>
      <c r="V1704" s="29">
        <v>45464.45645288195</v>
      </c>
      <c r="W1704" s="30"/>
      <c r="X1704" s="30"/>
      <c r="Y1704" s="31"/>
      <c r="Z1704" s="31"/>
      <c r="AA1704" s="31"/>
      <c r="AB1704" s="31" t="s">
        <v>6828</v>
      </c>
      <c r="AC1704" s="31"/>
    </row>
    <row r="1705" ht="18.75" customHeight="1">
      <c r="A1705" s="18" t="s">
        <v>6829</v>
      </c>
      <c r="B1705" s="19" t="s">
        <v>4472</v>
      </c>
      <c r="C1705" s="20">
        <v>0.0</v>
      </c>
      <c r="D1705" s="21" t="s">
        <v>6830</v>
      </c>
      <c r="E1705" s="27" t="s">
        <v>79</v>
      </c>
      <c r="F1705" s="18" t="s">
        <v>33</v>
      </c>
      <c r="G1705" s="32" t="s">
        <v>35</v>
      </c>
      <c r="H1705" s="23" t="s">
        <v>35</v>
      </c>
      <c r="I1705" s="24" t="s">
        <v>36</v>
      </c>
      <c r="J1705" s="25" t="s">
        <v>49</v>
      </c>
      <c r="K1705" s="26" t="s">
        <v>38</v>
      </c>
      <c r="L1705" s="25">
        <v>11040.0</v>
      </c>
      <c r="M1705" s="27" t="s">
        <v>40</v>
      </c>
      <c r="N1705" s="26" t="s">
        <v>106</v>
      </c>
      <c r="O1705" s="28">
        <v>45469.659383182865</v>
      </c>
      <c r="P1705" s="26" t="s">
        <v>6831</v>
      </c>
      <c r="Q1705" s="11"/>
      <c r="R1705" s="11"/>
      <c r="S1705" s="11"/>
      <c r="T1705" s="29">
        <v>45463.0</v>
      </c>
      <c r="U1705" s="29">
        <v>45463.0</v>
      </c>
      <c r="V1705" s="29">
        <v>45468.0</v>
      </c>
      <c r="W1705" s="30"/>
      <c r="X1705" s="30"/>
      <c r="Y1705" s="31"/>
      <c r="Z1705" s="31"/>
      <c r="AA1705" s="31" t="s">
        <v>102</v>
      </c>
      <c r="AB1705" s="31" t="s">
        <v>6832</v>
      </c>
      <c r="AC1705" s="31"/>
    </row>
    <row r="1706" ht="18.75" customHeight="1">
      <c r="A1706" s="18" t="s">
        <v>6833</v>
      </c>
      <c r="B1706" s="19" t="s">
        <v>6834</v>
      </c>
      <c r="C1706" s="20">
        <v>0.0</v>
      </c>
      <c r="D1706" s="21" t="s">
        <v>6835</v>
      </c>
      <c r="E1706" s="27" t="s">
        <v>117</v>
      </c>
      <c r="F1706" s="18" t="s">
        <v>33</v>
      </c>
      <c r="G1706" s="32" t="s">
        <v>35</v>
      </c>
      <c r="H1706" s="23" t="s">
        <v>35</v>
      </c>
      <c r="I1706" s="24" t="s">
        <v>36</v>
      </c>
      <c r="J1706" s="25" t="s">
        <v>49</v>
      </c>
      <c r="K1706" s="26" t="s">
        <v>38</v>
      </c>
      <c r="L1706" s="25">
        <v>11035.0</v>
      </c>
      <c r="M1706" s="27" t="s">
        <v>40</v>
      </c>
      <c r="N1706" s="26" t="s">
        <v>5936</v>
      </c>
      <c r="O1706" s="28">
        <v>45468.630264629624</v>
      </c>
      <c r="P1706" s="26" t="s">
        <v>6836</v>
      </c>
      <c r="Q1706" s="11"/>
      <c r="R1706" s="11"/>
      <c r="S1706" s="11"/>
      <c r="T1706" s="29">
        <v>45463.0</v>
      </c>
      <c r="U1706" s="29">
        <v>45463.0</v>
      </c>
      <c r="V1706" s="29">
        <v>45468.0</v>
      </c>
      <c r="W1706" s="30"/>
      <c r="X1706" s="30"/>
      <c r="Y1706" s="31"/>
      <c r="Z1706" s="31"/>
      <c r="AA1706" s="31" t="s">
        <v>127</v>
      </c>
      <c r="AB1706" s="31" t="s">
        <v>6837</v>
      </c>
      <c r="AC1706" s="31"/>
    </row>
    <row r="1707" ht="18.75" customHeight="1">
      <c r="A1707" s="18" t="s">
        <v>6838</v>
      </c>
      <c r="B1707" s="19" t="s">
        <v>1528</v>
      </c>
      <c r="C1707" s="20">
        <v>0.0</v>
      </c>
      <c r="D1707" s="21" t="s">
        <v>6839</v>
      </c>
      <c r="E1707" s="27" t="s">
        <v>1530</v>
      </c>
      <c r="F1707" s="18" t="s">
        <v>33</v>
      </c>
      <c r="G1707" s="32" t="s">
        <v>35</v>
      </c>
      <c r="H1707" s="23" t="s">
        <v>35</v>
      </c>
      <c r="I1707" s="24" t="s">
        <v>36</v>
      </c>
      <c r="J1707" s="25" t="s">
        <v>92</v>
      </c>
      <c r="K1707" s="26" t="s">
        <v>38</v>
      </c>
      <c r="L1707" s="25">
        <v>11074.0</v>
      </c>
      <c r="M1707" s="27"/>
      <c r="N1707" s="26" t="s">
        <v>6840</v>
      </c>
      <c r="O1707" s="28">
        <v>45474.63333333333</v>
      </c>
      <c r="P1707" s="26" t="s">
        <v>6841</v>
      </c>
      <c r="Q1707" s="11"/>
      <c r="R1707" s="11"/>
      <c r="S1707" s="11"/>
      <c r="T1707" s="29">
        <v>45464.0</v>
      </c>
      <c r="U1707" s="29">
        <v>45469.0</v>
      </c>
      <c r="V1707" s="29">
        <v>45474.0</v>
      </c>
      <c r="W1707" s="30"/>
      <c r="X1707" s="30"/>
      <c r="Y1707" s="31"/>
      <c r="Z1707" s="31"/>
      <c r="AA1707" s="31"/>
      <c r="AB1707" s="31" t="s">
        <v>6842</v>
      </c>
      <c r="AC1707" s="31"/>
    </row>
    <row r="1708" ht="18.75" customHeight="1">
      <c r="A1708" s="18" t="s">
        <v>6843</v>
      </c>
      <c r="B1708" s="19" t="s">
        <v>6114</v>
      </c>
      <c r="C1708" s="20">
        <v>1.0</v>
      </c>
      <c r="D1708" s="21" t="s">
        <v>6844</v>
      </c>
      <c r="E1708" s="27" t="s">
        <v>3395</v>
      </c>
      <c r="F1708" s="18" t="s">
        <v>48</v>
      </c>
      <c r="G1708" s="32" t="s">
        <v>35</v>
      </c>
      <c r="H1708" s="23" t="s">
        <v>35</v>
      </c>
      <c r="I1708" s="24" t="s">
        <v>36</v>
      </c>
      <c r="J1708" s="25" t="s">
        <v>420</v>
      </c>
      <c r="K1708" s="26" t="s">
        <v>38</v>
      </c>
      <c r="L1708" s="25">
        <v>11038.0</v>
      </c>
      <c r="M1708" s="27" t="s">
        <v>50</v>
      </c>
      <c r="N1708" s="26" t="s">
        <v>4031</v>
      </c>
      <c r="O1708" s="28">
        <v>45468.613905300925</v>
      </c>
      <c r="P1708" s="26" t="s">
        <v>6028</v>
      </c>
      <c r="Q1708" s="11"/>
      <c r="R1708" s="11"/>
      <c r="S1708" s="11"/>
      <c r="T1708" s="29">
        <v>45464.0</v>
      </c>
      <c r="U1708" s="29">
        <v>45464.0</v>
      </c>
      <c r="V1708" s="29">
        <v>45467.66426539352</v>
      </c>
      <c r="W1708" s="30"/>
      <c r="X1708" s="30"/>
      <c r="Y1708" s="31"/>
      <c r="Z1708" s="31"/>
      <c r="AA1708" s="31" t="s">
        <v>120</v>
      </c>
      <c r="AB1708" s="31" t="s">
        <v>6845</v>
      </c>
      <c r="AC1708" s="31"/>
    </row>
    <row r="1709" ht="18.75" customHeight="1">
      <c r="A1709" s="18" t="s">
        <v>6846</v>
      </c>
      <c r="B1709" s="19" t="s">
        <v>6847</v>
      </c>
      <c r="C1709" s="20">
        <v>137.0</v>
      </c>
      <c r="D1709" s="21" t="s">
        <v>6848</v>
      </c>
      <c r="E1709" s="27" t="s">
        <v>85</v>
      </c>
      <c r="F1709" s="18" t="s">
        <v>48</v>
      </c>
      <c r="G1709" s="32" t="s">
        <v>35</v>
      </c>
      <c r="H1709" s="23" t="s">
        <v>35</v>
      </c>
      <c r="I1709" s="24" t="s">
        <v>36</v>
      </c>
      <c r="J1709" s="25" t="s">
        <v>49</v>
      </c>
      <c r="K1709" s="26" t="s">
        <v>1761</v>
      </c>
      <c r="L1709" s="25" t="s">
        <v>6849</v>
      </c>
      <c r="M1709" s="27" t="s">
        <v>50</v>
      </c>
      <c r="N1709" s="26" t="s">
        <v>106</v>
      </c>
      <c r="O1709" s="28">
        <v>45467.61984349537</v>
      </c>
      <c r="P1709" s="26" t="s">
        <v>6850</v>
      </c>
      <c r="Q1709" s="11"/>
      <c r="R1709" s="11"/>
      <c r="S1709" s="11"/>
      <c r="T1709" s="29">
        <v>45464.0</v>
      </c>
      <c r="U1709" s="29">
        <v>45467.0</v>
      </c>
      <c r="V1709" s="29">
        <v>45467.579414039355</v>
      </c>
      <c r="W1709" s="30"/>
      <c r="X1709" s="30"/>
      <c r="Y1709" s="31"/>
      <c r="Z1709" s="31"/>
      <c r="AA1709" s="31" t="s">
        <v>127</v>
      </c>
      <c r="AB1709" s="31" t="s">
        <v>6851</v>
      </c>
      <c r="AC1709" s="31"/>
    </row>
    <row r="1710" ht="18.75" customHeight="1">
      <c r="A1710" s="18" t="s">
        <v>6852</v>
      </c>
      <c r="B1710" s="19" t="s">
        <v>6853</v>
      </c>
      <c r="C1710" s="20">
        <v>90.0</v>
      </c>
      <c r="D1710" s="21" t="s">
        <v>6854</v>
      </c>
      <c r="E1710" s="27" t="s">
        <v>91</v>
      </c>
      <c r="F1710" s="18" t="s">
        <v>48</v>
      </c>
      <c r="G1710" s="32" t="s">
        <v>35</v>
      </c>
      <c r="H1710" s="23" t="s">
        <v>35</v>
      </c>
      <c r="I1710" s="24" t="s">
        <v>36</v>
      </c>
      <c r="J1710" s="25" t="s">
        <v>49</v>
      </c>
      <c r="K1710" s="26" t="s">
        <v>38</v>
      </c>
      <c r="L1710" s="25">
        <v>11093.0</v>
      </c>
      <c r="M1710" s="27" t="s">
        <v>50</v>
      </c>
      <c r="N1710" s="26" t="s">
        <v>99</v>
      </c>
      <c r="O1710" s="28">
        <v>45489.67672293981</v>
      </c>
      <c r="P1710" s="26" t="s">
        <v>6855</v>
      </c>
      <c r="Q1710" s="11"/>
      <c r="R1710" s="11"/>
      <c r="S1710" s="11"/>
      <c r="T1710" s="29">
        <v>45464.0</v>
      </c>
      <c r="U1710" s="29">
        <v>45475.0</v>
      </c>
      <c r="V1710" s="29">
        <v>45476.4276934375</v>
      </c>
      <c r="W1710" s="30"/>
      <c r="X1710" s="30"/>
      <c r="Y1710" s="31"/>
      <c r="Z1710" s="31"/>
      <c r="AA1710" s="31" t="s">
        <v>127</v>
      </c>
      <c r="AB1710" s="31" t="s">
        <v>6856</v>
      </c>
      <c r="AC1710" s="31"/>
    </row>
    <row r="1711" ht="18.75" customHeight="1">
      <c r="A1711" s="18" t="s">
        <v>6857</v>
      </c>
      <c r="B1711" s="19" t="s">
        <v>6853</v>
      </c>
      <c r="C1711" s="20">
        <v>90.0</v>
      </c>
      <c r="D1711" s="21" t="s">
        <v>6858</v>
      </c>
      <c r="E1711" s="27" t="s">
        <v>91</v>
      </c>
      <c r="F1711" s="18" t="s">
        <v>48</v>
      </c>
      <c r="G1711" s="32" t="s">
        <v>35</v>
      </c>
      <c r="H1711" s="23" t="s">
        <v>35</v>
      </c>
      <c r="I1711" s="24" t="s">
        <v>36</v>
      </c>
      <c r="J1711" s="25" t="s">
        <v>49</v>
      </c>
      <c r="K1711" s="26" t="s">
        <v>38</v>
      </c>
      <c r="L1711" s="25">
        <v>11093.0</v>
      </c>
      <c r="M1711" s="27" t="s">
        <v>50</v>
      </c>
      <c r="N1711" s="26" t="s">
        <v>99</v>
      </c>
      <c r="O1711" s="28">
        <v>45489.67680818287</v>
      </c>
      <c r="P1711" s="26" t="s">
        <v>6855</v>
      </c>
      <c r="Q1711" s="11"/>
      <c r="R1711" s="11"/>
      <c r="S1711" s="11"/>
      <c r="T1711" s="29">
        <v>45464.0</v>
      </c>
      <c r="U1711" s="29">
        <v>45475.0</v>
      </c>
      <c r="V1711" s="29">
        <v>45476.42770971065</v>
      </c>
      <c r="W1711" s="30"/>
      <c r="X1711" s="30"/>
      <c r="Y1711" s="31"/>
      <c r="Z1711" s="31"/>
      <c r="AA1711" s="31" t="s">
        <v>127</v>
      </c>
      <c r="AB1711" s="31" t="s">
        <v>6859</v>
      </c>
      <c r="AC1711" s="31"/>
    </row>
    <row r="1712" ht="18.75" customHeight="1">
      <c r="A1712" s="18" t="s">
        <v>6860</v>
      </c>
      <c r="B1712" s="19" t="s">
        <v>6861</v>
      </c>
      <c r="C1712" s="20">
        <v>0.0</v>
      </c>
      <c r="D1712" s="21" t="s">
        <v>6862</v>
      </c>
      <c r="E1712" s="27" t="s">
        <v>491</v>
      </c>
      <c r="F1712" s="18" t="s">
        <v>33</v>
      </c>
      <c r="G1712" s="32" t="s">
        <v>35</v>
      </c>
      <c r="H1712" s="23" t="s">
        <v>35</v>
      </c>
      <c r="I1712" s="24" t="s">
        <v>36</v>
      </c>
      <c r="J1712" s="34" t="s">
        <v>65</v>
      </c>
      <c r="K1712" s="26" t="s">
        <v>38</v>
      </c>
      <c r="L1712" s="25">
        <v>11057.0</v>
      </c>
      <c r="M1712" s="27" t="s">
        <v>40</v>
      </c>
      <c r="N1712" s="26" t="s">
        <v>5279</v>
      </c>
      <c r="O1712" s="28">
        <v>45471.64304141204</v>
      </c>
      <c r="P1712" s="26" t="s">
        <v>6863</v>
      </c>
      <c r="Q1712" s="11"/>
      <c r="R1712" s="11"/>
      <c r="S1712" s="11"/>
      <c r="T1712" s="29">
        <v>45464.0</v>
      </c>
      <c r="U1712" s="29">
        <v>45464.0</v>
      </c>
      <c r="V1712" s="29">
        <v>45469.0</v>
      </c>
      <c r="W1712" s="30"/>
      <c r="X1712" s="30"/>
      <c r="Y1712" s="31"/>
      <c r="Z1712" s="31"/>
      <c r="AA1712" s="31" t="s">
        <v>94</v>
      </c>
      <c r="AB1712" s="31" t="s">
        <v>6864</v>
      </c>
      <c r="AC1712" s="31"/>
    </row>
    <row r="1713" ht="18.75" customHeight="1">
      <c r="A1713" s="18" t="s">
        <v>6865</v>
      </c>
      <c r="B1713" s="19" t="s">
        <v>530</v>
      </c>
      <c r="C1713" s="20">
        <v>34.0</v>
      </c>
      <c r="D1713" s="21" t="s">
        <v>6866</v>
      </c>
      <c r="E1713" s="27" t="s">
        <v>47</v>
      </c>
      <c r="F1713" s="18" t="s">
        <v>48</v>
      </c>
      <c r="G1713" s="32" t="s">
        <v>35</v>
      </c>
      <c r="H1713" s="23" t="s">
        <v>35</v>
      </c>
      <c r="I1713" s="24" t="s">
        <v>36</v>
      </c>
      <c r="J1713" s="25" t="s">
        <v>49</v>
      </c>
      <c r="K1713" s="26" t="s">
        <v>38</v>
      </c>
      <c r="L1713" s="25" t="s">
        <v>6867</v>
      </c>
      <c r="M1713" s="27" t="s">
        <v>50</v>
      </c>
      <c r="N1713" s="26" t="s">
        <v>6868</v>
      </c>
      <c r="O1713" s="28">
        <v>45467.69763012731</v>
      </c>
      <c r="P1713" s="26" t="s">
        <v>6869</v>
      </c>
      <c r="Q1713" s="11"/>
      <c r="R1713" s="11"/>
      <c r="S1713" s="11"/>
      <c r="T1713" s="29">
        <v>45464.0</v>
      </c>
      <c r="U1713" s="29">
        <v>45467.0</v>
      </c>
      <c r="V1713" s="29">
        <v>45467.663379375</v>
      </c>
      <c r="W1713" s="30"/>
      <c r="X1713" s="30"/>
      <c r="Y1713" s="31"/>
      <c r="Z1713" s="31"/>
      <c r="AA1713" s="31" t="s">
        <v>120</v>
      </c>
      <c r="AB1713" s="31" t="s">
        <v>6870</v>
      </c>
      <c r="AC1713" s="31"/>
    </row>
    <row r="1714" ht="18.75" customHeight="1">
      <c r="A1714" s="18" t="s">
        <v>6871</v>
      </c>
      <c r="B1714" s="19" t="s">
        <v>530</v>
      </c>
      <c r="C1714" s="20">
        <v>34.0</v>
      </c>
      <c r="D1714" s="21" t="s">
        <v>6872</v>
      </c>
      <c r="E1714" s="27" t="s">
        <v>47</v>
      </c>
      <c r="F1714" s="18" t="s">
        <v>48</v>
      </c>
      <c r="G1714" s="32" t="s">
        <v>35</v>
      </c>
      <c r="H1714" s="23" t="s">
        <v>35</v>
      </c>
      <c r="I1714" s="24" t="s">
        <v>36</v>
      </c>
      <c r="J1714" s="25" t="s">
        <v>49</v>
      </c>
      <c r="K1714" s="26" t="s">
        <v>38</v>
      </c>
      <c r="L1714" s="25" t="s">
        <v>6867</v>
      </c>
      <c r="M1714" s="27" t="s">
        <v>50</v>
      </c>
      <c r="N1714" s="26" t="s">
        <v>6868</v>
      </c>
      <c r="O1714" s="28">
        <v>45467.6979647338</v>
      </c>
      <c r="P1714" s="26" t="s">
        <v>6869</v>
      </c>
      <c r="Q1714" s="11"/>
      <c r="R1714" s="11"/>
      <c r="S1714" s="11"/>
      <c r="T1714" s="29">
        <v>45464.0</v>
      </c>
      <c r="U1714" s="29">
        <v>45467.0</v>
      </c>
      <c r="V1714" s="29">
        <v>45467.66338537037</v>
      </c>
      <c r="W1714" s="30"/>
      <c r="X1714" s="30"/>
      <c r="Y1714" s="31"/>
      <c r="Z1714" s="31"/>
      <c r="AA1714" s="31" t="s">
        <v>120</v>
      </c>
      <c r="AB1714" s="31" t="s">
        <v>6873</v>
      </c>
      <c r="AC1714" s="31"/>
    </row>
    <row r="1715" ht="18.75" customHeight="1">
      <c r="A1715" s="18" t="s">
        <v>6874</v>
      </c>
      <c r="B1715" s="19" t="s">
        <v>530</v>
      </c>
      <c r="C1715" s="20">
        <v>34.0</v>
      </c>
      <c r="D1715" s="21" t="s">
        <v>6875</v>
      </c>
      <c r="E1715" s="27" t="s">
        <v>47</v>
      </c>
      <c r="F1715" s="18" t="s">
        <v>48</v>
      </c>
      <c r="G1715" s="32" t="s">
        <v>35</v>
      </c>
      <c r="H1715" s="23" t="s">
        <v>35</v>
      </c>
      <c r="I1715" s="24" t="s">
        <v>36</v>
      </c>
      <c r="J1715" s="25" t="s">
        <v>49</v>
      </c>
      <c r="K1715" s="26" t="s">
        <v>38</v>
      </c>
      <c r="L1715" s="25" t="s">
        <v>6867</v>
      </c>
      <c r="M1715" s="27" t="s">
        <v>50</v>
      </c>
      <c r="N1715" s="26" t="s">
        <v>6868</v>
      </c>
      <c r="O1715" s="28">
        <v>45467.69781586806</v>
      </c>
      <c r="P1715" s="26" t="s">
        <v>6869</v>
      </c>
      <c r="Q1715" s="11"/>
      <c r="R1715" s="11"/>
      <c r="S1715" s="11"/>
      <c r="T1715" s="29">
        <v>45464.0</v>
      </c>
      <c r="U1715" s="29">
        <v>45467.0</v>
      </c>
      <c r="V1715" s="29">
        <v>45467.66339484954</v>
      </c>
      <c r="W1715" s="30"/>
      <c r="X1715" s="30"/>
      <c r="Y1715" s="31"/>
      <c r="Z1715" s="31"/>
      <c r="AA1715" s="31" t="s">
        <v>120</v>
      </c>
      <c r="AB1715" s="31" t="s">
        <v>6876</v>
      </c>
      <c r="AC1715" s="31"/>
    </row>
    <row r="1716" ht="18.75" customHeight="1">
      <c r="A1716" s="18" t="s">
        <v>6877</v>
      </c>
      <c r="B1716" s="19" t="s">
        <v>530</v>
      </c>
      <c r="C1716" s="20">
        <v>34.0</v>
      </c>
      <c r="D1716" s="21" t="s">
        <v>6878</v>
      </c>
      <c r="E1716" s="27" t="s">
        <v>47</v>
      </c>
      <c r="F1716" s="18" t="s">
        <v>48</v>
      </c>
      <c r="G1716" s="32" t="s">
        <v>35</v>
      </c>
      <c r="H1716" s="23" t="s">
        <v>35</v>
      </c>
      <c r="I1716" s="24" t="s">
        <v>36</v>
      </c>
      <c r="J1716" s="25" t="s">
        <v>49</v>
      </c>
      <c r="K1716" s="26" t="s">
        <v>38</v>
      </c>
      <c r="L1716" s="25" t="s">
        <v>6867</v>
      </c>
      <c r="M1716" s="27" t="s">
        <v>50</v>
      </c>
      <c r="N1716" s="26" t="s">
        <v>6868</v>
      </c>
      <c r="O1716" s="28">
        <v>45467.69791471065</v>
      </c>
      <c r="P1716" s="26" t="s">
        <v>6869</v>
      </c>
      <c r="Q1716" s="11"/>
      <c r="R1716" s="11"/>
      <c r="S1716" s="11"/>
      <c r="T1716" s="29">
        <v>45464.0</v>
      </c>
      <c r="U1716" s="29">
        <v>45467.0</v>
      </c>
      <c r="V1716" s="29">
        <v>45467.66340140047</v>
      </c>
      <c r="W1716" s="30"/>
      <c r="X1716" s="30"/>
      <c r="Y1716" s="31"/>
      <c r="Z1716" s="31"/>
      <c r="AA1716" s="31" t="s">
        <v>120</v>
      </c>
      <c r="AB1716" s="31" t="s">
        <v>6879</v>
      </c>
      <c r="AC1716" s="31"/>
    </row>
    <row r="1717" ht="18.75" customHeight="1">
      <c r="A1717" s="18" t="s">
        <v>6880</v>
      </c>
      <c r="B1717" s="19" t="s">
        <v>6881</v>
      </c>
      <c r="C1717" s="20">
        <v>137.0</v>
      </c>
      <c r="D1717" s="21" t="s">
        <v>6882</v>
      </c>
      <c r="E1717" s="27" t="s">
        <v>85</v>
      </c>
      <c r="F1717" s="18" t="s">
        <v>48</v>
      </c>
      <c r="G1717" s="32" t="s">
        <v>35</v>
      </c>
      <c r="H1717" s="23" t="s">
        <v>35</v>
      </c>
      <c r="I1717" s="24" t="s">
        <v>36</v>
      </c>
      <c r="J1717" s="25" t="s">
        <v>49</v>
      </c>
      <c r="K1717" s="26" t="s">
        <v>38</v>
      </c>
      <c r="L1717" s="25">
        <v>11031.0</v>
      </c>
      <c r="M1717" s="27" t="s">
        <v>50</v>
      </c>
      <c r="N1717" s="26" t="s">
        <v>106</v>
      </c>
      <c r="O1717" s="28">
        <v>45467.619730624996</v>
      </c>
      <c r="P1717" s="26" t="s">
        <v>6883</v>
      </c>
      <c r="Q1717" s="11"/>
      <c r="R1717" s="11"/>
      <c r="S1717" s="11"/>
      <c r="T1717" s="29">
        <v>45467.0</v>
      </c>
      <c r="U1717" s="29">
        <v>45467.0</v>
      </c>
      <c r="V1717" s="29">
        <v>45467.579725497686</v>
      </c>
      <c r="W1717" s="30"/>
      <c r="X1717" s="30"/>
      <c r="Y1717" s="31"/>
      <c r="Z1717" s="31"/>
      <c r="AA1717" s="31" t="s">
        <v>102</v>
      </c>
      <c r="AB1717" s="31" t="s">
        <v>6884</v>
      </c>
      <c r="AC1717" s="31"/>
    </row>
    <row r="1718" ht="18.75" customHeight="1">
      <c r="A1718" s="18" t="s">
        <v>6885</v>
      </c>
      <c r="B1718" s="19" t="s">
        <v>6556</v>
      </c>
      <c r="C1718" s="20">
        <v>34.0</v>
      </c>
      <c r="D1718" s="21" t="s">
        <v>6886</v>
      </c>
      <c r="E1718" s="27" t="s">
        <v>47</v>
      </c>
      <c r="F1718" s="18" t="s">
        <v>48</v>
      </c>
      <c r="G1718" s="32" t="s">
        <v>35</v>
      </c>
      <c r="H1718" s="23" t="s">
        <v>35</v>
      </c>
      <c r="I1718" s="24" t="s">
        <v>36</v>
      </c>
      <c r="J1718" s="25" t="s">
        <v>49</v>
      </c>
      <c r="K1718" s="26" t="s">
        <v>38</v>
      </c>
      <c r="L1718" s="25">
        <v>11037.0</v>
      </c>
      <c r="M1718" s="27" t="s">
        <v>50</v>
      </c>
      <c r="N1718" s="26" t="s">
        <v>5936</v>
      </c>
      <c r="O1718" s="28">
        <v>45468.63039064815</v>
      </c>
      <c r="P1718" s="26" t="s">
        <v>6887</v>
      </c>
      <c r="Q1718" s="11"/>
      <c r="R1718" s="11"/>
      <c r="S1718" s="11"/>
      <c r="T1718" s="29">
        <v>45467.0</v>
      </c>
      <c r="U1718" s="29">
        <v>45467.0</v>
      </c>
      <c r="V1718" s="29">
        <v>45467.69910037037</v>
      </c>
      <c r="W1718" s="30"/>
      <c r="X1718" s="30"/>
      <c r="Y1718" s="31"/>
      <c r="Z1718" s="31"/>
      <c r="AA1718" s="31" t="s">
        <v>102</v>
      </c>
      <c r="AB1718" s="31" t="s">
        <v>6888</v>
      </c>
      <c r="AC1718" s="31"/>
    </row>
    <row r="1719" ht="18.75" customHeight="1">
      <c r="A1719" s="18" t="s">
        <v>6889</v>
      </c>
      <c r="B1719" s="19" t="s">
        <v>6890</v>
      </c>
      <c r="C1719" s="20">
        <v>90.0</v>
      </c>
      <c r="D1719" s="21" t="s">
        <v>6891</v>
      </c>
      <c r="E1719" s="27" t="s">
        <v>91</v>
      </c>
      <c r="F1719" s="18" t="s">
        <v>48</v>
      </c>
      <c r="G1719" s="32" t="s">
        <v>35</v>
      </c>
      <c r="H1719" s="23" t="s">
        <v>35</v>
      </c>
      <c r="I1719" s="24" t="s">
        <v>36</v>
      </c>
      <c r="J1719" s="25" t="s">
        <v>339</v>
      </c>
      <c r="K1719" s="26" t="s">
        <v>38</v>
      </c>
      <c r="L1719" s="25">
        <v>11039.0</v>
      </c>
      <c r="M1719" s="27" t="s">
        <v>50</v>
      </c>
      <c r="N1719" s="26" t="s">
        <v>6892</v>
      </c>
      <c r="O1719" s="28">
        <v>45469.69291046297</v>
      </c>
      <c r="P1719" s="26" t="s">
        <v>6893</v>
      </c>
      <c r="Q1719" s="11"/>
      <c r="R1719" s="11"/>
      <c r="S1719" s="11"/>
      <c r="T1719" s="29">
        <v>45467.0</v>
      </c>
      <c r="U1719" s="29">
        <v>45468.0</v>
      </c>
      <c r="V1719" s="29">
        <v>45469.3792340625</v>
      </c>
      <c r="W1719" s="30"/>
      <c r="X1719" s="30"/>
      <c r="Y1719" s="31"/>
      <c r="Z1719" s="31"/>
      <c r="AA1719" s="31" t="s">
        <v>3059</v>
      </c>
      <c r="AB1719" s="31" t="s">
        <v>6894</v>
      </c>
      <c r="AC1719" s="31"/>
    </row>
    <row r="1720" ht="18.75" customHeight="1">
      <c r="A1720" s="18" t="s">
        <v>6895</v>
      </c>
      <c r="B1720" s="19" t="s">
        <v>6896</v>
      </c>
      <c r="C1720" s="20">
        <v>34.0</v>
      </c>
      <c r="D1720" s="21" t="s">
        <v>6897</v>
      </c>
      <c r="E1720" s="27" t="s">
        <v>47</v>
      </c>
      <c r="F1720" s="18" t="s">
        <v>48</v>
      </c>
      <c r="G1720" s="32" t="s">
        <v>35</v>
      </c>
      <c r="H1720" s="23" t="s">
        <v>35</v>
      </c>
      <c r="I1720" s="24" t="s">
        <v>36</v>
      </c>
      <c r="J1720" s="34" t="s">
        <v>65</v>
      </c>
      <c r="K1720" s="26" t="s">
        <v>38</v>
      </c>
      <c r="L1720" s="25">
        <v>11085.0</v>
      </c>
      <c r="M1720" s="27" t="s">
        <v>50</v>
      </c>
      <c r="N1720" s="26" t="s">
        <v>5706</v>
      </c>
      <c r="O1720" s="28">
        <v>45475.71057979167</v>
      </c>
      <c r="P1720" s="26" t="s">
        <v>6898</v>
      </c>
      <c r="Q1720" s="11"/>
      <c r="R1720" s="11"/>
      <c r="S1720" s="11"/>
      <c r="T1720" s="29">
        <v>45467.0</v>
      </c>
      <c r="U1720" s="29">
        <v>45468.0</v>
      </c>
      <c r="V1720" s="29">
        <v>45475.50903498843</v>
      </c>
      <c r="W1720" s="30"/>
      <c r="X1720" s="30"/>
      <c r="Y1720" s="31"/>
      <c r="Z1720" s="31"/>
      <c r="AA1720" s="31"/>
      <c r="AB1720" s="31" t="s">
        <v>6899</v>
      </c>
      <c r="AC1720" s="31"/>
    </row>
    <row r="1721" ht="18.75" customHeight="1">
      <c r="A1721" s="18" t="s">
        <v>6900</v>
      </c>
      <c r="B1721" s="19" t="s">
        <v>6080</v>
      </c>
      <c r="C1721" s="20">
        <v>34.0</v>
      </c>
      <c r="D1721" s="21" t="s">
        <v>6901</v>
      </c>
      <c r="E1721" s="27" t="s">
        <v>47</v>
      </c>
      <c r="F1721" s="18" t="s">
        <v>48</v>
      </c>
      <c r="G1721" s="32" t="s">
        <v>35</v>
      </c>
      <c r="H1721" s="23" t="s">
        <v>35</v>
      </c>
      <c r="I1721" s="24" t="s">
        <v>36</v>
      </c>
      <c r="J1721" s="25" t="s">
        <v>49</v>
      </c>
      <c r="K1721" s="26" t="s">
        <v>38</v>
      </c>
      <c r="L1721" s="25">
        <v>11045.0</v>
      </c>
      <c r="M1721" s="27" t="s">
        <v>50</v>
      </c>
      <c r="N1721" s="26" t="s">
        <v>106</v>
      </c>
      <c r="O1721" s="28">
        <v>45469.65949306713</v>
      </c>
      <c r="P1721" s="26" t="s">
        <v>6902</v>
      </c>
      <c r="Q1721" s="11"/>
      <c r="R1721" s="11"/>
      <c r="S1721" s="11"/>
      <c r="T1721" s="29">
        <v>45468.0</v>
      </c>
      <c r="U1721" s="29">
        <v>45468.0</v>
      </c>
      <c r="V1721" s="29">
        <v>45469.60727071759</v>
      </c>
      <c r="W1721" s="30"/>
      <c r="X1721" s="30"/>
      <c r="Y1721" s="31"/>
      <c r="Z1721" s="31"/>
      <c r="AA1721" s="31" t="s">
        <v>145</v>
      </c>
      <c r="AB1721" s="31" t="s">
        <v>6903</v>
      </c>
      <c r="AC1721" s="31"/>
    </row>
    <row r="1722" ht="18.75" customHeight="1">
      <c r="A1722" s="18" t="s">
        <v>6904</v>
      </c>
      <c r="B1722" s="19" t="s">
        <v>6905</v>
      </c>
      <c r="C1722" s="20">
        <v>0.0</v>
      </c>
      <c r="D1722" s="21" t="s">
        <v>6906</v>
      </c>
      <c r="E1722" s="27" t="s">
        <v>257</v>
      </c>
      <c r="F1722" s="18" t="s">
        <v>244</v>
      </c>
      <c r="G1722" s="18" t="s">
        <v>34</v>
      </c>
      <c r="H1722" s="23" t="s">
        <v>35</v>
      </c>
      <c r="I1722" s="24" t="s">
        <v>36</v>
      </c>
      <c r="J1722" s="25" t="s">
        <v>49</v>
      </c>
      <c r="K1722" s="26" t="s">
        <v>447</v>
      </c>
      <c r="L1722" s="25">
        <v>11075.0</v>
      </c>
      <c r="M1722" s="27" t="s">
        <v>40</v>
      </c>
      <c r="N1722" s="26" t="s">
        <v>6547</v>
      </c>
      <c r="O1722" s="28">
        <v>45475.608661226855</v>
      </c>
      <c r="P1722" s="26" t="s">
        <v>6028</v>
      </c>
      <c r="Q1722" s="11"/>
      <c r="R1722" s="11"/>
      <c r="S1722" s="11"/>
      <c r="T1722" s="29">
        <v>45468.0</v>
      </c>
      <c r="U1722" s="29">
        <v>45468.0</v>
      </c>
      <c r="V1722" s="29">
        <v>45471.0</v>
      </c>
      <c r="W1722" s="30"/>
      <c r="X1722" s="30"/>
      <c r="Y1722" s="31"/>
      <c r="Z1722" s="31"/>
      <c r="AA1722" s="31" t="s">
        <v>108</v>
      </c>
      <c r="AB1722" s="31" t="s">
        <v>6907</v>
      </c>
      <c r="AC1722" s="31"/>
    </row>
    <row r="1723" ht="18.75" customHeight="1">
      <c r="A1723" s="18" t="s">
        <v>6908</v>
      </c>
      <c r="B1723" s="19" t="s">
        <v>6909</v>
      </c>
      <c r="C1723" s="20">
        <v>1.0</v>
      </c>
      <c r="D1723" s="21" t="s">
        <v>6910</v>
      </c>
      <c r="E1723" s="27" t="s">
        <v>3395</v>
      </c>
      <c r="F1723" s="18" t="s">
        <v>48</v>
      </c>
      <c r="G1723" s="32" t="s">
        <v>35</v>
      </c>
      <c r="H1723" s="23" t="s">
        <v>35</v>
      </c>
      <c r="I1723" s="24" t="s">
        <v>36</v>
      </c>
      <c r="J1723" s="25" t="s">
        <v>92</v>
      </c>
      <c r="K1723" s="26" t="s">
        <v>38</v>
      </c>
      <c r="L1723" s="25">
        <v>11042.0</v>
      </c>
      <c r="M1723" s="27" t="s">
        <v>50</v>
      </c>
      <c r="N1723" s="26" t="s">
        <v>6911</v>
      </c>
      <c r="O1723" s="28">
        <v>45469.64588967593</v>
      </c>
      <c r="P1723" s="26" t="s">
        <v>6028</v>
      </c>
      <c r="Q1723" s="11"/>
      <c r="R1723" s="11"/>
      <c r="S1723" s="11"/>
      <c r="T1723" s="29">
        <v>45468.0</v>
      </c>
      <c r="U1723" s="29">
        <v>45469.0</v>
      </c>
      <c r="V1723" s="29">
        <v>45469.486294456015</v>
      </c>
      <c r="W1723" s="30"/>
      <c r="X1723" s="30"/>
      <c r="Y1723" s="31"/>
      <c r="Z1723" s="31"/>
      <c r="AA1723" s="31" t="s">
        <v>120</v>
      </c>
      <c r="AB1723" s="31" t="s">
        <v>6912</v>
      </c>
      <c r="AC1723" s="31"/>
    </row>
    <row r="1724" ht="18.75" customHeight="1">
      <c r="A1724" s="18" t="s">
        <v>6913</v>
      </c>
      <c r="B1724" s="19" t="s">
        <v>6909</v>
      </c>
      <c r="C1724" s="20">
        <v>34.0</v>
      </c>
      <c r="D1724" s="21" t="s">
        <v>6914</v>
      </c>
      <c r="E1724" s="27" t="s">
        <v>47</v>
      </c>
      <c r="F1724" s="18" t="s">
        <v>48</v>
      </c>
      <c r="G1724" s="32" t="s">
        <v>35</v>
      </c>
      <c r="H1724" s="23" t="s">
        <v>35</v>
      </c>
      <c r="I1724" s="24" t="s">
        <v>36</v>
      </c>
      <c r="J1724" s="25" t="s">
        <v>92</v>
      </c>
      <c r="K1724" s="26" t="s">
        <v>38</v>
      </c>
      <c r="L1724" s="25">
        <v>11043.0</v>
      </c>
      <c r="M1724" s="27" t="s">
        <v>50</v>
      </c>
      <c r="N1724" s="26" t="s">
        <v>6911</v>
      </c>
      <c r="O1724" s="28">
        <v>45469.64564292824</v>
      </c>
      <c r="P1724" s="26" t="s">
        <v>6028</v>
      </c>
      <c r="Q1724" s="11"/>
      <c r="R1724" s="11"/>
      <c r="S1724" s="11"/>
      <c r="T1724" s="29">
        <v>45468.0</v>
      </c>
      <c r="U1724" s="29">
        <v>45469.0</v>
      </c>
      <c r="V1724" s="29">
        <v>45469.48572722222</v>
      </c>
      <c r="W1724" s="30"/>
      <c r="X1724" s="30"/>
      <c r="Y1724" s="31"/>
      <c r="Z1724" s="31"/>
      <c r="AA1724" s="31" t="s">
        <v>120</v>
      </c>
      <c r="AB1724" s="31" t="s">
        <v>6915</v>
      </c>
      <c r="AC1724" s="31"/>
    </row>
    <row r="1725" ht="18.75" customHeight="1">
      <c r="A1725" s="18" t="s">
        <v>6916</v>
      </c>
      <c r="B1725" s="19" t="s">
        <v>6917</v>
      </c>
      <c r="C1725" s="20">
        <v>1.0</v>
      </c>
      <c r="D1725" s="21" t="s">
        <v>6918</v>
      </c>
      <c r="E1725" s="27" t="s">
        <v>3395</v>
      </c>
      <c r="F1725" s="18" t="s">
        <v>48</v>
      </c>
      <c r="G1725" s="32" t="s">
        <v>35</v>
      </c>
      <c r="H1725" s="23" t="s">
        <v>35</v>
      </c>
      <c r="I1725" s="24" t="s">
        <v>36</v>
      </c>
      <c r="J1725" s="34" t="s">
        <v>65</v>
      </c>
      <c r="K1725" s="26" t="s">
        <v>38</v>
      </c>
      <c r="L1725" s="25">
        <v>11111.0</v>
      </c>
      <c r="M1725" s="27" t="s">
        <v>50</v>
      </c>
      <c r="N1725" s="26" t="s">
        <v>3442</v>
      </c>
      <c r="O1725" s="28">
        <v>45478.48901158565</v>
      </c>
      <c r="P1725" s="26" t="s">
        <v>6919</v>
      </c>
      <c r="Q1725" s="11"/>
      <c r="R1725" s="11"/>
      <c r="S1725" s="11"/>
      <c r="T1725" s="29">
        <v>45468.0</v>
      </c>
      <c r="U1725" s="29">
        <v>45477.0</v>
      </c>
      <c r="V1725" s="29">
        <v>45478.4070090625</v>
      </c>
      <c r="W1725" s="30"/>
      <c r="X1725" s="30"/>
      <c r="Y1725" s="31"/>
      <c r="Z1725" s="31"/>
      <c r="AA1725" s="31" t="s">
        <v>94</v>
      </c>
      <c r="AB1725" s="31" t="s">
        <v>6920</v>
      </c>
      <c r="AC1725" s="31"/>
    </row>
    <row r="1726" ht="18.75" customHeight="1">
      <c r="A1726" s="18" t="s">
        <v>6921</v>
      </c>
      <c r="B1726" s="19" t="s">
        <v>6917</v>
      </c>
      <c r="C1726" s="20">
        <v>1.0</v>
      </c>
      <c r="D1726" s="21" t="s">
        <v>6922</v>
      </c>
      <c r="E1726" s="27" t="s">
        <v>3395</v>
      </c>
      <c r="F1726" s="18" t="s">
        <v>48</v>
      </c>
      <c r="G1726" s="32" t="s">
        <v>35</v>
      </c>
      <c r="H1726" s="23" t="s">
        <v>35</v>
      </c>
      <c r="I1726" s="24" t="s">
        <v>36</v>
      </c>
      <c r="J1726" s="34" t="s">
        <v>65</v>
      </c>
      <c r="K1726" s="26" t="s">
        <v>38</v>
      </c>
      <c r="L1726" s="25">
        <v>11111.0</v>
      </c>
      <c r="M1726" s="27" t="s">
        <v>50</v>
      </c>
      <c r="N1726" s="26" t="s">
        <v>3442</v>
      </c>
      <c r="O1726" s="28">
        <v>45478.489068298615</v>
      </c>
      <c r="P1726" s="26" t="s">
        <v>6919</v>
      </c>
      <c r="Q1726" s="11"/>
      <c r="R1726" s="11"/>
      <c r="S1726" s="11"/>
      <c r="T1726" s="29">
        <v>45468.0</v>
      </c>
      <c r="U1726" s="29">
        <v>45477.0</v>
      </c>
      <c r="V1726" s="29">
        <v>45478.40702064815</v>
      </c>
      <c r="W1726" s="30"/>
      <c r="X1726" s="30"/>
      <c r="Y1726" s="31"/>
      <c r="Z1726" s="31"/>
      <c r="AA1726" s="31" t="s">
        <v>94</v>
      </c>
      <c r="AB1726" s="31" t="s">
        <v>6923</v>
      </c>
      <c r="AC1726" s="31"/>
    </row>
    <row r="1727" ht="18.75" customHeight="1">
      <c r="A1727" s="18" t="s">
        <v>6924</v>
      </c>
      <c r="B1727" s="19" t="s">
        <v>6917</v>
      </c>
      <c r="C1727" s="20">
        <v>0.0</v>
      </c>
      <c r="D1727" s="21" t="s">
        <v>6925</v>
      </c>
      <c r="E1727" s="27" t="s">
        <v>3441</v>
      </c>
      <c r="F1727" s="18" t="s">
        <v>48</v>
      </c>
      <c r="G1727" s="32" t="s">
        <v>35</v>
      </c>
      <c r="H1727" s="23" t="s">
        <v>35</v>
      </c>
      <c r="I1727" s="24" t="s">
        <v>36</v>
      </c>
      <c r="J1727" s="34" t="s">
        <v>65</v>
      </c>
      <c r="K1727" s="26" t="s">
        <v>38</v>
      </c>
      <c r="L1727" s="25">
        <v>11111.0</v>
      </c>
      <c r="M1727" s="27" t="s">
        <v>50</v>
      </c>
      <c r="N1727" s="26" t="s">
        <v>3442</v>
      </c>
      <c r="O1727" s="28">
        <v>45478.48912646991</v>
      </c>
      <c r="P1727" s="26" t="s">
        <v>6919</v>
      </c>
      <c r="Q1727" s="11"/>
      <c r="R1727" s="11"/>
      <c r="S1727" s="11"/>
      <c r="T1727" s="29">
        <v>45468.0</v>
      </c>
      <c r="U1727" s="29">
        <v>45477.0</v>
      </c>
      <c r="V1727" s="29">
        <v>45478.4070324537</v>
      </c>
      <c r="W1727" s="30"/>
      <c r="X1727" s="30"/>
      <c r="Y1727" s="31"/>
      <c r="Z1727" s="31"/>
      <c r="AA1727" s="31" t="s">
        <v>94</v>
      </c>
      <c r="AB1727" s="31" t="s">
        <v>6926</v>
      </c>
      <c r="AC1727" s="31"/>
    </row>
    <row r="1728" ht="18.75" customHeight="1">
      <c r="A1728" s="18" t="s">
        <v>6927</v>
      </c>
      <c r="B1728" s="19" t="s">
        <v>6917</v>
      </c>
      <c r="C1728" s="20">
        <v>0.0</v>
      </c>
      <c r="D1728" s="21" t="s">
        <v>6928</v>
      </c>
      <c r="E1728" s="27" t="s">
        <v>3441</v>
      </c>
      <c r="F1728" s="18" t="s">
        <v>48</v>
      </c>
      <c r="G1728" s="32" t="s">
        <v>35</v>
      </c>
      <c r="H1728" s="23" t="s">
        <v>35</v>
      </c>
      <c r="I1728" s="24" t="s">
        <v>36</v>
      </c>
      <c r="J1728" s="34" t="s">
        <v>65</v>
      </c>
      <c r="K1728" s="26" t="s">
        <v>38</v>
      </c>
      <c r="L1728" s="25">
        <v>11111.0</v>
      </c>
      <c r="M1728" s="27" t="s">
        <v>50</v>
      </c>
      <c r="N1728" s="26" t="s">
        <v>3442</v>
      </c>
      <c r="O1728" s="28">
        <v>45478.48951622685</v>
      </c>
      <c r="P1728" s="26" t="s">
        <v>6919</v>
      </c>
      <c r="Q1728" s="11"/>
      <c r="R1728" s="11"/>
      <c r="S1728" s="11"/>
      <c r="T1728" s="29">
        <v>45468.0</v>
      </c>
      <c r="U1728" s="29">
        <v>45477.0</v>
      </c>
      <c r="V1728" s="29">
        <v>45478.40704189814</v>
      </c>
      <c r="W1728" s="30"/>
      <c r="X1728" s="30"/>
      <c r="Y1728" s="31"/>
      <c r="Z1728" s="31"/>
      <c r="AA1728" s="31" t="s">
        <v>94</v>
      </c>
      <c r="AB1728" s="31" t="s">
        <v>6929</v>
      </c>
      <c r="AC1728" s="31"/>
    </row>
    <row r="1729" ht="18.75" customHeight="1">
      <c r="A1729" s="18" t="s">
        <v>6930</v>
      </c>
      <c r="B1729" s="19" t="s">
        <v>6917</v>
      </c>
      <c r="C1729" s="20">
        <v>0.0</v>
      </c>
      <c r="D1729" s="21" t="s">
        <v>6931</v>
      </c>
      <c r="E1729" s="27" t="s">
        <v>3441</v>
      </c>
      <c r="F1729" s="18" t="s">
        <v>48</v>
      </c>
      <c r="G1729" s="32" t="s">
        <v>35</v>
      </c>
      <c r="H1729" s="23" t="s">
        <v>35</v>
      </c>
      <c r="I1729" s="24" t="s">
        <v>36</v>
      </c>
      <c r="J1729" s="34" t="s">
        <v>65</v>
      </c>
      <c r="K1729" s="26" t="s">
        <v>38</v>
      </c>
      <c r="L1729" s="25">
        <v>11111.0</v>
      </c>
      <c r="M1729" s="27" t="s">
        <v>50</v>
      </c>
      <c r="N1729" s="26" t="s">
        <v>3442</v>
      </c>
      <c r="O1729" s="28">
        <v>45478.48919043981</v>
      </c>
      <c r="P1729" s="26" t="s">
        <v>6919</v>
      </c>
      <c r="Q1729" s="11"/>
      <c r="R1729" s="11"/>
      <c r="S1729" s="11"/>
      <c r="T1729" s="29">
        <v>45468.0</v>
      </c>
      <c r="U1729" s="29">
        <v>45477.0</v>
      </c>
      <c r="V1729" s="29">
        <v>45478.407051574075</v>
      </c>
      <c r="W1729" s="30"/>
      <c r="X1729" s="30"/>
      <c r="Y1729" s="31"/>
      <c r="Z1729" s="31"/>
      <c r="AA1729" s="31" t="s">
        <v>94</v>
      </c>
      <c r="AB1729" s="31" t="s">
        <v>6932</v>
      </c>
      <c r="AC1729" s="31"/>
    </row>
    <row r="1730" ht="18.75" customHeight="1">
      <c r="A1730" s="18" t="s">
        <v>6933</v>
      </c>
      <c r="B1730" s="19" t="s">
        <v>6917</v>
      </c>
      <c r="C1730" s="20">
        <v>0.0</v>
      </c>
      <c r="D1730" s="21" t="s">
        <v>6934</v>
      </c>
      <c r="E1730" s="27" t="s">
        <v>3441</v>
      </c>
      <c r="F1730" s="18" t="s">
        <v>48</v>
      </c>
      <c r="G1730" s="32" t="s">
        <v>35</v>
      </c>
      <c r="H1730" s="23" t="s">
        <v>35</v>
      </c>
      <c r="I1730" s="24" t="s">
        <v>36</v>
      </c>
      <c r="J1730" s="34" t="s">
        <v>65</v>
      </c>
      <c r="K1730" s="26" t="s">
        <v>38</v>
      </c>
      <c r="L1730" s="25">
        <v>11111.0</v>
      </c>
      <c r="M1730" s="27" t="s">
        <v>50</v>
      </c>
      <c r="N1730" s="26" t="s">
        <v>3442</v>
      </c>
      <c r="O1730" s="28">
        <v>45478.489357453705</v>
      </c>
      <c r="P1730" s="26" t="s">
        <v>6919</v>
      </c>
      <c r="Q1730" s="11"/>
      <c r="R1730" s="11"/>
      <c r="S1730" s="11"/>
      <c r="T1730" s="29">
        <v>45468.0</v>
      </c>
      <c r="U1730" s="29">
        <v>45477.0</v>
      </c>
      <c r="V1730" s="29">
        <v>45478.407060625</v>
      </c>
      <c r="W1730" s="30"/>
      <c r="X1730" s="30"/>
      <c r="Y1730" s="31"/>
      <c r="Z1730" s="31"/>
      <c r="AA1730" s="31" t="s">
        <v>94</v>
      </c>
      <c r="AB1730" s="31" t="s">
        <v>6935</v>
      </c>
      <c r="AC1730" s="31"/>
    </row>
    <row r="1731" ht="18.75" customHeight="1">
      <c r="A1731" s="18" t="s">
        <v>6936</v>
      </c>
      <c r="B1731" s="19" t="s">
        <v>6917</v>
      </c>
      <c r="C1731" s="20">
        <v>137.0</v>
      </c>
      <c r="D1731" s="21" t="s">
        <v>6937</v>
      </c>
      <c r="E1731" s="27" t="s">
        <v>85</v>
      </c>
      <c r="F1731" s="18" t="s">
        <v>48</v>
      </c>
      <c r="G1731" s="32" t="s">
        <v>35</v>
      </c>
      <c r="H1731" s="23" t="s">
        <v>35</v>
      </c>
      <c r="I1731" s="24" t="s">
        <v>36</v>
      </c>
      <c r="J1731" s="34" t="s">
        <v>65</v>
      </c>
      <c r="K1731" s="26" t="s">
        <v>38</v>
      </c>
      <c r="L1731" s="25">
        <v>11111.0</v>
      </c>
      <c r="M1731" s="27" t="s">
        <v>50</v>
      </c>
      <c r="N1731" s="26" t="s">
        <v>3442</v>
      </c>
      <c r="O1731" s="28">
        <v>45478.48946702546</v>
      </c>
      <c r="P1731" s="26" t="s">
        <v>6919</v>
      </c>
      <c r="Q1731" s="11"/>
      <c r="R1731" s="11"/>
      <c r="S1731" s="11"/>
      <c r="T1731" s="29">
        <v>45468.0</v>
      </c>
      <c r="U1731" s="29">
        <v>45477.0</v>
      </c>
      <c r="V1731" s="29">
        <v>45478.40708467593</v>
      </c>
      <c r="W1731" s="30"/>
      <c r="X1731" s="30"/>
      <c r="Y1731" s="31"/>
      <c r="Z1731" s="31"/>
      <c r="AA1731" s="31" t="s">
        <v>94</v>
      </c>
      <c r="AB1731" s="31" t="s">
        <v>6938</v>
      </c>
      <c r="AC1731" s="31"/>
    </row>
    <row r="1732" ht="18.75" customHeight="1">
      <c r="A1732" s="18" t="s">
        <v>6939</v>
      </c>
      <c r="B1732" s="19" t="s">
        <v>6917</v>
      </c>
      <c r="C1732" s="20">
        <v>137.0</v>
      </c>
      <c r="D1732" s="21" t="s">
        <v>6940</v>
      </c>
      <c r="E1732" s="27" t="s">
        <v>85</v>
      </c>
      <c r="F1732" s="18" t="s">
        <v>48</v>
      </c>
      <c r="G1732" s="32" t="s">
        <v>35</v>
      </c>
      <c r="H1732" s="23" t="s">
        <v>35</v>
      </c>
      <c r="I1732" s="24" t="s">
        <v>36</v>
      </c>
      <c r="J1732" s="34" t="s">
        <v>65</v>
      </c>
      <c r="K1732" s="26" t="s">
        <v>38</v>
      </c>
      <c r="L1732" s="25">
        <v>11111.0</v>
      </c>
      <c r="M1732" s="27" t="s">
        <v>50</v>
      </c>
      <c r="N1732" s="26" t="s">
        <v>3442</v>
      </c>
      <c r="O1732" s="28">
        <v>45478.489296053245</v>
      </c>
      <c r="P1732" s="26" t="s">
        <v>6919</v>
      </c>
      <c r="Q1732" s="11"/>
      <c r="R1732" s="11"/>
      <c r="S1732" s="11"/>
      <c r="T1732" s="29">
        <v>45468.0</v>
      </c>
      <c r="U1732" s="29">
        <v>45477.0</v>
      </c>
      <c r="V1732" s="29">
        <v>45478.407190405094</v>
      </c>
      <c r="W1732" s="30"/>
      <c r="X1732" s="30"/>
      <c r="Y1732" s="31"/>
      <c r="Z1732" s="31"/>
      <c r="AA1732" s="31" t="s">
        <v>94</v>
      </c>
      <c r="AB1732" s="31" t="s">
        <v>6941</v>
      </c>
      <c r="AC1732" s="31"/>
    </row>
    <row r="1733" ht="18.75" customHeight="1">
      <c r="A1733" s="18" t="s">
        <v>6942</v>
      </c>
      <c r="B1733" s="19" t="s">
        <v>6917</v>
      </c>
      <c r="C1733" s="20">
        <v>137.0</v>
      </c>
      <c r="D1733" s="21" t="s">
        <v>6943</v>
      </c>
      <c r="E1733" s="27" t="s">
        <v>85</v>
      </c>
      <c r="F1733" s="18" t="s">
        <v>48</v>
      </c>
      <c r="G1733" s="32" t="s">
        <v>35</v>
      </c>
      <c r="H1733" s="23" t="s">
        <v>35</v>
      </c>
      <c r="I1733" s="24" t="s">
        <v>36</v>
      </c>
      <c r="J1733" s="34" t="s">
        <v>65</v>
      </c>
      <c r="K1733" s="26" t="s">
        <v>38</v>
      </c>
      <c r="L1733" s="25">
        <v>11111.0</v>
      </c>
      <c r="M1733" s="27" t="s">
        <v>50</v>
      </c>
      <c r="N1733" s="26" t="s">
        <v>3442</v>
      </c>
      <c r="O1733" s="28">
        <v>45478.48923875</v>
      </c>
      <c r="P1733" s="26" t="s">
        <v>6919</v>
      </c>
      <c r="Q1733" s="11"/>
      <c r="R1733" s="11"/>
      <c r="S1733" s="11"/>
      <c r="T1733" s="29">
        <v>45468.0</v>
      </c>
      <c r="U1733" s="29">
        <v>45477.0</v>
      </c>
      <c r="V1733" s="29">
        <v>45478.40710354167</v>
      </c>
      <c r="W1733" s="30"/>
      <c r="X1733" s="30"/>
      <c r="Y1733" s="31"/>
      <c r="Z1733" s="31"/>
      <c r="AA1733" s="31" t="s">
        <v>94</v>
      </c>
      <c r="AB1733" s="31" t="s">
        <v>6944</v>
      </c>
      <c r="AC1733" s="31"/>
    </row>
    <row r="1734" ht="18.75" customHeight="1">
      <c r="A1734" s="18" t="s">
        <v>6945</v>
      </c>
      <c r="B1734" s="19" t="s">
        <v>6917</v>
      </c>
      <c r="C1734" s="20">
        <v>137.0</v>
      </c>
      <c r="D1734" s="21" t="s">
        <v>6946</v>
      </c>
      <c r="E1734" s="27" t="s">
        <v>85</v>
      </c>
      <c r="F1734" s="18" t="s">
        <v>48</v>
      </c>
      <c r="G1734" s="32" t="s">
        <v>35</v>
      </c>
      <c r="H1734" s="23" t="s">
        <v>35</v>
      </c>
      <c r="I1734" s="24" t="s">
        <v>36</v>
      </c>
      <c r="J1734" s="34" t="s">
        <v>65</v>
      </c>
      <c r="K1734" s="26" t="s">
        <v>38</v>
      </c>
      <c r="L1734" s="25">
        <v>11111.0</v>
      </c>
      <c r="M1734" s="27" t="s">
        <v>50</v>
      </c>
      <c r="N1734" s="26" t="s">
        <v>3442</v>
      </c>
      <c r="O1734" s="28">
        <v>45478.48941009259</v>
      </c>
      <c r="P1734" s="26" t="s">
        <v>6919</v>
      </c>
      <c r="Q1734" s="11"/>
      <c r="R1734" s="11"/>
      <c r="S1734" s="11"/>
      <c r="T1734" s="29">
        <v>45468.0</v>
      </c>
      <c r="U1734" s="29">
        <v>45477.0</v>
      </c>
      <c r="V1734" s="29">
        <v>45478.407109548614</v>
      </c>
      <c r="W1734" s="30"/>
      <c r="X1734" s="30"/>
      <c r="Y1734" s="31"/>
      <c r="Z1734" s="31"/>
      <c r="AA1734" s="31" t="s">
        <v>94</v>
      </c>
      <c r="AB1734" s="31" t="s">
        <v>6947</v>
      </c>
      <c r="AC1734" s="31"/>
    </row>
    <row r="1735" ht="18.75" customHeight="1">
      <c r="A1735" s="18" t="s">
        <v>6948</v>
      </c>
      <c r="B1735" s="19" t="s">
        <v>6917</v>
      </c>
      <c r="C1735" s="20">
        <v>137.0</v>
      </c>
      <c r="D1735" s="21" t="s">
        <v>6949</v>
      </c>
      <c r="E1735" s="27" t="s">
        <v>85</v>
      </c>
      <c r="F1735" s="18" t="s">
        <v>48</v>
      </c>
      <c r="G1735" s="32" t="s">
        <v>35</v>
      </c>
      <c r="H1735" s="23" t="s">
        <v>35</v>
      </c>
      <c r="I1735" s="24" t="s">
        <v>36</v>
      </c>
      <c r="J1735" s="34" t="s">
        <v>65</v>
      </c>
      <c r="K1735" s="26" t="s">
        <v>38</v>
      </c>
      <c r="L1735" s="25">
        <v>11111.0</v>
      </c>
      <c r="M1735" s="27" t="s">
        <v>50</v>
      </c>
      <c r="N1735" s="26" t="s">
        <v>3442</v>
      </c>
      <c r="O1735" s="28">
        <v>45478.48976278935</v>
      </c>
      <c r="P1735" s="26" t="s">
        <v>6919</v>
      </c>
      <c r="Q1735" s="11"/>
      <c r="R1735" s="11"/>
      <c r="S1735" s="11"/>
      <c r="T1735" s="29">
        <v>45468.0</v>
      </c>
      <c r="U1735" s="29">
        <v>45477.0</v>
      </c>
      <c r="V1735" s="29">
        <v>45478.40711431713</v>
      </c>
      <c r="W1735" s="30"/>
      <c r="X1735" s="30"/>
      <c r="Y1735" s="31"/>
      <c r="Z1735" s="31"/>
      <c r="AA1735" s="31" t="s">
        <v>94</v>
      </c>
      <c r="AB1735" s="31" t="s">
        <v>6950</v>
      </c>
      <c r="AC1735" s="31"/>
    </row>
    <row r="1736" ht="18.75" customHeight="1">
      <c r="A1736" s="18" t="s">
        <v>6951</v>
      </c>
      <c r="B1736" s="19" t="s">
        <v>6917</v>
      </c>
      <c r="C1736" s="20">
        <v>90.0</v>
      </c>
      <c r="D1736" s="21" t="s">
        <v>6952</v>
      </c>
      <c r="E1736" s="27" t="s">
        <v>91</v>
      </c>
      <c r="F1736" s="18" t="s">
        <v>48</v>
      </c>
      <c r="G1736" s="32" t="s">
        <v>35</v>
      </c>
      <c r="H1736" s="23" t="s">
        <v>35</v>
      </c>
      <c r="I1736" s="24" t="s">
        <v>36</v>
      </c>
      <c r="J1736" s="34" t="s">
        <v>65</v>
      </c>
      <c r="K1736" s="26" t="s">
        <v>38</v>
      </c>
      <c r="L1736" s="25">
        <v>11111.0</v>
      </c>
      <c r="M1736" s="27" t="s">
        <v>50</v>
      </c>
      <c r="N1736" s="26" t="s">
        <v>3442</v>
      </c>
      <c r="O1736" s="28">
        <v>45478.48956666667</v>
      </c>
      <c r="P1736" s="26" t="s">
        <v>6919</v>
      </c>
      <c r="Q1736" s="11"/>
      <c r="R1736" s="11"/>
      <c r="S1736" s="11"/>
      <c r="T1736" s="29">
        <v>45468.0</v>
      </c>
      <c r="U1736" s="29">
        <v>45477.0</v>
      </c>
      <c r="V1736" s="29">
        <v>45478.407117800925</v>
      </c>
      <c r="W1736" s="30"/>
      <c r="X1736" s="30"/>
      <c r="Y1736" s="31"/>
      <c r="Z1736" s="31"/>
      <c r="AA1736" s="31" t="s">
        <v>94</v>
      </c>
      <c r="AB1736" s="31" t="s">
        <v>6953</v>
      </c>
      <c r="AC1736" s="31"/>
    </row>
    <row r="1737" ht="18.75" customHeight="1">
      <c r="A1737" s="18" t="s">
        <v>6954</v>
      </c>
      <c r="B1737" s="19" t="s">
        <v>6917</v>
      </c>
      <c r="C1737" s="20">
        <v>90.0</v>
      </c>
      <c r="D1737" s="21" t="s">
        <v>6955</v>
      </c>
      <c r="E1737" s="27" t="s">
        <v>91</v>
      </c>
      <c r="F1737" s="18" t="s">
        <v>48</v>
      </c>
      <c r="G1737" s="32" t="s">
        <v>35</v>
      </c>
      <c r="H1737" s="23" t="s">
        <v>35</v>
      </c>
      <c r="I1737" s="24" t="s">
        <v>36</v>
      </c>
      <c r="J1737" s="34" t="s">
        <v>65</v>
      </c>
      <c r="K1737" s="26" t="s">
        <v>38</v>
      </c>
      <c r="L1737" s="25">
        <v>11111.0</v>
      </c>
      <c r="M1737" s="27" t="s">
        <v>50</v>
      </c>
      <c r="N1737" s="26" t="s">
        <v>3442</v>
      </c>
      <c r="O1737" s="28">
        <v>45478.4898152199</v>
      </c>
      <c r="P1737" s="26" t="s">
        <v>6919</v>
      </c>
      <c r="Q1737" s="11"/>
      <c r="R1737" s="11"/>
      <c r="S1737" s="11"/>
      <c r="T1737" s="29">
        <v>45468.0</v>
      </c>
      <c r="U1737" s="29">
        <v>45477.0</v>
      </c>
      <c r="V1737" s="29">
        <v>45478.407121122684</v>
      </c>
      <c r="W1737" s="30"/>
      <c r="X1737" s="30"/>
      <c r="Y1737" s="31"/>
      <c r="Z1737" s="31"/>
      <c r="AA1737" s="31" t="s">
        <v>94</v>
      </c>
      <c r="AB1737" s="31" t="s">
        <v>6956</v>
      </c>
      <c r="AC1737" s="31"/>
    </row>
    <row r="1738" ht="18.75" customHeight="1">
      <c r="A1738" s="18" t="s">
        <v>6957</v>
      </c>
      <c r="B1738" s="19" t="s">
        <v>6917</v>
      </c>
      <c r="C1738" s="20">
        <v>11.0</v>
      </c>
      <c r="D1738" s="21" t="s">
        <v>6958</v>
      </c>
      <c r="E1738" s="27" t="s">
        <v>112</v>
      </c>
      <c r="F1738" s="18" t="s">
        <v>48</v>
      </c>
      <c r="G1738" s="32" t="s">
        <v>35</v>
      </c>
      <c r="H1738" s="23" t="s">
        <v>35</v>
      </c>
      <c r="I1738" s="24" t="s">
        <v>36</v>
      </c>
      <c r="J1738" s="34" t="s">
        <v>65</v>
      </c>
      <c r="K1738" s="26" t="s">
        <v>38</v>
      </c>
      <c r="L1738" s="25">
        <v>11111.0</v>
      </c>
      <c r="M1738" s="27" t="s">
        <v>50</v>
      </c>
      <c r="N1738" s="26" t="s">
        <v>3442</v>
      </c>
      <c r="O1738" s="28">
        <v>45478.48962049768</v>
      </c>
      <c r="P1738" s="26" t="s">
        <v>6919</v>
      </c>
      <c r="Q1738" s="11"/>
      <c r="R1738" s="11"/>
      <c r="S1738" s="11"/>
      <c r="T1738" s="29">
        <v>45468.0</v>
      </c>
      <c r="U1738" s="29">
        <v>45477.0</v>
      </c>
      <c r="V1738" s="29">
        <v>45478.4071243287</v>
      </c>
      <c r="W1738" s="30"/>
      <c r="X1738" s="30"/>
      <c r="Y1738" s="31"/>
      <c r="Z1738" s="31"/>
      <c r="AA1738" s="31" t="s">
        <v>94</v>
      </c>
      <c r="AB1738" s="31" t="s">
        <v>6959</v>
      </c>
      <c r="AC1738" s="31"/>
    </row>
    <row r="1739" ht="18.75" customHeight="1">
      <c r="A1739" s="18" t="s">
        <v>6960</v>
      </c>
      <c r="B1739" s="19" t="s">
        <v>6917</v>
      </c>
      <c r="C1739" s="20">
        <v>11.0</v>
      </c>
      <c r="D1739" s="21" t="s">
        <v>6961</v>
      </c>
      <c r="E1739" s="27" t="s">
        <v>112</v>
      </c>
      <c r="F1739" s="18" t="s">
        <v>48</v>
      </c>
      <c r="G1739" s="32" t="s">
        <v>35</v>
      </c>
      <c r="H1739" s="23" t="s">
        <v>35</v>
      </c>
      <c r="I1739" s="24" t="s">
        <v>36</v>
      </c>
      <c r="J1739" s="34" t="s">
        <v>65</v>
      </c>
      <c r="K1739" s="26" t="s">
        <v>38</v>
      </c>
      <c r="L1739" s="25">
        <v>11111.0</v>
      </c>
      <c r="M1739" s="27" t="s">
        <v>50</v>
      </c>
      <c r="N1739" s="26" t="s">
        <v>3442</v>
      </c>
      <c r="O1739" s="28">
        <v>45478.489678819446</v>
      </c>
      <c r="P1739" s="26" t="s">
        <v>6919</v>
      </c>
      <c r="Q1739" s="11"/>
      <c r="R1739" s="11"/>
      <c r="S1739" s="11"/>
      <c r="T1739" s="29">
        <v>45468.0</v>
      </c>
      <c r="U1739" s="29">
        <v>45477.0</v>
      </c>
      <c r="V1739" s="29">
        <v>45478.40714273148</v>
      </c>
      <c r="W1739" s="30"/>
      <c r="X1739" s="30"/>
      <c r="Y1739" s="31"/>
      <c r="Z1739" s="31"/>
      <c r="AA1739" s="31" t="s">
        <v>94</v>
      </c>
      <c r="AB1739" s="31" t="s">
        <v>6962</v>
      </c>
      <c r="AC1739" s="31"/>
    </row>
    <row r="1740" ht="18.75" customHeight="1">
      <c r="A1740" s="18" t="s">
        <v>6963</v>
      </c>
      <c r="B1740" s="19" t="s">
        <v>6917</v>
      </c>
      <c r="C1740" s="20">
        <v>34.0</v>
      </c>
      <c r="D1740" s="21" t="s">
        <v>6964</v>
      </c>
      <c r="E1740" s="27" t="s">
        <v>47</v>
      </c>
      <c r="F1740" s="18" t="s">
        <v>48</v>
      </c>
      <c r="G1740" s="32" t="s">
        <v>35</v>
      </c>
      <c r="H1740" s="23" t="s">
        <v>35</v>
      </c>
      <c r="I1740" s="24" t="s">
        <v>36</v>
      </c>
      <c r="J1740" s="34" t="s">
        <v>65</v>
      </c>
      <c r="K1740" s="26" t="s">
        <v>38</v>
      </c>
      <c r="L1740" s="25">
        <v>11111.0</v>
      </c>
      <c r="M1740" s="27" t="s">
        <v>50</v>
      </c>
      <c r="N1740" s="26" t="s">
        <v>3442</v>
      </c>
      <c r="O1740" s="28">
        <v>45478.48992153935</v>
      </c>
      <c r="P1740" s="26" t="s">
        <v>6919</v>
      </c>
      <c r="Q1740" s="11"/>
      <c r="R1740" s="11"/>
      <c r="S1740" s="11"/>
      <c r="T1740" s="29">
        <v>45468.0</v>
      </c>
      <c r="U1740" s="29">
        <v>45477.0</v>
      </c>
      <c r="V1740" s="29">
        <v>45478.40715392361</v>
      </c>
      <c r="W1740" s="30"/>
      <c r="X1740" s="30"/>
      <c r="Y1740" s="31"/>
      <c r="Z1740" s="31"/>
      <c r="AA1740" s="31" t="s">
        <v>94</v>
      </c>
      <c r="AB1740" s="31" t="s">
        <v>6965</v>
      </c>
      <c r="AC1740" s="31"/>
    </row>
    <row r="1741" ht="18.75" customHeight="1">
      <c r="A1741" s="18" t="s">
        <v>6966</v>
      </c>
      <c r="B1741" s="19" t="s">
        <v>6917</v>
      </c>
      <c r="C1741" s="20">
        <v>34.0</v>
      </c>
      <c r="D1741" s="21" t="s">
        <v>6967</v>
      </c>
      <c r="E1741" s="27" t="s">
        <v>47</v>
      </c>
      <c r="F1741" s="18" t="s">
        <v>48</v>
      </c>
      <c r="G1741" s="32" t="s">
        <v>35</v>
      </c>
      <c r="H1741" s="23" t="s">
        <v>35</v>
      </c>
      <c r="I1741" s="24" t="s">
        <v>36</v>
      </c>
      <c r="J1741" s="34" t="s">
        <v>65</v>
      </c>
      <c r="K1741" s="26" t="s">
        <v>38</v>
      </c>
      <c r="L1741" s="25">
        <v>11111.0</v>
      </c>
      <c r="M1741" s="27" t="s">
        <v>50</v>
      </c>
      <c r="N1741" s="26" t="s">
        <v>3442</v>
      </c>
      <c r="O1741" s="28">
        <v>45478.48986592593</v>
      </c>
      <c r="P1741" s="26" t="s">
        <v>6919</v>
      </c>
      <c r="Q1741" s="11"/>
      <c r="R1741" s="11"/>
      <c r="S1741" s="11"/>
      <c r="T1741" s="29">
        <v>45468.0</v>
      </c>
      <c r="U1741" s="29">
        <v>45477.0</v>
      </c>
      <c r="V1741" s="29">
        <v>45478.407170844905</v>
      </c>
      <c r="W1741" s="30"/>
      <c r="X1741" s="30"/>
      <c r="Y1741" s="31"/>
      <c r="Z1741" s="31"/>
      <c r="AA1741" s="31" t="s">
        <v>94</v>
      </c>
      <c r="AB1741" s="31" t="s">
        <v>6968</v>
      </c>
      <c r="AC1741" s="31"/>
    </row>
    <row r="1742" ht="18.75" customHeight="1">
      <c r="A1742" s="18" t="s">
        <v>6969</v>
      </c>
      <c r="B1742" s="19" t="s">
        <v>3674</v>
      </c>
      <c r="C1742" s="20">
        <v>0.0</v>
      </c>
      <c r="D1742" s="21" t="s">
        <v>6970</v>
      </c>
      <c r="E1742" s="27" t="s">
        <v>2106</v>
      </c>
      <c r="F1742" s="18" t="s">
        <v>244</v>
      </c>
      <c r="G1742" s="18" t="s">
        <v>34</v>
      </c>
      <c r="H1742" s="23" t="s">
        <v>35</v>
      </c>
      <c r="I1742" s="24" t="s">
        <v>36</v>
      </c>
      <c r="J1742" s="34" t="s">
        <v>65</v>
      </c>
      <c r="K1742" s="26" t="s">
        <v>38</v>
      </c>
      <c r="L1742" s="25">
        <v>11092.0</v>
      </c>
      <c r="M1742" s="27" t="s">
        <v>40</v>
      </c>
      <c r="N1742" s="26" t="s">
        <v>5897</v>
      </c>
      <c r="O1742" s="28">
        <v>45476.6733187037</v>
      </c>
      <c r="P1742" s="26" t="s">
        <v>6971</v>
      </c>
      <c r="Q1742" s="11"/>
      <c r="R1742" s="11"/>
      <c r="S1742" s="11"/>
      <c r="T1742" s="29">
        <v>45468.0</v>
      </c>
      <c r="U1742" s="29">
        <v>45468.0</v>
      </c>
      <c r="V1742" s="29">
        <v>45475.0</v>
      </c>
      <c r="W1742" s="30"/>
      <c r="X1742" s="30"/>
      <c r="Y1742" s="31"/>
      <c r="Z1742" s="31"/>
      <c r="AA1742" s="31" t="s">
        <v>94</v>
      </c>
      <c r="AB1742" s="31" t="s">
        <v>6972</v>
      </c>
      <c r="AC1742" s="31"/>
    </row>
    <row r="1743" ht="18.75" customHeight="1">
      <c r="A1743" s="18" t="s">
        <v>6973</v>
      </c>
      <c r="B1743" s="19" t="s">
        <v>3674</v>
      </c>
      <c r="C1743" s="20">
        <v>0.0</v>
      </c>
      <c r="D1743" s="21" t="s">
        <v>6974</v>
      </c>
      <c r="E1743" s="27" t="s">
        <v>2106</v>
      </c>
      <c r="F1743" s="18" t="s">
        <v>244</v>
      </c>
      <c r="G1743" s="32" t="s">
        <v>35</v>
      </c>
      <c r="H1743" s="23" t="s">
        <v>35</v>
      </c>
      <c r="I1743" s="24" t="s">
        <v>36</v>
      </c>
      <c r="J1743" s="34" t="s">
        <v>65</v>
      </c>
      <c r="K1743" s="26" t="s">
        <v>38</v>
      </c>
      <c r="L1743" s="25">
        <v>11092.0</v>
      </c>
      <c r="M1743" s="27" t="s">
        <v>40</v>
      </c>
      <c r="N1743" s="26" t="s">
        <v>5897</v>
      </c>
      <c r="O1743" s="28">
        <v>45476.67340322917</v>
      </c>
      <c r="P1743" s="26" t="s">
        <v>6971</v>
      </c>
      <c r="Q1743" s="11"/>
      <c r="R1743" s="11"/>
      <c r="S1743" s="11"/>
      <c r="T1743" s="29">
        <v>45468.0</v>
      </c>
      <c r="U1743" s="29">
        <v>45468.0</v>
      </c>
      <c r="V1743" s="29">
        <v>45475.0</v>
      </c>
      <c r="W1743" s="30"/>
      <c r="X1743" s="30"/>
      <c r="Y1743" s="31"/>
      <c r="Z1743" s="31"/>
      <c r="AA1743" s="31" t="s">
        <v>94</v>
      </c>
      <c r="AB1743" s="31" t="s">
        <v>6975</v>
      </c>
      <c r="AC1743" s="31"/>
    </row>
    <row r="1744" ht="18.75" customHeight="1">
      <c r="A1744" s="18" t="s">
        <v>6976</v>
      </c>
      <c r="B1744" s="19" t="s">
        <v>3674</v>
      </c>
      <c r="C1744" s="20">
        <v>0.0</v>
      </c>
      <c r="D1744" s="21" t="s">
        <v>6977</v>
      </c>
      <c r="E1744" s="27" t="s">
        <v>2106</v>
      </c>
      <c r="F1744" s="18" t="s">
        <v>244</v>
      </c>
      <c r="G1744" s="32" t="s">
        <v>35</v>
      </c>
      <c r="H1744" s="23" t="s">
        <v>35</v>
      </c>
      <c r="I1744" s="24" t="s">
        <v>36</v>
      </c>
      <c r="J1744" s="34" t="s">
        <v>65</v>
      </c>
      <c r="K1744" s="26" t="s">
        <v>38</v>
      </c>
      <c r="L1744" s="25">
        <v>11092.0</v>
      </c>
      <c r="M1744" s="27" t="s">
        <v>40</v>
      </c>
      <c r="N1744" s="26" t="s">
        <v>5897</v>
      </c>
      <c r="O1744" s="28">
        <v>45476.67352064815</v>
      </c>
      <c r="P1744" s="26" t="s">
        <v>6971</v>
      </c>
      <c r="Q1744" s="11"/>
      <c r="R1744" s="11"/>
      <c r="S1744" s="11"/>
      <c r="T1744" s="29">
        <v>45468.0</v>
      </c>
      <c r="U1744" s="29">
        <v>45468.0</v>
      </c>
      <c r="V1744" s="29">
        <v>45475.0</v>
      </c>
      <c r="W1744" s="30"/>
      <c r="X1744" s="30"/>
      <c r="Y1744" s="31"/>
      <c r="Z1744" s="31"/>
      <c r="AA1744" s="31" t="s">
        <v>94</v>
      </c>
      <c r="AB1744" s="31" t="s">
        <v>6978</v>
      </c>
      <c r="AC1744" s="31"/>
    </row>
    <row r="1745" ht="18.75" customHeight="1">
      <c r="A1745" s="18" t="s">
        <v>6979</v>
      </c>
      <c r="B1745" s="19" t="s">
        <v>6048</v>
      </c>
      <c r="C1745" s="20">
        <v>1.0</v>
      </c>
      <c r="D1745" s="21" t="s">
        <v>6980</v>
      </c>
      <c r="E1745" s="27" t="s">
        <v>3395</v>
      </c>
      <c r="F1745" s="18" t="s">
        <v>48</v>
      </c>
      <c r="G1745" s="32" t="s">
        <v>35</v>
      </c>
      <c r="H1745" s="23" t="s">
        <v>35</v>
      </c>
      <c r="I1745" s="24" t="s">
        <v>36</v>
      </c>
      <c r="J1745" s="34" t="s">
        <v>65</v>
      </c>
      <c r="K1745" s="26" t="s">
        <v>38</v>
      </c>
      <c r="L1745" s="25">
        <v>11118.0</v>
      </c>
      <c r="M1745" s="27" t="s">
        <v>50</v>
      </c>
      <c r="N1745" s="26" t="s">
        <v>5897</v>
      </c>
      <c r="O1745" s="28">
        <v>45481.698419016204</v>
      </c>
      <c r="P1745" s="26" t="s">
        <v>6919</v>
      </c>
      <c r="Q1745" s="11"/>
      <c r="R1745" s="11"/>
      <c r="S1745" s="11"/>
      <c r="T1745" s="29">
        <v>45468.0</v>
      </c>
      <c r="U1745" s="29">
        <v>45478.0</v>
      </c>
      <c r="V1745" s="29">
        <v>45481.357169814815</v>
      </c>
      <c r="W1745" s="30"/>
      <c r="X1745" s="30"/>
      <c r="Y1745" s="31"/>
      <c r="Z1745" s="31"/>
      <c r="AA1745" s="31" t="s">
        <v>94</v>
      </c>
      <c r="AB1745" s="31" t="s">
        <v>6981</v>
      </c>
      <c r="AC1745" s="31"/>
    </row>
    <row r="1746" ht="18.75" customHeight="1">
      <c r="A1746" s="18" t="s">
        <v>6982</v>
      </c>
      <c r="B1746" s="19" t="s">
        <v>6048</v>
      </c>
      <c r="C1746" s="20">
        <v>11.0</v>
      </c>
      <c r="D1746" s="21" t="s">
        <v>6983</v>
      </c>
      <c r="E1746" s="27" t="s">
        <v>112</v>
      </c>
      <c r="F1746" s="18" t="s">
        <v>48</v>
      </c>
      <c r="G1746" s="32" t="s">
        <v>35</v>
      </c>
      <c r="H1746" s="23" t="s">
        <v>35</v>
      </c>
      <c r="I1746" s="24" t="s">
        <v>36</v>
      </c>
      <c r="J1746" s="34" t="s">
        <v>65</v>
      </c>
      <c r="K1746" s="26" t="s">
        <v>38</v>
      </c>
      <c r="L1746" s="25">
        <v>11118.0</v>
      </c>
      <c r="M1746" s="27" t="s">
        <v>50</v>
      </c>
      <c r="N1746" s="26" t="s">
        <v>5897</v>
      </c>
      <c r="O1746" s="28">
        <v>45481.70001353009</v>
      </c>
      <c r="P1746" s="26" t="s">
        <v>6919</v>
      </c>
      <c r="Q1746" s="11"/>
      <c r="R1746" s="11"/>
      <c r="S1746" s="11"/>
      <c r="T1746" s="29">
        <v>45468.0</v>
      </c>
      <c r="U1746" s="29">
        <v>45478.0</v>
      </c>
      <c r="V1746" s="29">
        <v>45481.46509563657</v>
      </c>
      <c r="W1746" s="30"/>
      <c r="X1746" s="30"/>
      <c r="Y1746" s="31"/>
      <c r="Z1746" s="31"/>
      <c r="AA1746" s="31" t="s">
        <v>94</v>
      </c>
      <c r="AB1746" s="31" t="s">
        <v>6984</v>
      </c>
      <c r="AC1746" s="31"/>
    </row>
    <row r="1747" ht="18.75" customHeight="1">
      <c r="A1747" s="18" t="s">
        <v>6985</v>
      </c>
      <c r="B1747" s="19" t="s">
        <v>6048</v>
      </c>
      <c r="C1747" s="20">
        <v>11.0</v>
      </c>
      <c r="D1747" s="21" t="s">
        <v>6986</v>
      </c>
      <c r="E1747" s="27" t="s">
        <v>112</v>
      </c>
      <c r="F1747" s="18" t="s">
        <v>48</v>
      </c>
      <c r="G1747" s="32" t="s">
        <v>35</v>
      </c>
      <c r="H1747" s="23" t="s">
        <v>35</v>
      </c>
      <c r="I1747" s="24" t="s">
        <v>36</v>
      </c>
      <c r="J1747" s="34" t="s">
        <v>65</v>
      </c>
      <c r="K1747" s="26" t="s">
        <v>38</v>
      </c>
      <c r="L1747" s="25">
        <v>11118.0</v>
      </c>
      <c r="M1747" s="27" t="s">
        <v>50</v>
      </c>
      <c r="N1747" s="26" t="s">
        <v>5897</v>
      </c>
      <c r="O1747" s="28">
        <v>45481.70006659722</v>
      </c>
      <c r="P1747" s="26" t="s">
        <v>6919</v>
      </c>
      <c r="Q1747" s="11"/>
      <c r="R1747" s="11"/>
      <c r="S1747" s="11"/>
      <c r="T1747" s="29">
        <v>45468.0</v>
      </c>
      <c r="U1747" s="29">
        <v>45478.0</v>
      </c>
      <c r="V1747" s="29">
        <v>45481.46510107639</v>
      </c>
      <c r="W1747" s="30"/>
      <c r="X1747" s="30"/>
      <c r="Y1747" s="31"/>
      <c r="Z1747" s="31"/>
      <c r="AA1747" s="31" t="s">
        <v>94</v>
      </c>
      <c r="AB1747" s="31" t="s">
        <v>6987</v>
      </c>
      <c r="AC1747" s="31"/>
    </row>
    <row r="1748" ht="18.75" customHeight="1">
      <c r="A1748" s="18" t="s">
        <v>6988</v>
      </c>
      <c r="B1748" s="19" t="s">
        <v>6048</v>
      </c>
      <c r="C1748" s="20">
        <v>34.0</v>
      </c>
      <c r="D1748" s="21" t="s">
        <v>6989</v>
      </c>
      <c r="E1748" s="27" t="s">
        <v>47</v>
      </c>
      <c r="F1748" s="18" t="s">
        <v>48</v>
      </c>
      <c r="G1748" s="32" t="s">
        <v>35</v>
      </c>
      <c r="H1748" s="23" t="s">
        <v>35</v>
      </c>
      <c r="I1748" s="24" t="s">
        <v>36</v>
      </c>
      <c r="J1748" s="34" t="s">
        <v>65</v>
      </c>
      <c r="K1748" s="26" t="s">
        <v>38</v>
      </c>
      <c r="L1748" s="25">
        <v>11118.0</v>
      </c>
      <c r="M1748" s="27" t="s">
        <v>50</v>
      </c>
      <c r="N1748" s="26" t="s">
        <v>5897</v>
      </c>
      <c r="O1748" s="28">
        <v>45481.700118877314</v>
      </c>
      <c r="P1748" s="26" t="s">
        <v>6919</v>
      </c>
      <c r="Q1748" s="11"/>
      <c r="R1748" s="11"/>
      <c r="S1748" s="11"/>
      <c r="T1748" s="29">
        <v>45468.0</v>
      </c>
      <c r="U1748" s="29">
        <v>45478.0</v>
      </c>
      <c r="V1748" s="29">
        <v>45481.46510667824</v>
      </c>
      <c r="W1748" s="30"/>
      <c r="X1748" s="30"/>
      <c r="Y1748" s="31"/>
      <c r="Z1748" s="31"/>
      <c r="AA1748" s="31" t="s">
        <v>94</v>
      </c>
      <c r="AB1748" s="31" t="s">
        <v>6990</v>
      </c>
      <c r="AC1748" s="31"/>
    </row>
    <row r="1749" ht="18.75" customHeight="1">
      <c r="A1749" s="18" t="s">
        <v>6991</v>
      </c>
      <c r="B1749" s="19" t="s">
        <v>6048</v>
      </c>
      <c r="C1749" s="20">
        <v>34.0</v>
      </c>
      <c r="D1749" s="21" t="s">
        <v>6992</v>
      </c>
      <c r="E1749" s="27" t="s">
        <v>47</v>
      </c>
      <c r="F1749" s="18" t="s">
        <v>48</v>
      </c>
      <c r="G1749" s="32" t="s">
        <v>35</v>
      </c>
      <c r="H1749" s="23" t="s">
        <v>35</v>
      </c>
      <c r="I1749" s="24" t="s">
        <v>36</v>
      </c>
      <c r="J1749" s="34" t="s">
        <v>65</v>
      </c>
      <c r="K1749" s="26" t="s">
        <v>38</v>
      </c>
      <c r="L1749" s="25">
        <v>11118.0</v>
      </c>
      <c r="M1749" s="27" t="s">
        <v>50</v>
      </c>
      <c r="N1749" s="26" t="s">
        <v>5897</v>
      </c>
      <c r="O1749" s="28">
        <v>45481.699854583334</v>
      </c>
      <c r="P1749" s="26" t="s">
        <v>6919</v>
      </c>
      <c r="Q1749" s="11"/>
      <c r="R1749" s="11"/>
      <c r="S1749" s="11"/>
      <c r="T1749" s="29">
        <v>45468.0</v>
      </c>
      <c r="U1749" s="29">
        <v>45478.0</v>
      </c>
      <c r="V1749" s="29">
        <v>45481.465112465274</v>
      </c>
      <c r="W1749" s="30"/>
      <c r="X1749" s="30"/>
      <c r="Y1749" s="31"/>
      <c r="Z1749" s="31"/>
      <c r="AA1749" s="31" t="s">
        <v>94</v>
      </c>
      <c r="AB1749" s="31" t="s">
        <v>6993</v>
      </c>
      <c r="AC1749" s="31"/>
    </row>
    <row r="1750" ht="18.75" customHeight="1">
      <c r="A1750" s="18" t="s">
        <v>6994</v>
      </c>
      <c r="B1750" s="19" t="s">
        <v>6048</v>
      </c>
      <c r="C1750" s="20">
        <v>1.0</v>
      </c>
      <c r="D1750" s="21" t="s">
        <v>6995</v>
      </c>
      <c r="E1750" s="27" t="s">
        <v>3395</v>
      </c>
      <c r="F1750" s="18" t="s">
        <v>48</v>
      </c>
      <c r="G1750" s="32" t="s">
        <v>35</v>
      </c>
      <c r="H1750" s="23" t="s">
        <v>35</v>
      </c>
      <c r="I1750" s="24" t="s">
        <v>36</v>
      </c>
      <c r="J1750" s="34" t="s">
        <v>65</v>
      </c>
      <c r="K1750" s="26" t="s">
        <v>38</v>
      </c>
      <c r="L1750" s="25">
        <v>11118.0</v>
      </c>
      <c r="M1750" s="27" t="s">
        <v>50</v>
      </c>
      <c r="N1750" s="26" t="s">
        <v>5897</v>
      </c>
      <c r="O1750" s="28">
        <v>45481.69952228009</v>
      </c>
      <c r="P1750" s="26" t="s">
        <v>6919</v>
      </c>
      <c r="Q1750" s="11"/>
      <c r="R1750" s="11"/>
      <c r="S1750" s="11"/>
      <c r="T1750" s="29">
        <v>45468.0</v>
      </c>
      <c r="U1750" s="29">
        <v>45478.0</v>
      </c>
      <c r="V1750" s="29">
        <v>45481.357180810184</v>
      </c>
      <c r="W1750" s="30"/>
      <c r="X1750" s="30"/>
      <c r="Y1750" s="31"/>
      <c r="Z1750" s="31"/>
      <c r="AA1750" s="31" t="s">
        <v>94</v>
      </c>
      <c r="AB1750" s="31" t="s">
        <v>6996</v>
      </c>
      <c r="AC1750" s="31"/>
    </row>
    <row r="1751" ht="18.75" customHeight="1">
      <c r="A1751" s="18" t="s">
        <v>6997</v>
      </c>
      <c r="B1751" s="19" t="s">
        <v>6048</v>
      </c>
      <c r="C1751" s="20">
        <v>0.0</v>
      </c>
      <c r="D1751" s="21" t="s">
        <v>6998</v>
      </c>
      <c r="E1751" s="27" t="s">
        <v>3441</v>
      </c>
      <c r="F1751" s="18" t="s">
        <v>48</v>
      </c>
      <c r="G1751" s="32" t="s">
        <v>35</v>
      </c>
      <c r="H1751" s="23" t="s">
        <v>35</v>
      </c>
      <c r="I1751" s="24" t="s">
        <v>36</v>
      </c>
      <c r="J1751" s="34" t="s">
        <v>65</v>
      </c>
      <c r="K1751" s="26" t="s">
        <v>38</v>
      </c>
      <c r="L1751" s="25">
        <v>11118.0</v>
      </c>
      <c r="M1751" s="27" t="s">
        <v>50</v>
      </c>
      <c r="N1751" s="26" t="s">
        <v>5897</v>
      </c>
      <c r="O1751" s="28">
        <v>45481.69960127315</v>
      </c>
      <c r="P1751" s="26" t="s">
        <v>6919</v>
      </c>
      <c r="Q1751" s="11"/>
      <c r="R1751" s="11"/>
      <c r="S1751" s="11"/>
      <c r="T1751" s="29">
        <v>45468.0</v>
      </c>
      <c r="U1751" s="29">
        <v>45478.0</v>
      </c>
      <c r="V1751" s="29">
        <v>45481.35892050926</v>
      </c>
      <c r="W1751" s="30"/>
      <c r="X1751" s="30"/>
      <c r="Y1751" s="31"/>
      <c r="Z1751" s="31"/>
      <c r="AA1751" s="31" t="s">
        <v>94</v>
      </c>
      <c r="AB1751" s="31" t="s">
        <v>6999</v>
      </c>
      <c r="AC1751" s="31"/>
    </row>
    <row r="1752" ht="18.75" customHeight="1">
      <c r="A1752" s="18" t="s">
        <v>7000</v>
      </c>
      <c r="B1752" s="19" t="s">
        <v>6048</v>
      </c>
      <c r="C1752" s="20">
        <v>0.0</v>
      </c>
      <c r="D1752" s="21" t="s">
        <v>7001</v>
      </c>
      <c r="E1752" s="27" t="s">
        <v>3441</v>
      </c>
      <c r="F1752" s="18" t="s">
        <v>48</v>
      </c>
      <c r="G1752" s="32" t="s">
        <v>35</v>
      </c>
      <c r="H1752" s="23" t="s">
        <v>35</v>
      </c>
      <c r="I1752" s="24" t="s">
        <v>36</v>
      </c>
      <c r="J1752" s="34" t="s">
        <v>65</v>
      </c>
      <c r="K1752" s="26" t="s">
        <v>38</v>
      </c>
      <c r="L1752" s="25">
        <v>11118.0</v>
      </c>
      <c r="M1752" s="27" t="s">
        <v>50</v>
      </c>
      <c r="N1752" s="26" t="s">
        <v>5897</v>
      </c>
      <c r="O1752" s="28">
        <v>45481.698610625</v>
      </c>
      <c r="P1752" s="26" t="s">
        <v>6919</v>
      </c>
      <c r="Q1752" s="11"/>
      <c r="R1752" s="11"/>
      <c r="S1752" s="11"/>
      <c r="T1752" s="29">
        <v>45468.0</v>
      </c>
      <c r="U1752" s="29">
        <v>45478.0</v>
      </c>
      <c r="V1752" s="29">
        <v>45481.35892890046</v>
      </c>
      <c r="W1752" s="30"/>
      <c r="X1752" s="30"/>
      <c r="Y1752" s="31"/>
      <c r="Z1752" s="31"/>
      <c r="AA1752" s="31" t="s">
        <v>94</v>
      </c>
      <c r="AB1752" s="31" t="s">
        <v>7002</v>
      </c>
      <c r="AC1752" s="31"/>
    </row>
    <row r="1753" ht="18.75" customHeight="1">
      <c r="A1753" s="18" t="s">
        <v>7003</v>
      </c>
      <c r="B1753" s="19" t="s">
        <v>6048</v>
      </c>
      <c r="C1753" s="20">
        <v>0.0</v>
      </c>
      <c r="D1753" s="21" t="s">
        <v>7004</v>
      </c>
      <c r="E1753" s="27" t="s">
        <v>3441</v>
      </c>
      <c r="F1753" s="18" t="s">
        <v>48</v>
      </c>
      <c r="G1753" s="32" t="s">
        <v>35</v>
      </c>
      <c r="H1753" s="23" t="s">
        <v>35</v>
      </c>
      <c r="I1753" s="24" t="s">
        <v>36</v>
      </c>
      <c r="J1753" s="34" t="s">
        <v>65</v>
      </c>
      <c r="K1753" s="26" t="s">
        <v>38</v>
      </c>
      <c r="L1753" s="25">
        <v>11118.0</v>
      </c>
      <c r="M1753" s="27" t="s">
        <v>50</v>
      </c>
      <c r="N1753" s="26" t="s">
        <v>5897</v>
      </c>
      <c r="O1753" s="28">
        <v>45481.698473842596</v>
      </c>
      <c r="P1753" s="26" t="s">
        <v>6919</v>
      </c>
      <c r="Q1753" s="11"/>
      <c r="R1753" s="11"/>
      <c r="S1753" s="11"/>
      <c r="T1753" s="29">
        <v>45468.0</v>
      </c>
      <c r="U1753" s="29">
        <v>45478.0</v>
      </c>
      <c r="V1753" s="29">
        <v>45481.358935185184</v>
      </c>
      <c r="W1753" s="30"/>
      <c r="X1753" s="30"/>
      <c r="Y1753" s="31"/>
      <c r="Z1753" s="31"/>
      <c r="AA1753" s="31" t="s">
        <v>94</v>
      </c>
      <c r="AB1753" s="31" t="s">
        <v>7005</v>
      </c>
      <c r="AC1753" s="31"/>
    </row>
    <row r="1754" ht="18.75" customHeight="1">
      <c r="A1754" s="18" t="s">
        <v>7006</v>
      </c>
      <c r="B1754" s="19" t="s">
        <v>6048</v>
      </c>
      <c r="C1754" s="20">
        <v>0.0</v>
      </c>
      <c r="D1754" s="21" t="s">
        <v>7007</v>
      </c>
      <c r="E1754" s="27" t="s">
        <v>3441</v>
      </c>
      <c r="F1754" s="18" t="s">
        <v>48</v>
      </c>
      <c r="G1754" s="32" t="s">
        <v>35</v>
      </c>
      <c r="H1754" s="23" t="s">
        <v>35</v>
      </c>
      <c r="I1754" s="24" t="s">
        <v>36</v>
      </c>
      <c r="J1754" s="34" t="s">
        <v>65</v>
      </c>
      <c r="K1754" s="26" t="s">
        <v>38</v>
      </c>
      <c r="L1754" s="25">
        <v>11118.0</v>
      </c>
      <c r="M1754" s="27" t="s">
        <v>50</v>
      </c>
      <c r="N1754" s="26" t="s">
        <v>5897</v>
      </c>
      <c r="O1754" s="28">
        <v>45481.6994677662</v>
      </c>
      <c r="P1754" s="26" t="s">
        <v>6919</v>
      </c>
      <c r="Q1754" s="11"/>
      <c r="R1754" s="11"/>
      <c r="S1754" s="11"/>
      <c r="T1754" s="29">
        <v>45468.0</v>
      </c>
      <c r="U1754" s="29">
        <v>45478.0</v>
      </c>
      <c r="V1754" s="29">
        <v>45481.358942673614</v>
      </c>
      <c r="W1754" s="30"/>
      <c r="X1754" s="30"/>
      <c r="Y1754" s="31"/>
      <c r="Z1754" s="31"/>
      <c r="AA1754" s="31" t="s">
        <v>94</v>
      </c>
      <c r="AB1754" s="31" t="s">
        <v>7008</v>
      </c>
      <c r="AC1754" s="31"/>
    </row>
    <row r="1755" ht="18.75" customHeight="1">
      <c r="A1755" s="18" t="s">
        <v>7009</v>
      </c>
      <c r="B1755" s="19" t="s">
        <v>6048</v>
      </c>
      <c r="C1755" s="20">
        <v>0.0</v>
      </c>
      <c r="D1755" s="21" t="s">
        <v>7010</v>
      </c>
      <c r="E1755" s="27" t="s">
        <v>3441</v>
      </c>
      <c r="F1755" s="18" t="s">
        <v>48</v>
      </c>
      <c r="G1755" s="32" t="s">
        <v>35</v>
      </c>
      <c r="H1755" s="23" t="s">
        <v>35</v>
      </c>
      <c r="I1755" s="24" t="s">
        <v>36</v>
      </c>
      <c r="J1755" s="34" t="s">
        <v>65</v>
      </c>
      <c r="K1755" s="26" t="s">
        <v>38</v>
      </c>
      <c r="L1755" s="25">
        <v>11118.0</v>
      </c>
      <c r="M1755" s="27" t="s">
        <v>50</v>
      </c>
      <c r="N1755" s="26" t="s">
        <v>5897</v>
      </c>
      <c r="O1755" s="28">
        <v>45481.69867196759</v>
      </c>
      <c r="P1755" s="26" t="s">
        <v>6919</v>
      </c>
      <c r="Q1755" s="11"/>
      <c r="R1755" s="11"/>
      <c r="S1755" s="11"/>
      <c r="T1755" s="29">
        <v>45468.0</v>
      </c>
      <c r="U1755" s="29">
        <v>45478.0</v>
      </c>
      <c r="V1755" s="29">
        <v>45481.42184880787</v>
      </c>
      <c r="W1755" s="30"/>
      <c r="X1755" s="30"/>
      <c r="Y1755" s="31"/>
      <c r="Z1755" s="31"/>
      <c r="AA1755" s="31" t="s">
        <v>94</v>
      </c>
      <c r="AB1755" s="31" t="s">
        <v>7011</v>
      </c>
      <c r="AC1755" s="31"/>
    </row>
    <row r="1756" ht="18.75" customHeight="1">
      <c r="A1756" s="32" t="s">
        <v>7012</v>
      </c>
      <c r="B1756" s="19" t="s">
        <v>6048</v>
      </c>
      <c r="C1756" s="20">
        <v>0.0</v>
      </c>
      <c r="D1756" s="21" t="s">
        <v>7013</v>
      </c>
      <c r="E1756" s="27" t="s">
        <v>3441</v>
      </c>
      <c r="F1756" s="18" t="s">
        <v>48</v>
      </c>
      <c r="G1756" s="32" t="s">
        <v>35</v>
      </c>
      <c r="H1756" s="23" t="s">
        <v>35</v>
      </c>
      <c r="I1756" s="24" t="s">
        <v>36</v>
      </c>
      <c r="J1756" s="34" t="s">
        <v>65</v>
      </c>
      <c r="K1756" s="26" t="s">
        <v>38</v>
      </c>
      <c r="L1756" s="34" t="s">
        <v>7014</v>
      </c>
      <c r="M1756" s="22" t="s">
        <v>50</v>
      </c>
      <c r="N1756" s="26"/>
      <c r="O1756" s="138">
        <v>45531.0</v>
      </c>
      <c r="P1756" s="26" t="s">
        <v>7015</v>
      </c>
      <c r="Q1756" s="11" t="s">
        <v>67</v>
      </c>
      <c r="R1756" s="11" t="s">
        <v>67</v>
      </c>
      <c r="S1756" s="14" t="s">
        <v>151</v>
      </c>
      <c r="T1756" s="29">
        <v>45468.0</v>
      </c>
      <c r="U1756" s="29">
        <v>45478.0</v>
      </c>
      <c r="V1756" s="139">
        <v>45531.0</v>
      </c>
      <c r="W1756" s="30"/>
      <c r="X1756" s="30"/>
      <c r="Y1756" s="31"/>
      <c r="Z1756" s="31"/>
      <c r="AA1756" s="31" t="s">
        <v>94</v>
      </c>
      <c r="AB1756" s="31" t="s">
        <v>7016</v>
      </c>
      <c r="AC1756" s="31"/>
    </row>
    <row r="1757" ht="18.75" customHeight="1">
      <c r="A1757" s="18" t="s">
        <v>7017</v>
      </c>
      <c r="B1757" s="19" t="s">
        <v>6048</v>
      </c>
      <c r="C1757" s="20">
        <v>0.0</v>
      </c>
      <c r="D1757" s="21" t="s">
        <v>7018</v>
      </c>
      <c r="E1757" s="27" t="s">
        <v>3441</v>
      </c>
      <c r="F1757" s="18" t="s">
        <v>48</v>
      </c>
      <c r="G1757" s="32" t="s">
        <v>35</v>
      </c>
      <c r="H1757" s="23" t="s">
        <v>35</v>
      </c>
      <c r="I1757" s="24" t="s">
        <v>36</v>
      </c>
      <c r="J1757" s="34" t="s">
        <v>65</v>
      </c>
      <c r="K1757" s="26" t="s">
        <v>38</v>
      </c>
      <c r="L1757" s="25">
        <v>11118.0</v>
      </c>
      <c r="M1757" s="27" t="s">
        <v>50</v>
      </c>
      <c r="N1757" s="26" t="s">
        <v>5897</v>
      </c>
      <c r="O1757" s="28">
        <v>45481.698547569446</v>
      </c>
      <c r="P1757" s="26" t="s">
        <v>6919</v>
      </c>
      <c r="Q1757" s="11"/>
      <c r="R1757" s="11"/>
      <c r="S1757" s="11"/>
      <c r="T1757" s="29">
        <v>45468.0</v>
      </c>
      <c r="U1757" s="29">
        <v>45478.0</v>
      </c>
      <c r="V1757" s="29">
        <v>45481.42279282407</v>
      </c>
      <c r="W1757" s="30"/>
      <c r="X1757" s="30"/>
      <c r="Y1757" s="31"/>
      <c r="Z1757" s="31"/>
      <c r="AA1757" s="31" t="s">
        <v>94</v>
      </c>
      <c r="AB1757" s="31" t="s">
        <v>7019</v>
      </c>
      <c r="AC1757" s="31"/>
    </row>
    <row r="1758" ht="18.75" customHeight="1">
      <c r="A1758" s="18" t="s">
        <v>7020</v>
      </c>
      <c r="B1758" s="19" t="s">
        <v>6048</v>
      </c>
      <c r="C1758" s="20">
        <v>0.0</v>
      </c>
      <c r="D1758" s="21" t="s">
        <v>7021</v>
      </c>
      <c r="E1758" s="27" t="s">
        <v>3441</v>
      </c>
      <c r="F1758" s="18" t="s">
        <v>48</v>
      </c>
      <c r="G1758" s="32" t="s">
        <v>35</v>
      </c>
      <c r="H1758" s="23" t="s">
        <v>35</v>
      </c>
      <c r="I1758" s="24" t="s">
        <v>36</v>
      </c>
      <c r="J1758" s="34" t="s">
        <v>65</v>
      </c>
      <c r="K1758" s="26" t="s">
        <v>38</v>
      </c>
      <c r="L1758" s="25">
        <v>11118.0</v>
      </c>
      <c r="M1758" s="27" t="s">
        <v>50</v>
      </c>
      <c r="N1758" s="26" t="s">
        <v>5897</v>
      </c>
      <c r="O1758" s="28">
        <v>45481.698838032404</v>
      </c>
      <c r="P1758" s="26" t="s">
        <v>6919</v>
      </c>
      <c r="Q1758" s="11"/>
      <c r="R1758" s="11"/>
      <c r="S1758" s="11"/>
      <c r="T1758" s="29">
        <v>45468.0</v>
      </c>
      <c r="U1758" s="29">
        <v>45478.0</v>
      </c>
      <c r="V1758" s="29">
        <v>45481.42280068287</v>
      </c>
      <c r="W1758" s="30"/>
      <c r="X1758" s="30"/>
      <c r="Y1758" s="31"/>
      <c r="Z1758" s="31"/>
      <c r="AA1758" s="31" t="s">
        <v>94</v>
      </c>
      <c r="AB1758" s="31" t="s">
        <v>7022</v>
      </c>
      <c r="AC1758" s="31"/>
    </row>
    <row r="1759" ht="18.75" customHeight="1">
      <c r="A1759" s="18" t="s">
        <v>7023</v>
      </c>
      <c r="B1759" s="19" t="s">
        <v>6048</v>
      </c>
      <c r="C1759" s="20">
        <v>137.0</v>
      </c>
      <c r="D1759" s="21" t="s">
        <v>7024</v>
      </c>
      <c r="E1759" s="27" t="s">
        <v>85</v>
      </c>
      <c r="F1759" s="18" t="s">
        <v>48</v>
      </c>
      <c r="G1759" s="32" t="s">
        <v>35</v>
      </c>
      <c r="H1759" s="23" t="s">
        <v>35</v>
      </c>
      <c r="I1759" s="24" t="s">
        <v>36</v>
      </c>
      <c r="J1759" s="34" t="s">
        <v>65</v>
      </c>
      <c r="K1759" s="26" t="s">
        <v>38</v>
      </c>
      <c r="L1759" s="25">
        <v>11118.0</v>
      </c>
      <c r="M1759" s="27" t="s">
        <v>50</v>
      </c>
      <c r="N1759" s="26" t="s">
        <v>5897</v>
      </c>
      <c r="O1759" s="28">
        <v>45481.698786458335</v>
      </c>
      <c r="P1759" s="26" t="s">
        <v>6919</v>
      </c>
      <c r="Q1759" s="11"/>
      <c r="R1759" s="11"/>
      <c r="S1759" s="11"/>
      <c r="T1759" s="29">
        <v>45468.0</v>
      </c>
      <c r="U1759" s="29">
        <v>45478.0</v>
      </c>
      <c r="V1759" s="29">
        <v>45481.426661944446</v>
      </c>
      <c r="W1759" s="30"/>
      <c r="X1759" s="30"/>
      <c r="Y1759" s="31"/>
      <c r="Z1759" s="31"/>
      <c r="AA1759" s="31" t="s">
        <v>94</v>
      </c>
      <c r="AB1759" s="31" t="s">
        <v>7025</v>
      </c>
      <c r="AC1759" s="31"/>
    </row>
    <row r="1760" ht="18.75" customHeight="1">
      <c r="A1760" s="18" t="s">
        <v>7026</v>
      </c>
      <c r="B1760" s="19" t="s">
        <v>6048</v>
      </c>
      <c r="C1760" s="20">
        <v>137.0</v>
      </c>
      <c r="D1760" s="21" t="s">
        <v>7027</v>
      </c>
      <c r="E1760" s="27" t="s">
        <v>85</v>
      </c>
      <c r="F1760" s="18" t="s">
        <v>48</v>
      </c>
      <c r="G1760" s="32" t="s">
        <v>35</v>
      </c>
      <c r="H1760" s="23" t="s">
        <v>35</v>
      </c>
      <c r="I1760" s="24" t="s">
        <v>36</v>
      </c>
      <c r="J1760" s="34" t="s">
        <v>65</v>
      </c>
      <c r="K1760" s="26" t="s">
        <v>38</v>
      </c>
      <c r="L1760" s="25">
        <v>11118.0</v>
      </c>
      <c r="M1760" s="27" t="s">
        <v>50</v>
      </c>
      <c r="N1760" s="26" t="s">
        <v>5897</v>
      </c>
      <c r="O1760" s="28">
        <v>45481.698885439815</v>
      </c>
      <c r="P1760" s="26" t="s">
        <v>6919</v>
      </c>
      <c r="Q1760" s="11"/>
      <c r="R1760" s="11"/>
      <c r="S1760" s="11"/>
      <c r="T1760" s="29">
        <v>45468.0</v>
      </c>
      <c r="U1760" s="29">
        <v>45478.0</v>
      </c>
      <c r="V1760" s="29">
        <v>45481.42666990741</v>
      </c>
      <c r="W1760" s="30"/>
      <c r="X1760" s="30"/>
      <c r="Y1760" s="31"/>
      <c r="Z1760" s="31"/>
      <c r="AA1760" s="31" t="s">
        <v>94</v>
      </c>
      <c r="AB1760" s="31" t="s">
        <v>7028</v>
      </c>
      <c r="AC1760" s="31"/>
    </row>
    <row r="1761" ht="18.75" customHeight="1">
      <c r="A1761" s="18" t="s">
        <v>7029</v>
      </c>
      <c r="B1761" s="19" t="s">
        <v>6048</v>
      </c>
      <c r="C1761" s="20">
        <v>137.0</v>
      </c>
      <c r="D1761" s="21" t="s">
        <v>7030</v>
      </c>
      <c r="E1761" s="27" t="s">
        <v>85</v>
      </c>
      <c r="F1761" s="18" t="s">
        <v>48</v>
      </c>
      <c r="G1761" s="32" t="s">
        <v>35</v>
      </c>
      <c r="H1761" s="23" t="s">
        <v>35</v>
      </c>
      <c r="I1761" s="24" t="s">
        <v>36</v>
      </c>
      <c r="J1761" s="34" t="s">
        <v>65</v>
      </c>
      <c r="K1761" s="26" t="s">
        <v>38</v>
      </c>
      <c r="L1761" s="25">
        <v>11118.0</v>
      </c>
      <c r="M1761" s="27" t="s">
        <v>50</v>
      </c>
      <c r="N1761" s="26" t="s">
        <v>5897</v>
      </c>
      <c r="O1761" s="28">
        <v>45481.698966655094</v>
      </c>
      <c r="P1761" s="26" t="s">
        <v>6919</v>
      </c>
      <c r="Q1761" s="11"/>
      <c r="R1761" s="11"/>
      <c r="S1761" s="11"/>
      <c r="T1761" s="29">
        <v>45468.0</v>
      </c>
      <c r="U1761" s="29">
        <v>45478.0</v>
      </c>
      <c r="V1761" s="29">
        <v>45481.42667584491</v>
      </c>
      <c r="W1761" s="30"/>
      <c r="X1761" s="30"/>
      <c r="Y1761" s="31"/>
      <c r="Z1761" s="31"/>
      <c r="AA1761" s="31" t="s">
        <v>94</v>
      </c>
      <c r="AB1761" s="31" t="s">
        <v>7031</v>
      </c>
      <c r="AC1761" s="31"/>
    </row>
    <row r="1762" ht="18.75" customHeight="1">
      <c r="A1762" s="18" t="s">
        <v>7032</v>
      </c>
      <c r="B1762" s="19" t="s">
        <v>6048</v>
      </c>
      <c r="C1762" s="20">
        <v>137.0</v>
      </c>
      <c r="D1762" s="21" t="s">
        <v>7033</v>
      </c>
      <c r="E1762" s="27" t="s">
        <v>85</v>
      </c>
      <c r="F1762" s="18" t="s">
        <v>48</v>
      </c>
      <c r="G1762" s="32" t="s">
        <v>35</v>
      </c>
      <c r="H1762" s="23" t="s">
        <v>35</v>
      </c>
      <c r="I1762" s="24" t="s">
        <v>36</v>
      </c>
      <c r="J1762" s="34" t="s">
        <v>65</v>
      </c>
      <c r="K1762" s="26" t="s">
        <v>38</v>
      </c>
      <c r="L1762" s="25">
        <v>11118.0</v>
      </c>
      <c r="M1762" s="27" t="s">
        <v>50</v>
      </c>
      <c r="N1762" s="26" t="s">
        <v>5897</v>
      </c>
      <c r="O1762" s="28">
        <v>45481.6998016088</v>
      </c>
      <c r="P1762" s="26" t="s">
        <v>6919</v>
      </c>
      <c r="Q1762" s="11"/>
      <c r="R1762" s="11"/>
      <c r="S1762" s="11"/>
      <c r="T1762" s="29">
        <v>45468.0</v>
      </c>
      <c r="U1762" s="29">
        <v>45478.0</v>
      </c>
      <c r="V1762" s="29">
        <v>45481.426680543984</v>
      </c>
      <c r="W1762" s="30"/>
      <c r="X1762" s="30"/>
      <c r="Y1762" s="31"/>
      <c r="Z1762" s="31"/>
      <c r="AA1762" s="31" t="s">
        <v>94</v>
      </c>
      <c r="AB1762" s="31" t="s">
        <v>7034</v>
      </c>
      <c r="AC1762" s="31"/>
    </row>
    <row r="1763" ht="18.75" customHeight="1">
      <c r="A1763" s="18" t="s">
        <v>7035</v>
      </c>
      <c r="B1763" s="19" t="s">
        <v>6048</v>
      </c>
      <c r="C1763" s="20">
        <v>137.0</v>
      </c>
      <c r="D1763" s="21" t="s">
        <v>7036</v>
      </c>
      <c r="E1763" s="27" t="s">
        <v>85</v>
      </c>
      <c r="F1763" s="18" t="s">
        <v>48</v>
      </c>
      <c r="G1763" s="32" t="s">
        <v>35</v>
      </c>
      <c r="H1763" s="23" t="s">
        <v>35</v>
      </c>
      <c r="I1763" s="24" t="s">
        <v>36</v>
      </c>
      <c r="J1763" s="34" t="s">
        <v>65</v>
      </c>
      <c r="K1763" s="26" t="s">
        <v>38</v>
      </c>
      <c r="L1763" s="25">
        <v>11118.0</v>
      </c>
      <c r="M1763" s="27" t="s">
        <v>50</v>
      </c>
      <c r="N1763" s="26" t="s">
        <v>5897</v>
      </c>
      <c r="O1763" s="28">
        <v>45481.69906590278</v>
      </c>
      <c r="P1763" s="26" t="s">
        <v>6919</v>
      </c>
      <c r="Q1763" s="11"/>
      <c r="R1763" s="11"/>
      <c r="S1763" s="11"/>
      <c r="T1763" s="29">
        <v>45468.0</v>
      </c>
      <c r="U1763" s="29">
        <v>45478.0</v>
      </c>
      <c r="V1763" s="29">
        <v>45481.42668513889</v>
      </c>
      <c r="W1763" s="30"/>
      <c r="X1763" s="30"/>
      <c r="Y1763" s="31"/>
      <c r="Z1763" s="31"/>
      <c r="AA1763" s="31" t="s">
        <v>94</v>
      </c>
      <c r="AB1763" s="31" t="s">
        <v>7037</v>
      </c>
      <c r="AC1763" s="31"/>
    </row>
    <row r="1764" ht="18.75" customHeight="1">
      <c r="A1764" s="18" t="s">
        <v>7038</v>
      </c>
      <c r="B1764" s="19" t="s">
        <v>6048</v>
      </c>
      <c r="C1764" s="20">
        <v>137.0</v>
      </c>
      <c r="D1764" s="21" t="s">
        <v>7039</v>
      </c>
      <c r="E1764" s="27" t="s">
        <v>85</v>
      </c>
      <c r="F1764" s="18" t="s">
        <v>48</v>
      </c>
      <c r="G1764" s="32" t="s">
        <v>35</v>
      </c>
      <c r="H1764" s="23" t="s">
        <v>35</v>
      </c>
      <c r="I1764" s="24" t="s">
        <v>36</v>
      </c>
      <c r="J1764" s="34" t="s">
        <v>65</v>
      </c>
      <c r="K1764" s="26" t="s">
        <v>38</v>
      </c>
      <c r="L1764" s="25">
        <v>11118.0</v>
      </c>
      <c r="M1764" s="27" t="s">
        <v>50</v>
      </c>
      <c r="N1764" s="26" t="s">
        <v>5897</v>
      </c>
      <c r="O1764" s="28">
        <v>45481.69902018519</v>
      </c>
      <c r="P1764" s="26" t="s">
        <v>6919</v>
      </c>
      <c r="Q1764" s="11"/>
      <c r="R1764" s="11"/>
      <c r="S1764" s="11"/>
      <c r="T1764" s="29">
        <v>45468.0</v>
      </c>
      <c r="U1764" s="29">
        <v>45478.0</v>
      </c>
      <c r="V1764" s="29">
        <v>45481.42669111111</v>
      </c>
      <c r="W1764" s="30"/>
      <c r="X1764" s="30"/>
      <c r="Y1764" s="31"/>
      <c r="Z1764" s="31"/>
      <c r="AA1764" s="31" t="s">
        <v>94</v>
      </c>
      <c r="AB1764" s="31" t="s">
        <v>7040</v>
      </c>
      <c r="AC1764" s="31"/>
    </row>
    <row r="1765" ht="18.75" customHeight="1">
      <c r="A1765" s="18" t="s">
        <v>7041</v>
      </c>
      <c r="B1765" s="19" t="s">
        <v>6048</v>
      </c>
      <c r="C1765" s="20">
        <v>137.0</v>
      </c>
      <c r="D1765" s="21" t="s">
        <v>7042</v>
      </c>
      <c r="E1765" s="27" t="s">
        <v>85</v>
      </c>
      <c r="F1765" s="18" t="s">
        <v>48</v>
      </c>
      <c r="G1765" s="32" t="s">
        <v>35</v>
      </c>
      <c r="H1765" s="23" t="s">
        <v>35</v>
      </c>
      <c r="I1765" s="24" t="s">
        <v>36</v>
      </c>
      <c r="J1765" s="34" t="s">
        <v>65</v>
      </c>
      <c r="K1765" s="26" t="s">
        <v>38</v>
      </c>
      <c r="L1765" s="25">
        <v>11118.0</v>
      </c>
      <c r="M1765" s="27" t="s">
        <v>50</v>
      </c>
      <c r="N1765" s="26" t="s">
        <v>5897</v>
      </c>
      <c r="O1765" s="28">
        <v>45481.699119791665</v>
      </c>
      <c r="P1765" s="26" t="s">
        <v>6919</v>
      </c>
      <c r="Q1765" s="11"/>
      <c r="R1765" s="11"/>
      <c r="S1765" s="11"/>
      <c r="T1765" s="29">
        <v>45468.0</v>
      </c>
      <c r="U1765" s="29">
        <v>45478.0</v>
      </c>
      <c r="V1765" s="29">
        <v>45481.42669623843</v>
      </c>
      <c r="W1765" s="30"/>
      <c r="X1765" s="30"/>
      <c r="Y1765" s="31"/>
      <c r="Z1765" s="31"/>
      <c r="AA1765" s="31" t="s">
        <v>94</v>
      </c>
      <c r="AB1765" s="31" t="s">
        <v>7043</v>
      </c>
      <c r="AC1765" s="31"/>
    </row>
    <row r="1766" ht="18.75" customHeight="1">
      <c r="A1766" s="18" t="s">
        <v>7044</v>
      </c>
      <c r="B1766" s="19" t="s">
        <v>6048</v>
      </c>
      <c r="C1766" s="20">
        <v>137.0</v>
      </c>
      <c r="D1766" s="21" t="s">
        <v>7045</v>
      </c>
      <c r="E1766" s="27" t="s">
        <v>85</v>
      </c>
      <c r="F1766" s="18" t="s">
        <v>48</v>
      </c>
      <c r="G1766" s="32" t="s">
        <v>35</v>
      </c>
      <c r="H1766" s="23" t="s">
        <v>35</v>
      </c>
      <c r="I1766" s="24" t="s">
        <v>36</v>
      </c>
      <c r="J1766" s="34" t="s">
        <v>65</v>
      </c>
      <c r="K1766" s="26" t="s">
        <v>38</v>
      </c>
      <c r="L1766" s="25">
        <v>11118.0</v>
      </c>
      <c r="M1766" s="27" t="s">
        <v>50</v>
      </c>
      <c r="N1766" s="26" t="s">
        <v>5897</v>
      </c>
      <c r="O1766" s="28">
        <v>45481.69918247685</v>
      </c>
      <c r="P1766" s="26" t="s">
        <v>6919</v>
      </c>
      <c r="Q1766" s="11"/>
      <c r="R1766" s="11"/>
      <c r="S1766" s="11"/>
      <c r="T1766" s="29">
        <v>45468.0</v>
      </c>
      <c r="U1766" s="29">
        <v>45478.0</v>
      </c>
      <c r="V1766" s="29">
        <v>45481.42670096065</v>
      </c>
      <c r="W1766" s="30"/>
      <c r="X1766" s="30"/>
      <c r="Y1766" s="31"/>
      <c r="Z1766" s="31"/>
      <c r="AA1766" s="31" t="s">
        <v>94</v>
      </c>
      <c r="AB1766" s="31" t="s">
        <v>7046</v>
      </c>
      <c r="AC1766" s="31"/>
    </row>
    <row r="1767" ht="18.75" customHeight="1">
      <c r="A1767" s="18" t="s">
        <v>7047</v>
      </c>
      <c r="B1767" s="19" t="s">
        <v>6048</v>
      </c>
      <c r="C1767" s="20">
        <v>137.0</v>
      </c>
      <c r="D1767" s="21" t="s">
        <v>7048</v>
      </c>
      <c r="E1767" s="27" t="s">
        <v>85</v>
      </c>
      <c r="F1767" s="18" t="s">
        <v>48</v>
      </c>
      <c r="G1767" s="32" t="s">
        <v>35</v>
      </c>
      <c r="H1767" s="23" t="s">
        <v>35</v>
      </c>
      <c r="I1767" s="24" t="s">
        <v>36</v>
      </c>
      <c r="J1767" s="34" t="s">
        <v>65</v>
      </c>
      <c r="K1767" s="26" t="s">
        <v>38</v>
      </c>
      <c r="L1767" s="25">
        <v>11118.0</v>
      </c>
      <c r="M1767" s="27" t="s">
        <v>50</v>
      </c>
      <c r="N1767" s="26" t="s">
        <v>5897</v>
      </c>
      <c r="O1767" s="28">
        <v>45481.6993983912</v>
      </c>
      <c r="P1767" s="26" t="s">
        <v>6919</v>
      </c>
      <c r="Q1767" s="11"/>
      <c r="R1767" s="11"/>
      <c r="S1767" s="11"/>
      <c r="T1767" s="29">
        <v>45468.0</v>
      </c>
      <c r="U1767" s="29">
        <v>45478.0</v>
      </c>
      <c r="V1767" s="29">
        <v>45481.42670597222</v>
      </c>
      <c r="W1767" s="30"/>
      <c r="X1767" s="30"/>
      <c r="Y1767" s="31"/>
      <c r="Z1767" s="31"/>
      <c r="AA1767" s="31" t="s">
        <v>94</v>
      </c>
      <c r="AB1767" s="31" t="s">
        <v>7049</v>
      </c>
      <c r="AC1767" s="31"/>
    </row>
    <row r="1768" ht="18.75" customHeight="1">
      <c r="A1768" s="18" t="s">
        <v>7050</v>
      </c>
      <c r="B1768" s="19" t="s">
        <v>6048</v>
      </c>
      <c r="C1768" s="20">
        <v>137.0</v>
      </c>
      <c r="D1768" s="21" t="s">
        <v>7051</v>
      </c>
      <c r="E1768" s="27" t="s">
        <v>85</v>
      </c>
      <c r="F1768" s="18" t="s">
        <v>48</v>
      </c>
      <c r="G1768" s="32" t="s">
        <v>35</v>
      </c>
      <c r="H1768" s="23" t="s">
        <v>35</v>
      </c>
      <c r="I1768" s="24" t="s">
        <v>36</v>
      </c>
      <c r="J1768" s="34" t="s">
        <v>65</v>
      </c>
      <c r="K1768" s="26" t="s">
        <v>38</v>
      </c>
      <c r="L1768" s="25">
        <v>11118.0</v>
      </c>
      <c r="M1768" s="27" t="s">
        <v>50</v>
      </c>
      <c r="N1768" s="26" t="s">
        <v>5897</v>
      </c>
      <c r="O1768" s="28">
        <v>45481.699236307875</v>
      </c>
      <c r="P1768" s="26" t="s">
        <v>6919</v>
      </c>
      <c r="Q1768" s="11"/>
      <c r="R1768" s="11"/>
      <c r="S1768" s="11"/>
      <c r="T1768" s="29">
        <v>45468.0</v>
      </c>
      <c r="U1768" s="29">
        <v>45478.0</v>
      </c>
      <c r="V1768" s="29">
        <v>45481.42671186343</v>
      </c>
      <c r="W1768" s="30"/>
      <c r="X1768" s="30"/>
      <c r="Y1768" s="31"/>
      <c r="Z1768" s="31"/>
      <c r="AA1768" s="31" t="s">
        <v>94</v>
      </c>
      <c r="AB1768" s="31" t="s">
        <v>7052</v>
      </c>
      <c r="AC1768" s="31"/>
    </row>
    <row r="1769" ht="18.75" customHeight="1">
      <c r="A1769" s="18" t="s">
        <v>7053</v>
      </c>
      <c r="B1769" s="19" t="s">
        <v>6048</v>
      </c>
      <c r="C1769" s="20">
        <v>137.0</v>
      </c>
      <c r="D1769" s="21" t="s">
        <v>7054</v>
      </c>
      <c r="E1769" s="27" t="s">
        <v>85</v>
      </c>
      <c r="F1769" s="18" t="s">
        <v>48</v>
      </c>
      <c r="G1769" s="32" t="s">
        <v>35</v>
      </c>
      <c r="H1769" s="23" t="s">
        <v>35</v>
      </c>
      <c r="I1769" s="24" t="s">
        <v>36</v>
      </c>
      <c r="J1769" s="34" t="s">
        <v>65</v>
      </c>
      <c r="K1769" s="26" t="s">
        <v>38</v>
      </c>
      <c r="L1769" s="25">
        <v>11118.0</v>
      </c>
      <c r="M1769" s="27" t="s">
        <v>50</v>
      </c>
      <c r="N1769" s="26" t="s">
        <v>5897</v>
      </c>
      <c r="O1769" s="28">
        <v>45481.69934854167</v>
      </c>
      <c r="P1769" s="26" t="s">
        <v>6919</v>
      </c>
      <c r="Q1769" s="11"/>
      <c r="R1769" s="11"/>
      <c r="S1769" s="11"/>
      <c r="T1769" s="29">
        <v>45468.0</v>
      </c>
      <c r="U1769" s="29">
        <v>45478.0</v>
      </c>
      <c r="V1769" s="29">
        <v>45481.55728486111</v>
      </c>
      <c r="W1769" s="30"/>
      <c r="X1769" s="30"/>
      <c r="Y1769" s="31"/>
      <c r="Z1769" s="31"/>
      <c r="AA1769" s="31" t="s">
        <v>94</v>
      </c>
      <c r="AB1769" s="31" t="s">
        <v>7055</v>
      </c>
      <c r="AC1769" s="31"/>
    </row>
    <row r="1770" ht="18.75" customHeight="1">
      <c r="A1770" s="18" t="s">
        <v>7056</v>
      </c>
      <c r="B1770" s="19" t="s">
        <v>6048</v>
      </c>
      <c r="C1770" s="20">
        <v>90.0</v>
      </c>
      <c r="D1770" s="21" t="s">
        <v>7057</v>
      </c>
      <c r="E1770" s="27" t="s">
        <v>91</v>
      </c>
      <c r="F1770" s="18" t="s">
        <v>48</v>
      </c>
      <c r="G1770" s="32" t="s">
        <v>35</v>
      </c>
      <c r="H1770" s="23" t="s">
        <v>35</v>
      </c>
      <c r="I1770" s="24" t="s">
        <v>36</v>
      </c>
      <c r="J1770" s="34" t="s">
        <v>65</v>
      </c>
      <c r="K1770" s="26" t="s">
        <v>38</v>
      </c>
      <c r="L1770" s="25">
        <v>11118.0</v>
      </c>
      <c r="M1770" s="27" t="s">
        <v>50</v>
      </c>
      <c r="N1770" s="26" t="s">
        <v>5897</v>
      </c>
      <c r="O1770" s="28">
        <v>45481.699283124995</v>
      </c>
      <c r="P1770" s="26" t="s">
        <v>6919</v>
      </c>
      <c r="Q1770" s="11"/>
      <c r="R1770" s="11"/>
      <c r="S1770" s="11"/>
      <c r="T1770" s="29">
        <v>45468.0</v>
      </c>
      <c r="U1770" s="29">
        <v>45478.0</v>
      </c>
      <c r="V1770" s="29">
        <v>45481.42863851852</v>
      </c>
      <c r="W1770" s="30"/>
      <c r="X1770" s="30"/>
      <c r="Y1770" s="31"/>
      <c r="Z1770" s="31"/>
      <c r="AA1770" s="31" t="s">
        <v>94</v>
      </c>
      <c r="AB1770" s="31" t="s">
        <v>7058</v>
      </c>
      <c r="AC1770" s="31"/>
    </row>
    <row r="1771" ht="18.75" customHeight="1">
      <c r="A1771" s="18" t="s">
        <v>7059</v>
      </c>
      <c r="B1771" s="19" t="s">
        <v>6048</v>
      </c>
      <c r="C1771" s="20">
        <v>90.0</v>
      </c>
      <c r="D1771" s="21" t="s">
        <v>7060</v>
      </c>
      <c r="E1771" s="27" t="s">
        <v>91</v>
      </c>
      <c r="F1771" s="18" t="s">
        <v>48</v>
      </c>
      <c r="G1771" s="32" t="s">
        <v>35</v>
      </c>
      <c r="H1771" s="23" t="s">
        <v>35</v>
      </c>
      <c r="I1771" s="24" t="s">
        <v>36</v>
      </c>
      <c r="J1771" s="34" t="s">
        <v>65</v>
      </c>
      <c r="K1771" s="26" t="s">
        <v>38</v>
      </c>
      <c r="L1771" s="25">
        <v>11118.0</v>
      </c>
      <c r="M1771" s="27" t="s">
        <v>50</v>
      </c>
      <c r="N1771" s="26" t="s">
        <v>5897</v>
      </c>
      <c r="O1771" s="28">
        <v>45481.69964571759</v>
      </c>
      <c r="P1771" s="26" t="s">
        <v>6919</v>
      </c>
      <c r="Q1771" s="11"/>
      <c r="R1771" s="11"/>
      <c r="S1771" s="11"/>
      <c r="T1771" s="29">
        <v>45468.0</v>
      </c>
      <c r="U1771" s="29">
        <v>45478.0</v>
      </c>
      <c r="V1771" s="29">
        <v>45481.42865402778</v>
      </c>
      <c r="W1771" s="30"/>
      <c r="X1771" s="30"/>
      <c r="Y1771" s="31"/>
      <c r="Z1771" s="31"/>
      <c r="AA1771" s="31" t="s">
        <v>94</v>
      </c>
      <c r="AB1771" s="31" t="s">
        <v>7061</v>
      </c>
      <c r="AC1771" s="31"/>
    </row>
    <row r="1772" ht="18.75" customHeight="1">
      <c r="A1772" s="18" t="s">
        <v>7062</v>
      </c>
      <c r="B1772" s="19" t="s">
        <v>6048</v>
      </c>
      <c r="C1772" s="20">
        <v>90.0</v>
      </c>
      <c r="D1772" s="21" t="s">
        <v>7063</v>
      </c>
      <c r="E1772" s="27" t="s">
        <v>91</v>
      </c>
      <c r="F1772" s="18" t="s">
        <v>48</v>
      </c>
      <c r="G1772" s="32" t="s">
        <v>35</v>
      </c>
      <c r="H1772" s="23" t="s">
        <v>35</v>
      </c>
      <c r="I1772" s="24" t="s">
        <v>36</v>
      </c>
      <c r="J1772" s="34" t="s">
        <v>65</v>
      </c>
      <c r="K1772" s="26" t="s">
        <v>38</v>
      </c>
      <c r="L1772" s="25">
        <v>11118.0</v>
      </c>
      <c r="M1772" s="27" t="s">
        <v>50</v>
      </c>
      <c r="N1772" s="26" t="s">
        <v>5897</v>
      </c>
      <c r="O1772" s="28">
        <v>45481.699910972224</v>
      </c>
      <c r="P1772" s="26" t="s">
        <v>6919</v>
      </c>
      <c r="Q1772" s="11"/>
      <c r="R1772" s="11"/>
      <c r="S1772" s="11"/>
      <c r="T1772" s="29">
        <v>45468.0</v>
      </c>
      <c r="U1772" s="29">
        <v>45478.0</v>
      </c>
      <c r="V1772" s="29">
        <v>45481.42864438657</v>
      </c>
      <c r="W1772" s="30"/>
      <c r="X1772" s="30"/>
      <c r="Y1772" s="31"/>
      <c r="Z1772" s="31"/>
      <c r="AA1772" s="31" t="s">
        <v>94</v>
      </c>
      <c r="AB1772" s="31" t="s">
        <v>7064</v>
      </c>
      <c r="AC1772" s="31"/>
    </row>
    <row r="1773" ht="18.75" customHeight="1">
      <c r="A1773" s="18" t="s">
        <v>7065</v>
      </c>
      <c r="B1773" s="19" t="s">
        <v>6048</v>
      </c>
      <c r="C1773" s="20">
        <v>90.0</v>
      </c>
      <c r="D1773" s="21" t="s">
        <v>7066</v>
      </c>
      <c r="E1773" s="27" t="s">
        <v>91</v>
      </c>
      <c r="F1773" s="18" t="s">
        <v>48</v>
      </c>
      <c r="G1773" s="32" t="s">
        <v>35</v>
      </c>
      <c r="H1773" s="23" t="s">
        <v>35</v>
      </c>
      <c r="I1773" s="24" t="s">
        <v>36</v>
      </c>
      <c r="J1773" s="34" t="s">
        <v>65</v>
      </c>
      <c r="K1773" s="26" t="s">
        <v>38</v>
      </c>
      <c r="L1773" s="25">
        <v>11118.0</v>
      </c>
      <c r="M1773" s="27" t="s">
        <v>50</v>
      </c>
      <c r="N1773" s="26" t="s">
        <v>5897</v>
      </c>
      <c r="O1773" s="28">
        <v>45481.69995751158</v>
      </c>
      <c r="P1773" s="26" t="s">
        <v>6919</v>
      </c>
      <c r="Q1773" s="11"/>
      <c r="R1773" s="11"/>
      <c r="S1773" s="11"/>
      <c r="T1773" s="29">
        <v>45468.0</v>
      </c>
      <c r="U1773" s="29">
        <v>45478.0</v>
      </c>
      <c r="V1773" s="29">
        <v>45481.42864978009</v>
      </c>
      <c r="W1773" s="30"/>
      <c r="X1773" s="30"/>
      <c r="Y1773" s="31"/>
      <c r="Z1773" s="31"/>
      <c r="AA1773" s="31" t="s">
        <v>94</v>
      </c>
      <c r="AB1773" s="31" t="s">
        <v>7067</v>
      </c>
      <c r="AC1773" s="31"/>
    </row>
    <row r="1774" ht="18.75" customHeight="1">
      <c r="A1774" s="18" t="s">
        <v>7068</v>
      </c>
      <c r="B1774" s="19" t="s">
        <v>6048</v>
      </c>
      <c r="C1774" s="20">
        <v>90.0</v>
      </c>
      <c r="D1774" s="21" t="s">
        <v>7069</v>
      </c>
      <c r="E1774" s="27" t="s">
        <v>91</v>
      </c>
      <c r="F1774" s="18" t="s">
        <v>48</v>
      </c>
      <c r="G1774" s="32" t="s">
        <v>35</v>
      </c>
      <c r="H1774" s="23" t="s">
        <v>35</v>
      </c>
      <c r="I1774" s="24" t="s">
        <v>36</v>
      </c>
      <c r="J1774" s="34" t="s">
        <v>65</v>
      </c>
      <c r="K1774" s="26" t="s">
        <v>38</v>
      </c>
      <c r="L1774" s="25">
        <v>11118.0</v>
      </c>
      <c r="M1774" s="27" t="s">
        <v>50</v>
      </c>
      <c r="N1774" s="26" t="s">
        <v>5897</v>
      </c>
      <c r="O1774" s="28">
        <v>45481.69971918981</v>
      </c>
      <c r="P1774" s="26" t="s">
        <v>6919</v>
      </c>
      <c r="Q1774" s="11"/>
      <c r="R1774" s="11"/>
      <c r="S1774" s="11"/>
      <c r="T1774" s="29">
        <v>45468.0</v>
      </c>
      <c r="U1774" s="29">
        <v>45478.0</v>
      </c>
      <c r="V1774" s="29">
        <v>45481.42865934028</v>
      </c>
      <c r="W1774" s="30"/>
      <c r="X1774" s="30"/>
      <c r="Y1774" s="31"/>
      <c r="Z1774" s="31"/>
      <c r="AA1774" s="31" t="s">
        <v>94</v>
      </c>
      <c r="AB1774" s="31" t="s">
        <v>7070</v>
      </c>
      <c r="AC1774" s="31"/>
    </row>
    <row r="1775" ht="18.75" customHeight="1">
      <c r="A1775" s="18" t="s">
        <v>7071</v>
      </c>
      <c r="B1775" s="19" t="s">
        <v>7072</v>
      </c>
      <c r="C1775" s="20">
        <v>1.0</v>
      </c>
      <c r="D1775" s="21"/>
      <c r="E1775" s="27" t="s">
        <v>3395</v>
      </c>
      <c r="F1775" s="18" t="s">
        <v>48</v>
      </c>
      <c r="G1775" s="32" t="s">
        <v>35</v>
      </c>
      <c r="H1775" s="23" t="s">
        <v>35</v>
      </c>
      <c r="I1775" s="24" t="s">
        <v>665</v>
      </c>
      <c r="J1775" s="25" t="s">
        <v>49</v>
      </c>
      <c r="K1775" s="26" t="s">
        <v>38</v>
      </c>
      <c r="L1775" s="25">
        <v>11046.0</v>
      </c>
      <c r="M1775" s="27" t="s">
        <v>50</v>
      </c>
      <c r="N1775" s="26" t="s">
        <v>106</v>
      </c>
      <c r="O1775" s="28">
        <v>45469.6596184375</v>
      </c>
      <c r="P1775" s="26" t="s">
        <v>7073</v>
      </c>
      <c r="Q1775" s="11"/>
      <c r="R1775" s="11"/>
      <c r="S1775" s="11"/>
      <c r="T1775" s="29">
        <v>45469.0</v>
      </c>
      <c r="U1775" s="29">
        <v>45469.0</v>
      </c>
      <c r="V1775" s="29">
        <v>45469.60954775463</v>
      </c>
      <c r="W1775" s="30"/>
      <c r="X1775" s="30"/>
      <c r="Y1775" s="31"/>
      <c r="Z1775" s="31"/>
      <c r="AA1775" s="31"/>
      <c r="AB1775" s="31" t="s">
        <v>7074</v>
      </c>
      <c r="AC1775" s="31"/>
    </row>
    <row r="1776" ht="18.75" customHeight="1">
      <c r="A1776" s="18" t="s">
        <v>7075</v>
      </c>
      <c r="B1776" s="19" t="s">
        <v>3211</v>
      </c>
      <c r="C1776" s="20">
        <v>90.0</v>
      </c>
      <c r="D1776" s="21" t="s">
        <v>7076</v>
      </c>
      <c r="E1776" s="27" t="s">
        <v>91</v>
      </c>
      <c r="F1776" s="18" t="s">
        <v>48</v>
      </c>
      <c r="G1776" s="32" t="s">
        <v>35</v>
      </c>
      <c r="H1776" s="23" t="s">
        <v>35</v>
      </c>
      <c r="I1776" s="37" t="s">
        <v>36</v>
      </c>
      <c r="J1776" s="25" t="s">
        <v>92</v>
      </c>
      <c r="K1776" s="26" t="s">
        <v>38</v>
      </c>
      <c r="L1776" s="25">
        <v>11094.0</v>
      </c>
      <c r="M1776" s="27" t="s">
        <v>50</v>
      </c>
      <c r="N1776" s="26" t="s">
        <v>7077</v>
      </c>
      <c r="O1776" s="28">
        <v>45601.42935721065</v>
      </c>
      <c r="P1776" s="35" t="s">
        <v>7078</v>
      </c>
      <c r="Q1776" s="11"/>
      <c r="R1776" s="11"/>
      <c r="S1776" s="11"/>
      <c r="T1776" s="29">
        <v>45469.0</v>
      </c>
      <c r="U1776" s="29">
        <v>45475.0</v>
      </c>
      <c r="V1776" s="29">
        <v>45476.43401241898</v>
      </c>
      <c r="W1776" s="30"/>
      <c r="X1776" s="30"/>
      <c r="Y1776" s="31"/>
      <c r="Z1776" s="31"/>
      <c r="AA1776" s="31" t="s">
        <v>120</v>
      </c>
      <c r="AB1776" s="31" t="s">
        <v>7079</v>
      </c>
      <c r="AC1776" s="31"/>
    </row>
    <row r="1777" ht="18.75" customHeight="1">
      <c r="A1777" s="18" t="s">
        <v>7080</v>
      </c>
      <c r="B1777" s="19" t="s">
        <v>3211</v>
      </c>
      <c r="C1777" s="20">
        <v>33.0</v>
      </c>
      <c r="D1777" s="21" t="s">
        <v>7081</v>
      </c>
      <c r="E1777" s="27" t="s">
        <v>6133</v>
      </c>
      <c r="F1777" s="18" t="s">
        <v>48</v>
      </c>
      <c r="G1777" s="32" t="s">
        <v>35</v>
      </c>
      <c r="H1777" s="23" t="s">
        <v>35</v>
      </c>
      <c r="I1777" s="24" t="s">
        <v>36</v>
      </c>
      <c r="J1777" s="25" t="s">
        <v>92</v>
      </c>
      <c r="K1777" s="26" t="s">
        <v>38</v>
      </c>
      <c r="L1777" s="25" t="s">
        <v>7082</v>
      </c>
      <c r="M1777" s="27" t="s">
        <v>50</v>
      </c>
      <c r="N1777" s="26" t="s">
        <v>7083</v>
      </c>
      <c r="O1777" s="28">
        <v>45476.39166666666</v>
      </c>
      <c r="P1777" s="26" t="s">
        <v>6028</v>
      </c>
      <c r="Q1777" s="11"/>
      <c r="R1777" s="11"/>
      <c r="S1777" s="11"/>
      <c r="T1777" s="29">
        <v>45469.0</v>
      </c>
      <c r="U1777" s="29">
        <v>45475.0</v>
      </c>
      <c r="V1777" s="29">
        <v>45476.38851416667</v>
      </c>
      <c r="W1777" s="30"/>
      <c r="X1777" s="30"/>
      <c r="Y1777" s="31"/>
      <c r="Z1777" s="31"/>
      <c r="AA1777" s="31" t="s">
        <v>120</v>
      </c>
      <c r="AB1777" s="31" t="s">
        <v>7084</v>
      </c>
      <c r="AC1777" s="31"/>
    </row>
    <row r="1778" ht="18.75" customHeight="1">
      <c r="A1778" s="18" t="s">
        <v>7085</v>
      </c>
      <c r="B1778" s="19" t="s">
        <v>7086</v>
      </c>
      <c r="C1778" s="20">
        <v>0.0</v>
      </c>
      <c r="D1778" s="21" t="s">
        <v>7087</v>
      </c>
      <c r="E1778" s="22" t="s">
        <v>882</v>
      </c>
      <c r="F1778" s="18" t="s">
        <v>33</v>
      </c>
      <c r="G1778" s="32" t="s">
        <v>35</v>
      </c>
      <c r="H1778" s="23" t="s">
        <v>35</v>
      </c>
      <c r="I1778" s="24" t="s">
        <v>36</v>
      </c>
      <c r="J1778" s="25" t="s">
        <v>37</v>
      </c>
      <c r="K1778" s="26" t="s">
        <v>447</v>
      </c>
      <c r="L1778" s="25">
        <v>11101.0</v>
      </c>
      <c r="M1778" s="27" t="s">
        <v>40</v>
      </c>
      <c r="N1778" s="26" t="s">
        <v>41</v>
      </c>
      <c r="O1778" s="28">
        <v>45477.58877509259</v>
      </c>
      <c r="P1778" s="26" t="s">
        <v>6028</v>
      </c>
      <c r="Q1778" s="11"/>
      <c r="R1778" s="11"/>
      <c r="S1778" s="11"/>
      <c r="T1778" s="29">
        <v>45469.0</v>
      </c>
      <c r="U1778" s="29">
        <v>45469.0</v>
      </c>
      <c r="V1778" s="29">
        <v>45476.0</v>
      </c>
      <c r="W1778" s="30"/>
      <c r="X1778" s="30"/>
      <c r="Y1778" s="31"/>
      <c r="Z1778" s="31"/>
      <c r="AA1778" s="31" t="s">
        <v>108</v>
      </c>
      <c r="AB1778" s="31" t="s">
        <v>7088</v>
      </c>
      <c r="AC1778" s="31"/>
    </row>
    <row r="1779" ht="18.75" customHeight="1">
      <c r="A1779" s="18" t="s">
        <v>7089</v>
      </c>
      <c r="B1779" s="19" t="s">
        <v>7090</v>
      </c>
      <c r="C1779" s="20">
        <v>11.0</v>
      </c>
      <c r="D1779" s="21" t="s">
        <v>7091</v>
      </c>
      <c r="E1779" s="27" t="s">
        <v>112</v>
      </c>
      <c r="F1779" s="18" t="s">
        <v>48</v>
      </c>
      <c r="G1779" s="32" t="s">
        <v>35</v>
      </c>
      <c r="H1779" s="23" t="s">
        <v>35</v>
      </c>
      <c r="I1779" s="24" t="s">
        <v>36</v>
      </c>
      <c r="J1779" s="25" t="s">
        <v>49</v>
      </c>
      <c r="K1779" s="26" t="s">
        <v>1506</v>
      </c>
      <c r="L1779" s="25">
        <v>11048.0</v>
      </c>
      <c r="M1779" s="27" t="s">
        <v>50</v>
      </c>
      <c r="N1779" s="26" t="s">
        <v>4183</v>
      </c>
      <c r="O1779" s="28">
        <v>45488.65442634259</v>
      </c>
      <c r="P1779" s="26" t="s">
        <v>7092</v>
      </c>
      <c r="Q1779" s="11"/>
      <c r="R1779" s="11"/>
      <c r="S1779" s="11"/>
      <c r="T1779" s="29">
        <v>45469.0</v>
      </c>
      <c r="U1779" s="29">
        <v>45469.0</v>
      </c>
      <c r="V1779" s="29">
        <v>45488.631155763884</v>
      </c>
      <c r="W1779" s="30"/>
      <c r="X1779" s="30"/>
      <c r="Y1779" s="31"/>
      <c r="Z1779" s="31"/>
      <c r="AA1779" s="31" t="s">
        <v>3053</v>
      </c>
      <c r="AB1779" s="31" t="s">
        <v>7093</v>
      </c>
      <c r="AC1779" s="31"/>
    </row>
    <row r="1780" ht="18.75" customHeight="1">
      <c r="A1780" s="18" t="s">
        <v>7094</v>
      </c>
      <c r="B1780" s="19" t="s">
        <v>7095</v>
      </c>
      <c r="C1780" s="20">
        <v>11.0</v>
      </c>
      <c r="D1780" s="21" t="s">
        <v>7096</v>
      </c>
      <c r="E1780" s="27" t="s">
        <v>112</v>
      </c>
      <c r="F1780" s="18" t="s">
        <v>48</v>
      </c>
      <c r="G1780" s="32" t="s">
        <v>35</v>
      </c>
      <c r="H1780" s="23" t="s">
        <v>35</v>
      </c>
      <c r="I1780" s="24" t="s">
        <v>36</v>
      </c>
      <c r="J1780" s="25" t="s">
        <v>49</v>
      </c>
      <c r="K1780" s="26" t="s">
        <v>38</v>
      </c>
      <c r="L1780" s="25">
        <v>11081.0</v>
      </c>
      <c r="M1780" s="27" t="s">
        <v>50</v>
      </c>
      <c r="N1780" s="26" t="s">
        <v>6547</v>
      </c>
      <c r="O1780" s="28">
        <v>45475.60875005787</v>
      </c>
      <c r="P1780" s="26" t="s">
        <v>6028</v>
      </c>
      <c r="Q1780" s="11"/>
      <c r="R1780" s="11"/>
      <c r="S1780" s="11"/>
      <c r="T1780" s="29">
        <v>45469.0</v>
      </c>
      <c r="U1780" s="29">
        <v>45470.0</v>
      </c>
      <c r="V1780" s="29">
        <v>45475.46699487268</v>
      </c>
      <c r="W1780" s="30"/>
      <c r="X1780" s="30"/>
      <c r="Y1780" s="31"/>
      <c r="Z1780" s="31"/>
      <c r="AA1780" s="31"/>
      <c r="AB1780" s="31" t="s">
        <v>7097</v>
      </c>
      <c r="AC1780" s="31"/>
    </row>
    <row r="1781" ht="18.75" customHeight="1">
      <c r="A1781" s="18" t="s">
        <v>7098</v>
      </c>
      <c r="B1781" s="19" t="s">
        <v>530</v>
      </c>
      <c r="C1781" s="20">
        <v>90.0</v>
      </c>
      <c r="D1781" s="21" t="s">
        <v>7099</v>
      </c>
      <c r="E1781" s="27" t="s">
        <v>91</v>
      </c>
      <c r="F1781" s="18" t="s">
        <v>48</v>
      </c>
      <c r="G1781" s="32" t="s">
        <v>35</v>
      </c>
      <c r="H1781" s="23" t="s">
        <v>35</v>
      </c>
      <c r="I1781" s="24" t="s">
        <v>36</v>
      </c>
      <c r="J1781" s="25" t="s">
        <v>49</v>
      </c>
      <c r="K1781" s="26" t="s">
        <v>38</v>
      </c>
      <c r="L1781" s="25">
        <v>11049.0</v>
      </c>
      <c r="M1781" s="27" t="s">
        <v>50</v>
      </c>
      <c r="N1781" s="26" t="s">
        <v>6868</v>
      </c>
      <c r="O1781" s="28">
        <v>45470.65251517361</v>
      </c>
      <c r="P1781" s="26" t="s">
        <v>6028</v>
      </c>
      <c r="Q1781" s="11"/>
      <c r="R1781" s="11"/>
      <c r="S1781" s="11"/>
      <c r="T1781" s="29">
        <v>45469.0</v>
      </c>
      <c r="U1781" s="29">
        <v>45469.0</v>
      </c>
      <c r="V1781" s="29">
        <v>45470.37224524305</v>
      </c>
      <c r="W1781" s="30"/>
      <c r="X1781" s="30"/>
      <c r="Y1781" s="31"/>
      <c r="Z1781" s="31"/>
      <c r="AA1781" s="31" t="s">
        <v>120</v>
      </c>
      <c r="AB1781" s="31" t="s">
        <v>7100</v>
      </c>
      <c r="AC1781" s="31"/>
    </row>
    <row r="1782" ht="18.75" customHeight="1">
      <c r="A1782" s="18" t="s">
        <v>7101</v>
      </c>
      <c r="B1782" s="19" t="s">
        <v>530</v>
      </c>
      <c r="C1782" s="20">
        <v>90.0</v>
      </c>
      <c r="D1782" s="21" t="s">
        <v>7102</v>
      </c>
      <c r="E1782" s="27" t="s">
        <v>91</v>
      </c>
      <c r="F1782" s="18" t="s">
        <v>48</v>
      </c>
      <c r="G1782" s="32" t="s">
        <v>35</v>
      </c>
      <c r="H1782" s="23" t="s">
        <v>35</v>
      </c>
      <c r="I1782" s="24" t="s">
        <v>36</v>
      </c>
      <c r="J1782" s="25" t="s">
        <v>49</v>
      </c>
      <c r="K1782" s="26" t="s">
        <v>38</v>
      </c>
      <c r="L1782" s="25">
        <v>11049.0</v>
      </c>
      <c r="M1782" s="27" t="s">
        <v>50</v>
      </c>
      <c r="N1782" s="26" t="s">
        <v>6868</v>
      </c>
      <c r="O1782" s="28">
        <v>45470.65093606482</v>
      </c>
      <c r="P1782" s="26" t="s">
        <v>6028</v>
      </c>
      <c r="Q1782" s="11"/>
      <c r="R1782" s="11"/>
      <c r="S1782" s="11"/>
      <c r="T1782" s="29">
        <v>45469.0</v>
      </c>
      <c r="U1782" s="29">
        <v>45469.0</v>
      </c>
      <c r="V1782" s="29">
        <v>45470.37225555556</v>
      </c>
      <c r="W1782" s="30"/>
      <c r="X1782" s="30"/>
      <c r="Y1782" s="31"/>
      <c r="Z1782" s="31"/>
      <c r="AA1782" s="31" t="s">
        <v>120</v>
      </c>
      <c r="AB1782" s="31" t="s">
        <v>7103</v>
      </c>
      <c r="AC1782" s="31"/>
    </row>
    <row r="1783" ht="18.75" customHeight="1">
      <c r="A1783" s="18" t="s">
        <v>7104</v>
      </c>
      <c r="B1783" s="19" t="s">
        <v>530</v>
      </c>
      <c r="C1783" s="20">
        <v>90.0</v>
      </c>
      <c r="D1783" s="21" t="s">
        <v>7105</v>
      </c>
      <c r="E1783" s="27" t="s">
        <v>91</v>
      </c>
      <c r="F1783" s="18" t="s">
        <v>48</v>
      </c>
      <c r="G1783" s="32" t="s">
        <v>35</v>
      </c>
      <c r="H1783" s="23" t="s">
        <v>35</v>
      </c>
      <c r="I1783" s="24" t="s">
        <v>36</v>
      </c>
      <c r="J1783" s="25" t="s">
        <v>49</v>
      </c>
      <c r="K1783" s="26" t="s">
        <v>38</v>
      </c>
      <c r="L1783" s="25">
        <v>11049.0</v>
      </c>
      <c r="M1783" s="27" t="s">
        <v>50</v>
      </c>
      <c r="N1783" s="26" t="s">
        <v>6868</v>
      </c>
      <c r="O1783" s="28">
        <v>45470.65164563658</v>
      </c>
      <c r="P1783" s="26" t="s">
        <v>6028</v>
      </c>
      <c r="Q1783" s="11"/>
      <c r="R1783" s="11"/>
      <c r="S1783" s="11"/>
      <c r="T1783" s="29">
        <v>45469.0</v>
      </c>
      <c r="U1783" s="29">
        <v>45469.0</v>
      </c>
      <c r="V1783" s="29">
        <v>45470.37226532407</v>
      </c>
      <c r="W1783" s="30"/>
      <c r="X1783" s="30"/>
      <c r="Y1783" s="31"/>
      <c r="Z1783" s="31"/>
      <c r="AA1783" s="31" t="s">
        <v>120</v>
      </c>
      <c r="AB1783" s="31" t="s">
        <v>7106</v>
      </c>
      <c r="AC1783" s="31"/>
    </row>
    <row r="1784" ht="18.75" customHeight="1">
      <c r="A1784" s="18" t="s">
        <v>7107</v>
      </c>
      <c r="B1784" s="19" t="s">
        <v>530</v>
      </c>
      <c r="C1784" s="20">
        <v>90.0</v>
      </c>
      <c r="D1784" s="21" t="s">
        <v>7108</v>
      </c>
      <c r="E1784" s="27" t="s">
        <v>91</v>
      </c>
      <c r="F1784" s="18" t="s">
        <v>48</v>
      </c>
      <c r="G1784" s="32" t="s">
        <v>35</v>
      </c>
      <c r="H1784" s="23" t="s">
        <v>35</v>
      </c>
      <c r="I1784" s="24" t="s">
        <v>36</v>
      </c>
      <c r="J1784" s="25" t="s">
        <v>49</v>
      </c>
      <c r="K1784" s="26" t="s">
        <v>38</v>
      </c>
      <c r="L1784" s="25">
        <v>11049.0</v>
      </c>
      <c r="M1784" s="27" t="s">
        <v>50</v>
      </c>
      <c r="N1784" s="26" t="s">
        <v>6868</v>
      </c>
      <c r="O1784" s="28">
        <v>45470.651071898144</v>
      </c>
      <c r="P1784" s="26" t="s">
        <v>6028</v>
      </c>
      <c r="Q1784" s="11"/>
      <c r="R1784" s="11"/>
      <c r="S1784" s="11"/>
      <c r="T1784" s="29">
        <v>45469.0</v>
      </c>
      <c r="U1784" s="29">
        <v>45469.0</v>
      </c>
      <c r="V1784" s="29">
        <v>45470.37227630787</v>
      </c>
      <c r="W1784" s="30"/>
      <c r="X1784" s="30"/>
      <c r="Y1784" s="31"/>
      <c r="Z1784" s="31"/>
      <c r="AA1784" s="31" t="s">
        <v>120</v>
      </c>
      <c r="AB1784" s="31" t="s">
        <v>7109</v>
      </c>
      <c r="AC1784" s="31"/>
    </row>
    <row r="1785" ht="18.75" customHeight="1">
      <c r="A1785" s="18" t="s">
        <v>7110</v>
      </c>
      <c r="B1785" s="19" t="s">
        <v>530</v>
      </c>
      <c r="C1785" s="20">
        <v>90.0</v>
      </c>
      <c r="D1785" s="21" t="s">
        <v>7111</v>
      </c>
      <c r="E1785" s="27" t="s">
        <v>91</v>
      </c>
      <c r="F1785" s="18" t="s">
        <v>48</v>
      </c>
      <c r="G1785" s="32" t="s">
        <v>35</v>
      </c>
      <c r="H1785" s="23" t="s">
        <v>35</v>
      </c>
      <c r="I1785" s="24" t="s">
        <v>36</v>
      </c>
      <c r="J1785" s="25" t="s">
        <v>49</v>
      </c>
      <c r="K1785" s="26" t="s">
        <v>38</v>
      </c>
      <c r="L1785" s="25">
        <v>11049.0</v>
      </c>
      <c r="M1785" s="27" t="s">
        <v>50</v>
      </c>
      <c r="N1785" s="26" t="s">
        <v>6868</v>
      </c>
      <c r="O1785" s="28">
        <v>45470.65244813658</v>
      </c>
      <c r="P1785" s="26" t="s">
        <v>6028</v>
      </c>
      <c r="Q1785" s="11"/>
      <c r="R1785" s="11"/>
      <c r="S1785" s="11"/>
      <c r="T1785" s="29">
        <v>45469.0</v>
      </c>
      <c r="U1785" s="29">
        <v>45469.0</v>
      </c>
      <c r="V1785" s="29">
        <v>45470.37228575231</v>
      </c>
      <c r="W1785" s="30"/>
      <c r="X1785" s="30"/>
      <c r="Y1785" s="31"/>
      <c r="Z1785" s="31"/>
      <c r="AA1785" s="31" t="s">
        <v>120</v>
      </c>
      <c r="AB1785" s="31" t="s">
        <v>7112</v>
      </c>
      <c r="AC1785" s="31"/>
    </row>
    <row r="1786" ht="18.75" customHeight="1">
      <c r="A1786" s="18" t="s">
        <v>7113</v>
      </c>
      <c r="B1786" s="19" t="s">
        <v>6314</v>
      </c>
      <c r="C1786" s="20">
        <v>11.0</v>
      </c>
      <c r="D1786" s="21" t="s">
        <v>7114</v>
      </c>
      <c r="E1786" s="27" t="s">
        <v>112</v>
      </c>
      <c r="F1786" s="18" t="s">
        <v>48</v>
      </c>
      <c r="G1786" s="32" t="s">
        <v>35</v>
      </c>
      <c r="H1786" s="23" t="s">
        <v>35</v>
      </c>
      <c r="I1786" s="24" t="s">
        <v>36</v>
      </c>
      <c r="J1786" s="25" t="s">
        <v>49</v>
      </c>
      <c r="K1786" s="26" t="s">
        <v>38</v>
      </c>
      <c r="L1786" s="25">
        <v>11053.0</v>
      </c>
      <c r="M1786" s="27" t="s">
        <v>50</v>
      </c>
      <c r="N1786" s="26" t="s">
        <v>6868</v>
      </c>
      <c r="O1786" s="28">
        <v>45470.651001782404</v>
      </c>
      <c r="P1786" s="26" t="s">
        <v>6028</v>
      </c>
      <c r="Q1786" s="11"/>
      <c r="R1786" s="11"/>
      <c r="S1786" s="11"/>
      <c r="T1786" s="29">
        <v>45469.0</v>
      </c>
      <c r="U1786" s="29">
        <v>45470.0</v>
      </c>
      <c r="V1786" s="29">
        <v>45470.43936695602</v>
      </c>
      <c r="W1786" s="30"/>
      <c r="X1786" s="30"/>
      <c r="Y1786" s="31"/>
      <c r="Z1786" s="31"/>
      <c r="AA1786" s="31" t="s">
        <v>120</v>
      </c>
      <c r="AB1786" s="31" t="s">
        <v>7115</v>
      </c>
      <c r="AC1786" s="31"/>
    </row>
    <row r="1787" ht="18.75" customHeight="1">
      <c r="A1787" s="18" t="s">
        <v>7116</v>
      </c>
      <c r="B1787" s="19" t="s">
        <v>6314</v>
      </c>
      <c r="C1787" s="20">
        <v>11.0</v>
      </c>
      <c r="D1787" s="21" t="s">
        <v>7117</v>
      </c>
      <c r="E1787" s="27" t="s">
        <v>112</v>
      </c>
      <c r="F1787" s="18" t="s">
        <v>48</v>
      </c>
      <c r="G1787" s="32" t="s">
        <v>35</v>
      </c>
      <c r="H1787" s="23" t="s">
        <v>35</v>
      </c>
      <c r="I1787" s="24" t="s">
        <v>36</v>
      </c>
      <c r="J1787" s="25" t="s">
        <v>49</v>
      </c>
      <c r="K1787" s="26" t="s">
        <v>38</v>
      </c>
      <c r="L1787" s="25">
        <v>11053.0</v>
      </c>
      <c r="M1787" s="27" t="s">
        <v>50</v>
      </c>
      <c r="N1787" s="26" t="s">
        <v>6868</v>
      </c>
      <c r="O1787" s="28">
        <v>45470.652176400465</v>
      </c>
      <c r="P1787" s="26" t="s">
        <v>6028</v>
      </c>
      <c r="Q1787" s="11"/>
      <c r="R1787" s="11"/>
      <c r="S1787" s="11"/>
      <c r="T1787" s="29">
        <v>45469.0</v>
      </c>
      <c r="U1787" s="29">
        <v>45470.0</v>
      </c>
      <c r="V1787" s="29">
        <v>45470.43937770833</v>
      </c>
      <c r="W1787" s="30"/>
      <c r="X1787" s="30"/>
      <c r="Y1787" s="31"/>
      <c r="Z1787" s="31"/>
      <c r="AA1787" s="31" t="s">
        <v>120</v>
      </c>
      <c r="AB1787" s="31" t="s">
        <v>7118</v>
      </c>
      <c r="AC1787" s="31"/>
    </row>
    <row r="1788" ht="18.75" customHeight="1">
      <c r="A1788" s="18" t="s">
        <v>7119</v>
      </c>
      <c r="B1788" s="19" t="s">
        <v>6314</v>
      </c>
      <c r="C1788" s="20">
        <v>0.0</v>
      </c>
      <c r="D1788" s="21" t="s">
        <v>7120</v>
      </c>
      <c r="E1788" s="27" t="s">
        <v>3441</v>
      </c>
      <c r="F1788" s="18" t="s">
        <v>48</v>
      </c>
      <c r="G1788" s="32" t="s">
        <v>35</v>
      </c>
      <c r="H1788" s="23" t="s">
        <v>35</v>
      </c>
      <c r="I1788" s="24" t="s">
        <v>36</v>
      </c>
      <c r="J1788" s="25" t="s">
        <v>49</v>
      </c>
      <c r="K1788" s="26" t="s">
        <v>38</v>
      </c>
      <c r="L1788" s="25">
        <v>11050.0</v>
      </c>
      <c r="M1788" s="27" t="s">
        <v>50</v>
      </c>
      <c r="N1788" s="26" t="s">
        <v>6868</v>
      </c>
      <c r="O1788" s="28">
        <v>45470.65131076389</v>
      </c>
      <c r="P1788" s="26" t="s">
        <v>6028</v>
      </c>
      <c r="Q1788" s="11"/>
      <c r="R1788" s="11"/>
      <c r="S1788" s="11"/>
      <c r="T1788" s="29">
        <v>45469.0</v>
      </c>
      <c r="U1788" s="29">
        <v>45469.0</v>
      </c>
      <c r="V1788" s="29">
        <v>45470.35553119213</v>
      </c>
      <c r="W1788" s="30"/>
      <c r="X1788" s="30"/>
      <c r="Y1788" s="31"/>
      <c r="Z1788" s="31"/>
      <c r="AA1788" s="31" t="s">
        <v>120</v>
      </c>
      <c r="AB1788" s="31" t="s">
        <v>7121</v>
      </c>
      <c r="AC1788" s="31"/>
    </row>
    <row r="1789" ht="18.75" customHeight="1">
      <c r="A1789" s="18" t="s">
        <v>7122</v>
      </c>
      <c r="B1789" s="19" t="s">
        <v>6314</v>
      </c>
      <c r="C1789" s="20">
        <v>0.0</v>
      </c>
      <c r="D1789" s="21"/>
      <c r="E1789" s="27" t="s">
        <v>3441</v>
      </c>
      <c r="F1789" s="18" t="s">
        <v>48</v>
      </c>
      <c r="G1789" s="32" t="s">
        <v>35</v>
      </c>
      <c r="H1789" s="23" t="s">
        <v>35</v>
      </c>
      <c r="I1789" s="24" t="s">
        <v>665</v>
      </c>
      <c r="J1789" s="25" t="s">
        <v>49</v>
      </c>
      <c r="K1789" s="26" t="s">
        <v>38</v>
      </c>
      <c r="L1789" s="25">
        <v>11050.0</v>
      </c>
      <c r="M1789" s="27" t="s">
        <v>50</v>
      </c>
      <c r="N1789" s="26" t="s">
        <v>6868</v>
      </c>
      <c r="O1789" s="28">
        <v>45470.65124519676</v>
      </c>
      <c r="P1789" s="26" t="s">
        <v>7123</v>
      </c>
      <c r="Q1789" s="11"/>
      <c r="R1789" s="11"/>
      <c r="S1789" s="11"/>
      <c r="T1789" s="29">
        <v>45469.0</v>
      </c>
      <c r="U1789" s="29">
        <v>45469.0</v>
      </c>
      <c r="V1789" s="29">
        <v>45470.355543854166</v>
      </c>
      <c r="W1789" s="30"/>
      <c r="X1789" s="30"/>
      <c r="Y1789" s="31"/>
      <c r="Z1789" s="31"/>
      <c r="AA1789" s="31" t="s">
        <v>120</v>
      </c>
      <c r="AB1789" s="31" t="s">
        <v>7124</v>
      </c>
      <c r="AC1789" s="31"/>
    </row>
    <row r="1790" ht="18.75" customHeight="1">
      <c r="A1790" s="18" t="s">
        <v>7125</v>
      </c>
      <c r="B1790" s="19" t="s">
        <v>6314</v>
      </c>
      <c r="C1790" s="20">
        <v>137.0</v>
      </c>
      <c r="D1790" s="21" t="s">
        <v>7126</v>
      </c>
      <c r="E1790" s="27" t="s">
        <v>85</v>
      </c>
      <c r="F1790" s="18" t="s">
        <v>48</v>
      </c>
      <c r="G1790" s="32" t="s">
        <v>35</v>
      </c>
      <c r="H1790" s="23" t="s">
        <v>35</v>
      </c>
      <c r="I1790" s="24" t="s">
        <v>36</v>
      </c>
      <c r="J1790" s="25" t="s">
        <v>49</v>
      </c>
      <c r="K1790" s="26" t="s">
        <v>38</v>
      </c>
      <c r="L1790" s="25">
        <v>11051.0</v>
      </c>
      <c r="M1790" s="27" t="s">
        <v>50</v>
      </c>
      <c r="N1790" s="26" t="s">
        <v>6868</v>
      </c>
      <c r="O1790" s="28">
        <v>45470.65139126158</v>
      </c>
      <c r="P1790" s="26" t="s">
        <v>6028</v>
      </c>
      <c r="Q1790" s="11"/>
      <c r="R1790" s="11"/>
      <c r="S1790" s="11"/>
      <c r="T1790" s="29">
        <v>45469.0</v>
      </c>
      <c r="U1790" s="29">
        <v>45469.0</v>
      </c>
      <c r="V1790" s="29">
        <v>45470.3746530787</v>
      </c>
      <c r="W1790" s="30"/>
      <c r="X1790" s="30"/>
      <c r="Y1790" s="31"/>
      <c r="Z1790" s="31"/>
      <c r="AA1790" s="31" t="s">
        <v>120</v>
      </c>
      <c r="AB1790" s="31" t="s">
        <v>7127</v>
      </c>
      <c r="AC1790" s="31"/>
    </row>
    <row r="1791" ht="18.75" customHeight="1">
      <c r="A1791" s="18" t="s">
        <v>7128</v>
      </c>
      <c r="B1791" s="19" t="s">
        <v>6314</v>
      </c>
      <c r="C1791" s="20">
        <v>137.0</v>
      </c>
      <c r="D1791" s="21" t="s">
        <v>7129</v>
      </c>
      <c r="E1791" s="27" t="s">
        <v>85</v>
      </c>
      <c r="F1791" s="18" t="s">
        <v>48</v>
      </c>
      <c r="G1791" s="32" t="s">
        <v>35</v>
      </c>
      <c r="H1791" s="23" t="s">
        <v>35</v>
      </c>
      <c r="I1791" s="24" t="s">
        <v>36</v>
      </c>
      <c r="J1791" s="25" t="s">
        <v>49</v>
      </c>
      <c r="K1791" s="26" t="s">
        <v>38</v>
      </c>
      <c r="L1791" s="25">
        <v>11051.0</v>
      </c>
      <c r="M1791" s="27" t="s">
        <v>50</v>
      </c>
      <c r="N1791" s="26" t="s">
        <v>6868</v>
      </c>
      <c r="O1791" s="28">
        <v>45470.65177182871</v>
      </c>
      <c r="P1791" s="26" t="s">
        <v>6028</v>
      </c>
      <c r="Q1791" s="11"/>
      <c r="R1791" s="11"/>
      <c r="S1791" s="11"/>
      <c r="T1791" s="29">
        <v>45469.0</v>
      </c>
      <c r="U1791" s="29">
        <v>45469.0</v>
      </c>
      <c r="V1791" s="29">
        <v>45470.3746605787</v>
      </c>
      <c r="W1791" s="30"/>
      <c r="X1791" s="30"/>
      <c r="Y1791" s="31"/>
      <c r="Z1791" s="31"/>
      <c r="AA1791" s="31" t="s">
        <v>120</v>
      </c>
      <c r="AB1791" s="31" t="s">
        <v>7130</v>
      </c>
      <c r="AC1791" s="31"/>
    </row>
    <row r="1792" ht="18.75" customHeight="1">
      <c r="A1792" s="18" t="s">
        <v>7131</v>
      </c>
      <c r="B1792" s="19" t="s">
        <v>6314</v>
      </c>
      <c r="C1792" s="20">
        <v>137.0</v>
      </c>
      <c r="D1792" s="21" t="s">
        <v>7132</v>
      </c>
      <c r="E1792" s="27" t="s">
        <v>85</v>
      </c>
      <c r="F1792" s="18" t="s">
        <v>48</v>
      </c>
      <c r="G1792" s="32" t="s">
        <v>35</v>
      </c>
      <c r="H1792" s="23" t="s">
        <v>35</v>
      </c>
      <c r="I1792" s="24" t="s">
        <v>36</v>
      </c>
      <c r="J1792" s="25" t="s">
        <v>49</v>
      </c>
      <c r="K1792" s="26" t="s">
        <v>38</v>
      </c>
      <c r="L1792" s="25">
        <v>11051.0</v>
      </c>
      <c r="M1792" s="27" t="s">
        <v>50</v>
      </c>
      <c r="N1792" s="26" t="s">
        <v>6868</v>
      </c>
      <c r="O1792" s="28">
        <v>45470.65146453703</v>
      </c>
      <c r="P1792" s="26" t="s">
        <v>6028</v>
      </c>
      <c r="Q1792" s="11"/>
      <c r="R1792" s="11"/>
      <c r="S1792" s="11"/>
      <c r="T1792" s="29">
        <v>45469.0</v>
      </c>
      <c r="U1792" s="29">
        <v>45469.0</v>
      </c>
      <c r="V1792" s="29">
        <v>45470.37466583333</v>
      </c>
      <c r="W1792" s="30"/>
      <c r="X1792" s="30"/>
      <c r="Y1792" s="31"/>
      <c r="Z1792" s="31"/>
      <c r="AA1792" s="31" t="s">
        <v>120</v>
      </c>
      <c r="AB1792" s="31" t="s">
        <v>7133</v>
      </c>
      <c r="AC1792" s="31"/>
    </row>
    <row r="1793" ht="18.75" customHeight="1">
      <c r="A1793" s="18" t="s">
        <v>7134</v>
      </c>
      <c r="B1793" s="19" t="s">
        <v>6314</v>
      </c>
      <c r="C1793" s="20">
        <v>137.0</v>
      </c>
      <c r="D1793" s="21" t="s">
        <v>7135</v>
      </c>
      <c r="E1793" s="27" t="s">
        <v>85</v>
      </c>
      <c r="F1793" s="18" t="s">
        <v>48</v>
      </c>
      <c r="G1793" s="32" t="s">
        <v>35</v>
      </c>
      <c r="H1793" s="23" t="s">
        <v>35</v>
      </c>
      <c r="I1793" s="24" t="s">
        <v>36</v>
      </c>
      <c r="J1793" s="25" t="s">
        <v>49</v>
      </c>
      <c r="K1793" s="26" t="s">
        <v>38</v>
      </c>
      <c r="L1793" s="25">
        <v>11051.0</v>
      </c>
      <c r="M1793" s="27" t="s">
        <v>50</v>
      </c>
      <c r="N1793" s="26" t="s">
        <v>6868</v>
      </c>
      <c r="O1793" s="28">
        <v>45470.65209103009</v>
      </c>
      <c r="P1793" s="26" t="s">
        <v>6028</v>
      </c>
      <c r="Q1793" s="11"/>
      <c r="R1793" s="11"/>
      <c r="S1793" s="11"/>
      <c r="T1793" s="29">
        <v>45469.0</v>
      </c>
      <c r="U1793" s="29">
        <v>45469.0</v>
      </c>
      <c r="V1793" s="29">
        <v>45470.37468763889</v>
      </c>
      <c r="W1793" s="30"/>
      <c r="X1793" s="30"/>
      <c r="Y1793" s="31"/>
      <c r="Z1793" s="31"/>
      <c r="AA1793" s="31" t="s">
        <v>120</v>
      </c>
      <c r="AB1793" s="31" t="s">
        <v>7136</v>
      </c>
      <c r="AC1793" s="31"/>
    </row>
    <row r="1794" ht="18.75" customHeight="1">
      <c r="A1794" s="18" t="s">
        <v>7137</v>
      </c>
      <c r="B1794" s="19" t="s">
        <v>6314</v>
      </c>
      <c r="C1794" s="20">
        <v>137.0</v>
      </c>
      <c r="D1794" s="21" t="s">
        <v>7138</v>
      </c>
      <c r="E1794" s="27" t="s">
        <v>85</v>
      </c>
      <c r="F1794" s="18" t="s">
        <v>48</v>
      </c>
      <c r="G1794" s="32" t="s">
        <v>35</v>
      </c>
      <c r="H1794" s="23" t="s">
        <v>35</v>
      </c>
      <c r="I1794" s="24" t="s">
        <v>36</v>
      </c>
      <c r="J1794" s="25" t="s">
        <v>49</v>
      </c>
      <c r="K1794" s="26" t="s">
        <v>38</v>
      </c>
      <c r="L1794" s="25">
        <v>11051.0</v>
      </c>
      <c r="M1794" s="27" t="s">
        <v>50</v>
      </c>
      <c r="N1794" s="26" t="s">
        <v>6868</v>
      </c>
      <c r="O1794" s="28">
        <v>45470.651168136574</v>
      </c>
      <c r="P1794" s="26" t="s">
        <v>6028</v>
      </c>
      <c r="Q1794" s="11"/>
      <c r="R1794" s="11"/>
      <c r="S1794" s="11"/>
      <c r="T1794" s="29">
        <v>45469.0</v>
      </c>
      <c r="U1794" s="29">
        <v>45469.0</v>
      </c>
      <c r="V1794" s="29">
        <v>45470.37469467593</v>
      </c>
      <c r="W1794" s="30"/>
      <c r="X1794" s="30"/>
      <c r="Y1794" s="31"/>
      <c r="Z1794" s="31"/>
      <c r="AA1794" s="31" t="s">
        <v>120</v>
      </c>
      <c r="AB1794" s="31" t="s">
        <v>7139</v>
      </c>
      <c r="AC1794" s="31"/>
    </row>
    <row r="1795" ht="18.75" customHeight="1">
      <c r="A1795" s="18" t="s">
        <v>7140</v>
      </c>
      <c r="B1795" s="19" t="s">
        <v>6314</v>
      </c>
      <c r="C1795" s="20">
        <v>137.0</v>
      </c>
      <c r="D1795" s="21" t="s">
        <v>7141</v>
      </c>
      <c r="E1795" s="27" t="s">
        <v>85</v>
      </c>
      <c r="F1795" s="18" t="s">
        <v>48</v>
      </c>
      <c r="G1795" s="32" t="s">
        <v>35</v>
      </c>
      <c r="H1795" s="23" t="s">
        <v>35</v>
      </c>
      <c r="I1795" s="24" t="s">
        <v>36</v>
      </c>
      <c r="J1795" s="25" t="s">
        <v>49</v>
      </c>
      <c r="K1795" s="26" t="s">
        <v>38</v>
      </c>
      <c r="L1795" s="25">
        <v>11051.0</v>
      </c>
      <c r="M1795" s="27" t="s">
        <v>50</v>
      </c>
      <c r="N1795" s="26" t="s">
        <v>6868</v>
      </c>
      <c r="O1795" s="28">
        <v>45470.651526076384</v>
      </c>
      <c r="P1795" s="26" t="s">
        <v>6028</v>
      </c>
      <c r="Q1795" s="11"/>
      <c r="R1795" s="11"/>
      <c r="S1795" s="11"/>
      <c r="T1795" s="29">
        <v>45469.0</v>
      </c>
      <c r="U1795" s="29">
        <v>45469.0</v>
      </c>
      <c r="V1795" s="29">
        <v>45470.37470677083</v>
      </c>
      <c r="W1795" s="30"/>
      <c r="X1795" s="30"/>
      <c r="Y1795" s="31"/>
      <c r="Z1795" s="31"/>
      <c r="AA1795" s="31" t="s">
        <v>120</v>
      </c>
      <c r="AB1795" s="31" t="s">
        <v>7142</v>
      </c>
      <c r="AC1795" s="31"/>
    </row>
    <row r="1796" ht="18.75" customHeight="1">
      <c r="A1796" s="18" t="s">
        <v>7143</v>
      </c>
      <c r="B1796" s="19" t="s">
        <v>6314</v>
      </c>
      <c r="C1796" s="20">
        <v>1.0</v>
      </c>
      <c r="D1796" s="21" t="s">
        <v>7144</v>
      </c>
      <c r="E1796" s="27" t="s">
        <v>3395</v>
      </c>
      <c r="F1796" s="18" t="s">
        <v>48</v>
      </c>
      <c r="G1796" s="32" t="s">
        <v>35</v>
      </c>
      <c r="H1796" s="23" t="s">
        <v>35</v>
      </c>
      <c r="I1796" s="37" t="s">
        <v>36</v>
      </c>
      <c r="J1796" s="34" t="s">
        <v>92</v>
      </c>
      <c r="K1796" s="26" t="s">
        <v>38</v>
      </c>
      <c r="L1796" s="25">
        <v>11052.0</v>
      </c>
      <c r="M1796" s="27" t="s">
        <v>73</v>
      </c>
      <c r="N1796" s="26" t="s">
        <v>7145</v>
      </c>
      <c r="O1796" s="140">
        <v>45707.3866582176</v>
      </c>
      <c r="P1796" s="35" t="s">
        <v>7146</v>
      </c>
      <c r="Q1796" s="11"/>
      <c r="R1796" s="11"/>
      <c r="S1796" s="11" t="s">
        <v>50</v>
      </c>
      <c r="T1796" s="29">
        <v>45469.0</v>
      </c>
      <c r="U1796" s="29">
        <v>45469.0</v>
      </c>
      <c r="V1796" s="141">
        <v>45698.629844236115</v>
      </c>
      <c r="W1796" s="30"/>
      <c r="X1796" s="30"/>
      <c r="Y1796" s="31"/>
      <c r="Z1796" s="31"/>
      <c r="AA1796" s="31" t="s">
        <v>120</v>
      </c>
      <c r="AB1796" s="31" t="s">
        <v>7147</v>
      </c>
      <c r="AC1796" s="31"/>
    </row>
    <row r="1797" ht="18.75" customHeight="1">
      <c r="A1797" s="18" t="s">
        <v>7148</v>
      </c>
      <c r="B1797" s="19" t="s">
        <v>6314</v>
      </c>
      <c r="C1797" s="20">
        <v>1.0</v>
      </c>
      <c r="D1797" s="21" t="s">
        <v>7149</v>
      </c>
      <c r="E1797" s="27" t="s">
        <v>3395</v>
      </c>
      <c r="F1797" s="18" t="s">
        <v>48</v>
      </c>
      <c r="G1797" s="32" t="s">
        <v>35</v>
      </c>
      <c r="H1797" s="23" t="s">
        <v>35</v>
      </c>
      <c r="I1797" s="24" t="s">
        <v>36</v>
      </c>
      <c r="J1797" s="25" t="s">
        <v>49</v>
      </c>
      <c r="K1797" s="26" t="s">
        <v>38</v>
      </c>
      <c r="L1797" s="25">
        <v>11052.0</v>
      </c>
      <c r="M1797" s="27" t="s">
        <v>50</v>
      </c>
      <c r="N1797" s="26" t="s">
        <v>6868</v>
      </c>
      <c r="O1797" s="28">
        <v>45470.65170462963</v>
      </c>
      <c r="P1797" s="26" t="s">
        <v>6028</v>
      </c>
      <c r="Q1797" s="11"/>
      <c r="R1797" s="11"/>
      <c r="S1797" s="11"/>
      <c r="T1797" s="29">
        <v>45469.0</v>
      </c>
      <c r="U1797" s="29">
        <v>45469.0</v>
      </c>
      <c r="V1797" s="29">
        <v>45470.35969203703</v>
      </c>
      <c r="W1797" s="30"/>
      <c r="X1797" s="30"/>
      <c r="Y1797" s="31"/>
      <c r="Z1797" s="31"/>
      <c r="AA1797" s="31" t="s">
        <v>120</v>
      </c>
      <c r="AB1797" s="31" t="s">
        <v>7150</v>
      </c>
      <c r="AC1797" s="31"/>
    </row>
    <row r="1798" ht="18.75" customHeight="1">
      <c r="A1798" s="18" t="s">
        <v>7151</v>
      </c>
      <c r="B1798" s="19" t="s">
        <v>6314</v>
      </c>
      <c r="C1798" s="20">
        <v>1.0</v>
      </c>
      <c r="D1798" s="21" t="s">
        <v>7152</v>
      </c>
      <c r="E1798" s="27" t="s">
        <v>3395</v>
      </c>
      <c r="F1798" s="18" t="s">
        <v>48</v>
      </c>
      <c r="G1798" s="32" t="s">
        <v>35</v>
      </c>
      <c r="H1798" s="23" t="s">
        <v>35</v>
      </c>
      <c r="I1798" s="24" t="s">
        <v>36</v>
      </c>
      <c r="J1798" s="25" t="s">
        <v>49</v>
      </c>
      <c r="K1798" s="26" t="s">
        <v>38</v>
      </c>
      <c r="L1798" s="25">
        <v>11052.0</v>
      </c>
      <c r="M1798" s="27" t="s">
        <v>50</v>
      </c>
      <c r="N1798" s="26" t="s">
        <v>6868</v>
      </c>
      <c r="O1798" s="28">
        <v>45470.65183340278</v>
      </c>
      <c r="P1798" s="26" t="s">
        <v>6028</v>
      </c>
      <c r="Q1798" s="11"/>
      <c r="R1798" s="11"/>
      <c r="S1798" s="11"/>
      <c r="T1798" s="29">
        <v>45469.0</v>
      </c>
      <c r="U1798" s="29">
        <v>45469.0</v>
      </c>
      <c r="V1798" s="29">
        <v>45470.35970476852</v>
      </c>
      <c r="W1798" s="30"/>
      <c r="X1798" s="30"/>
      <c r="Y1798" s="31"/>
      <c r="Z1798" s="31"/>
      <c r="AA1798" s="31" t="s">
        <v>120</v>
      </c>
      <c r="AB1798" s="31" t="s">
        <v>7153</v>
      </c>
      <c r="AC1798" s="31"/>
    </row>
    <row r="1799" ht="18.75" customHeight="1">
      <c r="A1799" s="18" t="s">
        <v>7154</v>
      </c>
      <c r="B1799" s="19" t="s">
        <v>6314</v>
      </c>
      <c r="C1799" s="20">
        <v>1.0</v>
      </c>
      <c r="D1799" s="21" t="s">
        <v>7155</v>
      </c>
      <c r="E1799" s="27" t="s">
        <v>3395</v>
      </c>
      <c r="F1799" s="18" t="s">
        <v>48</v>
      </c>
      <c r="G1799" s="32" t="s">
        <v>35</v>
      </c>
      <c r="H1799" s="23" t="s">
        <v>35</v>
      </c>
      <c r="I1799" s="24" t="s">
        <v>36</v>
      </c>
      <c r="J1799" s="25" t="s">
        <v>49</v>
      </c>
      <c r="K1799" s="26" t="s">
        <v>38</v>
      </c>
      <c r="L1799" s="25">
        <v>11052.0</v>
      </c>
      <c r="M1799" s="27" t="s">
        <v>50</v>
      </c>
      <c r="N1799" s="26" t="s">
        <v>6868</v>
      </c>
      <c r="O1799" s="28">
        <v>45470.651963958335</v>
      </c>
      <c r="P1799" s="26" t="s">
        <v>6028</v>
      </c>
      <c r="Q1799" s="11"/>
      <c r="R1799" s="11"/>
      <c r="S1799" s="11"/>
      <c r="T1799" s="29">
        <v>45469.0</v>
      </c>
      <c r="U1799" s="29">
        <v>45469.0</v>
      </c>
      <c r="V1799" s="29">
        <v>45470.35971240741</v>
      </c>
      <c r="W1799" s="30"/>
      <c r="X1799" s="30"/>
      <c r="Y1799" s="31"/>
      <c r="Z1799" s="31"/>
      <c r="AA1799" s="31" t="s">
        <v>120</v>
      </c>
      <c r="AB1799" s="31" t="s">
        <v>7156</v>
      </c>
      <c r="AC1799" s="31"/>
    </row>
    <row r="1800" ht="18.75" customHeight="1">
      <c r="A1800" s="18" t="s">
        <v>7157</v>
      </c>
      <c r="B1800" s="19" t="s">
        <v>6314</v>
      </c>
      <c r="C1800" s="20">
        <v>1.0</v>
      </c>
      <c r="D1800" s="21" t="s">
        <v>7158</v>
      </c>
      <c r="E1800" s="27" t="s">
        <v>3395</v>
      </c>
      <c r="F1800" s="18" t="s">
        <v>48</v>
      </c>
      <c r="G1800" s="32" t="s">
        <v>35</v>
      </c>
      <c r="H1800" s="23" t="s">
        <v>35</v>
      </c>
      <c r="I1800" s="24" t="s">
        <v>36</v>
      </c>
      <c r="J1800" s="25" t="s">
        <v>49</v>
      </c>
      <c r="K1800" s="26" t="s">
        <v>38</v>
      </c>
      <c r="L1800" s="25">
        <v>11052.0</v>
      </c>
      <c r="M1800" s="27" t="s">
        <v>50</v>
      </c>
      <c r="N1800" s="26" t="s">
        <v>6868</v>
      </c>
      <c r="O1800" s="28">
        <v>45470.65238506944</v>
      </c>
      <c r="P1800" s="26" t="s">
        <v>6028</v>
      </c>
      <c r="Q1800" s="11"/>
      <c r="R1800" s="11"/>
      <c r="S1800" s="11"/>
      <c r="T1800" s="29">
        <v>45469.0</v>
      </c>
      <c r="U1800" s="29">
        <v>45469.0</v>
      </c>
      <c r="V1800" s="29">
        <v>45470.35972087963</v>
      </c>
      <c r="W1800" s="30"/>
      <c r="X1800" s="30"/>
      <c r="Y1800" s="31"/>
      <c r="Z1800" s="31"/>
      <c r="AA1800" s="31" t="s">
        <v>120</v>
      </c>
      <c r="AB1800" s="31" t="s">
        <v>7159</v>
      </c>
      <c r="AC1800" s="31"/>
    </row>
    <row r="1801" ht="18.75" customHeight="1">
      <c r="A1801" s="18" t="s">
        <v>7160</v>
      </c>
      <c r="B1801" s="19" t="s">
        <v>6314</v>
      </c>
      <c r="C1801" s="20">
        <v>1.0</v>
      </c>
      <c r="D1801" s="21" t="s">
        <v>7161</v>
      </c>
      <c r="E1801" s="27" t="s">
        <v>3395</v>
      </c>
      <c r="F1801" s="18" t="s">
        <v>48</v>
      </c>
      <c r="G1801" s="32" t="s">
        <v>35</v>
      </c>
      <c r="H1801" s="23" t="s">
        <v>35</v>
      </c>
      <c r="I1801" s="24" t="s">
        <v>36</v>
      </c>
      <c r="J1801" s="25" t="s">
        <v>49</v>
      </c>
      <c r="K1801" s="26" t="s">
        <v>38</v>
      </c>
      <c r="L1801" s="25">
        <v>11052.0</v>
      </c>
      <c r="M1801" s="27" t="s">
        <v>50</v>
      </c>
      <c r="N1801" s="26" t="s">
        <v>6868</v>
      </c>
      <c r="O1801" s="28">
        <v>45470.65202925926</v>
      </c>
      <c r="P1801" s="26" t="s">
        <v>6028</v>
      </c>
      <c r="Q1801" s="11"/>
      <c r="R1801" s="11"/>
      <c r="S1801" s="11"/>
      <c r="T1801" s="29">
        <v>45469.0</v>
      </c>
      <c r="U1801" s="29">
        <v>45469.0</v>
      </c>
      <c r="V1801" s="29">
        <v>45470.35972796296</v>
      </c>
      <c r="W1801" s="30"/>
      <c r="X1801" s="30"/>
      <c r="Y1801" s="31"/>
      <c r="Z1801" s="31"/>
      <c r="AA1801" s="31" t="s">
        <v>120</v>
      </c>
      <c r="AB1801" s="31" t="s">
        <v>7162</v>
      </c>
      <c r="AC1801" s="31"/>
    </row>
    <row r="1802" ht="18.75" customHeight="1">
      <c r="A1802" s="48" t="s">
        <v>7163</v>
      </c>
      <c r="B1802" s="53" t="s">
        <v>5681</v>
      </c>
      <c r="C1802" s="54">
        <v>0.0</v>
      </c>
      <c r="D1802" s="21" t="s">
        <v>7164</v>
      </c>
      <c r="E1802" s="55" t="s">
        <v>3441</v>
      </c>
      <c r="F1802" s="32" t="s">
        <v>48</v>
      </c>
      <c r="G1802" s="32" t="s">
        <v>35</v>
      </c>
      <c r="H1802" s="23" t="s">
        <v>35</v>
      </c>
      <c r="I1802" s="66" t="s">
        <v>36</v>
      </c>
      <c r="J1802" s="34" t="s">
        <v>49</v>
      </c>
      <c r="K1802" s="57" t="s">
        <v>38</v>
      </c>
      <c r="L1802" s="58"/>
      <c r="M1802" s="22"/>
      <c r="N1802" s="26" t="s">
        <v>86</v>
      </c>
      <c r="O1802" s="28" t="s">
        <v>6028</v>
      </c>
      <c r="P1802" s="26" t="s">
        <v>7165</v>
      </c>
      <c r="Q1802" s="12"/>
      <c r="R1802" s="59"/>
      <c r="S1802" s="60"/>
      <c r="T1802" s="29">
        <v>45469.0</v>
      </c>
      <c r="U1802" s="29"/>
      <c r="V1802" s="29">
        <v>45446.0</v>
      </c>
      <c r="W1802" s="30"/>
      <c r="X1802" s="30"/>
      <c r="Y1802" s="31"/>
      <c r="Z1802" s="31"/>
      <c r="AA1802" s="31" t="s">
        <v>94</v>
      </c>
      <c r="AB1802" s="31" t="s">
        <v>7166</v>
      </c>
      <c r="AC1802" s="31"/>
    </row>
    <row r="1803" ht="18.75" customHeight="1">
      <c r="A1803" s="18" t="s">
        <v>7163</v>
      </c>
      <c r="B1803" s="19" t="s">
        <v>7167</v>
      </c>
      <c r="C1803" s="20">
        <v>0.0</v>
      </c>
      <c r="D1803" s="21" t="s">
        <v>7168</v>
      </c>
      <c r="E1803" s="27" t="s">
        <v>3441</v>
      </c>
      <c r="F1803" s="18" t="s">
        <v>48</v>
      </c>
      <c r="G1803" s="32" t="s">
        <v>35</v>
      </c>
      <c r="H1803" s="23" t="s">
        <v>35</v>
      </c>
      <c r="I1803" s="24" t="s">
        <v>36</v>
      </c>
      <c r="J1803" s="34" t="s">
        <v>65</v>
      </c>
      <c r="K1803" s="26" t="s">
        <v>38</v>
      </c>
      <c r="L1803" s="25" t="s">
        <v>7169</v>
      </c>
      <c r="M1803" s="27"/>
      <c r="N1803" s="26"/>
      <c r="O1803" s="28">
        <v>45474.0</v>
      </c>
      <c r="P1803" s="35" t="s">
        <v>7170</v>
      </c>
      <c r="Q1803" s="11"/>
      <c r="R1803" s="11"/>
      <c r="S1803" s="11"/>
      <c r="T1803" s="29">
        <v>45469.0</v>
      </c>
      <c r="U1803" s="29">
        <v>45469.0</v>
      </c>
      <c r="V1803" s="29">
        <v>45471.0</v>
      </c>
      <c r="W1803" s="30"/>
      <c r="X1803" s="30"/>
      <c r="Y1803" s="31"/>
      <c r="Z1803" s="31"/>
      <c r="AA1803" s="31" t="s">
        <v>94</v>
      </c>
      <c r="AB1803" s="31" t="s">
        <v>7171</v>
      </c>
      <c r="AC1803" s="31"/>
    </row>
    <row r="1804" ht="18.75" customHeight="1">
      <c r="A1804" s="18" t="s">
        <v>7172</v>
      </c>
      <c r="B1804" s="19" t="s">
        <v>7173</v>
      </c>
      <c r="C1804" s="20">
        <v>0.0</v>
      </c>
      <c r="D1804" s="21" t="s">
        <v>7174</v>
      </c>
      <c r="E1804" s="27" t="s">
        <v>532</v>
      </c>
      <c r="F1804" s="18" t="s">
        <v>244</v>
      </c>
      <c r="G1804" s="32" t="s">
        <v>35</v>
      </c>
      <c r="H1804" s="23" t="s">
        <v>35</v>
      </c>
      <c r="I1804" s="24" t="s">
        <v>36</v>
      </c>
      <c r="J1804" s="25" t="s">
        <v>518</v>
      </c>
      <c r="K1804" s="26" t="s">
        <v>38</v>
      </c>
      <c r="L1804" s="25" t="s">
        <v>7175</v>
      </c>
      <c r="M1804" s="27" t="s">
        <v>40</v>
      </c>
      <c r="N1804" s="26" t="s">
        <v>4616</v>
      </c>
      <c r="O1804" s="28">
        <v>45477.58088206018</v>
      </c>
      <c r="P1804" s="26" t="s">
        <v>6028</v>
      </c>
      <c r="Q1804" s="11"/>
      <c r="R1804" s="11"/>
      <c r="S1804" s="11"/>
      <c r="T1804" s="29">
        <v>45471.0</v>
      </c>
      <c r="U1804" s="29">
        <v>45475.0</v>
      </c>
      <c r="V1804" s="29">
        <v>45477.0</v>
      </c>
      <c r="W1804" s="30"/>
      <c r="X1804" s="30"/>
      <c r="Y1804" s="31"/>
      <c r="Z1804" s="31"/>
      <c r="AA1804" s="31" t="s">
        <v>94</v>
      </c>
      <c r="AB1804" s="31" t="s">
        <v>7176</v>
      </c>
      <c r="AC1804" s="31"/>
    </row>
    <row r="1805" ht="18.75" customHeight="1">
      <c r="A1805" s="18" t="s">
        <v>7177</v>
      </c>
      <c r="B1805" s="19" t="s">
        <v>7178</v>
      </c>
      <c r="C1805" s="20">
        <v>0.0</v>
      </c>
      <c r="D1805" s="21" t="s">
        <v>7179</v>
      </c>
      <c r="E1805" s="27" t="s">
        <v>3441</v>
      </c>
      <c r="F1805" s="18" t="s">
        <v>48</v>
      </c>
      <c r="G1805" s="32" t="s">
        <v>35</v>
      </c>
      <c r="H1805" s="23" t="s">
        <v>35</v>
      </c>
      <c r="I1805" s="24" t="s">
        <v>36</v>
      </c>
      <c r="J1805" s="25" t="s">
        <v>49</v>
      </c>
      <c r="K1805" s="26" t="s">
        <v>5954</v>
      </c>
      <c r="L1805" s="25">
        <v>11095.0</v>
      </c>
      <c r="M1805" s="27" t="s">
        <v>50</v>
      </c>
      <c r="N1805" s="26" t="s">
        <v>6547</v>
      </c>
      <c r="O1805" s="28">
        <v>45476.610560960646</v>
      </c>
      <c r="P1805" s="26" t="s">
        <v>6028</v>
      </c>
      <c r="Q1805" s="11"/>
      <c r="R1805" s="11"/>
      <c r="S1805" s="11"/>
      <c r="T1805" s="29">
        <v>45471.0</v>
      </c>
      <c r="U1805" s="29">
        <v>45475.0</v>
      </c>
      <c r="V1805" s="29">
        <v>45476.433484560184</v>
      </c>
      <c r="W1805" s="30"/>
      <c r="X1805" s="30"/>
      <c r="Y1805" s="31"/>
      <c r="Z1805" s="31"/>
      <c r="AA1805" s="31" t="s">
        <v>127</v>
      </c>
      <c r="AB1805" s="31" t="s">
        <v>7180</v>
      </c>
      <c r="AC1805" s="31"/>
    </row>
    <row r="1806" ht="18.75" customHeight="1">
      <c r="A1806" s="18" t="s">
        <v>7181</v>
      </c>
      <c r="B1806" s="19" t="s">
        <v>7178</v>
      </c>
      <c r="C1806" s="20">
        <v>137.0</v>
      </c>
      <c r="D1806" s="21" t="s">
        <v>7182</v>
      </c>
      <c r="E1806" s="27" t="s">
        <v>85</v>
      </c>
      <c r="F1806" s="18" t="s">
        <v>48</v>
      </c>
      <c r="G1806" s="32" t="s">
        <v>35</v>
      </c>
      <c r="H1806" s="23" t="s">
        <v>35</v>
      </c>
      <c r="I1806" s="24" t="s">
        <v>36</v>
      </c>
      <c r="J1806" s="25" t="s">
        <v>49</v>
      </c>
      <c r="K1806" s="26" t="s">
        <v>5954</v>
      </c>
      <c r="L1806" s="25">
        <v>11095.0</v>
      </c>
      <c r="M1806" s="27" t="s">
        <v>50</v>
      </c>
      <c r="N1806" s="26" t="s">
        <v>6547</v>
      </c>
      <c r="O1806" s="28">
        <v>45476.61122663194</v>
      </c>
      <c r="P1806" s="26" t="s">
        <v>6028</v>
      </c>
      <c r="Q1806" s="11"/>
      <c r="R1806" s="11"/>
      <c r="S1806" s="11"/>
      <c r="T1806" s="29">
        <v>45471.0</v>
      </c>
      <c r="U1806" s="29">
        <v>45475.0</v>
      </c>
      <c r="V1806" s="29">
        <v>45476.432028842595</v>
      </c>
      <c r="W1806" s="30"/>
      <c r="X1806" s="30"/>
      <c r="Y1806" s="31"/>
      <c r="Z1806" s="31"/>
      <c r="AA1806" s="31" t="s">
        <v>127</v>
      </c>
      <c r="AB1806" s="31" t="s">
        <v>7183</v>
      </c>
      <c r="AC1806" s="31"/>
    </row>
    <row r="1807" ht="18.75" customHeight="1">
      <c r="A1807" s="18" t="s">
        <v>7184</v>
      </c>
      <c r="B1807" s="19" t="s">
        <v>7178</v>
      </c>
      <c r="C1807" s="20">
        <v>137.0</v>
      </c>
      <c r="D1807" s="21" t="s">
        <v>7185</v>
      </c>
      <c r="E1807" s="27" t="s">
        <v>85</v>
      </c>
      <c r="F1807" s="18" t="s">
        <v>48</v>
      </c>
      <c r="G1807" s="32" t="s">
        <v>35</v>
      </c>
      <c r="H1807" s="23" t="s">
        <v>35</v>
      </c>
      <c r="I1807" s="24" t="s">
        <v>36</v>
      </c>
      <c r="J1807" s="25" t="s">
        <v>49</v>
      </c>
      <c r="K1807" s="26" t="s">
        <v>5954</v>
      </c>
      <c r="L1807" s="25">
        <v>11095.0</v>
      </c>
      <c r="M1807" s="27" t="s">
        <v>50</v>
      </c>
      <c r="N1807" s="26" t="s">
        <v>6547</v>
      </c>
      <c r="O1807" s="28">
        <v>45476.61039428241</v>
      </c>
      <c r="P1807" s="26" t="s">
        <v>6028</v>
      </c>
      <c r="Q1807" s="11"/>
      <c r="R1807" s="11"/>
      <c r="S1807" s="11"/>
      <c r="T1807" s="29">
        <v>45471.0</v>
      </c>
      <c r="U1807" s="29">
        <v>45475.0</v>
      </c>
      <c r="V1807" s="29">
        <v>45476.43204150463</v>
      </c>
      <c r="W1807" s="30"/>
      <c r="X1807" s="30"/>
      <c r="Y1807" s="31"/>
      <c r="Z1807" s="31"/>
      <c r="AA1807" s="31" t="s">
        <v>127</v>
      </c>
      <c r="AB1807" s="31" t="s">
        <v>7186</v>
      </c>
      <c r="AC1807" s="31"/>
    </row>
    <row r="1808" ht="18.75" customHeight="1">
      <c r="A1808" s="18" t="s">
        <v>7187</v>
      </c>
      <c r="B1808" s="19" t="s">
        <v>7178</v>
      </c>
      <c r="C1808" s="20">
        <v>90.0</v>
      </c>
      <c r="D1808" s="21" t="s">
        <v>7188</v>
      </c>
      <c r="E1808" s="27" t="s">
        <v>91</v>
      </c>
      <c r="F1808" s="18" t="s">
        <v>48</v>
      </c>
      <c r="G1808" s="32" t="s">
        <v>35</v>
      </c>
      <c r="H1808" s="23" t="s">
        <v>35</v>
      </c>
      <c r="I1808" s="24" t="s">
        <v>36</v>
      </c>
      <c r="J1808" s="25" t="s">
        <v>49</v>
      </c>
      <c r="K1808" s="26" t="s">
        <v>5954</v>
      </c>
      <c r="L1808" s="25">
        <v>11095.0</v>
      </c>
      <c r="M1808" s="27" t="s">
        <v>50</v>
      </c>
      <c r="N1808" s="26" t="s">
        <v>6547</v>
      </c>
      <c r="O1808" s="28">
        <v>45476.610220636576</v>
      </c>
      <c r="P1808" s="26" t="s">
        <v>6028</v>
      </c>
      <c r="Q1808" s="11"/>
      <c r="R1808" s="11"/>
      <c r="S1808" s="11"/>
      <c r="T1808" s="29">
        <v>45471.0</v>
      </c>
      <c r="U1808" s="29">
        <v>45475.0</v>
      </c>
      <c r="V1808" s="29">
        <v>45476.428333159725</v>
      </c>
      <c r="W1808" s="30"/>
      <c r="X1808" s="30"/>
      <c r="Y1808" s="31"/>
      <c r="Z1808" s="31"/>
      <c r="AA1808" s="31" t="s">
        <v>127</v>
      </c>
      <c r="AB1808" s="31" t="s">
        <v>7189</v>
      </c>
      <c r="AC1808" s="31"/>
    </row>
    <row r="1809" ht="18.75" customHeight="1">
      <c r="A1809" s="18" t="s">
        <v>7190</v>
      </c>
      <c r="B1809" s="19" t="s">
        <v>7191</v>
      </c>
      <c r="C1809" s="20">
        <v>0.0</v>
      </c>
      <c r="D1809" s="21" t="s">
        <v>7192</v>
      </c>
      <c r="E1809" s="27" t="s">
        <v>664</v>
      </c>
      <c r="F1809" s="18" t="s">
        <v>48</v>
      </c>
      <c r="G1809" s="32" t="s">
        <v>35</v>
      </c>
      <c r="H1809" s="23" t="s">
        <v>35</v>
      </c>
      <c r="I1809" s="24" t="s">
        <v>36</v>
      </c>
      <c r="J1809" s="34" t="s">
        <v>65</v>
      </c>
      <c r="K1809" s="26" t="s">
        <v>38</v>
      </c>
      <c r="L1809" s="25">
        <v>11067.0</v>
      </c>
      <c r="M1809" s="27" t="s">
        <v>50</v>
      </c>
      <c r="N1809" s="26" t="s">
        <v>5706</v>
      </c>
      <c r="O1809" s="28">
        <v>45475.7106403588</v>
      </c>
      <c r="P1809" s="26" t="s">
        <v>6028</v>
      </c>
      <c r="Q1809" s="11"/>
      <c r="R1809" s="11"/>
      <c r="S1809" s="11"/>
      <c r="T1809" s="29">
        <v>45471.0</v>
      </c>
      <c r="U1809" s="29">
        <v>45471.0</v>
      </c>
      <c r="V1809" s="29">
        <v>45475.458260370375</v>
      </c>
      <c r="W1809" s="30"/>
      <c r="X1809" s="30"/>
      <c r="Y1809" s="31"/>
      <c r="Z1809" s="31"/>
      <c r="AA1809" s="31" t="s">
        <v>120</v>
      </c>
      <c r="AB1809" s="31" t="s">
        <v>7193</v>
      </c>
      <c r="AC1809" s="31"/>
    </row>
    <row r="1810" ht="18.75" customHeight="1">
      <c r="A1810" s="18" t="s">
        <v>7194</v>
      </c>
      <c r="B1810" s="19" t="s">
        <v>7191</v>
      </c>
      <c r="C1810" s="20">
        <v>0.0</v>
      </c>
      <c r="D1810" s="21" t="s">
        <v>7195</v>
      </c>
      <c r="E1810" s="27" t="s">
        <v>664</v>
      </c>
      <c r="F1810" s="18" t="s">
        <v>48</v>
      </c>
      <c r="G1810" s="32" t="s">
        <v>35</v>
      </c>
      <c r="H1810" s="23" t="s">
        <v>35</v>
      </c>
      <c r="I1810" s="24" t="s">
        <v>36</v>
      </c>
      <c r="J1810" s="34" t="s">
        <v>65</v>
      </c>
      <c r="K1810" s="26" t="s">
        <v>38</v>
      </c>
      <c r="L1810" s="25">
        <v>11067.0</v>
      </c>
      <c r="M1810" s="27" t="s">
        <v>50</v>
      </c>
      <c r="N1810" s="26" t="s">
        <v>5706</v>
      </c>
      <c r="O1810" s="28">
        <v>45475.710697939816</v>
      </c>
      <c r="P1810" s="26" t="s">
        <v>6028</v>
      </c>
      <c r="Q1810" s="11"/>
      <c r="R1810" s="11"/>
      <c r="S1810" s="11"/>
      <c r="T1810" s="29">
        <v>45471.0</v>
      </c>
      <c r="U1810" s="29">
        <v>45471.0</v>
      </c>
      <c r="V1810" s="29">
        <v>45475.584872974534</v>
      </c>
      <c r="W1810" s="30"/>
      <c r="X1810" s="30"/>
      <c r="Y1810" s="31"/>
      <c r="Z1810" s="31"/>
      <c r="AA1810" s="31" t="s">
        <v>120</v>
      </c>
      <c r="AB1810" s="31" t="s">
        <v>7196</v>
      </c>
      <c r="AC1810" s="31"/>
    </row>
    <row r="1811" ht="18.75" customHeight="1">
      <c r="A1811" s="18" t="s">
        <v>7197</v>
      </c>
      <c r="B1811" s="19" t="s">
        <v>7198</v>
      </c>
      <c r="C1811" s="20">
        <v>137.0</v>
      </c>
      <c r="D1811" s="21" t="s">
        <v>7199</v>
      </c>
      <c r="E1811" s="27" t="s">
        <v>85</v>
      </c>
      <c r="F1811" s="18" t="s">
        <v>48</v>
      </c>
      <c r="G1811" s="32" t="s">
        <v>35</v>
      </c>
      <c r="H1811" s="23" t="s">
        <v>35</v>
      </c>
      <c r="I1811" s="24" t="s">
        <v>36</v>
      </c>
      <c r="J1811" s="25" t="s">
        <v>49</v>
      </c>
      <c r="K1811" s="26" t="s">
        <v>38</v>
      </c>
      <c r="L1811" s="25">
        <v>11071.0</v>
      </c>
      <c r="M1811" s="27" t="s">
        <v>50</v>
      </c>
      <c r="N1811" s="26" t="s">
        <v>3694</v>
      </c>
      <c r="O1811" s="28">
        <v>45474.68291643518</v>
      </c>
      <c r="P1811" s="26" t="s">
        <v>6028</v>
      </c>
      <c r="Q1811" s="11"/>
      <c r="R1811" s="11"/>
      <c r="S1811" s="11"/>
      <c r="T1811" s="29">
        <v>45471.0</v>
      </c>
      <c r="U1811" s="29">
        <v>45474.0</v>
      </c>
      <c r="V1811" s="29">
        <v>45474.64231199074</v>
      </c>
      <c r="W1811" s="30"/>
      <c r="X1811" s="30"/>
      <c r="Y1811" s="31"/>
      <c r="Z1811" s="31"/>
      <c r="AA1811" s="31" t="s">
        <v>127</v>
      </c>
      <c r="AB1811" s="31" t="s">
        <v>7200</v>
      </c>
      <c r="AC1811" s="31"/>
    </row>
    <row r="1812" ht="18.75" customHeight="1">
      <c r="A1812" s="18" t="s">
        <v>7201</v>
      </c>
      <c r="B1812" s="19" t="s">
        <v>7202</v>
      </c>
      <c r="C1812" s="20">
        <v>34.0</v>
      </c>
      <c r="D1812" s="21" t="s">
        <v>7203</v>
      </c>
      <c r="E1812" s="27" t="s">
        <v>47</v>
      </c>
      <c r="F1812" s="18" t="s">
        <v>48</v>
      </c>
      <c r="G1812" s="32" t="s">
        <v>35</v>
      </c>
      <c r="H1812" s="23" t="s">
        <v>35</v>
      </c>
      <c r="I1812" s="24" t="s">
        <v>36</v>
      </c>
      <c r="J1812" s="25" t="s">
        <v>49</v>
      </c>
      <c r="K1812" s="26" t="s">
        <v>38</v>
      </c>
      <c r="L1812" s="25">
        <v>11084.0</v>
      </c>
      <c r="M1812" s="27" t="s">
        <v>50</v>
      </c>
      <c r="N1812" s="26" t="s">
        <v>6547</v>
      </c>
      <c r="O1812" s="28">
        <v>45475.60903734954</v>
      </c>
      <c r="P1812" s="26" t="s">
        <v>6028</v>
      </c>
      <c r="Q1812" s="11"/>
      <c r="R1812" s="11"/>
      <c r="S1812" s="11"/>
      <c r="T1812" s="29">
        <v>45471.0</v>
      </c>
      <c r="U1812" s="29">
        <v>45475.0</v>
      </c>
      <c r="V1812" s="29">
        <v>45475.51415533565</v>
      </c>
      <c r="W1812" s="30"/>
      <c r="X1812" s="30"/>
      <c r="Y1812" s="31"/>
      <c r="Z1812" s="31"/>
      <c r="AA1812" s="31" t="s">
        <v>127</v>
      </c>
      <c r="AB1812" s="31" t="s">
        <v>7204</v>
      </c>
      <c r="AC1812" s="31"/>
    </row>
    <row r="1813" ht="18.75" customHeight="1">
      <c r="A1813" s="18" t="s">
        <v>7205</v>
      </c>
      <c r="B1813" s="19" t="s">
        <v>7206</v>
      </c>
      <c r="C1813" s="20">
        <v>33.0</v>
      </c>
      <c r="D1813" s="21" t="s">
        <v>7207</v>
      </c>
      <c r="E1813" s="27" t="s">
        <v>6133</v>
      </c>
      <c r="F1813" s="18" t="s">
        <v>48</v>
      </c>
      <c r="G1813" s="32" t="s">
        <v>35</v>
      </c>
      <c r="H1813" s="23" t="s">
        <v>35</v>
      </c>
      <c r="I1813" s="24" t="s">
        <v>36</v>
      </c>
      <c r="J1813" s="34" t="s">
        <v>65</v>
      </c>
      <c r="K1813" s="26" t="s">
        <v>38</v>
      </c>
      <c r="L1813" s="25">
        <v>11176.0</v>
      </c>
      <c r="M1813" s="27" t="s">
        <v>50</v>
      </c>
      <c r="N1813" s="26" t="s">
        <v>5279</v>
      </c>
      <c r="O1813" s="28">
        <v>45497.63910893518</v>
      </c>
      <c r="P1813" s="26" t="s">
        <v>7208</v>
      </c>
      <c r="Q1813" s="11"/>
      <c r="R1813" s="11"/>
      <c r="S1813" s="11"/>
      <c r="T1813" s="29">
        <v>45471.0</v>
      </c>
      <c r="U1813" s="29">
        <v>45489.0</v>
      </c>
      <c r="V1813" s="29">
        <v>45490.4909802662</v>
      </c>
      <c r="W1813" s="30"/>
      <c r="X1813" s="30"/>
      <c r="Y1813" s="31"/>
      <c r="Z1813" s="31"/>
      <c r="AA1813" s="31" t="s">
        <v>120</v>
      </c>
      <c r="AB1813" s="31" t="s">
        <v>7209</v>
      </c>
      <c r="AC1813" s="31"/>
    </row>
    <row r="1814" ht="18.75" customHeight="1">
      <c r="A1814" s="142" t="s">
        <v>7210</v>
      </c>
      <c r="B1814" s="19" t="s">
        <v>7211</v>
      </c>
      <c r="C1814" s="20">
        <v>0.0</v>
      </c>
      <c r="D1814" s="21" t="s">
        <v>7212</v>
      </c>
      <c r="E1814" s="27" t="s">
        <v>1693</v>
      </c>
      <c r="F1814" s="18"/>
      <c r="G1814" s="32" t="s">
        <v>35</v>
      </c>
      <c r="H1814" s="23" t="s">
        <v>35</v>
      </c>
      <c r="I1814" s="24" t="s">
        <v>36</v>
      </c>
      <c r="J1814" s="34" t="s">
        <v>65</v>
      </c>
      <c r="K1814" s="26" t="s">
        <v>38</v>
      </c>
      <c r="L1814" s="25">
        <v>11570.0</v>
      </c>
      <c r="M1814" s="27" t="s">
        <v>50</v>
      </c>
      <c r="N1814" s="26" t="s">
        <v>5279</v>
      </c>
      <c r="O1814" s="28">
        <v>45565.64659209491</v>
      </c>
      <c r="P1814" s="26" t="s">
        <v>7213</v>
      </c>
      <c r="Q1814" s="11" t="s">
        <v>67</v>
      </c>
      <c r="R1814" s="11" t="s">
        <v>67</v>
      </c>
      <c r="S1814" s="11" t="s">
        <v>50</v>
      </c>
      <c r="T1814" s="29">
        <v>45565.4713216088</v>
      </c>
      <c r="U1814" s="29">
        <v>45562.43564740741</v>
      </c>
      <c r="V1814" s="29">
        <v>45565.48100347222</v>
      </c>
      <c r="W1814" s="30"/>
      <c r="X1814" s="30"/>
      <c r="Y1814" s="31"/>
      <c r="Z1814" s="31"/>
      <c r="AA1814" s="31" t="s">
        <v>120</v>
      </c>
      <c r="AB1814" s="31" t="s">
        <v>7214</v>
      </c>
      <c r="AC1814" s="31"/>
    </row>
    <row r="1815" ht="18.75" customHeight="1">
      <c r="A1815" s="18" t="s">
        <v>7215</v>
      </c>
      <c r="B1815" s="19" t="s">
        <v>7191</v>
      </c>
      <c r="C1815" s="20">
        <v>90.0</v>
      </c>
      <c r="D1815" s="21" t="s">
        <v>7216</v>
      </c>
      <c r="E1815" s="27" t="s">
        <v>91</v>
      </c>
      <c r="F1815" s="18" t="s">
        <v>48</v>
      </c>
      <c r="G1815" s="32" t="s">
        <v>35</v>
      </c>
      <c r="H1815" s="23" t="s">
        <v>35</v>
      </c>
      <c r="I1815" s="24" t="s">
        <v>36</v>
      </c>
      <c r="J1815" s="34" t="s">
        <v>65</v>
      </c>
      <c r="K1815" s="26" t="s">
        <v>38</v>
      </c>
      <c r="L1815" s="25">
        <v>11068.0</v>
      </c>
      <c r="M1815" s="27" t="s">
        <v>50</v>
      </c>
      <c r="N1815" s="26" t="s">
        <v>5279</v>
      </c>
      <c r="O1815" s="28">
        <v>45474.611477557875</v>
      </c>
      <c r="P1815" s="26" t="s">
        <v>6028</v>
      </c>
      <c r="Q1815" s="11"/>
      <c r="R1815" s="11"/>
      <c r="S1815" s="11"/>
      <c r="T1815" s="29">
        <v>45471.0</v>
      </c>
      <c r="U1815" s="29">
        <v>45471.0</v>
      </c>
      <c r="V1815" s="29">
        <v>45474.45127002315</v>
      </c>
      <c r="W1815" s="30"/>
      <c r="X1815" s="30"/>
      <c r="Y1815" s="31"/>
      <c r="Z1815" s="31"/>
      <c r="AA1815" s="31" t="s">
        <v>120</v>
      </c>
      <c r="AB1815" s="31" t="s">
        <v>7217</v>
      </c>
      <c r="AC1815" s="31"/>
    </row>
    <row r="1816" ht="18.75" customHeight="1">
      <c r="A1816" s="18" t="s">
        <v>7218</v>
      </c>
      <c r="B1816" s="19" t="s">
        <v>7191</v>
      </c>
      <c r="C1816" s="20">
        <v>90.0</v>
      </c>
      <c r="D1816" s="21" t="s">
        <v>7219</v>
      </c>
      <c r="E1816" s="27" t="s">
        <v>91</v>
      </c>
      <c r="F1816" s="18" t="s">
        <v>48</v>
      </c>
      <c r="G1816" s="32" t="s">
        <v>35</v>
      </c>
      <c r="H1816" s="23" t="s">
        <v>35</v>
      </c>
      <c r="I1816" s="24" t="s">
        <v>36</v>
      </c>
      <c r="J1816" s="34" t="s">
        <v>65</v>
      </c>
      <c r="K1816" s="26" t="s">
        <v>38</v>
      </c>
      <c r="L1816" s="25">
        <v>11068.0</v>
      </c>
      <c r="M1816" s="27" t="s">
        <v>50</v>
      </c>
      <c r="N1816" s="26" t="s">
        <v>5279</v>
      </c>
      <c r="O1816" s="28">
        <v>45474.611554814815</v>
      </c>
      <c r="P1816" s="26" t="s">
        <v>6028</v>
      </c>
      <c r="Q1816" s="11"/>
      <c r="R1816" s="11"/>
      <c r="S1816" s="11"/>
      <c r="T1816" s="29">
        <v>45471.0</v>
      </c>
      <c r="U1816" s="29">
        <v>45471.0</v>
      </c>
      <c r="V1816" s="29">
        <v>45474.45127984954</v>
      </c>
      <c r="W1816" s="30"/>
      <c r="X1816" s="30"/>
      <c r="Y1816" s="31"/>
      <c r="Z1816" s="31"/>
      <c r="AA1816" s="31" t="s">
        <v>120</v>
      </c>
      <c r="AB1816" s="31" t="s">
        <v>7220</v>
      </c>
      <c r="AC1816" s="31"/>
    </row>
    <row r="1817" ht="18.75" customHeight="1">
      <c r="A1817" s="18" t="s">
        <v>7221</v>
      </c>
      <c r="B1817" s="19" t="s">
        <v>4716</v>
      </c>
      <c r="C1817" s="20">
        <v>0.0</v>
      </c>
      <c r="D1817" s="21" t="s">
        <v>7222</v>
      </c>
      <c r="E1817" s="27" t="s">
        <v>3441</v>
      </c>
      <c r="F1817" s="18" t="s">
        <v>48</v>
      </c>
      <c r="G1817" s="32" t="s">
        <v>35</v>
      </c>
      <c r="H1817" s="23" t="s">
        <v>35</v>
      </c>
      <c r="I1817" s="24" t="s">
        <v>36</v>
      </c>
      <c r="J1817" s="25" t="s">
        <v>420</v>
      </c>
      <c r="K1817" s="26" t="s">
        <v>38</v>
      </c>
      <c r="L1817" s="25">
        <v>11069.0</v>
      </c>
      <c r="M1817" s="27" t="s">
        <v>50</v>
      </c>
      <c r="N1817" s="26" t="s">
        <v>4031</v>
      </c>
      <c r="O1817" s="28">
        <v>45474.57924532407</v>
      </c>
      <c r="P1817" s="26" t="s">
        <v>6028</v>
      </c>
      <c r="Q1817" s="11"/>
      <c r="R1817" s="11"/>
      <c r="S1817" s="11"/>
      <c r="T1817" s="29">
        <v>45471.0</v>
      </c>
      <c r="U1817" s="29">
        <v>45471.0</v>
      </c>
      <c r="V1817" s="29">
        <v>45474.4457209838</v>
      </c>
      <c r="W1817" s="30"/>
      <c r="X1817" s="30"/>
      <c r="Y1817" s="31"/>
      <c r="Z1817" s="31"/>
      <c r="AA1817" s="31" t="s">
        <v>120</v>
      </c>
      <c r="AB1817" s="31" t="s">
        <v>7223</v>
      </c>
      <c r="AC1817" s="31"/>
    </row>
    <row r="1818" ht="18.75" customHeight="1">
      <c r="A1818" s="18" t="s">
        <v>7224</v>
      </c>
      <c r="B1818" s="19" t="s">
        <v>4716</v>
      </c>
      <c r="C1818" s="20">
        <v>0.0</v>
      </c>
      <c r="D1818" s="21" t="s">
        <v>7225</v>
      </c>
      <c r="E1818" s="27" t="s">
        <v>3441</v>
      </c>
      <c r="F1818" s="18" t="s">
        <v>48</v>
      </c>
      <c r="G1818" s="32" t="s">
        <v>35</v>
      </c>
      <c r="H1818" s="23" t="s">
        <v>35</v>
      </c>
      <c r="I1818" s="24" t="s">
        <v>36</v>
      </c>
      <c r="J1818" s="25" t="s">
        <v>420</v>
      </c>
      <c r="K1818" s="26" t="s">
        <v>38</v>
      </c>
      <c r="L1818" s="25">
        <v>11069.0</v>
      </c>
      <c r="M1818" s="27" t="s">
        <v>50</v>
      </c>
      <c r="N1818" s="26" t="s">
        <v>4031</v>
      </c>
      <c r="O1818" s="28">
        <v>45474.57935479167</v>
      </c>
      <c r="P1818" s="26" t="s">
        <v>6028</v>
      </c>
      <c r="Q1818" s="11"/>
      <c r="R1818" s="11"/>
      <c r="S1818" s="11"/>
      <c r="T1818" s="29">
        <v>45471.0</v>
      </c>
      <c r="U1818" s="29">
        <v>45471.0</v>
      </c>
      <c r="V1818" s="29">
        <v>45474.44572982639</v>
      </c>
      <c r="W1818" s="30"/>
      <c r="X1818" s="30"/>
      <c r="Y1818" s="31"/>
      <c r="Z1818" s="31"/>
      <c r="AA1818" s="31" t="s">
        <v>120</v>
      </c>
      <c r="AB1818" s="31" t="s">
        <v>7226</v>
      </c>
      <c r="AC1818" s="31"/>
    </row>
    <row r="1819" ht="18.75" customHeight="1">
      <c r="A1819" s="18" t="s">
        <v>7227</v>
      </c>
      <c r="B1819" s="19" t="s">
        <v>4716</v>
      </c>
      <c r="C1819" s="20">
        <v>0.0</v>
      </c>
      <c r="D1819" s="21" t="s">
        <v>7228</v>
      </c>
      <c r="E1819" s="27" t="s">
        <v>3441</v>
      </c>
      <c r="F1819" s="18" t="s">
        <v>48</v>
      </c>
      <c r="G1819" s="32" t="s">
        <v>35</v>
      </c>
      <c r="H1819" s="23" t="s">
        <v>35</v>
      </c>
      <c r="I1819" s="24" t="s">
        <v>36</v>
      </c>
      <c r="J1819" s="25" t="s">
        <v>420</v>
      </c>
      <c r="K1819" s="26" t="s">
        <v>38</v>
      </c>
      <c r="L1819" s="25">
        <v>11069.0</v>
      </c>
      <c r="M1819" s="27" t="s">
        <v>50</v>
      </c>
      <c r="N1819" s="26" t="s">
        <v>4031</v>
      </c>
      <c r="O1819" s="28">
        <v>45474.579421574075</v>
      </c>
      <c r="P1819" s="26" t="s">
        <v>6028</v>
      </c>
      <c r="Q1819" s="11"/>
      <c r="R1819" s="11"/>
      <c r="S1819" s="11"/>
      <c r="T1819" s="29">
        <v>45471.0</v>
      </c>
      <c r="U1819" s="29">
        <v>45471.0</v>
      </c>
      <c r="V1819" s="29">
        <v>45474.44573704861</v>
      </c>
      <c r="W1819" s="30"/>
      <c r="X1819" s="30"/>
      <c r="Y1819" s="31"/>
      <c r="Z1819" s="31"/>
      <c r="AA1819" s="31" t="s">
        <v>120</v>
      </c>
      <c r="AB1819" s="31" t="s">
        <v>7229</v>
      </c>
      <c r="AC1819" s="31"/>
    </row>
    <row r="1820" ht="18.75" customHeight="1">
      <c r="A1820" s="18" t="s">
        <v>7230</v>
      </c>
      <c r="B1820" s="19" t="s">
        <v>4716</v>
      </c>
      <c r="C1820" s="20">
        <v>0.0</v>
      </c>
      <c r="D1820" s="21" t="s">
        <v>7231</v>
      </c>
      <c r="E1820" s="27" t="s">
        <v>3441</v>
      </c>
      <c r="F1820" s="18" t="s">
        <v>48</v>
      </c>
      <c r="G1820" s="32" t="s">
        <v>35</v>
      </c>
      <c r="H1820" s="23" t="s">
        <v>35</v>
      </c>
      <c r="I1820" s="24" t="s">
        <v>36</v>
      </c>
      <c r="J1820" s="25" t="s">
        <v>420</v>
      </c>
      <c r="K1820" s="26" t="s">
        <v>38</v>
      </c>
      <c r="L1820" s="25">
        <v>11069.0</v>
      </c>
      <c r="M1820" s="27" t="s">
        <v>50</v>
      </c>
      <c r="N1820" s="26" t="s">
        <v>4031</v>
      </c>
      <c r="O1820" s="28">
        <v>45474.57948222222</v>
      </c>
      <c r="P1820" s="26" t="s">
        <v>6028</v>
      </c>
      <c r="Q1820" s="11"/>
      <c r="R1820" s="11"/>
      <c r="S1820" s="11"/>
      <c r="T1820" s="29">
        <v>45471.0</v>
      </c>
      <c r="U1820" s="29">
        <v>45471.0</v>
      </c>
      <c r="V1820" s="29">
        <v>45474.44575180556</v>
      </c>
      <c r="W1820" s="30"/>
      <c r="X1820" s="30"/>
      <c r="Y1820" s="31"/>
      <c r="Z1820" s="31"/>
      <c r="AA1820" s="31" t="s">
        <v>120</v>
      </c>
      <c r="AB1820" s="31" t="s">
        <v>7232</v>
      </c>
      <c r="AC1820" s="31"/>
    </row>
    <row r="1821" ht="18.75" customHeight="1">
      <c r="A1821" s="18" t="s">
        <v>7233</v>
      </c>
      <c r="B1821" s="19" t="s">
        <v>4716</v>
      </c>
      <c r="C1821" s="20">
        <v>0.0</v>
      </c>
      <c r="D1821" s="21" t="s">
        <v>7234</v>
      </c>
      <c r="E1821" s="27" t="s">
        <v>3441</v>
      </c>
      <c r="F1821" s="18" t="s">
        <v>48</v>
      </c>
      <c r="G1821" s="32" t="s">
        <v>35</v>
      </c>
      <c r="H1821" s="23" t="s">
        <v>35</v>
      </c>
      <c r="I1821" s="24" t="s">
        <v>36</v>
      </c>
      <c r="J1821" s="25" t="s">
        <v>420</v>
      </c>
      <c r="K1821" s="26" t="s">
        <v>38</v>
      </c>
      <c r="L1821" s="25">
        <v>11069.0</v>
      </c>
      <c r="M1821" s="27" t="s">
        <v>50</v>
      </c>
      <c r="N1821" s="26" t="s">
        <v>4031</v>
      </c>
      <c r="O1821" s="28">
        <v>45474.57955458333</v>
      </c>
      <c r="P1821" s="26" t="s">
        <v>6028</v>
      </c>
      <c r="Q1821" s="11"/>
      <c r="R1821" s="11"/>
      <c r="S1821" s="11"/>
      <c r="T1821" s="29">
        <v>45471.0</v>
      </c>
      <c r="U1821" s="29">
        <v>45471.0</v>
      </c>
      <c r="V1821" s="29">
        <v>45474.445760092596</v>
      </c>
      <c r="W1821" s="30"/>
      <c r="X1821" s="30"/>
      <c r="Y1821" s="31"/>
      <c r="Z1821" s="31"/>
      <c r="AA1821" s="31" t="s">
        <v>120</v>
      </c>
      <c r="AB1821" s="31" t="s">
        <v>7235</v>
      </c>
      <c r="AC1821" s="31"/>
    </row>
    <row r="1822" ht="18.75" customHeight="1">
      <c r="A1822" s="18" t="s">
        <v>7236</v>
      </c>
      <c r="B1822" s="19" t="s">
        <v>4716</v>
      </c>
      <c r="C1822" s="20">
        <v>0.0</v>
      </c>
      <c r="D1822" s="21" t="s">
        <v>7237</v>
      </c>
      <c r="E1822" s="27" t="s">
        <v>3441</v>
      </c>
      <c r="F1822" s="18" t="s">
        <v>48</v>
      </c>
      <c r="G1822" s="32" t="s">
        <v>35</v>
      </c>
      <c r="H1822" s="23" t="s">
        <v>35</v>
      </c>
      <c r="I1822" s="24" t="s">
        <v>36</v>
      </c>
      <c r="J1822" s="25" t="s">
        <v>420</v>
      </c>
      <c r="K1822" s="26" t="s">
        <v>38</v>
      </c>
      <c r="L1822" s="25">
        <v>11069.0</v>
      </c>
      <c r="M1822" s="27" t="s">
        <v>50</v>
      </c>
      <c r="N1822" s="26" t="s">
        <v>4031</v>
      </c>
      <c r="O1822" s="28">
        <v>45474.57961077546</v>
      </c>
      <c r="P1822" s="26" t="s">
        <v>6028</v>
      </c>
      <c r="Q1822" s="11"/>
      <c r="R1822" s="11"/>
      <c r="S1822" s="11"/>
      <c r="T1822" s="29">
        <v>45471.0</v>
      </c>
      <c r="U1822" s="29">
        <v>45471.0</v>
      </c>
      <c r="V1822" s="29">
        <v>45474.44576947916</v>
      </c>
      <c r="W1822" s="30"/>
      <c r="X1822" s="30"/>
      <c r="Y1822" s="31"/>
      <c r="Z1822" s="31"/>
      <c r="AA1822" s="31" t="s">
        <v>120</v>
      </c>
      <c r="AB1822" s="31" t="s">
        <v>7238</v>
      </c>
      <c r="AC1822" s="31"/>
    </row>
    <row r="1823" ht="18.75" customHeight="1">
      <c r="A1823" s="18" t="s">
        <v>7239</v>
      </c>
      <c r="B1823" s="19" t="s">
        <v>7240</v>
      </c>
      <c r="C1823" s="20">
        <v>137.0</v>
      </c>
      <c r="D1823" s="21" t="s">
        <v>7241</v>
      </c>
      <c r="E1823" s="27" t="s">
        <v>85</v>
      </c>
      <c r="F1823" s="18" t="s">
        <v>48</v>
      </c>
      <c r="G1823" s="32" t="s">
        <v>35</v>
      </c>
      <c r="H1823" s="23" t="s">
        <v>35</v>
      </c>
      <c r="I1823" s="24" t="s">
        <v>36</v>
      </c>
      <c r="J1823" s="25" t="s">
        <v>49</v>
      </c>
      <c r="K1823" s="26" t="s">
        <v>38</v>
      </c>
      <c r="L1823" s="25">
        <v>11072.0</v>
      </c>
      <c r="M1823" s="27" t="s">
        <v>50</v>
      </c>
      <c r="N1823" s="26" t="s">
        <v>3694</v>
      </c>
      <c r="O1823" s="28">
        <v>45474.68299678241</v>
      </c>
      <c r="P1823" s="26" t="s">
        <v>6028</v>
      </c>
      <c r="Q1823" s="11"/>
      <c r="R1823" s="11"/>
      <c r="S1823" s="11"/>
      <c r="T1823" s="29">
        <v>45471.0</v>
      </c>
      <c r="U1823" s="29">
        <v>45474.0</v>
      </c>
      <c r="V1823" s="29">
        <v>45474.64232193287</v>
      </c>
      <c r="W1823" s="30"/>
      <c r="X1823" s="30"/>
      <c r="Y1823" s="31"/>
      <c r="Z1823" s="31"/>
      <c r="AA1823" s="31" t="s">
        <v>127</v>
      </c>
      <c r="AB1823" s="31" t="s">
        <v>7242</v>
      </c>
      <c r="AC1823" s="31"/>
    </row>
    <row r="1824" ht="18.75" customHeight="1">
      <c r="A1824" s="18" t="s">
        <v>7243</v>
      </c>
      <c r="B1824" s="19" t="s">
        <v>4875</v>
      </c>
      <c r="C1824" s="20">
        <v>90.0</v>
      </c>
      <c r="D1824" s="21" t="s">
        <v>7244</v>
      </c>
      <c r="E1824" s="27" t="s">
        <v>91</v>
      </c>
      <c r="F1824" s="18" t="s">
        <v>48</v>
      </c>
      <c r="G1824" s="32" t="s">
        <v>35</v>
      </c>
      <c r="H1824" s="23" t="s">
        <v>35</v>
      </c>
      <c r="I1824" s="24" t="s">
        <v>36</v>
      </c>
      <c r="J1824" s="34" t="s">
        <v>65</v>
      </c>
      <c r="K1824" s="26" t="s">
        <v>38</v>
      </c>
      <c r="L1824" s="25">
        <v>11150.0</v>
      </c>
      <c r="M1824" s="27" t="s">
        <v>6134</v>
      </c>
      <c r="N1824" s="26" t="s">
        <v>5706</v>
      </c>
      <c r="O1824" s="28">
        <v>45484.620987546296</v>
      </c>
      <c r="P1824" s="26" t="s">
        <v>6028</v>
      </c>
      <c r="Q1824" s="11"/>
      <c r="R1824" s="11"/>
      <c r="S1824" s="11"/>
      <c r="T1824" s="29">
        <v>45471.0</v>
      </c>
      <c r="U1824" s="29">
        <v>45483.0</v>
      </c>
      <c r="V1824" s="29">
        <v>45484.460451666666</v>
      </c>
      <c r="W1824" s="30"/>
      <c r="X1824" s="30"/>
      <c r="Y1824" s="31"/>
      <c r="Z1824" s="31"/>
      <c r="AA1824" s="31"/>
      <c r="AB1824" s="31" t="s">
        <v>7245</v>
      </c>
      <c r="AC1824" s="31"/>
    </row>
    <row r="1825" ht="18.75" customHeight="1">
      <c r="A1825" s="18" t="s">
        <v>7246</v>
      </c>
      <c r="B1825" s="19" t="s">
        <v>4875</v>
      </c>
      <c r="C1825" s="20">
        <v>90.0</v>
      </c>
      <c r="D1825" s="21" t="s">
        <v>7247</v>
      </c>
      <c r="E1825" s="27" t="s">
        <v>91</v>
      </c>
      <c r="F1825" s="18" t="s">
        <v>48</v>
      </c>
      <c r="G1825" s="32" t="s">
        <v>35</v>
      </c>
      <c r="H1825" s="23" t="s">
        <v>35</v>
      </c>
      <c r="I1825" s="24" t="s">
        <v>36</v>
      </c>
      <c r="J1825" s="34" t="s">
        <v>65</v>
      </c>
      <c r="K1825" s="26" t="s">
        <v>38</v>
      </c>
      <c r="L1825" s="25">
        <v>11150.0</v>
      </c>
      <c r="M1825" s="27" t="s">
        <v>6134</v>
      </c>
      <c r="N1825" s="26" t="s">
        <v>5706</v>
      </c>
      <c r="O1825" s="28">
        <v>45484.621040451384</v>
      </c>
      <c r="P1825" s="26" t="s">
        <v>6028</v>
      </c>
      <c r="Q1825" s="11"/>
      <c r="R1825" s="11"/>
      <c r="S1825" s="11"/>
      <c r="T1825" s="29">
        <v>45471.0</v>
      </c>
      <c r="U1825" s="29">
        <v>45483.0</v>
      </c>
      <c r="V1825" s="29">
        <v>45484.460471921295</v>
      </c>
      <c r="W1825" s="30"/>
      <c r="X1825" s="30"/>
      <c r="Y1825" s="31"/>
      <c r="Z1825" s="31"/>
      <c r="AA1825" s="31"/>
      <c r="AB1825" s="31" t="s">
        <v>7248</v>
      </c>
      <c r="AC1825" s="31"/>
    </row>
    <row r="1826" ht="18.75" customHeight="1">
      <c r="A1826" s="18" t="s">
        <v>7249</v>
      </c>
      <c r="B1826" s="19" t="s">
        <v>4875</v>
      </c>
      <c r="C1826" s="20">
        <v>90.0</v>
      </c>
      <c r="D1826" s="21" t="s">
        <v>7250</v>
      </c>
      <c r="E1826" s="27" t="s">
        <v>91</v>
      </c>
      <c r="F1826" s="18" t="s">
        <v>48</v>
      </c>
      <c r="G1826" s="32" t="s">
        <v>35</v>
      </c>
      <c r="H1826" s="23" t="s">
        <v>35</v>
      </c>
      <c r="I1826" s="24" t="s">
        <v>36</v>
      </c>
      <c r="J1826" s="34" t="s">
        <v>65</v>
      </c>
      <c r="K1826" s="26" t="s">
        <v>38</v>
      </c>
      <c r="L1826" s="25">
        <v>11150.0</v>
      </c>
      <c r="M1826" s="27" t="s">
        <v>6134</v>
      </c>
      <c r="N1826" s="26" t="s">
        <v>5706</v>
      </c>
      <c r="O1826" s="28">
        <v>45484.6210912963</v>
      </c>
      <c r="P1826" s="26" t="s">
        <v>6028</v>
      </c>
      <c r="Q1826" s="11"/>
      <c r="R1826" s="11"/>
      <c r="S1826" s="11"/>
      <c r="T1826" s="29">
        <v>45471.0</v>
      </c>
      <c r="U1826" s="29">
        <v>45483.0</v>
      </c>
      <c r="V1826" s="29">
        <v>45484.46048847222</v>
      </c>
      <c r="W1826" s="30"/>
      <c r="X1826" s="30"/>
      <c r="Y1826" s="31"/>
      <c r="Z1826" s="31"/>
      <c r="AA1826" s="31"/>
      <c r="AB1826" s="31" t="s">
        <v>7251</v>
      </c>
      <c r="AC1826" s="31"/>
    </row>
    <row r="1827" ht="18.75" customHeight="1">
      <c r="A1827" s="18" t="s">
        <v>7252</v>
      </c>
      <c r="B1827" s="19" t="s">
        <v>4875</v>
      </c>
      <c r="C1827" s="20">
        <v>0.0</v>
      </c>
      <c r="D1827" s="21" t="s">
        <v>7253</v>
      </c>
      <c r="E1827" s="27" t="s">
        <v>171</v>
      </c>
      <c r="F1827" s="18" t="s">
        <v>48</v>
      </c>
      <c r="G1827" s="32" t="s">
        <v>35</v>
      </c>
      <c r="H1827" s="23" t="s">
        <v>35</v>
      </c>
      <c r="I1827" s="24" t="s">
        <v>36</v>
      </c>
      <c r="J1827" s="34" t="s">
        <v>65</v>
      </c>
      <c r="K1827" s="26" t="s">
        <v>38</v>
      </c>
      <c r="L1827" s="25">
        <v>11150.0</v>
      </c>
      <c r="M1827" s="27" t="s">
        <v>6134</v>
      </c>
      <c r="N1827" s="26" t="s">
        <v>5706</v>
      </c>
      <c r="O1827" s="28">
        <v>45484.621144895835</v>
      </c>
      <c r="P1827" s="26" t="s">
        <v>6028</v>
      </c>
      <c r="Q1827" s="11"/>
      <c r="R1827" s="11"/>
      <c r="S1827" s="11"/>
      <c r="T1827" s="29">
        <v>45471.0</v>
      </c>
      <c r="U1827" s="29">
        <v>45483.0</v>
      </c>
      <c r="V1827" s="29">
        <v>45484.46023589121</v>
      </c>
      <c r="W1827" s="30"/>
      <c r="X1827" s="30"/>
      <c r="Y1827" s="31"/>
      <c r="Z1827" s="31"/>
      <c r="AA1827" s="31"/>
      <c r="AB1827" s="31" t="s">
        <v>7254</v>
      </c>
      <c r="AC1827" s="31"/>
    </row>
    <row r="1828" ht="18.75" customHeight="1">
      <c r="A1828" s="18" t="s">
        <v>7255</v>
      </c>
      <c r="B1828" s="19" t="s">
        <v>4875</v>
      </c>
      <c r="C1828" s="20">
        <v>137.0</v>
      </c>
      <c r="D1828" s="21" t="s">
        <v>7256</v>
      </c>
      <c r="E1828" s="22" t="s">
        <v>85</v>
      </c>
      <c r="F1828" s="18" t="s">
        <v>48</v>
      </c>
      <c r="G1828" s="32" t="s">
        <v>35</v>
      </c>
      <c r="H1828" s="23" t="s">
        <v>35</v>
      </c>
      <c r="I1828" s="24" t="s">
        <v>36</v>
      </c>
      <c r="J1828" s="34" t="s">
        <v>65</v>
      </c>
      <c r="K1828" s="26" t="s">
        <v>38</v>
      </c>
      <c r="L1828" s="25">
        <v>11150.0</v>
      </c>
      <c r="M1828" s="27" t="s">
        <v>6134</v>
      </c>
      <c r="N1828" s="26" t="s">
        <v>5706</v>
      </c>
      <c r="O1828" s="28">
        <v>45484.62119810186</v>
      </c>
      <c r="P1828" s="26" t="s">
        <v>6028</v>
      </c>
      <c r="Q1828" s="11"/>
      <c r="R1828" s="11"/>
      <c r="S1828" s="11"/>
      <c r="T1828" s="29">
        <v>45471.0</v>
      </c>
      <c r="U1828" s="29">
        <v>45483.0</v>
      </c>
      <c r="V1828" s="29">
        <v>45484.46024726852</v>
      </c>
      <c r="W1828" s="30"/>
      <c r="X1828" s="30"/>
      <c r="Y1828" s="31"/>
      <c r="Z1828" s="31"/>
      <c r="AA1828" s="31"/>
      <c r="AB1828" s="31" t="s">
        <v>7257</v>
      </c>
      <c r="AC1828" s="31"/>
    </row>
    <row r="1829" ht="18.75" customHeight="1">
      <c r="A1829" s="18" t="s">
        <v>7258</v>
      </c>
      <c r="B1829" s="19" t="s">
        <v>4875</v>
      </c>
      <c r="C1829" s="20">
        <v>0.0</v>
      </c>
      <c r="D1829" s="21" t="s">
        <v>7259</v>
      </c>
      <c r="E1829" s="27" t="s">
        <v>171</v>
      </c>
      <c r="F1829" s="18" t="s">
        <v>48</v>
      </c>
      <c r="G1829" s="32" t="s">
        <v>35</v>
      </c>
      <c r="H1829" s="23" t="s">
        <v>35</v>
      </c>
      <c r="I1829" s="24" t="s">
        <v>36</v>
      </c>
      <c r="J1829" s="34" t="s">
        <v>65</v>
      </c>
      <c r="K1829" s="26" t="s">
        <v>38</v>
      </c>
      <c r="L1829" s="25">
        <v>11150.0</v>
      </c>
      <c r="M1829" s="27" t="s">
        <v>6134</v>
      </c>
      <c r="N1829" s="26" t="s">
        <v>5706</v>
      </c>
      <c r="O1829" s="28">
        <v>45484.62124886574</v>
      </c>
      <c r="P1829" s="26" t="s">
        <v>6028</v>
      </c>
      <c r="Q1829" s="11"/>
      <c r="R1829" s="11"/>
      <c r="S1829" s="11"/>
      <c r="T1829" s="29">
        <v>45471.0</v>
      </c>
      <c r="U1829" s="29">
        <v>45483.0</v>
      </c>
      <c r="V1829" s="29">
        <v>45484.46025939815</v>
      </c>
      <c r="W1829" s="30"/>
      <c r="X1829" s="30"/>
      <c r="Y1829" s="31"/>
      <c r="Z1829" s="31"/>
      <c r="AA1829" s="31"/>
      <c r="AB1829" s="31" t="s">
        <v>7260</v>
      </c>
      <c r="AC1829" s="31"/>
    </row>
    <row r="1830" ht="18.75" customHeight="1">
      <c r="A1830" s="18" t="s">
        <v>7261</v>
      </c>
      <c r="B1830" s="19" t="s">
        <v>4875</v>
      </c>
      <c r="C1830" s="20">
        <v>0.0</v>
      </c>
      <c r="D1830" s="21" t="s">
        <v>7262</v>
      </c>
      <c r="E1830" s="27" t="s">
        <v>171</v>
      </c>
      <c r="F1830" s="18" t="s">
        <v>48</v>
      </c>
      <c r="G1830" s="32" t="s">
        <v>35</v>
      </c>
      <c r="H1830" s="23" t="s">
        <v>35</v>
      </c>
      <c r="I1830" s="24" t="s">
        <v>36</v>
      </c>
      <c r="J1830" s="34" t="s">
        <v>65</v>
      </c>
      <c r="K1830" s="26" t="s">
        <v>38</v>
      </c>
      <c r="L1830" s="25">
        <v>11150.0</v>
      </c>
      <c r="M1830" s="27" t="s">
        <v>6134</v>
      </c>
      <c r="N1830" s="26" t="s">
        <v>5706</v>
      </c>
      <c r="O1830" s="28">
        <v>45484.62129755787</v>
      </c>
      <c r="P1830" s="26" t="s">
        <v>6028</v>
      </c>
      <c r="Q1830" s="11"/>
      <c r="R1830" s="11"/>
      <c r="S1830" s="11"/>
      <c r="T1830" s="29">
        <v>45471.0</v>
      </c>
      <c r="U1830" s="29">
        <v>45483.0</v>
      </c>
      <c r="V1830" s="29">
        <v>45484.460272638884</v>
      </c>
      <c r="W1830" s="30"/>
      <c r="X1830" s="30"/>
      <c r="Y1830" s="31"/>
      <c r="Z1830" s="31"/>
      <c r="AA1830" s="31"/>
      <c r="AB1830" s="31" t="s">
        <v>7263</v>
      </c>
      <c r="AC1830" s="31"/>
    </row>
    <row r="1831" ht="18.75" customHeight="1">
      <c r="A1831" s="18" t="s">
        <v>7264</v>
      </c>
      <c r="B1831" s="19" t="s">
        <v>4875</v>
      </c>
      <c r="C1831" s="20">
        <v>0.0</v>
      </c>
      <c r="D1831" s="21" t="s">
        <v>7265</v>
      </c>
      <c r="E1831" s="27" t="s">
        <v>171</v>
      </c>
      <c r="F1831" s="18" t="s">
        <v>48</v>
      </c>
      <c r="G1831" s="32" t="s">
        <v>35</v>
      </c>
      <c r="H1831" s="23" t="s">
        <v>35</v>
      </c>
      <c r="I1831" s="24" t="s">
        <v>36</v>
      </c>
      <c r="J1831" s="34" t="s">
        <v>65</v>
      </c>
      <c r="K1831" s="26" t="s">
        <v>38</v>
      </c>
      <c r="L1831" s="25">
        <v>11150.0</v>
      </c>
      <c r="M1831" s="27" t="s">
        <v>6134</v>
      </c>
      <c r="N1831" s="26" t="s">
        <v>5706</v>
      </c>
      <c r="O1831" s="28">
        <v>45484.62134880787</v>
      </c>
      <c r="P1831" s="26" t="s">
        <v>6028</v>
      </c>
      <c r="Q1831" s="11"/>
      <c r="R1831" s="11"/>
      <c r="S1831" s="11"/>
      <c r="T1831" s="29">
        <v>45471.0</v>
      </c>
      <c r="U1831" s="29">
        <v>45483.0</v>
      </c>
      <c r="V1831" s="29">
        <v>45484.460282500004</v>
      </c>
      <c r="W1831" s="30"/>
      <c r="X1831" s="30"/>
      <c r="Y1831" s="31"/>
      <c r="Z1831" s="31"/>
      <c r="AA1831" s="31"/>
      <c r="AB1831" s="31" t="s">
        <v>7266</v>
      </c>
      <c r="AC1831" s="31"/>
    </row>
    <row r="1832" ht="18.75" customHeight="1">
      <c r="A1832" s="18" t="s">
        <v>7267</v>
      </c>
      <c r="B1832" s="19" t="s">
        <v>4875</v>
      </c>
      <c r="C1832" s="20">
        <v>0.0</v>
      </c>
      <c r="D1832" s="21" t="s">
        <v>7268</v>
      </c>
      <c r="E1832" s="27" t="s">
        <v>171</v>
      </c>
      <c r="F1832" s="18" t="s">
        <v>48</v>
      </c>
      <c r="G1832" s="32" t="s">
        <v>35</v>
      </c>
      <c r="H1832" s="23" t="s">
        <v>35</v>
      </c>
      <c r="I1832" s="24" t="s">
        <v>36</v>
      </c>
      <c r="J1832" s="34" t="s">
        <v>65</v>
      </c>
      <c r="K1832" s="26" t="s">
        <v>38</v>
      </c>
      <c r="L1832" s="25">
        <v>11150.0</v>
      </c>
      <c r="M1832" s="27" t="s">
        <v>6134</v>
      </c>
      <c r="N1832" s="26" t="s">
        <v>5706</v>
      </c>
      <c r="O1832" s="28">
        <v>45484.621402164354</v>
      </c>
      <c r="P1832" s="26" t="s">
        <v>6028</v>
      </c>
      <c r="Q1832" s="11"/>
      <c r="R1832" s="11"/>
      <c r="S1832" s="11"/>
      <c r="T1832" s="29">
        <v>45471.0</v>
      </c>
      <c r="U1832" s="29">
        <v>45483.0</v>
      </c>
      <c r="V1832" s="29">
        <v>45484.460290902774</v>
      </c>
      <c r="W1832" s="30"/>
      <c r="X1832" s="30"/>
      <c r="Y1832" s="31"/>
      <c r="Z1832" s="31"/>
      <c r="AA1832" s="31"/>
      <c r="AB1832" s="31" t="s">
        <v>7269</v>
      </c>
      <c r="AC1832" s="31"/>
    </row>
    <row r="1833" ht="18.75" customHeight="1">
      <c r="A1833" s="18" t="s">
        <v>7270</v>
      </c>
      <c r="B1833" s="19" t="s">
        <v>4875</v>
      </c>
      <c r="C1833" s="20">
        <v>0.0</v>
      </c>
      <c r="D1833" s="21" t="s">
        <v>7271</v>
      </c>
      <c r="E1833" s="27" t="s">
        <v>171</v>
      </c>
      <c r="F1833" s="18" t="s">
        <v>48</v>
      </c>
      <c r="G1833" s="32" t="s">
        <v>35</v>
      </c>
      <c r="H1833" s="23" t="s">
        <v>35</v>
      </c>
      <c r="I1833" s="24" t="s">
        <v>36</v>
      </c>
      <c r="J1833" s="34" t="s">
        <v>65</v>
      </c>
      <c r="K1833" s="26" t="s">
        <v>38</v>
      </c>
      <c r="L1833" s="25">
        <v>11150.0</v>
      </c>
      <c r="M1833" s="27" t="s">
        <v>6134</v>
      </c>
      <c r="N1833" s="26" t="s">
        <v>5706</v>
      </c>
      <c r="O1833" s="28">
        <v>45484.621456458335</v>
      </c>
      <c r="P1833" s="26" t="s">
        <v>6028</v>
      </c>
      <c r="Q1833" s="11"/>
      <c r="R1833" s="11"/>
      <c r="S1833" s="11"/>
      <c r="T1833" s="29">
        <v>45471.0</v>
      </c>
      <c r="U1833" s="29">
        <v>45483.0</v>
      </c>
      <c r="V1833" s="29">
        <v>45484.46030228009</v>
      </c>
      <c r="W1833" s="30"/>
      <c r="X1833" s="30"/>
      <c r="Y1833" s="31"/>
      <c r="Z1833" s="31"/>
      <c r="AA1833" s="31"/>
      <c r="AB1833" s="31" t="s">
        <v>7272</v>
      </c>
      <c r="AC1833" s="31"/>
    </row>
    <row r="1834" ht="18.75" customHeight="1">
      <c r="A1834" s="18" t="s">
        <v>7273</v>
      </c>
      <c r="B1834" s="19" t="s">
        <v>4875</v>
      </c>
      <c r="C1834" s="20">
        <v>0.0</v>
      </c>
      <c r="D1834" s="21" t="s">
        <v>7274</v>
      </c>
      <c r="E1834" s="27" t="s">
        <v>171</v>
      </c>
      <c r="F1834" s="18" t="s">
        <v>48</v>
      </c>
      <c r="G1834" s="32" t="s">
        <v>35</v>
      </c>
      <c r="H1834" s="23" t="s">
        <v>35</v>
      </c>
      <c r="I1834" s="24" t="s">
        <v>36</v>
      </c>
      <c r="J1834" s="34" t="s">
        <v>65</v>
      </c>
      <c r="K1834" s="26" t="s">
        <v>38</v>
      </c>
      <c r="L1834" s="25">
        <v>11150.0</v>
      </c>
      <c r="M1834" s="27" t="s">
        <v>6134</v>
      </c>
      <c r="N1834" s="26" t="s">
        <v>5706</v>
      </c>
      <c r="O1834" s="28">
        <v>45484.621508842596</v>
      </c>
      <c r="P1834" s="26" t="s">
        <v>6028</v>
      </c>
      <c r="Q1834" s="11"/>
      <c r="R1834" s="11"/>
      <c r="S1834" s="11"/>
      <c r="T1834" s="29">
        <v>45471.0</v>
      </c>
      <c r="U1834" s="29">
        <v>45483.0</v>
      </c>
      <c r="V1834" s="29">
        <v>45484.460321238425</v>
      </c>
      <c r="W1834" s="30"/>
      <c r="X1834" s="30"/>
      <c r="Y1834" s="31"/>
      <c r="Z1834" s="31"/>
      <c r="AA1834" s="31"/>
      <c r="AB1834" s="31" t="s">
        <v>7275</v>
      </c>
      <c r="AC1834" s="31"/>
    </row>
    <row r="1835" ht="18.75" customHeight="1">
      <c r="A1835" s="18" t="s">
        <v>7276</v>
      </c>
      <c r="B1835" s="19" t="s">
        <v>4875</v>
      </c>
      <c r="C1835" s="20">
        <v>137.0</v>
      </c>
      <c r="D1835" s="21" t="s">
        <v>7277</v>
      </c>
      <c r="E1835" s="22" t="s">
        <v>85</v>
      </c>
      <c r="F1835" s="18" t="s">
        <v>48</v>
      </c>
      <c r="G1835" s="32" t="s">
        <v>35</v>
      </c>
      <c r="H1835" s="23" t="s">
        <v>35</v>
      </c>
      <c r="I1835" s="24" t="s">
        <v>36</v>
      </c>
      <c r="J1835" s="34" t="s">
        <v>65</v>
      </c>
      <c r="K1835" s="26" t="s">
        <v>38</v>
      </c>
      <c r="L1835" s="25">
        <v>11150.0</v>
      </c>
      <c r="M1835" s="27" t="s">
        <v>6134</v>
      </c>
      <c r="N1835" s="26" t="s">
        <v>5706</v>
      </c>
      <c r="O1835" s="28">
        <v>45484.62155642361</v>
      </c>
      <c r="P1835" s="26" t="s">
        <v>6028</v>
      </c>
      <c r="Q1835" s="11"/>
      <c r="R1835" s="11"/>
      <c r="S1835" s="11"/>
      <c r="T1835" s="29">
        <v>45471.0</v>
      </c>
      <c r="U1835" s="29">
        <v>45483.0</v>
      </c>
      <c r="V1835" s="29">
        <v>45484.46034194445</v>
      </c>
      <c r="W1835" s="30"/>
      <c r="X1835" s="30"/>
      <c r="Y1835" s="31"/>
      <c r="Z1835" s="31"/>
      <c r="AA1835" s="31"/>
      <c r="AB1835" s="31" t="s">
        <v>7278</v>
      </c>
      <c r="AC1835" s="31"/>
    </row>
    <row r="1836" ht="18.75" customHeight="1">
      <c r="A1836" s="18" t="s">
        <v>7279</v>
      </c>
      <c r="B1836" s="19" t="s">
        <v>4875</v>
      </c>
      <c r="C1836" s="20">
        <v>0.0</v>
      </c>
      <c r="D1836" s="21"/>
      <c r="E1836" s="27" t="s">
        <v>1693</v>
      </c>
      <c r="F1836" s="18" t="s">
        <v>48</v>
      </c>
      <c r="G1836" s="32" t="s">
        <v>35</v>
      </c>
      <c r="H1836" s="23" t="s">
        <v>35</v>
      </c>
      <c r="I1836" s="24" t="s">
        <v>665</v>
      </c>
      <c r="J1836" s="34" t="s">
        <v>65</v>
      </c>
      <c r="K1836" s="26" t="s">
        <v>38</v>
      </c>
      <c r="L1836" s="25">
        <v>11150.0</v>
      </c>
      <c r="M1836" s="27" t="s">
        <v>6134</v>
      </c>
      <c r="N1836" s="26" t="s">
        <v>5706</v>
      </c>
      <c r="O1836" s="28">
        <v>45484.62161084491</v>
      </c>
      <c r="P1836" s="143" t="s">
        <v>7280</v>
      </c>
      <c r="Q1836" s="11"/>
      <c r="R1836" s="11"/>
      <c r="S1836" s="11"/>
      <c r="T1836" s="29">
        <v>45471.0</v>
      </c>
      <c r="U1836" s="29">
        <v>45483.0</v>
      </c>
      <c r="V1836" s="29">
        <v>45484.46414125</v>
      </c>
      <c r="W1836" s="30"/>
      <c r="X1836" s="30"/>
      <c r="Y1836" s="31"/>
      <c r="Z1836" s="31"/>
      <c r="AA1836" s="31"/>
      <c r="AB1836" s="31" t="s">
        <v>7281</v>
      </c>
      <c r="AC1836" s="31"/>
    </row>
    <row r="1837" ht="18.75" customHeight="1">
      <c r="A1837" s="18" t="s">
        <v>7282</v>
      </c>
      <c r="B1837" s="19" t="s">
        <v>4875</v>
      </c>
      <c r="C1837" s="20">
        <v>0.0</v>
      </c>
      <c r="D1837" s="21"/>
      <c r="E1837" s="27" t="s">
        <v>1693</v>
      </c>
      <c r="F1837" s="18" t="s">
        <v>48</v>
      </c>
      <c r="G1837" s="32" t="s">
        <v>35</v>
      </c>
      <c r="H1837" s="23" t="s">
        <v>35</v>
      </c>
      <c r="I1837" s="24" t="s">
        <v>665</v>
      </c>
      <c r="J1837" s="34" t="s">
        <v>65</v>
      </c>
      <c r="K1837" s="26" t="s">
        <v>38</v>
      </c>
      <c r="L1837" s="25">
        <v>11150.0</v>
      </c>
      <c r="M1837" s="27" t="s">
        <v>6134</v>
      </c>
      <c r="N1837" s="26" t="s">
        <v>5706</v>
      </c>
      <c r="O1837" s="28">
        <v>45484.621662743055</v>
      </c>
      <c r="P1837" s="144" t="s">
        <v>7283</v>
      </c>
      <c r="Q1837" s="11"/>
      <c r="R1837" s="11"/>
      <c r="S1837" s="11"/>
      <c r="T1837" s="29">
        <v>45471.0</v>
      </c>
      <c r="U1837" s="29">
        <v>45483.0</v>
      </c>
      <c r="V1837" s="29">
        <v>45484.464216504624</v>
      </c>
      <c r="W1837" s="30"/>
      <c r="X1837" s="30"/>
      <c r="Y1837" s="31"/>
      <c r="Z1837" s="31"/>
      <c r="AA1837" s="31"/>
      <c r="AB1837" s="31" t="s">
        <v>7284</v>
      </c>
      <c r="AC1837" s="31"/>
    </row>
    <row r="1838" ht="18.75" customHeight="1">
      <c r="A1838" s="18" t="s">
        <v>7285</v>
      </c>
      <c r="B1838" s="19" t="s">
        <v>7286</v>
      </c>
      <c r="C1838" s="20">
        <v>90.0</v>
      </c>
      <c r="D1838" s="21" t="s">
        <v>7287</v>
      </c>
      <c r="E1838" s="27" t="s">
        <v>91</v>
      </c>
      <c r="F1838" s="18" t="s">
        <v>48</v>
      </c>
      <c r="G1838" s="32" t="s">
        <v>35</v>
      </c>
      <c r="H1838" s="23" t="s">
        <v>35</v>
      </c>
      <c r="I1838" s="24" t="s">
        <v>36</v>
      </c>
      <c r="J1838" s="34" t="s">
        <v>65</v>
      </c>
      <c r="K1838" s="26" t="s">
        <v>38</v>
      </c>
      <c r="L1838" s="25">
        <v>11070.0</v>
      </c>
      <c r="M1838" s="27" t="s">
        <v>50</v>
      </c>
      <c r="N1838" s="26" t="s">
        <v>5279</v>
      </c>
      <c r="O1838" s="28">
        <v>45474.61162694445</v>
      </c>
      <c r="P1838" s="26" t="s">
        <v>6028</v>
      </c>
      <c r="Q1838" s="11"/>
      <c r="R1838" s="11"/>
      <c r="S1838" s="11"/>
      <c r="T1838" s="29">
        <v>45471.0</v>
      </c>
      <c r="U1838" s="29">
        <v>45474.0</v>
      </c>
      <c r="V1838" s="29">
        <v>45474.4520334838</v>
      </c>
      <c r="W1838" s="30"/>
      <c r="X1838" s="30"/>
      <c r="Y1838" s="31"/>
      <c r="Z1838" s="31"/>
      <c r="AA1838" s="31" t="s">
        <v>94</v>
      </c>
      <c r="AB1838" s="31" t="s">
        <v>7288</v>
      </c>
      <c r="AC1838" s="31"/>
    </row>
    <row r="1839" ht="18.75" customHeight="1">
      <c r="A1839" s="18" t="s">
        <v>7289</v>
      </c>
      <c r="B1839" s="19" t="s">
        <v>4885</v>
      </c>
      <c r="C1839" s="20">
        <v>90.0</v>
      </c>
      <c r="D1839" s="21" t="s">
        <v>7290</v>
      </c>
      <c r="E1839" s="27" t="s">
        <v>91</v>
      </c>
      <c r="F1839" s="18" t="s">
        <v>48</v>
      </c>
      <c r="G1839" s="32" t="s">
        <v>35</v>
      </c>
      <c r="H1839" s="23" t="s">
        <v>35</v>
      </c>
      <c r="I1839" s="24" t="s">
        <v>36</v>
      </c>
      <c r="J1839" s="25" t="s">
        <v>92</v>
      </c>
      <c r="K1839" s="26" t="s">
        <v>38</v>
      </c>
      <c r="L1839" s="25">
        <v>11080.0</v>
      </c>
      <c r="M1839" s="27" t="s">
        <v>50</v>
      </c>
      <c r="N1839" s="26" t="s">
        <v>7291</v>
      </c>
      <c r="O1839" s="28">
        <v>45475.617517708335</v>
      </c>
      <c r="P1839" s="26" t="s">
        <v>6028</v>
      </c>
      <c r="Q1839" s="11"/>
      <c r="R1839" s="11"/>
      <c r="S1839" s="11"/>
      <c r="T1839" s="29">
        <v>45474.0</v>
      </c>
      <c r="U1839" s="29">
        <v>45475.0</v>
      </c>
      <c r="V1839" s="29">
        <v>45475.447076446755</v>
      </c>
      <c r="W1839" s="30"/>
      <c r="X1839" s="30"/>
      <c r="Y1839" s="31"/>
      <c r="Z1839" s="31"/>
      <c r="AA1839" s="31" t="s">
        <v>120</v>
      </c>
      <c r="AB1839" s="31" t="s">
        <v>7292</v>
      </c>
      <c r="AC1839" s="31"/>
    </row>
    <row r="1840" ht="18.75" customHeight="1">
      <c r="A1840" s="18" t="s">
        <v>7293</v>
      </c>
      <c r="B1840" s="19" t="s">
        <v>5469</v>
      </c>
      <c r="C1840" s="20">
        <v>11.0</v>
      </c>
      <c r="D1840" s="21" t="s">
        <v>7294</v>
      </c>
      <c r="E1840" s="27" t="s">
        <v>112</v>
      </c>
      <c r="F1840" s="18" t="s">
        <v>48</v>
      </c>
      <c r="G1840" s="32" t="s">
        <v>35</v>
      </c>
      <c r="H1840" s="23" t="s">
        <v>35</v>
      </c>
      <c r="I1840" s="24" t="s">
        <v>36</v>
      </c>
      <c r="J1840" s="25" t="s">
        <v>49</v>
      </c>
      <c r="K1840" s="26" t="s">
        <v>38</v>
      </c>
      <c r="L1840" s="25">
        <v>11082.0</v>
      </c>
      <c r="M1840" s="27" t="s">
        <v>50</v>
      </c>
      <c r="N1840" s="26" t="s">
        <v>6547</v>
      </c>
      <c r="O1840" s="28">
        <v>45475.60896537037</v>
      </c>
      <c r="P1840" s="26" t="s">
        <v>6028</v>
      </c>
      <c r="Q1840" s="11"/>
      <c r="R1840" s="11"/>
      <c r="S1840" s="11"/>
      <c r="T1840" s="29">
        <v>45474.0</v>
      </c>
      <c r="U1840" s="29">
        <v>45475.0</v>
      </c>
      <c r="V1840" s="29">
        <v>45475.510090462965</v>
      </c>
      <c r="W1840" s="30"/>
      <c r="X1840" s="30"/>
      <c r="Y1840" s="31"/>
      <c r="Z1840" s="31"/>
      <c r="AA1840" s="31" t="s">
        <v>102</v>
      </c>
      <c r="AB1840" s="31" t="s">
        <v>7295</v>
      </c>
      <c r="AC1840" s="31"/>
    </row>
    <row r="1841" ht="18.75" customHeight="1">
      <c r="A1841" s="18" t="s">
        <v>7296</v>
      </c>
      <c r="B1841" s="19" t="s">
        <v>5469</v>
      </c>
      <c r="C1841" s="20">
        <v>11.0</v>
      </c>
      <c r="D1841" s="21" t="s">
        <v>7297</v>
      </c>
      <c r="E1841" s="27" t="s">
        <v>112</v>
      </c>
      <c r="F1841" s="18" t="s">
        <v>48</v>
      </c>
      <c r="G1841" s="32" t="s">
        <v>35</v>
      </c>
      <c r="H1841" s="23" t="s">
        <v>35</v>
      </c>
      <c r="I1841" s="24" t="s">
        <v>36</v>
      </c>
      <c r="J1841" s="25" t="s">
        <v>49</v>
      </c>
      <c r="K1841" s="26" t="s">
        <v>38</v>
      </c>
      <c r="L1841" s="25">
        <v>11083.0</v>
      </c>
      <c r="M1841" s="27" t="s">
        <v>50</v>
      </c>
      <c r="N1841" s="26" t="s">
        <v>6547</v>
      </c>
      <c r="O1841" s="28">
        <v>45475.60882403935</v>
      </c>
      <c r="P1841" s="26" t="s">
        <v>6028</v>
      </c>
      <c r="Q1841" s="11"/>
      <c r="R1841" s="11"/>
      <c r="S1841" s="11"/>
      <c r="T1841" s="29">
        <v>45474.0</v>
      </c>
      <c r="U1841" s="29">
        <v>45475.0</v>
      </c>
      <c r="V1841" s="29">
        <v>45475.5104912963</v>
      </c>
      <c r="W1841" s="30"/>
      <c r="X1841" s="30"/>
      <c r="Y1841" s="31"/>
      <c r="Z1841" s="31"/>
      <c r="AA1841" s="31" t="s">
        <v>102</v>
      </c>
      <c r="AB1841" s="31" t="s">
        <v>7298</v>
      </c>
      <c r="AC1841" s="31"/>
    </row>
    <row r="1842" ht="18.75" customHeight="1">
      <c r="A1842" s="18" t="s">
        <v>7299</v>
      </c>
      <c r="B1842" s="19" t="s">
        <v>5650</v>
      </c>
      <c r="C1842" s="20">
        <v>0.0</v>
      </c>
      <c r="D1842" s="21" t="s">
        <v>7300</v>
      </c>
      <c r="E1842" s="27" t="s">
        <v>171</v>
      </c>
      <c r="F1842" s="18" t="s">
        <v>48</v>
      </c>
      <c r="G1842" s="32" t="s">
        <v>35</v>
      </c>
      <c r="H1842" s="23" t="s">
        <v>35</v>
      </c>
      <c r="I1842" s="24" t="s">
        <v>36</v>
      </c>
      <c r="J1842" s="25" t="s">
        <v>49</v>
      </c>
      <c r="K1842" s="26" t="s">
        <v>38</v>
      </c>
      <c r="L1842" s="25">
        <v>11079.0</v>
      </c>
      <c r="M1842" s="27" t="s">
        <v>50</v>
      </c>
      <c r="N1842" s="26" t="s">
        <v>6547</v>
      </c>
      <c r="O1842" s="28">
        <v>45475.60890186342</v>
      </c>
      <c r="P1842" s="26" t="s">
        <v>6028</v>
      </c>
      <c r="Q1842" s="11"/>
      <c r="R1842" s="11"/>
      <c r="S1842" s="11"/>
      <c r="T1842" s="29">
        <v>45474.0</v>
      </c>
      <c r="U1842" s="29">
        <v>45475.0</v>
      </c>
      <c r="V1842" s="29">
        <v>45475.50123563658</v>
      </c>
      <c r="W1842" s="30"/>
      <c r="X1842" s="30"/>
      <c r="Y1842" s="31"/>
      <c r="Z1842" s="31"/>
      <c r="AA1842" s="31" t="s">
        <v>102</v>
      </c>
      <c r="AB1842" s="31" t="s">
        <v>7301</v>
      </c>
      <c r="AC1842" s="31"/>
    </row>
    <row r="1843" ht="18.75" customHeight="1">
      <c r="A1843" s="18" t="s">
        <v>7302</v>
      </c>
      <c r="B1843" s="19" t="s">
        <v>7303</v>
      </c>
      <c r="C1843" s="20">
        <v>137.0</v>
      </c>
      <c r="D1843" s="21" t="s">
        <v>7304</v>
      </c>
      <c r="E1843" s="27" t="s">
        <v>85</v>
      </c>
      <c r="F1843" s="18" t="s">
        <v>48</v>
      </c>
      <c r="G1843" s="32" t="s">
        <v>35</v>
      </c>
      <c r="H1843" s="23" t="s">
        <v>35</v>
      </c>
      <c r="I1843" s="24" t="s">
        <v>36</v>
      </c>
      <c r="J1843" s="25" t="s">
        <v>49</v>
      </c>
      <c r="K1843" s="26" t="s">
        <v>38</v>
      </c>
      <c r="L1843" s="25">
        <v>11096.0</v>
      </c>
      <c r="M1843" s="27" t="s">
        <v>50</v>
      </c>
      <c r="N1843" s="26" t="s">
        <v>6547</v>
      </c>
      <c r="O1843" s="28">
        <v>45476.61030885417</v>
      </c>
      <c r="P1843" s="26" t="s">
        <v>6028</v>
      </c>
      <c r="Q1843" s="11"/>
      <c r="R1843" s="11"/>
      <c r="S1843" s="11"/>
      <c r="T1843" s="29">
        <v>45474.0</v>
      </c>
      <c r="U1843" s="29">
        <v>45475.0</v>
      </c>
      <c r="V1843" s="29">
        <v>45476.432051157404</v>
      </c>
      <c r="W1843" s="30"/>
      <c r="X1843" s="30"/>
      <c r="Y1843" s="31"/>
      <c r="Z1843" s="31"/>
      <c r="AA1843" s="31" t="s">
        <v>102</v>
      </c>
      <c r="AB1843" s="31" t="s">
        <v>7305</v>
      </c>
      <c r="AC1843" s="31"/>
    </row>
    <row r="1844" ht="18.75" customHeight="1">
      <c r="A1844" s="48" t="s">
        <v>7306</v>
      </c>
      <c r="B1844" s="53" t="s">
        <v>7307</v>
      </c>
      <c r="C1844" s="47">
        <v>1.0</v>
      </c>
      <c r="D1844" s="70" t="s">
        <v>7308</v>
      </c>
      <c r="E1844" s="55" t="s">
        <v>3395</v>
      </c>
      <c r="F1844" s="32" t="s">
        <v>48</v>
      </c>
      <c r="G1844" s="32" t="s">
        <v>35</v>
      </c>
      <c r="H1844" s="71" t="s">
        <v>35</v>
      </c>
      <c r="I1844" s="71" t="s">
        <v>36</v>
      </c>
      <c r="J1844" s="34" t="s">
        <v>49</v>
      </c>
      <c r="K1844" s="57" t="s">
        <v>38</v>
      </c>
      <c r="L1844" s="72">
        <v>11086.0</v>
      </c>
      <c r="M1844" s="22"/>
      <c r="N1844" s="73"/>
      <c r="O1844" s="28">
        <v>45394.0</v>
      </c>
      <c r="P1844" s="35" t="s">
        <v>7309</v>
      </c>
      <c r="Q1844" s="12"/>
      <c r="R1844" s="12"/>
      <c r="S1844" s="12"/>
      <c r="T1844" s="52">
        <v>45474.0</v>
      </c>
      <c r="U1844" s="52">
        <v>45384.0</v>
      </c>
      <c r="V1844" s="52">
        <v>45385.0</v>
      </c>
      <c r="W1844" s="30"/>
      <c r="X1844" s="30"/>
      <c r="Y1844" s="31"/>
      <c r="Z1844" s="31"/>
      <c r="AA1844" s="78" t="s">
        <v>94</v>
      </c>
      <c r="AB1844" s="74" t="s">
        <v>7310</v>
      </c>
      <c r="AC1844" s="74"/>
    </row>
    <row r="1845" ht="18.75" customHeight="1">
      <c r="A1845" s="18" t="s">
        <v>7311</v>
      </c>
      <c r="B1845" s="19" t="s">
        <v>7312</v>
      </c>
      <c r="C1845" s="20">
        <v>90.0</v>
      </c>
      <c r="D1845" s="21" t="s">
        <v>7313</v>
      </c>
      <c r="E1845" s="27" t="s">
        <v>91</v>
      </c>
      <c r="F1845" s="18" t="s">
        <v>48</v>
      </c>
      <c r="G1845" s="32" t="s">
        <v>35</v>
      </c>
      <c r="H1845" s="23" t="s">
        <v>35</v>
      </c>
      <c r="I1845" s="24" t="s">
        <v>36</v>
      </c>
      <c r="J1845" s="25" t="s">
        <v>49</v>
      </c>
      <c r="K1845" s="26" t="s">
        <v>7314</v>
      </c>
      <c r="L1845" s="25">
        <v>11097.0</v>
      </c>
      <c r="M1845" s="27" t="s">
        <v>50</v>
      </c>
      <c r="N1845" s="26" t="s">
        <v>6547</v>
      </c>
      <c r="O1845" s="28">
        <v>45476.611126250005</v>
      </c>
      <c r="P1845" s="26" t="s">
        <v>6028</v>
      </c>
      <c r="Q1845" s="11"/>
      <c r="R1845" s="11"/>
      <c r="S1845" s="11"/>
      <c r="T1845" s="29">
        <v>45474.0</v>
      </c>
      <c r="U1845" s="29">
        <v>45475.0</v>
      </c>
      <c r="V1845" s="29">
        <v>45476.428991354165</v>
      </c>
      <c r="W1845" s="30"/>
      <c r="X1845" s="30"/>
      <c r="Y1845" s="31"/>
      <c r="Z1845" s="31"/>
      <c r="AA1845" s="31" t="s">
        <v>108</v>
      </c>
      <c r="AB1845" s="31" t="s">
        <v>7315</v>
      </c>
      <c r="AC1845" s="31"/>
    </row>
    <row r="1846" ht="18.75" customHeight="1">
      <c r="A1846" s="18" t="s">
        <v>7316</v>
      </c>
      <c r="B1846" s="19" t="s">
        <v>7317</v>
      </c>
      <c r="C1846" s="20">
        <v>90.0</v>
      </c>
      <c r="D1846" s="21" t="s">
        <v>7318</v>
      </c>
      <c r="E1846" s="27" t="s">
        <v>91</v>
      </c>
      <c r="F1846" s="18" t="s">
        <v>48</v>
      </c>
      <c r="G1846" s="32" t="s">
        <v>35</v>
      </c>
      <c r="H1846" s="23" t="s">
        <v>35</v>
      </c>
      <c r="I1846" s="24" t="s">
        <v>36</v>
      </c>
      <c r="J1846" s="25" t="s">
        <v>49</v>
      </c>
      <c r="K1846" s="26" t="s">
        <v>805</v>
      </c>
      <c r="L1846" s="25">
        <v>11098.0</v>
      </c>
      <c r="M1846" s="27" t="s">
        <v>50</v>
      </c>
      <c r="N1846" s="26" t="s">
        <v>6547</v>
      </c>
      <c r="O1846" s="28">
        <v>45476.61047571759</v>
      </c>
      <c r="P1846" s="26" t="s">
        <v>6028</v>
      </c>
      <c r="Q1846" s="11"/>
      <c r="R1846" s="11"/>
      <c r="S1846" s="11"/>
      <c r="T1846" s="29">
        <v>45475.0</v>
      </c>
      <c r="U1846" s="29">
        <v>45475.0</v>
      </c>
      <c r="V1846" s="29">
        <v>45476.42900260417</v>
      </c>
      <c r="W1846" s="30"/>
      <c r="X1846" s="30"/>
      <c r="Y1846" s="31"/>
      <c r="Z1846" s="31"/>
      <c r="AA1846" s="31" t="s">
        <v>3385</v>
      </c>
      <c r="AB1846" s="31" t="s">
        <v>7319</v>
      </c>
      <c r="AC1846" s="31"/>
    </row>
    <row r="1847" ht="18.75" customHeight="1">
      <c r="A1847" s="18" t="s">
        <v>7320</v>
      </c>
      <c r="B1847" s="19" t="s">
        <v>7321</v>
      </c>
      <c r="C1847" s="20">
        <v>90.0</v>
      </c>
      <c r="D1847" s="21" t="s">
        <v>7322</v>
      </c>
      <c r="E1847" s="27" t="s">
        <v>91</v>
      </c>
      <c r="F1847" s="18" t="s">
        <v>48</v>
      </c>
      <c r="G1847" s="32" t="s">
        <v>35</v>
      </c>
      <c r="H1847" s="23" t="s">
        <v>35</v>
      </c>
      <c r="I1847" s="24" t="s">
        <v>36</v>
      </c>
      <c r="J1847" s="34" t="s">
        <v>65</v>
      </c>
      <c r="K1847" s="26" t="s">
        <v>38</v>
      </c>
      <c r="L1847" s="25">
        <v>11088.0</v>
      </c>
      <c r="M1847" s="27" t="s">
        <v>50</v>
      </c>
      <c r="N1847" s="26" t="s">
        <v>5706</v>
      </c>
      <c r="O1847" s="28">
        <v>45475.71076592593</v>
      </c>
      <c r="P1847" s="26" t="s">
        <v>6028</v>
      </c>
      <c r="Q1847" s="11"/>
      <c r="R1847" s="11"/>
      <c r="S1847" s="11"/>
      <c r="T1847" s="29">
        <v>45475.0</v>
      </c>
      <c r="U1847" s="29">
        <v>45475.0</v>
      </c>
      <c r="V1847" s="29">
        <v>45475.594395520835</v>
      </c>
      <c r="W1847" s="30"/>
      <c r="X1847" s="30"/>
      <c r="Y1847" s="31"/>
      <c r="Z1847" s="31"/>
      <c r="AA1847" s="31" t="s">
        <v>94</v>
      </c>
      <c r="AB1847" s="31" t="s">
        <v>7323</v>
      </c>
      <c r="AC1847" s="31"/>
    </row>
    <row r="1848" ht="18.75" customHeight="1">
      <c r="A1848" s="48" t="s">
        <v>7324</v>
      </c>
      <c r="B1848" s="53" t="s">
        <v>83</v>
      </c>
      <c r="C1848" s="47">
        <v>11.0</v>
      </c>
      <c r="D1848" s="70" t="s">
        <v>7325</v>
      </c>
      <c r="E1848" s="55" t="s">
        <v>112</v>
      </c>
      <c r="F1848" s="32" t="s">
        <v>48</v>
      </c>
      <c r="G1848" s="32" t="s">
        <v>35</v>
      </c>
      <c r="H1848" s="71" t="s">
        <v>35</v>
      </c>
      <c r="I1848" s="71" t="s">
        <v>36</v>
      </c>
      <c r="J1848" s="34" t="s">
        <v>49</v>
      </c>
      <c r="K1848" s="57" t="s">
        <v>38</v>
      </c>
      <c r="L1848" s="72"/>
      <c r="M1848" s="22"/>
      <c r="N1848" s="73"/>
      <c r="O1848" s="28">
        <v>45394.0</v>
      </c>
      <c r="P1848" s="35" t="s">
        <v>7326</v>
      </c>
      <c r="Q1848" s="12"/>
      <c r="R1848" s="12"/>
      <c r="S1848" s="12"/>
      <c r="T1848" s="52">
        <v>45440.0</v>
      </c>
      <c r="U1848" s="52">
        <v>45384.0</v>
      </c>
      <c r="V1848" s="52">
        <v>45385.0</v>
      </c>
      <c r="W1848" s="30"/>
      <c r="X1848" s="30"/>
      <c r="Y1848" s="31"/>
      <c r="Z1848" s="31"/>
      <c r="AA1848" s="31"/>
      <c r="AB1848" s="74" t="s">
        <v>7327</v>
      </c>
      <c r="AC1848" s="74"/>
    </row>
    <row r="1849" ht="18.75" customHeight="1">
      <c r="A1849" s="48" t="s">
        <v>7328</v>
      </c>
      <c r="B1849" s="53" t="s">
        <v>83</v>
      </c>
      <c r="C1849" s="47">
        <v>11.0</v>
      </c>
      <c r="D1849" s="70" t="s">
        <v>7329</v>
      </c>
      <c r="E1849" s="55" t="s">
        <v>112</v>
      </c>
      <c r="F1849" s="32" t="s">
        <v>48</v>
      </c>
      <c r="G1849" s="32" t="s">
        <v>35</v>
      </c>
      <c r="H1849" s="71" t="s">
        <v>35</v>
      </c>
      <c r="I1849" s="71" t="s">
        <v>36</v>
      </c>
      <c r="J1849" s="34" t="s">
        <v>49</v>
      </c>
      <c r="K1849" s="57" t="s">
        <v>38</v>
      </c>
      <c r="L1849" s="72"/>
      <c r="M1849" s="22"/>
      <c r="N1849" s="73"/>
      <c r="O1849" s="28">
        <v>45394.0</v>
      </c>
      <c r="P1849" s="35" t="s">
        <v>7330</v>
      </c>
      <c r="Q1849" s="12"/>
      <c r="R1849" s="12"/>
      <c r="S1849" s="12"/>
      <c r="T1849" s="52">
        <v>45440.0</v>
      </c>
      <c r="U1849" s="52">
        <v>45384.0</v>
      </c>
      <c r="V1849" s="52">
        <v>45385.0</v>
      </c>
      <c r="W1849" s="30"/>
      <c r="X1849" s="30"/>
      <c r="Y1849" s="31"/>
      <c r="Z1849" s="31"/>
      <c r="AA1849" s="31"/>
      <c r="AB1849" s="74" t="s">
        <v>7331</v>
      </c>
      <c r="AC1849" s="74"/>
    </row>
    <row r="1850" ht="18.75" customHeight="1">
      <c r="A1850" s="18" t="s">
        <v>7332</v>
      </c>
      <c r="B1850" s="19" t="s">
        <v>3289</v>
      </c>
      <c r="C1850" s="20">
        <v>90.0</v>
      </c>
      <c r="D1850" s="21" t="s">
        <v>7333</v>
      </c>
      <c r="E1850" s="27" t="s">
        <v>91</v>
      </c>
      <c r="F1850" s="18" t="s">
        <v>48</v>
      </c>
      <c r="G1850" s="32" t="s">
        <v>35</v>
      </c>
      <c r="H1850" s="23" t="s">
        <v>35</v>
      </c>
      <c r="I1850" s="24" t="s">
        <v>36</v>
      </c>
      <c r="J1850" s="25" t="s">
        <v>92</v>
      </c>
      <c r="K1850" s="26" t="s">
        <v>38</v>
      </c>
      <c r="L1850" s="25" t="s">
        <v>7334</v>
      </c>
      <c r="M1850" s="27" t="s">
        <v>50</v>
      </c>
      <c r="N1850" s="26" t="s">
        <v>7145</v>
      </c>
      <c r="O1850" s="28">
        <v>45482.69594024305</v>
      </c>
      <c r="P1850" s="26" t="s">
        <v>7335</v>
      </c>
      <c r="Q1850" s="11"/>
      <c r="R1850" s="11"/>
      <c r="S1850" s="11"/>
      <c r="T1850" s="29">
        <v>45475.0</v>
      </c>
      <c r="U1850" s="29">
        <v>45476.0</v>
      </c>
      <c r="V1850" s="29">
        <v>45476.66216768519</v>
      </c>
      <c r="W1850" s="30"/>
      <c r="X1850" s="30"/>
      <c r="Y1850" s="31"/>
      <c r="Z1850" s="31"/>
      <c r="AA1850" s="31"/>
      <c r="AB1850" s="31" t="s">
        <v>7336</v>
      </c>
      <c r="AC1850" s="31"/>
    </row>
    <row r="1851" ht="18.75" customHeight="1">
      <c r="A1851" s="18" t="s">
        <v>7337</v>
      </c>
      <c r="B1851" s="19" t="s">
        <v>3289</v>
      </c>
      <c r="C1851" s="20">
        <v>90.0</v>
      </c>
      <c r="D1851" s="21" t="s">
        <v>7338</v>
      </c>
      <c r="E1851" s="27" t="s">
        <v>91</v>
      </c>
      <c r="F1851" s="18" t="s">
        <v>48</v>
      </c>
      <c r="G1851" s="32" t="s">
        <v>35</v>
      </c>
      <c r="H1851" s="23" t="s">
        <v>35</v>
      </c>
      <c r="I1851" s="24" t="s">
        <v>36</v>
      </c>
      <c r="J1851" s="25" t="s">
        <v>92</v>
      </c>
      <c r="K1851" s="26" t="s">
        <v>38</v>
      </c>
      <c r="L1851" s="25" t="s">
        <v>7334</v>
      </c>
      <c r="M1851" s="27" t="s">
        <v>50</v>
      </c>
      <c r="N1851" s="26" t="s">
        <v>7145</v>
      </c>
      <c r="O1851" s="28">
        <v>45482.69582228009</v>
      </c>
      <c r="P1851" s="26" t="s">
        <v>7335</v>
      </c>
      <c r="Q1851" s="11"/>
      <c r="R1851" s="11"/>
      <c r="S1851" s="11"/>
      <c r="T1851" s="29">
        <v>45475.0</v>
      </c>
      <c r="U1851" s="29">
        <v>45476.0</v>
      </c>
      <c r="V1851" s="29">
        <v>45476.66217643519</v>
      </c>
      <c r="W1851" s="30"/>
      <c r="X1851" s="30"/>
      <c r="Y1851" s="31"/>
      <c r="Z1851" s="31"/>
      <c r="AA1851" s="31"/>
      <c r="AB1851" s="31" t="s">
        <v>7339</v>
      </c>
      <c r="AC1851" s="31"/>
    </row>
    <row r="1852" ht="18.75" customHeight="1">
      <c r="A1852" s="18" t="s">
        <v>7340</v>
      </c>
      <c r="B1852" s="19" t="s">
        <v>1615</v>
      </c>
      <c r="C1852" s="20">
        <v>0.0</v>
      </c>
      <c r="D1852" s="21" t="s">
        <v>7341</v>
      </c>
      <c r="E1852" s="27" t="s">
        <v>1530</v>
      </c>
      <c r="F1852" s="18" t="s">
        <v>33</v>
      </c>
      <c r="G1852" s="32" t="s">
        <v>35</v>
      </c>
      <c r="H1852" s="23" t="s">
        <v>35</v>
      </c>
      <c r="I1852" s="24" t="s">
        <v>36</v>
      </c>
      <c r="J1852" s="25" t="s">
        <v>92</v>
      </c>
      <c r="K1852" s="26" t="s">
        <v>38</v>
      </c>
      <c r="L1852" s="25">
        <v>11127.0</v>
      </c>
      <c r="M1852" s="27" t="s">
        <v>50</v>
      </c>
      <c r="N1852" s="26" t="s">
        <v>5352</v>
      </c>
      <c r="O1852" s="28">
        <v>45495.51302711805</v>
      </c>
      <c r="P1852" s="26" t="s">
        <v>6028</v>
      </c>
      <c r="Q1852" s="11"/>
      <c r="R1852" s="11"/>
      <c r="S1852" s="11"/>
      <c r="T1852" s="29">
        <v>45475.0</v>
      </c>
      <c r="U1852" s="29">
        <v>45476.0</v>
      </c>
      <c r="V1852" s="29">
        <v>45478.0</v>
      </c>
      <c r="W1852" s="30"/>
      <c r="X1852" s="30"/>
      <c r="Y1852" s="31"/>
      <c r="Z1852" s="31"/>
      <c r="AA1852" s="31" t="s">
        <v>120</v>
      </c>
      <c r="AB1852" s="31" t="s">
        <v>7342</v>
      </c>
      <c r="AC1852" s="31"/>
    </row>
    <row r="1853" ht="18.75" customHeight="1">
      <c r="A1853" s="18" t="s">
        <v>7343</v>
      </c>
      <c r="B1853" s="19" t="s">
        <v>1615</v>
      </c>
      <c r="C1853" s="20">
        <v>0.0</v>
      </c>
      <c r="D1853" s="21" t="s">
        <v>7344</v>
      </c>
      <c r="E1853" s="27" t="s">
        <v>1530</v>
      </c>
      <c r="F1853" s="18" t="s">
        <v>33</v>
      </c>
      <c r="G1853" s="32" t="s">
        <v>35</v>
      </c>
      <c r="H1853" s="23" t="s">
        <v>35</v>
      </c>
      <c r="I1853" s="24" t="s">
        <v>36</v>
      </c>
      <c r="J1853" s="25" t="s">
        <v>92</v>
      </c>
      <c r="K1853" s="26" t="s">
        <v>38</v>
      </c>
      <c r="L1853" s="25">
        <v>11127.0</v>
      </c>
      <c r="M1853" s="27" t="s">
        <v>50</v>
      </c>
      <c r="N1853" s="26" t="s">
        <v>5352</v>
      </c>
      <c r="O1853" s="28">
        <v>45495.51309800926</v>
      </c>
      <c r="P1853" s="26" t="s">
        <v>6028</v>
      </c>
      <c r="Q1853" s="11"/>
      <c r="R1853" s="11"/>
      <c r="S1853" s="11"/>
      <c r="T1853" s="29">
        <v>45475.0</v>
      </c>
      <c r="U1853" s="29">
        <v>45476.0</v>
      </c>
      <c r="V1853" s="29">
        <v>45478.0</v>
      </c>
      <c r="W1853" s="30"/>
      <c r="X1853" s="30"/>
      <c r="Y1853" s="31"/>
      <c r="Z1853" s="31"/>
      <c r="AA1853" s="31" t="s">
        <v>120</v>
      </c>
      <c r="AB1853" s="31" t="s">
        <v>7345</v>
      </c>
      <c r="AC1853" s="31"/>
    </row>
    <row r="1854" ht="18.75" customHeight="1">
      <c r="A1854" s="18" t="s">
        <v>7346</v>
      </c>
      <c r="B1854" s="19" t="s">
        <v>7347</v>
      </c>
      <c r="C1854" s="20">
        <v>0.0</v>
      </c>
      <c r="D1854" s="21" t="s">
        <v>7348</v>
      </c>
      <c r="E1854" s="27" t="s">
        <v>171</v>
      </c>
      <c r="F1854" s="18" t="s">
        <v>48</v>
      </c>
      <c r="G1854" s="32" t="s">
        <v>35</v>
      </c>
      <c r="H1854" s="23" t="s">
        <v>35</v>
      </c>
      <c r="I1854" s="24" t="s">
        <v>36</v>
      </c>
      <c r="J1854" s="25" t="s">
        <v>49</v>
      </c>
      <c r="K1854" s="26" t="s">
        <v>1506</v>
      </c>
      <c r="L1854" s="25">
        <v>11107.0</v>
      </c>
      <c r="M1854" s="27" t="s">
        <v>50</v>
      </c>
      <c r="N1854" s="26" t="s">
        <v>6547</v>
      </c>
      <c r="O1854" s="28">
        <v>45477.60552777778</v>
      </c>
      <c r="P1854" s="26" t="s">
        <v>6028</v>
      </c>
      <c r="Q1854" s="11"/>
      <c r="R1854" s="11"/>
      <c r="S1854" s="11"/>
      <c r="T1854" s="29">
        <v>45475.0</v>
      </c>
      <c r="U1854" s="29">
        <v>45476.0</v>
      </c>
      <c r="V1854" s="29">
        <v>45477.44597144676</v>
      </c>
      <c r="W1854" s="30"/>
      <c r="X1854" s="30"/>
      <c r="Y1854" s="31"/>
      <c r="Z1854" s="31"/>
      <c r="AA1854" s="31" t="s">
        <v>3053</v>
      </c>
      <c r="AB1854" s="31" t="s">
        <v>7349</v>
      </c>
      <c r="AC1854" s="31"/>
    </row>
    <row r="1855" ht="18.75" customHeight="1">
      <c r="A1855" s="18" t="s">
        <v>7350</v>
      </c>
      <c r="B1855" s="19" t="s">
        <v>746</v>
      </c>
      <c r="C1855" s="20">
        <v>90.0</v>
      </c>
      <c r="D1855" s="21" t="s">
        <v>7351</v>
      </c>
      <c r="E1855" s="27" t="s">
        <v>91</v>
      </c>
      <c r="F1855" s="18" t="s">
        <v>48</v>
      </c>
      <c r="G1855" s="32" t="s">
        <v>35</v>
      </c>
      <c r="H1855" s="23" t="s">
        <v>35</v>
      </c>
      <c r="I1855" s="24" t="s">
        <v>36</v>
      </c>
      <c r="J1855" s="34" t="s">
        <v>65</v>
      </c>
      <c r="K1855" s="26" t="s">
        <v>38</v>
      </c>
      <c r="L1855" s="25">
        <v>11159.0</v>
      </c>
      <c r="M1855" s="27" t="s">
        <v>50</v>
      </c>
      <c r="N1855" s="26" t="s">
        <v>4518</v>
      </c>
      <c r="O1855" s="28">
        <v>45488.62830041666</v>
      </c>
      <c r="P1855" s="26" t="s">
        <v>6028</v>
      </c>
      <c r="Q1855" s="11"/>
      <c r="R1855" s="11"/>
      <c r="S1855" s="11"/>
      <c r="T1855" s="29">
        <v>45475.0</v>
      </c>
      <c r="U1855" s="29">
        <v>45485.0</v>
      </c>
      <c r="V1855" s="29">
        <v>45488.361561111116</v>
      </c>
      <c r="W1855" s="30"/>
      <c r="X1855" s="30"/>
      <c r="Y1855" s="31"/>
      <c r="Z1855" s="31"/>
      <c r="AA1855" s="31" t="s">
        <v>94</v>
      </c>
      <c r="AB1855" s="31" t="s">
        <v>7352</v>
      </c>
      <c r="AC1855" s="31"/>
    </row>
    <row r="1856" ht="18.75" customHeight="1">
      <c r="A1856" s="18" t="s">
        <v>7353</v>
      </c>
      <c r="B1856" s="19" t="s">
        <v>7354</v>
      </c>
      <c r="C1856" s="20">
        <v>34.0</v>
      </c>
      <c r="D1856" s="21" t="s">
        <v>7355</v>
      </c>
      <c r="E1856" s="27" t="s">
        <v>47</v>
      </c>
      <c r="F1856" s="18" t="s">
        <v>48</v>
      </c>
      <c r="G1856" s="32" t="s">
        <v>35</v>
      </c>
      <c r="H1856" s="23" t="s">
        <v>35</v>
      </c>
      <c r="I1856" s="24" t="s">
        <v>36</v>
      </c>
      <c r="J1856" s="25" t="s">
        <v>49</v>
      </c>
      <c r="K1856" s="26" t="s">
        <v>7356</v>
      </c>
      <c r="L1856" s="25">
        <v>11104.0</v>
      </c>
      <c r="M1856" s="27" t="s">
        <v>50</v>
      </c>
      <c r="N1856" s="26" t="s">
        <v>6547</v>
      </c>
      <c r="O1856" s="28">
        <v>45477.60533074074</v>
      </c>
      <c r="P1856" s="26" t="s">
        <v>6028</v>
      </c>
      <c r="Q1856" s="11"/>
      <c r="R1856" s="11"/>
      <c r="S1856" s="11"/>
      <c r="T1856" s="29">
        <v>45475.0</v>
      </c>
      <c r="U1856" s="29">
        <v>45476.0</v>
      </c>
      <c r="V1856" s="29">
        <v>45477.42080346065</v>
      </c>
      <c r="W1856" s="30"/>
      <c r="X1856" s="30"/>
      <c r="Y1856" s="31"/>
      <c r="Z1856" s="31"/>
      <c r="AA1856" s="31" t="s">
        <v>127</v>
      </c>
      <c r="AB1856" s="31" t="s">
        <v>7357</v>
      </c>
      <c r="AC1856" s="31"/>
    </row>
    <row r="1857" ht="18.75" customHeight="1">
      <c r="A1857" s="18" t="s">
        <v>7358</v>
      </c>
      <c r="B1857" s="19" t="s">
        <v>7359</v>
      </c>
      <c r="C1857" s="20">
        <v>0.0</v>
      </c>
      <c r="D1857" s="21" t="s">
        <v>7360</v>
      </c>
      <c r="E1857" s="27" t="s">
        <v>545</v>
      </c>
      <c r="F1857" s="18" t="s">
        <v>33</v>
      </c>
      <c r="G1857" s="32" t="s">
        <v>35</v>
      </c>
      <c r="H1857" s="23" t="s">
        <v>35</v>
      </c>
      <c r="I1857" s="24" t="s">
        <v>36</v>
      </c>
      <c r="J1857" s="25" t="s">
        <v>92</v>
      </c>
      <c r="K1857" s="26" t="s">
        <v>38</v>
      </c>
      <c r="L1857" s="25">
        <v>11102.0</v>
      </c>
      <c r="M1857" s="27"/>
      <c r="N1857" s="26" t="s">
        <v>5097</v>
      </c>
      <c r="O1857" s="28">
        <v>45477.418113576394</v>
      </c>
      <c r="P1857" s="26" t="s">
        <v>6028</v>
      </c>
      <c r="Q1857" s="11"/>
      <c r="R1857" s="11"/>
      <c r="S1857" s="11"/>
      <c r="T1857" s="29">
        <v>45475.0</v>
      </c>
      <c r="U1857" s="29">
        <v>45476.0</v>
      </c>
      <c r="V1857" s="29">
        <v>45477.0</v>
      </c>
      <c r="W1857" s="30"/>
      <c r="X1857" s="30"/>
      <c r="Y1857" s="31"/>
      <c r="Z1857" s="31"/>
      <c r="AA1857" s="31" t="s">
        <v>120</v>
      </c>
      <c r="AB1857" s="31" t="s">
        <v>7361</v>
      </c>
      <c r="AC1857" s="31"/>
    </row>
    <row r="1858" ht="18.75" customHeight="1">
      <c r="A1858" s="18" t="s">
        <v>7362</v>
      </c>
      <c r="B1858" s="19" t="s">
        <v>4352</v>
      </c>
      <c r="C1858" s="20">
        <v>137.0</v>
      </c>
      <c r="D1858" s="21" t="s">
        <v>7363</v>
      </c>
      <c r="E1858" s="27" t="s">
        <v>85</v>
      </c>
      <c r="F1858" s="18" t="s">
        <v>48</v>
      </c>
      <c r="G1858" s="32" t="s">
        <v>35</v>
      </c>
      <c r="H1858" s="23" t="s">
        <v>35</v>
      </c>
      <c r="I1858" s="24" t="s">
        <v>36</v>
      </c>
      <c r="J1858" s="25" t="s">
        <v>49</v>
      </c>
      <c r="K1858" s="26" t="s">
        <v>38</v>
      </c>
      <c r="L1858" s="25">
        <v>11103.0</v>
      </c>
      <c r="M1858" s="27" t="s">
        <v>50</v>
      </c>
      <c r="N1858" s="26" t="s">
        <v>6547</v>
      </c>
      <c r="O1858" s="28">
        <v>45477.605107800926</v>
      </c>
      <c r="P1858" s="26" t="s">
        <v>6028</v>
      </c>
      <c r="Q1858" s="11"/>
      <c r="R1858" s="11"/>
      <c r="S1858" s="11"/>
      <c r="T1858" s="29">
        <v>45475.0</v>
      </c>
      <c r="U1858" s="29">
        <v>45476.0</v>
      </c>
      <c r="V1858" s="29">
        <v>45477.420816122685</v>
      </c>
      <c r="W1858" s="30"/>
      <c r="X1858" s="30"/>
      <c r="Y1858" s="31"/>
      <c r="Z1858" s="31"/>
      <c r="AA1858" s="31" t="s">
        <v>127</v>
      </c>
      <c r="AB1858" s="31" t="s">
        <v>7364</v>
      </c>
      <c r="AC1858" s="31"/>
    </row>
    <row r="1859" ht="18.75" customHeight="1">
      <c r="A1859" s="18" t="s">
        <v>7365</v>
      </c>
      <c r="B1859" s="19" t="s">
        <v>4352</v>
      </c>
      <c r="C1859" s="20">
        <v>137.0</v>
      </c>
      <c r="D1859" s="21" t="s">
        <v>7366</v>
      </c>
      <c r="E1859" s="27" t="s">
        <v>85</v>
      </c>
      <c r="F1859" s="18" t="s">
        <v>48</v>
      </c>
      <c r="G1859" s="32" t="s">
        <v>35</v>
      </c>
      <c r="H1859" s="23" t="s">
        <v>35</v>
      </c>
      <c r="I1859" s="24" t="s">
        <v>36</v>
      </c>
      <c r="J1859" s="25" t="s">
        <v>49</v>
      </c>
      <c r="K1859" s="26" t="s">
        <v>38</v>
      </c>
      <c r="L1859" s="25">
        <v>11103.0</v>
      </c>
      <c r="M1859" s="27" t="s">
        <v>50</v>
      </c>
      <c r="N1859" s="26" t="s">
        <v>6547</v>
      </c>
      <c r="O1859" s="28">
        <v>45477.60497648148</v>
      </c>
      <c r="P1859" s="26" t="s">
        <v>6028</v>
      </c>
      <c r="Q1859" s="11"/>
      <c r="R1859" s="11"/>
      <c r="S1859" s="11"/>
      <c r="T1859" s="29">
        <v>45475.0</v>
      </c>
      <c r="U1859" s="29">
        <v>45476.0</v>
      </c>
      <c r="V1859" s="29">
        <v>45477.42082392361</v>
      </c>
      <c r="W1859" s="30"/>
      <c r="X1859" s="30"/>
      <c r="Y1859" s="31"/>
      <c r="Z1859" s="31"/>
      <c r="AA1859" s="31" t="s">
        <v>127</v>
      </c>
      <c r="AB1859" s="31" t="s">
        <v>7367</v>
      </c>
      <c r="AC1859" s="31"/>
    </row>
    <row r="1860" ht="18.75" customHeight="1">
      <c r="A1860" s="18" t="s">
        <v>7368</v>
      </c>
      <c r="B1860" s="19" t="s">
        <v>4352</v>
      </c>
      <c r="C1860" s="20">
        <v>137.0</v>
      </c>
      <c r="D1860" s="21" t="s">
        <v>7369</v>
      </c>
      <c r="E1860" s="27" t="s">
        <v>85</v>
      </c>
      <c r="F1860" s="18" t="s">
        <v>48</v>
      </c>
      <c r="G1860" s="32" t="s">
        <v>35</v>
      </c>
      <c r="H1860" s="23" t="s">
        <v>35</v>
      </c>
      <c r="I1860" s="24" t="s">
        <v>36</v>
      </c>
      <c r="J1860" s="25" t="s">
        <v>49</v>
      </c>
      <c r="K1860" s="26" t="s">
        <v>38</v>
      </c>
      <c r="L1860" s="25">
        <v>11103.0</v>
      </c>
      <c r="M1860" s="27" t="s">
        <v>50</v>
      </c>
      <c r="N1860" s="26" t="s">
        <v>6547</v>
      </c>
      <c r="O1860" s="28">
        <v>45477.60523642361</v>
      </c>
      <c r="P1860" s="26" t="s">
        <v>6028</v>
      </c>
      <c r="Q1860" s="11"/>
      <c r="R1860" s="11"/>
      <c r="S1860" s="11"/>
      <c r="T1860" s="29">
        <v>45475.0</v>
      </c>
      <c r="U1860" s="29">
        <v>45476.0</v>
      </c>
      <c r="V1860" s="29">
        <v>45477.4208316088</v>
      </c>
      <c r="W1860" s="30"/>
      <c r="X1860" s="30"/>
      <c r="Y1860" s="31"/>
      <c r="Z1860" s="31"/>
      <c r="AA1860" s="31" t="s">
        <v>127</v>
      </c>
      <c r="AB1860" s="31" t="s">
        <v>7370</v>
      </c>
      <c r="AC1860" s="31"/>
    </row>
    <row r="1861" ht="18.75" customHeight="1">
      <c r="A1861" s="18" t="s">
        <v>7371</v>
      </c>
      <c r="B1861" s="19" t="s">
        <v>4352</v>
      </c>
      <c r="C1861" s="20">
        <v>90.0</v>
      </c>
      <c r="D1861" s="21" t="s">
        <v>7372</v>
      </c>
      <c r="E1861" s="27" t="s">
        <v>91</v>
      </c>
      <c r="F1861" s="18" t="s">
        <v>48</v>
      </c>
      <c r="G1861" s="32" t="s">
        <v>35</v>
      </c>
      <c r="H1861" s="23" t="s">
        <v>35</v>
      </c>
      <c r="I1861" s="24" t="s">
        <v>36</v>
      </c>
      <c r="J1861" s="25" t="s">
        <v>49</v>
      </c>
      <c r="K1861" s="26" t="s">
        <v>38</v>
      </c>
      <c r="L1861" s="25">
        <v>11103.0</v>
      </c>
      <c r="M1861" s="27" t="s">
        <v>50</v>
      </c>
      <c r="N1861" s="26" t="s">
        <v>6547</v>
      </c>
      <c r="O1861" s="28">
        <v>45477.60486063657</v>
      </c>
      <c r="P1861" s="26" t="s">
        <v>6028</v>
      </c>
      <c r="Q1861" s="11"/>
      <c r="R1861" s="11"/>
      <c r="S1861" s="11"/>
      <c r="T1861" s="29">
        <v>45475.0</v>
      </c>
      <c r="U1861" s="29">
        <v>45476.0</v>
      </c>
      <c r="V1861" s="29">
        <v>45477.42083983796</v>
      </c>
      <c r="W1861" s="30"/>
      <c r="X1861" s="30"/>
      <c r="Y1861" s="31"/>
      <c r="Z1861" s="31"/>
      <c r="AA1861" s="31" t="s">
        <v>127</v>
      </c>
      <c r="AB1861" s="31" t="s">
        <v>7373</v>
      </c>
      <c r="AC1861" s="31"/>
    </row>
    <row r="1862" ht="18.75" customHeight="1">
      <c r="A1862" s="18" t="s">
        <v>7374</v>
      </c>
      <c r="B1862" s="19" t="s">
        <v>4352</v>
      </c>
      <c r="C1862" s="20">
        <v>90.0</v>
      </c>
      <c r="D1862" s="21" t="s">
        <v>7375</v>
      </c>
      <c r="E1862" s="27" t="s">
        <v>91</v>
      </c>
      <c r="F1862" s="18" t="s">
        <v>48</v>
      </c>
      <c r="G1862" s="32" t="s">
        <v>35</v>
      </c>
      <c r="H1862" s="23" t="s">
        <v>35</v>
      </c>
      <c r="I1862" s="24" t="s">
        <v>36</v>
      </c>
      <c r="J1862" s="25" t="s">
        <v>49</v>
      </c>
      <c r="K1862" s="26" t="s">
        <v>38</v>
      </c>
      <c r="L1862" s="25">
        <v>11103.0</v>
      </c>
      <c r="M1862" s="27" t="s">
        <v>50</v>
      </c>
      <c r="N1862" s="26" t="s">
        <v>6547</v>
      </c>
      <c r="O1862" s="28">
        <v>45477.60491369213</v>
      </c>
      <c r="P1862" s="26" t="s">
        <v>6028</v>
      </c>
      <c r="Q1862" s="11"/>
      <c r="R1862" s="11"/>
      <c r="S1862" s="11"/>
      <c r="T1862" s="29">
        <v>45475.0</v>
      </c>
      <c r="U1862" s="29">
        <v>45476.0</v>
      </c>
      <c r="V1862" s="29">
        <v>45477.420847511574</v>
      </c>
      <c r="W1862" s="30"/>
      <c r="X1862" s="30"/>
      <c r="Y1862" s="31"/>
      <c r="Z1862" s="31"/>
      <c r="AA1862" s="31" t="s">
        <v>127</v>
      </c>
      <c r="AB1862" s="31" t="s">
        <v>7376</v>
      </c>
      <c r="AC1862" s="31"/>
    </row>
    <row r="1863" ht="18.75" customHeight="1">
      <c r="A1863" s="18" t="s">
        <v>7377</v>
      </c>
      <c r="B1863" s="19" t="s">
        <v>4352</v>
      </c>
      <c r="C1863" s="20">
        <v>90.0</v>
      </c>
      <c r="D1863" s="21" t="s">
        <v>7378</v>
      </c>
      <c r="E1863" s="27" t="s">
        <v>91</v>
      </c>
      <c r="F1863" s="18" t="s">
        <v>48</v>
      </c>
      <c r="G1863" s="32" t="s">
        <v>35</v>
      </c>
      <c r="H1863" s="23" t="s">
        <v>35</v>
      </c>
      <c r="I1863" s="24" t="s">
        <v>36</v>
      </c>
      <c r="J1863" s="25" t="s">
        <v>49</v>
      </c>
      <c r="K1863" s="26" t="s">
        <v>38</v>
      </c>
      <c r="L1863" s="25">
        <v>11103.0</v>
      </c>
      <c r="M1863" s="27" t="s">
        <v>50</v>
      </c>
      <c r="N1863" s="26" t="s">
        <v>6547</v>
      </c>
      <c r="O1863" s="28">
        <v>45477.605284398145</v>
      </c>
      <c r="P1863" s="26" t="s">
        <v>6028</v>
      </c>
      <c r="Q1863" s="11"/>
      <c r="R1863" s="11"/>
      <c r="S1863" s="11"/>
      <c r="T1863" s="29">
        <v>45475.0</v>
      </c>
      <c r="U1863" s="29">
        <v>45476.0</v>
      </c>
      <c r="V1863" s="29">
        <v>45477.42085460648</v>
      </c>
      <c r="W1863" s="30"/>
      <c r="X1863" s="30"/>
      <c r="Y1863" s="31"/>
      <c r="Z1863" s="31"/>
      <c r="AA1863" s="31" t="s">
        <v>127</v>
      </c>
      <c r="AB1863" s="31" t="s">
        <v>7379</v>
      </c>
      <c r="AC1863" s="31"/>
    </row>
    <row r="1864" ht="18.75" customHeight="1">
      <c r="A1864" s="18" t="s">
        <v>7380</v>
      </c>
      <c r="B1864" s="19" t="s">
        <v>4352</v>
      </c>
      <c r="C1864" s="20">
        <v>11.0</v>
      </c>
      <c r="D1864" s="21" t="s">
        <v>7381</v>
      </c>
      <c r="E1864" s="27" t="s">
        <v>112</v>
      </c>
      <c r="F1864" s="18" t="s">
        <v>48</v>
      </c>
      <c r="G1864" s="32" t="s">
        <v>35</v>
      </c>
      <c r="H1864" s="23" t="s">
        <v>35</v>
      </c>
      <c r="I1864" s="24" t="s">
        <v>36</v>
      </c>
      <c r="J1864" s="25" t="s">
        <v>49</v>
      </c>
      <c r="K1864" s="26" t="s">
        <v>38</v>
      </c>
      <c r="L1864" s="25">
        <v>11103.0</v>
      </c>
      <c r="M1864" s="27" t="s">
        <v>50</v>
      </c>
      <c r="N1864" s="26" t="s">
        <v>6547</v>
      </c>
      <c r="O1864" s="28">
        <v>45477.60504875</v>
      </c>
      <c r="P1864" s="26" t="s">
        <v>6028</v>
      </c>
      <c r="Q1864" s="11"/>
      <c r="R1864" s="11"/>
      <c r="S1864" s="11"/>
      <c r="T1864" s="29">
        <v>45475.0</v>
      </c>
      <c r="U1864" s="29">
        <v>45476.0</v>
      </c>
      <c r="V1864" s="29">
        <v>45477.42087327546</v>
      </c>
      <c r="W1864" s="30"/>
      <c r="X1864" s="30"/>
      <c r="Y1864" s="31"/>
      <c r="Z1864" s="31"/>
      <c r="AA1864" s="31" t="s">
        <v>127</v>
      </c>
      <c r="AB1864" s="31" t="s">
        <v>7382</v>
      </c>
      <c r="AC1864" s="31"/>
    </row>
    <row r="1865" ht="18.75" customHeight="1">
      <c r="A1865" s="18" t="s">
        <v>7383</v>
      </c>
      <c r="B1865" s="19" t="s">
        <v>4352</v>
      </c>
      <c r="C1865" s="20">
        <v>11.0</v>
      </c>
      <c r="D1865" s="21" t="s">
        <v>7384</v>
      </c>
      <c r="E1865" s="27" t="s">
        <v>112</v>
      </c>
      <c r="F1865" s="18" t="s">
        <v>48</v>
      </c>
      <c r="G1865" s="32" t="s">
        <v>35</v>
      </c>
      <c r="H1865" s="23" t="s">
        <v>35</v>
      </c>
      <c r="I1865" s="24" t="s">
        <v>36</v>
      </c>
      <c r="J1865" s="25" t="s">
        <v>49</v>
      </c>
      <c r="K1865" s="26" t="s">
        <v>38</v>
      </c>
      <c r="L1865" s="25">
        <v>11103.0</v>
      </c>
      <c r="M1865" s="27" t="s">
        <v>50</v>
      </c>
      <c r="N1865" s="26" t="s">
        <v>6547</v>
      </c>
      <c r="O1865" s="28">
        <v>45477.60516773148</v>
      </c>
      <c r="P1865" s="26" t="s">
        <v>6028</v>
      </c>
      <c r="Q1865" s="11"/>
      <c r="R1865" s="11"/>
      <c r="S1865" s="11"/>
      <c r="T1865" s="29">
        <v>45475.0</v>
      </c>
      <c r="U1865" s="29">
        <v>45476.0</v>
      </c>
      <c r="V1865" s="29">
        <v>45477.42088438658</v>
      </c>
      <c r="W1865" s="30"/>
      <c r="X1865" s="30"/>
      <c r="Y1865" s="31"/>
      <c r="Z1865" s="31"/>
      <c r="AA1865" s="31" t="s">
        <v>127</v>
      </c>
      <c r="AB1865" s="31" t="s">
        <v>7385</v>
      </c>
      <c r="AC1865" s="31"/>
    </row>
    <row r="1866" ht="18.75" customHeight="1">
      <c r="A1866" s="18" t="s">
        <v>7386</v>
      </c>
      <c r="B1866" s="19" t="s">
        <v>4352</v>
      </c>
      <c r="C1866" s="20">
        <v>11.0</v>
      </c>
      <c r="D1866" s="21" t="s">
        <v>7387</v>
      </c>
      <c r="E1866" s="27" t="s">
        <v>112</v>
      </c>
      <c r="F1866" s="18" t="s">
        <v>48</v>
      </c>
      <c r="G1866" s="32" t="s">
        <v>35</v>
      </c>
      <c r="H1866" s="23" t="s">
        <v>35</v>
      </c>
      <c r="I1866" s="24" t="s">
        <v>36</v>
      </c>
      <c r="J1866" s="25" t="s">
        <v>49</v>
      </c>
      <c r="K1866" s="26" t="s">
        <v>38</v>
      </c>
      <c r="L1866" s="25">
        <v>11103.0</v>
      </c>
      <c r="M1866" s="27" t="s">
        <v>50</v>
      </c>
      <c r="N1866" s="26" t="s">
        <v>6547</v>
      </c>
      <c r="O1866" s="28">
        <v>45477.605419189815</v>
      </c>
      <c r="P1866" s="26" t="s">
        <v>6028</v>
      </c>
      <c r="Q1866" s="11"/>
      <c r="R1866" s="11"/>
      <c r="S1866" s="11"/>
      <c r="T1866" s="29">
        <v>45475.0</v>
      </c>
      <c r="U1866" s="29">
        <v>45476.0</v>
      </c>
      <c r="V1866" s="29">
        <v>45477.44598133102</v>
      </c>
      <c r="W1866" s="30"/>
      <c r="X1866" s="30"/>
      <c r="Y1866" s="31"/>
      <c r="Z1866" s="31"/>
      <c r="AA1866" s="31" t="s">
        <v>127</v>
      </c>
      <c r="AB1866" s="31" t="s">
        <v>7388</v>
      </c>
      <c r="AC1866" s="31"/>
    </row>
    <row r="1867" ht="18.75" customHeight="1">
      <c r="A1867" s="18" t="s">
        <v>7389</v>
      </c>
      <c r="B1867" s="19" t="s">
        <v>4352</v>
      </c>
      <c r="C1867" s="20">
        <v>0.0</v>
      </c>
      <c r="D1867" s="21" t="s">
        <v>7390</v>
      </c>
      <c r="E1867" s="27" t="s">
        <v>3441</v>
      </c>
      <c r="F1867" s="18" t="s">
        <v>48</v>
      </c>
      <c r="G1867" s="32" t="s">
        <v>35</v>
      </c>
      <c r="H1867" s="23" t="s">
        <v>35</v>
      </c>
      <c r="I1867" s="24" t="s">
        <v>36</v>
      </c>
      <c r="J1867" s="25" t="s">
        <v>49</v>
      </c>
      <c r="K1867" s="26" t="s">
        <v>38</v>
      </c>
      <c r="L1867" s="25">
        <v>11103.0</v>
      </c>
      <c r="M1867" s="27" t="s">
        <v>50</v>
      </c>
      <c r="N1867" s="26" t="s">
        <v>6547</v>
      </c>
      <c r="O1867" s="28">
        <v>45477.60537621527</v>
      </c>
      <c r="P1867" s="26" t="s">
        <v>6028</v>
      </c>
      <c r="Q1867" s="11"/>
      <c r="R1867" s="11"/>
      <c r="S1867" s="11"/>
      <c r="T1867" s="29">
        <v>45475.0</v>
      </c>
      <c r="U1867" s="29">
        <v>45476.0</v>
      </c>
      <c r="V1867" s="29">
        <v>45477.42091946759</v>
      </c>
      <c r="W1867" s="30"/>
      <c r="X1867" s="30"/>
      <c r="Y1867" s="31"/>
      <c r="Z1867" s="31"/>
      <c r="AA1867" s="31" t="s">
        <v>127</v>
      </c>
      <c r="AB1867" s="31" t="s">
        <v>7391</v>
      </c>
      <c r="AC1867" s="31"/>
    </row>
    <row r="1868" ht="18.75" customHeight="1">
      <c r="A1868" s="18" t="s">
        <v>7392</v>
      </c>
      <c r="B1868" s="19" t="s">
        <v>104</v>
      </c>
      <c r="C1868" s="20">
        <v>0.0</v>
      </c>
      <c r="D1868" s="21" t="s">
        <v>7393</v>
      </c>
      <c r="E1868" s="27" t="s">
        <v>171</v>
      </c>
      <c r="F1868" s="18" t="s">
        <v>48</v>
      </c>
      <c r="G1868" s="32" t="s">
        <v>35</v>
      </c>
      <c r="H1868" s="23" t="s">
        <v>35</v>
      </c>
      <c r="I1868" s="24" t="s">
        <v>36</v>
      </c>
      <c r="J1868" s="25" t="s">
        <v>49</v>
      </c>
      <c r="K1868" s="26" t="s">
        <v>1184</v>
      </c>
      <c r="L1868" s="25">
        <v>11108.0</v>
      </c>
      <c r="M1868" s="27" t="s">
        <v>50</v>
      </c>
      <c r="N1868" s="26" t="s">
        <v>6547</v>
      </c>
      <c r="O1868" s="28">
        <v>45477.60562847222</v>
      </c>
      <c r="P1868" s="26" t="s">
        <v>6028</v>
      </c>
      <c r="Q1868" s="11"/>
      <c r="R1868" s="11"/>
      <c r="S1868" s="11"/>
      <c r="T1868" s="29">
        <v>45475.0</v>
      </c>
      <c r="U1868" s="29">
        <v>45476.0</v>
      </c>
      <c r="V1868" s="29">
        <v>45477.445991967594</v>
      </c>
      <c r="W1868" s="30"/>
      <c r="X1868" s="30"/>
      <c r="Y1868" s="31"/>
      <c r="Z1868" s="31"/>
      <c r="AA1868" s="31" t="s">
        <v>108</v>
      </c>
      <c r="AB1868" s="31" t="s">
        <v>7394</v>
      </c>
      <c r="AC1868" s="31"/>
    </row>
    <row r="1869" ht="18.75" customHeight="1">
      <c r="A1869" s="18" t="s">
        <v>7395</v>
      </c>
      <c r="B1869" s="19" t="s">
        <v>6367</v>
      </c>
      <c r="C1869" s="20">
        <v>0.0</v>
      </c>
      <c r="D1869" s="21" t="s">
        <v>7396</v>
      </c>
      <c r="E1869" s="27" t="s">
        <v>3441</v>
      </c>
      <c r="F1869" s="18" t="s">
        <v>48</v>
      </c>
      <c r="G1869" s="32" t="s">
        <v>35</v>
      </c>
      <c r="H1869" s="23" t="s">
        <v>35</v>
      </c>
      <c r="I1869" s="24" t="s">
        <v>36</v>
      </c>
      <c r="J1869" s="25" t="s">
        <v>49</v>
      </c>
      <c r="K1869" s="35" t="s">
        <v>2978</v>
      </c>
      <c r="L1869" s="25">
        <v>11121.0</v>
      </c>
      <c r="M1869" s="27" t="s">
        <v>50</v>
      </c>
      <c r="N1869" s="26" t="s">
        <v>4183</v>
      </c>
      <c r="O1869" s="28">
        <v>45481.60701024305</v>
      </c>
      <c r="P1869" s="26" t="s">
        <v>6028</v>
      </c>
      <c r="Q1869" s="11"/>
      <c r="R1869" s="11"/>
      <c r="S1869" s="11"/>
      <c r="T1869" s="29">
        <v>45475.0</v>
      </c>
      <c r="U1869" s="29">
        <v>45478.0</v>
      </c>
      <c r="V1869" s="29">
        <v>45481.55996429398</v>
      </c>
      <c r="W1869" s="30"/>
      <c r="X1869" s="30"/>
      <c r="Y1869" s="31"/>
      <c r="Z1869" s="31"/>
      <c r="AA1869" s="31" t="s">
        <v>108</v>
      </c>
      <c r="AB1869" s="31" t="s">
        <v>7397</v>
      </c>
      <c r="AC1869" s="31"/>
    </row>
    <row r="1870" ht="18.75" customHeight="1">
      <c r="A1870" s="18" t="s">
        <v>7398</v>
      </c>
      <c r="B1870" s="19" t="s">
        <v>7399</v>
      </c>
      <c r="C1870" s="20">
        <v>1.0</v>
      </c>
      <c r="D1870" s="21" t="s">
        <v>7400</v>
      </c>
      <c r="E1870" s="27" t="s">
        <v>3395</v>
      </c>
      <c r="F1870" s="18" t="s">
        <v>48</v>
      </c>
      <c r="G1870" s="32" t="s">
        <v>35</v>
      </c>
      <c r="H1870" s="23" t="s">
        <v>35</v>
      </c>
      <c r="I1870" s="24" t="s">
        <v>36</v>
      </c>
      <c r="J1870" s="34" t="s">
        <v>65</v>
      </c>
      <c r="K1870" s="26" t="s">
        <v>38</v>
      </c>
      <c r="L1870" s="25">
        <v>11105.0</v>
      </c>
      <c r="M1870" s="27" t="s">
        <v>50</v>
      </c>
      <c r="N1870" s="26" t="s">
        <v>5279</v>
      </c>
      <c r="O1870" s="28">
        <v>45477.651323680555</v>
      </c>
      <c r="P1870" s="26" t="s">
        <v>6028</v>
      </c>
      <c r="Q1870" s="11"/>
      <c r="R1870" s="11"/>
      <c r="S1870" s="11"/>
      <c r="T1870" s="29">
        <v>45475.0</v>
      </c>
      <c r="U1870" s="29">
        <v>45476.0</v>
      </c>
      <c r="V1870" s="29">
        <v>45477.42062020833</v>
      </c>
      <c r="W1870" s="30"/>
      <c r="X1870" s="30"/>
      <c r="Y1870" s="31"/>
      <c r="Z1870" s="31"/>
      <c r="AA1870" s="31" t="s">
        <v>3059</v>
      </c>
      <c r="AB1870" s="31" t="s">
        <v>7401</v>
      </c>
      <c r="AC1870" s="31"/>
    </row>
    <row r="1871" ht="18.75" customHeight="1">
      <c r="A1871" s="18" t="s">
        <v>7402</v>
      </c>
      <c r="B1871" s="19" t="s">
        <v>7403</v>
      </c>
      <c r="C1871" s="20">
        <v>90.0</v>
      </c>
      <c r="D1871" s="21" t="s">
        <v>7404</v>
      </c>
      <c r="E1871" s="27" t="s">
        <v>91</v>
      </c>
      <c r="F1871" s="18" t="s">
        <v>48</v>
      </c>
      <c r="G1871" s="32" t="s">
        <v>35</v>
      </c>
      <c r="H1871" s="23" t="s">
        <v>35</v>
      </c>
      <c r="I1871" s="24" t="s">
        <v>36</v>
      </c>
      <c r="J1871" s="34" t="s">
        <v>65</v>
      </c>
      <c r="K1871" s="26" t="s">
        <v>38</v>
      </c>
      <c r="L1871" s="25">
        <v>11112.0</v>
      </c>
      <c r="M1871" s="27" t="s">
        <v>50</v>
      </c>
      <c r="N1871" s="26" t="s">
        <v>3442</v>
      </c>
      <c r="O1871" s="28">
        <v>45478.489973703705</v>
      </c>
      <c r="P1871" s="26" t="s">
        <v>6028</v>
      </c>
      <c r="Q1871" s="11"/>
      <c r="R1871" s="11"/>
      <c r="S1871" s="11"/>
      <c r="T1871" s="29">
        <v>45475.0</v>
      </c>
      <c r="U1871" s="29">
        <v>45478.0</v>
      </c>
      <c r="V1871" s="29">
        <v>45478.41751201389</v>
      </c>
      <c r="W1871" s="30"/>
      <c r="X1871" s="30"/>
      <c r="Y1871" s="31"/>
      <c r="Z1871" s="31"/>
      <c r="AA1871" s="31" t="s">
        <v>94</v>
      </c>
      <c r="AB1871" s="31" t="s">
        <v>7405</v>
      </c>
      <c r="AC1871" s="31"/>
    </row>
    <row r="1872" ht="18.75" customHeight="1">
      <c r="A1872" s="18" t="s">
        <v>7406</v>
      </c>
      <c r="B1872" s="19" t="s">
        <v>7407</v>
      </c>
      <c r="C1872" s="20">
        <v>0.0</v>
      </c>
      <c r="D1872" s="21"/>
      <c r="E1872" s="27" t="s">
        <v>338</v>
      </c>
      <c r="F1872" s="18" t="s">
        <v>33</v>
      </c>
      <c r="G1872" s="18" t="s">
        <v>34</v>
      </c>
      <c r="H1872" s="23" t="s">
        <v>35</v>
      </c>
      <c r="I1872" s="24" t="s">
        <v>36</v>
      </c>
      <c r="J1872" s="25" t="s">
        <v>420</v>
      </c>
      <c r="K1872" s="26" t="s">
        <v>38</v>
      </c>
      <c r="L1872" s="25">
        <v>11128.0</v>
      </c>
      <c r="M1872" s="27"/>
      <c r="N1872" s="26" t="s">
        <v>4031</v>
      </c>
      <c r="O1872" s="28">
        <v>45482.58872636574</v>
      </c>
      <c r="P1872" s="26" t="s">
        <v>6028</v>
      </c>
      <c r="Q1872" s="11"/>
      <c r="R1872" s="11"/>
      <c r="S1872" s="11"/>
      <c r="T1872" s="29">
        <v>45475.0</v>
      </c>
      <c r="U1872" s="29">
        <v>45476.0</v>
      </c>
      <c r="V1872" s="29">
        <v>45478.0</v>
      </c>
      <c r="W1872" s="30"/>
      <c r="X1872" s="30"/>
      <c r="Y1872" s="31"/>
      <c r="Z1872" s="31"/>
      <c r="AA1872" s="31" t="s">
        <v>120</v>
      </c>
      <c r="AB1872" s="31" t="s">
        <v>7408</v>
      </c>
      <c r="AC1872" s="31"/>
    </row>
    <row r="1873" ht="18.75" customHeight="1">
      <c r="A1873" s="18" t="s">
        <v>7409</v>
      </c>
      <c r="B1873" s="19" t="s">
        <v>7410</v>
      </c>
      <c r="C1873" s="20">
        <v>0.0</v>
      </c>
      <c r="D1873" s="21" t="s">
        <v>7411</v>
      </c>
      <c r="E1873" s="27" t="s">
        <v>3441</v>
      </c>
      <c r="F1873" s="18" t="s">
        <v>48</v>
      </c>
      <c r="G1873" s="32" t="s">
        <v>35</v>
      </c>
      <c r="H1873" s="23" t="s">
        <v>35</v>
      </c>
      <c r="I1873" s="24" t="s">
        <v>36</v>
      </c>
      <c r="J1873" s="34" t="s">
        <v>65</v>
      </c>
      <c r="K1873" s="26" t="s">
        <v>38</v>
      </c>
      <c r="L1873" s="25">
        <v>11113.0</v>
      </c>
      <c r="M1873" s="27" t="s">
        <v>50</v>
      </c>
      <c r="N1873" s="26" t="s">
        <v>3442</v>
      </c>
      <c r="O1873" s="28">
        <v>45478.49002217593</v>
      </c>
      <c r="P1873" s="26" t="s">
        <v>6028</v>
      </c>
      <c r="Q1873" s="11"/>
      <c r="R1873" s="11"/>
      <c r="S1873" s="11"/>
      <c r="T1873" s="29">
        <v>45476.0</v>
      </c>
      <c r="U1873" s="29">
        <v>45477.0</v>
      </c>
      <c r="V1873" s="29">
        <v>45478.40658755787</v>
      </c>
      <c r="W1873" s="30"/>
      <c r="X1873" s="30"/>
      <c r="Y1873" s="31"/>
      <c r="Z1873" s="31"/>
      <c r="AA1873" s="31" t="s">
        <v>94</v>
      </c>
      <c r="AB1873" s="31" t="s">
        <v>7412</v>
      </c>
      <c r="AC1873" s="31"/>
    </row>
    <row r="1874" ht="18.75" customHeight="1">
      <c r="A1874" s="18" t="s">
        <v>7413</v>
      </c>
      <c r="B1874" s="19" t="s">
        <v>5346</v>
      </c>
      <c r="C1874" s="20">
        <v>1.0</v>
      </c>
      <c r="D1874" s="21" t="s">
        <v>7414</v>
      </c>
      <c r="E1874" s="27" t="s">
        <v>3395</v>
      </c>
      <c r="F1874" s="18" t="s">
        <v>48</v>
      </c>
      <c r="G1874" s="32" t="s">
        <v>35</v>
      </c>
      <c r="H1874" s="23" t="s">
        <v>35</v>
      </c>
      <c r="I1874" s="24" t="s">
        <v>36</v>
      </c>
      <c r="J1874" s="25" t="s">
        <v>49</v>
      </c>
      <c r="K1874" s="26" t="s">
        <v>38</v>
      </c>
      <c r="L1874" s="25">
        <v>11130.0</v>
      </c>
      <c r="M1874" s="27" t="s">
        <v>50</v>
      </c>
      <c r="N1874" s="26" t="s">
        <v>99</v>
      </c>
      <c r="O1874" s="28">
        <v>45482.709523125</v>
      </c>
      <c r="P1874" s="26" t="s">
        <v>6028</v>
      </c>
      <c r="Q1874" s="11"/>
      <c r="R1874" s="11"/>
      <c r="S1874" s="11"/>
      <c r="T1874" s="29">
        <v>45476.0</v>
      </c>
      <c r="U1874" s="29"/>
      <c r="V1874" s="29">
        <v>45482.48948856481</v>
      </c>
      <c r="W1874" s="30"/>
      <c r="X1874" s="30"/>
      <c r="Y1874" s="31"/>
      <c r="Z1874" s="31"/>
      <c r="AA1874" s="31" t="s">
        <v>127</v>
      </c>
      <c r="AB1874" s="31" t="s">
        <v>7415</v>
      </c>
      <c r="AC1874" s="31"/>
    </row>
    <row r="1875" ht="18.75" customHeight="1">
      <c r="A1875" s="18" t="s">
        <v>7416</v>
      </c>
      <c r="B1875" s="19" t="s">
        <v>7417</v>
      </c>
      <c r="C1875" s="20">
        <v>90.0</v>
      </c>
      <c r="D1875" s="21" t="s">
        <v>7418</v>
      </c>
      <c r="E1875" s="27" t="s">
        <v>91</v>
      </c>
      <c r="F1875" s="18" t="s">
        <v>48</v>
      </c>
      <c r="G1875" s="32" t="s">
        <v>35</v>
      </c>
      <c r="H1875" s="23" t="s">
        <v>35</v>
      </c>
      <c r="I1875" s="24" t="s">
        <v>36</v>
      </c>
      <c r="J1875" s="34" t="s">
        <v>65</v>
      </c>
      <c r="K1875" s="26" t="s">
        <v>38</v>
      </c>
      <c r="L1875" s="25">
        <v>11114.0</v>
      </c>
      <c r="M1875" s="27" t="s">
        <v>50</v>
      </c>
      <c r="N1875" s="26" t="s">
        <v>3442</v>
      </c>
      <c r="O1875" s="28">
        <v>45478.49007263889</v>
      </c>
      <c r="P1875" s="26" t="s">
        <v>6028</v>
      </c>
      <c r="Q1875" s="11"/>
      <c r="R1875" s="11"/>
      <c r="S1875" s="11"/>
      <c r="T1875" s="29">
        <v>45476.0</v>
      </c>
      <c r="U1875" s="29">
        <v>45477.0</v>
      </c>
      <c r="V1875" s="29">
        <v>45478.40639293981</v>
      </c>
      <c r="W1875" s="30"/>
      <c r="X1875" s="30"/>
      <c r="Y1875" s="31"/>
      <c r="Z1875" s="31"/>
      <c r="AA1875" s="31" t="s">
        <v>94</v>
      </c>
      <c r="AB1875" s="31" t="s">
        <v>7419</v>
      </c>
      <c r="AC1875" s="31"/>
    </row>
    <row r="1876" ht="18.75" customHeight="1">
      <c r="A1876" s="18" t="s">
        <v>7420</v>
      </c>
      <c r="B1876" s="19" t="s">
        <v>7421</v>
      </c>
      <c r="C1876" s="20">
        <v>34.0</v>
      </c>
      <c r="D1876" s="21" t="s">
        <v>7422</v>
      </c>
      <c r="E1876" s="27" t="s">
        <v>47</v>
      </c>
      <c r="F1876" s="18" t="s">
        <v>48</v>
      </c>
      <c r="G1876" s="32" t="s">
        <v>35</v>
      </c>
      <c r="H1876" s="23" t="s">
        <v>35</v>
      </c>
      <c r="I1876" s="37" t="s">
        <v>36</v>
      </c>
      <c r="J1876" s="25" t="s">
        <v>92</v>
      </c>
      <c r="K1876" s="26" t="s">
        <v>38</v>
      </c>
      <c r="L1876" s="25">
        <v>11941.0</v>
      </c>
      <c r="M1876" s="27" t="s">
        <v>50</v>
      </c>
      <c r="N1876" s="26" t="s">
        <v>7083</v>
      </c>
      <c r="O1876" s="28">
        <v>45608.35122434028</v>
      </c>
      <c r="P1876" s="26" t="s">
        <v>6028</v>
      </c>
      <c r="Q1876" s="11"/>
      <c r="R1876" s="11" t="s">
        <v>67</v>
      </c>
      <c r="S1876" s="11" t="s">
        <v>50</v>
      </c>
      <c r="T1876" s="29">
        <v>45477.0</v>
      </c>
      <c r="U1876" s="29">
        <v>45603.42964284722</v>
      </c>
      <c r="V1876" s="29">
        <v>45603.494643935184</v>
      </c>
      <c r="W1876" s="38"/>
      <c r="X1876" s="30"/>
      <c r="Y1876" s="31"/>
      <c r="Z1876" s="31"/>
      <c r="AA1876" s="31" t="s">
        <v>120</v>
      </c>
      <c r="AB1876" s="31" t="s">
        <v>7423</v>
      </c>
      <c r="AC1876" s="31"/>
    </row>
    <row r="1877" ht="18.75" customHeight="1">
      <c r="A1877" s="48" t="s">
        <v>7424</v>
      </c>
      <c r="B1877" s="53" t="s">
        <v>3883</v>
      </c>
      <c r="C1877" s="47">
        <v>1.0</v>
      </c>
      <c r="D1877" s="70" t="s">
        <v>7425</v>
      </c>
      <c r="E1877" s="55" t="s">
        <v>3395</v>
      </c>
      <c r="F1877" s="32" t="s">
        <v>48</v>
      </c>
      <c r="G1877" s="32" t="s">
        <v>35</v>
      </c>
      <c r="H1877" s="71" t="s">
        <v>35</v>
      </c>
      <c r="I1877" s="71" t="s">
        <v>36</v>
      </c>
      <c r="J1877" s="34" t="s">
        <v>49</v>
      </c>
      <c r="K1877" s="57" t="s">
        <v>38</v>
      </c>
      <c r="L1877" s="72">
        <v>11125.0</v>
      </c>
      <c r="M1877" s="22"/>
      <c r="N1877" s="73"/>
      <c r="O1877" s="28"/>
      <c r="P1877" s="35" t="s">
        <v>7426</v>
      </c>
      <c r="Q1877" s="12"/>
      <c r="R1877" s="12"/>
      <c r="S1877" s="12"/>
      <c r="T1877" s="52">
        <v>45477.0</v>
      </c>
      <c r="U1877" s="52">
        <v>45384.0</v>
      </c>
      <c r="V1877" s="52">
        <v>45385.0</v>
      </c>
      <c r="W1877" s="30"/>
      <c r="X1877" s="30"/>
      <c r="Y1877" s="31"/>
      <c r="Z1877" s="31"/>
      <c r="AA1877" s="78" t="s">
        <v>94</v>
      </c>
      <c r="AB1877" s="74" t="s">
        <v>7427</v>
      </c>
      <c r="AC1877" s="74"/>
    </row>
    <row r="1878" ht="18.75" customHeight="1">
      <c r="A1878" s="18" t="s">
        <v>7428</v>
      </c>
      <c r="B1878" s="19" t="s">
        <v>7429</v>
      </c>
      <c r="C1878" s="20">
        <v>0.0</v>
      </c>
      <c r="D1878" s="21" t="s">
        <v>7430</v>
      </c>
      <c r="E1878" s="27" t="s">
        <v>251</v>
      </c>
      <c r="F1878" s="18" t="s">
        <v>33</v>
      </c>
      <c r="G1878" s="18" t="s">
        <v>34</v>
      </c>
      <c r="H1878" s="23" t="s">
        <v>35</v>
      </c>
      <c r="I1878" s="24" t="s">
        <v>36</v>
      </c>
      <c r="J1878" s="25" t="s">
        <v>49</v>
      </c>
      <c r="K1878" s="26" t="s">
        <v>38</v>
      </c>
      <c r="L1878" s="25">
        <v>11129.0</v>
      </c>
      <c r="M1878" s="27" t="s">
        <v>7431</v>
      </c>
      <c r="N1878" s="26" t="s">
        <v>99</v>
      </c>
      <c r="O1878" s="28">
        <v>45482.7095975</v>
      </c>
      <c r="P1878" s="26" t="s">
        <v>7432</v>
      </c>
      <c r="Q1878" s="11"/>
      <c r="R1878" s="11"/>
      <c r="S1878" s="11"/>
      <c r="T1878" s="29">
        <v>45477.0</v>
      </c>
      <c r="U1878" s="29">
        <v>45477.0</v>
      </c>
      <c r="V1878" s="29">
        <v>45478.0</v>
      </c>
      <c r="W1878" s="30"/>
      <c r="X1878" s="30"/>
      <c r="Y1878" s="31"/>
      <c r="Z1878" s="31"/>
      <c r="AA1878" s="31" t="s">
        <v>108</v>
      </c>
      <c r="AB1878" s="31" t="s">
        <v>7433</v>
      </c>
      <c r="AC1878" s="31"/>
    </row>
    <row r="1879" ht="18.75" customHeight="1">
      <c r="A1879" s="18" t="s">
        <v>7434</v>
      </c>
      <c r="B1879" s="19" t="s">
        <v>6821</v>
      </c>
      <c r="C1879" s="20">
        <v>0.0</v>
      </c>
      <c r="D1879" s="135" t="s">
        <v>7435</v>
      </c>
      <c r="E1879" s="27" t="s">
        <v>7436</v>
      </c>
      <c r="F1879" s="18" t="s">
        <v>33</v>
      </c>
      <c r="G1879" s="32" t="s">
        <v>35</v>
      </c>
      <c r="H1879" s="23" t="s">
        <v>35</v>
      </c>
      <c r="I1879" s="24" t="s">
        <v>36</v>
      </c>
      <c r="J1879" s="25" t="s">
        <v>49</v>
      </c>
      <c r="K1879" s="26" t="s">
        <v>384</v>
      </c>
      <c r="L1879" s="25">
        <v>11220.0</v>
      </c>
      <c r="M1879" s="27" t="s">
        <v>50</v>
      </c>
      <c r="N1879" s="26" t="s">
        <v>99</v>
      </c>
      <c r="O1879" s="28">
        <v>45497.62319355324</v>
      </c>
      <c r="P1879" s="26" t="s">
        <v>6028</v>
      </c>
      <c r="Q1879" s="11"/>
      <c r="R1879" s="11"/>
      <c r="S1879" s="11" t="s">
        <v>101</v>
      </c>
      <c r="T1879" s="29">
        <v>45477.0</v>
      </c>
      <c r="U1879" s="29">
        <v>45477.0</v>
      </c>
      <c r="V1879" s="29">
        <v>45496.6430856713</v>
      </c>
      <c r="W1879" s="30"/>
      <c r="X1879" s="30"/>
      <c r="Y1879" s="31"/>
      <c r="Z1879" s="31"/>
      <c r="AA1879" s="31" t="s">
        <v>108</v>
      </c>
      <c r="AB1879" s="31" t="s">
        <v>7437</v>
      </c>
      <c r="AC1879" s="31"/>
    </row>
    <row r="1880" ht="18.75" customHeight="1">
      <c r="A1880" s="18" t="s">
        <v>7438</v>
      </c>
      <c r="B1880" s="19" t="s">
        <v>96</v>
      </c>
      <c r="C1880" s="20">
        <v>0.0</v>
      </c>
      <c r="D1880" s="21" t="s">
        <v>7439</v>
      </c>
      <c r="E1880" s="27" t="s">
        <v>213</v>
      </c>
      <c r="F1880" s="18" t="s">
        <v>33</v>
      </c>
      <c r="G1880" s="32" t="s">
        <v>35</v>
      </c>
      <c r="H1880" s="23" t="s">
        <v>35</v>
      </c>
      <c r="I1880" s="24" t="s">
        <v>36</v>
      </c>
      <c r="J1880" s="25" t="s">
        <v>49</v>
      </c>
      <c r="K1880" s="26" t="s">
        <v>38</v>
      </c>
      <c r="L1880" s="25">
        <v>11115.0</v>
      </c>
      <c r="M1880" s="27"/>
      <c r="N1880" s="26" t="s">
        <v>5936</v>
      </c>
      <c r="O1880" s="28">
        <v>45478.63854299768</v>
      </c>
      <c r="P1880" s="26" t="s">
        <v>6028</v>
      </c>
      <c r="Q1880" s="11"/>
      <c r="R1880" s="11"/>
      <c r="S1880" s="11"/>
      <c r="T1880" s="29">
        <v>45477.0</v>
      </c>
      <c r="U1880" s="29">
        <v>45477.0</v>
      </c>
      <c r="V1880" s="29">
        <f>O1880</f>
        <v>45478.63854</v>
      </c>
      <c r="W1880" s="30"/>
      <c r="X1880" s="30"/>
      <c r="Y1880" s="31"/>
      <c r="Z1880" s="31"/>
      <c r="AA1880" s="31"/>
      <c r="AB1880" s="31" t="s">
        <v>7440</v>
      </c>
      <c r="AC1880" s="31"/>
    </row>
    <row r="1881" ht="18.75" customHeight="1">
      <c r="A1881" s="18" t="s">
        <v>7441</v>
      </c>
      <c r="B1881" s="19" t="s">
        <v>7442</v>
      </c>
      <c r="C1881" s="20">
        <v>137.0</v>
      </c>
      <c r="D1881" s="21" t="s">
        <v>7443</v>
      </c>
      <c r="E1881" s="27" t="s">
        <v>85</v>
      </c>
      <c r="F1881" s="18" t="s">
        <v>48</v>
      </c>
      <c r="G1881" s="32" t="s">
        <v>35</v>
      </c>
      <c r="H1881" s="23" t="s">
        <v>35</v>
      </c>
      <c r="I1881" s="24" t="s">
        <v>36</v>
      </c>
      <c r="J1881" s="34" t="s">
        <v>65</v>
      </c>
      <c r="K1881" s="26" t="s">
        <v>38</v>
      </c>
      <c r="L1881" s="25">
        <v>11123.0</v>
      </c>
      <c r="M1881" s="27" t="s">
        <v>50</v>
      </c>
      <c r="N1881" s="26" t="s">
        <v>5897</v>
      </c>
      <c r="O1881" s="28">
        <v>45481.70017403935</v>
      </c>
      <c r="P1881" s="26" t="s">
        <v>6028</v>
      </c>
      <c r="Q1881" s="11"/>
      <c r="R1881" s="11"/>
      <c r="S1881" s="11"/>
      <c r="T1881" s="29">
        <v>45477.0</v>
      </c>
      <c r="U1881" s="29">
        <v>45478.0</v>
      </c>
      <c r="V1881" s="29">
        <v>45481.55997650463</v>
      </c>
      <c r="W1881" s="30"/>
      <c r="X1881" s="30"/>
      <c r="Y1881" s="31"/>
      <c r="Z1881" s="31"/>
      <c r="AA1881" s="31" t="s">
        <v>94</v>
      </c>
      <c r="AB1881" s="31" t="s">
        <v>7444</v>
      </c>
      <c r="AC1881" s="31"/>
    </row>
    <row r="1882" ht="18.75" customHeight="1">
      <c r="A1882" s="48" t="s">
        <v>7445</v>
      </c>
      <c r="B1882" s="53" t="s">
        <v>6917</v>
      </c>
      <c r="C1882" s="47">
        <v>27.0</v>
      </c>
      <c r="D1882" s="70" t="s">
        <v>7446</v>
      </c>
      <c r="E1882" s="55" t="s">
        <v>72</v>
      </c>
      <c r="F1882" s="32" t="s">
        <v>48</v>
      </c>
      <c r="G1882" s="32" t="s">
        <v>35</v>
      </c>
      <c r="H1882" s="71" t="s">
        <v>35</v>
      </c>
      <c r="I1882" s="71" t="s">
        <v>36</v>
      </c>
      <c r="J1882" s="34" t="s">
        <v>7447</v>
      </c>
      <c r="K1882" s="57" t="s">
        <v>38</v>
      </c>
      <c r="L1882" s="72">
        <v>11109.0</v>
      </c>
      <c r="M1882" s="22"/>
      <c r="N1882" s="73"/>
      <c r="O1882" s="28">
        <v>45478.0</v>
      </c>
      <c r="P1882" s="35" t="s">
        <v>7448</v>
      </c>
      <c r="Q1882" s="12"/>
      <c r="R1882" s="12"/>
      <c r="S1882" s="12"/>
      <c r="T1882" s="52">
        <v>45468.0</v>
      </c>
      <c r="U1882" s="52">
        <v>45477.0</v>
      </c>
      <c r="V1882" s="52">
        <v>45478.0</v>
      </c>
      <c r="W1882" s="30"/>
      <c r="X1882" s="30"/>
      <c r="Y1882" s="31"/>
      <c r="Z1882" s="31"/>
      <c r="AA1882" s="78" t="s">
        <v>94</v>
      </c>
      <c r="AB1882" s="74" t="s">
        <v>7449</v>
      </c>
      <c r="AC1882" s="74"/>
    </row>
    <row r="1883" ht="18.75" customHeight="1">
      <c r="A1883" s="48" t="s">
        <v>7450</v>
      </c>
      <c r="B1883" s="53" t="s">
        <v>6917</v>
      </c>
      <c r="C1883" s="47">
        <v>27.0</v>
      </c>
      <c r="D1883" s="70" t="s">
        <v>7451</v>
      </c>
      <c r="E1883" s="55" t="s">
        <v>72</v>
      </c>
      <c r="F1883" s="32" t="s">
        <v>48</v>
      </c>
      <c r="G1883" s="32" t="s">
        <v>35</v>
      </c>
      <c r="H1883" s="71" t="s">
        <v>35</v>
      </c>
      <c r="I1883" s="71" t="s">
        <v>36</v>
      </c>
      <c r="J1883" s="34" t="s">
        <v>7447</v>
      </c>
      <c r="K1883" s="57" t="s">
        <v>38</v>
      </c>
      <c r="L1883" s="72">
        <v>11109.0</v>
      </c>
      <c r="M1883" s="22"/>
      <c r="N1883" s="73"/>
      <c r="O1883" s="28">
        <v>45478.0</v>
      </c>
      <c r="P1883" s="35" t="s">
        <v>7452</v>
      </c>
      <c r="Q1883" s="12"/>
      <c r="R1883" s="12"/>
      <c r="S1883" s="12"/>
      <c r="T1883" s="52">
        <v>45468.0</v>
      </c>
      <c r="U1883" s="52">
        <v>45477.0</v>
      </c>
      <c r="V1883" s="52">
        <v>45478.0</v>
      </c>
      <c r="W1883" s="30"/>
      <c r="X1883" s="30"/>
      <c r="Y1883" s="31"/>
      <c r="Z1883" s="31"/>
      <c r="AA1883" s="78" t="s">
        <v>94</v>
      </c>
      <c r="AB1883" s="74" t="s">
        <v>7453</v>
      </c>
      <c r="AC1883" s="74"/>
    </row>
    <row r="1884" ht="18.75" customHeight="1">
      <c r="A1884" s="48" t="s">
        <v>7454</v>
      </c>
      <c r="B1884" s="53" t="s">
        <v>6917</v>
      </c>
      <c r="C1884" s="47">
        <v>27.0</v>
      </c>
      <c r="D1884" s="70" t="s">
        <v>7455</v>
      </c>
      <c r="E1884" s="55" t="s">
        <v>72</v>
      </c>
      <c r="F1884" s="32" t="s">
        <v>48</v>
      </c>
      <c r="G1884" s="32" t="s">
        <v>35</v>
      </c>
      <c r="H1884" s="71" t="s">
        <v>35</v>
      </c>
      <c r="I1884" s="71" t="s">
        <v>36</v>
      </c>
      <c r="J1884" s="34" t="s">
        <v>7447</v>
      </c>
      <c r="K1884" s="57" t="s">
        <v>38</v>
      </c>
      <c r="L1884" s="72">
        <v>11109.0</v>
      </c>
      <c r="M1884" s="22"/>
      <c r="N1884" s="73"/>
      <c r="O1884" s="28">
        <v>45478.0</v>
      </c>
      <c r="P1884" s="35" t="s">
        <v>7456</v>
      </c>
      <c r="Q1884" s="12"/>
      <c r="R1884" s="12"/>
      <c r="S1884" s="12"/>
      <c r="T1884" s="52">
        <v>45468.0</v>
      </c>
      <c r="U1884" s="52">
        <v>45477.0</v>
      </c>
      <c r="V1884" s="52">
        <v>45478.0</v>
      </c>
      <c r="W1884" s="30"/>
      <c r="X1884" s="30"/>
      <c r="Y1884" s="31"/>
      <c r="Z1884" s="31"/>
      <c r="AA1884" s="78" t="s">
        <v>94</v>
      </c>
      <c r="AB1884" s="74" t="s">
        <v>7457</v>
      </c>
      <c r="AC1884" s="74"/>
    </row>
    <row r="1885" ht="18.75" customHeight="1">
      <c r="A1885" s="18" t="s">
        <v>7458</v>
      </c>
      <c r="B1885" s="19" t="s">
        <v>7459</v>
      </c>
      <c r="C1885" s="20">
        <v>0.0</v>
      </c>
      <c r="D1885" s="21" t="s">
        <v>7460</v>
      </c>
      <c r="E1885" s="27" t="s">
        <v>1530</v>
      </c>
      <c r="F1885" s="18" t="s">
        <v>33</v>
      </c>
      <c r="G1885" s="32" t="s">
        <v>35</v>
      </c>
      <c r="H1885" s="23" t="s">
        <v>35</v>
      </c>
      <c r="I1885" s="24" t="s">
        <v>36</v>
      </c>
      <c r="J1885" s="25" t="s">
        <v>92</v>
      </c>
      <c r="K1885" s="26" t="s">
        <v>38</v>
      </c>
      <c r="L1885" s="25" t="s">
        <v>7461</v>
      </c>
      <c r="M1885" s="27" t="s">
        <v>50</v>
      </c>
      <c r="N1885" s="26" t="s">
        <v>136</v>
      </c>
      <c r="O1885" s="28">
        <v>45541.47916666667</v>
      </c>
      <c r="P1885" s="26" t="s">
        <v>7462</v>
      </c>
      <c r="Q1885" s="11"/>
      <c r="R1885" s="11" t="s">
        <v>73</v>
      </c>
      <c r="S1885" s="11" t="s">
        <v>101</v>
      </c>
      <c r="T1885" s="29">
        <v>45478.0</v>
      </c>
      <c r="U1885" s="29">
        <v>45506.37575398148</v>
      </c>
      <c r="V1885" s="29">
        <v>45534.46410857639</v>
      </c>
      <c r="W1885" s="30"/>
      <c r="X1885" s="30"/>
      <c r="Y1885" s="31"/>
      <c r="Z1885" s="31"/>
      <c r="AA1885" s="31"/>
      <c r="AB1885" s="31" t="s">
        <v>7463</v>
      </c>
      <c r="AC1885" s="31"/>
    </row>
    <row r="1886" ht="18.75" customHeight="1">
      <c r="A1886" s="18" t="s">
        <v>7464</v>
      </c>
      <c r="B1886" s="19" t="s">
        <v>7459</v>
      </c>
      <c r="C1886" s="20">
        <v>0.0</v>
      </c>
      <c r="D1886" s="21" t="s">
        <v>7465</v>
      </c>
      <c r="E1886" s="27" t="s">
        <v>1530</v>
      </c>
      <c r="F1886" s="18" t="s">
        <v>33</v>
      </c>
      <c r="G1886" s="32" t="s">
        <v>35</v>
      </c>
      <c r="H1886" s="23" t="s">
        <v>35</v>
      </c>
      <c r="I1886" s="24" t="s">
        <v>36</v>
      </c>
      <c r="J1886" s="25" t="s">
        <v>92</v>
      </c>
      <c r="K1886" s="26" t="s">
        <v>38</v>
      </c>
      <c r="L1886" s="25" t="s">
        <v>7461</v>
      </c>
      <c r="M1886" s="27" t="s">
        <v>50</v>
      </c>
      <c r="N1886" s="26" t="s">
        <v>136</v>
      </c>
      <c r="O1886" s="28">
        <v>45541.47916666667</v>
      </c>
      <c r="P1886" s="26" t="s">
        <v>7462</v>
      </c>
      <c r="Q1886" s="11"/>
      <c r="R1886" s="11" t="s">
        <v>73</v>
      </c>
      <c r="S1886" s="11" t="s">
        <v>101</v>
      </c>
      <c r="T1886" s="29">
        <v>45478.0</v>
      </c>
      <c r="U1886" s="29">
        <v>45506.37572640047</v>
      </c>
      <c r="V1886" s="29">
        <v>45534.40663655092</v>
      </c>
      <c r="W1886" s="30"/>
      <c r="X1886" s="30"/>
      <c r="Y1886" s="31"/>
      <c r="Z1886" s="31"/>
      <c r="AA1886" s="31"/>
      <c r="AB1886" s="31" t="s">
        <v>7466</v>
      </c>
      <c r="AC1886" s="31"/>
    </row>
    <row r="1887" ht="18.75" customHeight="1">
      <c r="A1887" s="18" t="s">
        <v>7467</v>
      </c>
      <c r="B1887" s="19" t="s">
        <v>7459</v>
      </c>
      <c r="C1887" s="20">
        <v>0.0</v>
      </c>
      <c r="D1887" s="21" t="s">
        <v>7468</v>
      </c>
      <c r="E1887" s="27" t="s">
        <v>1530</v>
      </c>
      <c r="F1887" s="18" t="s">
        <v>33</v>
      </c>
      <c r="G1887" s="32" t="s">
        <v>35</v>
      </c>
      <c r="H1887" s="23" t="s">
        <v>35</v>
      </c>
      <c r="I1887" s="24" t="s">
        <v>36</v>
      </c>
      <c r="J1887" s="25" t="s">
        <v>92</v>
      </c>
      <c r="K1887" s="26" t="s">
        <v>38</v>
      </c>
      <c r="L1887" s="25" t="s">
        <v>7461</v>
      </c>
      <c r="M1887" s="27" t="s">
        <v>50</v>
      </c>
      <c r="N1887" s="26" t="s">
        <v>136</v>
      </c>
      <c r="O1887" s="28">
        <v>45541.478472222225</v>
      </c>
      <c r="P1887" s="26" t="s">
        <v>7462</v>
      </c>
      <c r="Q1887" s="11"/>
      <c r="R1887" s="11" t="s">
        <v>73</v>
      </c>
      <c r="S1887" s="11" t="s">
        <v>101</v>
      </c>
      <c r="T1887" s="29">
        <v>45478.0</v>
      </c>
      <c r="U1887" s="29">
        <v>45506.37570001157</v>
      </c>
      <c r="V1887" s="29">
        <v>45534.48160216435</v>
      </c>
      <c r="W1887" s="30"/>
      <c r="X1887" s="30"/>
      <c r="Y1887" s="31"/>
      <c r="Z1887" s="31"/>
      <c r="AA1887" s="31"/>
      <c r="AB1887" s="31" t="s">
        <v>7469</v>
      </c>
      <c r="AC1887" s="31"/>
    </row>
    <row r="1888" ht="18.75" customHeight="1">
      <c r="A1888" s="18" t="s">
        <v>7470</v>
      </c>
      <c r="B1888" s="19" t="s">
        <v>7459</v>
      </c>
      <c r="C1888" s="20">
        <v>0.0</v>
      </c>
      <c r="D1888" s="21" t="s">
        <v>7471</v>
      </c>
      <c r="E1888" s="27" t="s">
        <v>1530</v>
      </c>
      <c r="F1888" s="18" t="s">
        <v>33</v>
      </c>
      <c r="G1888" s="32" t="s">
        <v>35</v>
      </c>
      <c r="H1888" s="23" t="s">
        <v>35</v>
      </c>
      <c r="I1888" s="24" t="s">
        <v>36</v>
      </c>
      <c r="J1888" s="25" t="s">
        <v>92</v>
      </c>
      <c r="K1888" s="26" t="s">
        <v>38</v>
      </c>
      <c r="L1888" s="25" t="s">
        <v>7461</v>
      </c>
      <c r="M1888" s="27" t="s">
        <v>50</v>
      </c>
      <c r="N1888" s="26" t="s">
        <v>136</v>
      </c>
      <c r="O1888" s="28">
        <v>45544.47986111111</v>
      </c>
      <c r="P1888" s="26" t="s">
        <v>7462</v>
      </c>
      <c r="Q1888" s="11"/>
      <c r="R1888" s="11" t="s">
        <v>73</v>
      </c>
      <c r="S1888" s="11" t="s">
        <v>101</v>
      </c>
      <c r="T1888" s="29">
        <v>45478.0</v>
      </c>
      <c r="U1888" s="29">
        <v>45506.37565219907</v>
      </c>
      <c r="V1888" s="29">
        <v>45534.69390097223</v>
      </c>
      <c r="W1888" s="30"/>
      <c r="X1888" s="30"/>
      <c r="Y1888" s="31"/>
      <c r="Z1888" s="31"/>
      <c r="AA1888" s="31"/>
      <c r="AB1888" s="31" t="s">
        <v>7472</v>
      </c>
      <c r="AC1888" s="31"/>
    </row>
    <row r="1889" ht="18.75" customHeight="1">
      <c r="A1889" s="18" t="s">
        <v>7473</v>
      </c>
      <c r="B1889" s="19" t="s">
        <v>7459</v>
      </c>
      <c r="C1889" s="20">
        <v>0.0</v>
      </c>
      <c r="D1889" s="21" t="s">
        <v>7474</v>
      </c>
      <c r="E1889" s="27" t="s">
        <v>1530</v>
      </c>
      <c r="F1889" s="18" t="s">
        <v>33</v>
      </c>
      <c r="G1889" s="32" t="s">
        <v>35</v>
      </c>
      <c r="H1889" s="23" t="s">
        <v>35</v>
      </c>
      <c r="I1889" s="24" t="s">
        <v>36</v>
      </c>
      <c r="J1889" s="25" t="s">
        <v>92</v>
      </c>
      <c r="K1889" s="26" t="s">
        <v>38</v>
      </c>
      <c r="L1889" s="25" t="s">
        <v>7461</v>
      </c>
      <c r="M1889" s="27" t="s">
        <v>50</v>
      </c>
      <c r="N1889" s="26" t="s">
        <v>136</v>
      </c>
      <c r="O1889" s="28">
        <v>45544.47986111111</v>
      </c>
      <c r="P1889" s="26" t="s">
        <v>7462</v>
      </c>
      <c r="Q1889" s="11"/>
      <c r="R1889" s="11" t="s">
        <v>73</v>
      </c>
      <c r="S1889" s="11" t="s">
        <v>101</v>
      </c>
      <c r="T1889" s="29">
        <v>45478.0</v>
      </c>
      <c r="U1889" s="29">
        <v>45506.375614930555</v>
      </c>
      <c r="V1889" s="29">
        <v>45534.48163971065</v>
      </c>
      <c r="W1889" s="30"/>
      <c r="X1889" s="30"/>
      <c r="Y1889" s="31"/>
      <c r="Z1889" s="31"/>
      <c r="AA1889" s="31"/>
      <c r="AB1889" s="31" t="s">
        <v>7475</v>
      </c>
      <c r="AC1889" s="31"/>
    </row>
    <row r="1890" ht="18.75" customHeight="1">
      <c r="A1890" s="18" t="s">
        <v>7476</v>
      </c>
      <c r="B1890" s="19" t="s">
        <v>7459</v>
      </c>
      <c r="C1890" s="20">
        <v>0.0</v>
      </c>
      <c r="D1890" s="21" t="s">
        <v>7477</v>
      </c>
      <c r="E1890" s="27" t="s">
        <v>1530</v>
      </c>
      <c r="F1890" s="18" t="s">
        <v>33</v>
      </c>
      <c r="G1890" s="32" t="s">
        <v>35</v>
      </c>
      <c r="H1890" s="23" t="s">
        <v>35</v>
      </c>
      <c r="I1890" s="24" t="s">
        <v>36</v>
      </c>
      <c r="J1890" s="25" t="s">
        <v>92</v>
      </c>
      <c r="K1890" s="26" t="s">
        <v>38</v>
      </c>
      <c r="L1890" s="25" t="s">
        <v>7461</v>
      </c>
      <c r="M1890" s="27" t="s">
        <v>50</v>
      </c>
      <c r="N1890" s="26" t="s">
        <v>136</v>
      </c>
      <c r="O1890" s="28">
        <v>45544.47916666667</v>
      </c>
      <c r="P1890" s="26" t="s">
        <v>7462</v>
      </c>
      <c r="Q1890" s="11"/>
      <c r="R1890" s="11" t="s">
        <v>73</v>
      </c>
      <c r="S1890" s="11" t="s">
        <v>101</v>
      </c>
      <c r="T1890" s="29">
        <v>45478.0</v>
      </c>
      <c r="U1890" s="29">
        <v>45506.37554436343</v>
      </c>
      <c r="V1890" s="29">
        <v>45534.5003407176</v>
      </c>
      <c r="W1890" s="30"/>
      <c r="X1890" s="30"/>
      <c r="Y1890" s="31"/>
      <c r="Z1890" s="31"/>
      <c r="AA1890" s="31"/>
      <c r="AB1890" s="31" t="s">
        <v>7478</v>
      </c>
      <c r="AC1890" s="31"/>
    </row>
    <row r="1891" ht="18.75" customHeight="1">
      <c r="A1891" s="18" t="s">
        <v>7479</v>
      </c>
      <c r="B1891" s="19" t="s">
        <v>7480</v>
      </c>
      <c r="C1891" s="20">
        <v>0.0</v>
      </c>
      <c r="D1891" s="21" t="s">
        <v>5752</v>
      </c>
      <c r="E1891" s="27" t="s">
        <v>79</v>
      </c>
      <c r="F1891" s="18" t="s">
        <v>33</v>
      </c>
      <c r="G1891" s="32" t="s">
        <v>35</v>
      </c>
      <c r="H1891" s="23" t="s">
        <v>35</v>
      </c>
      <c r="I1891" s="24" t="s">
        <v>36</v>
      </c>
      <c r="J1891" s="25" t="s">
        <v>92</v>
      </c>
      <c r="K1891" s="26" t="s">
        <v>38</v>
      </c>
      <c r="L1891" s="25">
        <v>11151.0</v>
      </c>
      <c r="M1891" s="27"/>
      <c r="N1891" s="26" t="s">
        <v>7145</v>
      </c>
      <c r="O1891" s="28">
        <v>45482.69607835649</v>
      </c>
      <c r="P1891" s="26" t="s">
        <v>6028</v>
      </c>
      <c r="Q1891" s="11"/>
      <c r="R1891" s="11"/>
      <c r="S1891" s="11"/>
      <c r="T1891" s="29">
        <v>45478.0</v>
      </c>
      <c r="U1891" s="29">
        <v>45481.0</v>
      </c>
      <c r="V1891" s="29">
        <v>45481.0</v>
      </c>
      <c r="W1891" s="30"/>
      <c r="X1891" s="30"/>
      <c r="Y1891" s="31"/>
      <c r="Z1891" s="31"/>
      <c r="AA1891" s="31"/>
      <c r="AB1891" s="31" t="s">
        <v>7481</v>
      </c>
      <c r="AC1891" s="31"/>
    </row>
    <row r="1892" ht="18.75" customHeight="1">
      <c r="A1892" s="18" t="s">
        <v>7482</v>
      </c>
      <c r="B1892" s="19" t="s">
        <v>7359</v>
      </c>
      <c r="C1892" s="20">
        <v>0.0</v>
      </c>
      <c r="D1892" s="21" t="s">
        <v>7483</v>
      </c>
      <c r="E1892" s="27" t="s">
        <v>511</v>
      </c>
      <c r="F1892" s="18" t="s">
        <v>33</v>
      </c>
      <c r="G1892" s="32" t="s">
        <v>35</v>
      </c>
      <c r="H1892" s="23" t="s">
        <v>35</v>
      </c>
      <c r="I1892" s="24" t="s">
        <v>36</v>
      </c>
      <c r="J1892" s="25" t="s">
        <v>92</v>
      </c>
      <c r="K1892" s="26" t="s">
        <v>38</v>
      </c>
      <c r="L1892" s="25">
        <v>11126.0</v>
      </c>
      <c r="M1892" s="27"/>
      <c r="N1892" s="26" t="s">
        <v>118</v>
      </c>
      <c r="O1892" s="28">
        <v>45481.69738400463</v>
      </c>
      <c r="P1892" s="35" t="s">
        <v>7484</v>
      </c>
      <c r="Q1892" s="11"/>
      <c r="R1892" s="11"/>
      <c r="S1892" s="11"/>
      <c r="T1892" s="29">
        <v>45478.0</v>
      </c>
      <c r="U1892" s="29">
        <v>45481.0</v>
      </c>
      <c r="V1892" s="29">
        <v>45481.0</v>
      </c>
      <c r="W1892" s="30"/>
      <c r="X1892" s="30"/>
      <c r="Y1892" s="31"/>
      <c r="Z1892" s="31"/>
      <c r="AA1892" s="31" t="s">
        <v>120</v>
      </c>
      <c r="AB1892" s="31" t="s">
        <v>7485</v>
      </c>
      <c r="AC1892" s="31"/>
    </row>
    <row r="1893" ht="18.75" customHeight="1">
      <c r="A1893" s="18" t="s">
        <v>7486</v>
      </c>
      <c r="B1893" s="19" t="s">
        <v>6430</v>
      </c>
      <c r="C1893" s="20">
        <v>1.0</v>
      </c>
      <c r="D1893" s="21" t="s">
        <v>7487</v>
      </c>
      <c r="E1893" s="27" t="s">
        <v>3395</v>
      </c>
      <c r="F1893" s="18" t="s">
        <v>48</v>
      </c>
      <c r="G1893" s="32" t="s">
        <v>35</v>
      </c>
      <c r="H1893" s="23" t="s">
        <v>35</v>
      </c>
      <c r="I1893" s="24" t="s">
        <v>36</v>
      </c>
      <c r="J1893" s="25" t="s">
        <v>49</v>
      </c>
      <c r="K1893" s="26" t="s">
        <v>6432</v>
      </c>
      <c r="L1893" s="25">
        <v>11122.0</v>
      </c>
      <c r="M1893" s="27" t="s">
        <v>50</v>
      </c>
      <c r="N1893" s="26" t="s">
        <v>4183</v>
      </c>
      <c r="O1893" s="28">
        <v>45481.60709668981</v>
      </c>
      <c r="P1893" s="26" t="s">
        <v>6028</v>
      </c>
      <c r="Q1893" s="11"/>
      <c r="R1893" s="11"/>
      <c r="S1893" s="11"/>
      <c r="T1893" s="29">
        <v>45478.0</v>
      </c>
      <c r="U1893" s="29">
        <v>45481.0</v>
      </c>
      <c r="V1893" s="29">
        <v>45481.55998333333</v>
      </c>
      <c r="W1893" s="30"/>
      <c r="X1893" s="30"/>
      <c r="Y1893" s="31"/>
      <c r="Z1893" s="31"/>
      <c r="AA1893" s="31" t="s">
        <v>5290</v>
      </c>
      <c r="AB1893" s="31" t="s">
        <v>7488</v>
      </c>
      <c r="AC1893" s="31"/>
    </row>
    <row r="1894" ht="18.75" customHeight="1">
      <c r="A1894" s="18" t="s">
        <v>7489</v>
      </c>
      <c r="B1894" s="19" t="s">
        <v>7490</v>
      </c>
      <c r="C1894" s="20">
        <v>0.0</v>
      </c>
      <c r="D1894" s="21" t="s">
        <v>7491</v>
      </c>
      <c r="E1894" s="27" t="s">
        <v>1530</v>
      </c>
      <c r="F1894" s="18" t="s">
        <v>33</v>
      </c>
      <c r="G1894" s="32" t="s">
        <v>35</v>
      </c>
      <c r="H1894" s="23" t="s">
        <v>35</v>
      </c>
      <c r="I1894" s="24" t="s">
        <v>36</v>
      </c>
      <c r="J1894" s="25" t="s">
        <v>92</v>
      </c>
      <c r="K1894" s="26" t="s">
        <v>38</v>
      </c>
      <c r="L1894" s="25">
        <v>11227.0</v>
      </c>
      <c r="M1894" s="27" t="s">
        <v>50</v>
      </c>
      <c r="N1894" s="26" t="s">
        <v>6840</v>
      </c>
      <c r="O1894" s="28">
        <v>45511.55452686343</v>
      </c>
      <c r="P1894" s="26" t="s">
        <v>7492</v>
      </c>
      <c r="Q1894" s="11"/>
      <c r="R1894" s="11"/>
      <c r="S1894" s="11"/>
      <c r="T1894" s="29">
        <v>45478.0</v>
      </c>
      <c r="U1894" s="29">
        <v>45485.0</v>
      </c>
      <c r="V1894" s="29">
        <v>45488.71509106482</v>
      </c>
      <c r="W1894" s="30"/>
      <c r="X1894" s="30"/>
      <c r="Y1894" s="31"/>
      <c r="Z1894" s="31"/>
      <c r="AA1894" s="31" t="s">
        <v>120</v>
      </c>
      <c r="AB1894" s="31" t="s">
        <v>7493</v>
      </c>
      <c r="AC1894" s="31"/>
    </row>
    <row r="1895" ht="18.75" customHeight="1">
      <c r="A1895" s="18" t="s">
        <v>7494</v>
      </c>
      <c r="B1895" s="19" t="s">
        <v>7490</v>
      </c>
      <c r="C1895" s="20">
        <v>0.0</v>
      </c>
      <c r="D1895" s="21" t="s">
        <v>7495</v>
      </c>
      <c r="E1895" s="27" t="s">
        <v>1530</v>
      </c>
      <c r="F1895" s="18" t="s">
        <v>33</v>
      </c>
      <c r="G1895" s="32" t="s">
        <v>35</v>
      </c>
      <c r="H1895" s="23" t="s">
        <v>35</v>
      </c>
      <c r="I1895" s="24" t="s">
        <v>36</v>
      </c>
      <c r="J1895" s="25" t="s">
        <v>92</v>
      </c>
      <c r="K1895" s="26" t="s">
        <v>38</v>
      </c>
      <c r="L1895" s="25">
        <v>11227.0</v>
      </c>
      <c r="M1895" s="27" t="s">
        <v>50</v>
      </c>
      <c r="N1895" s="26" t="s">
        <v>6840</v>
      </c>
      <c r="O1895" s="28">
        <v>45511.55462340278</v>
      </c>
      <c r="P1895" s="26" t="s">
        <v>7492</v>
      </c>
      <c r="Q1895" s="11"/>
      <c r="R1895" s="11"/>
      <c r="S1895" s="11" t="s">
        <v>101</v>
      </c>
      <c r="T1895" s="29">
        <v>45478.0</v>
      </c>
      <c r="U1895" s="29">
        <v>45485.0</v>
      </c>
      <c r="V1895" s="29">
        <v>45497.69944280093</v>
      </c>
      <c r="W1895" s="30"/>
      <c r="X1895" s="30"/>
      <c r="Y1895" s="31"/>
      <c r="Z1895" s="31"/>
      <c r="AA1895" s="31" t="s">
        <v>120</v>
      </c>
      <c r="AB1895" s="31" t="s">
        <v>7496</v>
      </c>
      <c r="AC1895" s="31"/>
    </row>
    <row r="1896" ht="18.75" customHeight="1">
      <c r="A1896" s="48" t="s">
        <v>7497</v>
      </c>
      <c r="B1896" s="53" t="s">
        <v>4739</v>
      </c>
      <c r="C1896" s="47">
        <v>1.0</v>
      </c>
      <c r="D1896" s="70" t="s">
        <v>7498</v>
      </c>
      <c r="E1896" s="55" t="s">
        <v>3395</v>
      </c>
      <c r="F1896" s="32" t="s">
        <v>48</v>
      </c>
      <c r="G1896" s="32" t="s">
        <v>35</v>
      </c>
      <c r="H1896" s="71" t="s">
        <v>35</v>
      </c>
      <c r="I1896" s="71" t="s">
        <v>36</v>
      </c>
      <c r="J1896" s="34" t="s">
        <v>65</v>
      </c>
      <c r="K1896" s="57" t="s">
        <v>38</v>
      </c>
      <c r="L1896" s="72">
        <v>11117.0</v>
      </c>
      <c r="M1896" s="22"/>
      <c r="N1896" s="35" t="s">
        <v>3461</v>
      </c>
      <c r="O1896" s="28"/>
      <c r="P1896" s="35" t="s">
        <v>7499</v>
      </c>
      <c r="Q1896" s="12"/>
      <c r="R1896" s="12"/>
      <c r="S1896" s="12"/>
      <c r="T1896" s="52">
        <v>45385.0</v>
      </c>
      <c r="U1896" s="52">
        <v>45385.0</v>
      </c>
      <c r="V1896" s="52">
        <v>45387.0</v>
      </c>
      <c r="W1896" s="30"/>
      <c r="X1896" s="30"/>
      <c r="Y1896" s="31"/>
      <c r="Z1896" s="31"/>
      <c r="AA1896" s="78" t="s">
        <v>94</v>
      </c>
      <c r="AB1896" s="74" t="s">
        <v>7500</v>
      </c>
      <c r="AC1896" s="74"/>
    </row>
    <row r="1897" ht="18.75" customHeight="1">
      <c r="A1897" s="48" t="s">
        <v>7501</v>
      </c>
      <c r="B1897" s="53" t="s">
        <v>7417</v>
      </c>
      <c r="C1897" s="47">
        <v>137.0</v>
      </c>
      <c r="D1897" s="70" t="s">
        <v>7502</v>
      </c>
      <c r="E1897" s="55" t="s">
        <v>85</v>
      </c>
      <c r="F1897" s="32" t="s">
        <v>48</v>
      </c>
      <c r="G1897" s="32" t="s">
        <v>35</v>
      </c>
      <c r="H1897" s="71" t="s">
        <v>35</v>
      </c>
      <c r="I1897" s="71" t="s">
        <v>36</v>
      </c>
      <c r="J1897" s="34" t="s">
        <v>49</v>
      </c>
      <c r="K1897" s="57" t="s">
        <v>38</v>
      </c>
      <c r="L1897" s="72">
        <v>11124.0</v>
      </c>
      <c r="M1897" s="22"/>
      <c r="N1897" s="73"/>
      <c r="O1897" s="28">
        <v>45394.0</v>
      </c>
      <c r="P1897" s="35" t="s">
        <v>7503</v>
      </c>
      <c r="Q1897" s="12"/>
      <c r="R1897" s="12"/>
      <c r="S1897" s="12"/>
      <c r="T1897" s="52">
        <v>45478.0</v>
      </c>
      <c r="U1897" s="52">
        <v>45384.0</v>
      </c>
      <c r="V1897" s="52">
        <v>45385.0</v>
      </c>
      <c r="W1897" s="30"/>
      <c r="X1897" s="30"/>
      <c r="Y1897" s="31"/>
      <c r="Z1897" s="31"/>
      <c r="AA1897" s="78" t="s">
        <v>94</v>
      </c>
      <c r="AB1897" s="74" t="s">
        <v>7504</v>
      </c>
      <c r="AC1897" s="74"/>
    </row>
    <row r="1898" ht="18.75" customHeight="1">
      <c r="A1898" s="18" t="s">
        <v>7505</v>
      </c>
      <c r="B1898" s="19" t="s">
        <v>6712</v>
      </c>
      <c r="C1898" s="20">
        <v>0.0</v>
      </c>
      <c r="D1898" s="21" t="s">
        <v>7506</v>
      </c>
      <c r="E1898" s="27" t="s">
        <v>2554</v>
      </c>
      <c r="F1898" s="18" t="s">
        <v>33</v>
      </c>
      <c r="G1898" s="32" t="s">
        <v>35</v>
      </c>
      <c r="H1898" s="23" t="s">
        <v>35</v>
      </c>
      <c r="I1898" s="24" t="s">
        <v>36</v>
      </c>
      <c r="J1898" s="25" t="s">
        <v>339</v>
      </c>
      <c r="K1898" s="26" t="s">
        <v>38</v>
      </c>
      <c r="L1898" s="25">
        <v>11188.0</v>
      </c>
      <c r="M1898" s="27" t="s">
        <v>6134</v>
      </c>
      <c r="N1898" s="26" t="s">
        <v>7507</v>
      </c>
      <c r="O1898" s="28">
        <v>45491.725703703705</v>
      </c>
      <c r="P1898" s="26" t="s">
        <v>7508</v>
      </c>
      <c r="Q1898" s="11"/>
      <c r="R1898" s="11"/>
      <c r="S1898" s="11"/>
      <c r="T1898" s="29">
        <v>45481.0</v>
      </c>
      <c r="U1898" s="29">
        <v>45483.0</v>
      </c>
      <c r="V1898" s="29">
        <v>45488.72338810185</v>
      </c>
      <c r="W1898" s="30"/>
      <c r="X1898" s="30"/>
      <c r="Y1898" s="31"/>
      <c r="Z1898" s="31"/>
      <c r="AA1898" s="31" t="s">
        <v>3059</v>
      </c>
      <c r="AB1898" s="31" t="s">
        <v>7509</v>
      </c>
      <c r="AC1898" s="31"/>
    </row>
    <row r="1899" ht="18.75" customHeight="1">
      <c r="A1899" s="18" t="s">
        <v>7510</v>
      </c>
      <c r="B1899" s="19" t="s">
        <v>7511</v>
      </c>
      <c r="C1899" s="20">
        <v>137.0</v>
      </c>
      <c r="D1899" s="21" t="s">
        <v>7512</v>
      </c>
      <c r="E1899" s="27" t="s">
        <v>85</v>
      </c>
      <c r="F1899" s="18" t="s">
        <v>48</v>
      </c>
      <c r="G1899" s="32" t="s">
        <v>35</v>
      </c>
      <c r="H1899" s="23" t="s">
        <v>35</v>
      </c>
      <c r="I1899" s="24" t="s">
        <v>36</v>
      </c>
      <c r="J1899" s="25" t="s">
        <v>49</v>
      </c>
      <c r="K1899" s="26" t="s">
        <v>38</v>
      </c>
      <c r="L1899" s="25">
        <v>11131.0</v>
      </c>
      <c r="M1899" s="27" t="s">
        <v>50</v>
      </c>
      <c r="N1899" s="26" t="s">
        <v>99</v>
      </c>
      <c r="O1899" s="28">
        <v>45482.709670717595</v>
      </c>
      <c r="P1899" s="26" t="s">
        <v>6028</v>
      </c>
      <c r="Q1899" s="11"/>
      <c r="R1899" s="11"/>
      <c r="S1899" s="11"/>
      <c r="T1899" s="29">
        <v>45481.0</v>
      </c>
      <c r="U1899" s="29">
        <v>45482.0</v>
      </c>
      <c r="V1899" s="29">
        <v>45482.48949953704</v>
      </c>
      <c r="W1899" s="30"/>
      <c r="X1899" s="30"/>
      <c r="Y1899" s="31"/>
      <c r="Z1899" s="31"/>
      <c r="AA1899" s="31" t="s">
        <v>102</v>
      </c>
      <c r="AB1899" s="31" t="s">
        <v>7513</v>
      </c>
      <c r="AC1899" s="31"/>
    </row>
    <row r="1900" ht="18.75" customHeight="1">
      <c r="A1900" s="18" t="s">
        <v>7514</v>
      </c>
      <c r="B1900" s="19" t="s">
        <v>6834</v>
      </c>
      <c r="C1900" s="20">
        <v>90.0</v>
      </c>
      <c r="D1900" s="21" t="s">
        <v>7515</v>
      </c>
      <c r="E1900" s="27" t="s">
        <v>91</v>
      </c>
      <c r="F1900" s="18" t="s">
        <v>48</v>
      </c>
      <c r="G1900" s="32" t="s">
        <v>35</v>
      </c>
      <c r="H1900" s="23" t="s">
        <v>35</v>
      </c>
      <c r="I1900" s="24" t="s">
        <v>36</v>
      </c>
      <c r="J1900" s="25" t="s">
        <v>49</v>
      </c>
      <c r="K1900" s="26" t="s">
        <v>38</v>
      </c>
      <c r="L1900" s="25">
        <v>11135.0</v>
      </c>
      <c r="M1900" s="27" t="s">
        <v>50</v>
      </c>
      <c r="N1900" s="26" t="s">
        <v>5936</v>
      </c>
      <c r="O1900" s="28">
        <v>45483.66586016204</v>
      </c>
      <c r="P1900" s="26" t="s">
        <v>6028</v>
      </c>
      <c r="Q1900" s="11"/>
      <c r="R1900" s="11"/>
      <c r="S1900" s="11"/>
      <c r="T1900" s="29">
        <v>45481.0</v>
      </c>
      <c r="U1900" s="29">
        <v>45482.0</v>
      </c>
      <c r="V1900" s="29">
        <v>45483.42208560185</v>
      </c>
      <c r="W1900" s="30"/>
      <c r="X1900" s="30"/>
      <c r="Y1900" s="31"/>
      <c r="Z1900" s="31"/>
      <c r="AA1900" s="31" t="s">
        <v>127</v>
      </c>
      <c r="AB1900" s="31" t="s">
        <v>7516</v>
      </c>
      <c r="AC1900" s="31"/>
    </row>
    <row r="1901" ht="18.75" customHeight="1">
      <c r="A1901" s="18" t="s">
        <v>7517</v>
      </c>
      <c r="B1901" s="19" t="s">
        <v>6834</v>
      </c>
      <c r="C1901" s="20">
        <v>90.0</v>
      </c>
      <c r="D1901" s="21" t="s">
        <v>7518</v>
      </c>
      <c r="E1901" s="27" t="s">
        <v>91</v>
      </c>
      <c r="F1901" s="18" t="s">
        <v>48</v>
      </c>
      <c r="G1901" s="32" t="s">
        <v>35</v>
      </c>
      <c r="H1901" s="23" t="s">
        <v>35</v>
      </c>
      <c r="I1901" s="24" t="s">
        <v>36</v>
      </c>
      <c r="J1901" s="25" t="s">
        <v>49</v>
      </c>
      <c r="K1901" s="26" t="s">
        <v>38</v>
      </c>
      <c r="L1901" s="25">
        <v>11135.0</v>
      </c>
      <c r="M1901" s="27" t="s">
        <v>50</v>
      </c>
      <c r="N1901" s="26" t="s">
        <v>5936</v>
      </c>
      <c r="O1901" s="28">
        <v>45483.665958240745</v>
      </c>
      <c r="P1901" s="26" t="s">
        <v>6028</v>
      </c>
      <c r="Q1901" s="11"/>
      <c r="R1901" s="11"/>
      <c r="S1901" s="11"/>
      <c r="T1901" s="29">
        <v>45481.0</v>
      </c>
      <c r="U1901" s="29">
        <v>45482.0</v>
      </c>
      <c r="V1901" s="29">
        <v>45483.42209576389</v>
      </c>
      <c r="W1901" s="30"/>
      <c r="X1901" s="30"/>
      <c r="Y1901" s="31"/>
      <c r="Z1901" s="31"/>
      <c r="AA1901" s="31" t="s">
        <v>127</v>
      </c>
      <c r="AB1901" s="31" t="s">
        <v>7519</v>
      </c>
      <c r="AC1901" s="31"/>
    </row>
    <row r="1902" ht="18.75" customHeight="1">
      <c r="A1902" s="18" t="s">
        <v>7520</v>
      </c>
      <c r="B1902" s="19" t="s">
        <v>7521</v>
      </c>
      <c r="C1902" s="20">
        <v>0.0</v>
      </c>
      <c r="D1902" s="21" t="s">
        <v>7522</v>
      </c>
      <c r="E1902" s="27" t="s">
        <v>408</v>
      </c>
      <c r="F1902" s="18" t="s">
        <v>33</v>
      </c>
      <c r="G1902" s="18" t="s">
        <v>34</v>
      </c>
      <c r="H1902" s="23" t="s">
        <v>35</v>
      </c>
      <c r="I1902" s="24" t="s">
        <v>36</v>
      </c>
      <c r="J1902" s="25" t="s">
        <v>49</v>
      </c>
      <c r="K1902" s="26" t="s">
        <v>38</v>
      </c>
      <c r="L1902" s="25">
        <v>11189.0</v>
      </c>
      <c r="M1902" s="27" t="s">
        <v>40</v>
      </c>
      <c r="N1902" s="26" t="s">
        <v>99</v>
      </c>
      <c r="O1902" s="28">
        <v>45491.72091510417</v>
      </c>
      <c r="P1902" s="26" t="s">
        <v>6028</v>
      </c>
      <c r="Q1902" s="11"/>
      <c r="R1902" s="11"/>
      <c r="S1902" s="11"/>
      <c r="T1902" s="29">
        <v>45481.0</v>
      </c>
      <c r="U1902" s="29">
        <v>45483.0</v>
      </c>
      <c r="V1902" s="29">
        <v>45488.0</v>
      </c>
      <c r="W1902" s="30"/>
      <c r="X1902" s="30"/>
      <c r="Y1902" s="31"/>
      <c r="Z1902" s="31"/>
      <c r="AA1902" s="31" t="s">
        <v>127</v>
      </c>
      <c r="AB1902" s="31" t="s">
        <v>7523</v>
      </c>
      <c r="AC1902" s="31"/>
    </row>
    <row r="1903" ht="18.75" customHeight="1">
      <c r="A1903" s="18" t="s">
        <v>7524</v>
      </c>
      <c r="B1903" s="19" t="s">
        <v>1849</v>
      </c>
      <c r="C1903" s="20">
        <v>1.0</v>
      </c>
      <c r="D1903" s="21" t="s">
        <v>7525</v>
      </c>
      <c r="E1903" s="27" t="s">
        <v>3395</v>
      </c>
      <c r="F1903" s="18" t="s">
        <v>48</v>
      </c>
      <c r="G1903" s="32" t="s">
        <v>35</v>
      </c>
      <c r="H1903" s="23" t="s">
        <v>35</v>
      </c>
      <c r="I1903" s="24" t="s">
        <v>36</v>
      </c>
      <c r="J1903" s="25" t="s">
        <v>49</v>
      </c>
      <c r="K1903" s="26" t="s">
        <v>38</v>
      </c>
      <c r="L1903" s="25">
        <v>11133.0</v>
      </c>
      <c r="M1903" s="27" t="s">
        <v>50</v>
      </c>
      <c r="N1903" s="26" t="s">
        <v>99</v>
      </c>
      <c r="O1903" s="28">
        <v>45482.709790925925</v>
      </c>
      <c r="P1903" s="26" t="s">
        <v>6028</v>
      </c>
      <c r="Q1903" s="11"/>
      <c r="R1903" s="11"/>
      <c r="S1903" s="11"/>
      <c r="T1903" s="29">
        <v>45481.0</v>
      </c>
      <c r="U1903" s="29">
        <v>45482.0</v>
      </c>
      <c r="V1903" s="29">
        <v>45482.48951008102</v>
      </c>
      <c r="W1903" s="30"/>
      <c r="X1903" s="30"/>
      <c r="Y1903" s="31"/>
      <c r="Z1903" s="31"/>
      <c r="AA1903" s="31" t="s">
        <v>102</v>
      </c>
      <c r="AB1903" s="31" t="s">
        <v>7526</v>
      </c>
      <c r="AC1903" s="31"/>
    </row>
    <row r="1904" ht="18.75" customHeight="1">
      <c r="A1904" s="18" t="s">
        <v>7527</v>
      </c>
      <c r="B1904" s="19" t="s">
        <v>7528</v>
      </c>
      <c r="C1904" s="20">
        <v>0.0</v>
      </c>
      <c r="D1904" s="21" t="s">
        <v>7529</v>
      </c>
      <c r="E1904" s="27" t="s">
        <v>171</v>
      </c>
      <c r="F1904" s="18" t="s">
        <v>48</v>
      </c>
      <c r="G1904" s="32" t="s">
        <v>35</v>
      </c>
      <c r="H1904" s="23" t="s">
        <v>35</v>
      </c>
      <c r="I1904" s="24" t="s">
        <v>36</v>
      </c>
      <c r="J1904" s="25" t="s">
        <v>49</v>
      </c>
      <c r="K1904" s="26" t="s">
        <v>7530</v>
      </c>
      <c r="L1904" s="25">
        <v>11136.0</v>
      </c>
      <c r="M1904" s="27" t="s">
        <v>50</v>
      </c>
      <c r="N1904" s="26" t="s">
        <v>5936</v>
      </c>
      <c r="O1904" s="28">
        <v>45483.66603399305</v>
      </c>
      <c r="P1904" s="26" t="s">
        <v>6028</v>
      </c>
      <c r="Q1904" s="11"/>
      <c r="R1904" s="11"/>
      <c r="S1904" s="11"/>
      <c r="T1904" s="29">
        <v>45481.0</v>
      </c>
      <c r="U1904" s="29">
        <v>45482.0</v>
      </c>
      <c r="V1904" s="29">
        <v>45483.42685105324</v>
      </c>
      <c r="W1904" s="30"/>
      <c r="X1904" s="30"/>
      <c r="Y1904" s="31"/>
      <c r="Z1904" s="31"/>
      <c r="AA1904" s="31" t="s">
        <v>108</v>
      </c>
      <c r="AB1904" s="31" t="s">
        <v>7531</v>
      </c>
      <c r="AC1904" s="31"/>
    </row>
    <row r="1905" ht="18.75" customHeight="1">
      <c r="A1905" s="18" t="s">
        <v>7532</v>
      </c>
      <c r="B1905" s="19" t="s">
        <v>7533</v>
      </c>
      <c r="C1905" s="20">
        <v>90.0</v>
      </c>
      <c r="D1905" s="21" t="s">
        <v>7534</v>
      </c>
      <c r="E1905" s="27" t="s">
        <v>91</v>
      </c>
      <c r="F1905" s="18" t="s">
        <v>48</v>
      </c>
      <c r="G1905" s="32" t="s">
        <v>35</v>
      </c>
      <c r="H1905" s="23" t="s">
        <v>35</v>
      </c>
      <c r="I1905" s="24" t="s">
        <v>36</v>
      </c>
      <c r="J1905" s="25" t="s">
        <v>49</v>
      </c>
      <c r="K1905" s="26" t="s">
        <v>38</v>
      </c>
      <c r="L1905" s="25">
        <v>11160.0</v>
      </c>
      <c r="M1905" s="27" t="s">
        <v>50</v>
      </c>
      <c r="N1905" s="26" t="s">
        <v>4183</v>
      </c>
      <c r="O1905" s="28">
        <v>45488.65456789352</v>
      </c>
      <c r="P1905" s="26" t="s">
        <v>6028</v>
      </c>
      <c r="Q1905" s="11"/>
      <c r="R1905" s="11"/>
      <c r="S1905" s="11"/>
      <c r="T1905" s="29">
        <v>45481.0</v>
      </c>
      <c r="U1905" s="29">
        <v>45485.0</v>
      </c>
      <c r="V1905" s="29">
        <v>45488.36456096065</v>
      </c>
      <c r="W1905" s="30"/>
      <c r="X1905" s="30"/>
      <c r="Y1905" s="31"/>
      <c r="Z1905" s="31"/>
      <c r="AA1905" s="31" t="s">
        <v>127</v>
      </c>
      <c r="AB1905" s="31" t="s">
        <v>7535</v>
      </c>
      <c r="AC1905" s="31"/>
    </row>
    <row r="1906" ht="18.75" customHeight="1">
      <c r="A1906" s="18" t="s">
        <v>7536</v>
      </c>
      <c r="B1906" s="19" t="s">
        <v>3036</v>
      </c>
      <c r="C1906" s="20">
        <v>11.0</v>
      </c>
      <c r="D1906" s="21" t="s">
        <v>7537</v>
      </c>
      <c r="E1906" s="27" t="s">
        <v>112</v>
      </c>
      <c r="F1906" s="18" t="s">
        <v>48</v>
      </c>
      <c r="G1906" s="32" t="s">
        <v>35</v>
      </c>
      <c r="H1906" s="23" t="s">
        <v>35</v>
      </c>
      <c r="I1906" s="24" t="s">
        <v>36</v>
      </c>
      <c r="J1906" s="25" t="s">
        <v>49</v>
      </c>
      <c r="K1906" s="26" t="s">
        <v>38</v>
      </c>
      <c r="L1906" s="25">
        <v>11137.0</v>
      </c>
      <c r="M1906" s="27" t="s">
        <v>50</v>
      </c>
      <c r="N1906" s="26" t="s">
        <v>5936</v>
      </c>
      <c r="O1906" s="28">
        <v>45483.66611685185</v>
      </c>
      <c r="P1906" s="26" t="s">
        <v>6028</v>
      </c>
      <c r="Q1906" s="11"/>
      <c r="R1906" s="11"/>
      <c r="S1906" s="11"/>
      <c r="T1906" s="29">
        <v>45481.0</v>
      </c>
      <c r="U1906" s="29">
        <v>45482.0</v>
      </c>
      <c r="V1906" s="29">
        <v>45483.427022083335</v>
      </c>
      <c r="W1906" s="30"/>
      <c r="X1906" s="30"/>
      <c r="Y1906" s="31"/>
      <c r="Z1906" s="31"/>
      <c r="AA1906" s="31" t="s">
        <v>94</v>
      </c>
      <c r="AB1906" s="31" t="s">
        <v>7538</v>
      </c>
      <c r="AC1906" s="31"/>
    </row>
    <row r="1907" ht="18.75" customHeight="1">
      <c r="A1907" s="18" t="s">
        <v>7539</v>
      </c>
      <c r="B1907" s="19" t="s">
        <v>6388</v>
      </c>
      <c r="C1907" s="20">
        <v>0.0</v>
      </c>
      <c r="D1907" s="21" t="s">
        <v>7540</v>
      </c>
      <c r="E1907" s="27" t="s">
        <v>532</v>
      </c>
      <c r="F1907" s="18" t="s">
        <v>244</v>
      </c>
      <c r="G1907" s="32" t="s">
        <v>35</v>
      </c>
      <c r="H1907" s="23" t="s">
        <v>35</v>
      </c>
      <c r="I1907" s="24" t="s">
        <v>36</v>
      </c>
      <c r="J1907" s="34" t="s">
        <v>65</v>
      </c>
      <c r="K1907" s="26" t="s">
        <v>38</v>
      </c>
      <c r="L1907" s="25">
        <v>11187.0</v>
      </c>
      <c r="M1907" s="27" t="s">
        <v>40</v>
      </c>
      <c r="N1907" s="26" t="s">
        <v>7541</v>
      </c>
      <c r="O1907" s="28">
        <v>45491.625765439814</v>
      </c>
      <c r="P1907" s="26" t="s">
        <v>7542</v>
      </c>
      <c r="Q1907" s="11"/>
      <c r="R1907" s="11"/>
      <c r="S1907" s="11"/>
      <c r="T1907" s="29">
        <v>45481.0</v>
      </c>
      <c r="U1907" s="29">
        <v>45485.0</v>
      </c>
      <c r="V1907" s="29">
        <v>45488.0</v>
      </c>
      <c r="W1907" s="30"/>
      <c r="X1907" s="30"/>
      <c r="Y1907" s="31"/>
      <c r="Z1907" s="31"/>
      <c r="AA1907" s="31" t="s">
        <v>94</v>
      </c>
      <c r="AB1907" s="31" t="s">
        <v>7543</v>
      </c>
      <c r="AC1907" s="31"/>
    </row>
    <row r="1908" ht="18.75" customHeight="1">
      <c r="A1908" s="18" t="s">
        <v>7544</v>
      </c>
      <c r="B1908" s="19" t="s">
        <v>7545</v>
      </c>
      <c r="C1908" s="20">
        <v>34.0</v>
      </c>
      <c r="D1908" s="21" t="s">
        <v>7546</v>
      </c>
      <c r="E1908" s="27" t="s">
        <v>47</v>
      </c>
      <c r="F1908" s="18" t="s">
        <v>48</v>
      </c>
      <c r="G1908" s="32" t="s">
        <v>35</v>
      </c>
      <c r="H1908" s="23" t="s">
        <v>35</v>
      </c>
      <c r="I1908" s="24" t="s">
        <v>36</v>
      </c>
      <c r="J1908" s="34" t="s">
        <v>65</v>
      </c>
      <c r="K1908" s="26" t="s">
        <v>38</v>
      </c>
      <c r="L1908" s="25">
        <v>11138.0</v>
      </c>
      <c r="M1908" s="27" t="s">
        <v>50</v>
      </c>
      <c r="N1908" s="26" t="s">
        <v>5102</v>
      </c>
      <c r="O1908" s="28">
        <v>45483.65780755787</v>
      </c>
      <c r="P1908" s="26" t="s">
        <v>6028</v>
      </c>
      <c r="Q1908" s="11"/>
      <c r="R1908" s="11"/>
      <c r="S1908" s="11"/>
      <c r="T1908" s="29">
        <v>45481.0</v>
      </c>
      <c r="U1908" s="29">
        <v>45482.0</v>
      </c>
      <c r="V1908" s="29">
        <v>45483.43434885416</v>
      </c>
      <c r="W1908" s="30"/>
      <c r="X1908" s="30"/>
      <c r="Y1908" s="31"/>
      <c r="Z1908" s="31"/>
      <c r="AA1908" s="31" t="s">
        <v>94</v>
      </c>
      <c r="AB1908" s="31" t="s">
        <v>7547</v>
      </c>
      <c r="AC1908" s="31"/>
    </row>
    <row r="1909" ht="18.75" customHeight="1">
      <c r="A1909" s="18" t="s">
        <v>7548</v>
      </c>
      <c r="B1909" s="19" t="s">
        <v>7545</v>
      </c>
      <c r="C1909" s="20">
        <v>34.0</v>
      </c>
      <c r="D1909" s="21" t="s">
        <v>7549</v>
      </c>
      <c r="E1909" s="27" t="s">
        <v>47</v>
      </c>
      <c r="F1909" s="18" t="s">
        <v>48</v>
      </c>
      <c r="G1909" s="32" t="s">
        <v>35</v>
      </c>
      <c r="H1909" s="23" t="s">
        <v>35</v>
      </c>
      <c r="I1909" s="24" t="s">
        <v>36</v>
      </c>
      <c r="J1909" s="34" t="s">
        <v>65</v>
      </c>
      <c r="K1909" s="26" t="s">
        <v>38</v>
      </c>
      <c r="L1909" s="25">
        <v>11138.0</v>
      </c>
      <c r="M1909" s="27" t="s">
        <v>50</v>
      </c>
      <c r="N1909" s="26" t="s">
        <v>5102</v>
      </c>
      <c r="O1909" s="28">
        <v>45483.657900624996</v>
      </c>
      <c r="P1909" s="26" t="s">
        <v>6028</v>
      </c>
      <c r="Q1909" s="11"/>
      <c r="R1909" s="11"/>
      <c r="S1909" s="11"/>
      <c r="T1909" s="29">
        <v>45481.0</v>
      </c>
      <c r="U1909" s="29">
        <v>45482.0</v>
      </c>
      <c r="V1909" s="29">
        <v>45483.434360266205</v>
      </c>
      <c r="W1909" s="30"/>
      <c r="X1909" s="30"/>
      <c r="Y1909" s="31"/>
      <c r="Z1909" s="31"/>
      <c r="AA1909" s="31" t="s">
        <v>94</v>
      </c>
      <c r="AB1909" s="31" t="s">
        <v>7550</v>
      </c>
      <c r="AC1909" s="31"/>
    </row>
    <row r="1910" ht="18.75" customHeight="1">
      <c r="A1910" s="18" t="s">
        <v>7551</v>
      </c>
      <c r="B1910" s="19" t="s">
        <v>7545</v>
      </c>
      <c r="C1910" s="20">
        <v>90.0</v>
      </c>
      <c r="D1910" s="21" t="s">
        <v>7552</v>
      </c>
      <c r="E1910" s="27" t="s">
        <v>91</v>
      </c>
      <c r="F1910" s="18" t="s">
        <v>48</v>
      </c>
      <c r="G1910" s="32" t="s">
        <v>35</v>
      </c>
      <c r="H1910" s="23" t="s">
        <v>35</v>
      </c>
      <c r="I1910" s="24" t="s">
        <v>36</v>
      </c>
      <c r="J1910" s="34" t="s">
        <v>65</v>
      </c>
      <c r="K1910" s="26" t="s">
        <v>38</v>
      </c>
      <c r="L1910" s="25" t="s">
        <v>6028</v>
      </c>
      <c r="M1910" s="27" t="s">
        <v>50</v>
      </c>
      <c r="N1910" s="26" t="s">
        <v>5102</v>
      </c>
      <c r="O1910" s="28">
        <v>45483.657993773144</v>
      </c>
      <c r="P1910" s="26" t="s">
        <v>7553</v>
      </c>
      <c r="Q1910" s="11"/>
      <c r="R1910" s="11"/>
      <c r="S1910" s="11" t="s">
        <v>73</v>
      </c>
      <c r="T1910" s="29">
        <v>45481.0</v>
      </c>
      <c r="U1910" s="29">
        <v>45482.0</v>
      </c>
      <c r="V1910" s="29">
        <v>45531.726275775465</v>
      </c>
      <c r="W1910" s="30"/>
      <c r="X1910" s="30"/>
      <c r="Y1910" s="31"/>
      <c r="Z1910" s="31"/>
      <c r="AA1910" s="31" t="s">
        <v>94</v>
      </c>
      <c r="AB1910" s="31" t="s">
        <v>7554</v>
      </c>
      <c r="AC1910" s="31"/>
    </row>
    <row r="1911" ht="18.75" customHeight="1">
      <c r="A1911" s="18" t="s">
        <v>7555</v>
      </c>
      <c r="B1911" s="19" t="s">
        <v>7545</v>
      </c>
      <c r="C1911" s="20">
        <v>137.0</v>
      </c>
      <c r="D1911" s="21" t="s">
        <v>7556</v>
      </c>
      <c r="E1911" s="27" t="s">
        <v>85</v>
      </c>
      <c r="F1911" s="18" t="s">
        <v>48</v>
      </c>
      <c r="G1911" s="32" t="s">
        <v>35</v>
      </c>
      <c r="H1911" s="23" t="s">
        <v>35</v>
      </c>
      <c r="I1911" s="24" t="s">
        <v>36</v>
      </c>
      <c r="J1911" s="34" t="s">
        <v>65</v>
      </c>
      <c r="K1911" s="26" t="s">
        <v>38</v>
      </c>
      <c r="L1911" s="25">
        <v>11138.0</v>
      </c>
      <c r="M1911" s="27" t="s">
        <v>50</v>
      </c>
      <c r="N1911" s="26" t="s">
        <v>5102</v>
      </c>
      <c r="O1911" s="28">
        <v>45483.6581096875</v>
      </c>
      <c r="P1911" s="26" t="s">
        <v>6028</v>
      </c>
      <c r="Q1911" s="11"/>
      <c r="R1911" s="11"/>
      <c r="S1911" s="11"/>
      <c r="T1911" s="29">
        <v>45481.0</v>
      </c>
      <c r="U1911" s="29">
        <v>45482.0</v>
      </c>
      <c r="V1911" s="29">
        <v>45483.434379768514</v>
      </c>
      <c r="W1911" s="30"/>
      <c r="X1911" s="30"/>
      <c r="Y1911" s="31"/>
      <c r="Z1911" s="31"/>
      <c r="AA1911" s="31" t="s">
        <v>94</v>
      </c>
      <c r="AB1911" s="31" t="s">
        <v>7557</v>
      </c>
      <c r="AC1911" s="31"/>
    </row>
    <row r="1912" ht="18.75" customHeight="1">
      <c r="A1912" s="18" t="s">
        <v>7558</v>
      </c>
      <c r="B1912" s="19" t="s">
        <v>1299</v>
      </c>
      <c r="C1912" s="20">
        <v>0.0</v>
      </c>
      <c r="D1912" s="21" t="s">
        <v>7559</v>
      </c>
      <c r="E1912" s="27" t="s">
        <v>3441</v>
      </c>
      <c r="F1912" s="18" t="s">
        <v>48</v>
      </c>
      <c r="G1912" s="32" t="s">
        <v>35</v>
      </c>
      <c r="H1912" s="23" t="s">
        <v>35</v>
      </c>
      <c r="I1912" s="24" t="s">
        <v>36</v>
      </c>
      <c r="J1912" s="25" t="s">
        <v>92</v>
      </c>
      <c r="K1912" s="26" t="s">
        <v>38</v>
      </c>
      <c r="L1912" s="25" t="s">
        <v>7560</v>
      </c>
      <c r="M1912" s="27" t="s">
        <v>50</v>
      </c>
      <c r="N1912" s="26" t="s">
        <v>7561</v>
      </c>
      <c r="O1912" s="28">
        <v>45483.413194444445</v>
      </c>
      <c r="P1912" s="26" t="s">
        <v>7562</v>
      </c>
      <c r="Q1912" s="11"/>
      <c r="R1912" s="11"/>
      <c r="S1912" s="11"/>
      <c r="T1912" s="29">
        <v>45482.0</v>
      </c>
      <c r="U1912" s="29">
        <v>45483.0</v>
      </c>
      <c r="V1912" s="29">
        <v>45483.40703765047</v>
      </c>
      <c r="W1912" s="30"/>
      <c r="X1912" s="30"/>
      <c r="Y1912" s="31"/>
      <c r="Z1912" s="31"/>
      <c r="AA1912" s="31" t="s">
        <v>120</v>
      </c>
      <c r="AB1912" s="31" t="s">
        <v>7563</v>
      </c>
      <c r="AC1912" s="31"/>
    </row>
    <row r="1913" ht="18.75" customHeight="1">
      <c r="A1913" s="18" t="s">
        <v>7564</v>
      </c>
      <c r="B1913" s="19" t="s">
        <v>7565</v>
      </c>
      <c r="C1913" s="20">
        <v>0.0</v>
      </c>
      <c r="D1913" s="21" t="s">
        <v>7566</v>
      </c>
      <c r="E1913" s="27" t="s">
        <v>3441</v>
      </c>
      <c r="F1913" s="18" t="s">
        <v>48</v>
      </c>
      <c r="G1913" s="32" t="s">
        <v>35</v>
      </c>
      <c r="H1913" s="23" t="s">
        <v>35</v>
      </c>
      <c r="I1913" s="24" t="s">
        <v>36</v>
      </c>
      <c r="J1913" s="34" t="s">
        <v>65</v>
      </c>
      <c r="K1913" s="26" t="s">
        <v>38</v>
      </c>
      <c r="L1913" s="25">
        <v>11139.0</v>
      </c>
      <c r="M1913" s="27" t="s">
        <v>50</v>
      </c>
      <c r="N1913" s="26" t="s">
        <v>5102</v>
      </c>
      <c r="O1913" s="28">
        <v>45483.65825039352</v>
      </c>
      <c r="P1913" s="26" t="s">
        <v>7567</v>
      </c>
      <c r="Q1913" s="11"/>
      <c r="R1913" s="11"/>
      <c r="S1913" s="11"/>
      <c r="T1913" s="29">
        <v>45482.0</v>
      </c>
      <c r="U1913" s="29">
        <v>45483.0</v>
      </c>
      <c r="V1913" s="29">
        <v>45483.458015185184</v>
      </c>
      <c r="W1913" s="30"/>
      <c r="X1913" s="30"/>
      <c r="Y1913" s="31"/>
      <c r="Z1913" s="31"/>
      <c r="AA1913" s="31" t="s">
        <v>120</v>
      </c>
      <c r="AB1913" s="31" t="s">
        <v>7568</v>
      </c>
      <c r="AC1913" s="31"/>
    </row>
    <row r="1914" ht="18.75" customHeight="1">
      <c r="A1914" s="18" t="s">
        <v>7569</v>
      </c>
      <c r="B1914" s="19" t="s">
        <v>7570</v>
      </c>
      <c r="C1914" s="20">
        <v>90.0</v>
      </c>
      <c r="D1914" s="21" t="s">
        <v>7571</v>
      </c>
      <c r="E1914" s="27" t="s">
        <v>91</v>
      </c>
      <c r="F1914" s="18" t="s">
        <v>48</v>
      </c>
      <c r="G1914" s="32" t="s">
        <v>35</v>
      </c>
      <c r="H1914" s="23" t="s">
        <v>35</v>
      </c>
      <c r="I1914" s="37" t="s">
        <v>36</v>
      </c>
      <c r="J1914" s="34" t="s">
        <v>65</v>
      </c>
      <c r="K1914" s="26" t="s">
        <v>38</v>
      </c>
      <c r="L1914" s="145">
        <v>11882.0</v>
      </c>
      <c r="M1914" s="27" t="s">
        <v>50</v>
      </c>
      <c r="N1914" s="26" t="s">
        <v>5279</v>
      </c>
      <c r="O1914" s="28">
        <v>45489.64364498843</v>
      </c>
      <c r="P1914" s="26" t="s">
        <v>7572</v>
      </c>
      <c r="Q1914" s="11" t="s">
        <v>67</v>
      </c>
      <c r="R1914" s="11"/>
      <c r="S1914" s="11"/>
      <c r="T1914" s="29">
        <v>45483.0</v>
      </c>
      <c r="U1914" s="29">
        <v>45488.0</v>
      </c>
      <c r="V1914" s="29"/>
      <c r="W1914" s="30"/>
      <c r="X1914" s="30"/>
      <c r="Y1914" s="31"/>
      <c r="Z1914" s="31"/>
      <c r="AA1914" s="31" t="s">
        <v>94</v>
      </c>
      <c r="AB1914" s="31" t="s">
        <v>7573</v>
      </c>
      <c r="AC1914" s="31"/>
    </row>
    <row r="1915" ht="18.75" customHeight="1">
      <c r="A1915" s="18" t="s">
        <v>7574</v>
      </c>
      <c r="B1915" s="19" t="s">
        <v>7575</v>
      </c>
      <c r="C1915" s="20">
        <v>90.0</v>
      </c>
      <c r="D1915" s="21" t="s">
        <v>7576</v>
      </c>
      <c r="E1915" s="27" t="s">
        <v>91</v>
      </c>
      <c r="F1915" s="18" t="s">
        <v>48</v>
      </c>
      <c r="G1915" s="32" t="s">
        <v>35</v>
      </c>
      <c r="H1915" s="23" t="s">
        <v>35</v>
      </c>
      <c r="I1915" s="24" t="s">
        <v>36</v>
      </c>
      <c r="J1915" s="34" t="s">
        <v>65</v>
      </c>
      <c r="K1915" s="26" t="s">
        <v>38</v>
      </c>
      <c r="L1915" s="25">
        <v>11148.0</v>
      </c>
      <c r="M1915" s="27" t="s">
        <v>6134</v>
      </c>
      <c r="N1915" s="26" t="s">
        <v>5706</v>
      </c>
      <c r="O1915" s="28">
        <v>45484.62172282407</v>
      </c>
      <c r="P1915" s="26" t="s">
        <v>6028</v>
      </c>
      <c r="Q1915" s="11"/>
      <c r="R1915" s="11"/>
      <c r="S1915" s="11"/>
      <c r="T1915" s="29">
        <v>45483.0</v>
      </c>
      <c r="U1915" s="29">
        <v>45483.0</v>
      </c>
      <c r="V1915" s="29">
        <v>45484.46049880787</v>
      </c>
      <c r="W1915" s="30"/>
      <c r="X1915" s="30"/>
      <c r="Y1915" s="31"/>
      <c r="Z1915" s="31"/>
      <c r="AA1915" s="31" t="s">
        <v>94</v>
      </c>
      <c r="AB1915" s="31" t="s">
        <v>7577</v>
      </c>
      <c r="AC1915" s="31"/>
    </row>
    <row r="1916" ht="18.75" customHeight="1">
      <c r="A1916" s="18" t="s">
        <v>7578</v>
      </c>
      <c r="B1916" s="19" t="s">
        <v>388</v>
      </c>
      <c r="C1916" s="20">
        <v>0.0</v>
      </c>
      <c r="D1916" s="21" t="s">
        <v>7579</v>
      </c>
      <c r="E1916" s="27" t="s">
        <v>664</v>
      </c>
      <c r="F1916" s="18" t="s">
        <v>48</v>
      </c>
      <c r="G1916" s="32" t="s">
        <v>35</v>
      </c>
      <c r="H1916" s="23" t="s">
        <v>35</v>
      </c>
      <c r="I1916" s="24" t="s">
        <v>36</v>
      </c>
      <c r="J1916" s="34" t="s">
        <v>65</v>
      </c>
      <c r="K1916" s="26" t="s">
        <v>38</v>
      </c>
      <c r="L1916" s="25">
        <v>11154.0</v>
      </c>
      <c r="M1916" s="27" t="s">
        <v>50</v>
      </c>
      <c r="N1916" s="26" t="s">
        <v>5279</v>
      </c>
      <c r="O1916" s="28">
        <v>45485.64156358797</v>
      </c>
      <c r="P1916" s="26" t="s">
        <v>6028</v>
      </c>
      <c r="Q1916" s="11"/>
      <c r="R1916" s="11"/>
      <c r="S1916" s="11"/>
      <c r="T1916" s="29">
        <v>45483.0</v>
      </c>
      <c r="U1916" s="29">
        <v>45485.0</v>
      </c>
      <c r="V1916" s="29">
        <v>45485.50210143518</v>
      </c>
      <c r="W1916" s="30"/>
      <c r="X1916" s="30"/>
      <c r="Y1916" s="31"/>
      <c r="Z1916" s="31"/>
      <c r="AA1916" s="31" t="s">
        <v>94</v>
      </c>
      <c r="AB1916" s="31" t="s">
        <v>7580</v>
      </c>
      <c r="AC1916" s="31"/>
    </row>
    <row r="1917" ht="18.75" customHeight="1">
      <c r="A1917" s="18" t="s">
        <v>7581</v>
      </c>
      <c r="B1917" s="19" t="s">
        <v>388</v>
      </c>
      <c r="C1917" s="20">
        <v>0.0</v>
      </c>
      <c r="D1917" s="21" t="s">
        <v>7582</v>
      </c>
      <c r="E1917" s="27" t="s">
        <v>664</v>
      </c>
      <c r="F1917" s="18" t="s">
        <v>48</v>
      </c>
      <c r="G1917" s="32" t="s">
        <v>35</v>
      </c>
      <c r="H1917" s="23" t="s">
        <v>35</v>
      </c>
      <c r="I1917" s="24" t="s">
        <v>36</v>
      </c>
      <c r="J1917" s="34" t="s">
        <v>65</v>
      </c>
      <c r="K1917" s="26" t="s">
        <v>38</v>
      </c>
      <c r="L1917" s="25">
        <v>11154.0</v>
      </c>
      <c r="M1917" s="27" t="s">
        <v>50</v>
      </c>
      <c r="N1917" s="26" t="s">
        <v>5279</v>
      </c>
      <c r="O1917" s="28">
        <v>45485.641647592594</v>
      </c>
      <c r="P1917" s="26" t="s">
        <v>6028</v>
      </c>
      <c r="Q1917" s="11"/>
      <c r="R1917" s="11"/>
      <c r="S1917" s="11"/>
      <c r="T1917" s="29">
        <v>45483.0</v>
      </c>
      <c r="U1917" s="29">
        <v>45485.0</v>
      </c>
      <c r="V1917" s="29">
        <v>45485.50212175926</v>
      </c>
      <c r="W1917" s="30"/>
      <c r="X1917" s="30"/>
      <c r="Y1917" s="31"/>
      <c r="Z1917" s="31"/>
      <c r="AA1917" s="31" t="s">
        <v>94</v>
      </c>
      <c r="AB1917" s="31" t="s">
        <v>7583</v>
      </c>
      <c r="AC1917" s="31"/>
    </row>
    <row r="1918" ht="18.75" customHeight="1">
      <c r="A1918" s="18" t="s">
        <v>7584</v>
      </c>
      <c r="B1918" s="19" t="s">
        <v>388</v>
      </c>
      <c r="C1918" s="20">
        <v>0.0</v>
      </c>
      <c r="D1918" s="21" t="s">
        <v>7585</v>
      </c>
      <c r="E1918" s="27" t="s">
        <v>664</v>
      </c>
      <c r="F1918" s="18" t="s">
        <v>48</v>
      </c>
      <c r="G1918" s="32" t="s">
        <v>35</v>
      </c>
      <c r="H1918" s="23" t="s">
        <v>35</v>
      </c>
      <c r="I1918" s="24" t="s">
        <v>36</v>
      </c>
      <c r="J1918" s="34" t="s">
        <v>65</v>
      </c>
      <c r="K1918" s="26" t="s">
        <v>38</v>
      </c>
      <c r="L1918" s="25">
        <v>11154.0</v>
      </c>
      <c r="M1918" s="27" t="s">
        <v>50</v>
      </c>
      <c r="N1918" s="26" t="s">
        <v>5279</v>
      </c>
      <c r="O1918" s="28">
        <v>45485.64174494213</v>
      </c>
      <c r="P1918" s="26" t="s">
        <v>6028</v>
      </c>
      <c r="Q1918" s="11"/>
      <c r="R1918" s="11"/>
      <c r="S1918" s="11"/>
      <c r="T1918" s="29">
        <v>45483.0</v>
      </c>
      <c r="U1918" s="29">
        <v>45485.0</v>
      </c>
      <c r="V1918" s="29">
        <v>45485.502129988425</v>
      </c>
      <c r="W1918" s="30"/>
      <c r="X1918" s="30"/>
      <c r="Y1918" s="31"/>
      <c r="Z1918" s="31"/>
      <c r="AA1918" s="31" t="s">
        <v>94</v>
      </c>
      <c r="AB1918" s="31" t="s">
        <v>7586</v>
      </c>
      <c r="AC1918" s="31"/>
    </row>
    <row r="1919" ht="18.75" customHeight="1">
      <c r="A1919" s="18" t="s">
        <v>7587</v>
      </c>
      <c r="B1919" s="19" t="s">
        <v>7588</v>
      </c>
      <c r="C1919" s="20">
        <v>137.0</v>
      </c>
      <c r="D1919" s="21" t="s">
        <v>7589</v>
      </c>
      <c r="E1919" s="27" t="s">
        <v>85</v>
      </c>
      <c r="F1919" s="18" t="s">
        <v>48</v>
      </c>
      <c r="G1919" s="32" t="s">
        <v>35</v>
      </c>
      <c r="H1919" s="23" t="s">
        <v>35</v>
      </c>
      <c r="I1919" s="24" t="s">
        <v>36</v>
      </c>
      <c r="J1919" s="25" t="s">
        <v>420</v>
      </c>
      <c r="K1919" s="26" t="s">
        <v>38</v>
      </c>
      <c r="L1919" s="25">
        <v>11145.0</v>
      </c>
      <c r="M1919" s="27" t="s">
        <v>6134</v>
      </c>
      <c r="N1919" s="26" t="s">
        <v>4031</v>
      </c>
      <c r="O1919" s="28">
        <v>45484.61944285879</v>
      </c>
      <c r="P1919" s="26" t="s">
        <v>6028</v>
      </c>
      <c r="Q1919" s="11"/>
      <c r="R1919" s="11"/>
      <c r="S1919" s="11"/>
      <c r="T1919" s="29">
        <v>45483.0</v>
      </c>
      <c r="U1919" s="29">
        <v>45483.0</v>
      </c>
      <c r="V1919" s="29">
        <v>45484.46240542824</v>
      </c>
      <c r="W1919" s="30"/>
      <c r="X1919" s="30"/>
      <c r="Y1919" s="31"/>
      <c r="Z1919" s="31"/>
      <c r="AA1919" s="31" t="s">
        <v>120</v>
      </c>
      <c r="AB1919" s="31" t="s">
        <v>7590</v>
      </c>
      <c r="AC1919" s="31"/>
    </row>
    <row r="1920" ht="18.75" customHeight="1">
      <c r="A1920" s="18" t="s">
        <v>7591</v>
      </c>
      <c r="B1920" s="19" t="s">
        <v>7592</v>
      </c>
      <c r="C1920" s="20">
        <v>0.0</v>
      </c>
      <c r="D1920" s="21" t="s">
        <v>7593</v>
      </c>
      <c r="E1920" s="27" t="s">
        <v>165</v>
      </c>
      <c r="F1920" s="18" t="s">
        <v>33</v>
      </c>
      <c r="G1920" s="18" t="s">
        <v>34</v>
      </c>
      <c r="H1920" s="23" t="s">
        <v>35</v>
      </c>
      <c r="I1920" s="24" t="s">
        <v>36</v>
      </c>
      <c r="J1920" s="25" t="s">
        <v>49</v>
      </c>
      <c r="K1920" s="26" t="s">
        <v>38</v>
      </c>
      <c r="L1920" s="25">
        <v>11186.0</v>
      </c>
      <c r="M1920" s="27" t="s">
        <v>40</v>
      </c>
      <c r="N1920" s="26" t="s">
        <v>99</v>
      </c>
      <c r="O1920" s="28">
        <v>45491.720995717595</v>
      </c>
      <c r="P1920" s="26" t="s">
        <v>6028</v>
      </c>
      <c r="Q1920" s="11"/>
      <c r="R1920" s="11"/>
      <c r="S1920" s="11"/>
      <c r="T1920" s="29">
        <v>45483.0</v>
      </c>
      <c r="U1920" s="29">
        <v>45483.0</v>
      </c>
      <c r="V1920" s="29">
        <v>45488.0</v>
      </c>
      <c r="W1920" s="30"/>
      <c r="X1920" s="30"/>
      <c r="Y1920" s="31"/>
      <c r="Z1920" s="31"/>
      <c r="AA1920" s="31" t="s">
        <v>102</v>
      </c>
      <c r="AB1920" s="31" t="s">
        <v>7594</v>
      </c>
      <c r="AC1920" s="31"/>
    </row>
    <row r="1921" ht="18.75" customHeight="1">
      <c r="A1921" s="18" t="s">
        <v>7595</v>
      </c>
      <c r="B1921" s="19" t="s">
        <v>96</v>
      </c>
      <c r="C1921" s="20">
        <v>137.0</v>
      </c>
      <c r="D1921" s="21"/>
      <c r="E1921" s="27" t="s">
        <v>85</v>
      </c>
      <c r="F1921" s="18" t="s">
        <v>48</v>
      </c>
      <c r="G1921" s="32" t="s">
        <v>35</v>
      </c>
      <c r="H1921" s="23" t="s">
        <v>35</v>
      </c>
      <c r="I1921" s="24" t="s">
        <v>665</v>
      </c>
      <c r="J1921" s="25" t="s">
        <v>49</v>
      </c>
      <c r="K1921" s="26" t="s">
        <v>38</v>
      </c>
      <c r="L1921" s="25">
        <v>11142.0</v>
      </c>
      <c r="M1921" s="27" t="s">
        <v>6134</v>
      </c>
      <c r="N1921" s="26" t="s">
        <v>4183</v>
      </c>
      <c r="O1921" s="28">
        <v>45484.65154880787</v>
      </c>
      <c r="P1921" s="26" t="s">
        <v>7596</v>
      </c>
      <c r="Q1921" s="11" t="s">
        <v>75</v>
      </c>
      <c r="R1921" s="11" t="s">
        <v>75</v>
      </c>
      <c r="S1921" s="11"/>
      <c r="T1921" s="141">
        <v>45792.470285601856</v>
      </c>
      <c r="U1921" s="141">
        <v>45792.470250625</v>
      </c>
      <c r="V1921" s="29">
        <v>45484.46360423611</v>
      </c>
      <c r="W1921" s="30"/>
      <c r="X1921" s="30"/>
      <c r="Y1921" s="31"/>
      <c r="Z1921" s="31"/>
      <c r="AA1921" s="31"/>
      <c r="AB1921" s="31" t="s">
        <v>7597</v>
      </c>
      <c r="AC1921" s="31"/>
    </row>
    <row r="1922" ht="18.75" customHeight="1">
      <c r="A1922" s="18" t="s">
        <v>7598</v>
      </c>
      <c r="B1922" s="19" t="s">
        <v>96</v>
      </c>
      <c r="C1922" s="20">
        <v>137.0</v>
      </c>
      <c r="D1922" s="21"/>
      <c r="E1922" s="27" t="s">
        <v>85</v>
      </c>
      <c r="F1922" s="18" t="s">
        <v>48</v>
      </c>
      <c r="G1922" s="32" t="s">
        <v>35</v>
      </c>
      <c r="H1922" s="23" t="s">
        <v>35</v>
      </c>
      <c r="I1922" s="24" t="s">
        <v>665</v>
      </c>
      <c r="J1922" s="25" t="s">
        <v>49</v>
      </c>
      <c r="K1922" s="26" t="s">
        <v>38</v>
      </c>
      <c r="L1922" s="25">
        <v>11142.0</v>
      </c>
      <c r="M1922" s="27" t="s">
        <v>6134</v>
      </c>
      <c r="N1922" s="26" t="s">
        <v>4183</v>
      </c>
      <c r="O1922" s="28">
        <v>45484.65160271991</v>
      </c>
      <c r="P1922" s="26" t="s">
        <v>7596</v>
      </c>
      <c r="Q1922" s="11" t="s">
        <v>75</v>
      </c>
      <c r="R1922" s="11" t="s">
        <v>75</v>
      </c>
      <c r="S1922" s="11"/>
      <c r="T1922" s="141">
        <v>45792.470382581014</v>
      </c>
      <c r="U1922" s="141">
        <v>45792.47034943287</v>
      </c>
      <c r="V1922" s="29">
        <v>45484.46354226852</v>
      </c>
      <c r="W1922" s="30"/>
      <c r="X1922" s="30"/>
      <c r="Y1922" s="31"/>
      <c r="Z1922" s="31"/>
      <c r="AA1922" s="31"/>
      <c r="AB1922" s="31" t="s">
        <v>7599</v>
      </c>
      <c r="AC1922" s="31"/>
    </row>
    <row r="1923" ht="18.75" customHeight="1">
      <c r="A1923" s="18" t="s">
        <v>7600</v>
      </c>
      <c r="B1923" s="19" t="s">
        <v>96</v>
      </c>
      <c r="C1923" s="20">
        <v>137.0</v>
      </c>
      <c r="D1923" s="21" t="s">
        <v>7601</v>
      </c>
      <c r="E1923" s="27" t="s">
        <v>85</v>
      </c>
      <c r="F1923" s="18" t="s">
        <v>48</v>
      </c>
      <c r="G1923" s="32" t="s">
        <v>35</v>
      </c>
      <c r="H1923" s="23" t="s">
        <v>35</v>
      </c>
      <c r="I1923" s="24" t="s">
        <v>36</v>
      </c>
      <c r="J1923" s="25" t="s">
        <v>49</v>
      </c>
      <c r="K1923" s="26" t="s">
        <v>38</v>
      </c>
      <c r="L1923" s="25">
        <v>11143.0</v>
      </c>
      <c r="M1923" s="27" t="s">
        <v>6134</v>
      </c>
      <c r="N1923" s="26" t="s">
        <v>4183</v>
      </c>
      <c r="O1923" s="28">
        <v>45484.65164640047</v>
      </c>
      <c r="P1923" s="26" t="s">
        <v>7602</v>
      </c>
      <c r="Q1923" s="11"/>
      <c r="R1923" s="11"/>
      <c r="S1923" s="11"/>
      <c r="T1923" s="29">
        <v>45483.0</v>
      </c>
      <c r="U1923" s="29">
        <v>45483.0</v>
      </c>
      <c r="V1923" s="29">
        <v>45484.4637609375</v>
      </c>
      <c r="W1923" s="30"/>
      <c r="X1923" s="30"/>
      <c r="Y1923" s="31"/>
      <c r="Z1923" s="31"/>
      <c r="AA1923" s="31" t="s">
        <v>102</v>
      </c>
      <c r="AB1923" s="31" t="s">
        <v>7603</v>
      </c>
      <c r="AC1923" s="31"/>
    </row>
    <row r="1924" ht="18.75" customHeight="1">
      <c r="A1924" s="18" t="s">
        <v>7604</v>
      </c>
      <c r="B1924" s="19" t="s">
        <v>96</v>
      </c>
      <c r="C1924" s="20">
        <v>137.0</v>
      </c>
      <c r="D1924" s="21" t="s">
        <v>7605</v>
      </c>
      <c r="E1924" s="27" t="s">
        <v>85</v>
      </c>
      <c r="F1924" s="18" t="s">
        <v>48</v>
      </c>
      <c r="G1924" s="32" t="s">
        <v>35</v>
      </c>
      <c r="H1924" s="23" t="s">
        <v>35</v>
      </c>
      <c r="I1924" s="24" t="s">
        <v>36</v>
      </c>
      <c r="J1924" s="25" t="s">
        <v>49</v>
      </c>
      <c r="K1924" s="26" t="s">
        <v>38</v>
      </c>
      <c r="L1924" s="25">
        <v>11143.0</v>
      </c>
      <c r="M1924" s="27" t="s">
        <v>6134</v>
      </c>
      <c r="N1924" s="26" t="s">
        <v>4183</v>
      </c>
      <c r="O1924" s="28">
        <v>45484.6516940625</v>
      </c>
      <c r="P1924" s="26" t="s">
        <v>7602</v>
      </c>
      <c r="Q1924" s="11"/>
      <c r="R1924" s="11"/>
      <c r="S1924" s="11"/>
      <c r="T1924" s="29">
        <v>45483.0</v>
      </c>
      <c r="U1924" s="29">
        <v>45483.0</v>
      </c>
      <c r="V1924" s="29">
        <v>45484.46389324074</v>
      </c>
      <c r="W1924" s="30"/>
      <c r="X1924" s="30"/>
      <c r="Y1924" s="31"/>
      <c r="Z1924" s="31"/>
      <c r="AA1924" s="31" t="s">
        <v>102</v>
      </c>
      <c r="AB1924" s="31" t="s">
        <v>7606</v>
      </c>
      <c r="AC1924" s="31"/>
    </row>
    <row r="1925" ht="18.75" customHeight="1">
      <c r="A1925" s="18" t="s">
        <v>7607</v>
      </c>
      <c r="B1925" s="19" t="s">
        <v>7608</v>
      </c>
      <c r="C1925" s="20">
        <v>0.0</v>
      </c>
      <c r="D1925" s="21" t="s">
        <v>7609</v>
      </c>
      <c r="E1925" s="27" t="s">
        <v>171</v>
      </c>
      <c r="F1925" s="18" t="s">
        <v>48</v>
      </c>
      <c r="G1925" s="32" t="s">
        <v>35</v>
      </c>
      <c r="H1925" s="23" t="s">
        <v>35</v>
      </c>
      <c r="I1925" s="24" t="s">
        <v>36</v>
      </c>
      <c r="J1925" s="25" t="s">
        <v>49</v>
      </c>
      <c r="K1925" s="26" t="s">
        <v>518</v>
      </c>
      <c r="L1925" s="25">
        <v>11193.0</v>
      </c>
      <c r="M1925" s="27" t="s">
        <v>7610</v>
      </c>
      <c r="N1925" s="26" t="s">
        <v>4183</v>
      </c>
      <c r="O1925" s="28">
        <v>45492.65404775463</v>
      </c>
      <c r="P1925" s="26" t="s">
        <v>6028</v>
      </c>
      <c r="Q1925" s="11"/>
      <c r="R1925" s="11"/>
      <c r="S1925" s="11"/>
      <c r="T1925" s="29">
        <v>45483.0</v>
      </c>
      <c r="U1925" s="29">
        <v>45491.71206982639</v>
      </c>
      <c r="V1925" s="29">
        <v>45492.41465997685</v>
      </c>
      <c r="W1925" s="30"/>
      <c r="X1925" s="30"/>
      <c r="Y1925" s="31"/>
      <c r="Z1925" s="31"/>
      <c r="AA1925" s="31" t="s">
        <v>108</v>
      </c>
      <c r="AB1925" s="31" t="s">
        <v>7611</v>
      </c>
      <c r="AC1925" s="31"/>
    </row>
    <row r="1926" ht="18.75" customHeight="1">
      <c r="A1926" s="18" t="s">
        <v>7612</v>
      </c>
      <c r="B1926" s="19" t="s">
        <v>7608</v>
      </c>
      <c r="C1926" s="20">
        <v>0.0</v>
      </c>
      <c r="D1926" s="21" t="s">
        <v>7613</v>
      </c>
      <c r="E1926" s="27" t="s">
        <v>171</v>
      </c>
      <c r="F1926" s="18" t="s">
        <v>48</v>
      </c>
      <c r="G1926" s="32" t="s">
        <v>35</v>
      </c>
      <c r="H1926" s="23" t="s">
        <v>35</v>
      </c>
      <c r="I1926" s="24" t="s">
        <v>36</v>
      </c>
      <c r="J1926" s="25" t="s">
        <v>49</v>
      </c>
      <c r="K1926" s="26" t="s">
        <v>518</v>
      </c>
      <c r="L1926" s="25">
        <v>11193.0</v>
      </c>
      <c r="M1926" s="27" t="s">
        <v>7610</v>
      </c>
      <c r="N1926" s="26" t="s">
        <v>4183</v>
      </c>
      <c r="O1926" s="28">
        <v>45492.65388456019</v>
      </c>
      <c r="P1926" s="26" t="s">
        <v>6028</v>
      </c>
      <c r="Q1926" s="11"/>
      <c r="R1926" s="11"/>
      <c r="S1926" s="11"/>
      <c r="T1926" s="29">
        <v>45483.0</v>
      </c>
      <c r="U1926" s="29">
        <v>45491.71206135416</v>
      </c>
      <c r="V1926" s="29">
        <v>45492.41466923611</v>
      </c>
      <c r="W1926" s="30"/>
      <c r="X1926" s="30"/>
      <c r="Y1926" s="31"/>
      <c r="Z1926" s="31"/>
      <c r="AA1926" s="31" t="s">
        <v>108</v>
      </c>
      <c r="AB1926" s="31" t="s">
        <v>7614</v>
      </c>
      <c r="AC1926" s="31"/>
    </row>
    <row r="1927" ht="18.75" customHeight="1">
      <c r="A1927" s="18" t="s">
        <v>7615</v>
      </c>
      <c r="B1927" s="19" t="s">
        <v>7608</v>
      </c>
      <c r="C1927" s="20">
        <v>0.0</v>
      </c>
      <c r="D1927" s="21" t="s">
        <v>7616</v>
      </c>
      <c r="E1927" s="27" t="s">
        <v>171</v>
      </c>
      <c r="F1927" s="18" t="s">
        <v>48</v>
      </c>
      <c r="G1927" s="32" t="s">
        <v>35</v>
      </c>
      <c r="H1927" s="23" t="s">
        <v>35</v>
      </c>
      <c r="I1927" s="24" t="s">
        <v>36</v>
      </c>
      <c r="J1927" s="25" t="s">
        <v>49</v>
      </c>
      <c r="K1927" s="26" t="s">
        <v>518</v>
      </c>
      <c r="L1927" s="25">
        <v>11193.0</v>
      </c>
      <c r="M1927" s="27" t="s">
        <v>7610</v>
      </c>
      <c r="N1927" s="26" t="s">
        <v>4183</v>
      </c>
      <c r="O1927" s="28">
        <v>45492.653625011575</v>
      </c>
      <c r="P1927" s="26" t="s">
        <v>6028</v>
      </c>
      <c r="Q1927" s="11"/>
      <c r="R1927" s="11"/>
      <c r="S1927" s="11"/>
      <c r="T1927" s="29">
        <v>45483.0</v>
      </c>
      <c r="U1927" s="29">
        <v>45491.711973680554</v>
      </c>
      <c r="V1927" s="29">
        <v>45492.41467722222</v>
      </c>
      <c r="W1927" s="30"/>
      <c r="X1927" s="30"/>
      <c r="Y1927" s="31"/>
      <c r="Z1927" s="31"/>
      <c r="AA1927" s="31" t="s">
        <v>108</v>
      </c>
      <c r="AB1927" s="31" t="s">
        <v>7617</v>
      </c>
      <c r="AC1927" s="31"/>
    </row>
    <row r="1928" ht="18.75" customHeight="1">
      <c r="A1928" s="18" t="s">
        <v>7618</v>
      </c>
      <c r="B1928" s="19" t="s">
        <v>7619</v>
      </c>
      <c r="C1928" s="20">
        <v>0.0</v>
      </c>
      <c r="D1928" s="21" t="s">
        <v>7620</v>
      </c>
      <c r="E1928" s="22" t="s">
        <v>882</v>
      </c>
      <c r="F1928" s="18" t="s">
        <v>33</v>
      </c>
      <c r="G1928" s="18" t="s">
        <v>34</v>
      </c>
      <c r="H1928" s="23" t="s">
        <v>35</v>
      </c>
      <c r="I1928" s="24" t="s">
        <v>36</v>
      </c>
      <c r="J1928" s="25" t="s">
        <v>49</v>
      </c>
      <c r="K1928" s="26" t="s">
        <v>38</v>
      </c>
      <c r="L1928" s="25">
        <v>11225.0</v>
      </c>
      <c r="M1928" s="27" t="s">
        <v>50</v>
      </c>
      <c r="N1928" s="26" t="s">
        <v>3694</v>
      </c>
      <c r="O1928" s="28">
        <v>45498.6009125</v>
      </c>
      <c r="P1928" s="26" t="s">
        <v>6028</v>
      </c>
      <c r="Q1928" s="11"/>
      <c r="R1928" s="11"/>
      <c r="S1928" s="11" t="s">
        <v>101</v>
      </c>
      <c r="T1928" s="29">
        <v>45483.0</v>
      </c>
      <c r="U1928" s="29">
        <v>45488.0</v>
      </c>
      <c r="V1928" s="29">
        <v>45497.623820381945</v>
      </c>
      <c r="W1928" s="30"/>
      <c r="X1928" s="30"/>
      <c r="Y1928" s="31"/>
      <c r="Z1928" s="31"/>
      <c r="AA1928" s="31" t="s">
        <v>102</v>
      </c>
      <c r="AB1928" s="31" t="s">
        <v>7621</v>
      </c>
      <c r="AC1928" s="31"/>
    </row>
    <row r="1929" ht="18.75" customHeight="1">
      <c r="A1929" s="18" t="s">
        <v>7622</v>
      </c>
      <c r="B1929" s="19" t="s">
        <v>6834</v>
      </c>
      <c r="C1929" s="20">
        <v>137.0</v>
      </c>
      <c r="D1929" s="21" t="s">
        <v>7623</v>
      </c>
      <c r="E1929" s="27" t="s">
        <v>85</v>
      </c>
      <c r="F1929" s="18" t="s">
        <v>48</v>
      </c>
      <c r="G1929" s="32" t="s">
        <v>35</v>
      </c>
      <c r="H1929" s="23" t="s">
        <v>35</v>
      </c>
      <c r="I1929" s="24" t="s">
        <v>36</v>
      </c>
      <c r="J1929" s="25" t="s">
        <v>49</v>
      </c>
      <c r="K1929" s="26" t="s">
        <v>38</v>
      </c>
      <c r="L1929" s="25">
        <v>11161.0</v>
      </c>
      <c r="M1929" s="27" t="s">
        <v>50</v>
      </c>
      <c r="N1929" s="26" t="s">
        <v>4183</v>
      </c>
      <c r="O1929" s="28">
        <v>45488.65464270834</v>
      </c>
      <c r="P1929" s="26" t="s">
        <v>6028</v>
      </c>
      <c r="Q1929" s="11"/>
      <c r="R1929" s="11"/>
      <c r="S1929" s="11"/>
      <c r="T1929" s="29">
        <v>45483.0</v>
      </c>
      <c r="U1929" s="29">
        <v>45485.0</v>
      </c>
      <c r="V1929" s="29">
        <v>45488.35963359954</v>
      </c>
      <c r="W1929" s="30"/>
      <c r="X1929" s="30"/>
      <c r="Y1929" s="31"/>
      <c r="Z1929" s="31"/>
      <c r="AA1929" s="31" t="s">
        <v>127</v>
      </c>
      <c r="AB1929" s="31" t="s">
        <v>7624</v>
      </c>
      <c r="AC1929" s="31"/>
    </row>
    <row r="1930" ht="18.75" customHeight="1">
      <c r="A1930" s="18" t="s">
        <v>7625</v>
      </c>
      <c r="B1930" s="19" t="s">
        <v>6834</v>
      </c>
      <c r="C1930" s="20">
        <v>137.0</v>
      </c>
      <c r="D1930" s="21" t="s">
        <v>7626</v>
      </c>
      <c r="E1930" s="27" t="s">
        <v>85</v>
      </c>
      <c r="F1930" s="18" t="s">
        <v>48</v>
      </c>
      <c r="G1930" s="32" t="s">
        <v>35</v>
      </c>
      <c r="H1930" s="23" t="s">
        <v>35</v>
      </c>
      <c r="I1930" s="24" t="s">
        <v>36</v>
      </c>
      <c r="J1930" s="25" t="s">
        <v>49</v>
      </c>
      <c r="K1930" s="26" t="s">
        <v>38</v>
      </c>
      <c r="L1930" s="25">
        <v>11161.0</v>
      </c>
      <c r="M1930" s="27" t="s">
        <v>50</v>
      </c>
      <c r="N1930" s="26" t="s">
        <v>4183</v>
      </c>
      <c r="O1930" s="28">
        <v>45488.65472859953</v>
      </c>
      <c r="P1930" s="26" t="s">
        <v>6028</v>
      </c>
      <c r="Q1930" s="11"/>
      <c r="R1930" s="11"/>
      <c r="S1930" s="11"/>
      <c r="T1930" s="29">
        <v>45484.0</v>
      </c>
      <c r="U1930" s="29">
        <v>45485.0</v>
      </c>
      <c r="V1930" s="29">
        <v>45488.35967341435</v>
      </c>
      <c r="W1930" s="30"/>
      <c r="X1930" s="30"/>
      <c r="Y1930" s="31"/>
      <c r="Z1930" s="31"/>
      <c r="AA1930" s="31" t="s">
        <v>127</v>
      </c>
      <c r="AB1930" s="31" t="s">
        <v>7627</v>
      </c>
      <c r="AC1930" s="31"/>
    </row>
    <row r="1931" ht="18.75" customHeight="1">
      <c r="A1931" s="18" t="s">
        <v>7628</v>
      </c>
      <c r="B1931" s="19" t="s">
        <v>7629</v>
      </c>
      <c r="C1931" s="20">
        <v>0.0</v>
      </c>
      <c r="D1931" s="21" t="s">
        <v>7630</v>
      </c>
      <c r="E1931" s="27" t="s">
        <v>664</v>
      </c>
      <c r="F1931" s="18" t="s">
        <v>48</v>
      </c>
      <c r="G1931" s="32" t="s">
        <v>35</v>
      </c>
      <c r="H1931" s="23" t="s">
        <v>35</v>
      </c>
      <c r="I1931" s="24" t="s">
        <v>36</v>
      </c>
      <c r="J1931" s="25" t="s">
        <v>339</v>
      </c>
      <c r="K1931" s="26" t="s">
        <v>38</v>
      </c>
      <c r="L1931" s="25">
        <v>11177.0</v>
      </c>
      <c r="M1931" s="27" t="s">
        <v>50</v>
      </c>
      <c r="N1931" s="26" t="s">
        <v>4963</v>
      </c>
      <c r="O1931" s="28">
        <v>45490.613214212965</v>
      </c>
      <c r="P1931" s="26" t="s">
        <v>6028</v>
      </c>
      <c r="Q1931" s="11"/>
      <c r="R1931" s="11"/>
      <c r="S1931" s="11"/>
      <c r="T1931" s="29">
        <v>45484.0</v>
      </c>
      <c r="U1931" s="29">
        <v>45489.0</v>
      </c>
      <c r="V1931" s="29">
        <v>45490.491301875</v>
      </c>
      <c r="W1931" s="30"/>
      <c r="X1931" s="30"/>
      <c r="Y1931" s="31"/>
      <c r="Z1931" s="31"/>
      <c r="AA1931" s="31" t="s">
        <v>3059</v>
      </c>
      <c r="AB1931" s="31" t="s">
        <v>7631</v>
      </c>
      <c r="AC1931" s="31"/>
    </row>
    <row r="1932" ht="18.75" customHeight="1">
      <c r="A1932" s="18" t="s">
        <v>7632</v>
      </c>
      <c r="B1932" s="19" t="s">
        <v>2146</v>
      </c>
      <c r="C1932" s="20">
        <v>27.0</v>
      </c>
      <c r="D1932" s="39" t="s">
        <v>7633</v>
      </c>
      <c r="E1932" s="27" t="s">
        <v>72</v>
      </c>
      <c r="F1932" s="18" t="s">
        <v>48</v>
      </c>
      <c r="G1932" s="32" t="s">
        <v>35</v>
      </c>
      <c r="H1932" s="23" t="s">
        <v>35</v>
      </c>
      <c r="I1932" s="37" t="s">
        <v>36</v>
      </c>
      <c r="J1932" s="25" t="s">
        <v>339</v>
      </c>
      <c r="K1932" s="26" t="s">
        <v>38</v>
      </c>
      <c r="L1932" s="25">
        <v>11155.0</v>
      </c>
      <c r="M1932" s="27" t="s">
        <v>50</v>
      </c>
      <c r="N1932" s="26" t="s">
        <v>2147</v>
      </c>
      <c r="O1932" s="28">
        <v>45693.6542984838</v>
      </c>
      <c r="P1932" s="26" t="s">
        <v>7634</v>
      </c>
      <c r="Q1932" s="11" t="s">
        <v>75</v>
      </c>
      <c r="R1932" s="11" t="s">
        <v>75</v>
      </c>
      <c r="S1932" s="11" t="s">
        <v>50</v>
      </c>
      <c r="T1932" s="29">
        <v>45692.652768831016</v>
      </c>
      <c r="U1932" s="29">
        <v>45692.65277090278</v>
      </c>
      <c r="V1932" s="29">
        <v>45693.359218425925</v>
      </c>
      <c r="W1932" s="30"/>
      <c r="X1932" s="30"/>
      <c r="Y1932" s="31"/>
      <c r="Z1932" s="31"/>
      <c r="AA1932" s="31"/>
      <c r="AB1932" s="31" t="s">
        <v>7635</v>
      </c>
      <c r="AC1932" s="31"/>
    </row>
    <row r="1933" ht="18.75" customHeight="1">
      <c r="A1933" s="18" t="s">
        <v>7636</v>
      </c>
      <c r="B1933" s="19" t="s">
        <v>4308</v>
      </c>
      <c r="C1933" s="20">
        <v>1.0</v>
      </c>
      <c r="D1933" s="21" t="s">
        <v>7637</v>
      </c>
      <c r="E1933" s="27" t="s">
        <v>3395</v>
      </c>
      <c r="F1933" s="18" t="s">
        <v>48</v>
      </c>
      <c r="G1933" s="32" t="s">
        <v>35</v>
      </c>
      <c r="H1933" s="23" t="s">
        <v>35</v>
      </c>
      <c r="I1933" s="24" t="s">
        <v>36</v>
      </c>
      <c r="J1933" s="25" t="s">
        <v>92</v>
      </c>
      <c r="K1933" s="26" t="s">
        <v>38</v>
      </c>
      <c r="L1933" s="25">
        <v>11153.0</v>
      </c>
      <c r="M1933" s="27" t="s">
        <v>50</v>
      </c>
      <c r="N1933" s="26" t="s">
        <v>7638</v>
      </c>
      <c r="O1933" s="28">
        <v>45484.67853671296</v>
      </c>
      <c r="P1933" s="26" t="s">
        <v>7639</v>
      </c>
      <c r="Q1933" s="11"/>
      <c r="R1933" s="11"/>
      <c r="S1933" s="11"/>
      <c r="T1933" s="29">
        <v>45484.0</v>
      </c>
      <c r="U1933" s="29">
        <v>45484.0</v>
      </c>
      <c r="V1933" s="29">
        <v>45484.66819306713</v>
      </c>
      <c r="W1933" s="30"/>
      <c r="X1933" s="30"/>
      <c r="Y1933" s="31"/>
      <c r="Z1933" s="31"/>
      <c r="AA1933" s="31" t="s">
        <v>120</v>
      </c>
      <c r="AB1933" s="31" t="s">
        <v>7640</v>
      </c>
      <c r="AC1933" s="31"/>
    </row>
    <row r="1934" ht="18.75" customHeight="1">
      <c r="A1934" s="18" t="s">
        <v>7641</v>
      </c>
      <c r="B1934" s="19" t="s">
        <v>7642</v>
      </c>
      <c r="C1934" s="20">
        <v>11.0</v>
      </c>
      <c r="D1934" s="21" t="s">
        <v>7643</v>
      </c>
      <c r="E1934" s="27" t="s">
        <v>112</v>
      </c>
      <c r="F1934" s="18" t="s">
        <v>48</v>
      </c>
      <c r="G1934" s="32" t="s">
        <v>35</v>
      </c>
      <c r="H1934" s="23" t="s">
        <v>35</v>
      </c>
      <c r="I1934" s="24" t="s">
        <v>36</v>
      </c>
      <c r="J1934" s="34" t="s">
        <v>65</v>
      </c>
      <c r="K1934" s="26" t="s">
        <v>38</v>
      </c>
      <c r="L1934" s="25">
        <v>11175.0</v>
      </c>
      <c r="M1934" s="27" t="s">
        <v>50</v>
      </c>
      <c r="N1934" s="26" t="s">
        <v>7541</v>
      </c>
      <c r="O1934" s="28">
        <v>45490.59295543982</v>
      </c>
      <c r="P1934" s="26" t="s">
        <v>6028</v>
      </c>
      <c r="Q1934" s="11"/>
      <c r="R1934" s="11"/>
      <c r="S1934" s="11"/>
      <c r="T1934" s="29">
        <v>45485.0</v>
      </c>
      <c r="U1934" s="29">
        <v>45488.0</v>
      </c>
      <c r="V1934" s="29">
        <v>45490.461897800924</v>
      </c>
      <c r="W1934" s="30"/>
      <c r="X1934" s="30"/>
      <c r="Y1934" s="31"/>
      <c r="Z1934" s="31"/>
      <c r="AA1934" s="31" t="s">
        <v>94</v>
      </c>
      <c r="AB1934" s="31" t="s">
        <v>7644</v>
      </c>
      <c r="AC1934" s="31"/>
    </row>
    <row r="1935" ht="18.75" customHeight="1">
      <c r="A1935" s="18" t="s">
        <v>7645</v>
      </c>
      <c r="B1935" s="19" t="s">
        <v>7642</v>
      </c>
      <c r="C1935" s="20">
        <v>137.0</v>
      </c>
      <c r="D1935" s="21" t="s">
        <v>7646</v>
      </c>
      <c r="E1935" s="27" t="s">
        <v>85</v>
      </c>
      <c r="F1935" s="18" t="s">
        <v>48</v>
      </c>
      <c r="G1935" s="32" t="s">
        <v>35</v>
      </c>
      <c r="H1935" s="23" t="s">
        <v>35</v>
      </c>
      <c r="I1935" s="24" t="s">
        <v>36</v>
      </c>
      <c r="J1935" s="34" t="s">
        <v>65</v>
      </c>
      <c r="K1935" s="26" t="s">
        <v>38</v>
      </c>
      <c r="L1935" s="25">
        <v>11175.0</v>
      </c>
      <c r="M1935" s="27" t="s">
        <v>50</v>
      </c>
      <c r="N1935" s="26" t="s">
        <v>7541</v>
      </c>
      <c r="O1935" s="28">
        <v>45490.593054895835</v>
      </c>
      <c r="P1935" s="26" t="s">
        <v>7647</v>
      </c>
      <c r="Q1935" s="11"/>
      <c r="R1935" s="11"/>
      <c r="S1935" s="11"/>
      <c r="T1935" s="29">
        <v>45485.0</v>
      </c>
      <c r="U1935" s="29">
        <v>45488.0</v>
      </c>
      <c r="V1935" s="29">
        <v>45490.46357486111</v>
      </c>
      <c r="W1935" s="30"/>
      <c r="X1935" s="30"/>
      <c r="Y1935" s="31"/>
      <c r="Z1935" s="31"/>
      <c r="AA1935" s="31" t="s">
        <v>94</v>
      </c>
      <c r="AB1935" s="31" t="s">
        <v>7648</v>
      </c>
      <c r="AC1935" s="31"/>
    </row>
    <row r="1936" ht="18.75" customHeight="1">
      <c r="A1936" s="18" t="s">
        <v>7649</v>
      </c>
      <c r="B1936" s="19" t="s">
        <v>5047</v>
      </c>
      <c r="C1936" s="20">
        <v>0.0</v>
      </c>
      <c r="D1936" s="21" t="s">
        <v>7650</v>
      </c>
      <c r="E1936" s="27" t="s">
        <v>664</v>
      </c>
      <c r="F1936" s="18" t="s">
        <v>48</v>
      </c>
      <c r="G1936" s="32" t="s">
        <v>35</v>
      </c>
      <c r="H1936" s="23" t="s">
        <v>35</v>
      </c>
      <c r="I1936" s="24" t="s">
        <v>36</v>
      </c>
      <c r="J1936" s="25" t="s">
        <v>37</v>
      </c>
      <c r="K1936" s="26" t="s">
        <v>38</v>
      </c>
      <c r="L1936" s="25">
        <v>11162.0</v>
      </c>
      <c r="M1936" s="27" t="s">
        <v>50</v>
      </c>
      <c r="N1936" s="26" t="s">
        <v>41</v>
      </c>
      <c r="O1936" s="28">
        <v>45488.61111111111</v>
      </c>
      <c r="P1936" s="26" t="s">
        <v>6028</v>
      </c>
      <c r="Q1936" s="11"/>
      <c r="R1936" s="11"/>
      <c r="S1936" s="11"/>
      <c r="T1936" s="29">
        <v>45485.0</v>
      </c>
      <c r="U1936" s="29">
        <v>45485.0</v>
      </c>
      <c r="V1936" s="29">
        <v>45488.36814037037</v>
      </c>
      <c r="W1936" s="30"/>
      <c r="X1936" s="30"/>
      <c r="Y1936" s="31"/>
      <c r="Z1936" s="31"/>
      <c r="AA1936" s="31" t="s">
        <v>120</v>
      </c>
      <c r="AB1936" s="31" t="s">
        <v>7651</v>
      </c>
      <c r="AC1936" s="31"/>
    </row>
    <row r="1937" ht="18.75" customHeight="1">
      <c r="A1937" s="18" t="s">
        <v>7652</v>
      </c>
      <c r="B1937" s="19" t="s">
        <v>6288</v>
      </c>
      <c r="C1937" s="20">
        <v>0.0</v>
      </c>
      <c r="D1937" s="21" t="s">
        <v>7653</v>
      </c>
      <c r="E1937" s="27" t="s">
        <v>3441</v>
      </c>
      <c r="F1937" s="18" t="s">
        <v>48</v>
      </c>
      <c r="G1937" s="32" t="s">
        <v>35</v>
      </c>
      <c r="H1937" s="23" t="s">
        <v>35</v>
      </c>
      <c r="I1937" s="24" t="s">
        <v>36</v>
      </c>
      <c r="J1937" s="25" t="s">
        <v>92</v>
      </c>
      <c r="K1937" s="26" t="s">
        <v>38</v>
      </c>
      <c r="L1937" s="25">
        <v>11158.0</v>
      </c>
      <c r="M1937" s="27" t="s">
        <v>50</v>
      </c>
      <c r="N1937" s="26" t="s">
        <v>118</v>
      </c>
      <c r="O1937" s="28">
        <v>45499.71804983796</v>
      </c>
      <c r="P1937" s="26" t="s">
        <v>6028</v>
      </c>
      <c r="Q1937" s="11"/>
      <c r="R1937" s="11"/>
      <c r="S1937" s="11"/>
      <c r="T1937" s="29">
        <v>45485.0</v>
      </c>
      <c r="U1937" s="29">
        <v>45485.0</v>
      </c>
      <c r="V1937" s="29">
        <v>45488.36682297454</v>
      </c>
      <c r="W1937" s="30"/>
      <c r="X1937" s="30"/>
      <c r="Y1937" s="31"/>
      <c r="Z1937" s="31"/>
      <c r="AA1937" s="31" t="s">
        <v>120</v>
      </c>
      <c r="AB1937" s="31" t="s">
        <v>7654</v>
      </c>
      <c r="AC1937" s="31"/>
    </row>
    <row r="1938" ht="18.75" customHeight="1">
      <c r="A1938" s="18" t="s">
        <v>7655</v>
      </c>
      <c r="B1938" s="19" t="s">
        <v>4352</v>
      </c>
      <c r="C1938" s="20">
        <v>90.0</v>
      </c>
      <c r="D1938" s="21" t="s">
        <v>7656</v>
      </c>
      <c r="E1938" s="27" t="s">
        <v>91</v>
      </c>
      <c r="F1938" s="18" t="s">
        <v>48</v>
      </c>
      <c r="G1938" s="32" t="s">
        <v>35</v>
      </c>
      <c r="H1938" s="23" t="s">
        <v>35</v>
      </c>
      <c r="I1938" s="24" t="s">
        <v>36</v>
      </c>
      <c r="J1938" s="25" t="s">
        <v>49</v>
      </c>
      <c r="K1938" s="26" t="s">
        <v>38</v>
      </c>
      <c r="L1938" s="25">
        <v>11174.0</v>
      </c>
      <c r="M1938" s="27" t="s">
        <v>50</v>
      </c>
      <c r="N1938" s="26" t="s">
        <v>99</v>
      </c>
      <c r="O1938" s="28">
        <v>45490.65380476852</v>
      </c>
      <c r="P1938" s="26" t="s">
        <v>6028</v>
      </c>
      <c r="Q1938" s="11"/>
      <c r="R1938" s="11"/>
      <c r="S1938" s="11"/>
      <c r="T1938" s="29">
        <v>45485.0</v>
      </c>
      <c r="U1938" s="29">
        <v>45488.0</v>
      </c>
      <c r="V1938" s="29">
        <v>45490.46412664352</v>
      </c>
      <c r="W1938" s="30"/>
      <c r="X1938" s="30"/>
      <c r="Y1938" s="31"/>
      <c r="Z1938" s="31"/>
      <c r="AA1938" s="31" t="s">
        <v>127</v>
      </c>
      <c r="AB1938" s="31" t="s">
        <v>7657</v>
      </c>
      <c r="AC1938" s="31"/>
    </row>
    <row r="1939" ht="18.75" customHeight="1">
      <c r="A1939" s="18" t="s">
        <v>7658</v>
      </c>
      <c r="B1939" s="19" t="s">
        <v>3557</v>
      </c>
      <c r="C1939" s="20">
        <v>137.0</v>
      </c>
      <c r="D1939" s="21" t="s">
        <v>7659</v>
      </c>
      <c r="E1939" s="27" t="s">
        <v>85</v>
      </c>
      <c r="F1939" s="18" t="s">
        <v>48</v>
      </c>
      <c r="G1939" s="32" t="s">
        <v>35</v>
      </c>
      <c r="H1939" s="23" t="s">
        <v>35</v>
      </c>
      <c r="I1939" s="24" t="s">
        <v>36</v>
      </c>
      <c r="J1939" s="25" t="s">
        <v>49</v>
      </c>
      <c r="K1939" s="26" t="s">
        <v>38</v>
      </c>
      <c r="L1939" s="25">
        <v>11163.0</v>
      </c>
      <c r="M1939" s="27" t="s">
        <v>50</v>
      </c>
      <c r="N1939" s="26" t="s">
        <v>4183</v>
      </c>
      <c r="O1939" s="28">
        <v>45488.654809583335</v>
      </c>
      <c r="P1939" s="26" t="s">
        <v>6028</v>
      </c>
      <c r="Q1939" s="11"/>
      <c r="R1939" s="11"/>
      <c r="S1939" s="11"/>
      <c r="T1939" s="29">
        <v>45485.0</v>
      </c>
      <c r="U1939" s="29">
        <v>45488.0</v>
      </c>
      <c r="V1939" s="29">
        <v>45488.36522435185</v>
      </c>
      <c r="W1939" s="30"/>
      <c r="X1939" s="30"/>
      <c r="Y1939" s="31"/>
      <c r="Z1939" s="31"/>
      <c r="AA1939" s="31" t="s">
        <v>127</v>
      </c>
      <c r="AB1939" s="31" t="s">
        <v>7660</v>
      </c>
      <c r="AC1939" s="31"/>
    </row>
    <row r="1940" ht="18.75" customHeight="1">
      <c r="A1940" s="18" t="s">
        <v>7661</v>
      </c>
      <c r="B1940" s="19" t="s">
        <v>7662</v>
      </c>
      <c r="C1940" s="20">
        <v>0.0</v>
      </c>
      <c r="D1940" s="21" t="s">
        <v>7663</v>
      </c>
      <c r="E1940" s="27" t="s">
        <v>3441</v>
      </c>
      <c r="F1940" s="18" t="s">
        <v>48</v>
      </c>
      <c r="G1940" s="32" t="s">
        <v>35</v>
      </c>
      <c r="H1940" s="23" t="s">
        <v>35</v>
      </c>
      <c r="I1940" s="24" t="s">
        <v>36</v>
      </c>
      <c r="J1940" s="25" t="s">
        <v>518</v>
      </c>
      <c r="K1940" s="26" t="s">
        <v>38</v>
      </c>
      <c r="L1940" s="25" t="s">
        <v>7664</v>
      </c>
      <c r="M1940" s="27" t="s">
        <v>50</v>
      </c>
      <c r="N1940" s="26" t="s">
        <v>4616</v>
      </c>
      <c r="O1940" s="28">
        <v>45489.56660711806</v>
      </c>
      <c r="P1940" s="26" t="s">
        <v>6028</v>
      </c>
      <c r="Q1940" s="11"/>
      <c r="R1940" s="11"/>
      <c r="S1940" s="11"/>
      <c r="T1940" s="29">
        <v>45485.0</v>
      </c>
      <c r="U1940" s="29">
        <v>45485.0</v>
      </c>
      <c r="V1940" s="29">
        <v>45488.36683237269</v>
      </c>
      <c r="W1940" s="30"/>
      <c r="X1940" s="30"/>
      <c r="Y1940" s="31"/>
      <c r="Z1940" s="31"/>
      <c r="AA1940" s="31" t="s">
        <v>108</v>
      </c>
      <c r="AB1940" s="31" t="s">
        <v>7665</v>
      </c>
      <c r="AC1940" s="31"/>
    </row>
    <row r="1941" ht="18.75" customHeight="1">
      <c r="A1941" s="18" t="s">
        <v>7666</v>
      </c>
      <c r="B1941" s="19" t="s">
        <v>451</v>
      </c>
      <c r="C1941" s="20">
        <v>0.0</v>
      </c>
      <c r="D1941" s="21" t="s">
        <v>7667</v>
      </c>
      <c r="E1941" s="27" t="s">
        <v>453</v>
      </c>
      <c r="F1941" s="18" t="s">
        <v>244</v>
      </c>
      <c r="G1941" s="32" t="s">
        <v>35</v>
      </c>
      <c r="H1941" s="23" t="s">
        <v>35</v>
      </c>
      <c r="I1941" s="24" t="s">
        <v>36</v>
      </c>
      <c r="J1941" s="25" t="s">
        <v>49</v>
      </c>
      <c r="K1941" s="26" t="s">
        <v>38</v>
      </c>
      <c r="L1941" s="25">
        <v>11191.0</v>
      </c>
      <c r="M1941" s="27" t="s">
        <v>7610</v>
      </c>
      <c r="N1941" s="26" t="s">
        <v>4183</v>
      </c>
      <c r="O1941" s="28">
        <v>45492.65377837963</v>
      </c>
      <c r="P1941" s="26" t="s">
        <v>6028</v>
      </c>
      <c r="Q1941" s="11"/>
      <c r="R1941" s="11"/>
      <c r="S1941" s="11"/>
      <c r="T1941" s="29">
        <v>45485.0</v>
      </c>
      <c r="U1941" s="29">
        <v>45488.0</v>
      </c>
      <c r="V1941" s="29">
        <v>45490.5631628588</v>
      </c>
      <c r="W1941" s="30"/>
      <c r="X1941" s="30"/>
      <c r="Y1941" s="31"/>
      <c r="Z1941" s="31"/>
      <c r="AA1941" s="31" t="s">
        <v>127</v>
      </c>
      <c r="AB1941" s="31" t="s">
        <v>7668</v>
      </c>
      <c r="AC1941" s="31"/>
    </row>
    <row r="1942" ht="18.75" customHeight="1">
      <c r="A1942" s="18" t="s">
        <v>7669</v>
      </c>
      <c r="B1942" s="19" t="s">
        <v>451</v>
      </c>
      <c r="C1942" s="20">
        <v>0.0</v>
      </c>
      <c r="D1942" s="135" t="s">
        <v>7670</v>
      </c>
      <c r="E1942" s="27" t="s">
        <v>453</v>
      </c>
      <c r="F1942" s="18" t="s">
        <v>244</v>
      </c>
      <c r="G1942" s="32" t="s">
        <v>35</v>
      </c>
      <c r="H1942" s="23" t="s">
        <v>35</v>
      </c>
      <c r="I1942" s="24" t="s">
        <v>36</v>
      </c>
      <c r="J1942" s="25" t="s">
        <v>49</v>
      </c>
      <c r="K1942" s="26" t="s">
        <v>38</v>
      </c>
      <c r="L1942" s="25">
        <v>11191.0</v>
      </c>
      <c r="M1942" s="27" t="s">
        <v>7610</v>
      </c>
      <c r="N1942" s="26" t="s">
        <v>4183</v>
      </c>
      <c r="O1942" s="28">
        <v>45492.65383332176</v>
      </c>
      <c r="P1942" s="26" t="s">
        <v>6028</v>
      </c>
      <c r="Q1942" s="11"/>
      <c r="R1942" s="11"/>
      <c r="S1942" s="11"/>
      <c r="T1942" s="29">
        <v>45485.0</v>
      </c>
      <c r="U1942" s="29">
        <v>45488.0</v>
      </c>
      <c r="V1942" s="29">
        <v>45490.36638068287</v>
      </c>
      <c r="W1942" s="30"/>
      <c r="X1942" s="30"/>
      <c r="Y1942" s="31"/>
      <c r="Z1942" s="31"/>
      <c r="AA1942" s="31" t="s">
        <v>127</v>
      </c>
      <c r="AB1942" s="31" t="s">
        <v>7671</v>
      </c>
      <c r="AC1942" s="31"/>
    </row>
    <row r="1943" ht="18.75" customHeight="1">
      <c r="A1943" s="18" t="s">
        <v>7672</v>
      </c>
      <c r="B1943" s="19" t="s">
        <v>451</v>
      </c>
      <c r="C1943" s="20">
        <v>0.0</v>
      </c>
      <c r="D1943" s="21" t="s">
        <v>7673</v>
      </c>
      <c r="E1943" s="27" t="s">
        <v>453</v>
      </c>
      <c r="F1943" s="18" t="s">
        <v>244</v>
      </c>
      <c r="G1943" s="32" t="s">
        <v>35</v>
      </c>
      <c r="H1943" s="23" t="s">
        <v>35</v>
      </c>
      <c r="I1943" s="24" t="s">
        <v>36</v>
      </c>
      <c r="J1943" s="25" t="s">
        <v>49</v>
      </c>
      <c r="K1943" s="26" t="s">
        <v>38</v>
      </c>
      <c r="L1943" s="25">
        <v>11191.0</v>
      </c>
      <c r="M1943" s="27" t="s">
        <v>7610</v>
      </c>
      <c r="N1943" s="26" t="s">
        <v>4183</v>
      </c>
      <c r="O1943" s="28">
        <v>45492.653936793984</v>
      </c>
      <c r="P1943" s="26" t="s">
        <v>6028</v>
      </c>
      <c r="Q1943" s="11"/>
      <c r="R1943" s="11"/>
      <c r="S1943" s="11"/>
      <c r="T1943" s="29">
        <v>45485.0</v>
      </c>
      <c r="U1943" s="29">
        <v>45488.0</v>
      </c>
      <c r="V1943" s="29">
        <f t="shared" ref="V1943:V1944" si="10">O1943</f>
        <v>45492.65394</v>
      </c>
      <c r="W1943" s="30"/>
      <c r="X1943" s="30"/>
      <c r="Y1943" s="31"/>
      <c r="Z1943" s="31"/>
      <c r="AA1943" s="31" t="s">
        <v>127</v>
      </c>
      <c r="AB1943" s="31" t="s">
        <v>7674</v>
      </c>
      <c r="AC1943" s="31"/>
    </row>
    <row r="1944" ht="18.75" customHeight="1">
      <c r="A1944" s="18" t="s">
        <v>7675</v>
      </c>
      <c r="B1944" s="19" t="s">
        <v>451</v>
      </c>
      <c r="C1944" s="20">
        <v>0.0</v>
      </c>
      <c r="D1944" s="21" t="s">
        <v>7676</v>
      </c>
      <c r="E1944" s="27" t="s">
        <v>453</v>
      </c>
      <c r="F1944" s="18" t="s">
        <v>244</v>
      </c>
      <c r="G1944" s="32" t="s">
        <v>35</v>
      </c>
      <c r="H1944" s="23" t="s">
        <v>35</v>
      </c>
      <c r="I1944" s="24" t="s">
        <v>36</v>
      </c>
      <c r="J1944" s="25" t="s">
        <v>49</v>
      </c>
      <c r="K1944" s="26" t="s">
        <v>38</v>
      </c>
      <c r="L1944" s="25">
        <v>11191.0</v>
      </c>
      <c r="M1944" s="27" t="s">
        <v>7610</v>
      </c>
      <c r="N1944" s="26" t="s">
        <v>4183</v>
      </c>
      <c r="O1944" s="28">
        <v>45492.65398768519</v>
      </c>
      <c r="P1944" s="26" t="s">
        <v>6028</v>
      </c>
      <c r="Q1944" s="11"/>
      <c r="R1944" s="11"/>
      <c r="S1944" s="11"/>
      <c r="T1944" s="29">
        <v>45485.0</v>
      </c>
      <c r="U1944" s="29">
        <v>45488.0</v>
      </c>
      <c r="V1944" s="29">
        <f t="shared" si="10"/>
        <v>45492.65399</v>
      </c>
      <c r="W1944" s="30"/>
      <c r="X1944" s="30"/>
      <c r="Y1944" s="31"/>
      <c r="Z1944" s="31"/>
      <c r="AA1944" s="31" t="s">
        <v>127</v>
      </c>
      <c r="AB1944" s="31" t="s">
        <v>7677</v>
      </c>
      <c r="AC1944" s="31"/>
    </row>
    <row r="1945" ht="18.75" customHeight="1">
      <c r="A1945" s="18" t="s">
        <v>7678</v>
      </c>
      <c r="B1945" s="19" t="s">
        <v>451</v>
      </c>
      <c r="C1945" s="20">
        <v>0.0</v>
      </c>
      <c r="D1945" s="21" t="s">
        <v>7679</v>
      </c>
      <c r="E1945" s="27" t="s">
        <v>453</v>
      </c>
      <c r="F1945" s="18" t="s">
        <v>244</v>
      </c>
      <c r="G1945" s="32" t="s">
        <v>35</v>
      </c>
      <c r="H1945" s="23" t="s">
        <v>35</v>
      </c>
      <c r="I1945" s="24" t="s">
        <v>36</v>
      </c>
      <c r="J1945" s="25" t="s">
        <v>49</v>
      </c>
      <c r="K1945" s="26" t="s">
        <v>38</v>
      </c>
      <c r="L1945" s="25">
        <v>11191.0</v>
      </c>
      <c r="M1945" s="27" t="s">
        <v>7610</v>
      </c>
      <c r="N1945" s="26" t="s">
        <v>4183</v>
      </c>
      <c r="O1945" s="28">
        <v>45492.65417724537</v>
      </c>
      <c r="P1945" s="26" t="s">
        <v>6028</v>
      </c>
      <c r="Q1945" s="11"/>
      <c r="R1945" s="11"/>
      <c r="S1945" s="11"/>
      <c r="T1945" s="29">
        <v>45485.0</v>
      </c>
      <c r="U1945" s="29">
        <v>45488.0</v>
      </c>
      <c r="V1945" s="29">
        <v>45490.366511643515</v>
      </c>
      <c r="W1945" s="30"/>
      <c r="X1945" s="30"/>
      <c r="Y1945" s="31"/>
      <c r="Z1945" s="31"/>
      <c r="AA1945" s="31" t="s">
        <v>127</v>
      </c>
      <c r="AB1945" s="31" t="s">
        <v>7680</v>
      </c>
      <c r="AC1945" s="31"/>
    </row>
    <row r="1946" ht="18.75" customHeight="1">
      <c r="A1946" s="18" t="s">
        <v>7681</v>
      </c>
      <c r="B1946" s="19" t="s">
        <v>115</v>
      </c>
      <c r="C1946" s="20">
        <v>34.0</v>
      </c>
      <c r="D1946" s="21" t="s">
        <v>7682</v>
      </c>
      <c r="E1946" s="27" t="s">
        <v>47</v>
      </c>
      <c r="F1946" s="18" t="s">
        <v>48</v>
      </c>
      <c r="G1946" s="32" t="s">
        <v>35</v>
      </c>
      <c r="H1946" s="23" t="s">
        <v>35</v>
      </c>
      <c r="I1946" s="24" t="s">
        <v>36</v>
      </c>
      <c r="J1946" s="25" t="s">
        <v>92</v>
      </c>
      <c r="K1946" s="26" t="s">
        <v>38</v>
      </c>
      <c r="L1946" s="25">
        <v>11173.0</v>
      </c>
      <c r="M1946" s="27" t="s">
        <v>50</v>
      </c>
      <c r="N1946" s="26" t="s">
        <v>6911</v>
      </c>
      <c r="O1946" s="28">
        <v>45499.70833333333</v>
      </c>
      <c r="P1946" s="26" t="s">
        <v>6028</v>
      </c>
      <c r="Q1946" s="11"/>
      <c r="R1946" s="11"/>
      <c r="S1946" s="11"/>
      <c r="T1946" s="29">
        <v>45485.0</v>
      </c>
      <c r="U1946" s="29">
        <v>45488.0</v>
      </c>
      <c r="V1946" s="29">
        <v>45490.462355625</v>
      </c>
      <c r="W1946" s="30"/>
      <c r="X1946" s="30"/>
      <c r="Y1946" s="31"/>
      <c r="Z1946" s="31"/>
      <c r="AA1946" s="31" t="s">
        <v>120</v>
      </c>
      <c r="AB1946" s="31" t="s">
        <v>7683</v>
      </c>
      <c r="AC1946" s="31"/>
    </row>
    <row r="1947" ht="18.75" customHeight="1">
      <c r="A1947" s="18" t="s">
        <v>7684</v>
      </c>
      <c r="B1947" s="19" t="s">
        <v>7685</v>
      </c>
      <c r="C1947" s="20">
        <v>34.0</v>
      </c>
      <c r="D1947" s="21" t="s">
        <v>7686</v>
      </c>
      <c r="E1947" s="27" t="s">
        <v>47</v>
      </c>
      <c r="F1947" s="18" t="s">
        <v>48</v>
      </c>
      <c r="G1947" s="32" t="s">
        <v>35</v>
      </c>
      <c r="H1947" s="23" t="s">
        <v>35</v>
      </c>
      <c r="I1947" s="24" t="s">
        <v>36</v>
      </c>
      <c r="J1947" s="25" t="s">
        <v>518</v>
      </c>
      <c r="K1947" s="26" t="s">
        <v>38</v>
      </c>
      <c r="L1947" s="25" t="s">
        <v>7687</v>
      </c>
      <c r="M1947" s="27" t="s">
        <v>50</v>
      </c>
      <c r="N1947" s="26" t="s">
        <v>4616</v>
      </c>
      <c r="O1947" s="28">
        <v>45498.58351002315</v>
      </c>
      <c r="P1947" s="26" t="s">
        <v>6028</v>
      </c>
      <c r="Q1947" s="11"/>
      <c r="R1947" s="11"/>
      <c r="S1947" s="11" t="s">
        <v>50</v>
      </c>
      <c r="T1947" s="29">
        <v>45485.0</v>
      </c>
      <c r="U1947" s="29">
        <v>45488.0</v>
      </c>
      <c r="V1947" s="29">
        <v>45497.42693223379</v>
      </c>
      <c r="W1947" s="30"/>
      <c r="X1947" s="30"/>
      <c r="Y1947" s="31"/>
      <c r="Z1947" s="31"/>
      <c r="AA1947" s="31" t="s">
        <v>108</v>
      </c>
      <c r="AB1947" s="31" t="s">
        <v>7688</v>
      </c>
      <c r="AC1947" s="31"/>
    </row>
    <row r="1948" ht="18.75" customHeight="1">
      <c r="A1948" s="18" t="s">
        <v>7689</v>
      </c>
      <c r="B1948" s="19" t="s">
        <v>3266</v>
      </c>
      <c r="C1948" s="20">
        <v>0.0</v>
      </c>
      <c r="D1948" s="135" t="s">
        <v>7690</v>
      </c>
      <c r="E1948" s="27" t="s">
        <v>383</v>
      </c>
      <c r="F1948" s="18" t="s">
        <v>33</v>
      </c>
      <c r="G1948" s="32" t="s">
        <v>35</v>
      </c>
      <c r="H1948" s="23" t="s">
        <v>35</v>
      </c>
      <c r="I1948" s="24" t="s">
        <v>36</v>
      </c>
      <c r="J1948" s="34" t="s">
        <v>65</v>
      </c>
      <c r="K1948" s="26" t="s">
        <v>38</v>
      </c>
      <c r="L1948" s="25">
        <v>11192.0</v>
      </c>
      <c r="M1948" s="27" t="s">
        <v>7610</v>
      </c>
      <c r="N1948" s="26" t="s">
        <v>4698</v>
      </c>
      <c r="O1948" s="28">
        <v>45492.66694730324</v>
      </c>
      <c r="P1948" s="26" t="s">
        <v>6028</v>
      </c>
      <c r="Q1948" s="11"/>
      <c r="R1948" s="11"/>
      <c r="S1948" s="11"/>
      <c r="T1948" s="29">
        <v>45488.0</v>
      </c>
      <c r="U1948" s="29"/>
      <c r="V1948" s="29">
        <v>45492.66694730324</v>
      </c>
      <c r="W1948" s="30"/>
      <c r="X1948" s="30"/>
      <c r="Y1948" s="31"/>
      <c r="Z1948" s="31"/>
      <c r="AA1948" s="31" t="s">
        <v>94</v>
      </c>
      <c r="AB1948" s="31" t="s">
        <v>7691</v>
      </c>
      <c r="AC1948" s="31"/>
    </row>
    <row r="1949" ht="18.75" customHeight="1">
      <c r="A1949" s="18" t="s">
        <v>7692</v>
      </c>
      <c r="B1949" s="19" t="s">
        <v>115</v>
      </c>
      <c r="C1949" s="20">
        <v>0.0</v>
      </c>
      <c r="D1949" s="21" t="s">
        <v>7693</v>
      </c>
      <c r="E1949" s="27" t="s">
        <v>338</v>
      </c>
      <c r="F1949" s="18" t="s">
        <v>33</v>
      </c>
      <c r="G1949" s="32" t="s">
        <v>35</v>
      </c>
      <c r="H1949" s="23" t="s">
        <v>35</v>
      </c>
      <c r="I1949" s="37" t="s">
        <v>36</v>
      </c>
      <c r="J1949" s="25" t="s">
        <v>92</v>
      </c>
      <c r="K1949" s="26" t="s">
        <v>38</v>
      </c>
      <c r="L1949" s="25">
        <v>11199.0</v>
      </c>
      <c r="M1949" s="27" t="s">
        <v>50</v>
      </c>
      <c r="N1949" s="26" t="s">
        <v>118</v>
      </c>
      <c r="O1949" s="28">
        <v>45572.66421853009</v>
      </c>
      <c r="P1949" s="26" t="s">
        <v>6028</v>
      </c>
      <c r="Q1949" s="11"/>
      <c r="R1949" s="11"/>
      <c r="S1949" s="11"/>
      <c r="T1949" s="29">
        <v>45488.0</v>
      </c>
      <c r="U1949" s="29">
        <v>45488.0</v>
      </c>
      <c r="V1949" s="29">
        <v>45492.560789317125</v>
      </c>
      <c r="W1949" s="30"/>
      <c r="X1949" s="30"/>
      <c r="Y1949" s="31"/>
      <c r="Z1949" s="31"/>
      <c r="AA1949" s="31" t="s">
        <v>120</v>
      </c>
      <c r="AB1949" s="31" t="s">
        <v>7694</v>
      </c>
      <c r="AC1949" s="31"/>
    </row>
    <row r="1950" ht="18.75" customHeight="1">
      <c r="A1950" s="18" t="s">
        <v>7695</v>
      </c>
      <c r="B1950" s="19" t="s">
        <v>7696</v>
      </c>
      <c r="C1950" s="20">
        <v>0.0</v>
      </c>
      <c r="D1950" s="21"/>
      <c r="E1950" s="22" t="s">
        <v>98</v>
      </c>
      <c r="F1950" s="18" t="s">
        <v>33</v>
      </c>
      <c r="G1950" s="32" t="s">
        <v>35</v>
      </c>
      <c r="H1950" s="23" t="s">
        <v>35</v>
      </c>
      <c r="I1950" s="24" t="s">
        <v>665</v>
      </c>
      <c r="J1950" s="25" t="s">
        <v>49</v>
      </c>
      <c r="K1950" s="26" t="s">
        <v>38</v>
      </c>
      <c r="L1950" s="25">
        <v>11197.0</v>
      </c>
      <c r="M1950" s="27" t="s">
        <v>50</v>
      </c>
      <c r="N1950" s="26" t="s">
        <v>99</v>
      </c>
      <c r="O1950" s="28">
        <v>45495.61289128472</v>
      </c>
      <c r="P1950" s="35" t="s">
        <v>7697</v>
      </c>
      <c r="Q1950" s="11"/>
      <c r="R1950" s="11"/>
      <c r="S1950" s="11" t="s">
        <v>101</v>
      </c>
      <c r="T1950" s="29">
        <v>45488.0</v>
      </c>
      <c r="U1950" s="29">
        <v>45488.0</v>
      </c>
      <c r="V1950" s="29">
        <v>45492.63352366898</v>
      </c>
      <c r="W1950" s="30"/>
      <c r="X1950" s="30"/>
      <c r="Y1950" s="31"/>
      <c r="Z1950" s="31"/>
      <c r="AA1950" s="31"/>
      <c r="AB1950" s="31" t="s">
        <v>7698</v>
      </c>
      <c r="AC1950" s="31"/>
    </row>
    <row r="1951" ht="18.75" customHeight="1">
      <c r="A1951" s="18" t="s">
        <v>7699</v>
      </c>
      <c r="B1951" s="19" t="s">
        <v>7696</v>
      </c>
      <c r="C1951" s="20">
        <v>0.0</v>
      </c>
      <c r="D1951" s="21" t="s">
        <v>7700</v>
      </c>
      <c r="E1951" s="27" t="s">
        <v>268</v>
      </c>
      <c r="F1951" s="18" t="s">
        <v>33</v>
      </c>
      <c r="G1951" s="32" t="s">
        <v>35</v>
      </c>
      <c r="H1951" s="23" t="s">
        <v>35</v>
      </c>
      <c r="I1951" s="24" t="s">
        <v>36</v>
      </c>
      <c r="J1951" s="25" t="s">
        <v>49</v>
      </c>
      <c r="K1951" s="26" t="s">
        <v>38</v>
      </c>
      <c r="L1951" s="25">
        <v>11197.0</v>
      </c>
      <c r="M1951" s="27" t="s">
        <v>50</v>
      </c>
      <c r="N1951" s="26" t="s">
        <v>99</v>
      </c>
      <c r="O1951" s="28">
        <v>45495.61335226852</v>
      </c>
      <c r="P1951" s="26" t="s">
        <v>6028</v>
      </c>
      <c r="Q1951" s="11"/>
      <c r="R1951" s="11"/>
      <c r="S1951" s="11"/>
      <c r="T1951" s="29">
        <v>45488.0</v>
      </c>
      <c r="U1951" s="29">
        <v>45488.0</v>
      </c>
      <c r="V1951" s="29">
        <f>O1951</f>
        <v>45495.61335</v>
      </c>
      <c r="W1951" s="30"/>
      <c r="X1951" s="30"/>
      <c r="Y1951" s="31"/>
      <c r="Z1951" s="31"/>
      <c r="AA1951" s="31"/>
      <c r="AB1951" s="31" t="s">
        <v>7701</v>
      </c>
      <c r="AC1951" s="31"/>
    </row>
    <row r="1952" ht="18.75" customHeight="1">
      <c r="A1952" s="18" t="s">
        <v>7702</v>
      </c>
      <c r="B1952" s="19" t="s">
        <v>7703</v>
      </c>
      <c r="C1952" s="20">
        <v>0.0</v>
      </c>
      <c r="D1952" s="21" t="s">
        <v>7704</v>
      </c>
      <c r="E1952" s="27" t="s">
        <v>664</v>
      </c>
      <c r="F1952" s="18" t="s">
        <v>48</v>
      </c>
      <c r="G1952" s="32" t="s">
        <v>35</v>
      </c>
      <c r="H1952" s="23" t="s">
        <v>35</v>
      </c>
      <c r="I1952" s="24" t="s">
        <v>36</v>
      </c>
      <c r="J1952" s="34" t="s">
        <v>65</v>
      </c>
      <c r="K1952" s="26" t="s">
        <v>38</v>
      </c>
      <c r="L1952" s="25">
        <v>11178.0</v>
      </c>
      <c r="M1952" s="27" t="s">
        <v>50</v>
      </c>
      <c r="N1952" s="26" t="s">
        <v>5279</v>
      </c>
      <c r="O1952" s="28">
        <v>45495.63527834491</v>
      </c>
      <c r="P1952" s="26" t="s">
        <v>7705</v>
      </c>
      <c r="Q1952" s="11"/>
      <c r="R1952" s="11"/>
      <c r="S1952" s="11" t="s">
        <v>50</v>
      </c>
      <c r="T1952" s="29">
        <v>45488.0</v>
      </c>
      <c r="U1952" s="29"/>
      <c r="V1952" s="29">
        <v>45495.473969467595</v>
      </c>
      <c r="W1952" s="30"/>
      <c r="X1952" s="30"/>
      <c r="Y1952" s="31"/>
      <c r="Z1952" s="31"/>
      <c r="AA1952" s="31" t="s">
        <v>3059</v>
      </c>
      <c r="AB1952" s="31" t="s">
        <v>7706</v>
      </c>
      <c r="AC1952" s="31"/>
    </row>
    <row r="1953" ht="18.75" customHeight="1">
      <c r="A1953" s="18" t="s">
        <v>7707</v>
      </c>
      <c r="B1953" s="19" t="s">
        <v>7708</v>
      </c>
      <c r="C1953" s="20">
        <v>137.0</v>
      </c>
      <c r="D1953" s="21" t="s">
        <v>7709</v>
      </c>
      <c r="E1953" s="27" t="s">
        <v>85</v>
      </c>
      <c r="F1953" s="18" t="s">
        <v>48</v>
      </c>
      <c r="G1953" s="32" t="s">
        <v>35</v>
      </c>
      <c r="H1953" s="23" t="s">
        <v>35</v>
      </c>
      <c r="I1953" s="24" t="s">
        <v>36</v>
      </c>
      <c r="J1953" s="25" t="s">
        <v>49</v>
      </c>
      <c r="K1953" s="26" t="s">
        <v>38</v>
      </c>
      <c r="L1953" s="25">
        <v>11194.0</v>
      </c>
      <c r="M1953" s="27" t="s">
        <v>7610</v>
      </c>
      <c r="N1953" s="26" t="s">
        <v>4183</v>
      </c>
      <c r="O1953" s="28">
        <v>45492.65424783565</v>
      </c>
      <c r="P1953" s="26" t="s">
        <v>6028</v>
      </c>
      <c r="Q1953" s="11"/>
      <c r="R1953" s="11"/>
      <c r="S1953" s="11"/>
      <c r="T1953" s="29">
        <v>45488.0</v>
      </c>
      <c r="U1953" s="29">
        <v>45488.0</v>
      </c>
      <c r="V1953" s="29">
        <v>45492.39062233796</v>
      </c>
      <c r="W1953" s="30"/>
      <c r="X1953" s="30"/>
      <c r="Y1953" s="31"/>
      <c r="Z1953" s="31"/>
      <c r="AA1953" s="31" t="s">
        <v>108</v>
      </c>
      <c r="AB1953" s="31" t="s">
        <v>7710</v>
      </c>
      <c r="AC1953" s="31"/>
    </row>
    <row r="1954" ht="18.75" customHeight="1">
      <c r="A1954" s="18" t="s">
        <v>7711</v>
      </c>
      <c r="B1954" s="19" t="s">
        <v>7480</v>
      </c>
      <c r="C1954" s="20">
        <v>137.0</v>
      </c>
      <c r="D1954" s="21" t="s">
        <v>7712</v>
      </c>
      <c r="E1954" s="27" t="s">
        <v>85</v>
      </c>
      <c r="F1954" s="18" t="s">
        <v>48</v>
      </c>
      <c r="G1954" s="32" t="s">
        <v>35</v>
      </c>
      <c r="H1954" s="23" t="s">
        <v>35</v>
      </c>
      <c r="I1954" s="24" t="s">
        <v>36</v>
      </c>
      <c r="J1954" s="25" t="s">
        <v>92</v>
      </c>
      <c r="K1954" s="26" t="s">
        <v>38</v>
      </c>
      <c r="L1954" s="25">
        <v>11216.0</v>
      </c>
      <c r="M1954" s="27" t="s">
        <v>50</v>
      </c>
      <c r="N1954" s="26" t="s">
        <v>4362</v>
      </c>
      <c r="O1954" s="28">
        <v>45517.46328247685</v>
      </c>
      <c r="P1954" s="26" t="s">
        <v>7713</v>
      </c>
      <c r="Q1954" s="11" t="s">
        <v>67</v>
      </c>
      <c r="R1954" s="11"/>
      <c r="S1954" s="11" t="s">
        <v>50</v>
      </c>
      <c r="T1954" s="29">
        <v>45489.0</v>
      </c>
      <c r="U1954" s="29">
        <v>45492.3793655787</v>
      </c>
      <c r="V1954" s="29">
        <v>45497.33915590278</v>
      </c>
      <c r="W1954" s="30"/>
      <c r="X1954" s="30"/>
      <c r="Y1954" s="31"/>
      <c r="Z1954" s="31"/>
      <c r="AA1954" s="31"/>
      <c r="AB1954" s="31" t="s">
        <v>7714</v>
      </c>
      <c r="AC1954" s="31"/>
    </row>
    <row r="1955" ht="18.75" customHeight="1">
      <c r="A1955" s="48" t="s">
        <v>7715</v>
      </c>
      <c r="B1955" s="53" t="s">
        <v>4035</v>
      </c>
      <c r="C1955" s="47">
        <v>1.0</v>
      </c>
      <c r="D1955" s="70" t="s">
        <v>7716</v>
      </c>
      <c r="E1955" s="55" t="s">
        <v>3395</v>
      </c>
      <c r="F1955" s="32" t="s">
        <v>48</v>
      </c>
      <c r="G1955" s="32" t="s">
        <v>35</v>
      </c>
      <c r="H1955" s="71" t="s">
        <v>35</v>
      </c>
      <c r="I1955" s="71" t="s">
        <v>36</v>
      </c>
      <c r="J1955" s="34" t="s">
        <v>49</v>
      </c>
      <c r="K1955" s="57" t="s">
        <v>38</v>
      </c>
      <c r="L1955" s="72">
        <v>11170.0</v>
      </c>
      <c r="M1955" s="22"/>
      <c r="N1955" s="73"/>
      <c r="O1955" s="28">
        <v>45394.0</v>
      </c>
      <c r="P1955" s="35" t="s">
        <v>7717</v>
      </c>
      <c r="Q1955" s="12"/>
      <c r="R1955" s="12"/>
      <c r="S1955" s="12"/>
      <c r="T1955" s="52">
        <v>45489.0</v>
      </c>
      <c r="U1955" s="52">
        <v>45384.0</v>
      </c>
      <c r="V1955" s="52">
        <v>45385.0</v>
      </c>
      <c r="W1955" s="30"/>
      <c r="X1955" s="30"/>
      <c r="Y1955" s="31"/>
      <c r="Z1955" s="31"/>
      <c r="AA1955" s="78" t="s">
        <v>94</v>
      </c>
      <c r="AB1955" s="74" t="s">
        <v>7718</v>
      </c>
      <c r="AC1955" s="74"/>
    </row>
    <row r="1956" ht="18.75" customHeight="1">
      <c r="A1956" s="18" t="s">
        <v>7719</v>
      </c>
      <c r="B1956" s="19" t="s">
        <v>7720</v>
      </c>
      <c r="C1956" s="20">
        <v>34.0</v>
      </c>
      <c r="D1956" s="21" t="s">
        <v>7721</v>
      </c>
      <c r="E1956" s="27" t="s">
        <v>47</v>
      </c>
      <c r="F1956" s="18" t="s">
        <v>48</v>
      </c>
      <c r="G1956" s="32" t="s">
        <v>35</v>
      </c>
      <c r="H1956" s="23" t="s">
        <v>35</v>
      </c>
      <c r="I1956" s="24" t="s">
        <v>36</v>
      </c>
      <c r="J1956" s="25" t="s">
        <v>49</v>
      </c>
      <c r="K1956" s="26" t="s">
        <v>38</v>
      </c>
      <c r="L1956" s="25">
        <v>11172.0</v>
      </c>
      <c r="M1956" s="27" t="s">
        <v>50</v>
      </c>
      <c r="N1956" s="26" t="s">
        <v>99</v>
      </c>
      <c r="O1956" s="28">
        <v>45490.65387101852</v>
      </c>
      <c r="P1956" s="26" t="s">
        <v>6028</v>
      </c>
      <c r="Q1956" s="11" t="s">
        <v>67</v>
      </c>
      <c r="R1956" s="11"/>
      <c r="S1956" s="11"/>
      <c r="T1956" s="29">
        <v>45489.0</v>
      </c>
      <c r="U1956" s="29">
        <v>45489.0</v>
      </c>
      <c r="V1956" s="29">
        <v>45490.46279989583</v>
      </c>
      <c r="W1956" s="30"/>
      <c r="X1956" s="30"/>
      <c r="Y1956" s="31"/>
      <c r="Z1956" s="31"/>
      <c r="AA1956" s="31" t="s">
        <v>127</v>
      </c>
      <c r="AB1956" s="31" t="s">
        <v>7722</v>
      </c>
      <c r="AC1956" s="31"/>
    </row>
    <row r="1957" ht="18.75" customHeight="1">
      <c r="A1957" s="18" t="s">
        <v>7723</v>
      </c>
      <c r="B1957" s="19" t="s">
        <v>4308</v>
      </c>
      <c r="C1957" s="20">
        <v>34.0</v>
      </c>
      <c r="D1957" s="21" t="s">
        <v>7724</v>
      </c>
      <c r="E1957" s="27" t="s">
        <v>47</v>
      </c>
      <c r="F1957" s="18" t="s">
        <v>48</v>
      </c>
      <c r="G1957" s="32" t="s">
        <v>35</v>
      </c>
      <c r="H1957" s="23" t="s">
        <v>35</v>
      </c>
      <c r="I1957" s="24" t="s">
        <v>36</v>
      </c>
      <c r="J1957" s="25" t="s">
        <v>92</v>
      </c>
      <c r="K1957" s="26" t="s">
        <v>38</v>
      </c>
      <c r="L1957" s="25">
        <v>11166.0</v>
      </c>
      <c r="M1957" s="27" t="s">
        <v>50</v>
      </c>
      <c r="N1957" s="26" t="s">
        <v>7638</v>
      </c>
      <c r="O1957" s="28">
        <v>45489.67423203704</v>
      </c>
      <c r="P1957" s="26" t="s">
        <v>6028</v>
      </c>
      <c r="Q1957" s="11" t="s">
        <v>67</v>
      </c>
      <c r="R1957" s="11"/>
      <c r="S1957" s="11"/>
      <c r="T1957" s="29">
        <v>45489.0</v>
      </c>
      <c r="U1957" s="29">
        <v>45489.0</v>
      </c>
      <c r="V1957" s="29">
        <v>45489.65397853009</v>
      </c>
      <c r="W1957" s="30"/>
      <c r="X1957" s="30"/>
      <c r="Y1957" s="31"/>
      <c r="Z1957" s="31"/>
      <c r="AA1957" s="31" t="s">
        <v>120</v>
      </c>
      <c r="AB1957" s="31" t="s">
        <v>7725</v>
      </c>
      <c r="AC1957" s="31"/>
    </row>
    <row r="1958" ht="18.75" customHeight="1">
      <c r="A1958" s="18" t="s">
        <v>7726</v>
      </c>
      <c r="B1958" s="19" t="s">
        <v>4352</v>
      </c>
      <c r="C1958" s="20">
        <v>137.0</v>
      </c>
      <c r="D1958" s="21" t="s">
        <v>7727</v>
      </c>
      <c r="E1958" s="27" t="s">
        <v>85</v>
      </c>
      <c r="F1958" s="18" t="s">
        <v>48</v>
      </c>
      <c r="G1958" s="32" t="s">
        <v>35</v>
      </c>
      <c r="H1958" s="23" t="s">
        <v>35</v>
      </c>
      <c r="I1958" s="24" t="s">
        <v>36</v>
      </c>
      <c r="J1958" s="25" t="s">
        <v>49</v>
      </c>
      <c r="K1958" s="26" t="s">
        <v>38</v>
      </c>
      <c r="L1958" s="25">
        <v>11200.0</v>
      </c>
      <c r="M1958" s="27" t="s">
        <v>50</v>
      </c>
      <c r="N1958" s="26" t="s">
        <v>99</v>
      </c>
      <c r="O1958" s="28">
        <v>45495.613271469905</v>
      </c>
      <c r="P1958" s="26" t="s">
        <v>6028</v>
      </c>
      <c r="Q1958" s="11" t="s">
        <v>67</v>
      </c>
      <c r="R1958" s="11"/>
      <c r="S1958" s="11" t="s">
        <v>50</v>
      </c>
      <c r="T1958" s="29">
        <v>45489.0</v>
      </c>
      <c r="U1958" s="29">
        <v>45492.48449754629</v>
      </c>
      <c r="V1958" s="29">
        <v>45495.35692712963</v>
      </c>
      <c r="W1958" s="30"/>
      <c r="X1958" s="30"/>
      <c r="Y1958" s="31"/>
      <c r="Z1958" s="31"/>
      <c r="AA1958" s="31" t="s">
        <v>127</v>
      </c>
      <c r="AB1958" s="31" t="s">
        <v>7728</v>
      </c>
      <c r="AC1958" s="31"/>
    </row>
    <row r="1959" ht="18.75" customHeight="1">
      <c r="A1959" s="32" t="s">
        <v>7729</v>
      </c>
      <c r="B1959" s="19" t="s">
        <v>4352</v>
      </c>
      <c r="C1959" s="20">
        <v>137.0</v>
      </c>
      <c r="D1959" s="21" t="s">
        <v>7730</v>
      </c>
      <c r="E1959" s="27" t="s">
        <v>85</v>
      </c>
      <c r="F1959" s="18" t="s">
        <v>48</v>
      </c>
      <c r="G1959" s="32" t="s">
        <v>35</v>
      </c>
      <c r="H1959" s="23" t="s">
        <v>35</v>
      </c>
      <c r="I1959" s="37" t="s">
        <v>36</v>
      </c>
      <c r="J1959" s="25" t="s">
        <v>49</v>
      </c>
      <c r="K1959" s="26" t="s">
        <v>38</v>
      </c>
      <c r="L1959" s="25">
        <v>11200.0</v>
      </c>
      <c r="M1959" s="27" t="s">
        <v>50</v>
      </c>
      <c r="N1959" s="26" t="s">
        <v>106</v>
      </c>
      <c r="O1959" s="28">
        <v>45495.6129779051</v>
      </c>
      <c r="P1959" s="35"/>
      <c r="Q1959" s="11" t="s">
        <v>67</v>
      </c>
      <c r="R1959" s="11"/>
      <c r="S1959" s="11" t="s">
        <v>50</v>
      </c>
      <c r="T1959" s="29">
        <v>45489.0</v>
      </c>
      <c r="U1959" s="29">
        <v>45492.484490613424</v>
      </c>
      <c r="V1959" s="29">
        <v>45495.35694153935</v>
      </c>
      <c r="W1959" s="30"/>
      <c r="X1959" s="30"/>
      <c r="Y1959" s="31"/>
      <c r="Z1959" s="31"/>
      <c r="AA1959" s="31" t="s">
        <v>127</v>
      </c>
      <c r="AB1959" s="31" t="s">
        <v>7731</v>
      </c>
      <c r="AC1959" s="31"/>
    </row>
    <row r="1960" ht="18.75" customHeight="1">
      <c r="A1960" s="18" t="s">
        <v>7732</v>
      </c>
      <c r="B1960" s="19" t="s">
        <v>4352</v>
      </c>
      <c r="C1960" s="20">
        <v>0.0</v>
      </c>
      <c r="D1960" s="21" t="s">
        <v>7733</v>
      </c>
      <c r="E1960" s="27" t="s">
        <v>3441</v>
      </c>
      <c r="F1960" s="18" t="s">
        <v>48</v>
      </c>
      <c r="G1960" s="32" t="s">
        <v>35</v>
      </c>
      <c r="H1960" s="23" t="s">
        <v>35</v>
      </c>
      <c r="I1960" s="24" t="s">
        <v>36</v>
      </c>
      <c r="J1960" s="25" t="s">
        <v>49</v>
      </c>
      <c r="K1960" s="26" t="s">
        <v>38</v>
      </c>
      <c r="L1960" s="25">
        <v>11200.0</v>
      </c>
      <c r="M1960" s="27" t="s">
        <v>50</v>
      </c>
      <c r="N1960" s="26" t="s">
        <v>99</v>
      </c>
      <c r="O1960" s="28">
        <v>45495.613055636575</v>
      </c>
      <c r="P1960" s="26" t="s">
        <v>6028</v>
      </c>
      <c r="Q1960" s="11" t="s">
        <v>67</v>
      </c>
      <c r="R1960" s="11"/>
      <c r="S1960" s="11" t="s">
        <v>50</v>
      </c>
      <c r="T1960" s="29">
        <v>45489.0</v>
      </c>
      <c r="U1960" s="29">
        <v>45492.48444891204</v>
      </c>
      <c r="V1960" s="29">
        <v>45495.364320532404</v>
      </c>
      <c r="W1960" s="30"/>
      <c r="X1960" s="30"/>
      <c r="Y1960" s="31"/>
      <c r="Z1960" s="31"/>
      <c r="AA1960" s="31" t="s">
        <v>127</v>
      </c>
      <c r="AB1960" s="31" t="s">
        <v>7734</v>
      </c>
      <c r="AC1960" s="31"/>
    </row>
    <row r="1961" ht="18.75" customHeight="1">
      <c r="A1961" s="18" t="s">
        <v>7735</v>
      </c>
      <c r="B1961" s="19" t="s">
        <v>7736</v>
      </c>
      <c r="C1961" s="20">
        <v>0.0</v>
      </c>
      <c r="D1961" s="21" t="s">
        <v>7737</v>
      </c>
      <c r="E1961" s="27" t="s">
        <v>171</v>
      </c>
      <c r="F1961" s="18" t="s">
        <v>48</v>
      </c>
      <c r="G1961" s="32" t="s">
        <v>35</v>
      </c>
      <c r="H1961" s="23" t="s">
        <v>35</v>
      </c>
      <c r="I1961" s="24" t="s">
        <v>36</v>
      </c>
      <c r="J1961" s="25" t="s">
        <v>49</v>
      </c>
      <c r="K1961" s="26" t="s">
        <v>7738</v>
      </c>
      <c r="L1961" s="25">
        <v>11179.0</v>
      </c>
      <c r="M1961" s="27" t="s">
        <v>50</v>
      </c>
      <c r="N1961" s="26" t="s">
        <v>99</v>
      </c>
      <c r="O1961" s="28">
        <v>45490.65393690972</v>
      </c>
      <c r="P1961" s="26" t="s">
        <v>6028</v>
      </c>
      <c r="Q1961" s="11" t="s">
        <v>67</v>
      </c>
      <c r="R1961" s="11"/>
      <c r="S1961" s="11"/>
      <c r="T1961" s="29">
        <v>45489.0</v>
      </c>
      <c r="U1961" s="29">
        <v>45489.0</v>
      </c>
      <c r="V1961" s="29">
        <v>45490.49057780093</v>
      </c>
      <c r="W1961" s="30"/>
      <c r="X1961" s="30"/>
      <c r="Y1961" s="31"/>
      <c r="Z1961" s="31"/>
      <c r="AA1961" s="31" t="s">
        <v>3053</v>
      </c>
      <c r="AB1961" s="31" t="s">
        <v>7739</v>
      </c>
      <c r="AC1961" s="31"/>
    </row>
    <row r="1962" ht="18.75" customHeight="1">
      <c r="A1962" s="48" t="s">
        <v>7740</v>
      </c>
      <c r="B1962" s="46" t="s">
        <v>7442</v>
      </c>
      <c r="C1962" s="54">
        <v>137.0</v>
      </c>
      <c r="D1962" s="21" t="s">
        <v>7741</v>
      </c>
      <c r="E1962" s="55" t="s">
        <v>85</v>
      </c>
      <c r="F1962" s="32" t="s">
        <v>48</v>
      </c>
      <c r="G1962" s="32" t="s">
        <v>35</v>
      </c>
      <c r="H1962" s="23" t="s">
        <v>35</v>
      </c>
      <c r="I1962" s="56" t="s">
        <v>36</v>
      </c>
      <c r="J1962" s="34" t="s">
        <v>49</v>
      </c>
      <c r="K1962" s="57" t="s">
        <v>38</v>
      </c>
      <c r="L1962" s="58" t="s">
        <v>7742</v>
      </c>
      <c r="M1962" s="22"/>
      <c r="N1962" s="26" t="s">
        <v>86</v>
      </c>
      <c r="O1962" s="28" t="s">
        <v>6028</v>
      </c>
      <c r="P1962" s="26" t="s">
        <v>7743</v>
      </c>
      <c r="Q1962" s="12"/>
      <c r="R1962" s="59"/>
      <c r="S1962" s="60"/>
      <c r="T1962" s="29">
        <v>45440.0</v>
      </c>
      <c r="U1962" s="29">
        <v>45440.0</v>
      </c>
      <c r="V1962" s="29">
        <v>45500.46204331018</v>
      </c>
      <c r="W1962" s="30"/>
      <c r="X1962" s="30"/>
      <c r="Y1962" s="31"/>
      <c r="Z1962" s="31"/>
      <c r="AA1962" s="31" t="s">
        <v>94</v>
      </c>
      <c r="AB1962" s="31" t="s">
        <v>7744</v>
      </c>
      <c r="AC1962" s="31"/>
    </row>
    <row r="1963" ht="18.75" customHeight="1">
      <c r="A1963" s="18" t="s">
        <v>7745</v>
      </c>
      <c r="B1963" s="19" t="s">
        <v>1069</v>
      </c>
      <c r="C1963" s="20">
        <v>0.0</v>
      </c>
      <c r="D1963" s="21" t="s">
        <v>7746</v>
      </c>
      <c r="E1963" s="27" t="s">
        <v>664</v>
      </c>
      <c r="F1963" s="18" t="s">
        <v>48</v>
      </c>
      <c r="G1963" s="32" t="s">
        <v>35</v>
      </c>
      <c r="H1963" s="23" t="s">
        <v>35</v>
      </c>
      <c r="I1963" s="24" t="s">
        <v>36</v>
      </c>
      <c r="J1963" s="34" t="s">
        <v>65</v>
      </c>
      <c r="K1963" s="26" t="s">
        <v>38</v>
      </c>
      <c r="L1963" s="25">
        <v>11196.0</v>
      </c>
      <c r="M1963" s="27" t="s">
        <v>7610</v>
      </c>
      <c r="N1963" s="26" t="s">
        <v>4698</v>
      </c>
      <c r="O1963" s="28">
        <v>45492.66704958334</v>
      </c>
      <c r="P1963" s="26" t="s">
        <v>6028</v>
      </c>
      <c r="Q1963" s="11" t="s">
        <v>67</v>
      </c>
      <c r="R1963" s="11"/>
      <c r="S1963" s="11"/>
      <c r="T1963" s="29">
        <v>45489.0</v>
      </c>
      <c r="U1963" s="29">
        <v>45489.0</v>
      </c>
      <c r="V1963" s="29">
        <v>45492.41507310185</v>
      </c>
      <c r="W1963" s="30"/>
      <c r="X1963" s="30"/>
      <c r="Y1963" s="31"/>
      <c r="Z1963" s="31"/>
      <c r="AA1963" s="31" t="s">
        <v>94</v>
      </c>
      <c r="AB1963" s="31" t="s">
        <v>7747</v>
      </c>
      <c r="AC1963" s="31"/>
    </row>
    <row r="1964" ht="18.75" customHeight="1">
      <c r="A1964" s="142" t="s">
        <v>7748</v>
      </c>
      <c r="B1964" s="19" t="s">
        <v>3289</v>
      </c>
      <c r="C1964" s="20">
        <v>0.0</v>
      </c>
      <c r="D1964" s="21" t="s">
        <v>7749</v>
      </c>
      <c r="E1964" s="27" t="s">
        <v>295</v>
      </c>
      <c r="F1964" s="18" t="str">
        <f t="array" ref="F1964:F5893">IFERROR(SWITCH(RIGHT(E1964:E5893,2), "JA","BANDEJA","PT", "WI-FI", "CZ", "WI-FI", "0T", "TOUCH", "5T", "TOUCH", "40", "PDX", "60", "PDX", "45", "PDX", "35","PDX","BR","WI-FI","5W","WI-FI","CV","BOMBA DE ÁGUA"),"")</f>
        <v>TOUCH</v>
      </c>
      <c r="G1964" s="32" t="s">
        <v>35</v>
      </c>
      <c r="H1964" s="23" t="s">
        <v>35</v>
      </c>
      <c r="I1964" s="24" t="s">
        <v>36</v>
      </c>
      <c r="J1964" s="25" t="s">
        <v>92</v>
      </c>
      <c r="K1964" s="26" t="s">
        <v>38</v>
      </c>
      <c r="L1964" s="25" t="s">
        <v>7750</v>
      </c>
      <c r="M1964" s="27" t="s">
        <v>50</v>
      </c>
      <c r="N1964" s="26" t="s">
        <v>4362</v>
      </c>
      <c r="O1964" s="28">
        <v>45517.46385638889</v>
      </c>
      <c r="P1964" s="26" t="s">
        <v>7751</v>
      </c>
      <c r="Q1964" s="11" t="s">
        <v>67</v>
      </c>
      <c r="R1964" s="11"/>
      <c r="S1964" s="11" t="s">
        <v>73</v>
      </c>
      <c r="T1964" s="29">
        <v>45490.0</v>
      </c>
      <c r="U1964" s="29">
        <v>45489.0</v>
      </c>
      <c r="V1964" s="29">
        <v>45497.75937372685</v>
      </c>
      <c r="W1964" s="30"/>
      <c r="X1964" s="30"/>
      <c r="Y1964" s="31"/>
      <c r="Z1964" s="31"/>
      <c r="AA1964" s="31"/>
      <c r="AB1964" s="31" t="s">
        <v>7752</v>
      </c>
      <c r="AC1964" s="31"/>
    </row>
    <row r="1965" ht="18.75" customHeight="1">
      <c r="A1965" s="18" t="s">
        <v>7753</v>
      </c>
      <c r="B1965" s="19" t="s">
        <v>6114</v>
      </c>
      <c r="C1965" s="20">
        <v>0.0</v>
      </c>
      <c r="D1965" s="21" t="s">
        <v>7754</v>
      </c>
      <c r="E1965" s="27" t="s">
        <v>257</v>
      </c>
      <c r="F1965" s="18" t="s">
        <v>244</v>
      </c>
      <c r="G1965" s="32" t="s">
        <v>35</v>
      </c>
      <c r="H1965" s="23" t="s">
        <v>35</v>
      </c>
      <c r="I1965" s="24" t="s">
        <v>36</v>
      </c>
      <c r="J1965" s="25" t="s">
        <v>420</v>
      </c>
      <c r="K1965" s="26" t="s">
        <v>38</v>
      </c>
      <c r="L1965" s="25">
        <v>11198.0</v>
      </c>
      <c r="M1965" s="27" t="s">
        <v>50</v>
      </c>
      <c r="N1965" s="26" t="s">
        <v>4031</v>
      </c>
      <c r="O1965" s="28">
        <v>45495.5969906713</v>
      </c>
      <c r="P1965" s="26" t="s">
        <v>6028</v>
      </c>
      <c r="Q1965" s="11" t="s">
        <v>67</v>
      </c>
      <c r="R1965" s="11"/>
      <c r="S1965" s="11" t="s">
        <v>6134</v>
      </c>
      <c r="T1965" s="29">
        <v>45490.0</v>
      </c>
      <c r="U1965" s="29">
        <v>45489.0</v>
      </c>
      <c r="V1965" s="29">
        <v>45492.57399204861</v>
      </c>
      <c r="W1965" s="30"/>
      <c r="X1965" s="30"/>
      <c r="Y1965" s="31"/>
      <c r="Z1965" s="31"/>
      <c r="AA1965" s="31" t="s">
        <v>120</v>
      </c>
      <c r="AB1965" s="31" t="s">
        <v>7755</v>
      </c>
      <c r="AC1965" s="31"/>
    </row>
    <row r="1966" ht="18.75" customHeight="1">
      <c r="A1966" s="18" t="s">
        <v>7756</v>
      </c>
      <c r="B1966" s="19" t="s">
        <v>7359</v>
      </c>
      <c r="C1966" s="20">
        <v>0.0</v>
      </c>
      <c r="D1966" s="21" t="s">
        <v>7757</v>
      </c>
      <c r="E1966" s="22" t="s">
        <v>1119</v>
      </c>
      <c r="F1966" s="18" t="s">
        <v>33</v>
      </c>
      <c r="G1966" s="32" t="s">
        <v>35</v>
      </c>
      <c r="H1966" s="23" t="s">
        <v>35</v>
      </c>
      <c r="I1966" s="24" t="s">
        <v>36</v>
      </c>
      <c r="J1966" s="25" t="s">
        <v>92</v>
      </c>
      <c r="K1966" s="26" t="s">
        <v>38</v>
      </c>
      <c r="L1966" s="25">
        <v>11213.0</v>
      </c>
      <c r="M1966" s="27" t="s">
        <v>50</v>
      </c>
      <c r="N1966" s="26" t="s">
        <v>118</v>
      </c>
      <c r="O1966" s="28">
        <v>45499.71816730324</v>
      </c>
      <c r="P1966" s="26" t="s">
        <v>6028</v>
      </c>
      <c r="Q1966" s="11" t="s">
        <v>67</v>
      </c>
      <c r="R1966" s="11"/>
      <c r="S1966" s="11" t="s">
        <v>101</v>
      </c>
      <c r="T1966" s="29">
        <v>45490.0</v>
      </c>
      <c r="U1966" s="29">
        <v>45489.0</v>
      </c>
      <c r="V1966" s="29">
        <v>45496.45502329861</v>
      </c>
      <c r="W1966" s="30"/>
      <c r="X1966" s="30"/>
      <c r="Y1966" s="31"/>
      <c r="Z1966" s="31"/>
      <c r="AA1966" s="31" t="s">
        <v>120</v>
      </c>
      <c r="AB1966" s="31" t="s">
        <v>7758</v>
      </c>
      <c r="AC1966" s="31"/>
    </row>
    <row r="1967" ht="18.75" customHeight="1">
      <c r="A1967" s="18" t="s">
        <v>7759</v>
      </c>
      <c r="B1967" s="19" t="s">
        <v>7760</v>
      </c>
      <c r="C1967" s="20">
        <v>137.0</v>
      </c>
      <c r="D1967" s="21" t="s">
        <v>7761</v>
      </c>
      <c r="E1967" s="27" t="s">
        <v>85</v>
      </c>
      <c r="F1967" s="18" t="s">
        <v>48</v>
      </c>
      <c r="G1967" s="32" t="s">
        <v>35</v>
      </c>
      <c r="H1967" s="23" t="s">
        <v>35</v>
      </c>
      <c r="I1967" s="24" t="s">
        <v>36</v>
      </c>
      <c r="J1967" s="25" t="s">
        <v>49</v>
      </c>
      <c r="K1967" s="26" t="s">
        <v>38</v>
      </c>
      <c r="L1967" s="25">
        <v>11180.0</v>
      </c>
      <c r="M1967" s="27" t="s">
        <v>50</v>
      </c>
      <c r="N1967" s="26" t="s">
        <v>99</v>
      </c>
      <c r="O1967" s="28">
        <v>45490.65399690972</v>
      </c>
      <c r="P1967" s="26" t="s">
        <v>7762</v>
      </c>
      <c r="Q1967" s="11" t="s">
        <v>67</v>
      </c>
      <c r="R1967" s="11"/>
      <c r="S1967" s="11"/>
      <c r="T1967" s="29">
        <v>45490.5788052662</v>
      </c>
      <c r="U1967" s="29">
        <v>45490.0</v>
      </c>
      <c r="V1967" s="29">
        <v>45490.64389116898</v>
      </c>
      <c r="W1967" s="30"/>
      <c r="X1967" s="30"/>
      <c r="Y1967" s="31"/>
      <c r="Z1967" s="31"/>
      <c r="AA1967" s="31" t="s">
        <v>127</v>
      </c>
      <c r="AB1967" s="31" t="s">
        <v>7763</v>
      </c>
      <c r="AC1967" s="31"/>
    </row>
    <row r="1968" ht="18.75" customHeight="1">
      <c r="A1968" s="18" t="s">
        <v>7764</v>
      </c>
      <c r="B1968" s="19" t="s">
        <v>7760</v>
      </c>
      <c r="C1968" s="20">
        <v>137.0</v>
      </c>
      <c r="D1968" s="21" t="s">
        <v>7765</v>
      </c>
      <c r="E1968" s="27" t="s">
        <v>85</v>
      </c>
      <c r="F1968" s="18" t="s">
        <v>48</v>
      </c>
      <c r="G1968" s="32" t="s">
        <v>35</v>
      </c>
      <c r="H1968" s="23" t="s">
        <v>35</v>
      </c>
      <c r="I1968" s="24" t="s">
        <v>36</v>
      </c>
      <c r="J1968" s="25" t="s">
        <v>49</v>
      </c>
      <c r="K1968" s="26" t="s">
        <v>38</v>
      </c>
      <c r="L1968" s="25">
        <v>11180.0</v>
      </c>
      <c r="M1968" s="27" t="s">
        <v>50</v>
      </c>
      <c r="N1968" s="26" t="s">
        <v>99</v>
      </c>
      <c r="O1968" s="28">
        <v>45490.654087372684</v>
      </c>
      <c r="P1968" s="26" t="s">
        <v>7762</v>
      </c>
      <c r="Q1968" s="11" t="s">
        <v>67</v>
      </c>
      <c r="R1968" s="11"/>
      <c r="S1968" s="11"/>
      <c r="T1968" s="29">
        <v>45490.5788052662</v>
      </c>
      <c r="U1968" s="29">
        <v>45490.0</v>
      </c>
      <c r="V1968" s="29">
        <v>45490.64390605324</v>
      </c>
      <c r="W1968" s="30"/>
      <c r="X1968" s="30"/>
      <c r="Y1968" s="31"/>
      <c r="Z1968" s="31"/>
      <c r="AA1968" s="31" t="s">
        <v>127</v>
      </c>
      <c r="AB1968" s="31" t="s">
        <v>7766</v>
      </c>
      <c r="AC1968" s="31"/>
    </row>
    <row r="1969" ht="18.75" customHeight="1">
      <c r="A1969" s="48" t="s">
        <v>7767</v>
      </c>
      <c r="B1969" s="53" t="s">
        <v>7768</v>
      </c>
      <c r="C1969" s="47">
        <v>137.0</v>
      </c>
      <c r="D1969" s="70" t="s">
        <v>7769</v>
      </c>
      <c r="E1969" s="55" t="s">
        <v>85</v>
      </c>
      <c r="F1969" s="32" t="s">
        <v>48</v>
      </c>
      <c r="G1969" s="32" t="s">
        <v>35</v>
      </c>
      <c r="H1969" s="71" t="s">
        <v>35</v>
      </c>
      <c r="I1969" s="71" t="s">
        <v>36</v>
      </c>
      <c r="J1969" s="34" t="s">
        <v>49</v>
      </c>
      <c r="K1969" s="57" t="s">
        <v>38</v>
      </c>
      <c r="L1969" s="72">
        <v>11183.0</v>
      </c>
      <c r="M1969" s="22"/>
      <c r="N1969" s="73"/>
      <c r="O1969" s="28">
        <v>45394.0</v>
      </c>
      <c r="P1969" s="35" t="s">
        <v>7770</v>
      </c>
      <c r="Q1969" s="12"/>
      <c r="R1969" s="12"/>
      <c r="S1969" s="12"/>
      <c r="T1969" s="52">
        <v>45490.0</v>
      </c>
      <c r="U1969" s="52">
        <v>45384.0</v>
      </c>
      <c r="V1969" s="52">
        <v>45385.0</v>
      </c>
      <c r="W1969" s="30"/>
      <c r="X1969" s="30"/>
      <c r="Y1969" s="31"/>
      <c r="Z1969" s="31"/>
      <c r="AA1969" s="78" t="s">
        <v>94</v>
      </c>
      <c r="AB1969" s="74" t="s">
        <v>7771</v>
      </c>
      <c r="AC1969" s="74"/>
    </row>
    <row r="1970" ht="18.75" customHeight="1">
      <c r="A1970" s="18" t="s">
        <v>7772</v>
      </c>
      <c r="B1970" s="19" t="s">
        <v>6036</v>
      </c>
      <c r="C1970" s="20">
        <v>0.0</v>
      </c>
      <c r="D1970" s="135" t="s">
        <v>7773</v>
      </c>
      <c r="E1970" s="22" t="s">
        <v>731</v>
      </c>
      <c r="F1970" s="18" t="s">
        <v>33</v>
      </c>
      <c r="G1970" s="18" t="s">
        <v>34</v>
      </c>
      <c r="H1970" s="23" t="s">
        <v>35</v>
      </c>
      <c r="I1970" s="24" t="s">
        <v>36</v>
      </c>
      <c r="J1970" s="25" t="s">
        <v>49</v>
      </c>
      <c r="K1970" s="26" t="s">
        <v>38</v>
      </c>
      <c r="L1970" s="25">
        <v>11309.0</v>
      </c>
      <c r="M1970" s="27" t="s">
        <v>50</v>
      </c>
      <c r="N1970" s="26" t="s">
        <v>99</v>
      </c>
      <c r="O1970" s="28">
        <v>45516.5789052662</v>
      </c>
      <c r="P1970" s="26" t="s">
        <v>7774</v>
      </c>
      <c r="Q1970" s="11" t="s">
        <v>73</v>
      </c>
      <c r="R1970" s="11" t="s">
        <v>73</v>
      </c>
      <c r="S1970" s="11"/>
      <c r="T1970" s="29">
        <v>45509.63000392361</v>
      </c>
      <c r="U1970" s="29">
        <v>45509.63007864583</v>
      </c>
      <c r="V1970" s="29">
        <v>45516.5789052662</v>
      </c>
      <c r="W1970" s="30"/>
      <c r="X1970" s="30"/>
      <c r="Y1970" s="31"/>
      <c r="Z1970" s="31"/>
      <c r="AA1970" s="31" t="s">
        <v>102</v>
      </c>
      <c r="AB1970" s="31" t="s">
        <v>7775</v>
      </c>
      <c r="AC1970" s="31"/>
    </row>
    <row r="1971" ht="18.75" customHeight="1">
      <c r="A1971" s="18" t="s">
        <v>7776</v>
      </c>
      <c r="B1971" s="19" t="s">
        <v>6036</v>
      </c>
      <c r="C1971" s="20">
        <v>0.0</v>
      </c>
      <c r="D1971" s="21" t="s">
        <v>7777</v>
      </c>
      <c r="E1971" s="22" t="s">
        <v>731</v>
      </c>
      <c r="F1971" s="18" t="s">
        <v>33</v>
      </c>
      <c r="G1971" s="18" t="s">
        <v>34</v>
      </c>
      <c r="H1971" s="23" t="s">
        <v>35</v>
      </c>
      <c r="I1971" s="24" t="s">
        <v>36</v>
      </c>
      <c r="J1971" s="25" t="s">
        <v>49</v>
      </c>
      <c r="K1971" s="26" t="s">
        <v>38</v>
      </c>
      <c r="L1971" s="25">
        <v>11309.0</v>
      </c>
      <c r="M1971" s="27" t="s">
        <v>50</v>
      </c>
      <c r="N1971" s="26" t="s">
        <v>99</v>
      </c>
      <c r="O1971" s="28">
        <v>45516.57916689815</v>
      </c>
      <c r="P1971" s="26" t="s">
        <v>7774</v>
      </c>
      <c r="Q1971" s="11" t="s">
        <v>73</v>
      </c>
      <c r="R1971" s="11" t="s">
        <v>73</v>
      </c>
      <c r="S1971" s="11"/>
      <c r="T1971" s="29">
        <v>45509.630078194445</v>
      </c>
      <c r="U1971" s="29">
        <v>45509.630097754634</v>
      </c>
      <c r="V1971" s="29">
        <v>45516.57916689815</v>
      </c>
      <c r="W1971" s="30"/>
      <c r="X1971" s="30"/>
      <c r="Y1971" s="31"/>
      <c r="Z1971" s="31"/>
      <c r="AA1971" s="31" t="s">
        <v>102</v>
      </c>
      <c r="AB1971" s="31" t="s">
        <v>7778</v>
      </c>
      <c r="AC1971" s="31"/>
    </row>
    <row r="1972" ht="18.75" customHeight="1">
      <c r="A1972" s="142" t="s">
        <v>7779</v>
      </c>
      <c r="B1972" s="19" t="s">
        <v>7780</v>
      </c>
      <c r="C1972" s="20">
        <v>11.0</v>
      </c>
      <c r="D1972" s="21" t="s">
        <v>7781</v>
      </c>
      <c r="E1972" s="27" t="s">
        <v>112</v>
      </c>
      <c r="F1972" s="18" t="s">
        <v>48</v>
      </c>
      <c r="G1972" s="32" t="s">
        <v>35</v>
      </c>
      <c r="H1972" s="23" t="s">
        <v>35</v>
      </c>
      <c r="I1972" s="24" t="s">
        <v>36</v>
      </c>
      <c r="J1972" s="25" t="s">
        <v>49</v>
      </c>
      <c r="K1972" s="26" t="s">
        <v>38</v>
      </c>
      <c r="L1972" s="25">
        <v>11205.0</v>
      </c>
      <c r="M1972" s="27" t="s">
        <v>50</v>
      </c>
      <c r="N1972" s="26" t="s">
        <v>51</v>
      </c>
      <c r="O1972" s="28">
        <v>45489.64364498843</v>
      </c>
      <c r="P1972" s="26" t="s">
        <v>7782</v>
      </c>
      <c r="Q1972" s="11" t="s">
        <v>67</v>
      </c>
      <c r="R1972" s="11"/>
      <c r="S1972" s="11"/>
      <c r="T1972" s="29">
        <v>45489.0</v>
      </c>
      <c r="U1972" s="29">
        <v>45489.0</v>
      </c>
      <c r="V1972" s="29">
        <v>45489.58830337963</v>
      </c>
      <c r="W1972" s="30"/>
      <c r="X1972" s="30"/>
      <c r="Y1972" s="31"/>
      <c r="Z1972" s="31"/>
      <c r="AA1972" s="31" t="s">
        <v>94</v>
      </c>
      <c r="AB1972" s="31" t="s">
        <v>7783</v>
      </c>
      <c r="AC1972" s="31"/>
    </row>
    <row r="1973" ht="18.75" customHeight="1">
      <c r="A1973" s="142" t="s">
        <v>7784</v>
      </c>
      <c r="B1973" s="19" t="s">
        <v>7780</v>
      </c>
      <c r="C1973" s="20">
        <v>11.0</v>
      </c>
      <c r="D1973" s="21" t="s">
        <v>7785</v>
      </c>
      <c r="E1973" s="27" t="s">
        <v>112</v>
      </c>
      <c r="F1973" s="18" t="s">
        <v>48</v>
      </c>
      <c r="G1973" s="32" t="s">
        <v>35</v>
      </c>
      <c r="H1973" s="23" t="s">
        <v>35</v>
      </c>
      <c r="I1973" s="24" t="s">
        <v>36</v>
      </c>
      <c r="J1973" s="25" t="s">
        <v>49</v>
      </c>
      <c r="K1973" s="26" t="s">
        <v>38</v>
      </c>
      <c r="L1973" s="25">
        <v>11205.0</v>
      </c>
      <c r="M1973" s="27" t="s">
        <v>50</v>
      </c>
      <c r="N1973" s="26" t="s">
        <v>51</v>
      </c>
      <c r="O1973" s="28">
        <v>45489.64364498843</v>
      </c>
      <c r="P1973" s="26" t="s">
        <v>7786</v>
      </c>
      <c r="Q1973" s="11" t="s">
        <v>67</v>
      </c>
      <c r="R1973" s="11"/>
      <c r="S1973" s="11"/>
      <c r="T1973" s="29">
        <v>45489.0</v>
      </c>
      <c r="U1973" s="29">
        <v>45489.0</v>
      </c>
      <c r="V1973" s="29">
        <v>45489.588318009264</v>
      </c>
      <c r="W1973" s="30"/>
      <c r="X1973" s="30"/>
      <c r="Y1973" s="31"/>
      <c r="Z1973" s="31"/>
      <c r="AA1973" s="31" t="s">
        <v>94</v>
      </c>
      <c r="AB1973" s="31" t="s">
        <v>7787</v>
      </c>
      <c r="AC1973" s="31"/>
    </row>
    <row r="1974" ht="18.75" customHeight="1">
      <c r="A1974" s="18" t="s">
        <v>7788</v>
      </c>
      <c r="B1974" s="19" t="s">
        <v>7789</v>
      </c>
      <c r="C1974" s="20">
        <v>90.0</v>
      </c>
      <c r="D1974" s="21" t="s">
        <v>7790</v>
      </c>
      <c r="E1974" s="27" t="s">
        <v>91</v>
      </c>
      <c r="F1974" s="18" t="s">
        <v>48</v>
      </c>
      <c r="G1974" s="32" t="s">
        <v>35</v>
      </c>
      <c r="H1974" s="23" t="s">
        <v>35</v>
      </c>
      <c r="I1974" s="24" t="s">
        <v>36</v>
      </c>
      <c r="J1974" s="25" t="s">
        <v>49</v>
      </c>
      <c r="K1974" s="26" t="s">
        <v>38</v>
      </c>
      <c r="L1974" s="25">
        <v>11201.0</v>
      </c>
      <c r="M1974" s="27" t="s">
        <v>50</v>
      </c>
      <c r="N1974" s="26" t="s">
        <v>99</v>
      </c>
      <c r="O1974" s="28">
        <v>45495.6131249537</v>
      </c>
      <c r="P1974" s="26" t="s">
        <v>6028</v>
      </c>
      <c r="Q1974" s="11" t="s">
        <v>67</v>
      </c>
      <c r="R1974" s="11"/>
      <c r="S1974" s="11" t="s">
        <v>50</v>
      </c>
      <c r="T1974" s="29">
        <v>45491.0</v>
      </c>
      <c r="U1974" s="29">
        <v>45492.37769678241</v>
      </c>
      <c r="V1974" s="29">
        <v>45495.36023677084</v>
      </c>
      <c r="W1974" s="30"/>
      <c r="X1974" s="30"/>
      <c r="Y1974" s="31"/>
      <c r="Z1974" s="31"/>
      <c r="AA1974" s="31" t="s">
        <v>5199</v>
      </c>
      <c r="AB1974" s="31" t="s">
        <v>7791</v>
      </c>
      <c r="AC1974" s="31"/>
    </row>
    <row r="1975" ht="18.75" customHeight="1">
      <c r="A1975" s="142" t="s">
        <v>7792</v>
      </c>
      <c r="B1975" s="19" t="s">
        <v>5346</v>
      </c>
      <c r="C1975" s="20">
        <v>1.0</v>
      </c>
      <c r="D1975" s="21" t="s">
        <v>7793</v>
      </c>
      <c r="E1975" s="27" t="s">
        <v>3395</v>
      </c>
      <c r="F1975" s="18" t="s">
        <v>48</v>
      </c>
      <c r="G1975" s="32" t="s">
        <v>35</v>
      </c>
      <c r="H1975" s="23" t="s">
        <v>35</v>
      </c>
      <c r="I1975" s="24" t="s">
        <v>36</v>
      </c>
      <c r="J1975" s="25" t="s">
        <v>49</v>
      </c>
      <c r="K1975" s="26" t="s">
        <v>38</v>
      </c>
      <c r="L1975" s="25">
        <v>11215.0</v>
      </c>
      <c r="M1975" s="27" t="s">
        <v>50</v>
      </c>
      <c r="N1975" s="26" t="s">
        <v>99</v>
      </c>
      <c r="O1975" s="28">
        <v>45497.62343024305</v>
      </c>
      <c r="P1975" s="26" t="s">
        <v>7794</v>
      </c>
      <c r="Q1975" s="11" t="s">
        <v>67</v>
      </c>
      <c r="R1975" s="11" t="s">
        <v>67</v>
      </c>
      <c r="S1975" s="11" t="s">
        <v>50</v>
      </c>
      <c r="T1975" s="29">
        <v>45491.6407484838</v>
      </c>
      <c r="U1975" s="29">
        <v>45496.72892819444</v>
      </c>
      <c r="V1975" s="29">
        <v>45497.33838887731</v>
      </c>
      <c r="W1975" s="30"/>
      <c r="X1975" s="30"/>
      <c r="Y1975" s="31"/>
      <c r="Z1975" s="31"/>
      <c r="AA1975" s="31" t="s">
        <v>127</v>
      </c>
      <c r="AB1975" s="31" t="s">
        <v>7795</v>
      </c>
      <c r="AC1975" s="31"/>
    </row>
    <row r="1976" ht="18.75" customHeight="1">
      <c r="A1976" s="18" t="s">
        <v>7796</v>
      </c>
      <c r="B1976" s="19" t="s">
        <v>1373</v>
      </c>
      <c r="C1976" s="20">
        <v>34.0</v>
      </c>
      <c r="D1976" s="21" t="s">
        <v>7797</v>
      </c>
      <c r="E1976" s="27" t="s">
        <v>47</v>
      </c>
      <c r="F1976" s="18" t="s">
        <v>48</v>
      </c>
      <c r="G1976" s="32" t="s">
        <v>35</v>
      </c>
      <c r="H1976" s="23" t="s">
        <v>35</v>
      </c>
      <c r="I1976" s="24" t="s">
        <v>36</v>
      </c>
      <c r="J1976" s="25" t="s">
        <v>92</v>
      </c>
      <c r="K1976" s="26" t="s">
        <v>38</v>
      </c>
      <c r="L1976" s="25">
        <v>11228.0</v>
      </c>
      <c r="M1976" s="27" t="s">
        <v>73</v>
      </c>
      <c r="N1976" s="26" t="s">
        <v>7798</v>
      </c>
      <c r="O1976" s="28">
        <v>45498.519417488424</v>
      </c>
      <c r="P1976" s="26" t="s">
        <v>7799</v>
      </c>
      <c r="Q1976" s="11" t="s">
        <v>67</v>
      </c>
      <c r="R1976" s="11" t="s">
        <v>67</v>
      </c>
      <c r="S1976" s="11" t="s">
        <v>50</v>
      </c>
      <c r="T1976" s="29">
        <v>45498.44806446759</v>
      </c>
      <c r="U1976" s="29">
        <v>45498.0</v>
      </c>
      <c r="V1976" s="29">
        <v>45498.468532430554</v>
      </c>
      <c r="W1976" s="30"/>
      <c r="X1976" s="30"/>
      <c r="Y1976" s="31"/>
      <c r="Z1976" s="31"/>
      <c r="AA1976" s="31" t="s">
        <v>94</v>
      </c>
      <c r="AB1976" s="31" t="s">
        <v>7800</v>
      </c>
      <c r="AC1976" s="31"/>
    </row>
    <row r="1977" ht="18.75" customHeight="1">
      <c r="A1977" s="18" t="s">
        <v>7801</v>
      </c>
      <c r="B1977" s="19" t="s">
        <v>1373</v>
      </c>
      <c r="C1977" s="20">
        <v>34.0</v>
      </c>
      <c r="D1977" s="21" t="s">
        <v>7802</v>
      </c>
      <c r="E1977" s="27" t="s">
        <v>47</v>
      </c>
      <c r="F1977" s="18" t="s">
        <v>48</v>
      </c>
      <c r="G1977" s="32" t="s">
        <v>35</v>
      </c>
      <c r="H1977" s="23" t="s">
        <v>35</v>
      </c>
      <c r="I1977" s="24" t="s">
        <v>36</v>
      </c>
      <c r="J1977" s="25" t="s">
        <v>92</v>
      </c>
      <c r="K1977" s="26" t="s">
        <v>38</v>
      </c>
      <c r="L1977" s="25">
        <v>11228.0</v>
      </c>
      <c r="M1977" s="27" t="s">
        <v>73</v>
      </c>
      <c r="N1977" s="26" t="s">
        <v>7798</v>
      </c>
      <c r="O1977" s="28">
        <v>45498.51946357639</v>
      </c>
      <c r="P1977" s="26" t="s">
        <v>7799</v>
      </c>
      <c r="Q1977" s="11" t="s">
        <v>67</v>
      </c>
      <c r="R1977" s="11" t="s">
        <v>67</v>
      </c>
      <c r="S1977" s="11" t="s">
        <v>50</v>
      </c>
      <c r="T1977" s="29">
        <v>45498.44806446759</v>
      </c>
      <c r="U1977" s="29">
        <v>45498.0</v>
      </c>
      <c r="V1977" s="29">
        <v>45498.46855305556</v>
      </c>
      <c r="W1977" s="30"/>
      <c r="X1977" s="30"/>
      <c r="Y1977" s="31"/>
      <c r="Z1977" s="31"/>
      <c r="AA1977" s="31" t="s">
        <v>94</v>
      </c>
      <c r="AB1977" s="31" t="s">
        <v>7803</v>
      </c>
      <c r="AC1977" s="31"/>
    </row>
    <row r="1978" ht="18.75" customHeight="1">
      <c r="A1978" s="142" t="s">
        <v>7804</v>
      </c>
      <c r="B1978" s="19" t="s">
        <v>7805</v>
      </c>
      <c r="C1978" s="20">
        <v>90.0</v>
      </c>
      <c r="D1978" s="21" t="s">
        <v>7806</v>
      </c>
      <c r="E1978" s="27" t="s">
        <v>91</v>
      </c>
      <c r="F1978" s="18" t="s">
        <v>48</v>
      </c>
      <c r="G1978" s="32" t="s">
        <v>35</v>
      </c>
      <c r="H1978" s="23" t="s">
        <v>35</v>
      </c>
      <c r="I1978" s="24" t="s">
        <v>36</v>
      </c>
      <c r="J1978" s="34" t="s">
        <v>65</v>
      </c>
      <c r="K1978" s="26" t="s">
        <v>38</v>
      </c>
      <c r="L1978" s="25">
        <v>11211.0</v>
      </c>
      <c r="M1978" s="27" t="s">
        <v>50</v>
      </c>
      <c r="N1978" s="26" t="s">
        <v>5279</v>
      </c>
      <c r="O1978" s="28">
        <v>45497.639186631946</v>
      </c>
      <c r="P1978" s="26" t="s">
        <v>7807</v>
      </c>
      <c r="Q1978" s="11" t="s">
        <v>67</v>
      </c>
      <c r="R1978" s="11"/>
      <c r="S1978" s="11"/>
      <c r="T1978" s="29">
        <v>45491.69055940972</v>
      </c>
      <c r="U1978" s="29">
        <v>45495.0</v>
      </c>
      <c r="V1978" s="29">
        <v>45497.0</v>
      </c>
      <c r="W1978" s="30"/>
      <c r="X1978" s="30"/>
      <c r="Y1978" s="31"/>
      <c r="Z1978" s="31"/>
      <c r="AA1978" s="31" t="s">
        <v>94</v>
      </c>
      <c r="AB1978" s="31" t="s">
        <v>7808</v>
      </c>
      <c r="AC1978" s="31"/>
    </row>
    <row r="1979" ht="18.75" customHeight="1">
      <c r="A1979" s="142" t="s">
        <v>7809</v>
      </c>
      <c r="B1979" s="19" t="s">
        <v>2488</v>
      </c>
      <c r="C1979" s="20">
        <v>0.0</v>
      </c>
      <c r="D1979" s="21" t="s">
        <v>7810</v>
      </c>
      <c r="E1979" s="27" t="s">
        <v>453</v>
      </c>
      <c r="F1979" s="18" t="s">
        <v>244</v>
      </c>
      <c r="G1979" s="32" t="s">
        <v>35</v>
      </c>
      <c r="H1979" s="23" t="s">
        <v>35</v>
      </c>
      <c r="I1979" s="24" t="s">
        <v>36</v>
      </c>
      <c r="J1979" s="25" t="s">
        <v>49</v>
      </c>
      <c r="K1979" s="26" t="s">
        <v>38</v>
      </c>
      <c r="L1979" s="25">
        <v>11219.0</v>
      </c>
      <c r="M1979" s="27" t="s">
        <v>50</v>
      </c>
      <c r="N1979" s="26" t="s">
        <v>99</v>
      </c>
      <c r="O1979" s="28">
        <v>45497.62327111111</v>
      </c>
      <c r="P1979" s="26" t="s">
        <v>7811</v>
      </c>
      <c r="Q1979" s="11" t="s">
        <v>67</v>
      </c>
      <c r="R1979" s="11" t="s">
        <v>67</v>
      </c>
      <c r="S1979" s="11" t="s">
        <v>101</v>
      </c>
      <c r="T1979" s="29">
        <v>45491.694001111115</v>
      </c>
      <c r="U1979" s="29">
        <v>45495.70621929398</v>
      </c>
      <c r="V1979" s="29">
        <v>45497.37855432871</v>
      </c>
      <c r="W1979" s="30"/>
      <c r="X1979" s="30"/>
      <c r="Y1979" s="31"/>
      <c r="Z1979" s="31"/>
      <c r="AA1979" s="31" t="s">
        <v>127</v>
      </c>
      <c r="AB1979" s="31" t="s">
        <v>7812</v>
      </c>
      <c r="AC1979" s="31"/>
    </row>
    <row r="1980" ht="18.75" customHeight="1">
      <c r="A1980" s="142" t="s">
        <v>7813</v>
      </c>
      <c r="B1980" s="19" t="s">
        <v>4352</v>
      </c>
      <c r="C1980" s="20">
        <v>1.0</v>
      </c>
      <c r="D1980" s="21" t="s">
        <v>7814</v>
      </c>
      <c r="E1980" s="27" t="s">
        <v>3395</v>
      </c>
      <c r="F1980" s="18" t="s">
        <v>48</v>
      </c>
      <c r="G1980" s="32" t="s">
        <v>35</v>
      </c>
      <c r="H1980" s="23" t="s">
        <v>35</v>
      </c>
      <c r="I1980" s="24" t="s">
        <v>36</v>
      </c>
      <c r="J1980" s="25" t="s">
        <v>49</v>
      </c>
      <c r="K1980" s="26" t="s">
        <v>38</v>
      </c>
      <c r="L1980" s="25">
        <v>11202.0</v>
      </c>
      <c r="M1980" s="27" t="s">
        <v>50</v>
      </c>
      <c r="N1980" s="26" t="s">
        <v>99</v>
      </c>
      <c r="O1980" s="28">
        <v>45495.61319553241</v>
      </c>
      <c r="P1980" s="26" t="s">
        <v>7815</v>
      </c>
      <c r="Q1980" s="11" t="s">
        <v>67</v>
      </c>
      <c r="R1980" s="11"/>
      <c r="S1980" s="11" t="s">
        <v>50</v>
      </c>
      <c r="T1980" s="29">
        <v>45491.695100833334</v>
      </c>
      <c r="U1980" s="29">
        <v>45492.484804629625</v>
      </c>
      <c r="V1980" s="29">
        <v>45495.36535496528</v>
      </c>
      <c r="W1980" s="30"/>
      <c r="X1980" s="30"/>
      <c r="Y1980" s="31"/>
      <c r="Z1980" s="31"/>
      <c r="AA1980" s="31" t="s">
        <v>127</v>
      </c>
      <c r="AB1980" s="31" t="s">
        <v>7816</v>
      </c>
      <c r="AC1980" s="31"/>
    </row>
    <row r="1981" ht="18.75" customHeight="1">
      <c r="A1981" s="142" t="s">
        <v>7817</v>
      </c>
      <c r="B1981" s="19" t="s">
        <v>7818</v>
      </c>
      <c r="C1981" s="20">
        <v>0.0</v>
      </c>
      <c r="D1981" s="21" t="s">
        <v>7819</v>
      </c>
      <c r="E1981" s="27" t="s">
        <v>171</v>
      </c>
      <c r="F1981" s="18" t="s">
        <v>48</v>
      </c>
      <c r="G1981" s="32" t="s">
        <v>35</v>
      </c>
      <c r="H1981" s="23" t="s">
        <v>35</v>
      </c>
      <c r="I1981" s="24" t="s">
        <v>36</v>
      </c>
      <c r="J1981" s="25" t="s">
        <v>49</v>
      </c>
      <c r="K1981" s="26" t="s">
        <v>38</v>
      </c>
      <c r="L1981" s="25">
        <v>11218.0</v>
      </c>
      <c r="M1981" s="27" t="s">
        <v>50</v>
      </c>
      <c r="N1981" s="26" t="s">
        <v>99</v>
      </c>
      <c r="O1981" s="28">
        <v>45497.62335635417</v>
      </c>
      <c r="P1981" s="26" t="s">
        <v>7820</v>
      </c>
      <c r="Q1981" s="11" t="s">
        <v>67</v>
      </c>
      <c r="R1981" s="11" t="s">
        <v>67</v>
      </c>
      <c r="S1981" s="11" t="s">
        <v>50</v>
      </c>
      <c r="T1981" s="29">
        <v>45491.69706741898</v>
      </c>
      <c r="U1981" s="29">
        <v>45496.71755677083</v>
      </c>
      <c r="V1981" s="29">
        <v>45497.36273983796</v>
      </c>
      <c r="W1981" s="30"/>
      <c r="X1981" s="30"/>
      <c r="Y1981" s="31"/>
      <c r="Z1981" s="31"/>
      <c r="AA1981" s="31" t="s">
        <v>108</v>
      </c>
      <c r="AB1981" s="31" t="s">
        <v>7821</v>
      </c>
      <c r="AC1981" s="31"/>
    </row>
    <row r="1982" ht="18.75" customHeight="1">
      <c r="A1982" s="48" t="s">
        <v>7822</v>
      </c>
      <c r="B1982" s="53" t="s">
        <v>7768</v>
      </c>
      <c r="C1982" s="47">
        <v>137.0</v>
      </c>
      <c r="D1982" s="70" t="s">
        <v>7823</v>
      </c>
      <c r="E1982" s="55" t="s">
        <v>85</v>
      </c>
      <c r="F1982" s="32" t="s">
        <v>48</v>
      </c>
      <c r="G1982" s="32" t="s">
        <v>35</v>
      </c>
      <c r="H1982" s="71" t="s">
        <v>35</v>
      </c>
      <c r="I1982" s="71" t="s">
        <v>36</v>
      </c>
      <c r="J1982" s="34" t="s">
        <v>65</v>
      </c>
      <c r="K1982" s="57" t="s">
        <v>38</v>
      </c>
      <c r="L1982" s="72">
        <v>11206.0</v>
      </c>
      <c r="M1982" s="22"/>
      <c r="N1982" s="73"/>
      <c r="O1982" s="28">
        <v>45503.459444444445</v>
      </c>
      <c r="P1982" s="35" t="s">
        <v>7824</v>
      </c>
      <c r="Q1982" s="14" t="s">
        <v>67</v>
      </c>
      <c r="R1982" s="14" t="s">
        <v>67</v>
      </c>
      <c r="S1982" s="12"/>
      <c r="T1982" s="52">
        <v>45503.459444444445</v>
      </c>
      <c r="U1982" s="52">
        <v>45503.459444444445</v>
      </c>
      <c r="V1982" s="52">
        <v>45503.459444444445</v>
      </c>
      <c r="W1982" s="30"/>
      <c r="X1982" s="30"/>
      <c r="Y1982" s="31"/>
      <c r="Z1982" s="31"/>
      <c r="AA1982" s="78" t="s">
        <v>94</v>
      </c>
      <c r="AB1982" s="74" t="s">
        <v>7825</v>
      </c>
      <c r="AC1982" s="74"/>
    </row>
    <row r="1983" ht="18.75" customHeight="1">
      <c r="A1983" s="142" t="s">
        <v>7826</v>
      </c>
      <c r="B1983" s="19" t="s">
        <v>7086</v>
      </c>
      <c r="C1983" s="20">
        <v>0.0</v>
      </c>
      <c r="D1983" s="21" t="s">
        <v>7827</v>
      </c>
      <c r="E1983" s="27" t="s">
        <v>506</v>
      </c>
      <c r="F1983" s="18" t="s">
        <v>33</v>
      </c>
      <c r="G1983" s="32" t="s">
        <v>35</v>
      </c>
      <c r="H1983" s="23" t="s">
        <v>35</v>
      </c>
      <c r="I1983" s="24" t="s">
        <v>36</v>
      </c>
      <c r="J1983" s="25" t="s">
        <v>49</v>
      </c>
      <c r="K1983" s="26" t="s">
        <v>447</v>
      </c>
      <c r="L1983" s="25">
        <v>11226.0</v>
      </c>
      <c r="M1983" s="27" t="s">
        <v>50</v>
      </c>
      <c r="N1983" s="26" t="s">
        <v>3694</v>
      </c>
      <c r="O1983" s="28">
        <v>45498.60102012732</v>
      </c>
      <c r="P1983" s="26" t="s">
        <v>7828</v>
      </c>
      <c r="Q1983" s="11" t="s">
        <v>67</v>
      </c>
      <c r="R1983" s="11" t="s">
        <v>67</v>
      </c>
      <c r="S1983" s="11" t="s">
        <v>101</v>
      </c>
      <c r="T1983" s="29">
        <v>45492.36722935185</v>
      </c>
      <c r="U1983" s="29">
        <v>45495.63737732639</v>
      </c>
      <c r="V1983" s="29">
        <v>45497.69948844907</v>
      </c>
      <c r="W1983" s="30"/>
      <c r="X1983" s="30"/>
      <c r="Y1983" s="31"/>
      <c r="Z1983" s="31"/>
      <c r="AA1983" s="31" t="s">
        <v>108</v>
      </c>
      <c r="AB1983" s="31" t="s">
        <v>7829</v>
      </c>
      <c r="AC1983" s="31"/>
    </row>
    <row r="1984" ht="18.75" customHeight="1">
      <c r="A1984" s="142" t="s">
        <v>7830</v>
      </c>
      <c r="B1984" s="19" t="s">
        <v>5686</v>
      </c>
      <c r="C1984" s="20">
        <v>11.0</v>
      </c>
      <c r="D1984" s="21" t="s">
        <v>7831</v>
      </c>
      <c r="E1984" s="27" t="s">
        <v>112</v>
      </c>
      <c r="F1984" s="18" t="s">
        <v>48</v>
      </c>
      <c r="G1984" s="32" t="s">
        <v>35</v>
      </c>
      <c r="H1984" s="23" t="s">
        <v>35</v>
      </c>
      <c r="I1984" s="24" t="s">
        <v>36</v>
      </c>
      <c r="J1984" s="25" t="s">
        <v>92</v>
      </c>
      <c r="K1984" s="26" t="s">
        <v>38</v>
      </c>
      <c r="L1984" s="25">
        <v>11195.0</v>
      </c>
      <c r="M1984" s="27" t="s">
        <v>50</v>
      </c>
      <c r="N1984" s="26" t="s">
        <v>7832</v>
      </c>
      <c r="O1984" s="28">
        <v>45492.57460475694</v>
      </c>
      <c r="P1984" s="26" t="s">
        <v>7833</v>
      </c>
      <c r="Q1984" s="11" t="s">
        <v>67</v>
      </c>
      <c r="R1984" s="11"/>
      <c r="S1984" s="11" t="s">
        <v>7610</v>
      </c>
      <c r="T1984" s="29">
        <v>45492.420193321756</v>
      </c>
      <c r="U1984" s="29">
        <v>45492.56459920139</v>
      </c>
      <c r="V1984" s="29">
        <v>45492.568237245374</v>
      </c>
      <c r="W1984" s="30"/>
      <c r="X1984" s="30"/>
      <c r="Y1984" s="31"/>
      <c r="Z1984" s="31"/>
      <c r="AA1984" s="31" t="s">
        <v>120</v>
      </c>
      <c r="AB1984" s="31" t="s">
        <v>7834</v>
      </c>
      <c r="AC1984" s="31"/>
    </row>
    <row r="1985" ht="18.75" customHeight="1">
      <c r="A1985" s="142" t="s">
        <v>7835</v>
      </c>
      <c r="B1985" s="19" t="s">
        <v>96</v>
      </c>
      <c r="C1985" s="20">
        <v>0.0</v>
      </c>
      <c r="D1985" s="21" t="s">
        <v>7836</v>
      </c>
      <c r="E1985" s="27" t="s">
        <v>268</v>
      </c>
      <c r="F1985" s="18" t="s">
        <v>33</v>
      </c>
      <c r="G1985" s="18" t="s">
        <v>34</v>
      </c>
      <c r="H1985" s="23" t="s">
        <v>35</v>
      </c>
      <c r="I1985" s="24" t="s">
        <v>36</v>
      </c>
      <c r="J1985" s="25" t="s">
        <v>49</v>
      </c>
      <c r="K1985" s="26" t="s">
        <v>38</v>
      </c>
      <c r="L1985" s="25">
        <v>11209.0</v>
      </c>
      <c r="M1985" s="27" t="s">
        <v>50</v>
      </c>
      <c r="N1985" s="26" t="s">
        <v>99</v>
      </c>
      <c r="O1985" s="28">
        <v>45496.57487704861</v>
      </c>
      <c r="P1985" s="26" t="s">
        <v>7837</v>
      </c>
      <c r="Q1985" s="11" t="s">
        <v>67</v>
      </c>
      <c r="R1985" s="11"/>
      <c r="S1985" s="11" t="s">
        <v>101</v>
      </c>
      <c r="T1985" s="29">
        <v>45492.44139324074</v>
      </c>
      <c r="U1985" s="29">
        <v>45492.4519334838</v>
      </c>
      <c r="V1985" s="29">
        <v>45496.42257784722</v>
      </c>
      <c r="W1985" s="30"/>
      <c r="X1985" s="30"/>
      <c r="Y1985" s="31"/>
      <c r="Z1985" s="31"/>
      <c r="AA1985" s="31" t="s">
        <v>102</v>
      </c>
      <c r="AB1985" s="31" t="s">
        <v>7838</v>
      </c>
      <c r="AC1985" s="31"/>
    </row>
    <row r="1986" ht="18.75" customHeight="1">
      <c r="A1986" s="142" t="s">
        <v>7839</v>
      </c>
      <c r="B1986" s="19" t="s">
        <v>96</v>
      </c>
      <c r="C1986" s="20">
        <v>0.0</v>
      </c>
      <c r="D1986" s="21" t="s">
        <v>7840</v>
      </c>
      <c r="E1986" s="22" t="s">
        <v>98</v>
      </c>
      <c r="F1986" s="18" t="s">
        <v>33</v>
      </c>
      <c r="G1986" s="18" t="s">
        <v>34</v>
      </c>
      <c r="H1986" s="23" t="s">
        <v>35</v>
      </c>
      <c r="I1986" s="24" t="s">
        <v>36</v>
      </c>
      <c r="J1986" s="25" t="s">
        <v>49</v>
      </c>
      <c r="K1986" s="26" t="s">
        <v>38</v>
      </c>
      <c r="L1986" s="25">
        <v>11207.0</v>
      </c>
      <c r="M1986" s="27" t="s">
        <v>50</v>
      </c>
      <c r="N1986" s="26" t="s">
        <v>99</v>
      </c>
      <c r="O1986" s="28">
        <v>45496.574966597225</v>
      </c>
      <c r="P1986" s="26" t="s">
        <v>7841</v>
      </c>
      <c r="Q1986" s="11" t="s">
        <v>67</v>
      </c>
      <c r="R1986" s="11"/>
      <c r="S1986" s="11" t="s">
        <v>101</v>
      </c>
      <c r="T1986" s="29">
        <v>45492.44428802084</v>
      </c>
      <c r="U1986" s="29">
        <v>45492.45192403936</v>
      </c>
      <c r="V1986" s="29">
        <v>45495.67011277778</v>
      </c>
      <c r="W1986" s="30"/>
      <c r="X1986" s="30"/>
      <c r="Y1986" s="31"/>
      <c r="Z1986" s="31"/>
      <c r="AA1986" s="31" t="s">
        <v>102</v>
      </c>
      <c r="AB1986" s="31" t="s">
        <v>7842</v>
      </c>
      <c r="AC1986" s="31"/>
    </row>
    <row r="1987" ht="18.75" customHeight="1">
      <c r="A1987" s="18" t="s">
        <v>7843</v>
      </c>
      <c r="B1987" s="19" t="s">
        <v>96</v>
      </c>
      <c r="C1987" s="20">
        <v>0.0</v>
      </c>
      <c r="D1987" s="21" t="s">
        <v>7844</v>
      </c>
      <c r="E1987" s="22" t="s">
        <v>98</v>
      </c>
      <c r="F1987" s="18" t="s">
        <v>33</v>
      </c>
      <c r="G1987" s="18" t="s">
        <v>34</v>
      </c>
      <c r="H1987" s="23" t="s">
        <v>35</v>
      </c>
      <c r="I1987" s="24" t="s">
        <v>36</v>
      </c>
      <c r="J1987" s="25" t="s">
        <v>49</v>
      </c>
      <c r="K1987" s="26" t="s">
        <v>38</v>
      </c>
      <c r="L1987" s="25">
        <v>11210.0</v>
      </c>
      <c r="M1987" s="27" t="s">
        <v>50</v>
      </c>
      <c r="N1987" s="26" t="s">
        <v>99</v>
      </c>
      <c r="O1987" s="28">
        <v>45496.57505490741</v>
      </c>
      <c r="P1987" s="26" t="s">
        <v>7845</v>
      </c>
      <c r="Q1987" s="11" t="s">
        <v>67</v>
      </c>
      <c r="R1987" s="11"/>
      <c r="S1987" s="11" t="s">
        <v>101</v>
      </c>
      <c r="T1987" s="29">
        <v>45492.4459081713</v>
      </c>
      <c r="U1987" s="29">
        <v>45492.451900162036</v>
      </c>
      <c r="V1987" s="29">
        <v>45496.422705370365</v>
      </c>
      <c r="W1987" s="30"/>
      <c r="X1987" s="30"/>
      <c r="Y1987" s="31"/>
      <c r="Z1987" s="31"/>
      <c r="AA1987" s="31" t="s">
        <v>102</v>
      </c>
      <c r="AB1987" s="31" t="s">
        <v>7846</v>
      </c>
      <c r="AC1987" s="31"/>
    </row>
    <row r="1988" ht="18.75" customHeight="1">
      <c r="A1988" s="18" t="s">
        <v>7847</v>
      </c>
      <c r="B1988" s="19" t="s">
        <v>96</v>
      </c>
      <c r="C1988" s="20">
        <v>0.0</v>
      </c>
      <c r="D1988" s="21" t="s">
        <v>7848</v>
      </c>
      <c r="E1988" s="22" t="s">
        <v>98</v>
      </c>
      <c r="F1988" s="18" t="s">
        <v>33</v>
      </c>
      <c r="G1988" s="18" t="s">
        <v>34</v>
      </c>
      <c r="H1988" s="23" t="s">
        <v>35</v>
      </c>
      <c r="I1988" s="24" t="s">
        <v>36</v>
      </c>
      <c r="J1988" s="25" t="s">
        <v>49</v>
      </c>
      <c r="K1988" s="26" t="s">
        <v>38</v>
      </c>
      <c r="L1988" s="25">
        <v>11210.0</v>
      </c>
      <c r="M1988" s="27" t="s">
        <v>50</v>
      </c>
      <c r="N1988" s="26" t="s">
        <v>99</v>
      </c>
      <c r="O1988" s="28">
        <v>45496.575239224534</v>
      </c>
      <c r="P1988" s="26" t="s">
        <v>7845</v>
      </c>
      <c r="Q1988" s="11" t="s">
        <v>67</v>
      </c>
      <c r="R1988" s="11"/>
      <c r="S1988" s="11" t="s">
        <v>101</v>
      </c>
      <c r="T1988" s="29">
        <v>45492.4459081713</v>
      </c>
      <c r="U1988" s="29">
        <v>45492.45191177083</v>
      </c>
      <c r="V1988" s="29">
        <v>45496.42262961806</v>
      </c>
      <c r="W1988" s="30"/>
      <c r="X1988" s="30"/>
      <c r="Y1988" s="31"/>
      <c r="Z1988" s="31"/>
      <c r="AA1988" s="31" t="s">
        <v>102</v>
      </c>
      <c r="AB1988" s="31" t="s">
        <v>7849</v>
      </c>
      <c r="AC1988" s="31"/>
    </row>
    <row r="1989" ht="18.75" customHeight="1">
      <c r="A1989" s="142" t="s">
        <v>7850</v>
      </c>
      <c r="B1989" s="19" t="s">
        <v>7851</v>
      </c>
      <c r="C1989" s="20">
        <v>0.0</v>
      </c>
      <c r="D1989" s="21" t="s">
        <v>7852</v>
      </c>
      <c r="E1989" s="27" t="s">
        <v>3802</v>
      </c>
      <c r="F1989" s="18" t="s">
        <v>33</v>
      </c>
      <c r="G1989" s="32" t="s">
        <v>35</v>
      </c>
      <c r="H1989" s="23" t="s">
        <v>35</v>
      </c>
      <c r="I1989" s="24" t="s">
        <v>36</v>
      </c>
      <c r="J1989" s="25" t="s">
        <v>420</v>
      </c>
      <c r="K1989" s="26" t="s">
        <v>38</v>
      </c>
      <c r="L1989" s="25">
        <v>11238.0</v>
      </c>
      <c r="M1989" s="27" t="s">
        <v>50</v>
      </c>
      <c r="N1989" s="26" t="s">
        <v>4031</v>
      </c>
      <c r="O1989" s="28">
        <v>45502.5705259838</v>
      </c>
      <c r="P1989" s="26" t="s">
        <v>7853</v>
      </c>
      <c r="Q1989" s="11" t="s">
        <v>67</v>
      </c>
      <c r="R1989" s="11" t="s">
        <v>67</v>
      </c>
      <c r="S1989" s="11" t="s">
        <v>101</v>
      </c>
      <c r="T1989" s="29">
        <v>45492.6494547801</v>
      </c>
      <c r="U1989" s="29">
        <v>45492.6494547801</v>
      </c>
      <c r="V1989" s="29">
        <v>45499.693599756945</v>
      </c>
      <c r="W1989" s="30"/>
      <c r="X1989" s="30"/>
      <c r="Y1989" s="31"/>
      <c r="Z1989" s="31"/>
      <c r="AA1989" s="31" t="s">
        <v>120</v>
      </c>
      <c r="AB1989" s="31" t="s">
        <v>7854</v>
      </c>
      <c r="AC1989" s="31"/>
    </row>
    <row r="1990" ht="18.75" customHeight="1">
      <c r="A1990" s="142" t="s">
        <v>7855</v>
      </c>
      <c r="B1990" s="19" t="s">
        <v>5502</v>
      </c>
      <c r="C1990" s="20">
        <v>137.0</v>
      </c>
      <c r="D1990" s="21" t="s">
        <v>7856</v>
      </c>
      <c r="E1990" s="27" t="s">
        <v>85</v>
      </c>
      <c r="F1990" s="18" t="s">
        <v>48</v>
      </c>
      <c r="G1990" s="32" t="s">
        <v>35</v>
      </c>
      <c r="H1990" s="23" t="s">
        <v>35</v>
      </c>
      <c r="I1990" s="24" t="s">
        <v>36</v>
      </c>
      <c r="J1990" s="25" t="s">
        <v>49</v>
      </c>
      <c r="K1990" s="26" t="s">
        <v>38</v>
      </c>
      <c r="L1990" s="25">
        <v>11232.0</v>
      </c>
      <c r="M1990" s="27" t="s">
        <v>50</v>
      </c>
      <c r="N1990" s="26" t="s">
        <v>5936</v>
      </c>
      <c r="O1990" s="28">
        <v>45499.667690937495</v>
      </c>
      <c r="P1990" s="26" t="s">
        <v>7857</v>
      </c>
      <c r="Q1990" s="11" t="s">
        <v>67</v>
      </c>
      <c r="R1990" s="11" t="s">
        <v>67</v>
      </c>
      <c r="S1990" s="11" t="s">
        <v>50</v>
      </c>
      <c r="T1990" s="29">
        <v>45496.36598649305</v>
      </c>
      <c r="U1990" s="29">
        <v>45498.451697662036</v>
      </c>
      <c r="V1990" s="29">
        <v>45499.35434880787</v>
      </c>
      <c r="W1990" s="30"/>
      <c r="X1990" s="30"/>
      <c r="Y1990" s="31"/>
      <c r="Z1990" s="31"/>
      <c r="AA1990" s="31" t="s">
        <v>127</v>
      </c>
      <c r="AB1990" s="31" t="s">
        <v>7858</v>
      </c>
      <c r="AC1990" s="31"/>
    </row>
    <row r="1991" ht="18.75" customHeight="1">
      <c r="A1991" s="142" t="s">
        <v>7859</v>
      </c>
      <c r="B1991" s="19" t="s">
        <v>4147</v>
      </c>
      <c r="C1991" s="20">
        <v>0.0</v>
      </c>
      <c r="D1991" s="21" t="s">
        <v>7860</v>
      </c>
      <c r="E1991" s="27" t="s">
        <v>3441</v>
      </c>
      <c r="F1991" s="18" t="s">
        <v>48</v>
      </c>
      <c r="G1991" s="32" t="s">
        <v>35</v>
      </c>
      <c r="H1991" s="23" t="s">
        <v>35</v>
      </c>
      <c r="I1991" s="24" t="s">
        <v>36</v>
      </c>
      <c r="J1991" s="25" t="s">
        <v>49</v>
      </c>
      <c r="K1991" s="26" t="s">
        <v>38</v>
      </c>
      <c r="L1991" s="25">
        <v>11217.0</v>
      </c>
      <c r="M1991" s="27" t="s">
        <v>50</v>
      </c>
      <c r="N1991" s="26" t="s">
        <v>99</v>
      </c>
      <c r="O1991" s="28">
        <v>45497.62351085648</v>
      </c>
      <c r="P1991" s="26" t="s">
        <v>7861</v>
      </c>
      <c r="Q1991" s="11" t="s">
        <v>67</v>
      </c>
      <c r="R1991" s="11" t="s">
        <v>67</v>
      </c>
      <c r="S1991" s="11" t="s">
        <v>50</v>
      </c>
      <c r="T1991" s="29">
        <v>45496.45494111111</v>
      </c>
      <c r="U1991" s="29">
        <v>45496.557028854164</v>
      </c>
      <c r="V1991" s="29">
        <v>45497.344450625</v>
      </c>
      <c r="W1991" s="30"/>
      <c r="X1991" s="30"/>
      <c r="Y1991" s="31"/>
      <c r="Z1991" s="31"/>
      <c r="AA1991" s="31" t="s">
        <v>127</v>
      </c>
      <c r="AB1991" s="31" t="s">
        <v>7862</v>
      </c>
      <c r="AC1991" s="31"/>
    </row>
    <row r="1992" ht="18.75" customHeight="1">
      <c r="A1992" s="142" t="s">
        <v>7863</v>
      </c>
      <c r="B1992" s="19" t="s">
        <v>7703</v>
      </c>
      <c r="C1992" s="20">
        <v>34.0</v>
      </c>
      <c r="D1992" s="21" t="s">
        <v>7864</v>
      </c>
      <c r="E1992" s="27" t="s">
        <v>47</v>
      </c>
      <c r="F1992" s="18" t="s">
        <v>48</v>
      </c>
      <c r="G1992" s="32" t="s">
        <v>35</v>
      </c>
      <c r="H1992" s="23" t="s">
        <v>35</v>
      </c>
      <c r="I1992" s="24" t="s">
        <v>36</v>
      </c>
      <c r="J1992" s="34" t="s">
        <v>65</v>
      </c>
      <c r="K1992" s="26" t="s">
        <v>38</v>
      </c>
      <c r="L1992" s="25">
        <v>11265.0</v>
      </c>
      <c r="M1992" s="27" t="s">
        <v>50</v>
      </c>
      <c r="N1992" s="26" t="s">
        <v>3442</v>
      </c>
      <c r="O1992" s="28">
        <v>45509.73149796296</v>
      </c>
      <c r="P1992" s="26" t="s">
        <v>7865</v>
      </c>
      <c r="Q1992" s="11" t="s">
        <v>67</v>
      </c>
      <c r="R1992" s="11" t="s">
        <v>67</v>
      </c>
      <c r="S1992" s="11" t="s">
        <v>50</v>
      </c>
      <c r="T1992" s="29">
        <v>45498.39853269676</v>
      </c>
      <c r="U1992" s="29">
        <v>45506.41292782407</v>
      </c>
      <c r="V1992" s="29">
        <v>45509.377070902774</v>
      </c>
      <c r="W1992" s="30"/>
      <c r="X1992" s="30"/>
      <c r="Y1992" s="31"/>
      <c r="Z1992" s="31"/>
      <c r="AA1992" s="31" t="s">
        <v>3059</v>
      </c>
      <c r="AB1992" s="31" t="s">
        <v>7866</v>
      </c>
      <c r="AC1992" s="31"/>
    </row>
    <row r="1993" ht="18.75" customHeight="1">
      <c r="A1993" s="142" t="s">
        <v>7867</v>
      </c>
      <c r="B1993" s="119" t="s">
        <v>7868</v>
      </c>
      <c r="C1993" s="54">
        <v>1.0</v>
      </c>
      <c r="D1993" s="21" t="s">
        <v>7869</v>
      </c>
      <c r="E1993" s="55" t="s">
        <v>3395</v>
      </c>
      <c r="F1993" s="32" t="s">
        <v>48</v>
      </c>
      <c r="G1993" s="32" t="s">
        <v>35</v>
      </c>
      <c r="H1993" s="23" t="s">
        <v>35</v>
      </c>
      <c r="I1993" s="66" t="s">
        <v>36</v>
      </c>
      <c r="J1993" s="34" t="s">
        <v>65</v>
      </c>
      <c r="K1993" s="57" t="s">
        <v>38</v>
      </c>
      <c r="L1993" s="146">
        <v>11229.0</v>
      </c>
      <c r="M1993" s="22"/>
      <c r="N1993" s="26" t="s">
        <v>86</v>
      </c>
      <c r="O1993" s="28">
        <v>45498.6190194213</v>
      </c>
      <c r="P1993" s="26" t="s">
        <v>7870</v>
      </c>
      <c r="Q1993" s="11"/>
      <c r="R1993" s="11" t="s">
        <v>67</v>
      </c>
      <c r="S1993" s="60"/>
      <c r="T1993" s="29">
        <v>45498.6190194213</v>
      </c>
      <c r="U1993" s="29">
        <v>45498.6190194213</v>
      </c>
      <c r="V1993" s="29">
        <v>45498.6190194213</v>
      </c>
      <c r="W1993" s="30"/>
      <c r="X1993" s="30"/>
      <c r="Y1993" s="31"/>
      <c r="Z1993" s="31"/>
      <c r="AA1993" s="31" t="s">
        <v>94</v>
      </c>
      <c r="AB1993" s="31" t="s">
        <v>7871</v>
      </c>
      <c r="AC1993" s="31"/>
    </row>
    <row r="1994" ht="18.75" customHeight="1">
      <c r="A1994" s="142" t="s">
        <v>7872</v>
      </c>
      <c r="B1994" s="19" t="s">
        <v>7303</v>
      </c>
      <c r="C1994" s="20">
        <v>0.0</v>
      </c>
      <c r="D1994" s="21" t="s">
        <v>7873</v>
      </c>
      <c r="E1994" s="27" t="s">
        <v>3441</v>
      </c>
      <c r="F1994" s="18" t="s">
        <v>48</v>
      </c>
      <c r="G1994" s="32" t="s">
        <v>35</v>
      </c>
      <c r="H1994" s="23" t="s">
        <v>35</v>
      </c>
      <c r="I1994" s="24" t="s">
        <v>36</v>
      </c>
      <c r="J1994" s="25" t="s">
        <v>49</v>
      </c>
      <c r="K1994" s="26" t="s">
        <v>38</v>
      </c>
      <c r="L1994" s="25">
        <v>11231.0</v>
      </c>
      <c r="M1994" s="27" t="s">
        <v>50</v>
      </c>
      <c r="N1994" s="26" t="s">
        <v>5936</v>
      </c>
      <c r="O1994" s="28">
        <v>45499.66780892361</v>
      </c>
      <c r="P1994" s="26" t="s">
        <v>7874</v>
      </c>
      <c r="Q1994" s="11" t="s">
        <v>67</v>
      </c>
      <c r="R1994" s="11" t="s">
        <v>67</v>
      </c>
      <c r="S1994" s="11" t="s">
        <v>50</v>
      </c>
      <c r="T1994" s="29">
        <v>45498.4043990625</v>
      </c>
      <c r="U1994" s="29">
        <v>45498.6020756713</v>
      </c>
      <c r="V1994" s="29">
        <v>45499.354361527774</v>
      </c>
      <c r="W1994" s="30"/>
      <c r="X1994" s="30"/>
      <c r="Y1994" s="31"/>
      <c r="Z1994" s="31"/>
      <c r="AA1994" s="31" t="s">
        <v>102</v>
      </c>
      <c r="AB1994" s="31" t="s">
        <v>7875</v>
      </c>
      <c r="AC1994" s="31"/>
    </row>
    <row r="1995" ht="18.75" customHeight="1">
      <c r="A1995" s="142" t="s">
        <v>7876</v>
      </c>
      <c r="B1995" s="19" t="s">
        <v>4901</v>
      </c>
      <c r="C1995" s="20">
        <v>90.0</v>
      </c>
      <c r="D1995" s="21" t="s">
        <v>7877</v>
      </c>
      <c r="E1995" s="27" t="s">
        <v>91</v>
      </c>
      <c r="F1995" s="18" t="s">
        <v>48</v>
      </c>
      <c r="G1995" s="32" t="s">
        <v>35</v>
      </c>
      <c r="H1995" s="23" t="s">
        <v>35</v>
      </c>
      <c r="I1995" s="24" t="s">
        <v>36</v>
      </c>
      <c r="J1995" s="25" t="s">
        <v>49</v>
      </c>
      <c r="K1995" s="26" t="s">
        <v>518</v>
      </c>
      <c r="L1995" s="25">
        <v>11378.0</v>
      </c>
      <c r="M1995" s="27" t="s">
        <v>50</v>
      </c>
      <c r="N1995" s="26" t="s">
        <v>99</v>
      </c>
      <c r="O1995" s="28">
        <v>45530.618055555555</v>
      </c>
      <c r="P1995" s="26" t="s">
        <v>7878</v>
      </c>
      <c r="Q1995" s="11" t="s">
        <v>67</v>
      </c>
      <c r="R1995" s="11" t="s">
        <v>67</v>
      </c>
      <c r="S1995" s="11" t="s">
        <v>50</v>
      </c>
      <c r="T1995" s="29">
        <v>45498.40645414352</v>
      </c>
      <c r="U1995" s="29">
        <v>45505.6198259838</v>
      </c>
      <c r="V1995" s="29">
        <v>45530.51130883102</v>
      </c>
      <c r="W1995" s="30"/>
      <c r="X1995" s="30"/>
      <c r="Y1995" s="31"/>
      <c r="Z1995" s="31"/>
      <c r="AA1995" s="31" t="s">
        <v>4904</v>
      </c>
      <c r="AB1995" s="31" t="s">
        <v>7879</v>
      </c>
      <c r="AC1995" s="31"/>
    </row>
    <row r="1996" ht="18.75" customHeight="1">
      <c r="A1996" s="142" t="s">
        <v>7880</v>
      </c>
      <c r="B1996" s="19" t="s">
        <v>63</v>
      </c>
      <c r="C1996" s="20">
        <v>0.0</v>
      </c>
      <c r="D1996" s="21" t="s">
        <v>7881</v>
      </c>
      <c r="E1996" s="27" t="s">
        <v>3441</v>
      </c>
      <c r="F1996" s="18" t="s">
        <v>48</v>
      </c>
      <c r="G1996" s="32" t="s">
        <v>35</v>
      </c>
      <c r="H1996" s="23" t="s">
        <v>35</v>
      </c>
      <c r="I1996" s="24" t="s">
        <v>36</v>
      </c>
      <c r="J1996" s="25" t="s">
        <v>49</v>
      </c>
      <c r="K1996" s="26" t="s">
        <v>38</v>
      </c>
      <c r="L1996" s="25">
        <v>11233.0</v>
      </c>
      <c r="M1996" s="27" t="s">
        <v>50</v>
      </c>
      <c r="N1996" s="26" t="s">
        <v>5936</v>
      </c>
      <c r="O1996" s="28">
        <v>45499.66788541667</v>
      </c>
      <c r="P1996" s="26" t="s">
        <v>7882</v>
      </c>
      <c r="Q1996" s="11" t="s">
        <v>67</v>
      </c>
      <c r="R1996" s="11" t="s">
        <v>67</v>
      </c>
      <c r="S1996" s="11" t="s">
        <v>50</v>
      </c>
      <c r="T1996" s="29">
        <v>45498.430532858794</v>
      </c>
      <c r="U1996" s="29">
        <v>45499.367742013885</v>
      </c>
      <c r="V1996" s="29">
        <v>45499.412492986114</v>
      </c>
      <c r="W1996" s="30"/>
      <c r="X1996" s="30"/>
      <c r="Y1996" s="31"/>
      <c r="Z1996" s="31"/>
      <c r="AA1996" s="31" t="s">
        <v>94</v>
      </c>
      <c r="AB1996" s="31" t="s">
        <v>7883</v>
      </c>
      <c r="AC1996" s="31"/>
    </row>
    <row r="1997" ht="18.75" customHeight="1">
      <c r="A1997" s="142" t="s">
        <v>7884</v>
      </c>
      <c r="B1997" s="19" t="s">
        <v>7885</v>
      </c>
      <c r="C1997" s="20">
        <v>137.0</v>
      </c>
      <c r="D1997" s="21" t="s">
        <v>7886</v>
      </c>
      <c r="E1997" s="27" t="s">
        <v>85</v>
      </c>
      <c r="F1997" s="18" t="s">
        <v>48</v>
      </c>
      <c r="G1997" s="32" t="s">
        <v>35</v>
      </c>
      <c r="H1997" s="23" t="s">
        <v>35</v>
      </c>
      <c r="I1997" s="24" t="s">
        <v>36</v>
      </c>
      <c r="J1997" s="25" t="s">
        <v>49</v>
      </c>
      <c r="K1997" s="26" t="s">
        <v>38</v>
      </c>
      <c r="L1997" s="25">
        <v>11234.0</v>
      </c>
      <c r="M1997" s="27" t="s">
        <v>50</v>
      </c>
      <c r="N1997" s="26" t="s">
        <v>5936</v>
      </c>
      <c r="O1997" s="28">
        <v>45499.66795613426</v>
      </c>
      <c r="P1997" s="26" t="s">
        <v>7887</v>
      </c>
      <c r="Q1997" s="11" t="s">
        <v>67</v>
      </c>
      <c r="R1997" s="11" t="s">
        <v>67</v>
      </c>
      <c r="S1997" s="11" t="s">
        <v>50</v>
      </c>
      <c r="T1997" s="29">
        <v>45498.43432559028</v>
      </c>
      <c r="U1997" s="29">
        <v>45499.36674990741</v>
      </c>
      <c r="V1997" s="29">
        <v>45499.412856678246</v>
      </c>
      <c r="W1997" s="30"/>
      <c r="X1997" s="30"/>
      <c r="Y1997" s="31"/>
      <c r="Z1997" s="31"/>
      <c r="AA1997" s="31" t="s">
        <v>127</v>
      </c>
      <c r="AB1997" s="31" t="s">
        <v>7888</v>
      </c>
      <c r="AC1997" s="31"/>
    </row>
    <row r="1998" ht="18.75" customHeight="1">
      <c r="A1998" s="18" t="s">
        <v>7889</v>
      </c>
      <c r="B1998" s="19" t="s">
        <v>4035</v>
      </c>
      <c r="C1998" s="20">
        <v>11.0</v>
      </c>
      <c r="D1998" s="21" t="s">
        <v>7890</v>
      </c>
      <c r="E1998" s="27" t="s">
        <v>112</v>
      </c>
      <c r="F1998" s="18" t="s">
        <v>48</v>
      </c>
      <c r="G1998" s="32" t="s">
        <v>35</v>
      </c>
      <c r="H1998" s="23" t="s">
        <v>35</v>
      </c>
      <c r="I1998" s="24" t="s">
        <v>36</v>
      </c>
      <c r="J1998" s="34" t="s">
        <v>65</v>
      </c>
      <c r="K1998" s="26" t="s">
        <v>38</v>
      </c>
      <c r="L1998" s="25">
        <v>11462.0</v>
      </c>
      <c r="M1998" s="27" t="s">
        <v>50</v>
      </c>
      <c r="N1998" s="26" t="s">
        <v>51</v>
      </c>
      <c r="O1998" s="28">
        <v>45546.60732775463</v>
      </c>
      <c r="P1998" s="26" t="s">
        <v>7891</v>
      </c>
      <c r="Q1998" s="11" t="s">
        <v>67</v>
      </c>
      <c r="R1998" s="11" t="s">
        <v>67</v>
      </c>
      <c r="S1998" s="11"/>
      <c r="T1998" s="29">
        <v>45546.60732775463</v>
      </c>
      <c r="U1998" s="29">
        <v>45546.60732775463</v>
      </c>
      <c r="V1998" s="29">
        <v>45546.60732775463</v>
      </c>
      <c r="W1998" s="30"/>
      <c r="X1998" s="30"/>
      <c r="Y1998" s="31"/>
      <c r="Z1998" s="31"/>
      <c r="AA1998" s="31" t="s">
        <v>127</v>
      </c>
      <c r="AB1998" s="31" t="s">
        <v>7892</v>
      </c>
      <c r="AC1998" s="31"/>
    </row>
    <row r="1999" ht="18.75" customHeight="1">
      <c r="A1999" s="142" t="s">
        <v>7893</v>
      </c>
      <c r="B1999" s="19" t="s">
        <v>7894</v>
      </c>
      <c r="C1999" s="20">
        <v>0.0</v>
      </c>
      <c r="D1999" s="135" t="s">
        <v>7895</v>
      </c>
      <c r="E1999" s="27" t="s">
        <v>4792</v>
      </c>
      <c r="F1999" s="18" t="s">
        <v>244</v>
      </c>
      <c r="G1999" s="32" t="s">
        <v>35</v>
      </c>
      <c r="H1999" s="23" t="s">
        <v>35</v>
      </c>
      <c r="I1999" s="24" t="s">
        <v>36</v>
      </c>
      <c r="J1999" s="25" t="s">
        <v>49</v>
      </c>
      <c r="K1999" s="26" t="s">
        <v>38</v>
      </c>
      <c r="L1999" s="25">
        <v>11287.0</v>
      </c>
      <c r="M1999" s="27" t="s">
        <v>50</v>
      </c>
      <c r="N1999" s="26" t="s">
        <v>99</v>
      </c>
      <c r="O1999" s="28">
        <v>45512.580010000005</v>
      </c>
      <c r="P1999" s="26" t="s">
        <v>7896</v>
      </c>
      <c r="Q1999" s="11" t="s">
        <v>67</v>
      </c>
      <c r="R1999" s="11" t="s">
        <v>67</v>
      </c>
      <c r="S1999" s="11" t="s">
        <v>101</v>
      </c>
      <c r="T1999" s="29">
        <v>45498.44045740741</v>
      </c>
      <c r="U1999" s="29">
        <v>45498.45199832176</v>
      </c>
      <c r="V1999" s="29">
        <v>45511.65089559028</v>
      </c>
      <c r="W1999" s="30"/>
      <c r="X1999" s="30"/>
      <c r="Y1999" s="31"/>
      <c r="Z1999" s="31"/>
      <c r="AA1999" s="31" t="s">
        <v>102</v>
      </c>
      <c r="AB1999" s="31" t="s">
        <v>7897</v>
      </c>
      <c r="AC1999" s="31"/>
    </row>
    <row r="2000" ht="18.75" customHeight="1">
      <c r="A2000" s="142" t="s">
        <v>7898</v>
      </c>
      <c r="B2000" s="19" t="s">
        <v>7899</v>
      </c>
      <c r="C2000" s="20">
        <v>0.0</v>
      </c>
      <c r="D2000" s="21" t="s">
        <v>7900</v>
      </c>
      <c r="E2000" s="27" t="s">
        <v>7901</v>
      </c>
      <c r="F2000" s="18" t="s">
        <v>244</v>
      </c>
      <c r="G2000" s="32" t="s">
        <v>35</v>
      </c>
      <c r="H2000" s="23" t="s">
        <v>35</v>
      </c>
      <c r="I2000" s="24" t="s">
        <v>36</v>
      </c>
      <c r="J2000" s="25" t="s">
        <v>92</v>
      </c>
      <c r="K2000" s="26" t="s">
        <v>38</v>
      </c>
      <c r="L2000" s="25">
        <v>11257.0</v>
      </c>
      <c r="M2000" s="27" t="s">
        <v>50</v>
      </c>
      <c r="N2000" s="26" t="s">
        <v>7902</v>
      </c>
      <c r="O2000" s="28">
        <v>45506.439115706016</v>
      </c>
      <c r="P2000" s="26" t="s">
        <v>7903</v>
      </c>
      <c r="Q2000" s="11" t="s">
        <v>67</v>
      </c>
      <c r="R2000" s="11" t="s">
        <v>67</v>
      </c>
      <c r="S2000" s="11"/>
      <c r="T2000" s="29">
        <v>45499.397232152776</v>
      </c>
      <c r="U2000" s="29">
        <v>45504.34244366898</v>
      </c>
      <c r="V2000" s="29">
        <v>45505.0</v>
      </c>
      <c r="W2000" s="30"/>
      <c r="X2000" s="30"/>
      <c r="Y2000" s="31"/>
      <c r="Z2000" s="31"/>
      <c r="AA2000" s="31" t="s">
        <v>120</v>
      </c>
      <c r="AB2000" s="31" t="s">
        <v>7904</v>
      </c>
      <c r="AC2000" s="31"/>
    </row>
    <row r="2001" ht="18.75" customHeight="1">
      <c r="A2001" s="18" t="s">
        <v>7905</v>
      </c>
      <c r="B2001" s="19" t="s">
        <v>2481</v>
      </c>
      <c r="C2001" s="20">
        <v>0.0</v>
      </c>
      <c r="D2001" s="21" t="s">
        <v>7906</v>
      </c>
      <c r="E2001" s="27" t="s">
        <v>1530</v>
      </c>
      <c r="F2001" s="18" t="s">
        <v>33</v>
      </c>
      <c r="G2001" s="18" t="s">
        <v>34</v>
      </c>
      <c r="H2001" s="23" t="s">
        <v>35</v>
      </c>
      <c r="I2001" s="24" t="s">
        <v>36</v>
      </c>
      <c r="J2001" s="25" t="s">
        <v>92</v>
      </c>
      <c r="K2001" s="26" t="s">
        <v>38</v>
      </c>
      <c r="L2001" s="25">
        <v>11250.0</v>
      </c>
      <c r="M2001" s="27" t="s">
        <v>50</v>
      </c>
      <c r="N2001" s="26" t="s">
        <v>6840</v>
      </c>
      <c r="O2001" s="28">
        <v>45505.608625810186</v>
      </c>
      <c r="P2001" s="26" t="s">
        <v>7907</v>
      </c>
      <c r="Q2001" s="11" t="s">
        <v>67</v>
      </c>
      <c r="R2001" s="11" t="s">
        <v>67</v>
      </c>
      <c r="S2001" s="11"/>
      <c r="T2001" s="29">
        <v>45499.401554212964</v>
      </c>
      <c r="U2001" s="29">
        <v>45499.43637979167</v>
      </c>
      <c r="V2001" s="29">
        <v>45505.0</v>
      </c>
      <c r="W2001" s="30"/>
      <c r="X2001" s="30"/>
      <c r="Y2001" s="31"/>
      <c r="Z2001" s="31"/>
      <c r="AA2001" s="31" t="s">
        <v>120</v>
      </c>
      <c r="AB2001" s="31" t="s">
        <v>7908</v>
      </c>
      <c r="AC2001" s="31"/>
    </row>
    <row r="2002" ht="18.75" customHeight="1">
      <c r="A2002" s="18" t="s">
        <v>7909</v>
      </c>
      <c r="B2002" s="19" t="s">
        <v>2481</v>
      </c>
      <c r="C2002" s="20">
        <v>0.0</v>
      </c>
      <c r="D2002" s="21" t="s">
        <v>7910</v>
      </c>
      <c r="E2002" s="27" t="s">
        <v>1530</v>
      </c>
      <c r="F2002" s="18" t="s">
        <v>33</v>
      </c>
      <c r="G2002" s="18" t="s">
        <v>34</v>
      </c>
      <c r="H2002" s="23" t="s">
        <v>35</v>
      </c>
      <c r="I2002" s="24" t="s">
        <v>36</v>
      </c>
      <c r="J2002" s="25" t="s">
        <v>92</v>
      </c>
      <c r="K2002" s="26" t="s">
        <v>38</v>
      </c>
      <c r="L2002" s="25">
        <v>11250.0</v>
      </c>
      <c r="M2002" s="27" t="s">
        <v>50</v>
      </c>
      <c r="N2002" s="26" t="s">
        <v>6840</v>
      </c>
      <c r="O2002" s="28">
        <v>45505.60870394676</v>
      </c>
      <c r="P2002" s="26" t="s">
        <v>7907</v>
      </c>
      <c r="Q2002" s="11" t="s">
        <v>67</v>
      </c>
      <c r="R2002" s="11" t="s">
        <v>67</v>
      </c>
      <c r="S2002" s="11" t="s">
        <v>101</v>
      </c>
      <c r="T2002" s="29">
        <v>45499.401554212964</v>
      </c>
      <c r="U2002" s="29">
        <v>45499.43641403935</v>
      </c>
      <c r="V2002" s="29">
        <v>45504.332834201385</v>
      </c>
      <c r="W2002" s="30"/>
      <c r="X2002" s="30"/>
      <c r="Y2002" s="31"/>
      <c r="Z2002" s="31"/>
      <c r="AA2002" s="31" t="s">
        <v>120</v>
      </c>
      <c r="AB2002" s="31" t="s">
        <v>7911</v>
      </c>
      <c r="AC2002" s="31"/>
    </row>
    <row r="2003" ht="18.75" customHeight="1">
      <c r="A2003" s="142" t="s">
        <v>7912</v>
      </c>
      <c r="B2003" s="19" t="s">
        <v>7913</v>
      </c>
      <c r="C2003" s="20">
        <v>137.0</v>
      </c>
      <c r="D2003" s="21" t="s">
        <v>7914</v>
      </c>
      <c r="E2003" s="27" t="s">
        <v>85</v>
      </c>
      <c r="F2003" s="18" t="s">
        <v>48</v>
      </c>
      <c r="G2003" s="32" t="s">
        <v>35</v>
      </c>
      <c r="H2003" s="23" t="s">
        <v>35</v>
      </c>
      <c r="I2003" s="24" t="s">
        <v>36</v>
      </c>
      <c r="J2003" s="25" t="s">
        <v>49</v>
      </c>
      <c r="K2003" s="26" t="s">
        <v>238</v>
      </c>
      <c r="L2003" s="25">
        <v>11280.0</v>
      </c>
      <c r="M2003" s="27" t="s">
        <v>50</v>
      </c>
      <c r="N2003" s="26" t="s">
        <v>5936</v>
      </c>
      <c r="O2003" s="28">
        <v>45511.670369375</v>
      </c>
      <c r="P2003" s="26" t="s">
        <v>7915</v>
      </c>
      <c r="Q2003" s="11" t="s">
        <v>67</v>
      </c>
      <c r="R2003" s="11" t="s">
        <v>67</v>
      </c>
      <c r="S2003" s="11" t="s">
        <v>50</v>
      </c>
      <c r="T2003" s="29">
        <v>45499.40683582176</v>
      </c>
      <c r="U2003" s="29">
        <v>45510.63986152778</v>
      </c>
      <c r="V2003" s="29">
        <v>45511.36526875</v>
      </c>
      <c r="W2003" s="30"/>
      <c r="X2003" s="30"/>
      <c r="Y2003" s="31"/>
      <c r="Z2003" s="31"/>
      <c r="AA2003" s="31" t="s">
        <v>3808</v>
      </c>
      <c r="AB2003" s="31" t="s">
        <v>7916</v>
      </c>
      <c r="AC2003" s="31"/>
    </row>
    <row r="2004" ht="18.75" customHeight="1">
      <c r="A2004" s="18" t="s">
        <v>7917</v>
      </c>
      <c r="B2004" s="19" t="s">
        <v>3888</v>
      </c>
      <c r="C2004" s="20">
        <v>0.0</v>
      </c>
      <c r="D2004" s="21" t="s">
        <v>7918</v>
      </c>
      <c r="E2004" s="27" t="s">
        <v>2288</v>
      </c>
      <c r="F2004" s="18" t="s">
        <v>33</v>
      </c>
      <c r="G2004" s="18" t="s">
        <v>34</v>
      </c>
      <c r="H2004" s="23" t="s">
        <v>35</v>
      </c>
      <c r="I2004" s="24" t="s">
        <v>36</v>
      </c>
      <c r="J2004" s="25" t="s">
        <v>49</v>
      </c>
      <c r="K2004" s="35" t="s">
        <v>2978</v>
      </c>
      <c r="L2004" s="25">
        <v>11301.0</v>
      </c>
      <c r="M2004" s="27" t="s">
        <v>50</v>
      </c>
      <c r="N2004" s="26" t="s">
        <v>99</v>
      </c>
      <c r="O2004" s="28">
        <v>45513.570112974536</v>
      </c>
      <c r="P2004" s="35" t="s">
        <v>7919</v>
      </c>
      <c r="Q2004" s="11" t="s">
        <v>67</v>
      </c>
      <c r="R2004" s="11"/>
      <c r="S2004" s="11" t="s">
        <v>101</v>
      </c>
      <c r="T2004" s="29">
        <v>45499.40898112269</v>
      </c>
      <c r="U2004" s="29">
        <v>45499.589021481486</v>
      </c>
      <c r="V2004" s="29">
        <v>45511.65091707176</v>
      </c>
      <c r="W2004" s="30"/>
      <c r="X2004" s="30"/>
      <c r="Y2004" s="31"/>
      <c r="Z2004" s="31"/>
      <c r="AA2004" s="31" t="s">
        <v>108</v>
      </c>
      <c r="AB2004" s="31" t="s">
        <v>7920</v>
      </c>
      <c r="AC2004" s="31"/>
    </row>
    <row r="2005" ht="18.75" customHeight="1">
      <c r="A2005" s="18" t="s">
        <v>7921</v>
      </c>
      <c r="B2005" s="19" t="s">
        <v>3888</v>
      </c>
      <c r="C2005" s="20">
        <v>0.0</v>
      </c>
      <c r="D2005" s="21" t="s">
        <v>7922</v>
      </c>
      <c r="E2005" s="27" t="s">
        <v>2288</v>
      </c>
      <c r="F2005" s="18" t="s">
        <v>33</v>
      </c>
      <c r="G2005" s="18" t="s">
        <v>34</v>
      </c>
      <c r="H2005" s="23" t="s">
        <v>35</v>
      </c>
      <c r="I2005" s="24" t="s">
        <v>36</v>
      </c>
      <c r="J2005" s="25" t="s">
        <v>49</v>
      </c>
      <c r="K2005" s="35" t="s">
        <v>2978</v>
      </c>
      <c r="L2005" s="25">
        <v>11301.0</v>
      </c>
      <c r="M2005" s="27" t="s">
        <v>50</v>
      </c>
      <c r="N2005" s="26" t="s">
        <v>99</v>
      </c>
      <c r="O2005" s="28">
        <v>45513.57018401621</v>
      </c>
      <c r="P2005" s="35" t="s">
        <v>7919</v>
      </c>
      <c r="Q2005" s="11" t="s">
        <v>67</v>
      </c>
      <c r="R2005" s="11"/>
      <c r="S2005" s="11" t="s">
        <v>101</v>
      </c>
      <c r="T2005" s="29">
        <v>45499.40898112269</v>
      </c>
      <c r="U2005" s="29">
        <v>45499.58904332176</v>
      </c>
      <c r="V2005" s="29">
        <v>45511.650935150465</v>
      </c>
      <c r="W2005" s="30"/>
      <c r="X2005" s="30"/>
      <c r="Y2005" s="31"/>
      <c r="Z2005" s="31"/>
      <c r="AA2005" s="31" t="s">
        <v>108</v>
      </c>
      <c r="AB2005" s="31" t="s">
        <v>7923</v>
      </c>
      <c r="AC2005" s="31"/>
    </row>
    <row r="2006" ht="18.75" customHeight="1">
      <c r="A2006" s="18" t="s">
        <v>7924</v>
      </c>
      <c r="B2006" s="19" t="s">
        <v>1414</v>
      </c>
      <c r="C2006" s="20">
        <v>0.0</v>
      </c>
      <c r="D2006" s="21" t="s">
        <v>7925</v>
      </c>
      <c r="E2006" s="27" t="s">
        <v>79</v>
      </c>
      <c r="F2006" s="18" t="s">
        <v>33</v>
      </c>
      <c r="G2006" s="32" t="s">
        <v>35</v>
      </c>
      <c r="H2006" s="23" t="s">
        <v>35</v>
      </c>
      <c r="I2006" s="24" t="s">
        <v>36</v>
      </c>
      <c r="J2006" s="25" t="s">
        <v>49</v>
      </c>
      <c r="K2006" s="26" t="s">
        <v>1415</v>
      </c>
      <c r="L2006" s="25">
        <v>11384.0</v>
      </c>
      <c r="M2006" s="27" t="s">
        <v>50</v>
      </c>
      <c r="N2006" s="26" t="s">
        <v>5936</v>
      </c>
      <c r="O2006" s="28">
        <v>45531.62459416667</v>
      </c>
      <c r="P2006" s="26" t="s">
        <v>7926</v>
      </c>
      <c r="Q2006" s="11" t="s">
        <v>67</v>
      </c>
      <c r="R2006" s="11" t="s">
        <v>67</v>
      </c>
      <c r="S2006" s="11" t="s">
        <v>101</v>
      </c>
      <c r="T2006" s="29">
        <v>45499.4121665162</v>
      </c>
      <c r="U2006" s="29">
        <v>45530.36652003472</v>
      </c>
      <c r="V2006" s="29">
        <v>45530.47101371527</v>
      </c>
      <c r="W2006" s="30"/>
      <c r="X2006" s="30"/>
      <c r="Y2006" s="31"/>
      <c r="Z2006" s="31"/>
      <c r="AA2006" s="31"/>
      <c r="AB2006" s="31" t="s">
        <v>7927</v>
      </c>
      <c r="AC2006" s="31"/>
    </row>
    <row r="2007" ht="18.75" customHeight="1">
      <c r="A2007" s="18" t="s">
        <v>7928</v>
      </c>
      <c r="B2007" s="19" t="s">
        <v>1414</v>
      </c>
      <c r="C2007" s="20">
        <v>0.0</v>
      </c>
      <c r="D2007" s="21" t="s">
        <v>7929</v>
      </c>
      <c r="E2007" s="27" t="s">
        <v>701</v>
      </c>
      <c r="F2007" s="18" t="s">
        <v>33</v>
      </c>
      <c r="G2007" s="32" t="s">
        <v>35</v>
      </c>
      <c r="H2007" s="23" t="s">
        <v>35</v>
      </c>
      <c r="I2007" s="24" t="s">
        <v>36</v>
      </c>
      <c r="J2007" s="25" t="s">
        <v>49</v>
      </c>
      <c r="K2007" s="26" t="s">
        <v>1415</v>
      </c>
      <c r="L2007" s="25">
        <v>11384.0</v>
      </c>
      <c r="M2007" s="27" t="s">
        <v>50</v>
      </c>
      <c r="N2007" s="26" t="s">
        <v>5936</v>
      </c>
      <c r="O2007" s="28">
        <v>45531.62469236111</v>
      </c>
      <c r="P2007" s="26" t="s">
        <v>7926</v>
      </c>
      <c r="Q2007" s="11" t="s">
        <v>67</v>
      </c>
      <c r="R2007" s="11" t="s">
        <v>67</v>
      </c>
      <c r="S2007" s="11" t="s">
        <v>101</v>
      </c>
      <c r="T2007" s="29">
        <v>45499.4121665162</v>
      </c>
      <c r="U2007" s="29">
        <v>45530.36649048611</v>
      </c>
      <c r="V2007" s="29">
        <v>45530.47103773148</v>
      </c>
      <c r="W2007" s="30"/>
      <c r="X2007" s="30"/>
      <c r="Y2007" s="31"/>
      <c r="Z2007" s="31"/>
      <c r="AA2007" s="31"/>
      <c r="AB2007" s="31" t="s">
        <v>7930</v>
      </c>
      <c r="AC2007" s="31"/>
    </row>
    <row r="2008" ht="18.75" customHeight="1">
      <c r="A2008" s="48" t="s">
        <v>7931</v>
      </c>
      <c r="B2008" s="53" t="s">
        <v>5681</v>
      </c>
      <c r="C2008" s="47">
        <v>137.0</v>
      </c>
      <c r="D2008" s="70" t="s">
        <v>7932</v>
      </c>
      <c r="E2008" s="55" t="s">
        <v>85</v>
      </c>
      <c r="F2008" s="32" t="s">
        <v>48</v>
      </c>
      <c r="G2008" s="32" t="s">
        <v>35</v>
      </c>
      <c r="H2008" s="71" t="s">
        <v>35</v>
      </c>
      <c r="I2008" s="71" t="s">
        <v>36</v>
      </c>
      <c r="J2008" s="34" t="s">
        <v>65</v>
      </c>
      <c r="K2008" s="57" t="s">
        <v>38</v>
      </c>
      <c r="L2008" s="72">
        <v>11235.0</v>
      </c>
      <c r="M2008" s="22"/>
      <c r="N2008" s="73"/>
      <c r="O2008" s="28">
        <v>45499.435902777775</v>
      </c>
      <c r="P2008" s="35" t="s">
        <v>7933</v>
      </c>
      <c r="Q2008" s="12"/>
      <c r="R2008" s="14" t="s">
        <v>67</v>
      </c>
      <c r="S2008" s="12"/>
      <c r="T2008" s="52">
        <v>45499.435902777775</v>
      </c>
      <c r="U2008" s="52">
        <v>45499.435902777775</v>
      </c>
      <c r="V2008" s="52">
        <v>45499.435902777775</v>
      </c>
      <c r="W2008" s="30"/>
      <c r="X2008" s="30"/>
      <c r="Y2008" s="31"/>
      <c r="Z2008" s="31"/>
      <c r="AA2008" s="78" t="s">
        <v>94</v>
      </c>
      <c r="AB2008" s="74" t="s">
        <v>7934</v>
      </c>
      <c r="AC2008" s="74"/>
    </row>
    <row r="2009" ht="18.75" customHeight="1">
      <c r="A2009" s="142" t="s">
        <v>7935</v>
      </c>
      <c r="B2009" s="19" t="s">
        <v>5600</v>
      </c>
      <c r="C2009" s="20">
        <v>34.0</v>
      </c>
      <c r="D2009" s="21" t="s">
        <v>7936</v>
      </c>
      <c r="E2009" s="27" t="s">
        <v>47</v>
      </c>
      <c r="F2009" s="18" t="s">
        <v>48</v>
      </c>
      <c r="G2009" s="32" t="s">
        <v>35</v>
      </c>
      <c r="H2009" s="23" t="s">
        <v>35</v>
      </c>
      <c r="I2009" s="24" t="s">
        <v>36</v>
      </c>
      <c r="J2009" s="34" t="s">
        <v>65</v>
      </c>
      <c r="K2009" s="26" t="s">
        <v>38</v>
      </c>
      <c r="L2009" s="25">
        <v>11236.0</v>
      </c>
      <c r="M2009" s="27" t="s">
        <v>50</v>
      </c>
      <c r="N2009" s="26" t="s">
        <v>51</v>
      </c>
      <c r="O2009" s="28">
        <v>45499.472555625005</v>
      </c>
      <c r="P2009" s="26" t="s">
        <v>7937</v>
      </c>
      <c r="Q2009" s="11" t="s">
        <v>67</v>
      </c>
      <c r="R2009" s="11" t="s">
        <v>67</v>
      </c>
      <c r="S2009" s="11"/>
      <c r="T2009" s="29">
        <v>45499.472555625005</v>
      </c>
      <c r="U2009" s="29">
        <v>45499.472555625005</v>
      </c>
      <c r="V2009" s="29">
        <v>45499.472555625005</v>
      </c>
      <c r="W2009" s="30"/>
      <c r="X2009" s="30"/>
      <c r="Y2009" s="31"/>
      <c r="Z2009" s="31"/>
      <c r="AA2009" s="31" t="s">
        <v>94</v>
      </c>
      <c r="AB2009" s="31" t="s">
        <v>7938</v>
      </c>
      <c r="AC2009" s="31"/>
    </row>
    <row r="2010" ht="18.75" customHeight="1">
      <c r="A2010" s="48" t="s">
        <v>7939</v>
      </c>
      <c r="B2010" s="53" t="s">
        <v>7940</v>
      </c>
      <c r="C2010" s="47">
        <v>137.0</v>
      </c>
      <c r="D2010" s="70" t="s">
        <v>7941</v>
      </c>
      <c r="E2010" s="55" t="s">
        <v>85</v>
      </c>
      <c r="F2010" s="32" t="s">
        <v>48</v>
      </c>
      <c r="G2010" s="32" t="s">
        <v>35</v>
      </c>
      <c r="H2010" s="71" t="s">
        <v>35</v>
      </c>
      <c r="I2010" s="71" t="s">
        <v>36</v>
      </c>
      <c r="J2010" s="34" t="s">
        <v>65</v>
      </c>
      <c r="K2010" s="57" t="s">
        <v>38</v>
      </c>
      <c r="L2010" s="72">
        <v>11237.0</v>
      </c>
      <c r="M2010" s="22"/>
      <c r="N2010" s="73"/>
      <c r="O2010" s="28">
        <v>45499.60815972222</v>
      </c>
      <c r="P2010" s="35" t="s">
        <v>7942</v>
      </c>
      <c r="Q2010" s="14" t="s">
        <v>67</v>
      </c>
      <c r="R2010" s="14" t="s">
        <v>67</v>
      </c>
      <c r="S2010" s="12"/>
      <c r="T2010" s="52">
        <v>45499.60815972222</v>
      </c>
      <c r="U2010" s="52">
        <v>45499.60815972222</v>
      </c>
      <c r="V2010" s="52">
        <v>45499.60815972222</v>
      </c>
      <c r="W2010" s="30"/>
      <c r="X2010" s="30"/>
      <c r="Y2010" s="31"/>
      <c r="Z2010" s="31"/>
      <c r="AA2010" s="78" t="s">
        <v>94</v>
      </c>
      <c r="AB2010" s="77" t="s">
        <v>7943</v>
      </c>
      <c r="AC2010" s="74"/>
    </row>
    <row r="2011" ht="18.75" customHeight="1">
      <c r="A2011" s="18" t="s">
        <v>7944</v>
      </c>
      <c r="B2011" s="19" t="s">
        <v>7945</v>
      </c>
      <c r="C2011" s="20">
        <v>0.0</v>
      </c>
      <c r="D2011" s="135" t="s">
        <v>7946</v>
      </c>
      <c r="E2011" s="27" t="s">
        <v>1595</v>
      </c>
      <c r="F2011" s="18" t="s">
        <v>33</v>
      </c>
      <c r="G2011" s="18" t="s">
        <v>34</v>
      </c>
      <c r="H2011" s="23" t="s">
        <v>35</v>
      </c>
      <c r="I2011" s="24" t="s">
        <v>36</v>
      </c>
      <c r="J2011" s="25" t="s">
        <v>49</v>
      </c>
      <c r="K2011" s="26" t="s">
        <v>447</v>
      </c>
      <c r="L2011" s="25">
        <v>11260.0</v>
      </c>
      <c r="M2011" s="27" t="s">
        <v>50</v>
      </c>
      <c r="N2011" s="26" t="s">
        <v>99</v>
      </c>
      <c r="O2011" s="28">
        <v>45506.457640636574</v>
      </c>
      <c r="P2011" s="26" t="s">
        <v>7947</v>
      </c>
      <c r="Q2011" s="11" t="s">
        <v>67</v>
      </c>
      <c r="R2011" s="11" t="s">
        <v>67</v>
      </c>
      <c r="S2011" s="11" t="s">
        <v>101</v>
      </c>
      <c r="T2011" s="29">
        <v>45499.62305034722</v>
      </c>
      <c r="U2011" s="29">
        <v>45499.6590444676</v>
      </c>
      <c r="V2011" s="29">
        <v>45506.33455590278</v>
      </c>
      <c r="W2011" s="30"/>
      <c r="X2011" s="30"/>
      <c r="Y2011" s="31"/>
      <c r="Z2011" s="31"/>
      <c r="AA2011" s="31" t="s">
        <v>108</v>
      </c>
      <c r="AB2011" s="31" t="s">
        <v>7948</v>
      </c>
      <c r="AC2011" s="31"/>
    </row>
    <row r="2012" ht="18.75" customHeight="1">
      <c r="A2012" s="18" t="s">
        <v>7949</v>
      </c>
      <c r="B2012" s="19" t="s">
        <v>7945</v>
      </c>
      <c r="C2012" s="20">
        <v>0.0</v>
      </c>
      <c r="D2012" s="21" t="s">
        <v>7950</v>
      </c>
      <c r="E2012" s="27" t="s">
        <v>165</v>
      </c>
      <c r="F2012" s="18" t="s">
        <v>33</v>
      </c>
      <c r="G2012" s="18" t="s">
        <v>34</v>
      </c>
      <c r="H2012" s="23" t="s">
        <v>35</v>
      </c>
      <c r="I2012" s="24" t="s">
        <v>36</v>
      </c>
      <c r="J2012" s="25" t="s">
        <v>49</v>
      </c>
      <c r="K2012" s="26" t="s">
        <v>447</v>
      </c>
      <c r="L2012" s="25">
        <v>11260.0</v>
      </c>
      <c r="M2012" s="27" t="s">
        <v>50</v>
      </c>
      <c r="N2012" s="26" t="s">
        <v>99</v>
      </c>
      <c r="O2012" s="28">
        <v>45506.45771083333</v>
      </c>
      <c r="P2012" s="26" t="s">
        <v>7947</v>
      </c>
      <c r="Q2012" s="11" t="s">
        <v>67</v>
      </c>
      <c r="R2012" s="11" t="s">
        <v>67</v>
      </c>
      <c r="S2012" s="11" t="s">
        <v>101</v>
      </c>
      <c r="T2012" s="29">
        <v>45499.62305034722</v>
      </c>
      <c r="U2012" s="29">
        <v>45499.6591603125</v>
      </c>
      <c r="V2012" s="29">
        <v>45505.62652233796</v>
      </c>
      <c r="W2012" s="30"/>
      <c r="X2012" s="30"/>
      <c r="Y2012" s="31"/>
      <c r="Z2012" s="31"/>
      <c r="AA2012" s="31" t="s">
        <v>108</v>
      </c>
      <c r="AB2012" s="31" t="s">
        <v>7951</v>
      </c>
      <c r="AC2012" s="31"/>
    </row>
    <row r="2013" ht="18.75" customHeight="1">
      <c r="A2013" s="18" t="s">
        <v>7952</v>
      </c>
      <c r="B2013" s="19" t="s">
        <v>7945</v>
      </c>
      <c r="C2013" s="20">
        <v>0.0</v>
      </c>
      <c r="D2013" s="21" t="s">
        <v>7953</v>
      </c>
      <c r="E2013" s="27" t="s">
        <v>117</v>
      </c>
      <c r="F2013" s="18" t="s">
        <v>33</v>
      </c>
      <c r="G2013" s="18" t="s">
        <v>34</v>
      </c>
      <c r="H2013" s="23" t="s">
        <v>35</v>
      </c>
      <c r="I2013" s="24" t="s">
        <v>36</v>
      </c>
      <c r="J2013" s="25" t="s">
        <v>49</v>
      </c>
      <c r="K2013" s="26" t="s">
        <v>447</v>
      </c>
      <c r="L2013" s="25">
        <v>11260.0</v>
      </c>
      <c r="M2013" s="27" t="s">
        <v>50</v>
      </c>
      <c r="N2013" s="26" t="s">
        <v>99</v>
      </c>
      <c r="O2013" s="28">
        <v>45506.45778175926</v>
      </c>
      <c r="P2013" s="26" t="s">
        <v>7947</v>
      </c>
      <c r="Q2013" s="11" t="s">
        <v>67</v>
      </c>
      <c r="R2013" s="11" t="s">
        <v>67</v>
      </c>
      <c r="S2013" s="11" t="s">
        <v>101</v>
      </c>
      <c r="T2013" s="29">
        <v>45499.62305034722</v>
      </c>
      <c r="U2013" s="29">
        <v>45499.65919210648</v>
      </c>
      <c r="V2013" s="29">
        <v>45505.33407548611</v>
      </c>
      <c r="W2013" s="30"/>
      <c r="X2013" s="30"/>
      <c r="Y2013" s="31"/>
      <c r="Z2013" s="31"/>
      <c r="AA2013" s="31" t="s">
        <v>108</v>
      </c>
      <c r="AB2013" s="31" t="s">
        <v>7954</v>
      </c>
      <c r="AC2013" s="31"/>
    </row>
    <row r="2014" ht="18.75" customHeight="1">
      <c r="A2014" s="18" t="s">
        <v>7955</v>
      </c>
      <c r="B2014" s="19" t="s">
        <v>7945</v>
      </c>
      <c r="C2014" s="20">
        <v>0.0</v>
      </c>
      <c r="D2014" s="21" t="s">
        <v>7956</v>
      </c>
      <c r="E2014" s="27" t="s">
        <v>117</v>
      </c>
      <c r="F2014" s="18" t="s">
        <v>33</v>
      </c>
      <c r="G2014" s="18" t="s">
        <v>34</v>
      </c>
      <c r="H2014" s="23" t="s">
        <v>35</v>
      </c>
      <c r="I2014" s="24" t="s">
        <v>36</v>
      </c>
      <c r="J2014" s="25" t="s">
        <v>49</v>
      </c>
      <c r="K2014" s="26" t="s">
        <v>447</v>
      </c>
      <c r="L2014" s="25">
        <v>11260.0</v>
      </c>
      <c r="M2014" s="27" t="s">
        <v>50</v>
      </c>
      <c r="N2014" s="26" t="s">
        <v>99</v>
      </c>
      <c r="O2014" s="28">
        <v>45506.457860636576</v>
      </c>
      <c r="P2014" s="26" t="s">
        <v>7947</v>
      </c>
      <c r="Q2014" s="11" t="s">
        <v>67</v>
      </c>
      <c r="R2014" s="11" t="s">
        <v>67</v>
      </c>
      <c r="S2014" s="11" t="s">
        <v>101</v>
      </c>
      <c r="T2014" s="29">
        <v>45499.62305034722</v>
      </c>
      <c r="U2014" s="29">
        <v>45499.659236631946</v>
      </c>
      <c r="V2014" s="29">
        <v>45504.667054606485</v>
      </c>
      <c r="W2014" s="30"/>
      <c r="X2014" s="30"/>
      <c r="Y2014" s="31"/>
      <c r="Z2014" s="31"/>
      <c r="AA2014" s="31" t="s">
        <v>108</v>
      </c>
      <c r="AB2014" s="31" t="s">
        <v>7957</v>
      </c>
      <c r="AC2014" s="31"/>
    </row>
    <row r="2015" ht="18.75" customHeight="1">
      <c r="A2015" s="142" t="s">
        <v>7958</v>
      </c>
      <c r="B2015" s="19" t="s">
        <v>7959</v>
      </c>
      <c r="C2015" s="20">
        <v>0.0</v>
      </c>
      <c r="D2015" s="21" t="s">
        <v>7960</v>
      </c>
      <c r="E2015" s="22" t="s">
        <v>1119</v>
      </c>
      <c r="F2015" s="18" t="s">
        <v>33</v>
      </c>
      <c r="G2015" s="18" t="s">
        <v>34</v>
      </c>
      <c r="H2015" s="23" t="s">
        <v>35</v>
      </c>
      <c r="I2015" s="24" t="s">
        <v>36</v>
      </c>
      <c r="J2015" s="25" t="s">
        <v>49</v>
      </c>
      <c r="K2015" s="26" t="s">
        <v>38</v>
      </c>
      <c r="L2015" s="25">
        <v>11291.0</v>
      </c>
      <c r="M2015" s="27" t="s">
        <v>50</v>
      </c>
      <c r="N2015" s="26" t="s">
        <v>99</v>
      </c>
      <c r="O2015" s="28">
        <v>45513.57025603009</v>
      </c>
      <c r="P2015" s="26" t="s">
        <v>7961</v>
      </c>
      <c r="Q2015" s="11" t="s">
        <v>67</v>
      </c>
      <c r="R2015" s="11"/>
      <c r="S2015" s="11" t="s">
        <v>101</v>
      </c>
      <c r="T2015" s="29">
        <v>45502.480919594906</v>
      </c>
      <c r="U2015" s="29">
        <v>45506.0</v>
      </c>
      <c r="V2015" s="29">
        <v>45512.58054601852</v>
      </c>
      <c r="W2015" s="30"/>
      <c r="X2015" s="30"/>
      <c r="Y2015" s="31"/>
      <c r="Z2015" s="31"/>
      <c r="AA2015" s="31" t="s">
        <v>102</v>
      </c>
      <c r="AB2015" s="31" t="s">
        <v>7962</v>
      </c>
      <c r="AC2015" s="31"/>
    </row>
    <row r="2016" ht="18.75" customHeight="1">
      <c r="A2016" s="142" t="s">
        <v>7963</v>
      </c>
      <c r="B2016" s="19" t="s">
        <v>4716</v>
      </c>
      <c r="C2016" s="20">
        <v>137.0</v>
      </c>
      <c r="D2016" s="21" t="s">
        <v>7964</v>
      </c>
      <c r="E2016" s="27" t="s">
        <v>85</v>
      </c>
      <c r="F2016" s="18" t="s">
        <v>48</v>
      </c>
      <c r="G2016" s="32" t="s">
        <v>35</v>
      </c>
      <c r="H2016" s="23" t="s">
        <v>35</v>
      </c>
      <c r="I2016" s="24" t="s">
        <v>36</v>
      </c>
      <c r="J2016" s="25" t="s">
        <v>420</v>
      </c>
      <c r="K2016" s="26" t="s">
        <v>38</v>
      </c>
      <c r="L2016" s="25">
        <v>11241.0</v>
      </c>
      <c r="M2016" s="27" t="s">
        <v>50</v>
      </c>
      <c r="N2016" s="26" t="s">
        <v>4031</v>
      </c>
      <c r="O2016" s="28">
        <v>45503.614985231485</v>
      </c>
      <c r="P2016" s="26" t="s">
        <v>7965</v>
      </c>
      <c r="Q2016" s="11" t="s">
        <v>67</v>
      </c>
      <c r="R2016" s="11" t="s">
        <v>67</v>
      </c>
      <c r="S2016" s="11" t="s">
        <v>50</v>
      </c>
      <c r="T2016" s="29">
        <v>45502.37168895833</v>
      </c>
      <c r="U2016" s="29">
        <v>45502.47067931713</v>
      </c>
      <c r="V2016" s="29">
        <v>45503.33423392361</v>
      </c>
      <c r="W2016" s="30"/>
      <c r="X2016" s="30"/>
      <c r="Y2016" s="31"/>
      <c r="Z2016" s="31"/>
      <c r="AA2016" s="31" t="s">
        <v>120</v>
      </c>
      <c r="AB2016" s="31" t="s">
        <v>7966</v>
      </c>
      <c r="AC2016" s="31"/>
    </row>
    <row r="2017" ht="18.75" customHeight="1">
      <c r="A2017" s="142" t="s">
        <v>7967</v>
      </c>
      <c r="B2017" s="19" t="s">
        <v>7736</v>
      </c>
      <c r="C2017" s="20">
        <v>0.0</v>
      </c>
      <c r="D2017" s="21" t="s">
        <v>7968</v>
      </c>
      <c r="E2017" s="27" t="s">
        <v>171</v>
      </c>
      <c r="F2017" s="18" t="s">
        <v>48</v>
      </c>
      <c r="G2017" s="32" t="s">
        <v>35</v>
      </c>
      <c r="H2017" s="23" t="s">
        <v>35</v>
      </c>
      <c r="I2017" s="24" t="s">
        <v>36</v>
      </c>
      <c r="J2017" s="25" t="s">
        <v>49</v>
      </c>
      <c r="K2017" s="26" t="s">
        <v>7738</v>
      </c>
      <c r="L2017" s="25">
        <v>11242.0</v>
      </c>
      <c r="M2017" s="27" t="s">
        <v>50</v>
      </c>
      <c r="N2017" s="26" t="s">
        <v>99</v>
      </c>
      <c r="O2017" s="28">
        <v>45502.57340123843</v>
      </c>
      <c r="P2017" s="26" t="s">
        <v>7969</v>
      </c>
      <c r="Q2017" s="11" t="s">
        <v>67</v>
      </c>
      <c r="R2017" s="11" t="s">
        <v>67</v>
      </c>
      <c r="S2017" s="11" t="s">
        <v>50</v>
      </c>
      <c r="T2017" s="29">
        <v>45502.37561777778</v>
      </c>
      <c r="U2017" s="29">
        <v>45502.4640821412</v>
      </c>
      <c r="V2017" s="29">
        <v>45502.50405900463</v>
      </c>
      <c r="W2017" s="30"/>
      <c r="X2017" s="30"/>
      <c r="Y2017" s="31"/>
      <c r="Z2017" s="31"/>
      <c r="AA2017" s="31" t="s">
        <v>3053</v>
      </c>
      <c r="AB2017" s="31" t="s">
        <v>7970</v>
      </c>
      <c r="AC2017" s="31"/>
    </row>
    <row r="2018" ht="18.75" customHeight="1">
      <c r="A2018" s="18" t="s">
        <v>7971</v>
      </c>
      <c r="B2018" s="19" t="s">
        <v>5521</v>
      </c>
      <c r="C2018" s="20">
        <v>137.0</v>
      </c>
      <c r="D2018" s="21" t="s">
        <v>7972</v>
      </c>
      <c r="E2018" s="27" t="s">
        <v>85</v>
      </c>
      <c r="F2018" s="18" t="s">
        <v>48</v>
      </c>
      <c r="G2018" s="32" t="s">
        <v>35</v>
      </c>
      <c r="H2018" s="23" t="s">
        <v>35</v>
      </c>
      <c r="I2018" s="24" t="s">
        <v>36</v>
      </c>
      <c r="J2018" s="25" t="s">
        <v>49</v>
      </c>
      <c r="K2018" s="26" t="s">
        <v>38</v>
      </c>
      <c r="L2018" s="25">
        <v>11244.0</v>
      </c>
      <c r="M2018" s="27" t="s">
        <v>50</v>
      </c>
      <c r="N2018" s="26" t="s">
        <v>99</v>
      </c>
      <c r="O2018" s="28">
        <v>45503.5854784375</v>
      </c>
      <c r="P2018" s="26" t="s">
        <v>7973</v>
      </c>
      <c r="Q2018" s="11" t="s">
        <v>67</v>
      </c>
      <c r="R2018" s="11" t="s">
        <v>67</v>
      </c>
      <c r="S2018" s="11" t="s">
        <v>50</v>
      </c>
      <c r="T2018" s="29">
        <v>45502.37674168982</v>
      </c>
      <c r="U2018" s="29">
        <v>45502.612501655094</v>
      </c>
      <c r="V2018" s="29">
        <v>45503.33424420139</v>
      </c>
      <c r="W2018" s="30"/>
      <c r="X2018" s="30"/>
      <c r="Y2018" s="31"/>
      <c r="Z2018" s="31"/>
      <c r="AA2018" s="31" t="s">
        <v>102</v>
      </c>
      <c r="AB2018" s="31" t="s">
        <v>7974</v>
      </c>
      <c r="AC2018" s="31"/>
    </row>
    <row r="2019" ht="18.75" customHeight="1">
      <c r="A2019" s="18" t="s">
        <v>7975</v>
      </c>
      <c r="B2019" s="19" t="s">
        <v>5521</v>
      </c>
      <c r="C2019" s="20">
        <v>1.0</v>
      </c>
      <c r="D2019" s="21" t="s">
        <v>7976</v>
      </c>
      <c r="E2019" s="27" t="s">
        <v>3395</v>
      </c>
      <c r="F2019" s="18" t="s">
        <v>48</v>
      </c>
      <c r="G2019" s="32" t="s">
        <v>35</v>
      </c>
      <c r="H2019" s="23" t="s">
        <v>35</v>
      </c>
      <c r="I2019" s="24" t="s">
        <v>36</v>
      </c>
      <c r="J2019" s="25" t="s">
        <v>49</v>
      </c>
      <c r="K2019" s="26" t="s">
        <v>38</v>
      </c>
      <c r="L2019" s="25">
        <v>11244.0</v>
      </c>
      <c r="M2019" s="27" t="s">
        <v>50</v>
      </c>
      <c r="N2019" s="26" t="s">
        <v>99</v>
      </c>
      <c r="O2019" s="28">
        <v>45503.585550613425</v>
      </c>
      <c r="P2019" s="26" t="s">
        <v>7973</v>
      </c>
      <c r="Q2019" s="11" t="s">
        <v>67</v>
      </c>
      <c r="R2019" s="11" t="s">
        <v>67</v>
      </c>
      <c r="S2019" s="11" t="s">
        <v>50</v>
      </c>
      <c r="T2019" s="29">
        <v>45502.37674168982</v>
      </c>
      <c r="U2019" s="29">
        <v>45502.61253888889</v>
      </c>
      <c r="V2019" s="29">
        <v>45503.33425347222</v>
      </c>
      <c r="W2019" s="30"/>
      <c r="X2019" s="30"/>
      <c r="Y2019" s="31"/>
      <c r="Z2019" s="31"/>
      <c r="AA2019" s="31" t="s">
        <v>102</v>
      </c>
      <c r="AB2019" s="31" t="s">
        <v>7977</v>
      </c>
      <c r="AC2019" s="31"/>
    </row>
    <row r="2020" ht="18.75" customHeight="1">
      <c r="A2020" s="142" t="s">
        <v>7978</v>
      </c>
      <c r="B2020" s="19" t="s">
        <v>7979</v>
      </c>
      <c r="C2020" s="20">
        <v>11.0</v>
      </c>
      <c r="D2020" s="21" t="s">
        <v>7980</v>
      </c>
      <c r="E2020" s="27" t="s">
        <v>112</v>
      </c>
      <c r="F2020" s="18" t="s">
        <v>48</v>
      </c>
      <c r="G2020" s="32" t="s">
        <v>35</v>
      </c>
      <c r="H2020" s="23" t="s">
        <v>35</v>
      </c>
      <c r="I2020" s="24" t="s">
        <v>36</v>
      </c>
      <c r="J2020" s="34" t="s">
        <v>65</v>
      </c>
      <c r="K2020" s="26" t="s">
        <v>38</v>
      </c>
      <c r="L2020" s="25">
        <v>11240.0</v>
      </c>
      <c r="M2020" s="27" t="s">
        <v>50</v>
      </c>
      <c r="N2020" s="26" t="s">
        <v>51</v>
      </c>
      <c r="O2020" s="28">
        <v>45502.46996325231</v>
      </c>
      <c r="P2020" s="26" t="s">
        <v>7981</v>
      </c>
      <c r="Q2020" s="11" t="s">
        <v>67</v>
      </c>
      <c r="R2020" s="11" t="s">
        <v>67</v>
      </c>
      <c r="S2020" s="11"/>
      <c r="T2020" s="29">
        <v>45502.46996325231</v>
      </c>
      <c r="U2020" s="29">
        <v>45502.46996325231</v>
      </c>
      <c r="V2020" s="29">
        <v>45502.46996325231</v>
      </c>
      <c r="W2020" s="30"/>
      <c r="X2020" s="30"/>
      <c r="Y2020" s="31"/>
      <c r="Z2020" s="31"/>
      <c r="AA2020" s="31" t="s">
        <v>94</v>
      </c>
      <c r="AB2020" s="31" t="s">
        <v>7982</v>
      </c>
      <c r="AC2020" s="31"/>
    </row>
    <row r="2021" ht="18.75" customHeight="1">
      <c r="A2021" s="142" t="s">
        <v>7983</v>
      </c>
      <c r="B2021" s="19" t="s">
        <v>4472</v>
      </c>
      <c r="C2021" s="20">
        <v>0.0</v>
      </c>
      <c r="D2021" s="21" t="s">
        <v>7984</v>
      </c>
      <c r="E2021" s="27" t="s">
        <v>408</v>
      </c>
      <c r="F2021" s="18" t="s">
        <v>33</v>
      </c>
      <c r="G2021" s="18" t="s">
        <v>34</v>
      </c>
      <c r="H2021" s="23" t="s">
        <v>35</v>
      </c>
      <c r="I2021" s="24" t="s">
        <v>36</v>
      </c>
      <c r="J2021" s="25" t="s">
        <v>49</v>
      </c>
      <c r="K2021" s="26" t="s">
        <v>38</v>
      </c>
      <c r="L2021" s="25">
        <v>11254.0</v>
      </c>
      <c r="M2021" s="27" t="s">
        <v>50</v>
      </c>
      <c r="N2021" s="26" t="s">
        <v>5936</v>
      </c>
      <c r="O2021" s="28">
        <v>45505.68220054398</v>
      </c>
      <c r="P2021" s="26" t="s">
        <v>7985</v>
      </c>
      <c r="Q2021" s="11" t="s">
        <v>67</v>
      </c>
      <c r="R2021" s="11" t="s">
        <v>67</v>
      </c>
      <c r="S2021" s="11" t="s">
        <v>101</v>
      </c>
      <c r="T2021" s="29">
        <v>45502.392939502315</v>
      </c>
      <c r="U2021" s="29">
        <v>45502.46188296296</v>
      </c>
      <c r="V2021" s="29">
        <v>45504.48464221065</v>
      </c>
      <c r="W2021" s="30"/>
      <c r="X2021" s="30"/>
      <c r="Y2021" s="31"/>
      <c r="Z2021" s="31"/>
      <c r="AA2021" s="31" t="s">
        <v>102</v>
      </c>
      <c r="AB2021" s="31" t="s">
        <v>7986</v>
      </c>
      <c r="AC2021" s="31"/>
    </row>
    <row r="2022" ht="18.75" customHeight="1">
      <c r="A2022" s="18" t="s">
        <v>7987</v>
      </c>
      <c r="B2022" s="19" t="s">
        <v>7988</v>
      </c>
      <c r="C2022" s="20">
        <v>90.0</v>
      </c>
      <c r="D2022" s="21" t="s">
        <v>7989</v>
      </c>
      <c r="E2022" s="27" t="s">
        <v>91</v>
      </c>
      <c r="F2022" s="18" t="s">
        <v>48</v>
      </c>
      <c r="G2022" s="32" t="s">
        <v>35</v>
      </c>
      <c r="H2022" s="23" t="s">
        <v>35</v>
      </c>
      <c r="I2022" s="24" t="s">
        <v>36</v>
      </c>
      <c r="J2022" s="25" t="s">
        <v>49</v>
      </c>
      <c r="K2022" s="26" t="s">
        <v>38</v>
      </c>
      <c r="L2022" s="25">
        <v>11376.0</v>
      </c>
      <c r="M2022" s="27" t="s">
        <v>50</v>
      </c>
      <c r="N2022" s="26" t="s">
        <v>99</v>
      </c>
      <c r="O2022" s="28">
        <v>45530.58692983796</v>
      </c>
      <c r="P2022" s="147" t="s">
        <v>7990</v>
      </c>
      <c r="Q2022" s="11" t="s">
        <v>67</v>
      </c>
      <c r="R2022" s="11" t="s">
        <v>67</v>
      </c>
      <c r="S2022" s="11" t="s">
        <v>50</v>
      </c>
      <c r="T2022" s="29">
        <v>45502.707257222224</v>
      </c>
      <c r="U2022" s="29">
        <v>45503.37062289352</v>
      </c>
      <c r="V2022" s="29">
        <v>45530.50234946759</v>
      </c>
      <c r="W2022" s="30"/>
      <c r="X2022" s="30"/>
      <c r="Y2022" s="31"/>
      <c r="Z2022" s="31"/>
      <c r="AA2022" s="31" t="s">
        <v>102</v>
      </c>
      <c r="AB2022" s="31" t="s">
        <v>7991</v>
      </c>
      <c r="AC2022" s="31"/>
    </row>
    <row r="2023" ht="18.75" customHeight="1">
      <c r="A2023" s="18" t="s">
        <v>7992</v>
      </c>
      <c r="B2023" s="19" t="s">
        <v>7988</v>
      </c>
      <c r="C2023" s="20">
        <v>90.0</v>
      </c>
      <c r="D2023" s="21" t="s">
        <v>7993</v>
      </c>
      <c r="E2023" s="27" t="s">
        <v>91</v>
      </c>
      <c r="F2023" s="18" t="s">
        <v>48</v>
      </c>
      <c r="G2023" s="32" t="s">
        <v>35</v>
      </c>
      <c r="H2023" s="23" t="s">
        <v>35</v>
      </c>
      <c r="I2023" s="24" t="s">
        <v>36</v>
      </c>
      <c r="J2023" s="25" t="s">
        <v>49</v>
      </c>
      <c r="K2023" s="26" t="s">
        <v>38</v>
      </c>
      <c r="L2023" s="25">
        <v>11376.0</v>
      </c>
      <c r="M2023" s="27" t="s">
        <v>50</v>
      </c>
      <c r="N2023" s="26" t="s">
        <v>99</v>
      </c>
      <c r="O2023" s="28">
        <v>45530.58700637732</v>
      </c>
      <c r="P2023" s="147" t="s">
        <v>7990</v>
      </c>
      <c r="Q2023" s="11" t="s">
        <v>67</v>
      </c>
      <c r="R2023" s="11" t="s">
        <v>67</v>
      </c>
      <c r="S2023" s="11" t="s">
        <v>50</v>
      </c>
      <c r="T2023" s="29">
        <v>45502.707257222224</v>
      </c>
      <c r="U2023" s="29">
        <v>45503.37071847222</v>
      </c>
      <c r="V2023" s="29">
        <v>45530.50238636574</v>
      </c>
      <c r="W2023" s="30"/>
      <c r="X2023" s="30"/>
      <c r="Y2023" s="31"/>
      <c r="Z2023" s="31"/>
      <c r="AA2023" s="31" t="s">
        <v>102</v>
      </c>
      <c r="AB2023" s="31" t="s">
        <v>7994</v>
      </c>
      <c r="AC2023" s="31"/>
    </row>
    <row r="2024" ht="18.75" customHeight="1">
      <c r="A2024" s="18" t="s">
        <v>7995</v>
      </c>
      <c r="B2024" s="19" t="s">
        <v>7988</v>
      </c>
      <c r="C2024" s="20">
        <v>90.0</v>
      </c>
      <c r="D2024" s="21" t="s">
        <v>7996</v>
      </c>
      <c r="E2024" s="27" t="s">
        <v>91</v>
      </c>
      <c r="F2024" s="18" t="s">
        <v>48</v>
      </c>
      <c r="G2024" s="32" t="s">
        <v>35</v>
      </c>
      <c r="H2024" s="23" t="s">
        <v>35</v>
      </c>
      <c r="I2024" s="24" t="s">
        <v>36</v>
      </c>
      <c r="J2024" s="25" t="s">
        <v>49</v>
      </c>
      <c r="K2024" s="26" t="s">
        <v>38</v>
      </c>
      <c r="L2024" s="25">
        <v>11376.0</v>
      </c>
      <c r="M2024" s="27" t="s">
        <v>50</v>
      </c>
      <c r="N2024" s="26" t="s">
        <v>99</v>
      </c>
      <c r="O2024" s="28">
        <v>45530.58706479167</v>
      </c>
      <c r="P2024" s="147" t="s">
        <v>7990</v>
      </c>
      <c r="Q2024" s="11" t="s">
        <v>67</v>
      </c>
      <c r="R2024" s="11" t="s">
        <v>67</v>
      </c>
      <c r="S2024" s="11" t="s">
        <v>50</v>
      </c>
      <c r="T2024" s="29">
        <v>45502.707257222224</v>
      </c>
      <c r="U2024" s="29">
        <v>45503.370723796295</v>
      </c>
      <c r="V2024" s="29">
        <v>45530.50239743055</v>
      </c>
      <c r="W2024" s="30"/>
      <c r="X2024" s="30"/>
      <c r="Y2024" s="31"/>
      <c r="Z2024" s="31"/>
      <c r="AA2024" s="31" t="s">
        <v>102</v>
      </c>
      <c r="AB2024" s="31" t="s">
        <v>7997</v>
      </c>
      <c r="AC2024" s="31"/>
    </row>
    <row r="2025" ht="18.75" customHeight="1">
      <c r="A2025" s="142" t="s">
        <v>7998</v>
      </c>
      <c r="B2025" s="19" t="s">
        <v>7999</v>
      </c>
      <c r="C2025" s="20">
        <v>137.0</v>
      </c>
      <c r="D2025" s="21" t="s">
        <v>8000</v>
      </c>
      <c r="E2025" s="27" t="s">
        <v>85</v>
      </c>
      <c r="F2025" s="18" t="s">
        <v>48</v>
      </c>
      <c r="G2025" s="32" t="s">
        <v>35</v>
      </c>
      <c r="H2025" s="23" t="s">
        <v>35</v>
      </c>
      <c r="I2025" s="24" t="s">
        <v>36</v>
      </c>
      <c r="J2025" s="25" t="s">
        <v>49</v>
      </c>
      <c r="K2025" s="26" t="s">
        <v>38</v>
      </c>
      <c r="L2025" s="25">
        <v>11245.0</v>
      </c>
      <c r="M2025" s="27" t="s">
        <v>50</v>
      </c>
      <c r="N2025" s="26" t="s">
        <v>99</v>
      </c>
      <c r="O2025" s="28">
        <v>45503.585167094905</v>
      </c>
      <c r="P2025" s="26" t="s">
        <v>8001</v>
      </c>
      <c r="Q2025" s="11" t="s">
        <v>67</v>
      </c>
      <c r="R2025" s="11" t="s">
        <v>67</v>
      </c>
      <c r="S2025" s="11" t="s">
        <v>50</v>
      </c>
      <c r="T2025" s="29">
        <v>45502.73114365741</v>
      </c>
      <c r="U2025" s="29">
        <v>45503.37097012732</v>
      </c>
      <c r="V2025" s="29">
        <v>45503.40608594907</v>
      </c>
      <c r="W2025" s="30"/>
      <c r="X2025" s="30"/>
      <c r="Y2025" s="31"/>
      <c r="Z2025" s="31"/>
      <c r="AA2025" s="31" t="s">
        <v>127</v>
      </c>
      <c r="AB2025" s="31" t="s">
        <v>8002</v>
      </c>
      <c r="AC2025" s="31"/>
    </row>
    <row r="2026" ht="18.75" customHeight="1">
      <c r="A2026" s="142" t="s">
        <v>8003</v>
      </c>
      <c r="B2026" s="19" t="s">
        <v>8004</v>
      </c>
      <c r="C2026" s="20">
        <v>34.0</v>
      </c>
      <c r="D2026" s="21" t="s">
        <v>8005</v>
      </c>
      <c r="E2026" s="27" t="s">
        <v>47</v>
      </c>
      <c r="F2026" s="18" t="s">
        <v>48</v>
      </c>
      <c r="G2026" s="32" t="s">
        <v>35</v>
      </c>
      <c r="H2026" s="23" t="s">
        <v>35</v>
      </c>
      <c r="I2026" s="24" t="s">
        <v>36</v>
      </c>
      <c r="J2026" s="25" t="s">
        <v>49</v>
      </c>
      <c r="K2026" s="26" t="s">
        <v>447</v>
      </c>
      <c r="L2026" s="25">
        <v>11246.0</v>
      </c>
      <c r="M2026" s="27" t="s">
        <v>50</v>
      </c>
      <c r="N2026" s="26" t="s">
        <v>99</v>
      </c>
      <c r="O2026" s="28">
        <v>45503.58524587963</v>
      </c>
      <c r="P2026" s="26" t="s">
        <v>8006</v>
      </c>
      <c r="Q2026" s="11" t="s">
        <v>67</v>
      </c>
      <c r="R2026" s="11" t="s">
        <v>67</v>
      </c>
      <c r="S2026" s="11" t="s">
        <v>50</v>
      </c>
      <c r="T2026" s="29">
        <v>45502.73287961805</v>
      </c>
      <c r="U2026" s="29">
        <v>45503.37374789352</v>
      </c>
      <c r="V2026" s="29">
        <v>45503.406205011575</v>
      </c>
      <c r="W2026" s="30"/>
      <c r="X2026" s="30"/>
      <c r="Y2026" s="31"/>
      <c r="Z2026" s="31"/>
      <c r="AA2026" s="31" t="s">
        <v>108</v>
      </c>
      <c r="AB2026" s="31" t="s">
        <v>8007</v>
      </c>
      <c r="AC2026" s="31"/>
    </row>
    <row r="2027" ht="18.75" customHeight="1">
      <c r="A2027" s="142" t="s">
        <v>8008</v>
      </c>
      <c r="B2027" s="19" t="s">
        <v>6334</v>
      </c>
      <c r="C2027" s="20">
        <v>11.0</v>
      </c>
      <c r="D2027" s="21" t="s">
        <v>8009</v>
      </c>
      <c r="E2027" s="27" t="s">
        <v>112</v>
      </c>
      <c r="F2027" s="18" t="s">
        <v>48</v>
      </c>
      <c r="G2027" s="32" t="s">
        <v>35</v>
      </c>
      <c r="H2027" s="23" t="s">
        <v>35</v>
      </c>
      <c r="I2027" s="24" t="s">
        <v>36</v>
      </c>
      <c r="J2027" s="34" t="s">
        <v>65</v>
      </c>
      <c r="K2027" s="26" t="s">
        <v>38</v>
      </c>
      <c r="L2027" s="25">
        <v>11247.0</v>
      </c>
      <c r="M2027" s="27" t="s">
        <v>50</v>
      </c>
      <c r="N2027" s="26" t="s">
        <v>51</v>
      </c>
      <c r="O2027" s="28">
        <v>45503.440292280095</v>
      </c>
      <c r="P2027" s="26" t="s">
        <v>8010</v>
      </c>
      <c r="Q2027" s="11" t="s">
        <v>67</v>
      </c>
      <c r="R2027" s="11" t="s">
        <v>67</v>
      </c>
      <c r="S2027" s="11"/>
      <c r="T2027" s="29">
        <v>45503.440292280095</v>
      </c>
      <c r="U2027" s="29">
        <v>45503.440292280095</v>
      </c>
      <c r="V2027" s="29">
        <v>45503.440292280095</v>
      </c>
      <c r="W2027" s="30"/>
      <c r="X2027" s="30"/>
      <c r="Y2027" s="31"/>
      <c r="Z2027" s="31"/>
      <c r="AA2027" s="31" t="s">
        <v>94</v>
      </c>
      <c r="AB2027" s="31" t="s">
        <v>8011</v>
      </c>
      <c r="AC2027" s="31"/>
    </row>
    <row r="2028" ht="18.75" customHeight="1">
      <c r="A2028" s="142" t="s">
        <v>8012</v>
      </c>
      <c r="B2028" s="19" t="s">
        <v>8013</v>
      </c>
      <c r="C2028" s="20">
        <v>0.0</v>
      </c>
      <c r="D2028" s="21" t="s">
        <v>8014</v>
      </c>
      <c r="E2028" s="22" t="s">
        <v>98</v>
      </c>
      <c r="F2028" s="18" t="s">
        <v>33</v>
      </c>
      <c r="G2028" s="32" t="s">
        <v>35</v>
      </c>
      <c r="H2028" s="23" t="s">
        <v>35</v>
      </c>
      <c r="I2028" s="24" t="s">
        <v>36</v>
      </c>
      <c r="J2028" s="25" t="s">
        <v>49</v>
      </c>
      <c r="K2028" s="26" t="s">
        <v>447</v>
      </c>
      <c r="L2028" s="25">
        <v>11268.0</v>
      </c>
      <c r="M2028" s="27" t="s">
        <v>50</v>
      </c>
      <c r="N2028" s="26" t="s">
        <v>99</v>
      </c>
      <c r="O2028" s="28">
        <v>45509.574391585644</v>
      </c>
      <c r="P2028" s="26" t="s">
        <v>8015</v>
      </c>
      <c r="Q2028" s="11" t="s">
        <v>67</v>
      </c>
      <c r="R2028" s="11" t="s">
        <v>67</v>
      </c>
      <c r="S2028" s="11" t="s">
        <v>101</v>
      </c>
      <c r="T2028" s="29">
        <v>45503.35291440973</v>
      </c>
      <c r="U2028" s="29">
        <v>45503.44874795139</v>
      </c>
      <c r="V2028" s="29">
        <v>45509.366019733796</v>
      </c>
      <c r="W2028" s="30"/>
      <c r="X2028" s="30"/>
      <c r="Y2028" s="31"/>
      <c r="Z2028" s="31"/>
      <c r="AA2028" s="31" t="s">
        <v>108</v>
      </c>
      <c r="AB2028" s="31" t="s">
        <v>8016</v>
      </c>
      <c r="AC2028" s="31"/>
    </row>
    <row r="2029" ht="18.75" customHeight="1">
      <c r="A2029" s="142" t="s">
        <v>8017</v>
      </c>
      <c r="B2029" s="119" t="s">
        <v>6334</v>
      </c>
      <c r="C2029" s="54">
        <v>137.0</v>
      </c>
      <c r="D2029" s="21" t="s">
        <v>8018</v>
      </c>
      <c r="E2029" s="55" t="s">
        <v>85</v>
      </c>
      <c r="F2029" s="32" t="s">
        <v>48</v>
      </c>
      <c r="G2029" s="32" t="s">
        <v>35</v>
      </c>
      <c r="H2029" s="23" t="s">
        <v>35</v>
      </c>
      <c r="I2029" s="66" t="s">
        <v>36</v>
      </c>
      <c r="J2029" s="25" t="s">
        <v>5574</v>
      </c>
      <c r="K2029" s="57" t="s">
        <v>38</v>
      </c>
      <c r="L2029" s="146">
        <v>11248.0</v>
      </c>
      <c r="M2029" s="22"/>
      <c r="N2029" s="26" t="s">
        <v>86</v>
      </c>
      <c r="O2029" s="28">
        <v>45503.462435671296</v>
      </c>
      <c r="P2029" s="26" t="s">
        <v>8019</v>
      </c>
      <c r="Q2029" s="11" t="s">
        <v>67</v>
      </c>
      <c r="R2029" s="11" t="s">
        <v>67</v>
      </c>
      <c r="S2029" s="60"/>
      <c r="T2029" s="29">
        <v>45503.462435671296</v>
      </c>
      <c r="U2029" s="29">
        <v>45503.462435671296</v>
      </c>
      <c r="V2029" s="29">
        <v>45503.462435671296</v>
      </c>
      <c r="W2029" s="30"/>
      <c r="X2029" s="30"/>
      <c r="Y2029" s="31"/>
      <c r="Z2029" s="31"/>
      <c r="AA2029" s="31" t="s">
        <v>94</v>
      </c>
      <c r="AB2029" s="31" t="s">
        <v>8020</v>
      </c>
      <c r="AC2029" s="31"/>
    </row>
    <row r="2030" ht="18.75" customHeight="1">
      <c r="A2030" s="18" t="s">
        <v>8021</v>
      </c>
      <c r="B2030" s="119" t="s">
        <v>6334</v>
      </c>
      <c r="C2030" s="54">
        <v>137.0</v>
      </c>
      <c r="D2030" s="21" t="s">
        <v>8022</v>
      </c>
      <c r="E2030" s="55" t="s">
        <v>85</v>
      </c>
      <c r="F2030" s="32" t="s">
        <v>48</v>
      </c>
      <c r="G2030" s="32" t="s">
        <v>35</v>
      </c>
      <c r="H2030" s="23" t="s">
        <v>35</v>
      </c>
      <c r="I2030" s="66" t="s">
        <v>36</v>
      </c>
      <c r="J2030" s="25" t="s">
        <v>5574</v>
      </c>
      <c r="K2030" s="57" t="s">
        <v>38</v>
      </c>
      <c r="L2030" s="146">
        <v>11248.0</v>
      </c>
      <c r="M2030" s="22"/>
      <c r="N2030" s="26" t="s">
        <v>86</v>
      </c>
      <c r="O2030" s="28">
        <v>45503.46204331018</v>
      </c>
      <c r="P2030" s="26" t="s">
        <v>8019</v>
      </c>
      <c r="Q2030" s="11" t="s">
        <v>67</v>
      </c>
      <c r="R2030" s="11" t="s">
        <v>67</v>
      </c>
      <c r="S2030" s="60"/>
      <c r="T2030" s="29">
        <v>45503.46204331018</v>
      </c>
      <c r="U2030" s="29">
        <v>45503.46204331018</v>
      </c>
      <c r="V2030" s="29">
        <v>45503.46204331018</v>
      </c>
      <c r="W2030" s="30"/>
      <c r="X2030" s="30"/>
      <c r="Y2030" s="31"/>
      <c r="Z2030" s="31"/>
      <c r="AA2030" s="31" t="s">
        <v>94</v>
      </c>
      <c r="AB2030" s="31" t="s">
        <v>8023</v>
      </c>
      <c r="AC2030" s="31"/>
    </row>
    <row r="2031" ht="18.75" customHeight="1">
      <c r="A2031" s="18" t="s">
        <v>8024</v>
      </c>
      <c r="B2031" s="19" t="s">
        <v>8025</v>
      </c>
      <c r="C2031" s="20">
        <v>0.0</v>
      </c>
      <c r="D2031" s="21" t="s">
        <v>8026</v>
      </c>
      <c r="E2031" s="27" t="s">
        <v>3441</v>
      </c>
      <c r="F2031" s="18" t="s">
        <v>48</v>
      </c>
      <c r="G2031" s="32" t="s">
        <v>35</v>
      </c>
      <c r="H2031" s="23" t="s">
        <v>35</v>
      </c>
      <c r="I2031" s="24" t="s">
        <v>36</v>
      </c>
      <c r="J2031" s="25" t="s">
        <v>49</v>
      </c>
      <c r="K2031" s="26" t="s">
        <v>447</v>
      </c>
      <c r="L2031" s="25">
        <v>11249.0</v>
      </c>
      <c r="M2031" s="27" t="s">
        <v>50</v>
      </c>
      <c r="N2031" s="26" t="s">
        <v>99</v>
      </c>
      <c r="O2031" s="28">
        <v>45503.58540497685</v>
      </c>
      <c r="P2031" s="26" t="s">
        <v>8027</v>
      </c>
      <c r="Q2031" s="11"/>
      <c r="R2031" s="11" t="s">
        <v>67</v>
      </c>
      <c r="S2031" s="11" t="s">
        <v>50</v>
      </c>
      <c r="T2031" s="29">
        <v>45503.36324361111</v>
      </c>
      <c r="U2031" s="29">
        <v>45503.45009157408</v>
      </c>
      <c r="V2031" s="29">
        <v>45503.481435231486</v>
      </c>
      <c r="W2031" s="30"/>
      <c r="X2031" s="30"/>
      <c r="Y2031" s="31"/>
      <c r="Z2031" s="31"/>
      <c r="AA2031" s="31" t="s">
        <v>108</v>
      </c>
      <c r="AB2031" s="31" t="s">
        <v>8028</v>
      </c>
      <c r="AC2031" s="31"/>
    </row>
    <row r="2032" ht="18.75" customHeight="1">
      <c r="A2032" s="18" t="s">
        <v>8029</v>
      </c>
      <c r="B2032" s="19" t="s">
        <v>8025</v>
      </c>
      <c r="C2032" s="20">
        <v>0.0</v>
      </c>
      <c r="D2032" s="21" t="s">
        <v>8030</v>
      </c>
      <c r="E2032" s="27" t="s">
        <v>3441</v>
      </c>
      <c r="F2032" s="18" t="s">
        <v>48</v>
      </c>
      <c r="G2032" s="32" t="s">
        <v>35</v>
      </c>
      <c r="H2032" s="23" t="s">
        <v>35</v>
      </c>
      <c r="I2032" s="24" t="s">
        <v>36</v>
      </c>
      <c r="J2032" s="25" t="s">
        <v>49</v>
      </c>
      <c r="K2032" s="26" t="s">
        <v>447</v>
      </c>
      <c r="L2032" s="25">
        <v>11249.0</v>
      </c>
      <c r="M2032" s="27" t="s">
        <v>50</v>
      </c>
      <c r="N2032" s="26" t="s">
        <v>99</v>
      </c>
      <c r="O2032" s="28">
        <v>45503.5853353125</v>
      </c>
      <c r="P2032" s="26" t="s">
        <v>8027</v>
      </c>
      <c r="Q2032" s="11" t="s">
        <v>67</v>
      </c>
      <c r="R2032" s="11" t="s">
        <v>67</v>
      </c>
      <c r="S2032" s="11" t="s">
        <v>50</v>
      </c>
      <c r="T2032" s="29">
        <v>45503.36369481482</v>
      </c>
      <c r="U2032" s="29">
        <v>45503.450021006945</v>
      </c>
      <c r="V2032" s="29">
        <v>45503.48141778936</v>
      </c>
      <c r="W2032" s="30"/>
      <c r="X2032" s="30"/>
      <c r="Y2032" s="31"/>
      <c r="Z2032" s="31"/>
      <c r="AA2032" s="31" t="s">
        <v>108</v>
      </c>
      <c r="AB2032" s="31" t="s">
        <v>8031</v>
      </c>
      <c r="AC2032" s="31"/>
    </row>
    <row r="2033" ht="18.75" customHeight="1">
      <c r="A2033" s="142" t="s">
        <v>8032</v>
      </c>
      <c r="B2033" s="19" t="s">
        <v>7703</v>
      </c>
      <c r="C2033" s="20">
        <v>11.0</v>
      </c>
      <c r="D2033" s="21" t="s">
        <v>8033</v>
      </c>
      <c r="E2033" s="27" t="s">
        <v>112</v>
      </c>
      <c r="F2033" s="18" t="s">
        <v>48</v>
      </c>
      <c r="G2033" s="32" t="s">
        <v>35</v>
      </c>
      <c r="H2033" s="23" t="s">
        <v>35</v>
      </c>
      <c r="I2033" s="24" t="s">
        <v>36</v>
      </c>
      <c r="J2033" s="34" t="s">
        <v>65</v>
      </c>
      <c r="K2033" s="26" t="s">
        <v>38</v>
      </c>
      <c r="L2033" s="25">
        <v>11266.0</v>
      </c>
      <c r="M2033" s="27" t="s">
        <v>50</v>
      </c>
      <c r="N2033" s="26" t="s">
        <v>3442</v>
      </c>
      <c r="O2033" s="28">
        <v>45509.73142456019</v>
      </c>
      <c r="P2033" s="26" t="s">
        <v>8034</v>
      </c>
      <c r="Q2033" s="11" t="s">
        <v>67</v>
      </c>
      <c r="R2033" s="11" t="s">
        <v>67</v>
      </c>
      <c r="S2033" s="11" t="s">
        <v>50</v>
      </c>
      <c r="T2033" s="29">
        <v>45503.370085428236</v>
      </c>
      <c r="U2033" s="29">
        <v>45506.41350646991</v>
      </c>
      <c r="V2033" s="29">
        <v>45509.37708824074</v>
      </c>
      <c r="W2033" s="30"/>
      <c r="X2033" s="30"/>
      <c r="Y2033" s="31"/>
      <c r="Z2033" s="31"/>
      <c r="AA2033" s="31" t="s">
        <v>3059</v>
      </c>
      <c r="AB2033" s="31" t="s">
        <v>8035</v>
      </c>
      <c r="AC2033" s="31"/>
    </row>
    <row r="2034" ht="18.75" customHeight="1">
      <c r="A2034" s="142" t="s">
        <v>8036</v>
      </c>
      <c r="B2034" s="19" t="s">
        <v>5710</v>
      </c>
      <c r="C2034" s="20">
        <v>90.0</v>
      </c>
      <c r="D2034" s="21" t="s">
        <v>8037</v>
      </c>
      <c r="E2034" s="27" t="s">
        <v>91</v>
      </c>
      <c r="F2034" s="18" t="s">
        <v>48</v>
      </c>
      <c r="G2034" s="32" t="s">
        <v>35</v>
      </c>
      <c r="H2034" s="23" t="s">
        <v>35</v>
      </c>
      <c r="I2034" s="24" t="s">
        <v>36</v>
      </c>
      <c r="J2034" s="34" t="s">
        <v>65</v>
      </c>
      <c r="K2034" s="26" t="s">
        <v>38</v>
      </c>
      <c r="L2034" s="25">
        <v>11381.0</v>
      </c>
      <c r="M2034" s="27" t="s">
        <v>50</v>
      </c>
      <c r="N2034" s="26" t="s">
        <v>5897</v>
      </c>
      <c r="O2034" s="28">
        <v>45531.700307453706</v>
      </c>
      <c r="P2034" s="26" t="s">
        <v>8038</v>
      </c>
      <c r="Q2034" s="11" t="s">
        <v>67</v>
      </c>
      <c r="R2034" s="11"/>
      <c r="S2034" s="11" t="s">
        <v>50</v>
      </c>
      <c r="T2034" s="29">
        <v>45503.586114652775</v>
      </c>
      <c r="U2034" s="29">
        <v>45503.6320812037</v>
      </c>
      <c r="V2034" s="29">
        <v>45530.50770444445</v>
      </c>
      <c r="W2034" s="30"/>
      <c r="X2034" s="30"/>
      <c r="Y2034" s="31"/>
      <c r="Z2034" s="31"/>
      <c r="AA2034" s="31" t="s">
        <v>94</v>
      </c>
      <c r="AB2034" s="31" t="s">
        <v>8039</v>
      </c>
      <c r="AC2034" s="31"/>
    </row>
    <row r="2035" ht="18.75" customHeight="1">
      <c r="A2035" s="142" t="s">
        <v>8040</v>
      </c>
      <c r="B2035" s="19" t="s">
        <v>8041</v>
      </c>
      <c r="C2035" s="20">
        <v>34.0</v>
      </c>
      <c r="D2035" s="21" t="s">
        <v>8042</v>
      </c>
      <c r="E2035" s="27" t="s">
        <v>47</v>
      </c>
      <c r="F2035" s="18" t="s">
        <v>48</v>
      </c>
      <c r="G2035" s="32" t="s">
        <v>35</v>
      </c>
      <c r="H2035" s="23" t="s">
        <v>35</v>
      </c>
      <c r="I2035" s="24" t="s">
        <v>36</v>
      </c>
      <c r="J2035" s="25" t="s">
        <v>49</v>
      </c>
      <c r="K2035" s="26" t="s">
        <v>38</v>
      </c>
      <c r="L2035" s="25">
        <v>11252.0</v>
      </c>
      <c r="M2035" s="27" t="s">
        <v>50</v>
      </c>
      <c r="N2035" s="26" t="s">
        <v>5936</v>
      </c>
      <c r="O2035" s="28">
        <v>45504.625855081016</v>
      </c>
      <c r="P2035" s="26" t="s">
        <v>8043</v>
      </c>
      <c r="Q2035" s="11" t="s">
        <v>67</v>
      </c>
      <c r="R2035" s="11" t="s">
        <v>67</v>
      </c>
      <c r="S2035" s="11" t="s">
        <v>50</v>
      </c>
      <c r="T2035" s="29">
        <v>45504.349431759256</v>
      </c>
      <c r="U2035" s="29">
        <v>45504.418426261574</v>
      </c>
      <c r="V2035" s="29">
        <v>45504.45737258102</v>
      </c>
      <c r="W2035" s="30"/>
      <c r="X2035" s="30"/>
      <c r="Y2035" s="31"/>
      <c r="Z2035" s="31"/>
      <c r="AA2035" s="31" t="s">
        <v>102</v>
      </c>
      <c r="AB2035" s="31" t="s">
        <v>8044</v>
      </c>
      <c r="AC2035" s="31"/>
    </row>
    <row r="2036" ht="18.75" customHeight="1">
      <c r="A2036" s="48" t="s">
        <v>8045</v>
      </c>
      <c r="B2036" s="53" t="s">
        <v>8046</v>
      </c>
      <c r="C2036" s="47">
        <v>137.0</v>
      </c>
      <c r="D2036" s="70" t="s">
        <v>8047</v>
      </c>
      <c r="E2036" s="55" t="s">
        <v>85</v>
      </c>
      <c r="F2036" s="32" t="s">
        <v>48</v>
      </c>
      <c r="G2036" s="32" t="s">
        <v>35</v>
      </c>
      <c r="H2036" s="71" t="s">
        <v>35</v>
      </c>
      <c r="I2036" s="71" t="s">
        <v>36</v>
      </c>
      <c r="J2036" s="34" t="s">
        <v>65</v>
      </c>
      <c r="K2036" s="57" t="s">
        <v>38</v>
      </c>
      <c r="L2036" s="72">
        <v>11251.0</v>
      </c>
      <c r="M2036" s="22"/>
      <c r="N2036" s="73"/>
      <c r="O2036" s="28">
        <v>45504.42266203704</v>
      </c>
      <c r="P2036" s="35" t="s">
        <v>8048</v>
      </c>
      <c r="Q2036" s="14" t="s">
        <v>67</v>
      </c>
      <c r="R2036" s="14" t="s">
        <v>67</v>
      </c>
      <c r="S2036" s="12"/>
      <c r="T2036" s="52">
        <v>45504.42266203704</v>
      </c>
      <c r="U2036" s="52">
        <v>45504.42266203704</v>
      </c>
      <c r="V2036" s="52">
        <v>45504.42266203704</v>
      </c>
      <c r="W2036" s="30"/>
      <c r="X2036" s="30"/>
      <c r="Y2036" s="31"/>
      <c r="Z2036" s="31"/>
      <c r="AA2036" s="78" t="s">
        <v>94</v>
      </c>
      <c r="AB2036" s="74" t="s">
        <v>8049</v>
      </c>
      <c r="AC2036" s="74"/>
    </row>
    <row r="2037" ht="18.75" customHeight="1">
      <c r="A2037" s="18" t="s">
        <v>8050</v>
      </c>
      <c r="B2037" s="19" t="s">
        <v>8051</v>
      </c>
      <c r="C2037" s="20">
        <v>0.0</v>
      </c>
      <c r="D2037" s="21" t="s">
        <v>8052</v>
      </c>
      <c r="E2037" s="27" t="s">
        <v>4430</v>
      </c>
      <c r="F2037" s="18" t="s">
        <v>48</v>
      </c>
      <c r="G2037" s="32" t="s">
        <v>35</v>
      </c>
      <c r="H2037" s="23" t="s">
        <v>35</v>
      </c>
      <c r="I2037" s="37" t="s">
        <v>36</v>
      </c>
      <c r="J2037" s="34" t="s">
        <v>65</v>
      </c>
      <c r="K2037" s="26" t="s">
        <v>38</v>
      </c>
      <c r="L2037" s="25">
        <v>12178.0</v>
      </c>
      <c r="M2037" s="27" t="s">
        <v>50</v>
      </c>
      <c r="N2037" s="26" t="s">
        <v>4908</v>
      </c>
      <c r="O2037" s="28">
        <v>45637.673532754634</v>
      </c>
      <c r="P2037" s="26" t="s">
        <v>8053</v>
      </c>
      <c r="Q2037" s="11" t="s">
        <v>67</v>
      </c>
      <c r="R2037" s="11" t="s">
        <v>67</v>
      </c>
      <c r="S2037" s="11" t="s">
        <v>50</v>
      </c>
      <c r="T2037" s="29">
        <v>45635.632696388886</v>
      </c>
      <c r="U2037" s="29">
        <v>45635.63290819444</v>
      </c>
      <c r="V2037" s="29">
        <v>45636.38380054398</v>
      </c>
      <c r="W2037" s="30"/>
      <c r="X2037" s="148">
        <v>45635.0</v>
      </c>
      <c r="Y2037" s="31"/>
      <c r="Z2037" s="31"/>
      <c r="AA2037" s="31" t="s">
        <v>3059</v>
      </c>
      <c r="AB2037" s="31" t="s">
        <v>8054</v>
      </c>
      <c r="AC2037" s="31"/>
    </row>
    <row r="2038" ht="18.75" customHeight="1">
      <c r="A2038" s="18" t="s">
        <v>8055</v>
      </c>
      <c r="B2038" s="19" t="s">
        <v>8051</v>
      </c>
      <c r="C2038" s="20">
        <v>0.0</v>
      </c>
      <c r="D2038" s="21" t="s">
        <v>8056</v>
      </c>
      <c r="E2038" s="27" t="s">
        <v>4430</v>
      </c>
      <c r="F2038" s="18" t="s">
        <v>48</v>
      </c>
      <c r="G2038" s="32" t="s">
        <v>35</v>
      </c>
      <c r="H2038" s="23" t="s">
        <v>35</v>
      </c>
      <c r="I2038" s="37" t="s">
        <v>36</v>
      </c>
      <c r="J2038" s="34" t="s">
        <v>65</v>
      </c>
      <c r="K2038" s="26" t="s">
        <v>38</v>
      </c>
      <c r="L2038" s="25">
        <v>12178.0</v>
      </c>
      <c r="M2038" s="27" t="s">
        <v>50</v>
      </c>
      <c r="N2038" s="26" t="s">
        <v>4908</v>
      </c>
      <c r="O2038" s="28">
        <v>45637.6735965625</v>
      </c>
      <c r="P2038" s="26" t="s">
        <v>8053</v>
      </c>
      <c r="Q2038" s="11" t="s">
        <v>67</v>
      </c>
      <c r="R2038" s="11" t="s">
        <v>67</v>
      </c>
      <c r="S2038" s="11" t="s">
        <v>50</v>
      </c>
      <c r="T2038" s="29">
        <v>45635.63276512732</v>
      </c>
      <c r="U2038" s="29">
        <v>45635.63293821759</v>
      </c>
      <c r="V2038" s="29">
        <v>45636.38380811343</v>
      </c>
      <c r="W2038" s="30"/>
      <c r="X2038" s="148">
        <v>45635.0</v>
      </c>
      <c r="Y2038" s="31"/>
      <c r="Z2038" s="31"/>
      <c r="AA2038" s="31" t="s">
        <v>3059</v>
      </c>
      <c r="AB2038" s="31" t="s">
        <v>8057</v>
      </c>
      <c r="AC2038" s="31"/>
    </row>
    <row r="2039" ht="18.75" customHeight="1">
      <c r="A2039" s="18" t="s">
        <v>8058</v>
      </c>
      <c r="B2039" s="19" t="s">
        <v>8051</v>
      </c>
      <c r="C2039" s="20">
        <v>0.0</v>
      </c>
      <c r="D2039" s="21" t="s">
        <v>8059</v>
      </c>
      <c r="E2039" s="27" t="s">
        <v>4430</v>
      </c>
      <c r="F2039" s="18" t="s">
        <v>48</v>
      </c>
      <c r="G2039" s="32" t="s">
        <v>35</v>
      </c>
      <c r="H2039" s="23" t="s">
        <v>35</v>
      </c>
      <c r="I2039" s="37" t="s">
        <v>36</v>
      </c>
      <c r="J2039" s="34" t="s">
        <v>65</v>
      </c>
      <c r="K2039" s="26" t="s">
        <v>38</v>
      </c>
      <c r="L2039" s="25">
        <v>12178.0</v>
      </c>
      <c r="M2039" s="27" t="s">
        <v>50</v>
      </c>
      <c r="N2039" s="26" t="s">
        <v>4908</v>
      </c>
      <c r="O2039" s="28">
        <v>45637.673659259264</v>
      </c>
      <c r="P2039" s="26" t="s">
        <v>8053</v>
      </c>
      <c r="Q2039" s="11" t="s">
        <v>67</v>
      </c>
      <c r="R2039" s="11" t="s">
        <v>67</v>
      </c>
      <c r="S2039" s="11" t="s">
        <v>50</v>
      </c>
      <c r="T2039" s="29">
        <v>45635.632839432874</v>
      </c>
      <c r="U2039" s="29">
        <v>45635.63294412037</v>
      </c>
      <c r="V2039" s="29">
        <v>45636.38381449074</v>
      </c>
      <c r="W2039" s="30"/>
      <c r="X2039" s="148">
        <v>45635.0</v>
      </c>
      <c r="Y2039" s="31"/>
      <c r="Z2039" s="31"/>
      <c r="AA2039" s="31" t="s">
        <v>3059</v>
      </c>
      <c r="AB2039" s="31" t="s">
        <v>8060</v>
      </c>
      <c r="AC2039" s="31"/>
    </row>
    <row r="2040" ht="18.75" customHeight="1">
      <c r="A2040" s="142" t="s">
        <v>8061</v>
      </c>
      <c r="B2040" s="19" t="s">
        <v>5313</v>
      </c>
      <c r="C2040" s="20">
        <v>90.0</v>
      </c>
      <c r="D2040" s="21" t="s">
        <v>8062</v>
      </c>
      <c r="E2040" s="27" t="s">
        <v>91</v>
      </c>
      <c r="F2040" s="18" t="s">
        <v>48</v>
      </c>
      <c r="G2040" s="32" t="s">
        <v>35</v>
      </c>
      <c r="H2040" s="23" t="s">
        <v>35</v>
      </c>
      <c r="I2040" s="24" t="s">
        <v>36</v>
      </c>
      <c r="J2040" s="34" t="s">
        <v>65</v>
      </c>
      <c r="K2040" s="26" t="s">
        <v>38</v>
      </c>
      <c r="L2040" s="25">
        <v>11253.0</v>
      </c>
      <c r="M2040" s="27" t="s">
        <v>50</v>
      </c>
      <c r="N2040" s="26" t="s">
        <v>4698</v>
      </c>
      <c r="O2040" s="28">
        <v>45504.621962627316</v>
      </c>
      <c r="P2040" s="26" t="s">
        <v>8063</v>
      </c>
      <c r="Q2040" s="11" t="s">
        <v>67</v>
      </c>
      <c r="R2040" s="11" t="s">
        <v>73</v>
      </c>
      <c r="S2040" s="11" t="s">
        <v>50</v>
      </c>
      <c r="T2040" s="29">
        <v>45504.36005105324</v>
      </c>
      <c r="U2040" s="29">
        <v>45504.39533746528</v>
      </c>
      <c r="V2040" s="29">
        <v>45504.45738655093</v>
      </c>
      <c r="W2040" s="30"/>
      <c r="X2040" s="30"/>
      <c r="Y2040" s="31"/>
      <c r="Z2040" s="31"/>
      <c r="AA2040" s="31" t="s">
        <v>94</v>
      </c>
      <c r="AB2040" s="31" t="s">
        <v>8064</v>
      </c>
      <c r="AC2040" s="31"/>
    </row>
    <row r="2041" ht="18.75" customHeight="1">
      <c r="A2041" s="48" t="s">
        <v>8065</v>
      </c>
      <c r="B2041" s="53" t="s">
        <v>8066</v>
      </c>
      <c r="C2041" s="47">
        <v>1.0</v>
      </c>
      <c r="D2041" s="70" t="s">
        <v>8067</v>
      </c>
      <c r="E2041" s="55" t="s">
        <v>3395</v>
      </c>
      <c r="F2041" s="32" t="s">
        <v>48</v>
      </c>
      <c r="G2041" s="32" t="s">
        <v>35</v>
      </c>
      <c r="H2041" s="71" t="s">
        <v>35</v>
      </c>
      <c r="I2041" s="71" t="s">
        <v>36</v>
      </c>
      <c r="J2041" s="34" t="s">
        <v>65</v>
      </c>
      <c r="K2041" s="57" t="s">
        <v>38</v>
      </c>
      <c r="L2041" s="72">
        <v>11271.0</v>
      </c>
      <c r="M2041" s="22"/>
      <c r="N2041" s="35" t="s">
        <v>3461</v>
      </c>
      <c r="O2041" s="28">
        <v>45509.4359375</v>
      </c>
      <c r="P2041" s="35" t="s">
        <v>8068</v>
      </c>
      <c r="Q2041" s="14" t="s">
        <v>67</v>
      </c>
      <c r="R2041" s="14" t="s">
        <v>67</v>
      </c>
      <c r="S2041" s="12"/>
      <c r="T2041" s="52">
        <v>45509.4359375</v>
      </c>
      <c r="U2041" s="52">
        <v>45509.4359375</v>
      </c>
      <c r="V2041" s="52">
        <v>45509.4359375</v>
      </c>
      <c r="W2041" s="30"/>
      <c r="X2041" s="30"/>
      <c r="Y2041" s="31"/>
      <c r="Z2041" s="31"/>
      <c r="AA2041" s="78" t="s">
        <v>94</v>
      </c>
      <c r="AB2041" s="74" t="s">
        <v>8069</v>
      </c>
      <c r="AC2041" s="74"/>
    </row>
    <row r="2042" ht="18.75" customHeight="1">
      <c r="A2042" s="142" t="s">
        <v>8070</v>
      </c>
      <c r="B2042" s="19" t="s">
        <v>8071</v>
      </c>
      <c r="C2042" s="20">
        <v>90.0</v>
      </c>
      <c r="D2042" s="21" t="s">
        <v>8072</v>
      </c>
      <c r="E2042" s="27" t="s">
        <v>91</v>
      </c>
      <c r="F2042" s="18" t="s">
        <v>48</v>
      </c>
      <c r="G2042" s="32" t="s">
        <v>35</v>
      </c>
      <c r="H2042" s="23" t="s">
        <v>35</v>
      </c>
      <c r="I2042" s="24" t="s">
        <v>36</v>
      </c>
      <c r="J2042" s="25" t="s">
        <v>49</v>
      </c>
      <c r="K2042" s="26" t="s">
        <v>38</v>
      </c>
      <c r="L2042" s="25">
        <v>11377.0</v>
      </c>
      <c r="M2042" s="27" t="s">
        <v>50</v>
      </c>
      <c r="N2042" s="26" t="s">
        <v>99</v>
      </c>
      <c r="O2042" s="28">
        <v>45530.58721354167</v>
      </c>
      <c r="P2042" s="26" t="s">
        <v>8073</v>
      </c>
      <c r="Q2042" s="11" t="s">
        <v>67</v>
      </c>
      <c r="R2042" s="11"/>
      <c r="S2042" s="11" t="s">
        <v>50</v>
      </c>
      <c r="T2042" s="29">
        <v>45504.37314099537</v>
      </c>
      <c r="U2042" s="29">
        <v>45511.36435045139</v>
      </c>
      <c r="V2042" s="29">
        <v>45530.50832918982</v>
      </c>
      <c r="W2042" s="30"/>
      <c r="X2042" s="30"/>
      <c r="Y2042" s="31"/>
      <c r="Z2042" s="31"/>
      <c r="AA2042" s="31" t="s">
        <v>127</v>
      </c>
      <c r="AB2042" s="31" t="s">
        <v>8074</v>
      </c>
      <c r="AC2042" s="31"/>
    </row>
    <row r="2043" ht="18.75" customHeight="1">
      <c r="A2043" s="142" t="s">
        <v>8075</v>
      </c>
      <c r="B2043" s="19" t="s">
        <v>8076</v>
      </c>
      <c r="C2043" s="20">
        <v>11.0</v>
      </c>
      <c r="D2043" s="21" t="s">
        <v>8077</v>
      </c>
      <c r="E2043" s="27" t="s">
        <v>112</v>
      </c>
      <c r="F2043" s="18" t="s">
        <v>48</v>
      </c>
      <c r="G2043" s="32" t="s">
        <v>35</v>
      </c>
      <c r="H2043" s="23" t="s">
        <v>35</v>
      </c>
      <c r="I2043" s="24" t="s">
        <v>36</v>
      </c>
      <c r="J2043" s="25" t="s">
        <v>92</v>
      </c>
      <c r="K2043" s="26" t="s">
        <v>38</v>
      </c>
      <c r="L2043" s="25">
        <v>11269.0</v>
      </c>
      <c r="M2043" s="27" t="s">
        <v>50</v>
      </c>
      <c r="N2043" s="26" t="s">
        <v>8078</v>
      </c>
      <c r="O2043" s="28">
        <v>45510.45876898148</v>
      </c>
      <c r="P2043" s="26" t="s">
        <v>8079</v>
      </c>
      <c r="Q2043" s="11" t="s">
        <v>67</v>
      </c>
      <c r="R2043" s="11"/>
      <c r="S2043" s="11" t="s">
        <v>50</v>
      </c>
      <c r="T2043" s="29">
        <v>45504.393672499995</v>
      </c>
      <c r="U2043" s="29">
        <v>45504.68533564815</v>
      </c>
      <c r="V2043" s="29">
        <v>45509.43181188658</v>
      </c>
      <c r="W2043" s="30"/>
      <c r="X2043" s="30"/>
      <c r="Y2043" s="31"/>
      <c r="Z2043" s="31"/>
      <c r="AA2043" s="31" t="s">
        <v>120</v>
      </c>
      <c r="AB2043" s="31" t="s">
        <v>8080</v>
      </c>
      <c r="AC2043" s="31"/>
    </row>
    <row r="2044" ht="18.75" customHeight="1">
      <c r="A2044" s="142" t="s">
        <v>8081</v>
      </c>
      <c r="B2044" s="19" t="s">
        <v>8076</v>
      </c>
      <c r="C2044" s="20">
        <v>34.0</v>
      </c>
      <c r="D2044" s="21" t="s">
        <v>8082</v>
      </c>
      <c r="E2044" s="27" t="s">
        <v>47</v>
      </c>
      <c r="F2044" s="18" t="s">
        <v>48</v>
      </c>
      <c r="G2044" s="32" t="s">
        <v>35</v>
      </c>
      <c r="H2044" s="23" t="s">
        <v>35</v>
      </c>
      <c r="I2044" s="24" t="s">
        <v>36</v>
      </c>
      <c r="J2044" s="25" t="s">
        <v>92</v>
      </c>
      <c r="K2044" s="26" t="s">
        <v>38</v>
      </c>
      <c r="L2044" s="25">
        <v>11270.0</v>
      </c>
      <c r="M2044" s="27" t="s">
        <v>50</v>
      </c>
      <c r="N2044" s="26" t="s">
        <v>8078</v>
      </c>
      <c r="O2044" s="28">
        <v>45510.45883216435</v>
      </c>
      <c r="P2044" s="26" t="s">
        <v>8083</v>
      </c>
      <c r="Q2044" s="11" t="s">
        <v>67</v>
      </c>
      <c r="R2044" s="11"/>
      <c r="S2044" s="11" t="s">
        <v>50</v>
      </c>
      <c r="T2044" s="29">
        <v>45504.41951784722</v>
      </c>
      <c r="U2044" s="29">
        <v>45504.68533564815</v>
      </c>
      <c r="V2044" s="29">
        <v>45509.432816712964</v>
      </c>
      <c r="W2044" s="30"/>
      <c r="X2044" s="30"/>
      <c r="Y2044" s="31"/>
      <c r="Z2044" s="31"/>
      <c r="AA2044" s="31" t="s">
        <v>120</v>
      </c>
      <c r="AB2044" s="31" t="s">
        <v>8084</v>
      </c>
      <c r="AC2044" s="31"/>
    </row>
    <row r="2045" ht="18.75" customHeight="1">
      <c r="A2045" s="48" t="s">
        <v>8085</v>
      </c>
      <c r="B2045" s="53" t="s">
        <v>3674</v>
      </c>
      <c r="C2045" s="47">
        <v>1.0</v>
      </c>
      <c r="D2045" s="70" t="s">
        <v>8086</v>
      </c>
      <c r="E2045" s="55" t="s">
        <v>3395</v>
      </c>
      <c r="F2045" s="32" t="s">
        <v>48</v>
      </c>
      <c r="G2045" s="32" t="s">
        <v>35</v>
      </c>
      <c r="H2045" s="71" t="s">
        <v>35</v>
      </c>
      <c r="I2045" s="71" t="s">
        <v>36</v>
      </c>
      <c r="J2045" s="34" t="s">
        <v>65</v>
      </c>
      <c r="K2045" s="57" t="s">
        <v>38</v>
      </c>
      <c r="L2045" s="72">
        <v>11279.0</v>
      </c>
      <c r="M2045" s="22"/>
      <c r="N2045" s="73"/>
      <c r="O2045" s="28">
        <v>45510.66048611111</v>
      </c>
      <c r="P2045" s="35" t="s">
        <v>8087</v>
      </c>
      <c r="Q2045" s="14" t="s">
        <v>67</v>
      </c>
      <c r="R2045" s="14" t="s">
        <v>67</v>
      </c>
      <c r="S2045" s="12"/>
      <c r="T2045" s="52">
        <v>45510.66048611111</v>
      </c>
      <c r="U2045" s="52">
        <v>45510.66048611111</v>
      </c>
      <c r="V2045" s="52">
        <v>45510.66048611111</v>
      </c>
      <c r="W2045" s="30"/>
      <c r="X2045" s="30"/>
      <c r="Y2045" s="31"/>
      <c r="Z2045" s="31"/>
      <c r="AA2045" s="78" t="s">
        <v>94</v>
      </c>
      <c r="AB2045" s="74" t="s">
        <v>8088</v>
      </c>
      <c r="AC2045" s="74"/>
    </row>
    <row r="2046" ht="18.75" customHeight="1">
      <c r="A2046" s="18" t="s">
        <v>8089</v>
      </c>
      <c r="B2046" s="19" t="s">
        <v>3674</v>
      </c>
      <c r="C2046" s="20">
        <v>0.0</v>
      </c>
      <c r="D2046" s="21" t="s">
        <v>8090</v>
      </c>
      <c r="E2046" s="27" t="s">
        <v>3441</v>
      </c>
      <c r="F2046" s="18" t="s">
        <v>48</v>
      </c>
      <c r="G2046" s="32" t="s">
        <v>35</v>
      </c>
      <c r="H2046" s="23" t="s">
        <v>35</v>
      </c>
      <c r="I2046" s="24" t="s">
        <v>36</v>
      </c>
      <c r="J2046" s="34" t="s">
        <v>65</v>
      </c>
      <c r="K2046" s="26" t="s">
        <v>38</v>
      </c>
      <c r="L2046" s="25">
        <v>11386.0</v>
      </c>
      <c r="M2046" s="27" t="s">
        <v>50</v>
      </c>
      <c r="N2046" s="26" t="s">
        <v>5897</v>
      </c>
      <c r="O2046" s="28">
        <v>45548.691762256945</v>
      </c>
      <c r="P2046" s="26" t="s">
        <v>8091</v>
      </c>
      <c r="Q2046" s="11" t="s">
        <v>67</v>
      </c>
      <c r="R2046" s="11" t="s">
        <v>67</v>
      </c>
      <c r="S2046" s="11" t="s">
        <v>50</v>
      </c>
      <c r="T2046" s="29">
        <v>45504.39740408565</v>
      </c>
      <c r="U2046" s="29">
        <v>45548.691015289354</v>
      </c>
      <c r="V2046" s="29">
        <v>45531.45866123843</v>
      </c>
      <c r="W2046" s="30"/>
      <c r="X2046" s="30"/>
      <c r="Y2046" s="31"/>
      <c r="Z2046" s="31"/>
      <c r="AA2046" s="31" t="s">
        <v>94</v>
      </c>
      <c r="AB2046" s="31" t="s">
        <v>8092</v>
      </c>
      <c r="AC2046" s="31"/>
    </row>
    <row r="2047" ht="18.75" customHeight="1">
      <c r="A2047" s="18" t="s">
        <v>8093</v>
      </c>
      <c r="B2047" s="19" t="s">
        <v>3674</v>
      </c>
      <c r="C2047" s="20">
        <v>0.0</v>
      </c>
      <c r="D2047" s="21" t="s">
        <v>8094</v>
      </c>
      <c r="E2047" s="27" t="s">
        <v>3441</v>
      </c>
      <c r="F2047" s="18" t="s">
        <v>48</v>
      </c>
      <c r="G2047" s="32" t="s">
        <v>35</v>
      </c>
      <c r="H2047" s="23" t="s">
        <v>35</v>
      </c>
      <c r="I2047" s="24" t="s">
        <v>36</v>
      </c>
      <c r="J2047" s="34" t="s">
        <v>65</v>
      </c>
      <c r="K2047" s="26" t="s">
        <v>38</v>
      </c>
      <c r="L2047" s="25">
        <v>11386.0</v>
      </c>
      <c r="M2047" s="27" t="s">
        <v>50</v>
      </c>
      <c r="N2047" s="26" t="s">
        <v>5897</v>
      </c>
      <c r="O2047" s="28">
        <v>45548.69154226852</v>
      </c>
      <c r="P2047" s="26" t="s">
        <v>8091</v>
      </c>
      <c r="Q2047" s="11" t="s">
        <v>67</v>
      </c>
      <c r="R2047" s="11" t="s">
        <v>67</v>
      </c>
      <c r="S2047" s="11" t="s">
        <v>50</v>
      </c>
      <c r="T2047" s="29">
        <v>45504.39744758102</v>
      </c>
      <c r="U2047" s="29">
        <v>45548.691015289354</v>
      </c>
      <c r="V2047" s="29">
        <v>45531.45866993055</v>
      </c>
      <c r="W2047" s="30"/>
      <c r="X2047" s="30"/>
      <c r="Y2047" s="31"/>
      <c r="Z2047" s="31"/>
      <c r="AA2047" s="31" t="s">
        <v>94</v>
      </c>
      <c r="AB2047" s="31" t="s">
        <v>8095</v>
      </c>
      <c r="AC2047" s="31"/>
    </row>
    <row r="2048" ht="18.75" customHeight="1">
      <c r="A2048" s="18" t="s">
        <v>8096</v>
      </c>
      <c r="B2048" s="19" t="s">
        <v>3674</v>
      </c>
      <c r="C2048" s="20">
        <v>0.0</v>
      </c>
      <c r="D2048" s="21" t="s">
        <v>8097</v>
      </c>
      <c r="E2048" s="27" t="s">
        <v>3441</v>
      </c>
      <c r="F2048" s="18" t="s">
        <v>48</v>
      </c>
      <c r="G2048" s="32" t="s">
        <v>35</v>
      </c>
      <c r="H2048" s="23" t="s">
        <v>35</v>
      </c>
      <c r="I2048" s="24" t="s">
        <v>36</v>
      </c>
      <c r="J2048" s="34" t="s">
        <v>65</v>
      </c>
      <c r="K2048" s="26" t="s">
        <v>38</v>
      </c>
      <c r="L2048" s="25">
        <v>11386.0</v>
      </c>
      <c r="M2048" s="27" t="s">
        <v>50</v>
      </c>
      <c r="N2048" s="26" t="s">
        <v>5897</v>
      </c>
      <c r="O2048" s="28">
        <v>45548.69148594908</v>
      </c>
      <c r="P2048" s="26" t="s">
        <v>8091</v>
      </c>
      <c r="Q2048" s="11" t="s">
        <v>67</v>
      </c>
      <c r="R2048" s="11" t="s">
        <v>67</v>
      </c>
      <c r="S2048" s="11" t="s">
        <v>50</v>
      </c>
      <c r="T2048" s="29">
        <v>45504.3974950463</v>
      </c>
      <c r="U2048" s="29">
        <v>45548.691015289354</v>
      </c>
      <c r="V2048" s="29">
        <v>45531.458679247684</v>
      </c>
      <c r="W2048" s="30"/>
      <c r="X2048" s="30"/>
      <c r="Y2048" s="31"/>
      <c r="Z2048" s="31"/>
      <c r="AA2048" s="31" t="s">
        <v>94</v>
      </c>
      <c r="AB2048" s="31" t="s">
        <v>8098</v>
      </c>
      <c r="AC2048" s="31"/>
    </row>
    <row r="2049" ht="18.75" customHeight="1">
      <c r="A2049" s="18" t="s">
        <v>8099</v>
      </c>
      <c r="B2049" s="19" t="s">
        <v>3674</v>
      </c>
      <c r="C2049" s="20">
        <v>0.0</v>
      </c>
      <c r="D2049" s="21" t="s">
        <v>8100</v>
      </c>
      <c r="E2049" s="27" t="s">
        <v>3441</v>
      </c>
      <c r="F2049" s="18" t="s">
        <v>48</v>
      </c>
      <c r="G2049" s="32" t="s">
        <v>35</v>
      </c>
      <c r="H2049" s="23" t="s">
        <v>35</v>
      </c>
      <c r="I2049" s="24" t="s">
        <v>36</v>
      </c>
      <c r="J2049" s="34" t="s">
        <v>65</v>
      </c>
      <c r="K2049" s="26" t="s">
        <v>38</v>
      </c>
      <c r="L2049" s="25">
        <v>11386.0</v>
      </c>
      <c r="M2049" s="27" t="s">
        <v>50</v>
      </c>
      <c r="N2049" s="26" t="s">
        <v>5897</v>
      </c>
      <c r="O2049" s="28">
        <v>45548.691060937505</v>
      </c>
      <c r="P2049" s="26" t="s">
        <v>8091</v>
      </c>
      <c r="Q2049" s="11" t="s">
        <v>67</v>
      </c>
      <c r="R2049" s="11" t="s">
        <v>67</v>
      </c>
      <c r="S2049" s="11" t="s">
        <v>50</v>
      </c>
      <c r="T2049" s="29">
        <v>45504.397891203706</v>
      </c>
      <c r="U2049" s="29">
        <v>45548.691015289354</v>
      </c>
      <c r="V2049" s="29">
        <v>45531.4586871875</v>
      </c>
      <c r="W2049" s="30"/>
      <c r="X2049" s="30"/>
      <c r="Y2049" s="31"/>
      <c r="Z2049" s="31"/>
      <c r="AA2049" s="31" t="s">
        <v>94</v>
      </c>
      <c r="AB2049" s="31" t="s">
        <v>8101</v>
      </c>
      <c r="AC2049" s="31"/>
    </row>
    <row r="2050" ht="18.75" customHeight="1">
      <c r="A2050" s="18" t="s">
        <v>8102</v>
      </c>
      <c r="B2050" s="19" t="s">
        <v>3674</v>
      </c>
      <c r="C2050" s="20">
        <v>0.0</v>
      </c>
      <c r="D2050" s="21" t="s">
        <v>8103</v>
      </c>
      <c r="E2050" s="27" t="s">
        <v>3441</v>
      </c>
      <c r="F2050" s="18" t="s">
        <v>48</v>
      </c>
      <c r="G2050" s="32" t="s">
        <v>35</v>
      </c>
      <c r="H2050" s="23" t="s">
        <v>35</v>
      </c>
      <c r="I2050" s="37" t="s">
        <v>36</v>
      </c>
      <c r="J2050" s="34" t="s">
        <v>65</v>
      </c>
      <c r="K2050" s="26" t="s">
        <v>38</v>
      </c>
      <c r="L2050" s="25">
        <v>11386.0</v>
      </c>
      <c r="M2050" s="27" t="s">
        <v>50</v>
      </c>
      <c r="N2050" s="26" t="s">
        <v>8104</v>
      </c>
      <c r="O2050" s="28">
        <v>45573.66249371528</v>
      </c>
      <c r="P2050" s="26" t="s">
        <v>8091</v>
      </c>
      <c r="Q2050" s="11" t="s">
        <v>67</v>
      </c>
      <c r="R2050" s="11" t="s">
        <v>67</v>
      </c>
      <c r="S2050" s="11" t="s">
        <v>50</v>
      </c>
      <c r="T2050" s="29">
        <v>45504.397936423615</v>
      </c>
      <c r="U2050" s="29">
        <v>45548.691015289354</v>
      </c>
      <c r="V2050" s="29">
        <v>45573.505363564815</v>
      </c>
      <c r="W2050" s="30"/>
      <c r="X2050" s="30"/>
      <c r="Y2050" s="31"/>
      <c r="Z2050" s="31"/>
      <c r="AA2050" s="31" t="s">
        <v>94</v>
      </c>
      <c r="AB2050" s="31" t="s">
        <v>8105</v>
      </c>
      <c r="AC2050" s="31"/>
    </row>
    <row r="2051" ht="18.75" customHeight="1">
      <c r="A2051" s="18" t="s">
        <v>8106</v>
      </c>
      <c r="B2051" s="19" t="s">
        <v>3674</v>
      </c>
      <c r="C2051" s="20">
        <v>0.0</v>
      </c>
      <c r="D2051" s="21" t="s">
        <v>8107</v>
      </c>
      <c r="E2051" s="27" t="s">
        <v>3441</v>
      </c>
      <c r="F2051" s="18" t="s">
        <v>48</v>
      </c>
      <c r="G2051" s="32" t="s">
        <v>35</v>
      </c>
      <c r="H2051" s="23" t="s">
        <v>35</v>
      </c>
      <c r="I2051" s="24" t="s">
        <v>36</v>
      </c>
      <c r="J2051" s="34" t="s">
        <v>65</v>
      </c>
      <c r="K2051" s="26" t="s">
        <v>38</v>
      </c>
      <c r="L2051" s="25">
        <v>11386.0</v>
      </c>
      <c r="M2051" s="27" t="s">
        <v>50</v>
      </c>
      <c r="N2051" s="26" t="s">
        <v>5897</v>
      </c>
      <c r="O2051" s="28">
        <v>45548.6908712963</v>
      </c>
      <c r="P2051" s="26" t="s">
        <v>8091</v>
      </c>
      <c r="Q2051" s="11" t="s">
        <v>67</v>
      </c>
      <c r="R2051" s="11" t="s">
        <v>67</v>
      </c>
      <c r="S2051" s="11" t="s">
        <v>50</v>
      </c>
      <c r="T2051" s="29">
        <v>45504.39798415509</v>
      </c>
      <c r="U2051" s="29">
        <v>45548.691015289354</v>
      </c>
      <c r="V2051" s="29">
        <v>45531.45870243055</v>
      </c>
      <c r="W2051" s="30"/>
      <c r="X2051" s="30"/>
      <c r="Y2051" s="31"/>
      <c r="Z2051" s="31"/>
      <c r="AA2051" s="31" t="s">
        <v>94</v>
      </c>
      <c r="AB2051" s="31" t="s">
        <v>8108</v>
      </c>
      <c r="AC2051" s="31"/>
    </row>
    <row r="2052" ht="18.75" customHeight="1">
      <c r="A2052" s="18" t="s">
        <v>8109</v>
      </c>
      <c r="B2052" s="19" t="s">
        <v>3674</v>
      </c>
      <c r="C2052" s="20">
        <v>0.0</v>
      </c>
      <c r="D2052" s="21" t="s">
        <v>8110</v>
      </c>
      <c r="E2052" s="27" t="s">
        <v>3441</v>
      </c>
      <c r="F2052" s="18" t="s">
        <v>48</v>
      </c>
      <c r="G2052" s="32" t="s">
        <v>35</v>
      </c>
      <c r="H2052" s="23" t="s">
        <v>35</v>
      </c>
      <c r="I2052" s="24" t="s">
        <v>36</v>
      </c>
      <c r="J2052" s="34" t="s">
        <v>65</v>
      </c>
      <c r="K2052" s="26" t="s">
        <v>38</v>
      </c>
      <c r="L2052" s="25">
        <v>11386.0</v>
      </c>
      <c r="M2052" s="27" t="s">
        <v>50</v>
      </c>
      <c r="N2052" s="26" t="s">
        <v>5897</v>
      </c>
      <c r="O2052" s="28">
        <v>45548.691015289354</v>
      </c>
      <c r="P2052" s="26" t="s">
        <v>8091</v>
      </c>
      <c r="Q2052" s="11" t="s">
        <v>67</v>
      </c>
      <c r="R2052" s="11" t="s">
        <v>67</v>
      </c>
      <c r="S2052" s="11" t="s">
        <v>50</v>
      </c>
      <c r="T2052" s="29">
        <v>45504.398025393515</v>
      </c>
      <c r="U2052" s="29">
        <v>45548.691015289354</v>
      </c>
      <c r="V2052" s="29">
        <v>45531.45871465278</v>
      </c>
      <c r="W2052" s="30"/>
      <c r="X2052" s="30"/>
      <c r="Y2052" s="31"/>
      <c r="Z2052" s="31"/>
      <c r="AA2052" s="31" t="s">
        <v>94</v>
      </c>
      <c r="AB2052" s="31" t="s">
        <v>8111</v>
      </c>
      <c r="AC2052" s="31"/>
    </row>
    <row r="2053" ht="18.75" customHeight="1">
      <c r="A2053" s="18" t="s">
        <v>8112</v>
      </c>
      <c r="B2053" s="19" t="s">
        <v>3674</v>
      </c>
      <c r="C2053" s="20">
        <v>0.0</v>
      </c>
      <c r="D2053" s="21" t="s">
        <v>8113</v>
      </c>
      <c r="E2053" s="27" t="s">
        <v>3441</v>
      </c>
      <c r="F2053" s="18" t="s">
        <v>48</v>
      </c>
      <c r="G2053" s="32" t="s">
        <v>35</v>
      </c>
      <c r="H2053" s="23" t="s">
        <v>35</v>
      </c>
      <c r="I2053" s="24" t="s">
        <v>36</v>
      </c>
      <c r="J2053" s="34" t="s">
        <v>65</v>
      </c>
      <c r="K2053" s="26" t="s">
        <v>38</v>
      </c>
      <c r="L2053" s="25">
        <v>11386.0</v>
      </c>
      <c r="M2053" s="27" t="s">
        <v>50</v>
      </c>
      <c r="N2053" s="26" t="s">
        <v>5897</v>
      </c>
      <c r="O2053" s="28">
        <v>45548.690970254625</v>
      </c>
      <c r="P2053" s="26" t="s">
        <v>8091</v>
      </c>
      <c r="Q2053" s="11" t="s">
        <v>67</v>
      </c>
      <c r="R2053" s="11" t="s">
        <v>67</v>
      </c>
      <c r="S2053" s="11" t="s">
        <v>50</v>
      </c>
      <c r="T2053" s="29">
        <v>45504.39807002315</v>
      </c>
      <c r="U2053" s="29">
        <v>45548.691015289354</v>
      </c>
      <c r="V2053" s="29">
        <v>45531.45872416667</v>
      </c>
      <c r="W2053" s="30"/>
      <c r="X2053" s="30"/>
      <c r="Y2053" s="31"/>
      <c r="Z2053" s="31"/>
      <c r="AA2053" s="31" t="s">
        <v>94</v>
      </c>
      <c r="AB2053" s="31" t="s">
        <v>8114</v>
      </c>
      <c r="AC2053" s="31"/>
    </row>
    <row r="2054" ht="18.75" customHeight="1">
      <c r="A2054" s="18" t="s">
        <v>8115</v>
      </c>
      <c r="B2054" s="19" t="s">
        <v>3674</v>
      </c>
      <c r="C2054" s="20">
        <v>0.0</v>
      </c>
      <c r="D2054" s="21" t="s">
        <v>8116</v>
      </c>
      <c r="E2054" s="27" t="s">
        <v>3441</v>
      </c>
      <c r="F2054" s="18" t="s">
        <v>48</v>
      </c>
      <c r="G2054" s="32" t="s">
        <v>35</v>
      </c>
      <c r="H2054" s="23" t="s">
        <v>35</v>
      </c>
      <c r="I2054" s="24" t="s">
        <v>36</v>
      </c>
      <c r="J2054" s="34" t="s">
        <v>65</v>
      </c>
      <c r="K2054" s="26" t="s">
        <v>38</v>
      </c>
      <c r="L2054" s="25">
        <v>11386.0</v>
      </c>
      <c r="M2054" s="27" t="s">
        <v>50</v>
      </c>
      <c r="N2054" s="26" t="s">
        <v>5897</v>
      </c>
      <c r="O2054" s="28">
        <v>45548.69113628472</v>
      </c>
      <c r="P2054" s="26" t="s">
        <v>8091</v>
      </c>
      <c r="Q2054" s="11" t="s">
        <v>67</v>
      </c>
      <c r="R2054" s="11" t="s">
        <v>67</v>
      </c>
      <c r="S2054" s="11" t="s">
        <v>50</v>
      </c>
      <c r="T2054" s="29">
        <v>45504.39812435185</v>
      </c>
      <c r="U2054" s="29">
        <v>45548.691015289354</v>
      </c>
      <c r="V2054" s="29">
        <v>45531.45873366898</v>
      </c>
      <c r="W2054" s="30"/>
      <c r="X2054" s="30"/>
      <c r="Y2054" s="31"/>
      <c r="Z2054" s="31"/>
      <c r="AA2054" s="31" t="s">
        <v>94</v>
      </c>
      <c r="AB2054" s="31" t="s">
        <v>8117</v>
      </c>
      <c r="AC2054" s="31"/>
    </row>
    <row r="2055" ht="18.75" customHeight="1">
      <c r="A2055" s="18" t="s">
        <v>8118</v>
      </c>
      <c r="B2055" s="19" t="s">
        <v>3674</v>
      </c>
      <c r="C2055" s="20">
        <v>1.0</v>
      </c>
      <c r="D2055" s="21" t="s">
        <v>8119</v>
      </c>
      <c r="E2055" s="27" t="s">
        <v>3395</v>
      </c>
      <c r="F2055" s="18" t="s">
        <v>48</v>
      </c>
      <c r="G2055" s="32" t="s">
        <v>35</v>
      </c>
      <c r="H2055" s="23" t="s">
        <v>35</v>
      </c>
      <c r="I2055" s="24" t="s">
        <v>36</v>
      </c>
      <c r="J2055" s="34" t="s">
        <v>65</v>
      </c>
      <c r="K2055" s="26" t="s">
        <v>38</v>
      </c>
      <c r="L2055" s="25">
        <v>11524.0</v>
      </c>
      <c r="M2055" s="27" t="s">
        <v>50</v>
      </c>
      <c r="N2055" s="26" t="s">
        <v>149</v>
      </c>
      <c r="O2055" s="28">
        <v>45554.61495924769</v>
      </c>
      <c r="P2055" s="26" t="s">
        <v>8091</v>
      </c>
      <c r="Q2055" s="11" t="s">
        <v>67</v>
      </c>
      <c r="R2055" s="11" t="s">
        <v>67</v>
      </c>
      <c r="S2055" s="11" t="s">
        <v>50</v>
      </c>
      <c r="T2055" s="29">
        <v>45504.39920876158</v>
      </c>
      <c r="U2055" s="29">
        <v>45548.691015289354</v>
      </c>
      <c r="V2055" s="29">
        <v>45554.51168902778</v>
      </c>
      <c r="W2055" s="30"/>
      <c r="X2055" s="30"/>
      <c r="Y2055" s="31"/>
      <c r="Z2055" s="31"/>
      <c r="AA2055" s="31" t="s">
        <v>94</v>
      </c>
      <c r="AB2055" s="31" t="s">
        <v>8120</v>
      </c>
      <c r="AC2055" s="31"/>
    </row>
    <row r="2056" ht="18.75" customHeight="1">
      <c r="A2056" s="18" t="s">
        <v>8121</v>
      </c>
      <c r="B2056" s="19" t="s">
        <v>3674</v>
      </c>
      <c r="C2056" s="20">
        <v>137.0</v>
      </c>
      <c r="D2056" s="21" t="s">
        <v>8122</v>
      </c>
      <c r="E2056" s="27" t="s">
        <v>85</v>
      </c>
      <c r="F2056" s="18" t="s">
        <v>48</v>
      </c>
      <c r="G2056" s="32" t="s">
        <v>35</v>
      </c>
      <c r="H2056" s="23" t="s">
        <v>35</v>
      </c>
      <c r="I2056" s="24" t="s">
        <v>36</v>
      </c>
      <c r="J2056" s="34" t="s">
        <v>65</v>
      </c>
      <c r="K2056" s="26" t="s">
        <v>38</v>
      </c>
      <c r="L2056" s="25">
        <v>11324.0</v>
      </c>
      <c r="M2056" s="27" t="s">
        <v>50</v>
      </c>
      <c r="N2056" s="26" t="s">
        <v>4908</v>
      </c>
      <c r="O2056" s="28">
        <v>45519.483978125005</v>
      </c>
      <c r="P2056" s="26" t="s">
        <v>8091</v>
      </c>
      <c r="Q2056" s="11" t="s">
        <v>67</v>
      </c>
      <c r="R2056" s="11" t="s">
        <v>67</v>
      </c>
      <c r="S2056" s="11" t="s">
        <v>50</v>
      </c>
      <c r="T2056" s="29">
        <v>45504.39984215278</v>
      </c>
      <c r="U2056" s="29">
        <v>45548.691015289354</v>
      </c>
      <c r="V2056" s="29">
        <v>45519.35853146991</v>
      </c>
      <c r="W2056" s="30"/>
      <c r="X2056" s="30"/>
      <c r="Y2056" s="31"/>
      <c r="Z2056" s="31"/>
      <c r="AA2056" s="31" t="s">
        <v>94</v>
      </c>
      <c r="AB2056" s="31" t="s">
        <v>8123</v>
      </c>
      <c r="AC2056" s="31"/>
    </row>
    <row r="2057" ht="18.75" customHeight="1">
      <c r="A2057" s="18" t="s">
        <v>8124</v>
      </c>
      <c r="B2057" s="19" t="s">
        <v>3674</v>
      </c>
      <c r="C2057" s="20">
        <v>137.0</v>
      </c>
      <c r="D2057" s="21" t="s">
        <v>8125</v>
      </c>
      <c r="E2057" s="27" t="s">
        <v>85</v>
      </c>
      <c r="F2057" s="18" t="s">
        <v>48</v>
      </c>
      <c r="G2057" s="32" t="s">
        <v>35</v>
      </c>
      <c r="H2057" s="23" t="s">
        <v>35</v>
      </c>
      <c r="I2057" s="24" t="s">
        <v>36</v>
      </c>
      <c r="J2057" s="34" t="s">
        <v>65</v>
      </c>
      <c r="K2057" s="26" t="s">
        <v>38</v>
      </c>
      <c r="L2057" s="25">
        <v>11324.0</v>
      </c>
      <c r="M2057" s="27" t="s">
        <v>50</v>
      </c>
      <c r="N2057" s="26" t="s">
        <v>4908</v>
      </c>
      <c r="O2057" s="28">
        <v>45519.48406001157</v>
      </c>
      <c r="P2057" s="26" t="s">
        <v>8091</v>
      </c>
      <c r="Q2057" s="11" t="s">
        <v>67</v>
      </c>
      <c r="R2057" s="11" t="s">
        <v>67</v>
      </c>
      <c r="S2057" s="11" t="s">
        <v>50</v>
      </c>
      <c r="T2057" s="29">
        <v>45504.40638194444</v>
      </c>
      <c r="U2057" s="29">
        <v>45548.691015289354</v>
      </c>
      <c r="V2057" s="29">
        <v>45519.35853907408</v>
      </c>
      <c r="W2057" s="30"/>
      <c r="X2057" s="30"/>
      <c r="Y2057" s="31"/>
      <c r="Z2057" s="31"/>
      <c r="AA2057" s="31" t="s">
        <v>94</v>
      </c>
      <c r="AB2057" s="31" t="s">
        <v>8126</v>
      </c>
      <c r="AC2057" s="31"/>
    </row>
    <row r="2058" ht="18.75" customHeight="1">
      <c r="A2058" s="18" t="s">
        <v>8127</v>
      </c>
      <c r="B2058" s="19" t="s">
        <v>3674</v>
      </c>
      <c r="C2058" s="20">
        <v>137.0</v>
      </c>
      <c r="D2058" s="21" t="s">
        <v>8128</v>
      </c>
      <c r="E2058" s="27" t="s">
        <v>85</v>
      </c>
      <c r="F2058" s="18" t="s">
        <v>48</v>
      </c>
      <c r="G2058" s="32" t="s">
        <v>35</v>
      </c>
      <c r="H2058" s="23" t="s">
        <v>35</v>
      </c>
      <c r="I2058" s="24" t="s">
        <v>36</v>
      </c>
      <c r="J2058" s="34" t="s">
        <v>65</v>
      </c>
      <c r="K2058" s="26" t="s">
        <v>38</v>
      </c>
      <c r="L2058" s="25">
        <v>11324.0</v>
      </c>
      <c r="M2058" s="27" t="s">
        <v>50</v>
      </c>
      <c r="N2058" s="26" t="s">
        <v>4908</v>
      </c>
      <c r="O2058" s="28">
        <v>45519.48412746528</v>
      </c>
      <c r="P2058" s="26" t="s">
        <v>8091</v>
      </c>
      <c r="Q2058" s="11" t="s">
        <v>67</v>
      </c>
      <c r="R2058" s="11" t="s">
        <v>67</v>
      </c>
      <c r="S2058" s="11" t="s">
        <v>50</v>
      </c>
      <c r="T2058" s="29">
        <v>45504.40650016203</v>
      </c>
      <c r="U2058" s="29">
        <v>45548.691015289354</v>
      </c>
      <c r="V2058" s="29">
        <v>45519.35854480324</v>
      </c>
      <c r="W2058" s="30"/>
      <c r="X2058" s="30"/>
      <c r="Y2058" s="31"/>
      <c r="Z2058" s="31"/>
      <c r="AA2058" s="31" t="s">
        <v>94</v>
      </c>
      <c r="AB2058" s="31" t="s">
        <v>8129</v>
      </c>
      <c r="AC2058" s="31"/>
    </row>
    <row r="2059" ht="18.75" customHeight="1">
      <c r="A2059" s="18" t="s">
        <v>8130</v>
      </c>
      <c r="B2059" s="19" t="s">
        <v>3674</v>
      </c>
      <c r="C2059" s="20">
        <v>137.0</v>
      </c>
      <c r="D2059" s="21" t="s">
        <v>8131</v>
      </c>
      <c r="E2059" s="27" t="s">
        <v>85</v>
      </c>
      <c r="F2059" s="18" t="s">
        <v>48</v>
      </c>
      <c r="G2059" s="32" t="s">
        <v>35</v>
      </c>
      <c r="H2059" s="23" t="s">
        <v>35</v>
      </c>
      <c r="I2059" s="24" t="s">
        <v>36</v>
      </c>
      <c r="J2059" s="34" t="s">
        <v>65</v>
      </c>
      <c r="K2059" s="26" t="s">
        <v>38</v>
      </c>
      <c r="L2059" s="25">
        <v>11324.0</v>
      </c>
      <c r="M2059" s="27" t="s">
        <v>50</v>
      </c>
      <c r="N2059" s="26" t="s">
        <v>4908</v>
      </c>
      <c r="O2059" s="28">
        <v>45519.484209155096</v>
      </c>
      <c r="P2059" s="26" t="s">
        <v>8091</v>
      </c>
      <c r="Q2059" s="11" t="s">
        <v>67</v>
      </c>
      <c r="R2059" s="11" t="s">
        <v>67</v>
      </c>
      <c r="S2059" s="11" t="s">
        <v>50</v>
      </c>
      <c r="T2059" s="29">
        <v>45504.40766280092</v>
      </c>
      <c r="U2059" s="29">
        <v>45548.691015289354</v>
      </c>
      <c r="V2059" s="29">
        <v>45519.35854956019</v>
      </c>
      <c r="W2059" s="30"/>
      <c r="X2059" s="30"/>
      <c r="Y2059" s="31"/>
      <c r="Z2059" s="31"/>
      <c r="AA2059" s="31" t="s">
        <v>94</v>
      </c>
      <c r="AB2059" s="31" t="s">
        <v>8132</v>
      </c>
      <c r="AC2059" s="31"/>
    </row>
    <row r="2060" ht="18.75" customHeight="1">
      <c r="A2060" s="18" t="s">
        <v>8133</v>
      </c>
      <c r="B2060" s="19" t="s">
        <v>3674</v>
      </c>
      <c r="C2060" s="20">
        <v>137.0</v>
      </c>
      <c r="D2060" s="21" t="s">
        <v>8134</v>
      </c>
      <c r="E2060" s="27" t="s">
        <v>85</v>
      </c>
      <c r="F2060" s="18" t="s">
        <v>48</v>
      </c>
      <c r="G2060" s="32" t="s">
        <v>35</v>
      </c>
      <c r="H2060" s="23" t="s">
        <v>35</v>
      </c>
      <c r="I2060" s="24" t="s">
        <v>36</v>
      </c>
      <c r="J2060" s="34" t="s">
        <v>65</v>
      </c>
      <c r="K2060" s="26" t="s">
        <v>38</v>
      </c>
      <c r="L2060" s="25">
        <v>11324.0</v>
      </c>
      <c r="M2060" s="27" t="s">
        <v>50</v>
      </c>
      <c r="N2060" s="26" t="s">
        <v>4908</v>
      </c>
      <c r="O2060" s="28">
        <v>45519.48427783565</v>
      </c>
      <c r="P2060" s="26" t="s">
        <v>8091</v>
      </c>
      <c r="Q2060" s="11" t="s">
        <v>67</v>
      </c>
      <c r="R2060" s="11" t="s">
        <v>67</v>
      </c>
      <c r="S2060" s="11" t="s">
        <v>50</v>
      </c>
      <c r="T2060" s="29">
        <v>45504.40771346065</v>
      </c>
      <c r="U2060" s="29">
        <v>45548.691015289354</v>
      </c>
      <c r="V2060" s="29">
        <v>45519.358553067126</v>
      </c>
      <c r="W2060" s="30"/>
      <c r="X2060" s="30"/>
      <c r="Y2060" s="31"/>
      <c r="Z2060" s="31"/>
      <c r="AA2060" s="31" t="s">
        <v>94</v>
      </c>
      <c r="AB2060" s="31" t="s">
        <v>8135</v>
      </c>
      <c r="AC2060" s="31"/>
    </row>
    <row r="2061" ht="18.75" customHeight="1">
      <c r="A2061" s="18" t="s">
        <v>8136</v>
      </c>
      <c r="B2061" s="19" t="s">
        <v>3674</v>
      </c>
      <c r="C2061" s="20">
        <v>137.0</v>
      </c>
      <c r="D2061" s="21" t="s">
        <v>8137</v>
      </c>
      <c r="E2061" s="27" t="s">
        <v>85</v>
      </c>
      <c r="F2061" s="18" t="s">
        <v>48</v>
      </c>
      <c r="G2061" s="32" t="s">
        <v>35</v>
      </c>
      <c r="H2061" s="23" t="s">
        <v>35</v>
      </c>
      <c r="I2061" s="24" t="s">
        <v>36</v>
      </c>
      <c r="J2061" s="34" t="s">
        <v>65</v>
      </c>
      <c r="K2061" s="26" t="s">
        <v>38</v>
      </c>
      <c r="L2061" s="25">
        <v>11324.0</v>
      </c>
      <c r="M2061" s="27" t="s">
        <v>50</v>
      </c>
      <c r="N2061" s="26" t="s">
        <v>4908</v>
      </c>
      <c r="O2061" s="28">
        <v>45519.484352326384</v>
      </c>
      <c r="P2061" s="26" t="s">
        <v>8091</v>
      </c>
      <c r="Q2061" s="11" t="s">
        <v>67</v>
      </c>
      <c r="R2061" s="11" t="s">
        <v>67</v>
      </c>
      <c r="S2061" s="11" t="s">
        <v>50</v>
      </c>
      <c r="T2061" s="29">
        <v>45504.40776008102</v>
      </c>
      <c r="U2061" s="29">
        <v>45548.691015289354</v>
      </c>
      <c r="V2061" s="29">
        <v>45519.358557604166</v>
      </c>
      <c r="W2061" s="30"/>
      <c r="X2061" s="30"/>
      <c r="Y2061" s="31"/>
      <c r="Z2061" s="31"/>
      <c r="AA2061" s="31" t="s">
        <v>94</v>
      </c>
      <c r="AB2061" s="31" t="s">
        <v>8138</v>
      </c>
      <c r="AC2061" s="31"/>
    </row>
    <row r="2062" ht="18.75" customHeight="1">
      <c r="A2062" s="18" t="s">
        <v>8139</v>
      </c>
      <c r="B2062" s="19" t="s">
        <v>3674</v>
      </c>
      <c r="C2062" s="20">
        <v>137.0</v>
      </c>
      <c r="D2062" s="21" t="s">
        <v>8140</v>
      </c>
      <c r="E2062" s="27" t="s">
        <v>85</v>
      </c>
      <c r="F2062" s="18" t="s">
        <v>48</v>
      </c>
      <c r="G2062" s="32" t="s">
        <v>35</v>
      </c>
      <c r="H2062" s="23" t="s">
        <v>35</v>
      </c>
      <c r="I2062" s="24" t="s">
        <v>36</v>
      </c>
      <c r="J2062" s="34" t="s">
        <v>65</v>
      </c>
      <c r="K2062" s="26" t="s">
        <v>38</v>
      </c>
      <c r="L2062" s="25">
        <v>11324.0</v>
      </c>
      <c r="M2062" s="27" t="s">
        <v>50</v>
      </c>
      <c r="N2062" s="26" t="s">
        <v>4908</v>
      </c>
      <c r="O2062" s="28">
        <v>45519.48441978009</v>
      </c>
      <c r="P2062" s="26" t="s">
        <v>8091</v>
      </c>
      <c r="Q2062" s="11" t="s">
        <v>67</v>
      </c>
      <c r="R2062" s="11" t="s">
        <v>67</v>
      </c>
      <c r="S2062" s="11" t="s">
        <v>50</v>
      </c>
      <c r="T2062" s="29">
        <v>45504.40780261574</v>
      </c>
      <c r="U2062" s="29">
        <v>45548.691015289354</v>
      </c>
      <c r="V2062" s="29">
        <v>45519.35856238426</v>
      </c>
      <c r="W2062" s="30"/>
      <c r="X2062" s="30"/>
      <c r="Y2062" s="31"/>
      <c r="Z2062" s="31"/>
      <c r="AA2062" s="31" t="s">
        <v>94</v>
      </c>
      <c r="AB2062" s="31" t="s">
        <v>8141</v>
      </c>
      <c r="AC2062" s="31"/>
    </row>
    <row r="2063" ht="18.75" customHeight="1">
      <c r="A2063" s="18" t="s">
        <v>8142</v>
      </c>
      <c r="B2063" s="19" t="s">
        <v>3674</v>
      </c>
      <c r="C2063" s="20">
        <v>137.0</v>
      </c>
      <c r="D2063" s="21" t="s">
        <v>8143</v>
      </c>
      <c r="E2063" s="27" t="s">
        <v>85</v>
      </c>
      <c r="F2063" s="18" t="s">
        <v>48</v>
      </c>
      <c r="G2063" s="32" t="s">
        <v>35</v>
      </c>
      <c r="H2063" s="23" t="s">
        <v>35</v>
      </c>
      <c r="I2063" s="24" t="s">
        <v>36</v>
      </c>
      <c r="J2063" s="34" t="s">
        <v>65</v>
      </c>
      <c r="K2063" s="26" t="s">
        <v>38</v>
      </c>
      <c r="L2063" s="25">
        <v>11324.0</v>
      </c>
      <c r="M2063" s="27" t="s">
        <v>50</v>
      </c>
      <c r="N2063" s="26" t="s">
        <v>4908</v>
      </c>
      <c r="O2063" s="28">
        <v>45519.48452083333</v>
      </c>
      <c r="P2063" s="26" t="s">
        <v>8091</v>
      </c>
      <c r="Q2063" s="11" t="s">
        <v>67</v>
      </c>
      <c r="R2063" s="11" t="s">
        <v>67</v>
      </c>
      <c r="S2063" s="11" t="s">
        <v>50</v>
      </c>
      <c r="T2063" s="29">
        <v>45504.40784853009</v>
      </c>
      <c r="U2063" s="29">
        <v>45548.691015289354</v>
      </c>
      <c r="V2063" s="29">
        <v>45519.358565532406</v>
      </c>
      <c r="W2063" s="30"/>
      <c r="X2063" s="30"/>
      <c r="Y2063" s="31"/>
      <c r="Z2063" s="31"/>
      <c r="AA2063" s="31" t="s">
        <v>94</v>
      </c>
      <c r="AB2063" s="31" t="s">
        <v>8144</v>
      </c>
      <c r="AC2063" s="31"/>
    </row>
    <row r="2064" ht="18.75" customHeight="1">
      <c r="A2064" s="18" t="s">
        <v>8145</v>
      </c>
      <c r="B2064" s="19" t="s">
        <v>3674</v>
      </c>
      <c r="C2064" s="20">
        <v>90.0</v>
      </c>
      <c r="D2064" s="21" t="s">
        <v>8146</v>
      </c>
      <c r="E2064" s="27" t="s">
        <v>91</v>
      </c>
      <c r="F2064" s="18" t="s">
        <v>48</v>
      </c>
      <c r="G2064" s="32" t="s">
        <v>35</v>
      </c>
      <c r="H2064" s="23" t="s">
        <v>35</v>
      </c>
      <c r="I2064" s="24" t="s">
        <v>36</v>
      </c>
      <c r="J2064" s="34" t="s">
        <v>65</v>
      </c>
      <c r="K2064" s="26" t="s">
        <v>38</v>
      </c>
      <c r="L2064" s="25">
        <v>11386.0</v>
      </c>
      <c r="M2064" s="27" t="s">
        <v>50</v>
      </c>
      <c r="N2064" s="26" t="s">
        <v>5897</v>
      </c>
      <c r="O2064" s="28">
        <v>45548.69143585648</v>
      </c>
      <c r="P2064" s="26" t="s">
        <v>8091</v>
      </c>
      <c r="Q2064" s="11" t="s">
        <v>67</v>
      </c>
      <c r="R2064" s="11" t="s">
        <v>67</v>
      </c>
      <c r="S2064" s="11" t="s">
        <v>50</v>
      </c>
      <c r="T2064" s="29">
        <v>45504.4103253125</v>
      </c>
      <c r="U2064" s="29">
        <v>45548.691015289354</v>
      </c>
      <c r="V2064" s="29">
        <v>45531.50568596065</v>
      </c>
      <c r="W2064" s="30"/>
      <c r="X2064" s="30"/>
      <c r="Y2064" s="31"/>
      <c r="Z2064" s="31"/>
      <c r="AA2064" s="31" t="s">
        <v>94</v>
      </c>
      <c r="AB2064" s="31" t="s">
        <v>8147</v>
      </c>
      <c r="AC2064" s="31"/>
    </row>
    <row r="2065" ht="18.75" customHeight="1">
      <c r="A2065" s="18" t="s">
        <v>8148</v>
      </c>
      <c r="B2065" s="19" t="s">
        <v>3674</v>
      </c>
      <c r="C2065" s="20">
        <v>90.0</v>
      </c>
      <c r="D2065" s="21" t="s">
        <v>8149</v>
      </c>
      <c r="E2065" s="27" t="s">
        <v>91</v>
      </c>
      <c r="F2065" s="18" t="s">
        <v>48</v>
      </c>
      <c r="G2065" s="32" t="s">
        <v>35</v>
      </c>
      <c r="H2065" s="23" t="s">
        <v>35</v>
      </c>
      <c r="I2065" s="24" t="s">
        <v>36</v>
      </c>
      <c r="J2065" s="34" t="s">
        <v>65</v>
      </c>
      <c r="K2065" s="26" t="s">
        <v>38</v>
      </c>
      <c r="L2065" s="25">
        <v>11386.0</v>
      </c>
      <c r="M2065" s="27" t="s">
        <v>50</v>
      </c>
      <c r="N2065" s="26" t="s">
        <v>5897</v>
      </c>
      <c r="O2065" s="28">
        <v>45548.69092378472</v>
      </c>
      <c r="P2065" s="26" t="s">
        <v>8091</v>
      </c>
      <c r="Q2065" s="11" t="s">
        <v>67</v>
      </c>
      <c r="R2065" s="11" t="s">
        <v>67</v>
      </c>
      <c r="S2065" s="11" t="s">
        <v>50</v>
      </c>
      <c r="T2065" s="29">
        <v>45504.41167216435</v>
      </c>
      <c r="U2065" s="29">
        <v>45548.691015289354</v>
      </c>
      <c r="V2065" s="29">
        <v>45531.50569266204</v>
      </c>
      <c r="W2065" s="30"/>
      <c r="X2065" s="30"/>
      <c r="Y2065" s="31"/>
      <c r="Z2065" s="31"/>
      <c r="AA2065" s="31" t="s">
        <v>94</v>
      </c>
      <c r="AB2065" s="31" t="s">
        <v>8150</v>
      </c>
      <c r="AC2065" s="31"/>
    </row>
    <row r="2066" ht="18.75" customHeight="1">
      <c r="A2066" s="18" t="s">
        <v>8151</v>
      </c>
      <c r="B2066" s="19" t="s">
        <v>3674</v>
      </c>
      <c r="C2066" s="20">
        <v>90.0</v>
      </c>
      <c r="D2066" s="21" t="s">
        <v>8152</v>
      </c>
      <c r="E2066" s="27" t="s">
        <v>91</v>
      </c>
      <c r="F2066" s="18" t="s">
        <v>48</v>
      </c>
      <c r="G2066" s="32" t="s">
        <v>35</v>
      </c>
      <c r="H2066" s="23" t="s">
        <v>35</v>
      </c>
      <c r="I2066" s="24" t="s">
        <v>36</v>
      </c>
      <c r="J2066" s="34" t="s">
        <v>65</v>
      </c>
      <c r="K2066" s="26" t="s">
        <v>38</v>
      </c>
      <c r="L2066" s="25">
        <v>11386.0</v>
      </c>
      <c r="M2066" s="27" t="s">
        <v>50</v>
      </c>
      <c r="N2066" s="26" t="s">
        <v>5897</v>
      </c>
      <c r="O2066" s="28">
        <v>45548.6913703125</v>
      </c>
      <c r="P2066" s="26" t="s">
        <v>8091</v>
      </c>
      <c r="Q2066" s="11" t="s">
        <v>67</v>
      </c>
      <c r="R2066" s="11" t="s">
        <v>67</v>
      </c>
      <c r="S2066" s="11" t="s">
        <v>50</v>
      </c>
      <c r="T2066" s="29">
        <v>45504.41173644676</v>
      </c>
      <c r="U2066" s="29">
        <v>45548.691015289354</v>
      </c>
      <c r="V2066" s="29">
        <v>45531.50569641204</v>
      </c>
      <c r="W2066" s="30"/>
      <c r="X2066" s="30"/>
      <c r="Y2066" s="31"/>
      <c r="Z2066" s="31"/>
      <c r="AA2066" s="31" t="s">
        <v>94</v>
      </c>
      <c r="AB2066" s="31" t="s">
        <v>8153</v>
      </c>
      <c r="AC2066" s="31"/>
    </row>
    <row r="2067" ht="18.75" customHeight="1">
      <c r="A2067" s="18" t="s">
        <v>8154</v>
      </c>
      <c r="B2067" s="19" t="s">
        <v>3674</v>
      </c>
      <c r="C2067" s="20">
        <v>90.0</v>
      </c>
      <c r="D2067" s="21" t="s">
        <v>8155</v>
      </c>
      <c r="E2067" s="27" t="s">
        <v>91</v>
      </c>
      <c r="F2067" s="18" t="s">
        <v>48</v>
      </c>
      <c r="G2067" s="32" t="s">
        <v>35</v>
      </c>
      <c r="H2067" s="23" t="s">
        <v>35</v>
      </c>
      <c r="I2067" s="24" t="s">
        <v>36</v>
      </c>
      <c r="J2067" s="34" t="s">
        <v>65</v>
      </c>
      <c r="K2067" s="26" t="s">
        <v>38</v>
      </c>
      <c r="L2067" s="25">
        <v>11386.0</v>
      </c>
      <c r="M2067" s="27" t="s">
        <v>50</v>
      </c>
      <c r="N2067" s="26" t="s">
        <v>5897</v>
      </c>
      <c r="O2067" s="28">
        <v>45548.69130607639</v>
      </c>
      <c r="P2067" s="26" t="s">
        <v>8091</v>
      </c>
      <c r="Q2067" s="11" t="s">
        <v>67</v>
      </c>
      <c r="R2067" s="11" t="s">
        <v>67</v>
      </c>
      <c r="S2067" s="11" t="s">
        <v>50</v>
      </c>
      <c r="T2067" s="29">
        <v>45504.411445046295</v>
      </c>
      <c r="U2067" s="29">
        <v>45548.691015289354</v>
      </c>
      <c r="V2067" s="29">
        <v>45531.505700752314</v>
      </c>
      <c r="W2067" s="30"/>
      <c r="X2067" s="30"/>
      <c r="Y2067" s="31"/>
      <c r="Z2067" s="31"/>
      <c r="AA2067" s="31" t="s">
        <v>94</v>
      </c>
      <c r="AB2067" s="31" t="s">
        <v>8156</v>
      </c>
      <c r="AC2067" s="31"/>
    </row>
    <row r="2068" ht="18.75" customHeight="1">
      <c r="A2068" s="18" t="s">
        <v>8157</v>
      </c>
      <c r="B2068" s="19" t="s">
        <v>3674</v>
      </c>
      <c r="C2068" s="20">
        <v>11.0</v>
      </c>
      <c r="D2068" s="21" t="s">
        <v>8158</v>
      </c>
      <c r="E2068" s="27" t="s">
        <v>112</v>
      </c>
      <c r="F2068" s="18" t="s">
        <v>48</v>
      </c>
      <c r="G2068" s="32" t="s">
        <v>35</v>
      </c>
      <c r="H2068" s="23" t="s">
        <v>35</v>
      </c>
      <c r="I2068" s="24" t="s">
        <v>36</v>
      </c>
      <c r="J2068" s="34" t="s">
        <v>65</v>
      </c>
      <c r="K2068" s="26" t="s">
        <v>38</v>
      </c>
      <c r="L2068" s="25">
        <v>11324.0</v>
      </c>
      <c r="M2068" s="27" t="s">
        <v>50</v>
      </c>
      <c r="N2068" s="26" t="s">
        <v>4908</v>
      </c>
      <c r="O2068" s="28">
        <v>45519.484592939814</v>
      </c>
      <c r="P2068" s="26" t="s">
        <v>8091</v>
      </c>
      <c r="Q2068" s="11" t="s">
        <v>67</v>
      </c>
      <c r="R2068" s="11" t="s">
        <v>67</v>
      </c>
      <c r="S2068" s="11" t="s">
        <v>50</v>
      </c>
      <c r="T2068" s="29">
        <v>45504.41219523148</v>
      </c>
      <c r="U2068" s="29">
        <v>45548.691015289354</v>
      </c>
      <c r="V2068" s="29">
        <v>45519.36288739584</v>
      </c>
      <c r="W2068" s="30"/>
      <c r="X2068" s="30"/>
      <c r="Y2068" s="31"/>
      <c r="Z2068" s="31"/>
      <c r="AA2068" s="31" t="s">
        <v>94</v>
      </c>
      <c r="AB2068" s="31" t="s">
        <v>8159</v>
      </c>
      <c r="AC2068" s="31"/>
    </row>
    <row r="2069" ht="18.75" customHeight="1">
      <c r="A2069" s="18" t="s">
        <v>8160</v>
      </c>
      <c r="B2069" s="19" t="s">
        <v>3674</v>
      </c>
      <c r="C2069" s="20">
        <v>11.0</v>
      </c>
      <c r="D2069" s="21" t="s">
        <v>8161</v>
      </c>
      <c r="E2069" s="27" t="s">
        <v>112</v>
      </c>
      <c r="F2069" s="18" t="s">
        <v>48</v>
      </c>
      <c r="G2069" s="32" t="s">
        <v>35</v>
      </c>
      <c r="H2069" s="23" t="s">
        <v>35</v>
      </c>
      <c r="I2069" s="24" t="s">
        <v>36</v>
      </c>
      <c r="J2069" s="34" t="s">
        <v>65</v>
      </c>
      <c r="K2069" s="26" t="s">
        <v>38</v>
      </c>
      <c r="L2069" s="25">
        <v>11324.0</v>
      </c>
      <c r="M2069" s="27" t="s">
        <v>50</v>
      </c>
      <c r="N2069" s="26" t="s">
        <v>4908</v>
      </c>
      <c r="O2069" s="28">
        <v>45519.48465787037</v>
      </c>
      <c r="P2069" s="26" t="s">
        <v>8091</v>
      </c>
      <c r="Q2069" s="11" t="s">
        <v>67</v>
      </c>
      <c r="R2069" s="11" t="s">
        <v>67</v>
      </c>
      <c r="S2069" s="11" t="s">
        <v>50</v>
      </c>
      <c r="T2069" s="29">
        <v>45504.412470069445</v>
      </c>
      <c r="U2069" s="29">
        <v>45548.691015289354</v>
      </c>
      <c r="V2069" s="29">
        <v>45519.36290418982</v>
      </c>
      <c r="W2069" s="30"/>
      <c r="X2069" s="30"/>
      <c r="Y2069" s="31"/>
      <c r="Z2069" s="31"/>
      <c r="AA2069" s="31" t="s">
        <v>94</v>
      </c>
      <c r="AB2069" s="31" t="s">
        <v>8162</v>
      </c>
      <c r="AC2069" s="31"/>
    </row>
    <row r="2070" ht="18.75" customHeight="1">
      <c r="A2070" s="18" t="s">
        <v>8163</v>
      </c>
      <c r="B2070" s="19" t="s">
        <v>3674</v>
      </c>
      <c r="C2070" s="20">
        <v>11.0</v>
      </c>
      <c r="D2070" s="21" t="s">
        <v>8164</v>
      </c>
      <c r="E2070" s="27" t="s">
        <v>112</v>
      </c>
      <c r="F2070" s="18" t="s">
        <v>48</v>
      </c>
      <c r="G2070" s="32" t="s">
        <v>35</v>
      </c>
      <c r="H2070" s="23" t="s">
        <v>35</v>
      </c>
      <c r="I2070" s="24" t="s">
        <v>36</v>
      </c>
      <c r="J2070" s="34" t="s">
        <v>65</v>
      </c>
      <c r="K2070" s="26" t="s">
        <v>38</v>
      </c>
      <c r="L2070" s="25">
        <v>11324.0</v>
      </c>
      <c r="M2070" s="27" t="s">
        <v>50</v>
      </c>
      <c r="N2070" s="26" t="s">
        <v>4908</v>
      </c>
      <c r="O2070" s="28">
        <v>45519.48472216435</v>
      </c>
      <c r="P2070" s="26" t="s">
        <v>8091</v>
      </c>
      <c r="Q2070" s="11" t="s">
        <v>67</v>
      </c>
      <c r="R2070" s="11" t="s">
        <v>67</v>
      </c>
      <c r="S2070" s="11" t="s">
        <v>50</v>
      </c>
      <c r="T2070" s="29">
        <v>45504.41262672454</v>
      </c>
      <c r="U2070" s="29">
        <v>45548.691015289354</v>
      </c>
      <c r="V2070" s="29">
        <v>45519.36291304398</v>
      </c>
      <c r="W2070" s="30"/>
      <c r="X2070" s="30"/>
      <c r="Y2070" s="31"/>
      <c r="Z2070" s="31"/>
      <c r="AA2070" s="31" t="s">
        <v>94</v>
      </c>
      <c r="AB2070" s="31" t="s">
        <v>8165</v>
      </c>
      <c r="AC2070" s="31"/>
    </row>
    <row r="2071" ht="18.75" customHeight="1">
      <c r="A2071" s="18" t="s">
        <v>8166</v>
      </c>
      <c r="B2071" s="19" t="s">
        <v>3674</v>
      </c>
      <c r="C2071" s="20">
        <v>11.0</v>
      </c>
      <c r="D2071" s="21" t="s">
        <v>8167</v>
      </c>
      <c r="E2071" s="27" t="s">
        <v>112</v>
      </c>
      <c r="F2071" s="18" t="s">
        <v>48</v>
      </c>
      <c r="G2071" s="32" t="s">
        <v>35</v>
      </c>
      <c r="H2071" s="23" t="s">
        <v>35</v>
      </c>
      <c r="I2071" s="24" t="s">
        <v>36</v>
      </c>
      <c r="J2071" s="34" t="s">
        <v>65</v>
      </c>
      <c r="K2071" s="26" t="s">
        <v>38</v>
      </c>
      <c r="L2071" s="25">
        <v>11324.0</v>
      </c>
      <c r="M2071" s="27" t="s">
        <v>50</v>
      </c>
      <c r="N2071" s="26" t="s">
        <v>4908</v>
      </c>
      <c r="O2071" s="28">
        <v>45519.48478583334</v>
      </c>
      <c r="P2071" s="26" t="s">
        <v>8091</v>
      </c>
      <c r="Q2071" s="11" t="s">
        <v>67</v>
      </c>
      <c r="R2071" s="11" t="s">
        <v>67</v>
      </c>
      <c r="S2071" s="11" t="s">
        <v>50</v>
      </c>
      <c r="T2071" s="29">
        <v>45504.41280185185</v>
      </c>
      <c r="U2071" s="29">
        <v>45548.691015289354</v>
      </c>
      <c r="V2071" s="29">
        <v>45519.3629234375</v>
      </c>
      <c r="W2071" s="30"/>
      <c r="X2071" s="30"/>
      <c r="Y2071" s="31"/>
      <c r="Z2071" s="31"/>
      <c r="AA2071" s="31" t="s">
        <v>94</v>
      </c>
      <c r="AB2071" s="31" t="s">
        <v>8168</v>
      </c>
      <c r="AC2071" s="31"/>
    </row>
    <row r="2072" ht="18.75" customHeight="1">
      <c r="A2072" s="18" t="s">
        <v>8169</v>
      </c>
      <c r="B2072" s="19" t="s">
        <v>3674</v>
      </c>
      <c r="C2072" s="20">
        <v>0.0</v>
      </c>
      <c r="D2072" s="21" t="s">
        <v>8170</v>
      </c>
      <c r="E2072" s="27" t="s">
        <v>3441</v>
      </c>
      <c r="F2072" s="18" t="s">
        <v>48</v>
      </c>
      <c r="G2072" s="32" t="s">
        <v>35</v>
      </c>
      <c r="H2072" s="23" t="s">
        <v>35</v>
      </c>
      <c r="I2072" s="24" t="s">
        <v>36</v>
      </c>
      <c r="J2072" s="34" t="s">
        <v>65</v>
      </c>
      <c r="K2072" s="26" t="s">
        <v>38</v>
      </c>
      <c r="L2072" s="25">
        <v>11272.0</v>
      </c>
      <c r="M2072" s="27" t="s">
        <v>50</v>
      </c>
      <c r="N2072" s="26" t="s">
        <v>3442</v>
      </c>
      <c r="O2072" s="28">
        <v>45509.731574097226</v>
      </c>
      <c r="P2072" s="26" t="s">
        <v>8091</v>
      </c>
      <c r="Q2072" s="11"/>
      <c r="R2072" s="11" t="s">
        <v>73</v>
      </c>
      <c r="S2072" s="11" t="s">
        <v>50</v>
      </c>
      <c r="T2072" s="29">
        <v>45504.39689399306</v>
      </c>
      <c r="U2072" s="29">
        <v>45505.68558751157</v>
      </c>
      <c r="V2072" s="29">
        <v>45509.37802847222</v>
      </c>
      <c r="W2072" s="30"/>
      <c r="X2072" s="30"/>
      <c r="Y2072" s="31"/>
      <c r="Z2072" s="31"/>
      <c r="AA2072" s="31" t="s">
        <v>94</v>
      </c>
      <c r="AB2072" s="31" t="s">
        <v>8171</v>
      </c>
      <c r="AC2072" s="31"/>
    </row>
    <row r="2073" ht="18.75" customHeight="1">
      <c r="A2073" s="142" t="s">
        <v>8172</v>
      </c>
      <c r="B2073" s="19" t="s">
        <v>8173</v>
      </c>
      <c r="C2073" s="20">
        <v>0.0</v>
      </c>
      <c r="D2073" s="21" t="s">
        <v>8174</v>
      </c>
      <c r="E2073" s="27" t="s">
        <v>3441</v>
      </c>
      <c r="F2073" s="18" t="s">
        <v>48</v>
      </c>
      <c r="G2073" s="32" t="s">
        <v>35</v>
      </c>
      <c r="H2073" s="23" t="s">
        <v>35</v>
      </c>
      <c r="I2073" s="24" t="s">
        <v>36</v>
      </c>
      <c r="J2073" s="34" t="s">
        <v>65</v>
      </c>
      <c r="K2073" s="26" t="s">
        <v>38</v>
      </c>
      <c r="L2073" s="25">
        <v>11255.0</v>
      </c>
      <c r="M2073" s="27" t="s">
        <v>50</v>
      </c>
      <c r="N2073" s="26" t="s">
        <v>80</v>
      </c>
      <c r="O2073" s="28">
        <v>45505.58330237269</v>
      </c>
      <c r="P2073" s="26" t="s">
        <v>8175</v>
      </c>
      <c r="Q2073" s="11" t="s">
        <v>67</v>
      </c>
      <c r="R2073" s="11"/>
      <c r="S2073" s="11" t="s">
        <v>50</v>
      </c>
      <c r="T2073" s="29">
        <v>45504.59127336806</v>
      </c>
      <c r="U2073" s="29">
        <v>45505.45032649305</v>
      </c>
      <c r="V2073" s="29">
        <v>45505.45032649305</v>
      </c>
      <c r="W2073" s="30"/>
      <c r="X2073" s="30"/>
      <c r="Y2073" s="31"/>
      <c r="Z2073" s="31"/>
      <c r="AA2073" s="31" t="s">
        <v>120</v>
      </c>
      <c r="AB2073" s="31" t="s">
        <v>8176</v>
      </c>
      <c r="AC2073" s="31"/>
    </row>
    <row r="2074" ht="18.75" customHeight="1">
      <c r="A2074" s="142" t="s">
        <v>8177</v>
      </c>
      <c r="B2074" s="19" t="s">
        <v>8178</v>
      </c>
      <c r="C2074" s="20">
        <v>34.0</v>
      </c>
      <c r="D2074" s="21" t="s">
        <v>8179</v>
      </c>
      <c r="E2074" s="27" t="s">
        <v>47</v>
      </c>
      <c r="F2074" s="18" t="s">
        <v>48</v>
      </c>
      <c r="G2074" s="32" t="s">
        <v>35</v>
      </c>
      <c r="H2074" s="23" t="s">
        <v>35</v>
      </c>
      <c r="I2074" s="24" t="s">
        <v>36</v>
      </c>
      <c r="J2074" s="34" t="s">
        <v>65</v>
      </c>
      <c r="K2074" s="26" t="s">
        <v>38</v>
      </c>
      <c r="L2074" s="25">
        <v>11290.0</v>
      </c>
      <c r="M2074" s="27" t="s">
        <v>50</v>
      </c>
      <c r="N2074" s="26" t="s">
        <v>51</v>
      </c>
      <c r="O2074" s="28">
        <v>45512.680141122684</v>
      </c>
      <c r="P2074" s="26" t="s">
        <v>8180</v>
      </c>
      <c r="Q2074" s="11" t="s">
        <v>67</v>
      </c>
      <c r="R2074" s="11" t="s">
        <v>67</v>
      </c>
      <c r="S2074" s="11"/>
      <c r="T2074" s="29">
        <v>45512.680141122684</v>
      </c>
      <c r="U2074" s="29">
        <v>45512.680141122684</v>
      </c>
      <c r="V2074" s="29">
        <v>45512.680141122684</v>
      </c>
      <c r="W2074" s="30"/>
      <c r="X2074" s="30"/>
      <c r="Y2074" s="31"/>
      <c r="Z2074" s="31"/>
      <c r="AA2074" s="31" t="s">
        <v>94</v>
      </c>
      <c r="AB2074" s="31" t="s">
        <v>8181</v>
      </c>
      <c r="AC2074" s="31"/>
    </row>
    <row r="2075" ht="18.75" customHeight="1">
      <c r="A2075" s="18" t="s">
        <v>8182</v>
      </c>
      <c r="B2075" s="19" t="s">
        <v>4885</v>
      </c>
      <c r="C2075" s="20">
        <v>137.0</v>
      </c>
      <c r="D2075" s="21" t="s">
        <v>8183</v>
      </c>
      <c r="E2075" s="27" t="s">
        <v>85</v>
      </c>
      <c r="F2075" s="18" t="s">
        <v>48</v>
      </c>
      <c r="G2075" s="32" t="s">
        <v>35</v>
      </c>
      <c r="H2075" s="23" t="s">
        <v>35</v>
      </c>
      <c r="I2075" s="37" t="s">
        <v>36</v>
      </c>
      <c r="J2075" s="25" t="s">
        <v>92</v>
      </c>
      <c r="K2075" s="26" t="s">
        <v>38</v>
      </c>
      <c r="L2075" s="25">
        <v>11365.0</v>
      </c>
      <c r="M2075" s="27" t="s">
        <v>50</v>
      </c>
      <c r="N2075" s="26" t="s">
        <v>136</v>
      </c>
      <c r="O2075" s="28">
        <v>45579.64583333333</v>
      </c>
      <c r="P2075" s="26" t="s">
        <v>8184</v>
      </c>
      <c r="Q2075" s="11" t="s">
        <v>67</v>
      </c>
      <c r="R2075" s="11" t="s">
        <v>67</v>
      </c>
      <c r="S2075" s="11" t="s">
        <v>50</v>
      </c>
      <c r="T2075" s="29">
        <v>45504.600543611115</v>
      </c>
      <c r="U2075" s="29">
        <v>45519.55080405093</v>
      </c>
      <c r="V2075" s="29">
        <v>45527.33768974537</v>
      </c>
      <c r="W2075" s="30"/>
      <c r="X2075" s="30"/>
      <c r="Y2075" s="31"/>
      <c r="Z2075" s="31"/>
      <c r="AA2075" s="31" t="s">
        <v>120</v>
      </c>
      <c r="AB2075" s="31" t="s">
        <v>8185</v>
      </c>
      <c r="AC2075" s="31"/>
    </row>
    <row r="2076" ht="18.75" customHeight="1">
      <c r="A2076" s="18" t="s">
        <v>8186</v>
      </c>
      <c r="B2076" s="19" t="s">
        <v>4885</v>
      </c>
      <c r="C2076" s="20">
        <v>137.0</v>
      </c>
      <c r="D2076" s="21" t="s">
        <v>8187</v>
      </c>
      <c r="E2076" s="27" t="s">
        <v>85</v>
      </c>
      <c r="F2076" s="18" t="s">
        <v>48</v>
      </c>
      <c r="G2076" s="32" t="s">
        <v>35</v>
      </c>
      <c r="H2076" s="23" t="s">
        <v>35</v>
      </c>
      <c r="I2076" s="37" t="s">
        <v>36</v>
      </c>
      <c r="J2076" s="25" t="s">
        <v>92</v>
      </c>
      <c r="K2076" s="26" t="s">
        <v>38</v>
      </c>
      <c r="L2076" s="25">
        <v>11365.0</v>
      </c>
      <c r="M2076" s="27" t="s">
        <v>50</v>
      </c>
      <c r="N2076" s="26" t="s">
        <v>136</v>
      </c>
      <c r="O2076" s="28">
        <v>45579.64583333333</v>
      </c>
      <c r="P2076" s="26" t="s">
        <v>8184</v>
      </c>
      <c r="Q2076" s="11" t="s">
        <v>67</v>
      </c>
      <c r="R2076" s="11" t="s">
        <v>67</v>
      </c>
      <c r="S2076" s="11" t="s">
        <v>50</v>
      </c>
      <c r="T2076" s="29">
        <v>45504.601202708334</v>
      </c>
      <c r="U2076" s="29">
        <v>45519.55083587963</v>
      </c>
      <c r="V2076" s="29">
        <v>45527.3377015625</v>
      </c>
      <c r="W2076" s="30"/>
      <c r="X2076" s="30"/>
      <c r="Y2076" s="31"/>
      <c r="Z2076" s="31"/>
      <c r="AA2076" s="31" t="s">
        <v>120</v>
      </c>
      <c r="AB2076" s="31" t="s">
        <v>8188</v>
      </c>
      <c r="AC2076" s="31"/>
    </row>
    <row r="2077" ht="18.75" customHeight="1">
      <c r="A2077" s="18" t="s">
        <v>8189</v>
      </c>
      <c r="B2077" s="19" t="s">
        <v>4885</v>
      </c>
      <c r="C2077" s="20">
        <v>137.0</v>
      </c>
      <c r="D2077" s="21" t="s">
        <v>8190</v>
      </c>
      <c r="E2077" s="27" t="s">
        <v>85</v>
      </c>
      <c r="F2077" s="18" t="s">
        <v>48</v>
      </c>
      <c r="G2077" s="32" t="s">
        <v>35</v>
      </c>
      <c r="H2077" s="23" t="s">
        <v>35</v>
      </c>
      <c r="I2077" s="37" t="s">
        <v>36</v>
      </c>
      <c r="J2077" s="25" t="s">
        <v>92</v>
      </c>
      <c r="K2077" s="26" t="s">
        <v>38</v>
      </c>
      <c r="L2077" s="25">
        <v>11365.0</v>
      </c>
      <c r="M2077" s="27" t="s">
        <v>50</v>
      </c>
      <c r="N2077" s="26" t="s">
        <v>136</v>
      </c>
      <c r="O2077" s="28">
        <v>45579.64513888889</v>
      </c>
      <c r="P2077" s="26" t="s">
        <v>8184</v>
      </c>
      <c r="Q2077" s="11" t="s">
        <v>67</v>
      </c>
      <c r="R2077" s="11" t="s">
        <v>67</v>
      </c>
      <c r="S2077" s="11" t="s">
        <v>50</v>
      </c>
      <c r="T2077" s="29">
        <v>45504.60124844908</v>
      </c>
      <c r="U2077" s="29">
        <v>45519.550862222226</v>
      </c>
      <c r="V2077" s="29">
        <v>45527.33770960648</v>
      </c>
      <c r="W2077" s="30"/>
      <c r="X2077" s="30"/>
      <c r="Y2077" s="31"/>
      <c r="Z2077" s="31"/>
      <c r="AA2077" s="31" t="s">
        <v>120</v>
      </c>
      <c r="AB2077" s="31" t="s">
        <v>8191</v>
      </c>
      <c r="AC2077" s="31"/>
    </row>
    <row r="2078" ht="18.75" customHeight="1">
      <c r="A2078" s="142" t="s">
        <v>8192</v>
      </c>
      <c r="B2078" s="19" t="s">
        <v>4885</v>
      </c>
      <c r="C2078" s="20">
        <v>1.0</v>
      </c>
      <c r="D2078" s="21" t="s">
        <v>8193</v>
      </c>
      <c r="E2078" s="27" t="s">
        <v>3395</v>
      </c>
      <c r="F2078" s="18" t="s">
        <v>48</v>
      </c>
      <c r="G2078" s="32" t="s">
        <v>35</v>
      </c>
      <c r="H2078" s="23" t="s">
        <v>35</v>
      </c>
      <c r="I2078" s="37" t="s">
        <v>36</v>
      </c>
      <c r="J2078" s="25" t="s">
        <v>92</v>
      </c>
      <c r="K2078" s="26" t="s">
        <v>38</v>
      </c>
      <c r="L2078" s="25">
        <v>11678.0</v>
      </c>
      <c r="M2078" s="27" t="s">
        <v>50</v>
      </c>
      <c r="N2078" s="26" t="s">
        <v>136</v>
      </c>
      <c r="O2078" s="28">
        <v>45579.64583333333</v>
      </c>
      <c r="P2078" s="26" t="s">
        <v>8194</v>
      </c>
      <c r="Q2078" s="11" t="s">
        <v>67</v>
      </c>
      <c r="R2078" s="11" t="s">
        <v>67</v>
      </c>
      <c r="S2078" s="11" t="s">
        <v>50</v>
      </c>
      <c r="T2078" s="29">
        <v>45504.60250177083</v>
      </c>
      <c r="U2078" s="29">
        <v>45519.55077400463</v>
      </c>
      <c r="V2078" s="29">
        <v>45574.363608506945</v>
      </c>
      <c r="W2078" s="30"/>
      <c r="X2078" s="30"/>
      <c r="Y2078" s="31"/>
      <c r="Z2078" s="31"/>
      <c r="AA2078" s="31" t="s">
        <v>120</v>
      </c>
      <c r="AB2078" s="31" t="s">
        <v>8195</v>
      </c>
      <c r="AC2078" s="31"/>
    </row>
    <row r="2079" ht="18.75" customHeight="1">
      <c r="A2079" s="142" t="s">
        <v>8196</v>
      </c>
      <c r="B2079" s="19" t="s">
        <v>8197</v>
      </c>
      <c r="C2079" s="20">
        <v>0.0</v>
      </c>
      <c r="D2079" s="21" t="s">
        <v>8198</v>
      </c>
      <c r="E2079" s="27" t="s">
        <v>3441</v>
      </c>
      <c r="F2079" s="18" t="s">
        <v>48</v>
      </c>
      <c r="G2079" s="32" t="s">
        <v>35</v>
      </c>
      <c r="H2079" s="23" t="s">
        <v>35</v>
      </c>
      <c r="I2079" s="24" t="s">
        <v>36</v>
      </c>
      <c r="J2079" s="25" t="s">
        <v>49</v>
      </c>
      <c r="K2079" s="26" t="s">
        <v>38</v>
      </c>
      <c r="L2079" s="25">
        <v>11644.0</v>
      </c>
      <c r="M2079" s="22" t="s">
        <v>50</v>
      </c>
      <c r="N2079" s="35" t="s">
        <v>8199</v>
      </c>
      <c r="O2079" s="28">
        <v>45573.64878472222</v>
      </c>
      <c r="P2079" s="26" t="s">
        <v>8200</v>
      </c>
      <c r="Q2079" s="11" t="s">
        <v>67</v>
      </c>
      <c r="R2079" s="11" t="s">
        <v>67</v>
      </c>
      <c r="S2079" s="11" t="s">
        <v>50</v>
      </c>
      <c r="T2079" s="29">
        <v>45504.60551079861</v>
      </c>
      <c r="U2079" s="29">
        <v>45547.62320300926</v>
      </c>
      <c r="V2079" s="29">
        <v>45573.35711780093</v>
      </c>
      <c r="W2079" s="30"/>
      <c r="X2079" s="30"/>
      <c r="Y2079" s="31"/>
      <c r="Z2079" s="31"/>
      <c r="AA2079" s="31" t="s">
        <v>5290</v>
      </c>
      <c r="AB2079" s="31" t="s">
        <v>8201</v>
      </c>
      <c r="AC2079" s="31"/>
    </row>
    <row r="2080" ht="18.75" customHeight="1">
      <c r="A2080" s="142" t="s">
        <v>8202</v>
      </c>
      <c r="B2080" s="19" t="s">
        <v>8203</v>
      </c>
      <c r="C2080" s="20">
        <v>90.0</v>
      </c>
      <c r="D2080" s="21" t="s">
        <v>8204</v>
      </c>
      <c r="E2080" s="27" t="s">
        <v>91</v>
      </c>
      <c r="F2080" s="18" t="s">
        <v>48</v>
      </c>
      <c r="G2080" s="32" t="s">
        <v>35</v>
      </c>
      <c r="H2080" s="23" t="s">
        <v>35</v>
      </c>
      <c r="I2080" s="24" t="s">
        <v>36</v>
      </c>
      <c r="J2080" s="34" t="s">
        <v>65</v>
      </c>
      <c r="K2080" s="26" t="s">
        <v>38</v>
      </c>
      <c r="L2080" s="25">
        <v>11388.0</v>
      </c>
      <c r="M2080" s="27" t="s">
        <v>50</v>
      </c>
      <c r="N2080" s="26" t="s">
        <v>5897</v>
      </c>
      <c r="O2080" s="28">
        <v>45531.69972552083</v>
      </c>
      <c r="P2080" s="26" t="s">
        <v>8205</v>
      </c>
      <c r="Q2080" s="11" t="s">
        <v>67</v>
      </c>
      <c r="R2080" s="11"/>
      <c r="S2080" s="11" t="s">
        <v>50</v>
      </c>
      <c r="T2080" s="29">
        <v>45504.607020717594</v>
      </c>
      <c r="U2080" s="29">
        <v>45512.386118912036</v>
      </c>
      <c r="V2080" s="29">
        <v>45531.59140859953</v>
      </c>
      <c r="W2080" s="30"/>
      <c r="X2080" s="30"/>
      <c r="Y2080" s="31"/>
      <c r="Z2080" s="31"/>
      <c r="AA2080" s="31" t="s">
        <v>3059</v>
      </c>
      <c r="AB2080" s="31" t="s">
        <v>8206</v>
      </c>
      <c r="AC2080" s="31"/>
    </row>
    <row r="2081" ht="18.75" customHeight="1">
      <c r="A2081" s="142" t="s">
        <v>8207</v>
      </c>
      <c r="B2081" s="19" t="s">
        <v>8208</v>
      </c>
      <c r="C2081" s="20">
        <v>11.0</v>
      </c>
      <c r="D2081" s="21" t="s">
        <v>8209</v>
      </c>
      <c r="E2081" s="27" t="s">
        <v>112</v>
      </c>
      <c r="F2081" s="18" t="s">
        <v>48</v>
      </c>
      <c r="G2081" s="32" t="s">
        <v>35</v>
      </c>
      <c r="H2081" s="23" t="s">
        <v>35</v>
      </c>
      <c r="I2081" s="24" t="s">
        <v>36</v>
      </c>
      <c r="J2081" s="25" t="s">
        <v>49</v>
      </c>
      <c r="K2081" s="26" t="s">
        <v>38</v>
      </c>
      <c r="L2081" s="25">
        <v>11267.0</v>
      </c>
      <c r="M2081" s="27" t="s">
        <v>50</v>
      </c>
      <c r="N2081" s="26" t="s">
        <v>99</v>
      </c>
      <c r="O2081" s="28">
        <v>45509.574479884264</v>
      </c>
      <c r="P2081" s="26" t="s">
        <v>8210</v>
      </c>
      <c r="Q2081" s="11" t="s">
        <v>67</v>
      </c>
      <c r="R2081" s="11" t="s">
        <v>67</v>
      </c>
      <c r="S2081" s="11" t="s">
        <v>50</v>
      </c>
      <c r="T2081" s="29">
        <v>45504.692862048614</v>
      </c>
      <c r="U2081" s="29">
        <v>45505.617163981486</v>
      </c>
      <c r="V2081" s="29">
        <v>45509.37704732639</v>
      </c>
      <c r="W2081" s="30"/>
      <c r="X2081" s="30"/>
      <c r="Y2081" s="31"/>
      <c r="Z2081" s="31"/>
      <c r="AA2081" s="31" t="s">
        <v>127</v>
      </c>
      <c r="AB2081" s="31" t="s">
        <v>8211</v>
      </c>
      <c r="AC2081" s="31"/>
    </row>
    <row r="2082" ht="18.75" customHeight="1">
      <c r="A2082" s="142" t="s">
        <v>8212</v>
      </c>
      <c r="B2082" s="19" t="s">
        <v>8213</v>
      </c>
      <c r="C2082" s="20">
        <v>137.0</v>
      </c>
      <c r="D2082" s="21" t="s">
        <v>8214</v>
      </c>
      <c r="E2082" s="27" t="s">
        <v>85</v>
      </c>
      <c r="F2082" s="18" t="s">
        <v>48</v>
      </c>
      <c r="G2082" s="32" t="s">
        <v>35</v>
      </c>
      <c r="H2082" s="23" t="s">
        <v>35</v>
      </c>
      <c r="I2082" s="24" t="s">
        <v>36</v>
      </c>
      <c r="J2082" s="25" t="s">
        <v>49</v>
      </c>
      <c r="K2082" s="26" t="s">
        <v>238</v>
      </c>
      <c r="L2082" s="25">
        <v>11277.0</v>
      </c>
      <c r="M2082" s="27" t="s">
        <v>50</v>
      </c>
      <c r="N2082" s="26" t="s">
        <v>5936</v>
      </c>
      <c r="O2082" s="28">
        <v>45511.670430729166</v>
      </c>
      <c r="P2082" s="26" t="s">
        <v>8215</v>
      </c>
      <c r="Q2082" s="11" t="s">
        <v>67</v>
      </c>
      <c r="R2082" s="11" t="s">
        <v>67</v>
      </c>
      <c r="S2082" s="11" t="s">
        <v>50</v>
      </c>
      <c r="T2082" s="29">
        <v>45505.430797291665</v>
      </c>
      <c r="U2082" s="29">
        <v>45511.40918295139</v>
      </c>
      <c r="V2082" s="29">
        <v>45511.42617923611</v>
      </c>
      <c r="W2082" s="30"/>
      <c r="X2082" s="30"/>
      <c r="Y2082" s="31"/>
      <c r="Z2082" s="31"/>
      <c r="AA2082" s="31" t="s">
        <v>3808</v>
      </c>
      <c r="AB2082" s="31" t="s">
        <v>8216</v>
      </c>
      <c r="AC2082" s="31"/>
    </row>
    <row r="2083" ht="18.75" customHeight="1">
      <c r="A2083" s="142" t="s">
        <v>8217</v>
      </c>
      <c r="B2083" s="19" t="s">
        <v>8218</v>
      </c>
      <c r="C2083" s="20">
        <v>90.0</v>
      </c>
      <c r="D2083" s="21" t="s">
        <v>8219</v>
      </c>
      <c r="E2083" s="27" t="s">
        <v>91</v>
      </c>
      <c r="F2083" s="18" t="s">
        <v>48</v>
      </c>
      <c r="G2083" s="32" t="s">
        <v>35</v>
      </c>
      <c r="H2083" s="23" t="s">
        <v>35</v>
      </c>
      <c r="I2083" s="24" t="s">
        <v>36</v>
      </c>
      <c r="J2083" s="25" t="s">
        <v>92</v>
      </c>
      <c r="K2083" s="26" t="s">
        <v>38</v>
      </c>
      <c r="L2083" s="25">
        <v>11399.0</v>
      </c>
      <c r="M2083" s="27" t="s">
        <v>50</v>
      </c>
      <c r="N2083" s="26" t="s">
        <v>5465</v>
      </c>
      <c r="O2083" s="28">
        <v>45534.44380671297</v>
      </c>
      <c r="P2083" s="26" t="s">
        <v>8220</v>
      </c>
      <c r="Q2083" s="11" t="s">
        <v>67</v>
      </c>
      <c r="R2083" s="11" t="s">
        <v>67</v>
      </c>
      <c r="S2083" s="11" t="s">
        <v>50</v>
      </c>
      <c r="T2083" s="29">
        <v>45505.44775230324</v>
      </c>
      <c r="U2083" s="29">
        <v>45505.61496486111</v>
      </c>
      <c r="V2083" s="29">
        <v>45531.59130946759</v>
      </c>
      <c r="W2083" s="30"/>
      <c r="X2083" s="30"/>
      <c r="Y2083" s="31"/>
      <c r="Z2083" s="31"/>
      <c r="AA2083" s="31"/>
      <c r="AB2083" s="31" t="s">
        <v>8221</v>
      </c>
      <c r="AC2083" s="31"/>
    </row>
    <row r="2084" ht="18.75" customHeight="1">
      <c r="A2084" s="142" t="s">
        <v>8222</v>
      </c>
      <c r="B2084" s="19" t="s">
        <v>8223</v>
      </c>
      <c r="C2084" s="20">
        <v>0.0</v>
      </c>
      <c r="D2084" s="21" t="s">
        <v>8224</v>
      </c>
      <c r="E2084" s="27" t="s">
        <v>1693</v>
      </c>
      <c r="F2084" s="18" t="s">
        <v>48</v>
      </c>
      <c r="G2084" s="32" t="s">
        <v>35</v>
      </c>
      <c r="H2084" s="23" t="s">
        <v>35</v>
      </c>
      <c r="I2084" s="24" t="s">
        <v>36</v>
      </c>
      <c r="J2084" s="34" t="s">
        <v>65</v>
      </c>
      <c r="K2084" s="26" t="s">
        <v>38</v>
      </c>
      <c r="L2084" s="25">
        <v>11263.0</v>
      </c>
      <c r="M2084" s="27" t="s">
        <v>50</v>
      </c>
      <c r="N2084" s="26" t="s">
        <v>149</v>
      </c>
      <c r="O2084" s="28">
        <v>45506.64516545139</v>
      </c>
      <c r="P2084" s="26" t="s">
        <v>8225</v>
      </c>
      <c r="Q2084" s="11" t="s">
        <v>67</v>
      </c>
      <c r="R2084" s="11" t="s">
        <v>73</v>
      </c>
      <c r="S2084" s="11" t="s">
        <v>50</v>
      </c>
      <c r="T2084" s="29">
        <v>45505.476478819444</v>
      </c>
      <c r="U2084" s="29">
        <v>45505.5892015625</v>
      </c>
      <c r="V2084" s="29">
        <v>45506.50008288195</v>
      </c>
      <c r="W2084" s="30"/>
      <c r="X2084" s="30"/>
      <c r="Y2084" s="31"/>
      <c r="Z2084" s="31"/>
      <c r="AA2084" s="31" t="s">
        <v>120</v>
      </c>
      <c r="AB2084" s="31" t="s">
        <v>8226</v>
      </c>
      <c r="AC2084" s="31"/>
    </row>
    <row r="2085" ht="18.75" customHeight="1">
      <c r="A2085" s="18" t="s">
        <v>8227</v>
      </c>
      <c r="B2085" s="19" t="s">
        <v>8228</v>
      </c>
      <c r="C2085" s="20">
        <v>0.0</v>
      </c>
      <c r="D2085" s="21" t="s">
        <v>8229</v>
      </c>
      <c r="E2085" s="27" t="s">
        <v>8230</v>
      </c>
      <c r="F2085" s="18" t="s">
        <v>33</v>
      </c>
      <c r="G2085" s="32" t="s">
        <v>35</v>
      </c>
      <c r="H2085" s="23" t="s">
        <v>35</v>
      </c>
      <c r="I2085" s="24" t="s">
        <v>36</v>
      </c>
      <c r="J2085" s="25" t="s">
        <v>49</v>
      </c>
      <c r="K2085" s="26" t="s">
        <v>38</v>
      </c>
      <c r="L2085" s="25">
        <v>11320.0</v>
      </c>
      <c r="M2085" s="27" t="s">
        <v>50</v>
      </c>
      <c r="N2085" s="26" t="s">
        <v>99</v>
      </c>
      <c r="O2085" s="28">
        <v>45518.60646431713</v>
      </c>
      <c r="P2085" s="26" t="s">
        <v>8231</v>
      </c>
      <c r="Q2085" s="11" t="s">
        <v>67</v>
      </c>
      <c r="R2085" s="11"/>
      <c r="S2085" s="11"/>
      <c r="T2085" s="29">
        <v>45506.46436128472</v>
      </c>
      <c r="U2085" s="29">
        <v>45512.39114640046</v>
      </c>
      <c r="V2085" s="29">
        <v>45518.0</v>
      </c>
      <c r="W2085" s="30"/>
      <c r="X2085" s="30"/>
      <c r="Y2085" s="31"/>
      <c r="Z2085" s="31"/>
      <c r="AA2085" s="31" t="s">
        <v>127</v>
      </c>
      <c r="AB2085" s="31" t="s">
        <v>8232</v>
      </c>
      <c r="AC2085" s="31"/>
    </row>
    <row r="2086" ht="18.75" customHeight="1">
      <c r="A2086" s="18" t="s">
        <v>8233</v>
      </c>
      <c r="B2086" s="19" t="s">
        <v>8228</v>
      </c>
      <c r="C2086" s="20">
        <v>0.0</v>
      </c>
      <c r="D2086" s="21" t="s">
        <v>8234</v>
      </c>
      <c r="E2086" s="27" t="s">
        <v>8230</v>
      </c>
      <c r="F2086" s="18" t="s">
        <v>33</v>
      </c>
      <c r="G2086" s="32" t="s">
        <v>35</v>
      </c>
      <c r="H2086" s="23" t="s">
        <v>35</v>
      </c>
      <c r="I2086" s="24" t="s">
        <v>36</v>
      </c>
      <c r="J2086" s="25" t="s">
        <v>49</v>
      </c>
      <c r="K2086" s="26" t="s">
        <v>38</v>
      </c>
      <c r="L2086" s="25">
        <v>11320.0</v>
      </c>
      <c r="M2086" s="27" t="s">
        <v>50</v>
      </c>
      <c r="N2086" s="26" t="s">
        <v>99</v>
      </c>
      <c r="O2086" s="28">
        <v>45518.60654658565</v>
      </c>
      <c r="P2086" s="26" t="s">
        <v>8231</v>
      </c>
      <c r="Q2086" s="11" t="s">
        <v>67</v>
      </c>
      <c r="R2086" s="11"/>
      <c r="S2086" s="11"/>
      <c r="T2086" s="29">
        <v>45506.464852627316</v>
      </c>
      <c r="U2086" s="29">
        <v>45512.39115429398</v>
      </c>
      <c r="V2086" s="29">
        <v>45518.0</v>
      </c>
      <c r="W2086" s="30"/>
      <c r="X2086" s="30"/>
      <c r="Y2086" s="31"/>
      <c r="Z2086" s="31"/>
      <c r="AA2086" s="31" t="s">
        <v>127</v>
      </c>
      <c r="AB2086" s="31" t="s">
        <v>8235</v>
      </c>
      <c r="AC2086" s="31"/>
    </row>
    <row r="2087" ht="18.75" customHeight="1">
      <c r="A2087" s="18" t="s">
        <v>8236</v>
      </c>
      <c r="B2087" s="19" t="s">
        <v>8228</v>
      </c>
      <c r="C2087" s="20">
        <v>0.0</v>
      </c>
      <c r="D2087" s="21" t="s">
        <v>8237</v>
      </c>
      <c r="E2087" s="27" t="s">
        <v>8230</v>
      </c>
      <c r="F2087" s="18" t="s">
        <v>33</v>
      </c>
      <c r="G2087" s="32" t="s">
        <v>35</v>
      </c>
      <c r="H2087" s="23" t="s">
        <v>35</v>
      </c>
      <c r="I2087" s="24" t="s">
        <v>36</v>
      </c>
      <c r="J2087" s="25" t="s">
        <v>49</v>
      </c>
      <c r="K2087" s="26" t="s">
        <v>38</v>
      </c>
      <c r="L2087" s="25">
        <v>11320.0</v>
      </c>
      <c r="M2087" s="27" t="s">
        <v>50</v>
      </c>
      <c r="N2087" s="26" t="s">
        <v>99</v>
      </c>
      <c r="O2087" s="28">
        <v>45518.60664226852</v>
      </c>
      <c r="P2087" s="26" t="s">
        <v>8231</v>
      </c>
      <c r="Q2087" s="11" t="s">
        <v>67</v>
      </c>
      <c r="R2087" s="11"/>
      <c r="S2087" s="11"/>
      <c r="T2087" s="29">
        <v>45506.46490820602</v>
      </c>
      <c r="U2087" s="29">
        <v>45512.39108961806</v>
      </c>
      <c r="V2087" s="29">
        <v>45518.0</v>
      </c>
      <c r="W2087" s="30"/>
      <c r="X2087" s="30"/>
      <c r="Y2087" s="31"/>
      <c r="Z2087" s="31"/>
      <c r="AA2087" s="31" t="s">
        <v>127</v>
      </c>
      <c r="AB2087" s="31" t="s">
        <v>8238</v>
      </c>
      <c r="AC2087" s="31"/>
    </row>
    <row r="2088" ht="18.75" customHeight="1">
      <c r="A2088" s="48" t="s">
        <v>8239</v>
      </c>
      <c r="B2088" s="53" t="s">
        <v>4739</v>
      </c>
      <c r="C2088" s="47">
        <v>1.0</v>
      </c>
      <c r="D2088" s="70" t="s">
        <v>8240</v>
      </c>
      <c r="E2088" s="55" t="s">
        <v>3395</v>
      </c>
      <c r="F2088" s="32" t="s">
        <v>48</v>
      </c>
      <c r="G2088" s="32" t="s">
        <v>35</v>
      </c>
      <c r="H2088" s="71" t="s">
        <v>35</v>
      </c>
      <c r="I2088" s="71" t="s">
        <v>36</v>
      </c>
      <c r="J2088" s="34" t="s">
        <v>65</v>
      </c>
      <c r="K2088" s="57" t="s">
        <v>38</v>
      </c>
      <c r="L2088" s="72">
        <v>11264.0</v>
      </c>
      <c r="M2088" s="22"/>
      <c r="N2088" s="73"/>
      <c r="O2088" s="28">
        <v>45509.39560185185</v>
      </c>
      <c r="P2088" s="35" t="s">
        <v>8241</v>
      </c>
      <c r="Q2088" s="14" t="s">
        <v>67</v>
      </c>
      <c r="R2088" s="14" t="s">
        <v>67</v>
      </c>
      <c r="S2088" s="12"/>
      <c r="T2088" s="52">
        <v>45509.39560185185</v>
      </c>
      <c r="U2088" s="52">
        <v>45509.39560185185</v>
      </c>
      <c r="V2088" s="52">
        <v>45509.39560185185</v>
      </c>
      <c r="W2088" s="30"/>
      <c r="X2088" s="30"/>
      <c r="Y2088" s="31"/>
      <c r="Z2088" s="31"/>
      <c r="AA2088" s="78" t="s">
        <v>94</v>
      </c>
      <c r="AB2088" s="74" t="s">
        <v>8242</v>
      </c>
      <c r="AC2088" s="74"/>
    </row>
    <row r="2089" ht="18.75" customHeight="1">
      <c r="A2089" s="18" t="s">
        <v>8243</v>
      </c>
      <c r="B2089" s="19" t="s">
        <v>2877</v>
      </c>
      <c r="C2089" s="20">
        <v>0.0</v>
      </c>
      <c r="D2089" s="21" t="s">
        <v>8244</v>
      </c>
      <c r="E2089" s="27" t="s">
        <v>461</v>
      </c>
      <c r="F2089" s="18" t="s">
        <v>244</v>
      </c>
      <c r="G2089" s="32" t="s">
        <v>35</v>
      </c>
      <c r="H2089" s="23" t="s">
        <v>35</v>
      </c>
      <c r="I2089" s="24" t="s">
        <v>36</v>
      </c>
      <c r="J2089" s="25" t="s">
        <v>49</v>
      </c>
      <c r="K2089" s="26" t="s">
        <v>447</v>
      </c>
      <c r="L2089" s="25">
        <v>11329.0</v>
      </c>
      <c r="M2089" s="27" t="s">
        <v>50</v>
      </c>
      <c r="N2089" s="26" t="s">
        <v>5936</v>
      </c>
      <c r="O2089" s="28">
        <v>45520.55954850695</v>
      </c>
      <c r="P2089" s="26" t="s">
        <v>8245</v>
      </c>
      <c r="Q2089" s="11"/>
      <c r="R2089" s="11" t="s">
        <v>67</v>
      </c>
      <c r="S2089" s="11"/>
      <c r="T2089" s="29">
        <v>45509.38322575232</v>
      </c>
      <c r="U2089" s="29">
        <v>45509.56558658565</v>
      </c>
      <c r="V2089" s="29">
        <v>45518.0</v>
      </c>
      <c r="W2089" s="30"/>
      <c r="X2089" s="30"/>
      <c r="Y2089" s="31"/>
      <c r="Z2089" s="31"/>
      <c r="AA2089" s="31" t="s">
        <v>108</v>
      </c>
      <c r="AB2089" s="31" t="s">
        <v>8246</v>
      </c>
      <c r="AC2089" s="31"/>
    </row>
    <row r="2090" ht="18.75" customHeight="1">
      <c r="A2090" s="18" t="s">
        <v>8247</v>
      </c>
      <c r="B2090" s="19" t="s">
        <v>2877</v>
      </c>
      <c r="C2090" s="20">
        <v>0.0</v>
      </c>
      <c r="D2090" s="21" t="s">
        <v>8248</v>
      </c>
      <c r="E2090" s="27" t="s">
        <v>461</v>
      </c>
      <c r="F2090" s="18" t="s">
        <v>244</v>
      </c>
      <c r="G2090" s="32" t="s">
        <v>35</v>
      </c>
      <c r="H2090" s="23" t="s">
        <v>35</v>
      </c>
      <c r="I2090" s="24" t="s">
        <v>36</v>
      </c>
      <c r="J2090" s="25" t="s">
        <v>49</v>
      </c>
      <c r="K2090" s="26" t="s">
        <v>447</v>
      </c>
      <c r="L2090" s="25">
        <v>11329.0</v>
      </c>
      <c r="M2090" s="27" t="s">
        <v>50</v>
      </c>
      <c r="N2090" s="26" t="s">
        <v>5936</v>
      </c>
      <c r="O2090" s="28">
        <v>45520.55947043981</v>
      </c>
      <c r="P2090" s="26" t="s">
        <v>8245</v>
      </c>
      <c r="Q2090" s="11" t="s">
        <v>67</v>
      </c>
      <c r="R2090" s="11" t="s">
        <v>67</v>
      </c>
      <c r="S2090" s="11"/>
      <c r="T2090" s="29">
        <v>45509.38349516204</v>
      </c>
      <c r="U2090" s="29">
        <v>45509.56551630787</v>
      </c>
      <c r="V2090" s="29">
        <v>45518.0</v>
      </c>
      <c r="W2090" s="30"/>
      <c r="X2090" s="30"/>
      <c r="Y2090" s="31"/>
      <c r="Z2090" s="31"/>
      <c r="AA2090" s="31" t="s">
        <v>108</v>
      </c>
      <c r="AB2090" s="31" t="s">
        <v>8249</v>
      </c>
      <c r="AC2090" s="31"/>
    </row>
    <row r="2091" ht="18.75" customHeight="1">
      <c r="A2091" s="18" t="s">
        <v>8250</v>
      </c>
      <c r="B2091" s="19" t="s">
        <v>2877</v>
      </c>
      <c r="C2091" s="20">
        <v>0.0</v>
      </c>
      <c r="D2091" s="21" t="s">
        <v>8251</v>
      </c>
      <c r="E2091" s="27" t="s">
        <v>461</v>
      </c>
      <c r="F2091" s="18" t="s">
        <v>244</v>
      </c>
      <c r="G2091" s="32" t="s">
        <v>35</v>
      </c>
      <c r="H2091" s="23" t="s">
        <v>35</v>
      </c>
      <c r="I2091" s="24" t="s">
        <v>36</v>
      </c>
      <c r="J2091" s="25" t="s">
        <v>49</v>
      </c>
      <c r="K2091" s="26" t="s">
        <v>447</v>
      </c>
      <c r="L2091" s="25">
        <v>11329.0</v>
      </c>
      <c r="M2091" s="27" t="s">
        <v>50</v>
      </c>
      <c r="N2091" s="26" t="s">
        <v>5936</v>
      </c>
      <c r="O2091" s="28">
        <v>45520.55987657407</v>
      </c>
      <c r="P2091" s="26" t="s">
        <v>8245</v>
      </c>
      <c r="Q2091" s="11" t="s">
        <v>67</v>
      </c>
      <c r="R2091" s="11" t="s">
        <v>67</v>
      </c>
      <c r="S2091" s="11"/>
      <c r="T2091" s="29">
        <v>45509.38357145833</v>
      </c>
      <c r="U2091" s="29">
        <v>45509.5655944676</v>
      </c>
      <c r="V2091" s="29">
        <v>45518.0</v>
      </c>
      <c r="W2091" s="30"/>
      <c r="X2091" s="30"/>
      <c r="Y2091" s="31"/>
      <c r="Z2091" s="31"/>
      <c r="AA2091" s="31" t="s">
        <v>108</v>
      </c>
      <c r="AB2091" s="31" t="s">
        <v>8252</v>
      </c>
      <c r="AC2091" s="31"/>
    </row>
    <row r="2092" ht="18.75" customHeight="1">
      <c r="A2092" s="142" t="s">
        <v>8253</v>
      </c>
      <c r="B2092" s="19" t="s">
        <v>4352</v>
      </c>
      <c r="C2092" s="20">
        <v>0.0</v>
      </c>
      <c r="D2092" s="21" t="s">
        <v>8254</v>
      </c>
      <c r="E2092" s="27" t="s">
        <v>3441</v>
      </c>
      <c r="F2092" s="18" t="s">
        <v>48</v>
      </c>
      <c r="G2092" s="32" t="s">
        <v>35</v>
      </c>
      <c r="H2092" s="23" t="s">
        <v>35</v>
      </c>
      <c r="I2092" s="24" t="s">
        <v>36</v>
      </c>
      <c r="J2092" s="25" t="s">
        <v>49</v>
      </c>
      <c r="K2092" s="26" t="s">
        <v>38</v>
      </c>
      <c r="L2092" s="25">
        <v>11284.0</v>
      </c>
      <c r="M2092" s="27" t="s">
        <v>50</v>
      </c>
      <c r="N2092" s="26" t="s">
        <v>99</v>
      </c>
      <c r="O2092" s="28">
        <v>45530.587364004634</v>
      </c>
      <c r="P2092" s="26" t="s">
        <v>8255</v>
      </c>
      <c r="Q2092" s="11" t="s">
        <v>67</v>
      </c>
      <c r="R2092" s="11"/>
      <c r="S2092" s="11" t="s">
        <v>50</v>
      </c>
      <c r="T2092" s="29">
        <v>45509.38653686343</v>
      </c>
      <c r="U2092" s="29">
        <v>45511.479255162034</v>
      </c>
      <c r="V2092" s="29">
        <v>45530.48640013889</v>
      </c>
      <c r="W2092" s="30"/>
      <c r="X2092" s="30"/>
      <c r="Y2092" s="31"/>
      <c r="Z2092" s="31"/>
      <c r="AA2092" s="31" t="s">
        <v>127</v>
      </c>
      <c r="AB2092" s="31" t="s">
        <v>8256</v>
      </c>
      <c r="AC2092" s="31"/>
    </row>
    <row r="2093" ht="18.75" customHeight="1">
      <c r="A2093" s="142" t="s">
        <v>8257</v>
      </c>
      <c r="B2093" s="19" t="s">
        <v>4352</v>
      </c>
      <c r="C2093" s="20">
        <v>0.0</v>
      </c>
      <c r="D2093" s="21" t="s">
        <v>8258</v>
      </c>
      <c r="E2093" s="27" t="s">
        <v>171</v>
      </c>
      <c r="F2093" s="18" t="s">
        <v>48</v>
      </c>
      <c r="G2093" s="32" t="s">
        <v>35</v>
      </c>
      <c r="H2093" s="23" t="s">
        <v>35</v>
      </c>
      <c r="I2093" s="24" t="s">
        <v>36</v>
      </c>
      <c r="J2093" s="25" t="s">
        <v>49</v>
      </c>
      <c r="K2093" s="26" t="s">
        <v>38</v>
      </c>
      <c r="L2093" s="25">
        <v>11283.0</v>
      </c>
      <c r="M2093" s="27" t="s">
        <v>50</v>
      </c>
      <c r="N2093" s="26" t="s">
        <v>99</v>
      </c>
      <c r="O2093" s="28">
        <v>45512.58008368056</v>
      </c>
      <c r="P2093" s="26" t="s">
        <v>8259</v>
      </c>
      <c r="Q2093" s="11" t="s">
        <v>67</v>
      </c>
      <c r="R2093" s="11" t="s">
        <v>67</v>
      </c>
      <c r="S2093" s="11" t="s">
        <v>50</v>
      </c>
      <c r="T2093" s="29">
        <v>45509.653682523145</v>
      </c>
      <c r="U2093" s="29">
        <v>45511.45662511574</v>
      </c>
      <c r="V2093" s="29">
        <v>45512.45998482639</v>
      </c>
      <c r="W2093" s="30"/>
      <c r="X2093" s="30"/>
      <c r="Y2093" s="31"/>
      <c r="Z2093" s="31"/>
      <c r="AA2093" s="31" t="s">
        <v>127</v>
      </c>
      <c r="AB2093" s="31" t="s">
        <v>8260</v>
      </c>
      <c r="AC2093" s="31"/>
    </row>
    <row r="2094" ht="18.75" customHeight="1">
      <c r="A2094" s="142" t="s">
        <v>8261</v>
      </c>
      <c r="B2094" s="19" t="s">
        <v>8262</v>
      </c>
      <c r="C2094" s="20">
        <v>137.0</v>
      </c>
      <c r="D2094" s="21" t="s">
        <v>8263</v>
      </c>
      <c r="E2094" s="27" t="s">
        <v>85</v>
      </c>
      <c r="F2094" s="18" t="s">
        <v>48</v>
      </c>
      <c r="G2094" s="32" t="s">
        <v>35</v>
      </c>
      <c r="H2094" s="23" t="s">
        <v>35</v>
      </c>
      <c r="I2094" s="24" t="s">
        <v>36</v>
      </c>
      <c r="J2094" s="25" t="s">
        <v>49</v>
      </c>
      <c r="K2094" s="26" t="s">
        <v>38</v>
      </c>
      <c r="L2094" s="25">
        <v>11275.0</v>
      </c>
      <c r="M2094" s="27" t="s">
        <v>50</v>
      </c>
      <c r="N2094" s="26" t="s">
        <v>5936</v>
      </c>
      <c r="O2094" s="28">
        <v>45510.589409548615</v>
      </c>
      <c r="P2094" s="26" t="s">
        <v>8264</v>
      </c>
      <c r="Q2094" s="11" t="s">
        <v>67</v>
      </c>
      <c r="R2094" s="11"/>
      <c r="S2094" s="11" t="s">
        <v>50</v>
      </c>
      <c r="T2094" s="29">
        <v>45509.64269763889</v>
      </c>
      <c r="U2094" s="29">
        <v>45509.69340069444</v>
      </c>
      <c r="V2094" s="29">
        <v>45510.36277674769</v>
      </c>
      <c r="W2094" s="30"/>
      <c r="X2094" s="30"/>
      <c r="Y2094" s="31"/>
      <c r="Z2094" s="31"/>
      <c r="AA2094" s="31" t="s">
        <v>108</v>
      </c>
      <c r="AB2094" s="31" t="s">
        <v>8265</v>
      </c>
      <c r="AC2094" s="31"/>
    </row>
    <row r="2095" ht="18.75" customHeight="1">
      <c r="A2095" s="48" t="s">
        <v>8266</v>
      </c>
      <c r="B2095" s="53" t="s">
        <v>8267</v>
      </c>
      <c r="C2095" s="47">
        <v>137.0</v>
      </c>
      <c r="D2095" s="70" t="s">
        <v>8268</v>
      </c>
      <c r="E2095" s="55" t="s">
        <v>85</v>
      </c>
      <c r="F2095" s="32" t="s">
        <v>48</v>
      </c>
      <c r="G2095" s="32" t="s">
        <v>35</v>
      </c>
      <c r="H2095" s="71" t="s">
        <v>35</v>
      </c>
      <c r="I2095" s="71" t="s">
        <v>36</v>
      </c>
      <c r="J2095" s="34" t="s">
        <v>65</v>
      </c>
      <c r="K2095" s="57" t="s">
        <v>38</v>
      </c>
      <c r="L2095" s="72">
        <v>11273.0</v>
      </c>
      <c r="M2095" s="22"/>
      <c r="N2095" s="73"/>
      <c r="O2095" s="28">
        <v>45510.35787037037</v>
      </c>
      <c r="P2095" s="35" t="s">
        <v>8269</v>
      </c>
      <c r="Q2095" s="14" t="s">
        <v>67</v>
      </c>
      <c r="R2095" s="14" t="s">
        <v>67</v>
      </c>
      <c r="S2095" s="12"/>
      <c r="T2095" s="52">
        <v>45510.35787037037</v>
      </c>
      <c r="U2095" s="52">
        <v>45510.35787037037</v>
      </c>
      <c r="V2095" s="52">
        <v>45510.35787037037</v>
      </c>
      <c r="W2095" s="30"/>
      <c r="X2095" s="30"/>
      <c r="Y2095" s="31"/>
      <c r="Z2095" s="31"/>
      <c r="AA2095" s="78" t="s">
        <v>94</v>
      </c>
      <c r="AB2095" s="74" t="s">
        <v>8270</v>
      </c>
      <c r="AC2095" s="74"/>
    </row>
    <row r="2096" ht="18.75" customHeight="1">
      <c r="A2096" s="18" t="s">
        <v>8271</v>
      </c>
      <c r="B2096" s="19" t="s">
        <v>4352</v>
      </c>
      <c r="C2096" s="20">
        <v>90.0</v>
      </c>
      <c r="D2096" s="21" t="s">
        <v>8272</v>
      </c>
      <c r="E2096" s="27" t="s">
        <v>91</v>
      </c>
      <c r="F2096" s="18" t="s">
        <v>48</v>
      </c>
      <c r="G2096" s="32" t="s">
        <v>35</v>
      </c>
      <c r="H2096" s="23" t="s">
        <v>35</v>
      </c>
      <c r="I2096" s="24" t="s">
        <v>36</v>
      </c>
      <c r="J2096" s="25" t="s">
        <v>49</v>
      </c>
      <c r="K2096" s="26" t="s">
        <v>38</v>
      </c>
      <c r="L2096" s="25">
        <v>11278.0</v>
      </c>
      <c r="M2096" s="27" t="s">
        <v>50</v>
      </c>
      <c r="N2096" s="26" t="s">
        <v>99</v>
      </c>
      <c r="O2096" s="28">
        <v>45530.58767439815</v>
      </c>
      <c r="P2096" s="26" t="s">
        <v>8273</v>
      </c>
      <c r="Q2096" s="11" t="s">
        <v>67</v>
      </c>
      <c r="R2096" s="11" t="s">
        <v>67</v>
      </c>
      <c r="S2096" s="11" t="s">
        <v>50</v>
      </c>
      <c r="T2096" s="29">
        <v>45509.64800208333</v>
      </c>
      <c r="U2096" s="29">
        <v>45510.629208171296</v>
      </c>
      <c r="V2096" s="29">
        <v>45530.489236712965</v>
      </c>
      <c r="W2096" s="30"/>
      <c r="X2096" s="30"/>
      <c r="Y2096" s="31"/>
      <c r="Z2096" s="31"/>
      <c r="AA2096" s="31" t="s">
        <v>127</v>
      </c>
      <c r="AB2096" s="31" t="s">
        <v>8274</v>
      </c>
      <c r="AC2096" s="31"/>
    </row>
    <row r="2097" ht="18.75" customHeight="1">
      <c r="A2097" s="18" t="s">
        <v>8275</v>
      </c>
      <c r="B2097" s="19" t="s">
        <v>4352</v>
      </c>
      <c r="C2097" s="20">
        <v>90.0</v>
      </c>
      <c r="D2097" s="21" t="s">
        <v>8276</v>
      </c>
      <c r="E2097" s="27" t="s">
        <v>91</v>
      </c>
      <c r="F2097" s="18" t="s">
        <v>48</v>
      </c>
      <c r="G2097" s="32" t="s">
        <v>35</v>
      </c>
      <c r="H2097" s="23" t="s">
        <v>35</v>
      </c>
      <c r="I2097" s="24" t="s">
        <v>36</v>
      </c>
      <c r="J2097" s="25" t="s">
        <v>49</v>
      </c>
      <c r="K2097" s="26" t="s">
        <v>38</v>
      </c>
      <c r="L2097" s="25">
        <v>11278.0</v>
      </c>
      <c r="M2097" s="27" t="s">
        <v>50</v>
      </c>
      <c r="N2097" s="26" t="s">
        <v>99</v>
      </c>
      <c r="O2097" s="28">
        <v>45530.58762268518</v>
      </c>
      <c r="P2097" s="26" t="s">
        <v>8273</v>
      </c>
      <c r="Q2097" s="11" t="s">
        <v>67</v>
      </c>
      <c r="R2097" s="11" t="s">
        <v>67</v>
      </c>
      <c r="S2097" s="11" t="s">
        <v>50</v>
      </c>
      <c r="T2097" s="29">
        <v>45509.64826350694</v>
      </c>
      <c r="U2097" s="29">
        <v>45510.62918043981</v>
      </c>
      <c r="V2097" s="29">
        <v>45530.48924625</v>
      </c>
      <c r="W2097" s="30"/>
      <c r="X2097" s="30"/>
      <c r="Y2097" s="31"/>
      <c r="Z2097" s="31"/>
      <c r="AA2097" s="31" t="s">
        <v>127</v>
      </c>
      <c r="AB2097" s="31" t="s">
        <v>8277</v>
      </c>
      <c r="AC2097" s="31"/>
    </row>
    <row r="2098" ht="18.75" customHeight="1">
      <c r="A2098" s="142" t="s">
        <v>8278</v>
      </c>
      <c r="B2098" s="19" t="s">
        <v>8279</v>
      </c>
      <c r="C2098" s="20">
        <v>34.0</v>
      </c>
      <c r="D2098" s="21" t="s">
        <v>8280</v>
      </c>
      <c r="E2098" s="27" t="s">
        <v>47</v>
      </c>
      <c r="F2098" s="18" t="s">
        <v>48</v>
      </c>
      <c r="G2098" s="32" t="s">
        <v>35</v>
      </c>
      <c r="H2098" s="23" t="s">
        <v>35</v>
      </c>
      <c r="I2098" s="24" t="s">
        <v>36</v>
      </c>
      <c r="J2098" s="34" t="s">
        <v>65</v>
      </c>
      <c r="K2098" s="26" t="s">
        <v>38</v>
      </c>
      <c r="L2098" s="25">
        <v>11323.0</v>
      </c>
      <c r="M2098" s="27" t="s">
        <v>50</v>
      </c>
      <c r="N2098" s="26" t="s">
        <v>149</v>
      </c>
      <c r="O2098" s="28">
        <v>45518.60682260417</v>
      </c>
      <c r="P2098" s="26" t="s">
        <v>8281</v>
      </c>
      <c r="Q2098" s="11" t="s">
        <v>67</v>
      </c>
      <c r="R2098" s="11" t="s">
        <v>67</v>
      </c>
      <c r="S2098" s="11" t="s">
        <v>50</v>
      </c>
      <c r="T2098" s="29">
        <v>45509.65693028935</v>
      </c>
      <c r="U2098" s="29">
        <v>45517.44829074074</v>
      </c>
      <c r="V2098" s="29">
        <v>45518.42203216435</v>
      </c>
      <c r="W2098" s="30"/>
      <c r="X2098" s="30"/>
      <c r="Y2098" s="31"/>
      <c r="Z2098" s="31"/>
      <c r="AA2098" s="31" t="s">
        <v>120</v>
      </c>
      <c r="AB2098" s="31" t="s">
        <v>8282</v>
      </c>
      <c r="AC2098" s="31"/>
    </row>
    <row r="2099" ht="18.75" customHeight="1">
      <c r="A2099" s="142" t="s">
        <v>8283</v>
      </c>
      <c r="B2099" s="19" t="s">
        <v>4739</v>
      </c>
      <c r="C2099" s="20">
        <v>0.0</v>
      </c>
      <c r="D2099" s="21" t="s">
        <v>8284</v>
      </c>
      <c r="E2099" s="27" t="s">
        <v>3441</v>
      </c>
      <c r="F2099" s="18" t="s">
        <v>48</v>
      </c>
      <c r="G2099" s="32" t="s">
        <v>35</v>
      </c>
      <c r="H2099" s="23" t="s">
        <v>35</v>
      </c>
      <c r="I2099" s="24" t="s">
        <v>36</v>
      </c>
      <c r="J2099" s="34" t="s">
        <v>65</v>
      </c>
      <c r="K2099" s="26" t="s">
        <v>38</v>
      </c>
      <c r="L2099" s="25">
        <v>11274.0</v>
      </c>
      <c r="M2099" s="27" t="s">
        <v>50</v>
      </c>
      <c r="N2099" s="26" t="s">
        <v>149</v>
      </c>
      <c r="O2099" s="28">
        <v>45510.62915357639</v>
      </c>
      <c r="P2099" s="26" t="s">
        <v>8285</v>
      </c>
      <c r="Q2099" s="11" t="s">
        <v>67</v>
      </c>
      <c r="R2099" s="11"/>
      <c r="S2099" s="11" t="s">
        <v>50</v>
      </c>
      <c r="T2099" s="29">
        <v>45509.656001006944</v>
      </c>
      <c r="U2099" s="29">
        <v>45509.69267232639</v>
      </c>
      <c r="V2099" s="29">
        <v>45510.3627871875</v>
      </c>
      <c r="W2099" s="30"/>
      <c r="X2099" s="30"/>
      <c r="Y2099" s="31"/>
      <c r="Z2099" s="31"/>
      <c r="AA2099" s="31" t="s">
        <v>94</v>
      </c>
      <c r="AB2099" s="31" t="s">
        <v>8286</v>
      </c>
      <c r="AC2099" s="31"/>
    </row>
    <row r="2100" ht="18.75" customHeight="1">
      <c r="A2100" s="18" t="s">
        <v>8287</v>
      </c>
      <c r="B2100" s="19" t="s">
        <v>3266</v>
      </c>
      <c r="C2100" s="20">
        <v>90.0</v>
      </c>
      <c r="D2100" s="21" t="s">
        <v>8288</v>
      </c>
      <c r="E2100" s="27" t="s">
        <v>91</v>
      </c>
      <c r="F2100" s="18" t="s">
        <v>48</v>
      </c>
      <c r="G2100" s="32" t="s">
        <v>35</v>
      </c>
      <c r="H2100" s="23" t="s">
        <v>35</v>
      </c>
      <c r="I2100" s="24" t="s">
        <v>36</v>
      </c>
      <c r="J2100" s="34" t="s">
        <v>65</v>
      </c>
      <c r="K2100" s="26" t="s">
        <v>38</v>
      </c>
      <c r="L2100" s="25">
        <v>11390.0</v>
      </c>
      <c r="M2100" s="27" t="s">
        <v>50</v>
      </c>
      <c r="N2100" s="26" t="s">
        <v>5897</v>
      </c>
      <c r="O2100" s="28">
        <v>45531.700088784724</v>
      </c>
      <c r="P2100" s="26" t="s">
        <v>8289</v>
      </c>
      <c r="Q2100" s="11" t="s">
        <v>67</v>
      </c>
      <c r="R2100" s="11" t="s">
        <v>67</v>
      </c>
      <c r="S2100" s="11" t="s">
        <v>50</v>
      </c>
      <c r="T2100" s="29">
        <v>45511.401851620365</v>
      </c>
      <c r="U2100" s="29">
        <v>45516.38100471065</v>
      </c>
      <c r="V2100" s="29">
        <v>45531.59131537037</v>
      </c>
      <c r="W2100" s="30"/>
      <c r="X2100" s="30"/>
      <c r="Y2100" s="31"/>
      <c r="Z2100" s="31"/>
      <c r="AA2100" s="31" t="s">
        <v>94</v>
      </c>
      <c r="AB2100" s="31" t="s">
        <v>8290</v>
      </c>
      <c r="AC2100" s="31"/>
    </row>
    <row r="2101" ht="18.75" customHeight="1">
      <c r="A2101" s="18" t="s">
        <v>8291</v>
      </c>
      <c r="B2101" s="19" t="s">
        <v>3266</v>
      </c>
      <c r="C2101" s="20">
        <v>90.0</v>
      </c>
      <c r="D2101" s="21" t="s">
        <v>8292</v>
      </c>
      <c r="E2101" s="27" t="s">
        <v>91</v>
      </c>
      <c r="F2101" s="18" t="s">
        <v>48</v>
      </c>
      <c r="G2101" s="32" t="s">
        <v>35</v>
      </c>
      <c r="H2101" s="23" t="s">
        <v>35</v>
      </c>
      <c r="I2101" s="24" t="s">
        <v>36</v>
      </c>
      <c r="J2101" s="34" t="s">
        <v>65</v>
      </c>
      <c r="K2101" s="26" t="s">
        <v>38</v>
      </c>
      <c r="L2101" s="25">
        <v>11390.0</v>
      </c>
      <c r="M2101" s="27" t="s">
        <v>50</v>
      </c>
      <c r="N2101" s="26" t="s">
        <v>5897</v>
      </c>
      <c r="O2101" s="28">
        <v>45531.700151805555</v>
      </c>
      <c r="P2101" s="26" t="s">
        <v>8289</v>
      </c>
      <c r="Q2101" s="11" t="s">
        <v>67</v>
      </c>
      <c r="R2101" s="11" t="s">
        <v>67</v>
      </c>
      <c r="S2101" s="11" t="s">
        <v>50</v>
      </c>
      <c r="T2101" s="29">
        <v>45511.40221732639</v>
      </c>
      <c r="U2101" s="29">
        <v>45516.38102652778</v>
      </c>
      <c r="V2101" s="29">
        <v>45531.59132620371</v>
      </c>
      <c r="W2101" s="30"/>
      <c r="X2101" s="30"/>
      <c r="Y2101" s="31"/>
      <c r="Z2101" s="31"/>
      <c r="AA2101" s="31" t="s">
        <v>94</v>
      </c>
      <c r="AB2101" s="31" t="s">
        <v>8293</v>
      </c>
      <c r="AC2101" s="31"/>
    </row>
    <row r="2102" ht="18.75" customHeight="1">
      <c r="A2102" s="142" t="s">
        <v>8294</v>
      </c>
      <c r="B2102" s="19" t="s">
        <v>725</v>
      </c>
      <c r="C2102" s="20">
        <v>34.0</v>
      </c>
      <c r="D2102" s="21" t="s">
        <v>8295</v>
      </c>
      <c r="E2102" s="27" t="s">
        <v>47</v>
      </c>
      <c r="F2102" s="18" t="s">
        <v>48</v>
      </c>
      <c r="G2102" s="32" t="s">
        <v>35</v>
      </c>
      <c r="H2102" s="23" t="s">
        <v>35</v>
      </c>
      <c r="I2102" s="24" t="s">
        <v>36</v>
      </c>
      <c r="J2102" s="25" t="s">
        <v>49</v>
      </c>
      <c r="K2102" s="26" t="s">
        <v>38</v>
      </c>
      <c r="L2102" s="25">
        <v>11292.0</v>
      </c>
      <c r="M2102" s="27" t="s">
        <v>50</v>
      </c>
      <c r="N2102" s="26" t="s">
        <v>99</v>
      </c>
      <c r="O2102" s="28">
        <v>45513.57032355324</v>
      </c>
      <c r="P2102" s="26" t="s">
        <v>8296</v>
      </c>
      <c r="Q2102" s="11" t="s">
        <v>67</v>
      </c>
      <c r="R2102" s="11" t="s">
        <v>67</v>
      </c>
      <c r="S2102" s="11" t="s">
        <v>50</v>
      </c>
      <c r="T2102" s="29">
        <v>45510.37367851852</v>
      </c>
      <c r="U2102" s="29">
        <v>45512.6654366088</v>
      </c>
      <c r="V2102" s="29">
        <v>45513.35230210648</v>
      </c>
      <c r="W2102" s="30"/>
      <c r="X2102" s="30"/>
      <c r="Y2102" s="31"/>
      <c r="Z2102" s="31"/>
      <c r="AA2102" s="31" t="s">
        <v>102</v>
      </c>
      <c r="AB2102" s="31" t="s">
        <v>8297</v>
      </c>
      <c r="AC2102" s="31"/>
    </row>
    <row r="2103" ht="18.75" customHeight="1">
      <c r="A2103" s="48" t="s">
        <v>8298</v>
      </c>
      <c r="B2103" s="53" t="s">
        <v>8299</v>
      </c>
      <c r="C2103" s="47">
        <v>137.0</v>
      </c>
      <c r="D2103" s="70" t="s">
        <v>8300</v>
      </c>
      <c r="E2103" s="55" t="s">
        <v>85</v>
      </c>
      <c r="F2103" s="32" t="s">
        <v>48</v>
      </c>
      <c r="G2103" s="32" t="s">
        <v>35</v>
      </c>
      <c r="H2103" s="71" t="s">
        <v>35</v>
      </c>
      <c r="I2103" s="71" t="s">
        <v>36</v>
      </c>
      <c r="J2103" s="34" t="s">
        <v>65</v>
      </c>
      <c r="K2103" s="57" t="s">
        <v>38</v>
      </c>
      <c r="L2103" s="72">
        <v>11276.0</v>
      </c>
      <c r="M2103" s="22"/>
      <c r="N2103" s="73"/>
      <c r="O2103" s="28">
        <v>45510.39230324074</v>
      </c>
      <c r="P2103" s="35" t="s">
        <v>8301</v>
      </c>
      <c r="Q2103" s="14" t="s">
        <v>67</v>
      </c>
      <c r="R2103" s="14" t="s">
        <v>67</v>
      </c>
      <c r="S2103" s="12"/>
      <c r="T2103" s="52">
        <v>45510.39230324074</v>
      </c>
      <c r="U2103" s="52">
        <v>45510.39230324074</v>
      </c>
      <c r="V2103" s="52">
        <v>45510.39230324074</v>
      </c>
      <c r="W2103" s="30"/>
      <c r="X2103" s="30"/>
      <c r="Y2103" s="31"/>
      <c r="Z2103" s="31"/>
      <c r="AA2103" s="78" t="s">
        <v>94</v>
      </c>
      <c r="AB2103" s="74" t="s">
        <v>8302</v>
      </c>
      <c r="AC2103" s="74"/>
    </row>
    <row r="2104" ht="18.75" customHeight="1">
      <c r="A2104" s="142" t="s">
        <v>8303</v>
      </c>
      <c r="B2104" s="19" t="s">
        <v>4215</v>
      </c>
      <c r="C2104" s="20">
        <v>0.0</v>
      </c>
      <c r="D2104" s="21" t="s">
        <v>8304</v>
      </c>
      <c r="E2104" s="27" t="s">
        <v>295</v>
      </c>
      <c r="F2104" s="18" t="s">
        <v>33</v>
      </c>
      <c r="G2104" s="18" t="s">
        <v>34</v>
      </c>
      <c r="H2104" s="23" t="s">
        <v>35</v>
      </c>
      <c r="I2104" s="24" t="s">
        <v>36</v>
      </c>
      <c r="J2104" s="25" t="s">
        <v>420</v>
      </c>
      <c r="K2104" s="26" t="s">
        <v>38</v>
      </c>
      <c r="L2104" s="25">
        <v>11328.0</v>
      </c>
      <c r="M2104" s="27" t="s">
        <v>50</v>
      </c>
      <c r="N2104" s="26" t="s">
        <v>4031</v>
      </c>
      <c r="O2104" s="28">
        <v>45520.47114920139</v>
      </c>
      <c r="P2104" s="26" t="s">
        <v>8305</v>
      </c>
      <c r="Q2104" s="11" t="s">
        <v>67</v>
      </c>
      <c r="R2104" s="11"/>
      <c r="S2104" s="11"/>
      <c r="T2104" s="29">
        <v>45511.4067125463</v>
      </c>
      <c r="U2104" s="29">
        <v>45512.386691458334</v>
      </c>
      <c r="V2104" s="29">
        <v>45520.0</v>
      </c>
      <c r="W2104" s="30"/>
      <c r="X2104" s="30"/>
      <c r="Y2104" s="31"/>
      <c r="Z2104" s="31"/>
      <c r="AA2104" s="31" t="s">
        <v>120</v>
      </c>
      <c r="AB2104" s="31" t="s">
        <v>8306</v>
      </c>
      <c r="AC2104" s="31"/>
    </row>
    <row r="2105" ht="18.75" customHeight="1">
      <c r="A2105" s="142" t="s">
        <v>8307</v>
      </c>
      <c r="B2105" s="19" t="s">
        <v>115</v>
      </c>
      <c r="C2105" s="20">
        <v>0.0</v>
      </c>
      <c r="D2105" s="21" t="s">
        <v>8308</v>
      </c>
      <c r="E2105" s="27" t="s">
        <v>3441</v>
      </c>
      <c r="F2105" s="18" t="s">
        <v>48</v>
      </c>
      <c r="G2105" s="32" t="s">
        <v>35</v>
      </c>
      <c r="H2105" s="23" t="s">
        <v>35</v>
      </c>
      <c r="I2105" s="24" t="s">
        <v>36</v>
      </c>
      <c r="J2105" s="25" t="s">
        <v>92</v>
      </c>
      <c r="K2105" s="26" t="s">
        <v>38</v>
      </c>
      <c r="L2105" s="25">
        <v>11282.0</v>
      </c>
      <c r="M2105" s="27" t="s">
        <v>50</v>
      </c>
      <c r="N2105" s="26" t="s">
        <v>118</v>
      </c>
      <c r="O2105" s="28">
        <v>45511.398172395835</v>
      </c>
      <c r="P2105" s="26" t="s">
        <v>8309</v>
      </c>
      <c r="Q2105" s="11" t="s">
        <v>73</v>
      </c>
      <c r="R2105" s="11" t="s">
        <v>73</v>
      </c>
      <c r="S2105" s="11" t="s">
        <v>50</v>
      </c>
      <c r="T2105" s="29">
        <v>45511.38999105324</v>
      </c>
      <c r="U2105" s="29">
        <v>45511.39017003472</v>
      </c>
      <c r="V2105" s="29">
        <v>45511.39291643519</v>
      </c>
      <c r="W2105" s="30"/>
      <c r="X2105" s="30"/>
      <c r="Y2105" s="31"/>
      <c r="Z2105" s="31"/>
      <c r="AA2105" s="31" t="s">
        <v>120</v>
      </c>
      <c r="AB2105" s="31" t="s">
        <v>8310</v>
      </c>
      <c r="AC2105" s="31"/>
    </row>
    <row r="2106" ht="18.75" customHeight="1">
      <c r="A2106" s="142" t="s">
        <v>8311</v>
      </c>
      <c r="B2106" s="19" t="s">
        <v>4313</v>
      </c>
      <c r="C2106" s="20">
        <v>34.0</v>
      </c>
      <c r="D2106" s="21" t="s">
        <v>8312</v>
      </c>
      <c r="E2106" s="27" t="s">
        <v>47</v>
      </c>
      <c r="F2106" s="18" t="s">
        <v>48</v>
      </c>
      <c r="G2106" s="32" t="s">
        <v>35</v>
      </c>
      <c r="H2106" s="23" t="s">
        <v>35</v>
      </c>
      <c r="I2106" s="24" t="s">
        <v>36</v>
      </c>
      <c r="J2106" s="25" t="s">
        <v>92</v>
      </c>
      <c r="K2106" s="26" t="s">
        <v>38</v>
      </c>
      <c r="L2106" s="25">
        <v>11281.0</v>
      </c>
      <c r="M2106" s="27" t="s">
        <v>50</v>
      </c>
      <c r="N2106" s="26" t="s">
        <v>118</v>
      </c>
      <c r="O2106" s="28">
        <v>45511.398081377316</v>
      </c>
      <c r="P2106" s="26" t="s">
        <v>8313</v>
      </c>
      <c r="Q2106" s="11" t="s">
        <v>67</v>
      </c>
      <c r="R2106" s="11"/>
      <c r="S2106" s="11" t="s">
        <v>50</v>
      </c>
      <c r="T2106" s="29">
        <v>45511.37965025463</v>
      </c>
      <c r="U2106" s="29">
        <v>45512.0</v>
      </c>
      <c r="V2106" s="29">
        <v>45511.38369260417</v>
      </c>
      <c r="W2106" s="30"/>
      <c r="X2106" s="30"/>
      <c r="Y2106" s="31"/>
      <c r="Z2106" s="31"/>
      <c r="AA2106" s="31"/>
      <c r="AB2106" s="31" t="s">
        <v>8314</v>
      </c>
      <c r="AC2106" s="31"/>
    </row>
    <row r="2107" ht="18.75" customHeight="1">
      <c r="A2107" s="48" t="s">
        <v>8315</v>
      </c>
      <c r="B2107" s="53" t="s">
        <v>4739</v>
      </c>
      <c r="C2107" s="47">
        <v>137.0</v>
      </c>
      <c r="D2107" s="70" t="s">
        <v>8316</v>
      </c>
      <c r="E2107" s="55" t="s">
        <v>85</v>
      </c>
      <c r="F2107" s="32" t="s">
        <v>48</v>
      </c>
      <c r="G2107" s="32" t="s">
        <v>35</v>
      </c>
      <c r="H2107" s="71" t="s">
        <v>35</v>
      </c>
      <c r="I2107" s="71" t="s">
        <v>36</v>
      </c>
      <c r="J2107" s="34" t="s">
        <v>65</v>
      </c>
      <c r="K2107" s="57" t="s">
        <v>38</v>
      </c>
      <c r="L2107" s="72">
        <v>11315.0</v>
      </c>
      <c r="M2107" s="22"/>
      <c r="N2107" s="73"/>
      <c r="O2107" s="28">
        <v>45517.38480324074</v>
      </c>
      <c r="P2107" s="35" t="s">
        <v>8317</v>
      </c>
      <c r="Q2107" s="14" t="s">
        <v>67</v>
      </c>
      <c r="R2107" s="14" t="s">
        <v>67</v>
      </c>
      <c r="S2107" s="12"/>
      <c r="T2107" s="52">
        <v>45517.38480324074</v>
      </c>
      <c r="U2107" s="52">
        <v>45517.38480324074</v>
      </c>
      <c r="V2107" s="52">
        <v>45517.38480324074</v>
      </c>
      <c r="W2107" s="30"/>
      <c r="X2107" s="30"/>
      <c r="Y2107" s="31"/>
      <c r="Z2107" s="31"/>
      <c r="AA2107" s="31"/>
      <c r="AB2107" s="74" t="s">
        <v>8318</v>
      </c>
      <c r="AC2107" s="74"/>
    </row>
    <row r="2108" ht="18.75" customHeight="1">
      <c r="A2108" s="142" t="s">
        <v>8319</v>
      </c>
      <c r="B2108" s="19" t="s">
        <v>5595</v>
      </c>
      <c r="C2108" s="20">
        <v>90.0</v>
      </c>
      <c r="D2108" s="21" t="s">
        <v>8320</v>
      </c>
      <c r="E2108" s="27" t="s">
        <v>91</v>
      </c>
      <c r="F2108" s="18" t="s">
        <v>48</v>
      </c>
      <c r="G2108" s="32" t="s">
        <v>35</v>
      </c>
      <c r="H2108" s="23" t="s">
        <v>35</v>
      </c>
      <c r="I2108" s="24" t="s">
        <v>36</v>
      </c>
      <c r="J2108" s="34" t="s">
        <v>65</v>
      </c>
      <c r="K2108" s="26" t="s">
        <v>38</v>
      </c>
      <c r="L2108" s="25">
        <v>11391.0</v>
      </c>
      <c r="M2108" s="27" t="s">
        <v>50</v>
      </c>
      <c r="N2108" s="26" t="s">
        <v>5897</v>
      </c>
      <c r="O2108" s="28">
        <v>45531.69997802083</v>
      </c>
      <c r="P2108" s="26" t="s">
        <v>8321</v>
      </c>
      <c r="Q2108" s="11" t="s">
        <v>67</v>
      </c>
      <c r="R2108" s="11" t="s">
        <v>67</v>
      </c>
      <c r="S2108" s="11" t="s">
        <v>50</v>
      </c>
      <c r="T2108" s="29">
        <v>45512.38536046296</v>
      </c>
      <c r="U2108" s="29">
        <v>45516.374080231486</v>
      </c>
      <c r="V2108" s="29">
        <v>45531.59133092593</v>
      </c>
      <c r="W2108" s="30"/>
      <c r="X2108" s="30"/>
      <c r="Y2108" s="31"/>
      <c r="Z2108" s="31"/>
      <c r="AA2108" s="31" t="s">
        <v>3059</v>
      </c>
      <c r="AB2108" s="31" t="s">
        <v>8322</v>
      </c>
      <c r="AC2108" s="31"/>
    </row>
    <row r="2109" ht="18.75" customHeight="1">
      <c r="A2109" s="142" t="s">
        <v>8323</v>
      </c>
      <c r="B2109" s="19" t="s">
        <v>8203</v>
      </c>
      <c r="C2109" s="20">
        <v>90.0</v>
      </c>
      <c r="D2109" s="21" t="s">
        <v>8324</v>
      </c>
      <c r="E2109" s="27" t="s">
        <v>91</v>
      </c>
      <c r="F2109" s="18" t="s">
        <v>48</v>
      </c>
      <c r="G2109" s="32" t="s">
        <v>35</v>
      </c>
      <c r="H2109" s="23" t="s">
        <v>35</v>
      </c>
      <c r="I2109" s="24" t="s">
        <v>36</v>
      </c>
      <c r="J2109" s="34" t="s">
        <v>65</v>
      </c>
      <c r="K2109" s="26" t="s">
        <v>38</v>
      </c>
      <c r="L2109" s="25">
        <v>11392.0</v>
      </c>
      <c r="M2109" s="27" t="s">
        <v>50</v>
      </c>
      <c r="N2109" s="26" t="s">
        <v>5897</v>
      </c>
      <c r="O2109" s="28">
        <v>45531.69986865741</v>
      </c>
      <c r="P2109" s="26" t="s">
        <v>8325</v>
      </c>
      <c r="Q2109" s="11" t="s">
        <v>67</v>
      </c>
      <c r="R2109" s="11" t="s">
        <v>67</v>
      </c>
      <c r="S2109" s="11" t="s">
        <v>50</v>
      </c>
      <c r="T2109" s="29">
        <v>45512.397075127315</v>
      </c>
      <c r="U2109" s="29">
        <v>45516.37384876158</v>
      </c>
      <c r="V2109" s="29">
        <v>45531.59134789352</v>
      </c>
      <c r="W2109" s="30"/>
      <c r="X2109" s="30"/>
      <c r="Y2109" s="31"/>
      <c r="Z2109" s="31"/>
      <c r="AA2109" s="31" t="s">
        <v>3059</v>
      </c>
      <c r="AB2109" s="31" t="s">
        <v>8326</v>
      </c>
      <c r="AC2109" s="31"/>
    </row>
    <row r="2110" ht="18.75" customHeight="1">
      <c r="A2110" s="142" t="s">
        <v>8327</v>
      </c>
      <c r="B2110" s="19" t="s">
        <v>8328</v>
      </c>
      <c r="C2110" s="20">
        <v>0.0</v>
      </c>
      <c r="D2110" s="21"/>
      <c r="E2110" s="27" t="s">
        <v>232</v>
      </c>
      <c r="F2110" s="18" t="s">
        <v>33</v>
      </c>
      <c r="G2110" s="32" t="s">
        <v>35</v>
      </c>
      <c r="H2110" s="23" t="s">
        <v>35</v>
      </c>
      <c r="I2110" s="24" t="s">
        <v>36</v>
      </c>
      <c r="J2110" s="34" t="s">
        <v>65</v>
      </c>
      <c r="K2110" s="26" t="s">
        <v>38</v>
      </c>
      <c r="L2110" s="25">
        <v>11286.0</v>
      </c>
      <c r="M2110" s="27" t="s">
        <v>50</v>
      </c>
      <c r="N2110" s="26" t="s">
        <v>149</v>
      </c>
      <c r="O2110" s="28">
        <v>45512.61730869213</v>
      </c>
      <c r="P2110" s="26" t="s">
        <v>8329</v>
      </c>
      <c r="Q2110" s="11" t="s">
        <v>67</v>
      </c>
      <c r="R2110" s="11"/>
      <c r="S2110" s="11"/>
      <c r="T2110" s="29">
        <v>45511.68921684028</v>
      </c>
      <c r="U2110" s="29">
        <v>45512.0</v>
      </c>
      <c r="V2110" s="29">
        <v>45512.0</v>
      </c>
      <c r="W2110" s="30"/>
      <c r="X2110" s="30"/>
      <c r="Y2110" s="31"/>
      <c r="Z2110" s="31"/>
      <c r="AA2110" s="31" t="s">
        <v>94</v>
      </c>
      <c r="AB2110" s="31" t="s">
        <v>8330</v>
      </c>
      <c r="AC2110" s="31"/>
    </row>
    <row r="2111" ht="18.75" customHeight="1">
      <c r="A2111" s="48" t="s">
        <v>8331</v>
      </c>
      <c r="B2111" s="53" t="s">
        <v>63</v>
      </c>
      <c r="C2111" s="47">
        <v>137.0</v>
      </c>
      <c r="D2111" s="70" t="s">
        <v>8332</v>
      </c>
      <c r="E2111" s="55" t="s">
        <v>85</v>
      </c>
      <c r="F2111" s="32" t="s">
        <v>48</v>
      </c>
      <c r="G2111" s="32" t="s">
        <v>35</v>
      </c>
      <c r="H2111" s="71" t="s">
        <v>35</v>
      </c>
      <c r="I2111" s="71" t="s">
        <v>36</v>
      </c>
      <c r="J2111" s="34" t="s">
        <v>49</v>
      </c>
      <c r="K2111" s="57" t="s">
        <v>38</v>
      </c>
      <c r="L2111" s="72">
        <v>11293.0</v>
      </c>
      <c r="M2111" s="22"/>
      <c r="N2111" s="73"/>
      <c r="O2111" s="28">
        <v>45513.36164351852</v>
      </c>
      <c r="P2111" s="35" t="s">
        <v>8333</v>
      </c>
      <c r="Q2111" s="14" t="s">
        <v>67</v>
      </c>
      <c r="R2111" s="14" t="s">
        <v>67</v>
      </c>
      <c r="S2111" s="12"/>
      <c r="T2111" s="52">
        <v>45513.36164351852</v>
      </c>
      <c r="U2111" s="52">
        <v>45513.36164351852</v>
      </c>
      <c r="V2111" s="52">
        <v>45513.36164351852</v>
      </c>
      <c r="W2111" s="30"/>
      <c r="X2111" s="30"/>
      <c r="Y2111" s="31"/>
      <c r="Z2111" s="31"/>
      <c r="AA2111" s="78" t="s">
        <v>94</v>
      </c>
      <c r="AB2111" s="74" t="s">
        <v>8334</v>
      </c>
      <c r="AC2111" s="74"/>
    </row>
    <row r="2112" ht="18.75" customHeight="1">
      <c r="A2112" s="142" t="s">
        <v>8335</v>
      </c>
      <c r="B2112" s="19" t="s">
        <v>122</v>
      </c>
      <c r="C2112" s="20">
        <v>0.0</v>
      </c>
      <c r="D2112" s="21" t="s">
        <v>8336</v>
      </c>
      <c r="E2112" s="27" t="s">
        <v>3441</v>
      </c>
      <c r="F2112" s="18" t="s">
        <v>48</v>
      </c>
      <c r="G2112" s="32" t="s">
        <v>35</v>
      </c>
      <c r="H2112" s="23" t="s">
        <v>35</v>
      </c>
      <c r="I2112" s="24" t="s">
        <v>36</v>
      </c>
      <c r="J2112" s="25" t="s">
        <v>49</v>
      </c>
      <c r="K2112" s="26" t="s">
        <v>38</v>
      </c>
      <c r="L2112" s="25">
        <v>11379.0</v>
      </c>
      <c r="M2112" s="27" t="s">
        <v>50</v>
      </c>
      <c r="N2112" s="26" t="s">
        <v>99</v>
      </c>
      <c r="O2112" s="28">
        <v>45530.58746444444</v>
      </c>
      <c r="P2112" s="26" t="s">
        <v>8337</v>
      </c>
      <c r="Q2112" s="11" t="s">
        <v>67</v>
      </c>
      <c r="R2112" s="11"/>
      <c r="S2112" s="11" t="s">
        <v>50</v>
      </c>
      <c r="T2112" s="29">
        <v>45512.68409944444</v>
      </c>
      <c r="U2112" s="29">
        <v>45513.37989077547</v>
      </c>
      <c r="V2112" s="29">
        <v>45530.51277123843</v>
      </c>
      <c r="W2112" s="30"/>
      <c r="X2112" s="30"/>
      <c r="Y2112" s="31"/>
      <c r="Z2112" s="31"/>
      <c r="AA2112" s="31" t="s">
        <v>127</v>
      </c>
      <c r="AB2112" s="31" t="s">
        <v>8338</v>
      </c>
      <c r="AC2112" s="31"/>
    </row>
    <row r="2113" ht="18.75" customHeight="1">
      <c r="A2113" s="142" t="s">
        <v>8339</v>
      </c>
      <c r="B2113" s="19" t="s">
        <v>3289</v>
      </c>
      <c r="C2113" s="20">
        <v>0.0</v>
      </c>
      <c r="D2113" s="21" t="s">
        <v>8340</v>
      </c>
      <c r="E2113" s="27" t="s">
        <v>664</v>
      </c>
      <c r="F2113" s="18" t="s">
        <v>48</v>
      </c>
      <c r="G2113" s="32" t="s">
        <v>35</v>
      </c>
      <c r="H2113" s="23" t="s">
        <v>35</v>
      </c>
      <c r="I2113" s="24" t="s">
        <v>36</v>
      </c>
      <c r="J2113" s="25" t="s">
        <v>92</v>
      </c>
      <c r="K2113" s="26" t="s">
        <v>38</v>
      </c>
      <c r="L2113" s="25">
        <v>11318.0</v>
      </c>
      <c r="M2113" s="27" t="s">
        <v>50</v>
      </c>
      <c r="N2113" s="26" t="s">
        <v>4362</v>
      </c>
      <c r="O2113" s="28">
        <v>45517.463711585646</v>
      </c>
      <c r="P2113" s="26" t="s">
        <v>8341</v>
      </c>
      <c r="Q2113" s="11" t="s">
        <v>67</v>
      </c>
      <c r="R2113" s="11" t="s">
        <v>67</v>
      </c>
      <c r="S2113" s="11" t="s">
        <v>50</v>
      </c>
      <c r="T2113" s="29">
        <v>45512.68792159722</v>
      </c>
      <c r="U2113" s="29">
        <v>45516.37246023148</v>
      </c>
      <c r="V2113" s="29">
        <v>45517.35947466435</v>
      </c>
      <c r="W2113" s="30"/>
      <c r="X2113" s="30"/>
      <c r="Y2113" s="31"/>
      <c r="Z2113" s="31"/>
      <c r="AA2113" s="31" t="s">
        <v>120</v>
      </c>
      <c r="AB2113" s="31" t="s">
        <v>8342</v>
      </c>
      <c r="AC2113" s="31"/>
    </row>
    <row r="2114" ht="18.75" customHeight="1">
      <c r="A2114" s="48" t="s">
        <v>8343</v>
      </c>
      <c r="B2114" s="53" t="s">
        <v>8344</v>
      </c>
      <c r="C2114" s="47">
        <v>137.0</v>
      </c>
      <c r="D2114" s="70" t="s">
        <v>8345</v>
      </c>
      <c r="E2114" s="55" t="s">
        <v>85</v>
      </c>
      <c r="F2114" s="32" t="s">
        <v>48</v>
      </c>
      <c r="G2114" s="32" t="s">
        <v>35</v>
      </c>
      <c r="H2114" s="71" t="s">
        <v>35</v>
      </c>
      <c r="I2114" s="71" t="s">
        <v>36</v>
      </c>
      <c r="J2114" s="34" t="s">
        <v>65</v>
      </c>
      <c r="K2114" s="57" t="s">
        <v>38</v>
      </c>
      <c r="L2114" s="72">
        <v>11302.0</v>
      </c>
      <c r="M2114" s="22"/>
      <c r="N2114" s="73"/>
      <c r="O2114" s="28">
        <v>45513.48783564815</v>
      </c>
      <c r="P2114" s="35" t="s">
        <v>8346</v>
      </c>
      <c r="Q2114" s="14" t="s">
        <v>67</v>
      </c>
      <c r="R2114" s="14" t="s">
        <v>67</v>
      </c>
      <c r="S2114" s="12"/>
      <c r="T2114" s="52">
        <v>45513.48783564815</v>
      </c>
      <c r="U2114" s="52">
        <v>45513.48783564815</v>
      </c>
      <c r="V2114" s="52">
        <v>45513.48783564815</v>
      </c>
      <c r="W2114" s="30"/>
      <c r="X2114" s="30"/>
      <c r="Y2114" s="31"/>
      <c r="Z2114" s="31"/>
      <c r="AA2114" s="78" t="s">
        <v>94</v>
      </c>
      <c r="AB2114" s="74" t="s">
        <v>8347</v>
      </c>
      <c r="AC2114" s="74"/>
    </row>
    <row r="2115" ht="18.75" customHeight="1">
      <c r="A2115" s="18" t="s">
        <v>8348</v>
      </c>
      <c r="B2115" s="19" t="s">
        <v>3289</v>
      </c>
      <c r="C2115" s="20">
        <v>0.0</v>
      </c>
      <c r="D2115" s="21" t="s">
        <v>8349</v>
      </c>
      <c r="E2115" s="27" t="s">
        <v>664</v>
      </c>
      <c r="F2115" s="18" t="s">
        <v>48</v>
      </c>
      <c r="G2115" s="32" t="s">
        <v>35</v>
      </c>
      <c r="H2115" s="23" t="s">
        <v>35</v>
      </c>
      <c r="I2115" s="24" t="s">
        <v>36</v>
      </c>
      <c r="J2115" s="25" t="s">
        <v>92</v>
      </c>
      <c r="K2115" s="26" t="s">
        <v>38</v>
      </c>
      <c r="L2115" s="25">
        <v>11317.0</v>
      </c>
      <c r="M2115" s="27" t="s">
        <v>50</v>
      </c>
      <c r="N2115" s="26" t="s">
        <v>4362</v>
      </c>
      <c r="O2115" s="28">
        <v>45517.46339071759</v>
      </c>
      <c r="P2115" s="26" t="s">
        <v>8350</v>
      </c>
      <c r="Q2115" s="11" t="s">
        <v>67</v>
      </c>
      <c r="R2115" s="11"/>
      <c r="S2115" s="11" t="s">
        <v>50</v>
      </c>
      <c r="T2115" s="29">
        <v>45512.69504283565</v>
      </c>
      <c r="U2115" s="29">
        <v>45513.38148576389</v>
      </c>
      <c r="V2115" s="29">
        <v>45517.3594840625</v>
      </c>
      <c r="W2115" s="30"/>
      <c r="X2115" s="30"/>
      <c r="Y2115" s="31"/>
      <c r="Z2115" s="31"/>
      <c r="AA2115" s="31" t="s">
        <v>120</v>
      </c>
      <c r="AB2115" s="31" t="s">
        <v>8351</v>
      </c>
      <c r="AC2115" s="31"/>
    </row>
    <row r="2116" ht="18.75" customHeight="1">
      <c r="A2116" s="18" t="s">
        <v>8352</v>
      </c>
      <c r="B2116" s="19" t="s">
        <v>3289</v>
      </c>
      <c r="C2116" s="20">
        <v>0.0</v>
      </c>
      <c r="D2116" s="21" t="s">
        <v>8353</v>
      </c>
      <c r="E2116" s="27" t="s">
        <v>664</v>
      </c>
      <c r="F2116" s="18" t="s">
        <v>48</v>
      </c>
      <c r="G2116" s="32" t="s">
        <v>35</v>
      </c>
      <c r="H2116" s="23" t="s">
        <v>35</v>
      </c>
      <c r="I2116" s="24" t="s">
        <v>36</v>
      </c>
      <c r="J2116" s="25" t="s">
        <v>92</v>
      </c>
      <c r="K2116" s="26" t="s">
        <v>38</v>
      </c>
      <c r="L2116" s="25">
        <v>11317.0</v>
      </c>
      <c r="M2116" s="27" t="s">
        <v>50</v>
      </c>
      <c r="N2116" s="26" t="s">
        <v>4362</v>
      </c>
      <c r="O2116" s="28">
        <v>45517.46354427084</v>
      </c>
      <c r="P2116" s="26" t="s">
        <v>8350</v>
      </c>
      <c r="Q2116" s="11" t="s">
        <v>67</v>
      </c>
      <c r="R2116" s="11"/>
      <c r="S2116" s="11" t="s">
        <v>50</v>
      </c>
      <c r="T2116" s="29">
        <v>45512.697223194446</v>
      </c>
      <c r="U2116" s="29">
        <v>45513.38139541667</v>
      </c>
      <c r="V2116" s="29">
        <v>45517.35949400463</v>
      </c>
      <c r="W2116" s="30"/>
      <c r="X2116" s="30"/>
      <c r="Y2116" s="31"/>
      <c r="Z2116" s="31"/>
      <c r="AA2116" s="31" t="s">
        <v>120</v>
      </c>
      <c r="AB2116" s="31" t="s">
        <v>8354</v>
      </c>
      <c r="AC2116" s="31"/>
    </row>
    <row r="2117" ht="18.75" customHeight="1">
      <c r="A2117" s="142" t="s">
        <v>8355</v>
      </c>
      <c r="B2117" s="119" t="s">
        <v>8356</v>
      </c>
      <c r="C2117" s="54">
        <v>0.0</v>
      </c>
      <c r="D2117" s="21" t="s">
        <v>8357</v>
      </c>
      <c r="E2117" s="55" t="s">
        <v>3441</v>
      </c>
      <c r="F2117" s="32" t="s">
        <v>48</v>
      </c>
      <c r="G2117" s="32" t="s">
        <v>35</v>
      </c>
      <c r="H2117" s="23" t="s">
        <v>35</v>
      </c>
      <c r="I2117" s="66" t="s">
        <v>36</v>
      </c>
      <c r="J2117" s="34" t="s">
        <v>65</v>
      </c>
      <c r="K2117" s="57" t="s">
        <v>38</v>
      </c>
      <c r="L2117" s="146">
        <v>11361.0</v>
      </c>
      <c r="M2117" s="22"/>
      <c r="N2117" s="26"/>
      <c r="O2117" s="28">
        <v>45526.49416275463</v>
      </c>
      <c r="P2117" s="26" t="s">
        <v>8358</v>
      </c>
      <c r="Q2117" s="11" t="s">
        <v>67</v>
      </c>
      <c r="R2117" s="11" t="s">
        <v>67</v>
      </c>
      <c r="S2117" s="60"/>
      <c r="T2117" s="29">
        <v>45526.49416275463</v>
      </c>
      <c r="U2117" s="29">
        <v>45526.49416275463</v>
      </c>
      <c r="V2117" s="29">
        <v>45526.49416275463</v>
      </c>
      <c r="W2117" s="30"/>
      <c r="X2117" s="30"/>
      <c r="Y2117" s="31"/>
      <c r="Z2117" s="31"/>
      <c r="AA2117" s="31" t="s">
        <v>94</v>
      </c>
      <c r="AB2117" s="31" t="s">
        <v>8359</v>
      </c>
      <c r="AC2117" s="31"/>
    </row>
    <row r="2118" ht="18.75" customHeight="1">
      <c r="A2118" s="142" t="s">
        <v>8360</v>
      </c>
      <c r="B2118" s="19" t="s">
        <v>4901</v>
      </c>
      <c r="C2118" s="20">
        <v>90.0</v>
      </c>
      <c r="D2118" s="21" t="s">
        <v>8361</v>
      </c>
      <c r="E2118" s="27" t="s">
        <v>91</v>
      </c>
      <c r="F2118" s="18" t="s">
        <v>48</v>
      </c>
      <c r="G2118" s="32" t="s">
        <v>35</v>
      </c>
      <c r="H2118" s="23" t="s">
        <v>35</v>
      </c>
      <c r="I2118" s="24" t="s">
        <v>36</v>
      </c>
      <c r="J2118" s="25" t="s">
        <v>49</v>
      </c>
      <c r="K2118" s="26" t="s">
        <v>518</v>
      </c>
      <c r="L2118" s="25">
        <v>11295.0</v>
      </c>
      <c r="M2118" s="27" t="s">
        <v>50</v>
      </c>
      <c r="N2118" s="26" t="s">
        <v>5936</v>
      </c>
      <c r="O2118" s="28">
        <v>45531.624779363425</v>
      </c>
      <c r="P2118" s="26" t="s">
        <v>8362</v>
      </c>
      <c r="Q2118" s="11" t="s">
        <v>67</v>
      </c>
      <c r="R2118" s="11"/>
      <c r="S2118" s="11" t="s">
        <v>50</v>
      </c>
      <c r="T2118" s="29">
        <v>45512.702841886574</v>
      </c>
      <c r="U2118" s="29">
        <v>45513.38093248842</v>
      </c>
      <c r="V2118" s="29">
        <v>45531.59136560185</v>
      </c>
      <c r="W2118" s="30"/>
      <c r="X2118" s="30"/>
      <c r="Y2118" s="31"/>
      <c r="Z2118" s="31"/>
      <c r="AA2118" s="31"/>
      <c r="AB2118" s="31" t="s">
        <v>8363</v>
      </c>
      <c r="AC2118" s="31"/>
    </row>
    <row r="2119" ht="18.75" customHeight="1">
      <c r="A2119" s="142" t="s">
        <v>8364</v>
      </c>
      <c r="B2119" s="19" t="s">
        <v>896</v>
      </c>
      <c r="C2119" s="20">
        <v>0.0</v>
      </c>
      <c r="D2119" s="21" t="s">
        <v>8365</v>
      </c>
      <c r="E2119" s="27" t="s">
        <v>1248</v>
      </c>
      <c r="F2119" s="18" t="s">
        <v>33</v>
      </c>
      <c r="G2119" s="32" t="s">
        <v>35</v>
      </c>
      <c r="H2119" s="23" t="s">
        <v>35</v>
      </c>
      <c r="I2119" s="24" t="s">
        <v>36</v>
      </c>
      <c r="J2119" s="34" t="s">
        <v>65</v>
      </c>
      <c r="K2119" s="26" t="s">
        <v>38</v>
      </c>
      <c r="L2119" s="25">
        <v>11321.0</v>
      </c>
      <c r="M2119" s="27" t="s">
        <v>50</v>
      </c>
      <c r="N2119" s="26" t="s">
        <v>149</v>
      </c>
      <c r="O2119" s="28">
        <v>45518.606896157406</v>
      </c>
      <c r="P2119" s="26" t="s">
        <v>8366</v>
      </c>
      <c r="Q2119" s="11" t="s">
        <v>67</v>
      </c>
      <c r="R2119" s="11" t="s">
        <v>67</v>
      </c>
      <c r="S2119" s="11" t="s">
        <v>101</v>
      </c>
      <c r="T2119" s="29">
        <v>45513.56793278935</v>
      </c>
      <c r="U2119" s="29">
        <v>45516.37118673611</v>
      </c>
      <c r="V2119" s="29">
        <v>45517.44513436343</v>
      </c>
      <c r="W2119" s="30"/>
      <c r="X2119" s="30"/>
      <c r="Y2119" s="31"/>
      <c r="Z2119" s="31"/>
      <c r="AA2119" s="31" t="s">
        <v>94</v>
      </c>
      <c r="AB2119" s="31" t="s">
        <v>8367</v>
      </c>
      <c r="AC2119" s="31"/>
    </row>
    <row r="2120" ht="18.75" customHeight="1">
      <c r="A2120" s="18" t="s">
        <v>8368</v>
      </c>
      <c r="B2120" s="19" t="s">
        <v>5277</v>
      </c>
      <c r="C2120" s="20">
        <v>0.0</v>
      </c>
      <c r="D2120" s="21" t="s">
        <v>8369</v>
      </c>
      <c r="E2120" s="27" t="s">
        <v>243</v>
      </c>
      <c r="F2120" s="18" t="s">
        <v>244</v>
      </c>
      <c r="G2120" s="32" t="s">
        <v>35</v>
      </c>
      <c r="H2120" s="23" t="s">
        <v>35</v>
      </c>
      <c r="I2120" s="24" t="s">
        <v>36</v>
      </c>
      <c r="J2120" s="34" t="s">
        <v>65</v>
      </c>
      <c r="K2120" s="26" t="s">
        <v>38</v>
      </c>
      <c r="L2120" s="25">
        <v>11327.0</v>
      </c>
      <c r="M2120" s="27" t="s">
        <v>50</v>
      </c>
      <c r="N2120" s="26" t="s">
        <v>149</v>
      </c>
      <c r="O2120" s="28">
        <v>45520.608428217594</v>
      </c>
      <c r="P2120" s="26" t="s">
        <v>8370</v>
      </c>
      <c r="Q2120" s="11" t="s">
        <v>67</v>
      </c>
      <c r="R2120" s="11" t="s">
        <v>67</v>
      </c>
      <c r="S2120" s="11" t="s">
        <v>101</v>
      </c>
      <c r="T2120" s="29">
        <v>45513.56655478009</v>
      </c>
      <c r="U2120" s="29">
        <v>45517.38161130787</v>
      </c>
      <c r="V2120" s="29">
        <v>45519.44796450232</v>
      </c>
      <c r="W2120" s="30"/>
      <c r="X2120" s="30"/>
      <c r="Y2120" s="31"/>
      <c r="Z2120" s="31"/>
      <c r="AA2120" s="31" t="s">
        <v>94</v>
      </c>
      <c r="AB2120" s="31" t="s">
        <v>8371</v>
      </c>
      <c r="AC2120" s="31"/>
    </row>
    <row r="2121" ht="18.75" customHeight="1">
      <c r="A2121" s="18" t="s">
        <v>8372</v>
      </c>
      <c r="B2121" s="19" t="s">
        <v>5277</v>
      </c>
      <c r="C2121" s="20">
        <v>0.0</v>
      </c>
      <c r="D2121" s="21" t="s">
        <v>8373</v>
      </c>
      <c r="E2121" s="27" t="s">
        <v>243</v>
      </c>
      <c r="F2121" s="18" t="s">
        <v>244</v>
      </c>
      <c r="G2121" s="32" t="s">
        <v>35</v>
      </c>
      <c r="H2121" s="23" t="s">
        <v>35</v>
      </c>
      <c r="I2121" s="24" t="s">
        <v>36</v>
      </c>
      <c r="J2121" s="34" t="s">
        <v>65</v>
      </c>
      <c r="K2121" s="26" t="s">
        <v>38</v>
      </c>
      <c r="L2121" s="25">
        <v>11327.0</v>
      </c>
      <c r="M2121" s="27" t="s">
        <v>50</v>
      </c>
      <c r="N2121" s="26" t="s">
        <v>149</v>
      </c>
      <c r="O2121" s="28">
        <v>45520.60894513889</v>
      </c>
      <c r="P2121" s="26" t="s">
        <v>8370</v>
      </c>
      <c r="Q2121" s="11" t="s">
        <v>67</v>
      </c>
      <c r="R2121" s="11" t="s">
        <v>67</v>
      </c>
      <c r="S2121" s="11" t="s">
        <v>101</v>
      </c>
      <c r="T2121" s="29">
        <v>45513.566976145834</v>
      </c>
      <c r="U2121" s="29">
        <v>45517.381657094906</v>
      </c>
      <c r="V2121" s="29">
        <v>45519.489758090276</v>
      </c>
      <c r="W2121" s="30"/>
      <c r="X2121" s="30"/>
      <c r="Y2121" s="31"/>
      <c r="Z2121" s="31"/>
      <c r="AA2121" s="31" t="s">
        <v>94</v>
      </c>
      <c r="AB2121" s="31" t="s">
        <v>8374</v>
      </c>
      <c r="AC2121" s="31"/>
    </row>
    <row r="2122" ht="18.75" customHeight="1">
      <c r="A2122" s="142" t="s">
        <v>8375</v>
      </c>
      <c r="B2122" s="19" t="s">
        <v>8376</v>
      </c>
      <c r="C2122" s="20">
        <v>137.0</v>
      </c>
      <c r="D2122" s="21" t="s">
        <v>8377</v>
      </c>
      <c r="E2122" s="27" t="s">
        <v>85</v>
      </c>
      <c r="F2122" s="18" t="s">
        <v>48</v>
      </c>
      <c r="G2122" s="32" t="s">
        <v>35</v>
      </c>
      <c r="H2122" s="23" t="s">
        <v>35</v>
      </c>
      <c r="I2122" s="24" t="s">
        <v>36</v>
      </c>
      <c r="J2122" s="25" t="s">
        <v>518</v>
      </c>
      <c r="K2122" s="26" t="s">
        <v>38</v>
      </c>
      <c r="L2122" s="25">
        <v>11314.0</v>
      </c>
      <c r="M2122" s="27" t="s">
        <v>50</v>
      </c>
      <c r="N2122" s="26" t="s">
        <v>4616</v>
      </c>
      <c r="O2122" s="28">
        <v>45518.58697695602</v>
      </c>
      <c r="P2122" s="26" t="s">
        <v>8378</v>
      </c>
      <c r="Q2122" s="11" t="s">
        <v>67</v>
      </c>
      <c r="R2122" s="11" t="s">
        <v>67</v>
      </c>
      <c r="S2122" s="11" t="s">
        <v>50</v>
      </c>
      <c r="T2122" s="29">
        <v>45516.593940983796</v>
      </c>
      <c r="U2122" s="29">
        <v>45517.628031886576</v>
      </c>
      <c r="V2122" s="29">
        <v>45518.41856569445</v>
      </c>
      <c r="W2122" s="30"/>
      <c r="X2122" s="30"/>
      <c r="Y2122" s="31"/>
      <c r="Z2122" s="31"/>
      <c r="AA2122" s="31" t="s">
        <v>108</v>
      </c>
      <c r="AB2122" s="31" t="s">
        <v>8379</v>
      </c>
      <c r="AC2122" s="31"/>
    </row>
    <row r="2123" ht="18.75" customHeight="1">
      <c r="A2123" s="142" t="s">
        <v>8380</v>
      </c>
      <c r="B2123" s="19" t="s">
        <v>5313</v>
      </c>
      <c r="C2123" s="20">
        <v>137.0</v>
      </c>
      <c r="D2123" s="21" t="s">
        <v>8381</v>
      </c>
      <c r="E2123" s="27" t="s">
        <v>85</v>
      </c>
      <c r="F2123" s="18" t="s">
        <v>48</v>
      </c>
      <c r="G2123" s="32" t="s">
        <v>35</v>
      </c>
      <c r="H2123" s="23" t="s">
        <v>35</v>
      </c>
      <c r="I2123" s="24" t="s">
        <v>36</v>
      </c>
      <c r="J2123" s="34" t="s">
        <v>65</v>
      </c>
      <c r="K2123" s="26" t="s">
        <v>38</v>
      </c>
      <c r="L2123" s="25">
        <v>11313.0</v>
      </c>
      <c r="M2123" s="27" t="s">
        <v>50</v>
      </c>
      <c r="N2123" s="26" t="s">
        <v>51</v>
      </c>
      <c r="O2123" s="28">
        <v>45516.604731851854</v>
      </c>
      <c r="P2123" s="26" t="s">
        <v>8382</v>
      </c>
      <c r="Q2123" s="11" t="s">
        <v>67</v>
      </c>
      <c r="R2123" s="11" t="s">
        <v>67</v>
      </c>
      <c r="S2123" s="11"/>
      <c r="T2123" s="29">
        <v>45516.604731851854</v>
      </c>
      <c r="U2123" s="29">
        <v>45516.604731851854</v>
      </c>
      <c r="V2123" s="29">
        <v>45516.604731851854</v>
      </c>
      <c r="W2123" s="30"/>
      <c r="X2123" s="30"/>
      <c r="Y2123" s="31"/>
      <c r="Z2123" s="31"/>
      <c r="AA2123" s="31" t="s">
        <v>94</v>
      </c>
      <c r="AB2123" s="31" t="s">
        <v>8383</v>
      </c>
      <c r="AC2123" s="31"/>
    </row>
    <row r="2124" ht="18.75" customHeight="1">
      <c r="A2124" s="18" t="s">
        <v>8384</v>
      </c>
      <c r="B2124" s="19" t="s">
        <v>4352</v>
      </c>
      <c r="C2124" s="20">
        <v>0.0</v>
      </c>
      <c r="D2124" s="21" t="s">
        <v>8385</v>
      </c>
      <c r="E2124" s="27" t="s">
        <v>3441</v>
      </c>
      <c r="F2124" s="18" t="s">
        <v>48</v>
      </c>
      <c r="G2124" s="32" t="s">
        <v>35</v>
      </c>
      <c r="H2124" s="23" t="s">
        <v>35</v>
      </c>
      <c r="I2124" s="24" t="s">
        <v>36</v>
      </c>
      <c r="J2124" s="25" t="s">
        <v>49</v>
      </c>
      <c r="K2124" s="26" t="s">
        <v>38</v>
      </c>
      <c r="L2124" s="25">
        <v>11374.0</v>
      </c>
      <c r="M2124" s="27" t="s">
        <v>50</v>
      </c>
      <c r="N2124" s="26" t="s">
        <v>99</v>
      </c>
      <c r="O2124" s="28">
        <v>45530.58757574074</v>
      </c>
      <c r="P2124" s="26" t="s">
        <v>8386</v>
      </c>
      <c r="Q2124" s="11" t="s">
        <v>67</v>
      </c>
      <c r="R2124" s="11" t="s">
        <v>67</v>
      </c>
      <c r="S2124" s="11" t="s">
        <v>50</v>
      </c>
      <c r="T2124" s="29">
        <v>45516.3803591551</v>
      </c>
      <c r="U2124" s="29">
        <v>45516.38070252315</v>
      </c>
      <c r="V2124" s="29">
        <v>45530.48641545139</v>
      </c>
      <c r="W2124" s="30"/>
      <c r="X2124" s="30"/>
      <c r="Y2124" s="31"/>
      <c r="Z2124" s="31"/>
      <c r="AA2124" s="31" t="s">
        <v>127</v>
      </c>
      <c r="AB2124" s="31" t="s">
        <v>8387</v>
      </c>
      <c r="AC2124" s="31"/>
    </row>
    <row r="2125" ht="18.75" customHeight="1">
      <c r="A2125" s="18" t="s">
        <v>8388</v>
      </c>
      <c r="B2125" s="19" t="s">
        <v>4352</v>
      </c>
      <c r="C2125" s="20">
        <v>0.0</v>
      </c>
      <c r="D2125" s="21" t="s">
        <v>8389</v>
      </c>
      <c r="E2125" s="27" t="s">
        <v>3441</v>
      </c>
      <c r="F2125" s="18" t="s">
        <v>48</v>
      </c>
      <c r="G2125" s="32" t="s">
        <v>35</v>
      </c>
      <c r="H2125" s="23" t="s">
        <v>35</v>
      </c>
      <c r="I2125" s="24" t="s">
        <v>36</v>
      </c>
      <c r="J2125" s="25" t="s">
        <v>49</v>
      </c>
      <c r="K2125" s="26" t="s">
        <v>38</v>
      </c>
      <c r="L2125" s="25">
        <v>11374.0</v>
      </c>
      <c r="M2125" s="27" t="s">
        <v>50</v>
      </c>
      <c r="N2125" s="26" t="s">
        <v>99</v>
      </c>
      <c r="O2125" s="28">
        <v>45530.58752021991</v>
      </c>
      <c r="P2125" s="26" t="s">
        <v>8386</v>
      </c>
      <c r="Q2125" s="11" t="s">
        <v>67</v>
      </c>
      <c r="R2125" s="11" t="s">
        <v>67</v>
      </c>
      <c r="S2125" s="11" t="s">
        <v>50</v>
      </c>
      <c r="T2125" s="29">
        <v>45516.38044572917</v>
      </c>
      <c r="U2125" s="29">
        <v>45516.38074177083</v>
      </c>
      <c r="V2125" s="29">
        <v>45530.48642372685</v>
      </c>
      <c r="W2125" s="30"/>
      <c r="X2125" s="30"/>
      <c r="Y2125" s="31"/>
      <c r="Z2125" s="31"/>
      <c r="AA2125" s="31" t="s">
        <v>127</v>
      </c>
      <c r="AB2125" s="31" t="s">
        <v>8390</v>
      </c>
      <c r="AC2125" s="31"/>
    </row>
    <row r="2126" ht="18.75" customHeight="1">
      <c r="A2126" s="18" t="s">
        <v>8391</v>
      </c>
      <c r="B2126" s="19" t="s">
        <v>4352</v>
      </c>
      <c r="C2126" s="20">
        <v>137.0</v>
      </c>
      <c r="D2126" s="21" t="s">
        <v>8392</v>
      </c>
      <c r="E2126" s="27" t="s">
        <v>85</v>
      </c>
      <c r="F2126" s="18" t="s">
        <v>48</v>
      </c>
      <c r="G2126" s="32" t="s">
        <v>35</v>
      </c>
      <c r="H2126" s="23" t="s">
        <v>35</v>
      </c>
      <c r="I2126" s="24" t="s">
        <v>36</v>
      </c>
      <c r="J2126" s="25" t="s">
        <v>49</v>
      </c>
      <c r="K2126" s="26" t="s">
        <v>38</v>
      </c>
      <c r="L2126" s="25">
        <v>11312.0</v>
      </c>
      <c r="M2126" s="27" t="s">
        <v>50</v>
      </c>
      <c r="N2126" s="26" t="s">
        <v>5936</v>
      </c>
      <c r="O2126" s="28">
        <v>45517.58046668982</v>
      </c>
      <c r="P2126" s="26" t="s">
        <v>8386</v>
      </c>
      <c r="Q2126" s="11" t="s">
        <v>67</v>
      </c>
      <c r="R2126" s="11" t="s">
        <v>67</v>
      </c>
      <c r="S2126" s="11" t="s">
        <v>50</v>
      </c>
      <c r="T2126" s="29">
        <v>45516.38050951389</v>
      </c>
      <c r="U2126" s="29">
        <v>45516.38074655093</v>
      </c>
      <c r="V2126" s="29">
        <v>45517.38462028935</v>
      </c>
      <c r="W2126" s="30"/>
      <c r="X2126" s="30"/>
      <c r="Y2126" s="31"/>
      <c r="Z2126" s="31"/>
      <c r="AA2126" s="31" t="s">
        <v>127</v>
      </c>
      <c r="AB2126" s="31" t="s">
        <v>8393</v>
      </c>
      <c r="AC2126" s="31"/>
    </row>
    <row r="2127" ht="18.75" customHeight="1">
      <c r="A2127" s="18" t="s">
        <v>8394</v>
      </c>
      <c r="B2127" s="19" t="s">
        <v>4352</v>
      </c>
      <c r="C2127" s="20">
        <v>137.0</v>
      </c>
      <c r="D2127" s="21" t="s">
        <v>8395</v>
      </c>
      <c r="E2127" s="27" t="s">
        <v>85</v>
      </c>
      <c r="F2127" s="18" t="s">
        <v>48</v>
      </c>
      <c r="G2127" s="32" t="s">
        <v>35</v>
      </c>
      <c r="H2127" s="23" t="s">
        <v>35</v>
      </c>
      <c r="I2127" s="24" t="s">
        <v>36</v>
      </c>
      <c r="J2127" s="25" t="s">
        <v>49</v>
      </c>
      <c r="K2127" s="26" t="s">
        <v>38</v>
      </c>
      <c r="L2127" s="25">
        <v>11312.0</v>
      </c>
      <c r="M2127" s="27" t="s">
        <v>50</v>
      </c>
      <c r="N2127" s="26" t="s">
        <v>5936</v>
      </c>
      <c r="O2127" s="28">
        <v>45517.580572499995</v>
      </c>
      <c r="P2127" s="26" t="s">
        <v>8386</v>
      </c>
      <c r="Q2127" s="11" t="s">
        <v>67</v>
      </c>
      <c r="R2127" s="11" t="s">
        <v>67</v>
      </c>
      <c r="S2127" s="11" t="s">
        <v>50</v>
      </c>
      <c r="T2127" s="29">
        <v>45516.38060012732</v>
      </c>
      <c r="U2127" s="29">
        <v>45516.38075108796</v>
      </c>
      <c r="V2127" s="29">
        <v>45517.3846328588</v>
      </c>
      <c r="W2127" s="30"/>
      <c r="X2127" s="30"/>
      <c r="Y2127" s="31"/>
      <c r="Z2127" s="31"/>
      <c r="AA2127" s="31" t="s">
        <v>127</v>
      </c>
      <c r="AB2127" s="31" t="s">
        <v>8396</v>
      </c>
      <c r="AC2127" s="31"/>
    </row>
    <row r="2128" ht="18.75" customHeight="1">
      <c r="A2128" s="142" t="s">
        <v>8397</v>
      </c>
      <c r="B2128" s="19" t="s">
        <v>4035</v>
      </c>
      <c r="C2128" s="20">
        <v>90.0</v>
      </c>
      <c r="D2128" s="21" t="s">
        <v>8398</v>
      </c>
      <c r="E2128" s="27" t="s">
        <v>91</v>
      </c>
      <c r="F2128" s="18" t="s">
        <v>48</v>
      </c>
      <c r="G2128" s="32" t="s">
        <v>35</v>
      </c>
      <c r="H2128" s="23" t="s">
        <v>35</v>
      </c>
      <c r="I2128" s="24" t="s">
        <v>36</v>
      </c>
      <c r="J2128" s="34" t="s">
        <v>65</v>
      </c>
      <c r="K2128" s="26" t="s">
        <v>38</v>
      </c>
      <c r="L2128" s="25">
        <v>11380.0</v>
      </c>
      <c r="M2128" s="27" t="s">
        <v>50</v>
      </c>
      <c r="N2128" s="26" t="s">
        <v>5897</v>
      </c>
      <c r="O2128" s="28">
        <v>45531.69869813658</v>
      </c>
      <c r="P2128" s="26" t="s">
        <v>8399</v>
      </c>
      <c r="Q2128" s="11" t="s">
        <v>67</v>
      </c>
      <c r="R2128" s="11" t="s">
        <v>67</v>
      </c>
      <c r="S2128" s="11" t="s">
        <v>50</v>
      </c>
      <c r="T2128" s="29">
        <v>45516.44215311343</v>
      </c>
      <c r="U2128" s="29">
        <v>45516.60539810185</v>
      </c>
      <c r="V2128" s="29">
        <v>45530.51800788194</v>
      </c>
      <c r="W2128" s="30"/>
      <c r="X2128" s="30"/>
      <c r="Y2128" s="31"/>
      <c r="Z2128" s="31"/>
      <c r="AA2128" s="31"/>
      <c r="AB2128" s="31" t="s">
        <v>8400</v>
      </c>
      <c r="AC2128" s="31"/>
    </row>
    <row r="2129" ht="18.75" customHeight="1">
      <c r="A2129" s="18" t="s">
        <v>8401</v>
      </c>
      <c r="B2129" s="19" t="s">
        <v>5323</v>
      </c>
      <c r="C2129" s="20">
        <v>0.0</v>
      </c>
      <c r="D2129" s="21" t="s">
        <v>8402</v>
      </c>
      <c r="E2129" s="27" t="s">
        <v>3441</v>
      </c>
      <c r="F2129" s="18" t="s">
        <v>48</v>
      </c>
      <c r="G2129" s="32" t="s">
        <v>35</v>
      </c>
      <c r="H2129" s="23" t="s">
        <v>35</v>
      </c>
      <c r="I2129" s="24" t="s">
        <v>36</v>
      </c>
      <c r="J2129" s="25" t="s">
        <v>49</v>
      </c>
      <c r="K2129" s="26" t="s">
        <v>38</v>
      </c>
      <c r="L2129" s="25">
        <v>11332.0</v>
      </c>
      <c r="M2129" s="27" t="s">
        <v>50</v>
      </c>
      <c r="N2129" s="26" t="s">
        <v>99</v>
      </c>
      <c r="O2129" s="28">
        <v>45520.0</v>
      </c>
      <c r="P2129" s="26" t="s">
        <v>8403</v>
      </c>
      <c r="Q2129" s="11" t="s">
        <v>67</v>
      </c>
      <c r="R2129" s="11"/>
      <c r="S2129" s="11" t="s">
        <v>50</v>
      </c>
      <c r="T2129" s="29">
        <v>45516.44705923611</v>
      </c>
      <c r="U2129" s="29">
        <v>45516.47466247685</v>
      </c>
      <c r="V2129" s="29">
        <v>45523.48553795139</v>
      </c>
      <c r="W2129" s="30"/>
      <c r="X2129" s="30"/>
      <c r="Y2129" s="31"/>
      <c r="Z2129" s="31"/>
      <c r="AA2129" s="31" t="s">
        <v>102</v>
      </c>
      <c r="AB2129" s="31" t="s">
        <v>8404</v>
      </c>
      <c r="AC2129" s="31"/>
    </row>
    <row r="2130" ht="18.75" customHeight="1">
      <c r="A2130" s="18" t="s">
        <v>8405</v>
      </c>
      <c r="B2130" s="19" t="s">
        <v>5323</v>
      </c>
      <c r="C2130" s="20">
        <v>137.0</v>
      </c>
      <c r="D2130" s="21" t="s">
        <v>8406</v>
      </c>
      <c r="E2130" s="27" t="s">
        <v>85</v>
      </c>
      <c r="F2130" s="18" t="s">
        <v>48</v>
      </c>
      <c r="G2130" s="32" t="s">
        <v>35</v>
      </c>
      <c r="H2130" s="23" t="s">
        <v>35</v>
      </c>
      <c r="I2130" s="24" t="s">
        <v>36</v>
      </c>
      <c r="J2130" s="25" t="s">
        <v>49</v>
      </c>
      <c r="K2130" s="26" t="s">
        <v>38</v>
      </c>
      <c r="L2130" s="25">
        <v>11332.0</v>
      </c>
      <c r="M2130" s="27" t="s">
        <v>50</v>
      </c>
      <c r="N2130" s="26" t="s">
        <v>99</v>
      </c>
      <c r="O2130" s="28">
        <v>45520.0</v>
      </c>
      <c r="P2130" s="26" t="s">
        <v>8403</v>
      </c>
      <c r="Q2130" s="11" t="s">
        <v>67</v>
      </c>
      <c r="R2130" s="11"/>
      <c r="S2130" s="11" t="s">
        <v>50</v>
      </c>
      <c r="T2130" s="29">
        <v>45516.47460822917</v>
      </c>
      <c r="U2130" s="29">
        <v>45516.47465891203</v>
      </c>
      <c r="V2130" s="29">
        <v>45523.48554787037</v>
      </c>
      <c r="W2130" s="30"/>
      <c r="X2130" s="30"/>
      <c r="Y2130" s="31"/>
      <c r="Z2130" s="31"/>
      <c r="AA2130" s="31" t="s">
        <v>102</v>
      </c>
      <c r="AB2130" s="31" t="s">
        <v>8407</v>
      </c>
      <c r="AC2130" s="31"/>
    </row>
    <row r="2131" ht="18.75" customHeight="1">
      <c r="A2131" s="142" t="s">
        <v>8408</v>
      </c>
      <c r="B2131" s="19" t="s">
        <v>4472</v>
      </c>
      <c r="C2131" s="20">
        <v>0.0</v>
      </c>
      <c r="D2131" s="21" t="s">
        <v>8409</v>
      </c>
      <c r="E2131" s="27" t="s">
        <v>1595</v>
      </c>
      <c r="F2131" s="18" t="s">
        <v>33</v>
      </c>
      <c r="G2131" s="18" t="s">
        <v>34</v>
      </c>
      <c r="H2131" s="23" t="s">
        <v>35</v>
      </c>
      <c r="I2131" s="24" t="s">
        <v>36</v>
      </c>
      <c r="J2131" s="25" t="s">
        <v>49</v>
      </c>
      <c r="K2131" s="26" t="s">
        <v>38</v>
      </c>
      <c r="L2131" s="25">
        <v>11322.0</v>
      </c>
      <c r="M2131" s="27" t="s">
        <v>50</v>
      </c>
      <c r="N2131" s="26" t="s">
        <v>99</v>
      </c>
      <c r="O2131" s="28">
        <v>45518.60670892361</v>
      </c>
      <c r="P2131" s="26" t="s">
        <v>8410</v>
      </c>
      <c r="Q2131" s="11" t="s">
        <v>67</v>
      </c>
      <c r="R2131" s="11" t="s">
        <v>67</v>
      </c>
      <c r="S2131" s="11" t="s">
        <v>101</v>
      </c>
      <c r="T2131" s="29">
        <v>45516.64316199074</v>
      </c>
      <c r="U2131" s="29">
        <v>45516.64317747686</v>
      </c>
      <c r="V2131" s="29">
        <v>45517.666706828706</v>
      </c>
      <c r="W2131" s="30"/>
      <c r="X2131" s="30"/>
      <c r="Y2131" s="31"/>
      <c r="Z2131" s="31"/>
      <c r="AA2131" s="31" t="s">
        <v>102</v>
      </c>
      <c r="AB2131" s="31" t="s">
        <v>8411</v>
      </c>
      <c r="AC2131" s="31"/>
    </row>
    <row r="2132" ht="18.75" customHeight="1">
      <c r="A2132" s="142" t="s">
        <v>8412</v>
      </c>
      <c r="B2132" s="19" t="s">
        <v>115</v>
      </c>
      <c r="C2132" s="20">
        <v>0.0</v>
      </c>
      <c r="D2132" s="21" t="s">
        <v>8413</v>
      </c>
      <c r="E2132" s="27" t="s">
        <v>3441</v>
      </c>
      <c r="F2132" s="18" t="s">
        <v>48</v>
      </c>
      <c r="G2132" s="32" t="s">
        <v>35</v>
      </c>
      <c r="H2132" s="23" t="s">
        <v>35</v>
      </c>
      <c r="I2132" s="24" t="s">
        <v>36</v>
      </c>
      <c r="J2132" s="25" t="s">
        <v>92</v>
      </c>
      <c r="K2132" s="26" t="s">
        <v>38</v>
      </c>
      <c r="L2132" s="25">
        <v>11341.0</v>
      </c>
      <c r="M2132" s="27" t="s">
        <v>50</v>
      </c>
      <c r="N2132" s="26" t="s">
        <v>118</v>
      </c>
      <c r="O2132" s="28">
        <v>45524.37090086806</v>
      </c>
      <c r="P2132" s="26" t="s">
        <v>8414</v>
      </c>
      <c r="Q2132" s="11" t="s">
        <v>67</v>
      </c>
      <c r="R2132" s="11" t="s">
        <v>67</v>
      </c>
      <c r="S2132" s="11" t="s">
        <v>50</v>
      </c>
      <c r="T2132" s="29">
        <v>45516.64086349537</v>
      </c>
      <c r="U2132" s="29">
        <v>45523.40539238426</v>
      </c>
      <c r="V2132" s="29">
        <v>45523.48481844907</v>
      </c>
      <c r="W2132" s="30"/>
      <c r="X2132" s="30"/>
      <c r="Y2132" s="31"/>
      <c r="Z2132" s="31"/>
      <c r="AA2132" s="31" t="s">
        <v>120</v>
      </c>
      <c r="AB2132" s="31" t="s">
        <v>8415</v>
      </c>
      <c r="AC2132" s="31"/>
    </row>
    <row r="2133" ht="18.75" customHeight="1">
      <c r="A2133" s="142" t="s">
        <v>8416</v>
      </c>
      <c r="B2133" s="19" t="s">
        <v>122</v>
      </c>
      <c r="C2133" s="20">
        <v>0.0</v>
      </c>
      <c r="D2133" s="21" t="s">
        <v>8417</v>
      </c>
      <c r="E2133" s="27" t="s">
        <v>117</v>
      </c>
      <c r="F2133" s="18" t="s">
        <v>33</v>
      </c>
      <c r="G2133" s="18" t="s">
        <v>34</v>
      </c>
      <c r="H2133" s="23" t="s">
        <v>35</v>
      </c>
      <c r="I2133" s="24" t="s">
        <v>36</v>
      </c>
      <c r="J2133" s="25" t="s">
        <v>49</v>
      </c>
      <c r="K2133" s="26" t="s">
        <v>38</v>
      </c>
      <c r="L2133" s="25">
        <v>11339.0</v>
      </c>
      <c r="M2133" s="27" t="s">
        <v>50</v>
      </c>
      <c r="N2133" s="26" t="s">
        <v>99</v>
      </c>
      <c r="O2133" s="28">
        <v>45523.58041033565</v>
      </c>
      <c r="P2133" s="26" t="s">
        <v>8418</v>
      </c>
      <c r="Q2133" s="11" t="s">
        <v>67</v>
      </c>
      <c r="R2133" s="11" t="s">
        <v>67</v>
      </c>
      <c r="S2133" s="11" t="s">
        <v>101</v>
      </c>
      <c r="T2133" s="29">
        <v>45517.64401496528</v>
      </c>
      <c r="U2133" s="29">
        <v>45518.46446108796</v>
      </c>
      <c r="V2133" s="29">
        <v>45520.71383908565</v>
      </c>
      <c r="W2133" s="30"/>
      <c r="X2133" s="30"/>
      <c r="Y2133" s="31"/>
      <c r="Z2133" s="31"/>
      <c r="AA2133" s="31" t="s">
        <v>127</v>
      </c>
      <c r="AB2133" s="31" t="s">
        <v>8419</v>
      </c>
      <c r="AC2133" s="31"/>
    </row>
    <row r="2134" ht="18.75" customHeight="1">
      <c r="A2134" s="142" t="s">
        <v>8420</v>
      </c>
      <c r="B2134" s="19" t="s">
        <v>8228</v>
      </c>
      <c r="C2134" s="20">
        <v>0.0</v>
      </c>
      <c r="D2134" s="21" t="s">
        <v>8421</v>
      </c>
      <c r="E2134" s="27" t="s">
        <v>8422</v>
      </c>
      <c r="F2134" s="18" t="s">
        <v>244</v>
      </c>
      <c r="G2134" s="32" t="s">
        <v>35</v>
      </c>
      <c r="H2134" s="23" t="s">
        <v>35</v>
      </c>
      <c r="I2134" s="24" t="s">
        <v>36</v>
      </c>
      <c r="J2134" s="25" t="s">
        <v>49</v>
      </c>
      <c r="K2134" s="26" t="s">
        <v>38</v>
      </c>
      <c r="L2134" s="25">
        <v>11452.0</v>
      </c>
      <c r="M2134" s="27" t="s">
        <v>50</v>
      </c>
      <c r="N2134" s="26" t="s">
        <v>99</v>
      </c>
      <c r="O2134" s="28">
        <v>45545.596690624996</v>
      </c>
      <c r="P2134" s="26" t="s">
        <v>8423</v>
      </c>
      <c r="Q2134" s="11" t="s">
        <v>67</v>
      </c>
      <c r="R2134" s="11" t="s">
        <v>67</v>
      </c>
      <c r="S2134" s="11" t="s">
        <v>101</v>
      </c>
      <c r="T2134" s="29">
        <v>45518.349220625</v>
      </c>
      <c r="U2134" s="29">
        <v>45540.40044518519</v>
      </c>
      <c r="V2134" s="29">
        <v>45544.571150185184</v>
      </c>
      <c r="W2134" s="30"/>
      <c r="X2134" s="30"/>
      <c r="Y2134" s="31"/>
      <c r="Z2134" s="31"/>
      <c r="AA2134" s="31" t="s">
        <v>127</v>
      </c>
      <c r="AB2134" s="31" t="s">
        <v>8424</v>
      </c>
      <c r="AC2134" s="31"/>
    </row>
    <row r="2135" ht="18.75" customHeight="1">
      <c r="A2135" s="142" t="s">
        <v>8425</v>
      </c>
      <c r="B2135" s="19" t="s">
        <v>8426</v>
      </c>
      <c r="C2135" s="20">
        <v>0.0</v>
      </c>
      <c r="D2135" s="21"/>
      <c r="E2135" s="27" t="s">
        <v>511</v>
      </c>
      <c r="F2135" s="18" t="s">
        <v>33</v>
      </c>
      <c r="G2135" s="32" t="s">
        <v>35</v>
      </c>
      <c r="H2135" s="23" t="s">
        <v>35</v>
      </c>
      <c r="I2135" s="24" t="s">
        <v>665</v>
      </c>
      <c r="J2135" s="25" t="s">
        <v>49</v>
      </c>
      <c r="K2135" s="26" t="s">
        <v>38</v>
      </c>
      <c r="L2135" s="25">
        <v>11330.0</v>
      </c>
      <c r="M2135" s="27" t="s">
        <v>50</v>
      </c>
      <c r="N2135" s="26" t="s">
        <v>5936</v>
      </c>
      <c r="O2135" s="28">
        <v>45520.55963744213</v>
      </c>
      <c r="P2135" s="35" t="s">
        <v>8427</v>
      </c>
      <c r="Q2135" s="11" t="s">
        <v>67</v>
      </c>
      <c r="R2135" s="11" t="s">
        <v>67</v>
      </c>
      <c r="S2135" s="11" t="s">
        <v>101</v>
      </c>
      <c r="T2135" s="29">
        <v>45518.46578373843</v>
      </c>
      <c r="U2135" s="29">
        <v>45518.58280238426</v>
      </c>
      <c r="V2135" s="29">
        <v>45519.44780945602</v>
      </c>
      <c r="W2135" s="30"/>
      <c r="X2135" s="30"/>
      <c r="Y2135" s="31"/>
      <c r="Z2135" s="31"/>
      <c r="AA2135" s="31"/>
      <c r="AB2135" s="31" t="s">
        <v>8428</v>
      </c>
      <c r="AC2135" s="31"/>
    </row>
    <row r="2136" ht="18.75" customHeight="1">
      <c r="A2136" s="142" t="s">
        <v>8429</v>
      </c>
      <c r="B2136" s="19" t="s">
        <v>8430</v>
      </c>
      <c r="C2136" s="20">
        <v>0.0</v>
      </c>
      <c r="D2136" s="21" t="s">
        <v>8431</v>
      </c>
      <c r="E2136" s="27" t="s">
        <v>664</v>
      </c>
      <c r="F2136" s="18" t="s">
        <v>48</v>
      </c>
      <c r="G2136" s="32" t="s">
        <v>35</v>
      </c>
      <c r="H2136" s="23" t="s">
        <v>35</v>
      </c>
      <c r="I2136" s="24" t="s">
        <v>36</v>
      </c>
      <c r="J2136" s="25" t="s">
        <v>339</v>
      </c>
      <c r="K2136" s="26" t="s">
        <v>38</v>
      </c>
      <c r="L2136" s="25">
        <v>11325.0</v>
      </c>
      <c r="M2136" s="27" t="s">
        <v>50</v>
      </c>
      <c r="N2136" s="26" t="s">
        <v>4963</v>
      </c>
      <c r="O2136" s="28">
        <v>45519.61362359954</v>
      </c>
      <c r="P2136" s="26" t="s">
        <v>8432</v>
      </c>
      <c r="Q2136" s="11" t="s">
        <v>67</v>
      </c>
      <c r="R2136" s="11" t="s">
        <v>67</v>
      </c>
      <c r="S2136" s="11" t="s">
        <v>50</v>
      </c>
      <c r="T2136" s="29">
        <v>45518.470365347224</v>
      </c>
      <c r="U2136" s="29">
        <v>45518.72645796296</v>
      </c>
      <c r="V2136" s="29">
        <v>45519.42806831018</v>
      </c>
      <c r="W2136" s="30"/>
      <c r="X2136" s="30"/>
      <c r="Y2136" s="31"/>
      <c r="Z2136" s="31"/>
      <c r="AA2136" s="31" t="s">
        <v>3059</v>
      </c>
      <c r="AB2136" s="31" t="s">
        <v>8433</v>
      </c>
      <c r="AC2136" s="31"/>
    </row>
    <row r="2137" ht="18.75" customHeight="1">
      <c r="A2137" s="142" t="s">
        <v>8434</v>
      </c>
      <c r="B2137" s="19" t="s">
        <v>8435</v>
      </c>
      <c r="C2137" s="20">
        <v>90.0</v>
      </c>
      <c r="D2137" s="21" t="s">
        <v>8436</v>
      </c>
      <c r="E2137" s="27" t="s">
        <v>91</v>
      </c>
      <c r="F2137" s="18" t="s">
        <v>48</v>
      </c>
      <c r="G2137" s="32" t="s">
        <v>35</v>
      </c>
      <c r="H2137" s="23" t="s">
        <v>35</v>
      </c>
      <c r="I2137" s="24" t="s">
        <v>36</v>
      </c>
      <c r="J2137" s="34" t="s">
        <v>65</v>
      </c>
      <c r="K2137" s="26" t="s">
        <v>38</v>
      </c>
      <c r="L2137" s="25">
        <v>11395.0</v>
      </c>
      <c r="M2137" s="27" t="s">
        <v>8437</v>
      </c>
      <c r="N2137" s="26"/>
      <c r="O2137" s="28">
        <v>45531.0</v>
      </c>
      <c r="P2137" s="26" t="s">
        <v>8438</v>
      </c>
      <c r="Q2137" s="11" t="s">
        <v>67</v>
      </c>
      <c r="R2137" s="11" t="s">
        <v>67</v>
      </c>
      <c r="S2137" s="11" t="s">
        <v>8439</v>
      </c>
      <c r="T2137" s="29">
        <v>45531.57293703704</v>
      </c>
      <c r="U2137" s="29">
        <v>45531.57293928241</v>
      </c>
      <c r="V2137" s="29">
        <v>45531.0</v>
      </c>
      <c r="W2137" s="30"/>
      <c r="X2137" s="30"/>
      <c r="Y2137" s="31"/>
      <c r="Z2137" s="31"/>
      <c r="AA2137" s="31" t="s">
        <v>94</v>
      </c>
      <c r="AB2137" s="31" t="s">
        <v>8440</v>
      </c>
      <c r="AC2137" s="31"/>
    </row>
    <row r="2138" ht="18.75" customHeight="1">
      <c r="A2138" s="142" t="s">
        <v>8441</v>
      </c>
      <c r="B2138" s="19" t="s">
        <v>3289</v>
      </c>
      <c r="C2138" s="20">
        <v>0.0</v>
      </c>
      <c r="D2138" s="21" t="s">
        <v>8442</v>
      </c>
      <c r="E2138" s="22" t="s">
        <v>2167</v>
      </c>
      <c r="F2138" s="18" t="s">
        <v>33</v>
      </c>
      <c r="G2138" s="32" t="s">
        <v>35</v>
      </c>
      <c r="H2138" s="23" t="s">
        <v>35</v>
      </c>
      <c r="I2138" s="24" t="s">
        <v>36</v>
      </c>
      <c r="J2138" s="25" t="s">
        <v>92</v>
      </c>
      <c r="K2138" s="26" t="s">
        <v>38</v>
      </c>
      <c r="L2138" s="25">
        <v>11331.0</v>
      </c>
      <c r="M2138" s="27" t="s">
        <v>50</v>
      </c>
      <c r="N2138" s="26" t="s">
        <v>4362</v>
      </c>
      <c r="O2138" s="28">
        <v>45553.5515128588</v>
      </c>
      <c r="P2138" s="26" t="s">
        <v>8443</v>
      </c>
      <c r="Q2138" s="11" t="s">
        <v>67</v>
      </c>
      <c r="R2138" s="11" t="s">
        <v>67</v>
      </c>
      <c r="S2138" s="11" t="s">
        <v>101</v>
      </c>
      <c r="T2138" s="29">
        <v>45518.47508015046</v>
      </c>
      <c r="U2138" s="29">
        <v>45518.582897534725</v>
      </c>
      <c r="V2138" s="29">
        <v>45519.696223252315</v>
      </c>
      <c r="W2138" s="30"/>
      <c r="X2138" s="30"/>
      <c r="Y2138" s="31"/>
      <c r="Z2138" s="31"/>
      <c r="AA2138" s="31" t="s">
        <v>120</v>
      </c>
      <c r="AB2138" s="31" t="s">
        <v>8444</v>
      </c>
      <c r="AC2138" s="31"/>
    </row>
    <row r="2139" ht="18.75" customHeight="1">
      <c r="A2139" s="142" t="s">
        <v>8445</v>
      </c>
      <c r="B2139" s="19" t="s">
        <v>7442</v>
      </c>
      <c r="C2139" s="20">
        <v>137.0</v>
      </c>
      <c r="D2139" s="21" t="s">
        <v>8446</v>
      </c>
      <c r="E2139" s="27" t="s">
        <v>85</v>
      </c>
      <c r="F2139" s="18" t="s">
        <v>48</v>
      </c>
      <c r="G2139" s="32" t="s">
        <v>35</v>
      </c>
      <c r="H2139" s="23" t="s">
        <v>35</v>
      </c>
      <c r="I2139" s="24" t="s">
        <v>36</v>
      </c>
      <c r="J2139" s="34" t="s">
        <v>65</v>
      </c>
      <c r="K2139" s="26" t="s">
        <v>38</v>
      </c>
      <c r="L2139" s="25">
        <v>11342.0</v>
      </c>
      <c r="M2139" s="27" t="s">
        <v>50</v>
      </c>
      <c r="N2139" s="26" t="s">
        <v>51</v>
      </c>
      <c r="O2139" s="28">
        <v>45523.60039568287</v>
      </c>
      <c r="P2139" s="26" t="s">
        <v>8447</v>
      </c>
      <c r="Q2139" s="11" t="s">
        <v>67</v>
      </c>
      <c r="R2139" s="11" t="s">
        <v>67</v>
      </c>
      <c r="S2139" s="11"/>
      <c r="T2139" s="29">
        <v>45523.60039568287</v>
      </c>
      <c r="U2139" s="29">
        <v>45523.60039568287</v>
      </c>
      <c r="V2139" s="29">
        <v>45523.60039568287</v>
      </c>
      <c r="W2139" s="30"/>
      <c r="X2139" s="30"/>
      <c r="Y2139" s="31"/>
      <c r="Z2139" s="31"/>
      <c r="AA2139" s="31" t="s">
        <v>94</v>
      </c>
      <c r="AB2139" s="31" t="s">
        <v>8448</v>
      </c>
      <c r="AC2139" s="31"/>
    </row>
    <row r="2140" ht="18.75" customHeight="1">
      <c r="A2140" s="18" t="s">
        <v>8449</v>
      </c>
      <c r="B2140" s="19" t="s">
        <v>7286</v>
      </c>
      <c r="C2140" s="20">
        <v>90.0</v>
      </c>
      <c r="D2140" s="21" t="s">
        <v>8450</v>
      </c>
      <c r="E2140" s="27" t="s">
        <v>91</v>
      </c>
      <c r="F2140" s="18" t="s">
        <v>48</v>
      </c>
      <c r="G2140" s="32" t="s">
        <v>35</v>
      </c>
      <c r="H2140" s="23" t="s">
        <v>35</v>
      </c>
      <c r="I2140" s="24" t="s">
        <v>36</v>
      </c>
      <c r="J2140" s="34" t="s">
        <v>65</v>
      </c>
      <c r="K2140" s="26" t="s">
        <v>38</v>
      </c>
      <c r="L2140" s="25"/>
      <c r="M2140" s="27" t="s">
        <v>1703</v>
      </c>
      <c r="N2140" s="26" t="s">
        <v>8451</v>
      </c>
      <c r="O2140" s="28">
        <v>45519.0</v>
      </c>
      <c r="P2140" s="26" t="s">
        <v>8452</v>
      </c>
      <c r="Q2140" s="11"/>
      <c r="R2140" s="11"/>
      <c r="S2140" s="11"/>
      <c r="T2140" s="29">
        <v>45483.0</v>
      </c>
      <c r="U2140" s="29">
        <v>45491.0</v>
      </c>
      <c r="V2140" s="29">
        <v>45491.0</v>
      </c>
      <c r="W2140" s="30"/>
      <c r="X2140" s="30"/>
      <c r="Y2140" s="31"/>
      <c r="Z2140" s="31"/>
      <c r="AA2140" s="31" t="s">
        <v>94</v>
      </c>
      <c r="AB2140" s="31" t="s">
        <v>8453</v>
      </c>
      <c r="AC2140" s="31"/>
    </row>
    <row r="2141" ht="18.75" customHeight="1">
      <c r="A2141" s="142" t="s">
        <v>8454</v>
      </c>
      <c r="B2141" s="19" t="s">
        <v>4313</v>
      </c>
      <c r="C2141" s="20">
        <v>34.0</v>
      </c>
      <c r="D2141" s="21" t="s">
        <v>8455</v>
      </c>
      <c r="E2141" s="27" t="s">
        <v>47</v>
      </c>
      <c r="F2141" s="18" t="s">
        <v>48</v>
      </c>
      <c r="G2141" s="32" t="s">
        <v>35</v>
      </c>
      <c r="H2141" s="23" t="s">
        <v>35</v>
      </c>
      <c r="I2141" s="24" t="s">
        <v>36</v>
      </c>
      <c r="J2141" s="25" t="s">
        <v>92</v>
      </c>
      <c r="K2141" s="26" t="s">
        <v>38</v>
      </c>
      <c r="L2141" s="25">
        <v>11346.0</v>
      </c>
      <c r="M2141" s="27" t="s">
        <v>50</v>
      </c>
      <c r="N2141" s="26" t="s">
        <v>118</v>
      </c>
      <c r="O2141" s="28">
        <v>45524.370765914355</v>
      </c>
      <c r="P2141" s="26" t="s">
        <v>8456</v>
      </c>
      <c r="Q2141" s="11" t="s">
        <v>67</v>
      </c>
      <c r="R2141" s="11"/>
      <c r="S2141" s="11" t="s">
        <v>50</v>
      </c>
      <c r="T2141" s="29">
        <v>45519.57655346065</v>
      </c>
      <c r="U2141" s="29"/>
      <c r="V2141" s="29">
        <v>45524.365218136576</v>
      </c>
      <c r="W2141" s="30"/>
      <c r="X2141" s="30"/>
      <c r="Y2141" s="31"/>
      <c r="Z2141" s="31"/>
      <c r="AA2141" s="31" t="s">
        <v>120</v>
      </c>
      <c r="AB2141" s="31" t="s">
        <v>8457</v>
      </c>
      <c r="AC2141" s="31"/>
    </row>
    <row r="2142" ht="18.75" customHeight="1">
      <c r="A2142" s="142" t="s">
        <v>8458</v>
      </c>
      <c r="B2142" s="19" t="s">
        <v>8459</v>
      </c>
      <c r="C2142" s="20">
        <v>0.0</v>
      </c>
      <c r="D2142" s="21" t="s">
        <v>8460</v>
      </c>
      <c r="E2142" s="27" t="s">
        <v>664</v>
      </c>
      <c r="F2142" s="18" t="s">
        <v>48</v>
      </c>
      <c r="G2142" s="32" t="s">
        <v>35</v>
      </c>
      <c r="H2142" s="23" t="s">
        <v>35</v>
      </c>
      <c r="I2142" s="24" t="s">
        <v>36</v>
      </c>
      <c r="J2142" s="25" t="s">
        <v>49</v>
      </c>
      <c r="K2142" s="26" t="s">
        <v>1506</v>
      </c>
      <c r="L2142" s="25">
        <v>11344.0</v>
      </c>
      <c r="M2142" s="27" t="s">
        <v>50</v>
      </c>
      <c r="N2142" s="26" t="s">
        <v>99</v>
      </c>
      <c r="O2142" s="28">
        <v>45524.62247001157</v>
      </c>
      <c r="P2142" s="26" t="s">
        <v>8461</v>
      </c>
      <c r="Q2142" s="11" t="s">
        <v>67</v>
      </c>
      <c r="R2142" s="11"/>
      <c r="S2142" s="11" t="s">
        <v>50</v>
      </c>
      <c r="T2142" s="29">
        <v>45519.583729687496</v>
      </c>
      <c r="U2142" s="29">
        <v>45519.65097390046</v>
      </c>
      <c r="V2142" s="29">
        <v>45524.35703396991</v>
      </c>
      <c r="W2142" s="30"/>
      <c r="X2142" s="30"/>
      <c r="Y2142" s="31"/>
      <c r="Z2142" s="31"/>
      <c r="AA2142" s="31" t="s">
        <v>3053</v>
      </c>
      <c r="AB2142" s="31" t="s">
        <v>8462</v>
      </c>
      <c r="AC2142" s="31"/>
    </row>
    <row r="2143" ht="18.75" customHeight="1">
      <c r="A2143" s="142" t="s">
        <v>8463</v>
      </c>
      <c r="B2143" s="19" t="s">
        <v>7885</v>
      </c>
      <c r="C2143" s="20">
        <v>11.0</v>
      </c>
      <c r="D2143" s="21" t="s">
        <v>8464</v>
      </c>
      <c r="E2143" s="27" t="s">
        <v>112</v>
      </c>
      <c r="F2143" s="18" t="s">
        <v>48</v>
      </c>
      <c r="G2143" s="32" t="s">
        <v>35</v>
      </c>
      <c r="H2143" s="23" t="s">
        <v>35</v>
      </c>
      <c r="I2143" s="24" t="s">
        <v>36</v>
      </c>
      <c r="J2143" s="25" t="s">
        <v>49</v>
      </c>
      <c r="K2143" s="26" t="s">
        <v>38</v>
      </c>
      <c r="L2143" s="25">
        <v>11366.0</v>
      </c>
      <c r="M2143" s="27" t="s">
        <v>50</v>
      </c>
      <c r="N2143" s="26" t="s">
        <v>5936</v>
      </c>
      <c r="O2143" s="28">
        <v>45527.58420193287</v>
      </c>
      <c r="P2143" s="26" t="s">
        <v>8465</v>
      </c>
      <c r="Q2143" s="11" t="s">
        <v>67</v>
      </c>
      <c r="R2143" s="11" t="s">
        <v>67</v>
      </c>
      <c r="S2143" s="11" t="s">
        <v>50</v>
      </c>
      <c r="T2143" s="29">
        <v>45519.59151777778</v>
      </c>
      <c r="U2143" s="29">
        <v>45526.677010659725</v>
      </c>
      <c r="V2143" s="29">
        <v>45527.337720428244</v>
      </c>
      <c r="W2143" s="30"/>
      <c r="X2143" s="30"/>
      <c r="Y2143" s="31"/>
      <c r="Z2143" s="31"/>
      <c r="AA2143" s="31" t="s">
        <v>127</v>
      </c>
      <c r="AB2143" s="31" t="s">
        <v>8466</v>
      </c>
      <c r="AC2143" s="31"/>
    </row>
    <row r="2144" ht="18.75" customHeight="1">
      <c r="A2144" s="142" t="s">
        <v>8467</v>
      </c>
      <c r="B2144" s="19" t="s">
        <v>3498</v>
      </c>
      <c r="C2144" s="20">
        <v>0.0</v>
      </c>
      <c r="D2144" s="21" t="s">
        <v>8468</v>
      </c>
      <c r="E2144" s="27" t="s">
        <v>511</v>
      </c>
      <c r="F2144" s="18" t="s">
        <v>33</v>
      </c>
      <c r="G2144" s="32" t="s">
        <v>35</v>
      </c>
      <c r="H2144" s="23" t="s">
        <v>35</v>
      </c>
      <c r="I2144" s="24" t="s">
        <v>36</v>
      </c>
      <c r="J2144" s="34" t="s">
        <v>65</v>
      </c>
      <c r="K2144" s="26" t="s">
        <v>38</v>
      </c>
      <c r="L2144" s="25">
        <v>11393.0</v>
      </c>
      <c r="M2144" s="27" t="s">
        <v>50</v>
      </c>
      <c r="N2144" s="26" t="s">
        <v>8469</v>
      </c>
      <c r="O2144" s="28">
        <v>45532.68819444445</v>
      </c>
      <c r="P2144" s="26" t="s">
        <v>8470</v>
      </c>
      <c r="Q2144" s="11" t="s">
        <v>67</v>
      </c>
      <c r="R2144" s="11" t="s">
        <v>67</v>
      </c>
      <c r="S2144" s="11" t="s">
        <v>101</v>
      </c>
      <c r="T2144" s="29">
        <v>45519.59247549769</v>
      </c>
      <c r="U2144" s="29">
        <v>45524.48597945602</v>
      </c>
      <c r="V2144" s="29">
        <v>45531.48412342592</v>
      </c>
      <c r="W2144" s="30"/>
      <c r="X2144" s="30"/>
      <c r="Y2144" s="31"/>
      <c r="Z2144" s="31"/>
      <c r="AA2144" s="31" t="s">
        <v>3059</v>
      </c>
      <c r="AB2144" s="31" t="s">
        <v>8471</v>
      </c>
      <c r="AC2144" s="31"/>
    </row>
    <row r="2145" ht="18.75" customHeight="1">
      <c r="A2145" s="18" t="s">
        <v>8472</v>
      </c>
      <c r="B2145" s="19" t="s">
        <v>110</v>
      </c>
      <c r="C2145" s="20">
        <v>0.0</v>
      </c>
      <c r="D2145" s="21" t="s">
        <v>8473</v>
      </c>
      <c r="E2145" s="22" t="s">
        <v>882</v>
      </c>
      <c r="F2145" s="18" t="s">
        <v>33</v>
      </c>
      <c r="G2145" s="32" t="s">
        <v>35</v>
      </c>
      <c r="H2145" s="23" t="s">
        <v>35</v>
      </c>
      <c r="I2145" s="24" t="s">
        <v>36</v>
      </c>
      <c r="J2145" s="34" t="s">
        <v>65</v>
      </c>
      <c r="K2145" s="26" t="s">
        <v>38</v>
      </c>
      <c r="L2145" s="25">
        <v>11410.0</v>
      </c>
      <c r="M2145" s="27" t="s">
        <v>50</v>
      </c>
      <c r="N2145" s="26" t="s">
        <v>5897</v>
      </c>
      <c r="O2145" s="28">
        <v>45533.67326373843</v>
      </c>
      <c r="P2145" s="26" t="s">
        <v>8474</v>
      </c>
      <c r="Q2145" s="11" t="s">
        <v>67</v>
      </c>
      <c r="R2145" s="11" t="s">
        <v>67</v>
      </c>
      <c r="S2145" s="11" t="s">
        <v>101</v>
      </c>
      <c r="T2145" s="29">
        <v>45519.59612663194</v>
      </c>
      <c r="U2145" s="29">
        <v>45525.34436747685</v>
      </c>
      <c r="V2145" s="29">
        <v>45532.65450002315</v>
      </c>
      <c r="W2145" s="30"/>
      <c r="X2145" s="30"/>
      <c r="Y2145" s="31"/>
      <c r="Z2145" s="31"/>
      <c r="AA2145" s="31" t="s">
        <v>94</v>
      </c>
      <c r="AB2145" s="31" t="s">
        <v>8475</v>
      </c>
      <c r="AC2145" s="31"/>
    </row>
    <row r="2146" ht="18.75" customHeight="1">
      <c r="A2146" s="18" t="s">
        <v>8476</v>
      </c>
      <c r="B2146" s="19" t="s">
        <v>110</v>
      </c>
      <c r="C2146" s="20">
        <v>0.0</v>
      </c>
      <c r="D2146" s="21" t="s">
        <v>8477</v>
      </c>
      <c r="E2146" s="22" t="s">
        <v>882</v>
      </c>
      <c r="F2146" s="18" t="s">
        <v>33</v>
      </c>
      <c r="G2146" s="32" t="s">
        <v>35</v>
      </c>
      <c r="H2146" s="23" t="s">
        <v>35</v>
      </c>
      <c r="I2146" s="24" t="s">
        <v>36</v>
      </c>
      <c r="J2146" s="34" t="s">
        <v>65</v>
      </c>
      <c r="K2146" s="26" t="s">
        <v>38</v>
      </c>
      <c r="L2146" s="25">
        <v>11410.0</v>
      </c>
      <c r="M2146" s="27" t="s">
        <v>50</v>
      </c>
      <c r="N2146" s="26" t="s">
        <v>5897</v>
      </c>
      <c r="O2146" s="28">
        <v>45533.67318331018</v>
      </c>
      <c r="P2146" s="26" t="s">
        <v>8474</v>
      </c>
      <c r="Q2146" s="11" t="s">
        <v>67</v>
      </c>
      <c r="R2146" s="11" t="s">
        <v>67</v>
      </c>
      <c r="S2146" s="11" t="s">
        <v>101</v>
      </c>
      <c r="T2146" s="29">
        <v>45519.59761810185</v>
      </c>
      <c r="U2146" s="29">
        <v>45525.34444960648</v>
      </c>
      <c r="V2146" s="29">
        <v>45532.65450913194</v>
      </c>
      <c r="W2146" s="30"/>
      <c r="X2146" s="30"/>
      <c r="Y2146" s="31"/>
      <c r="Z2146" s="31"/>
      <c r="AA2146" s="31" t="s">
        <v>94</v>
      </c>
      <c r="AB2146" s="31" t="s">
        <v>8478</v>
      </c>
      <c r="AC2146" s="31"/>
    </row>
    <row r="2147" ht="18.75" customHeight="1">
      <c r="A2147" s="18" t="s">
        <v>8479</v>
      </c>
      <c r="B2147" s="19" t="s">
        <v>110</v>
      </c>
      <c r="C2147" s="20">
        <v>0.0</v>
      </c>
      <c r="D2147" s="21" t="s">
        <v>8480</v>
      </c>
      <c r="E2147" s="22" t="s">
        <v>882</v>
      </c>
      <c r="F2147" s="18" t="s">
        <v>33</v>
      </c>
      <c r="G2147" s="32" t="s">
        <v>35</v>
      </c>
      <c r="H2147" s="23" t="s">
        <v>35</v>
      </c>
      <c r="I2147" s="24" t="s">
        <v>36</v>
      </c>
      <c r="J2147" s="34" t="s">
        <v>65</v>
      </c>
      <c r="K2147" s="26" t="s">
        <v>38</v>
      </c>
      <c r="L2147" s="25">
        <v>11410.0</v>
      </c>
      <c r="M2147" s="27" t="s">
        <v>50</v>
      </c>
      <c r="N2147" s="26" t="s">
        <v>5897</v>
      </c>
      <c r="O2147" s="28">
        <v>45533.67309571759</v>
      </c>
      <c r="P2147" s="26" t="s">
        <v>8474</v>
      </c>
      <c r="Q2147" s="11" t="s">
        <v>67</v>
      </c>
      <c r="R2147" s="11" t="s">
        <v>67</v>
      </c>
      <c r="S2147" s="11" t="s">
        <v>101</v>
      </c>
      <c r="T2147" s="29">
        <v>45519.597767025465</v>
      </c>
      <c r="U2147" s="29">
        <v>45525.344453854166</v>
      </c>
      <c r="V2147" s="29">
        <v>45532.6545256713</v>
      </c>
      <c r="W2147" s="30"/>
      <c r="X2147" s="30"/>
      <c r="Y2147" s="31"/>
      <c r="Z2147" s="31"/>
      <c r="AA2147" s="31" t="s">
        <v>94</v>
      </c>
      <c r="AB2147" s="31" t="s">
        <v>8481</v>
      </c>
      <c r="AC2147" s="31"/>
    </row>
    <row r="2148" ht="18.75" customHeight="1">
      <c r="A2148" s="142" t="s">
        <v>8482</v>
      </c>
      <c r="B2148" s="19" t="s">
        <v>8483</v>
      </c>
      <c r="C2148" s="20">
        <v>137.0</v>
      </c>
      <c r="D2148" s="21" t="s">
        <v>8484</v>
      </c>
      <c r="E2148" s="27" t="s">
        <v>85</v>
      </c>
      <c r="F2148" s="18" t="s">
        <v>48</v>
      </c>
      <c r="G2148" s="32" t="s">
        <v>35</v>
      </c>
      <c r="H2148" s="23" t="s">
        <v>35</v>
      </c>
      <c r="I2148" s="24" t="s">
        <v>36</v>
      </c>
      <c r="J2148" s="34" t="s">
        <v>65</v>
      </c>
      <c r="K2148" s="26" t="s">
        <v>38</v>
      </c>
      <c r="L2148" s="25">
        <v>11326.0</v>
      </c>
      <c r="M2148" s="27" t="s">
        <v>50</v>
      </c>
      <c r="N2148" s="26" t="s">
        <v>51</v>
      </c>
      <c r="O2148" s="28">
        <v>45520.34972133102</v>
      </c>
      <c r="P2148" s="26" t="s">
        <v>8485</v>
      </c>
      <c r="Q2148" s="11" t="s">
        <v>67</v>
      </c>
      <c r="R2148" s="11" t="s">
        <v>67</v>
      </c>
      <c r="S2148" s="11"/>
      <c r="T2148" s="29">
        <v>45520.34972133102</v>
      </c>
      <c r="U2148" s="29">
        <v>45520.34972133102</v>
      </c>
      <c r="V2148" s="29">
        <v>45520.34972133102</v>
      </c>
      <c r="W2148" s="30"/>
      <c r="X2148" s="30"/>
      <c r="Y2148" s="31"/>
      <c r="Z2148" s="31"/>
      <c r="AA2148" s="31" t="s">
        <v>94</v>
      </c>
      <c r="AB2148" s="31" t="s">
        <v>8486</v>
      </c>
      <c r="AC2148" s="31"/>
    </row>
    <row r="2149" ht="18.75" customHeight="1">
      <c r="A2149" s="142" t="s">
        <v>8487</v>
      </c>
      <c r="B2149" s="19" t="s">
        <v>8488</v>
      </c>
      <c r="C2149" s="20">
        <v>0.0</v>
      </c>
      <c r="D2149" s="21" t="s">
        <v>8489</v>
      </c>
      <c r="E2149" s="27" t="s">
        <v>8230</v>
      </c>
      <c r="F2149" s="18" t="s">
        <v>33</v>
      </c>
      <c r="G2149" s="32" t="s">
        <v>35</v>
      </c>
      <c r="H2149" s="23" t="s">
        <v>35</v>
      </c>
      <c r="I2149" s="24" t="s">
        <v>36</v>
      </c>
      <c r="J2149" s="25" t="s">
        <v>49</v>
      </c>
      <c r="K2149" s="26" t="s">
        <v>447</v>
      </c>
      <c r="L2149" s="25">
        <v>11401.0</v>
      </c>
      <c r="M2149" s="27" t="s">
        <v>50</v>
      </c>
      <c r="N2149" s="26" t="s">
        <v>5936</v>
      </c>
      <c r="O2149" s="28">
        <v>45532.62411113426</v>
      </c>
      <c r="P2149" s="26" t="s">
        <v>8490</v>
      </c>
      <c r="Q2149" s="11" t="s">
        <v>73</v>
      </c>
      <c r="R2149" s="11" t="s">
        <v>67</v>
      </c>
      <c r="S2149" s="11" t="s">
        <v>101</v>
      </c>
      <c r="T2149" s="29">
        <v>45520.64029650463</v>
      </c>
      <c r="U2149" s="29">
        <v>45520.64428467593</v>
      </c>
      <c r="V2149" s="29">
        <v>45531.48400824074</v>
      </c>
      <c r="W2149" s="30"/>
      <c r="X2149" s="30"/>
      <c r="Y2149" s="31"/>
      <c r="Z2149" s="31"/>
      <c r="AA2149" s="31" t="s">
        <v>108</v>
      </c>
      <c r="AB2149" s="31" t="s">
        <v>8491</v>
      </c>
      <c r="AC2149" s="31"/>
    </row>
    <row r="2150" ht="18.75" customHeight="1">
      <c r="A2150" s="18" t="s">
        <v>8492</v>
      </c>
      <c r="B2150" s="19" t="s">
        <v>4206</v>
      </c>
      <c r="C2150" s="20">
        <v>0.0</v>
      </c>
      <c r="D2150" s="21" t="s">
        <v>8493</v>
      </c>
      <c r="E2150" s="22" t="s">
        <v>289</v>
      </c>
      <c r="F2150" s="18" t="s">
        <v>33</v>
      </c>
      <c r="G2150" s="32" t="s">
        <v>35</v>
      </c>
      <c r="H2150" s="23" t="s">
        <v>35</v>
      </c>
      <c r="I2150" s="24" t="s">
        <v>36</v>
      </c>
      <c r="J2150" s="34" t="s">
        <v>65</v>
      </c>
      <c r="K2150" s="26" t="s">
        <v>38</v>
      </c>
      <c r="L2150" s="25">
        <v>11372.0</v>
      </c>
      <c r="M2150" s="27" t="s">
        <v>50</v>
      </c>
      <c r="N2150" s="26" t="s">
        <v>136</v>
      </c>
      <c r="O2150" s="28">
        <v>45530.496121909724</v>
      </c>
      <c r="P2150" s="26" t="s">
        <v>8494</v>
      </c>
      <c r="Q2150" s="11" t="s">
        <v>73</v>
      </c>
      <c r="R2150" s="11" t="s">
        <v>73</v>
      </c>
      <c r="S2150" s="11" t="s">
        <v>101</v>
      </c>
      <c r="T2150" s="29">
        <v>45523.38443092593</v>
      </c>
      <c r="U2150" s="29">
        <v>45523.384914594906</v>
      </c>
      <c r="V2150" s="29">
        <v>45526.346215474536</v>
      </c>
      <c r="W2150" s="30"/>
      <c r="X2150" s="30"/>
      <c r="Y2150" s="31"/>
      <c r="Z2150" s="31"/>
      <c r="AA2150" s="31" t="s">
        <v>3059</v>
      </c>
      <c r="AB2150" s="31" t="s">
        <v>8495</v>
      </c>
      <c r="AC2150" s="31"/>
    </row>
    <row r="2151" ht="18.75" customHeight="1">
      <c r="A2151" s="18" t="s">
        <v>8496</v>
      </c>
      <c r="B2151" s="19" t="s">
        <v>4206</v>
      </c>
      <c r="C2151" s="20">
        <v>0.0</v>
      </c>
      <c r="D2151" s="21" t="s">
        <v>8497</v>
      </c>
      <c r="E2151" s="22" t="s">
        <v>289</v>
      </c>
      <c r="F2151" s="18" t="s">
        <v>33</v>
      </c>
      <c r="G2151" s="32" t="s">
        <v>35</v>
      </c>
      <c r="H2151" s="23" t="s">
        <v>35</v>
      </c>
      <c r="I2151" s="24" t="s">
        <v>36</v>
      </c>
      <c r="J2151" s="34" t="s">
        <v>65</v>
      </c>
      <c r="K2151" s="26" t="s">
        <v>38</v>
      </c>
      <c r="L2151" s="25">
        <v>11372.0</v>
      </c>
      <c r="M2151" s="27" t="s">
        <v>50</v>
      </c>
      <c r="N2151" s="26" t="s">
        <v>136</v>
      </c>
      <c r="O2151" s="28">
        <v>45530.496195914355</v>
      </c>
      <c r="P2151" s="26" t="s">
        <v>8494</v>
      </c>
      <c r="Q2151" s="11" t="s">
        <v>73</v>
      </c>
      <c r="R2151" s="11" t="s">
        <v>73</v>
      </c>
      <c r="S2151" s="11" t="s">
        <v>101</v>
      </c>
      <c r="T2151" s="29">
        <v>45523.38447482639</v>
      </c>
      <c r="U2151" s="29">
        <v>45523.38498758102</v>
      </c>
      <c r="V2151" s="29">
        <v>45526.346215474536</v>
      </c>
      <c r="W2151" s="30"/>
      <c r="X2151" s="30"/>
      <c r="Y2151" s="31"/>
      <c r="Z2151" s="31"/>
      <c r="AA2151" s="31" t="s">
        <v>3059</v>
      </c>
      <c r="AB2151" s="31" t="s">
        <v>8498</v>
      </c>
      <c r="AC2151" s="31"/>
    </row>
    <row r="2152" ht="18.75" customHeight="1">
      <c r="A2152" s="142" t="s">
        <v>8499</v>
      </c>
      <c r="B2152" s="19" t="s">
        <v>4215</v>
      </c>
      <c r="C2152" s="20">
        <v>0.0</v>
      </c>
      <c r="D2152" s="21" t="s">
        <v>8500</v>
      </c>
      <c r="E2152" s="27" t="s">
        <v>295</v>
      </c>
      <c r="F2152" s="18" t="s">
        <v>33</v>
      </c>
      <c r="G2152" s="18" t="s">
        <v>34</v>
      </c>
      <c r="H2152" s="23" t="s">
        <v>35</v>
      </c>
      <c r="I2152" s="24" t="s">
        <v>36</v>
      </c>
      <c r="J2152" s="25" t="s">
        <v>420</v>
      </c>
      <c r="K2152" s="26" t="s">
        <v>38</v>
      </c>
      <c r="L2152" s="25">
        <v>11347.0</v>
      </c>
      <c r="M2152" s="27" t="s">
        <v>50</v>
      </c>
      <c r="N2152" s="26" t="s">
        <v>4031</v>
      </c>
      <c r="O2152" s="28">
        <v>45524.56925759259</v>
      </c>
      <c r="P2152" s="26" t="s">
        <v>8501</v>
      </c>
      <c r="Q2152" s="11" t="s">
        <v>67</v>
      </c>
      <c r="R2152" s="11" t="s">
        <v>67</v>
      </c>
      <c r="S2152" s="11" t="s">
        <v>101</v>
      </c>
      <c r="T2152" s="29">
        <v>45523.43020793982</v>
      </c>
      <c r="U2152" s="29">
        <v>45523.57559163195</v>
      </c>
      <c r="V2152" s="29">
        <v>45524.37022283565</v>
      </c>
      <c r="W2152" s="30"/>
      <c r="X2152" s="30"/>
      <c r="Y2152" s="31"/>
      <c r="Z2152" s="31"/>
      <c r="AA2152" s="31" t="s">
        <v>120</v>
      </c>
      <c r="AB2152" s="31" t="s">
        <v>8502</v>
      </c>
      <c r="AC2152" s="31"/>
    </row>
    <row r="2153" ht="18.75" customHeight="1">
      <c r="A2153" s="142" t="s">
        <v>8503</v>
      </c>
      <c r="B2153" s="19" t="s">
        <v>4472</v>
      </c>
      <c r="C2153" s="20">
        <v>34.0</v>
      </c>
      <c r="D2153" s="21" t="s">
        <v>8504</v>
      </c>
      <c r="E2153" s="27" t="s">
        <v>47</v>
      </c>
      <c r="F2153" s="18" t="s">
        <v>48</v>
      </c>
      <c r="G2153" s="32" t="s">
        <v>35</v>
      </c>
      <c r="H2153" s="23" t="s">
        <v>35</v>
      </c>
      <c r="I2153" s="24" t="s">
        <v>36</v>
      </c>
      <c r="J2153" s="25" t="s">
        <v>49</v>
      </c>
      <c r="K2153" s="26" t="s">
        <v>38</v>
      </c>
      <c r="L2153" s="25">
        <v>11345.0</v>
      </c>
      <c r="M2153" s="27" t="s">
        <v>50</v>
      </c>
      <c r="N2153" s="26" t="s">
        <v>99</v>
      </c>
      <c r="O2153" s="28">
        <v>45524.622547743056</v>
      </c>
      <c r="P2153" s="26" t="s">
        <v>8505</v>
      </c>
      <c r="Q2153" s="11" t="s">
        <v>67</v>
      </c>
      <c r="R2153" s="11" t="s">
        <v>67</v>
      </c>
      <c r="S2153" s="11" t="s">
        <v>50</v>
      </c>
      <c r="T2153" s="29">
        <v>45523.4323687037</v>
      </c>
      <c r="U2153" s="29">
        <v>45523.44416490741</v>
      </c>
      <c r="V2153" s="29">
        <v>45524.35705175926</v>
      </c>
      <c r="W2153" s="30"/>
      <c r="X2153" s="30"/>
      <c r="Y2153" s="31"/>
      <c r="Z2153" s="31"/>
      <c r="AA2153" s="31" t="s">
        <v>102</v>
      </c>
      <c r="AB2153" s="31" t="s">
        <v>8506</v>
      </c>
      <c r="AC2153" s="31"/>
    </row>
    <row r="2154" ht="18.75" customHeight="1">
      <c r="A2154" s="142" t="s">
        <v>8507</v>
      </c>
      <c r="B2154" s="19" t="s">
        <v>4472</v>
      </c>
      <c r="C2154" s="20">
        <v>0.0</v>
      </c>
      <c r="D2154" s="21" t="s">
        <v>8508</v>
      </c>
      <c r="E2154" s="27" t="s">
        <v>268</v>
      </c>
      <c r="F2154" s="18" t="s">
        <v>33</v>
      </c>
      <c r="G2154" s="32" t="s">
        <v>35</v>
      </c>
      <c r="H2154" s="23" t="s">
        <v>35</v>
      </c>
      <c r="I2154" s="24" t="s">
        <v>36</v>
      </c>
      <c r="J2154" s="25" t="s">
        <v>49</v>
      </c>
      <c r="K2154" s="26" t="s">
        <v>38</v>
      </c>
      <c r="L2154" s="25">
        <v>11402.0</v>
      </c>
      <c r="M2154" s="27" t="s">
        <v>50</v>
      </c>
      <c r="N2154" s="26" t="s">
        <v>5936</v>
      </c>
      <c r="O2154" s="28">
        <v>45532.6242015162</v>
      </c>
      <c r="P2154" s="26" t="s">
        <v>8509</v>
      </c>
      <c r="Q2154" s="11" t="s">
        <v>67</v>
      </c>
      <c r="R2154" s="11" t="s">
        <v>67</v>
      </c>
      <c r="S2154" s="11" t="s">
        <v>101</v>
      </c>
      <c r="T2154" s="29">
        <v>45523.43363356481</v>
      </c>
      <c r="U2154" s="29">
        <v>45523.44439625</v>
      </c>
      <c r="V2154" s="29">
        <v>45531.48391739583</v>
      </c>
      <c r="W2154" s="30"/>
      <c r="X2154" s="30"/>
      <c r="Y2154" s="31"/>
      <c r="Z2154" s="31"/>
      <c r="AA2154" s="31" t="s">
        <v>102</v>
      </c>
      <c r="AB2154" s="31" t="s">
        <v>8510</v>
      </c>
      <c r="AC2154" s="31"/>
    </row>
    <row r="2155" ht="18.75" customHeight="1">
      <c r="A2155" s="142" t="s">
        <v>8511</v>
      </c>
      <c r="B2155" s="19" t="s">
        <v>8512</v>
      </c>
      <c r="C2155" s="20">
        <v>0.0</v>
      </c>
      <c r="D2155" s="21" t="s">
        <v>8513</v>
      </c>
      <c r="E2155" s="27" t="s">
        <v>338</v>
      </c>
      <c r="F2155" s="18" t="s">
        <v>33</v>
      </c>
      <c r="G2155" s="32" t="s">
        <v>35</v>
      </c>
      <c r="H2155" s="23" t="s">
        <v>35</v>
      </c>
      <c r="I2155" s="24" t="s">
        <v>36</v>
      </c>
      <c r="J2155" s="25" t="s">
        <v>49</v>
      </c>
      <c r="K2155" s="26" t="s">
        <v>518</v>
      </c>
      <c r="L2155" s="25">
        <v>11360.0</v>
      </c>
      <c r="M2155" s="27" t="s">
        <v>50</v>
      </c>
      <c r="N2155" s="26" t="s">
        <v>5936</v>
      </c>
      <c r="O2155" s="28">
        <v>45526.59095358796</v>
      </c>
      <c r="P2155" s="26" t="s">
        <v>8514</v>
      </c>
      <c r="Q2155" s="11" t="s">
        <v>67</v>
      </c>
      <c r="R2155" s="11" t="s">
        <v>67</v>
      </c>
      <c r="S2155" s="11" t="s">
        <v>101</v>
      </c>
      <c r="T2155" s="29">
        <v>45523.70326516204</v>
      </c>
      <c r="U2155" s="29">
        <v>45523.70464260416</v>
      </c>
      <c r="V2155" s="29">
        <v>45525.720736504634</v>
      </c>
      <c r="W2155" s="30"/>
      <c r="X2155" s="30"/>
      <c r="Y2155" s="31"/>
      <c r="Z2155" s="31"/>
      <c r="AA2155" s="31" t="s">
        <v>108</v>
      </c>
      <c r="AB2155" s="31" t="s">
        <v>8515</v>
      </c>
      <c r="AC2155" s="31"/>
    </row>
    <row r="2156" ht="18.75" customHeight="1">
      <c r="A2156" s="142" t="s">
        <v>8516</v>
      </c>
      <c r="B2156" s="19" t="s">
        <v>5047</v>
      </c>
      <c r="C2156" s="20">
        <v>0.0</v>
      </c>
      <c r="D2156" s="21" t="s">
        <v>8517</v>
      </c>
      <c r="E2156" s="27" t="s">
        <v>3441</v>
      </c>
      <c r="F2156" s="18" t="s">
        <v>48</v>
      </c>
      <c r="G2156" s="32" t="s">
        <v>35</v>
      </c>
      <c r="H2156" s="23" t="s">
        <v>35</v>
      </c>
      <c r="I2156" s="24" t="s">
        <v>36</v>
      </c>
      <c r="J2156" s="25" t="s">
        <v>37</v>
      </c>
      <c r="K2156" s="26" t="s">
        <v>38</v>
      </c>
      <c r="L2156" s="25">
        <v>11404.0</v>
      </c>
      <c r="M2156" s="27" t="s">
        <v>50</v>
      </c>
      <c r="N2156" s="26" t="s">
        <v>41</v>
      </c>
      <c r="O2156" s="28">
        <v>45532.56319027778</v>
      </c>
      <c r="P2156" s="26" t="s">
        <v>8518</v>
      </c>
      <c r="Q2156" s="11" t="s">
        <v>67</v>
      </c>
      <c r="R2156" s="11" t="s">
        <v>67</v>
      </c>
      <c r="S2156" s="11" t="s">
        <v>50</v>
      </c>
      <c r="T2156" s="29">
        <v>45523.435948287035</v>
      </c>
      <c r="U2156" s="29">
        <v>45523.57536012732</v>
      </c>
      <c r="V2156" s="29">
        <v>45531.63246841435</v>
      </c>
      <c r="W2156" s="30"/>
      <c r="X2156" s="30"/>
      <c r="Y2156" s="31"/>
      <c r="Z2156" s="31"/>
      <c r="AA2156" s="31" t="s">
        <v>120</v>
      </c>
      <c r="AB2156" s="31" t="s">
        <v>8519</v>
      </c>
      <c r="AC2156" s="31"/>
    </row>
    <row r="2157" ht="18.75" customHeight="1">
      <c r="A2157" s="142" t="s">
        <v>8520</v>
      </c>
      <c r="B2157" s="19" t="s">
        <v>4035</v>
      </c>
      <c r="C2157" s="20">
        <v>137.0</v>
      </c>
      <c r="D2157" s="21" t="s">
        <v>8521</v>
      </c>
      <c r="E2157" s="27" t="s">
        <v>85</v>
      </c>
      <c r="F2157" s="18" t="s">
        <v>48</v>
      </c>
      <c r="G2157" s="32" t="s">
        <v>35</v>
      </c>
      <c r="H2157" s="23" t="s">
        <v>35</v>
      </c>
      <c r="I2157" s="24" t="s">
        <v>36</v>
      </c>
      <c r="J2157" s="34" t="s">
        <v>65</v>
      </c>
      <c r="K2157" s="26" t="s">
        <v>38</v>
      </c>
      <c r="L2157" s="25">
        <v>11340.0</v>
      </c>
      <c r="M2157" s="27" t="s">
        <v>50</v>
      </c>
      <c r="N2157" s="26" t="s">
        <v>51</v>
      </c>
      <c r="O2157" s="28">
        <v>45523.45418927084</v>
      </c>
      <c r="P2157" s="26" t="s">
        <v>8522</v>
      </c>
      <c r="Q2157" s="11" t="s">
        <v>67</v>
      </c>
      <c r="R2157" s="11" t="s">
        <v>67</v>
      </c>
      <c r="S2157" s="11"/>
      <c r="T2157" s="29">
        <v>45523.45418927084</v>
      </c>
      <c r="U2157" s="29">
        <v>45523.45418927084</v>
      </c>
      <c r="V2157" s="29">
        <v>45523.45418927084</v>
      </c>
      <c r="W2157" s="30"/>
      <c r="X2157" s="30"/>
      <c r="Y2157" s="31"/>
      <c r="Z2157" s="31"/>
      <c r="AA2157" s="31" t="s">
        <v>94</v>
      </c>
      <c r="AB2157" s="31" t="s">
        <v>8523</v>
      </c>
      <c r="AC2157" s="31"/>
    </row>
    <row r="2158" ht="18.75" customHeight="1">
      <c r="A2158" s="18" t="s">
        <v>8524</v>
      </c>
      <c r="B2158" s="19" t="s">
        <v>1069</v>
      </c>
      <c r="C2158" s="20">
        <v>34.0</v>
      </c>
      <c r="D2158" s="21" t="s">
        <v>8525</v>
      </c>
      <c r="E2158" s="27" t="s">
        <v>47</v>
      </c>
      <c r="F2158" s="18" t="s">
        <v>48</v>
      </c>
      <c r="G2158" s="32" t="s">
        <v>35</v>
      </c>
      <c r="H2158" s="23" t="s">
        <v>35</v>
      </c>
      <c r="I2158" s="24" t="s">
        <v>36</v>
      </c>
      <c r="J2158" s="34" t="s">
        <v>65</v>
      </c>
      <c r="K2158" s="26" t="s">
        <v>38</v>
      </c>
      <c r="L2158" s="25">
        <v>11448.0</v>
      </c>
      <c r="M2158" s="27" t="s">
        <v>50</v>
      </c>
      <c r="N2158" s="26" t="s">
        <v>5897</v>
      </c>
      <c r="O2158" s="28">
        <v>45544.72349833333</v>
      </c>
      <c r="P2158" s="26" t="s">
        <v>8526</v>
      </c>
      <c r="Q2158" s="11"/>
      <c r="R2158" s="11" t="s">
        <v>67</v>
      </c>
      <c r="S2158" s="11" t="s">
        <v>50</v>
      </c>
      <c r="T2158" s="29">
        <v>45523.48673184028</v>
      </c>
      <c r="U2158" s="29">
        <v>45544.72349833333</v>
      </c>
      <c r="V2158" s="29">
        <v>45544.430236875</v>
      </c>
      <c r="W2158" s="30"/>
      <c r="X2158" s="30"/>
      <c r="Y2158" s="31"/>
      <c r="Z2158" s="31"/>
      <c r="AA2158" s="31" t="s">
        <v>94</v>
      </c>
      <c r="AB2158" s="31" t="s">
        <v>8527</v>
      </c>
      <c r="AC2158" s="31"/>
    </row>
    <row r="2159" ht="18.75" customHeight="1">
      <c r="A2159" s="18" t="s">
        <v>8528</v>
      </c>
      <c r="B2159" s="19" t="s">
        <v>1069</v>
      </c>
      <c r="C2159" s="20">
        <v>90.0</v>
      </c>
      <c r="D2159" s="21" t="s">
        <v>8529</v>
      </c>
      <c r="E2159" s="27" t="s">
        <v>91</v>
      </c>
      <c r="F2159" s="18" t="s">
        <v>48</v>
      </c>
      <c r="G2159" s="32" t="s">
        <v>35</v>
      </c>
      <c r="H2159" s="23" t="s">
        <v>35</v>
      </c>
      <c r="I2159" s="24" t="s">
        <v>36</v>
      </c>
      <c r="J2159" s="34" t="s">
        <v>65</v>
      </c>
      <c r="K2159" s="26" t="s">
        <v>38</v>
      </c>
      <c r="L2159" s="25">
        <v>11448.0</v>
      </c>
      <c r="M2159" s="27" t="s">
        <v>50</v>
      </c>
      <c r="N2159" s="26" t="s">
        <v>5897</v>
      </c>
      <c r="O2159" s="28">
        <v>45544.723567256944</v>
      </c>
      <c r="P2159" s="26" t="s">
        <v>8526</v>
      </c>
      <c r="Q2159" s="11" t="s">
        <v>67</v>
      </c>
      <c r="R2159" s="11" t="s">
        <v>67</v>
      </c>
      <c r="S2159" s="11" t="s">
        <v>50</v>
      </c>
      <c r="T2159" s="29">
        <v>45523.48770761574</v>
      </c>
      <c r="U2159" s="29">
        <v>45544.72349833333</v>
      </c>
      <c r="V2159" s="29">
        <v>45544.41130340278</v>
      </c>
      <c r="W2159" s="30"/>
      <c r="X2159" s="30"/>
      <c r="Y2159" s="31"/>
      <c r="Z2159" s="31"/>
      <c r="AA2159" s="31" t="s">
        <v>94</v>
      </c>
      <c r="AB2159" s="31" t="s">
        <v>8530</v>
      </c>
      <c r="AC2159" s="31"/>
    </row>
    <row r="2160" ht="18.75" customHeight="1">
      <c r="A2160" s="142" t="s">
        <v>8531</v>
      </c>
      <c r="B2160" s="19" t="s">
        <v>4614</v>
      </c>
      <c r="C2160" s="20">
        <v>137.0</v>
      </c>
      <c r="D2160" s="21" t="s">
        <v>8532</v>
      </c>
      <c r="E2160" s="27" t="s">
        <v>85</v>
      </c>
      <c r="F2160" s="18" t="s">
        <v>48</v>
      </c>
      <c r="G2160" s="32" t="s">
        <v>35</v>
      </c>
      <c r="H2160" s="23" t="s">
        <v>35</v>
      </c>
      <c r="I2160" s="24" t="s">
        <v>36</v>
      </c>
      <c r="J2160" s="34" t="s">
        <v>65</v>
      </c>
      <c r="K2160" s="26" t="s">
        <v>38</v>
      </c>
      <c r="L2160" s="25">
        <v>11350.0</v>
      </c>
      <c r="M2160" s="27" t="s">
        <v>50</v>
      </c>
      <c r="N2160" s="26" t="s">
        <v>51</v>
      </c>
      <c r="O2160" s="28">
        <v>45525.346849305555</v>
      </c>
      <c r="P2160" s="26" t="s">
        <v>8533</v>
      </c>
      <c r="Q2160" s="11" t="s">
        <v>67</v>
      </c>
      <c r="R2160" s="11" t="s">
        <v>67</v>
      </c>
      <c r="S2160" s="11"/>
      <c r="T2160" s="29">
        <v>45525.346849305555</v>
      </c>
      <c r="U2160" s="29">
        <v>45525.346849305555</v>
      </c>
      <c r="V2160" s="29">
        <v>45525.346849305555</v>
      </c>
      <c r="W2160" s="30"/>
      <c r="X2160" s="30"/>
      <c r="Y2160" s="31"/>
      <c r="Z2160" s="31"/>
      <c r="AA2160" s="31" t="s">
        <v>94</v>
      </c>
      <c r="AB2160" s="31" t="s">
        <v>8534</v>
      </c>
      <c r="AC2160" s="31"/>
    </row>
    <row r="2161" ht="18.75" customHeight="1">
      <c r="A2161" s="142" t="s">
        <v>8535</v>
      </c>
      <c r="B2161" s="19" t="s">
        <v>6361</v>
      </c>
      <c r="C2161" s="20">
        <v>11.0</v>
      </c>
      <c r="D2161" s="21" t="s">
        <v>8536</v>
      </c>
      <c r="E2161" s="27" t="s">
        <v>112</v>
      </c>
      <c r="F2161" s="18" t="s">
        <v>48</v>
      </c>
      <c r="G2161" s="32" t="s">
        <v>35</v>
      </c>
      <c r="H2161" s="23" t="s">
        <v>35</v>
      </c>
      <c r="I2161" s="24" t="s">
        <v>36</v>
      </c>
      <c r="J2161" s="34" t="s">
        <v>65</v>
      </c>
      <c r="K2161" s="26" t="s">
        <v>38</v>
      </c>
      <c r="L2161" s="25">
        <v>11349.0</v>
      </c>
      <c r="M2161" s="27" t="s">
        <v>50</v>
      </c>
      <c r="N2161" s="26" t="s">
        <v>51</v>
      </c>
      <c r="O2161" s="28">
        <v>45524.59020881944</v>
      </c>
      <c r="P2161" s="26" t="s">
        <v>8537</v>
      </c>
      <c r="Q2161" s="11" t="s">
        <v>67</v>
      </c>
      <c r="R2161" s="11" t="s">
        <v>67</v>
      </c>
      <c r="S2161" s="11"/>
      <c r="T2161" s="29">
        <v>45524.59020881944</v>
      </c>
      <c r="U2161" s="29">
        <v>45524.59020881944</v>
      </c>
      <c r="V2161" s="29">
        <v>45524.59020881944</v>
      </c>
      <c r="W2161" s="30"/>
      <c r="X2161" s="30"/>
      <c r="Y2161" s="31"/>
      <c r="Z2161" s="31"/>
      <c r="AA2161" s="31" t="s">
        <v>94</v>
      </c>
      <c r="AB2161" s="31" t="s">
        <v>8538</v>
      </c>
      <c r="AC2161" s="31"/>
    </row>
    <row r="2162" ht="18.75" customHeight="1">
      <c r="A2162" s="18" t="s">
        <v>8539</v>
      </c>
      <c r="B2162" s="19" t="s">
        <v>746</v>
      </c>
      <c r="C2162" s="20">
        <v>90.0</v>
      </c>
      <c r="D2162" s="21" t="s">
        <v>8540</v>
      </c>
      <c r="E2162" s="27" t="s">
        <v>91</v>
      </c>
      <c r="F2162" s="18" t="s">
        <v>48</v>
      </c>
      <c r="G2162" s="32" t="s">
        <v>35</v>
      </c>
      <c r="H2162" s="23" t="s">
        <v>35</v>
      </c>
      <c r="I2162" s="37" t="s">
        <v>36</v>
      </c>
      <c r="J2162" s="34" t="s">
        <v>65</v>
      </c>
      <c r="K2162" s="26" t="s">
        <v>38</v>
      </c>
      <c r="L2162" s="25">
        <v>11632.0</v>
      </c>
      <c r="M2162" s="27" t="s">
        <v>50</v>
      </c>
      <c r="N2162" s="26" t="s">
        <v>8104</v>
      </c>
      <c r="O2162" s="28">
        <v>45573.66249371528</v>
      </c>
      <c r="P2162" s="26" t="s">
        <v>8541</v>
      </c>
      <c r="Q2162" s="11" t="s">
        <v>67</v>
      </c>
      <c r="R2162" s="11" t="s">
        <v>67</v>
      </c>
      <c r="S2162" s="11" t="s">
        <v>50</v>
      </c>
      <c r="T2162" s="29">
        <v>45524.36206429398</v>
      </c>
      <c r="U2162" s="29">
        <v>45534.64743646991</v>
      </c>
      <c r="V2162" s="29">
        <v>45573.45195652777</v>
      </c>
      <c r="W2162" s="30"/>
      <c r="X2162" s="30"/>
      <c r="Y2162" s="31"/>
      <c r="Z2162" s="31"/>
      <c r="AA2162" s="31" t="s">
        <v>94</v>
      </c>
      <c r="AB2162" s="31" t="s">
        <v>8542</v>
      </c>
      <c r="AC2162" s="31"/>
    </row>
    <row r="2163" ht="18.75" customHeight="1">
      <c r="A2163" s="18" t="s">
        <v>8543</v>
      </c>
      <c r="B2163" s="19" t="s">
        <v>746</v>
      </c>
      <c r="C2163" s="20">
        <v>11.0</v>
      </c>
      <c r="D2163" s="21" t="s">
        <v>8544</v>
      </c>
      <c r="E2163" s="27" t="s">
        <v>112</v>
      </c>
      <c r="F2163" s="18" t="s">
        <v>48</v>
      </c>
      <c r="G2163" s="32" t="s">
        <v>35</v>
      </c>
      <c r="H2163" s="23" t="s">
        <v>35</v>
      </c>
      <c r="I2163" s="24" t="s">
        <v>36</v>
      </c>
      <c r="J2163" s="34" t="s">
        <v>65</v>
      </c>
      <c r="K2163" s="26" t="s">
        <v>38</v>
      </c>
      <c r="L2163" s="25">
        <v>11540.0</v>
      </c>
      <c r="M2163" s="27" t="s">
        <v>50</v>
      </c>
      <c r="N2163" s="26" t="s">
        <v>149</v>
      </c>
      <c r="O2163" s="28">
        <v>45559.608295</v>
      </c>
      <c r="P2163" s="26" t="s">
        <v>8541</v>
      </c>
      <c r="Q2163" s="11" t="s">
        <v>67</v>
      </c>
      <c r="R2163" s="11" t="s">
        <v>67</v>
      </c>
      <c r="S2163" s="11" t="s">
        <v>50</v>
      </c>
      <c r="T2163" s="29">
        <v>45524.362449849534</v>
      </c>
      <c r="U2163" s="29">
        <v>45559.608295</v>
      </c>
      <c r="V2163" s="29">
        <v>45537.43341696759</v>
      </c>
      <c r="W2163" s="30"/>
      <c r="X2163" s="30"/>
      <c r="Y2163" s="31"/>
      <c r="Z2163" s="31"/>
      <c r="AA2163" s="31" t="s">
        <v>94</v>
      </c>
      <c r="AB2163" s="31" t="s">
        <v>8545</v>
      </c>
      <c r="AC2163" s="31"/>
    </row>
    <row r="2164" ht="18.75" customHeight="1">
      <c r="A2164" s="142" t="s">
        <v>8546</v>
      </c>
      <c r="B2164" s="19" t="s">
        <v>3289</v>
      </c>
      <c r="C2164" s="20">
        <v>0.0</v>
      </c>
      <c r="D2164" s="21" t="s">
        <v>8547</v>
      </c>
      <c r="E2164" s="27" t="s">
        <v>1040</v>
      </c>
      <c r="F2164" s="18" t="s">
        <v>33</v>
      </c>
      <c r="G2164" s="32" t="s">
        <v>35</v>
      </c>
      <c r="H2164" s="23" t="s">
        <v>35</v>
      </c>
      <c r="I2164" s="24" t="s">
        <v>36</v>
      </c>
      <c r="J2164" s="25" t="s">
        <v>92</v>
      </c>
      <c r="K2164" s="26" t="s">
        <v>38</v>
      </c>
      <c r="L2164" s="25">
        <v>11398.0</v>
      </c>
      <c r="M2164" s="27" t="s">
        <v>50</v>
      </c>
      <c r="N2164" s="26" t="s">
        <v>4362</v>
      </c>
      <c r="O2164" s="28">
        <v>45553.55141097222</v>
      </c>
      <c r="P2164" s="26" t="s">
        <v>8548</v>
      </c>
      <c r="Q2164" s="11" t="s">
        <v>67</v>
      </c>
      <c r="R2164" s="11" t="s">
        <v>67</v>
      </c>
      <c r="S2164" s="11" t="s">
        <v>101</v>
      </c>
      <c r="T2164" s="29">
        <v>45524.35898667824</v>
      </c>
      <c r="U2164" s="29">
        <v>45524.3769678588</v>
      </c>
      <c r="V2164" s="29">
        <v>45547.36185270833</v>
      </c>
      <c r="W2164" s="30"/>
      <c r="X2164" s="30"/>
      <c r="Y2164" s="31"/>
      <c r="Z2164" s="31"/>
      <c r="AA2164" s="31" t="s">
        <v>120</v>
      </c>
      <c r="AB2164" s="31" t="s">
        <v>8549</v>
      </c>
      <c r="AC2164" s="31"/>
    </row>
    <row r="2165" ht="18.75" customHeight="1">
      <c r="A2165" s="142" t="s">
        <v>8550</v>
      </c>
      <c r="B2165" s="19" t="s">
        <v>1640</v>
      </c>
      <c r="C2165" s="20">
        <v>11.0</v>
      </c>
      <c r="D2165" s="21" t="s">
        <v>8551</v>
      </c>
      <c r="E2165" s="27" t="s">
        <v>112</v>
      </c>
      <c r="F2165" s="18" t="s">
        <v>48</v>
      </c>
      <c r="G2165" s="32" t="s">
        <v>35</v>
      </c>
      <c r="H2165" s="23" t="s">
        <v>35</v>
      </c>
      <c r="I2165" s="24" t="s">
        <v>36</v>
      </c>
      <c r="J2165" s="25" t="s">
        <v>49</v>
      </c>
      <c r="K2165" s="26" t="s">
        <v>38</v>
      </c>
      <c r="L2165" s="25">
        <v>11353.0</v>
      </c>
      <c r="M2165" s="27" t="s">
        <v>50</v>
      </c>
      <c r="N2165" s="26" t="s">
        <v>5936</v>
      </c>
      <c r="O2165" s="28">
        <v>45525.59455019676</v>
      </c>
      <c r="P2165" s="26" t="s">
        <v>8552</v>
      </c>
      <c r="Q2165" s="11" t="s">
        <v>67</v>
      </c>
      <c r="R2165" s="11" t="s">
        <v>73</v>
      </c>
      <c r="S2165" s="11" t="s">
        <v>50</v>
      </c>
      <c r="T2165" s="29">
        <v>45524.6598002199</v>
      </c>
      <c r="U2165" s="29">
        <v>45524.72516710648</v>
      </c>
      <c r="V2165" s="29">
        <v>45525.457662615736</v>
      </c>
      <c r="W2165" s="30"/>
      <c r="X2165" s="30"/>
      <c r="Y2165" s="31"/>
      <c r="Z2165" s="31"/>
      <c r="AA2165" s="31" t="s">
        <v>145</v>
      </c>
      <c r="AB2165" s="31" t="s">
        <v>8553</v>
      </c>
      <c r="AC2165" s="31"/>
    </row>
    <row r="2166" ht="18.75" customHeight="1">
      <c r="A2166" s="48" t="s">
        <v>8554</v>
      </c>
      <c r="B2166" s="53" t="s">
        <v>8555</v>
      </c>
      <c r="C2166" s="47">
        <v>0.0</v>
      </c>
      <c r="D2166" s="70" t="s">
        <v>8556</v>
      </c>
      <c r="E2166" s="55" t="s">
        <v>289</v>
      </c>
      <c r="F2166" s="32" t="s">
        <v>33</v>
      </c>
      <c r="G2166" s="32" t="s">
        <v>34</v>
      </c>
      <c r="H2166" s="71" t="s">
        <v>35</v>
      </c>
      <c r="I2166" s="71" t="s">
        <v>36</v>
      </c>
      <c r="J2166" s="34" t="s">
        <v>339</v>
      </c>
      <c r="K2166" s="57" t="s">
        <v>38</v>
      </c>
      <c r="L2166" s="72">
        <v>11432.0</v>
      </c>
      <c r="M2166" s="22" t="s">
        <v>50</v>
      </c>
      <c r="N2166" s="35" t="s">
        <v>6892</v>
      </c>
      <c r="O2166" s="28">
        <v>45540.659155092595</v>
      </c>
      <c r="P2166" s="35" t="s">
        <v>8557</v>
      </c>
      <c r="Q2166" s="14" t="s">
        <v>67</v>
      </c>
      <c r="R2166" s="14" t="s">
        <v>67</v>
      </c>
      <c r="S2166" s="14" t="s">
        <v>101</v>
      </c>
      <c r="T2166" s="52">
        <v>45524.43994212963</v>
      </c>
      <c r="U2166" s="52">
        <v>45524.43994212963</v>
      </c>
      <c r="V2166" s="52">
        <v>45539.60039351852</v>
      </c>
      <c r="W2166" s="30"/>
      <c r="X2166" s="30"/>
      <c r="Y2166" s="31"/>
      <c r="Z2166" s="31"/>
      <c r="AA2166" s="78" t="s">
        <v>3059</v>
      </c>
      <c r="AB2166" s="74" t="s">
        <v>8558</v>
      </c>
      <c r="AC2166" s="74"/>
    </row>
    <row r="2167" ht="18.75" customHeight="1">
      <c r="A2167" s="48" t="s">
        <v>8559</v>
      </c>
      <c r="B2167" s="53" t="s">
        <v>8555</v>
      </c>
      <c r="C2167" s="47">
        <v>0.0</v>
      </c>
      <c r="D2167" s="70" t="s">
        <v>8560</v>
      </c>
      <c r="E2167" s="55" t="s">
        <v>289</v>
      </c>
      <c r="F2167" s="32" t="s">
        <v>33</v>
      </c>
      <c r="G2167" s="32" t="s">
        <v>34</v>
      </c>
      <c r="H2167" s="71" t="s">
        <v>35</v>
      </c>
      <c r="I2167" s="71" t="s">
        <v>36</v>
      </c>
      <c r="J2167" s="34" t="s">
        <v>339</v>
      </c>
      <c r="K2167" s="57" t="s">
        <v>38</v>
      </c>
      <c r="L2167" s="72">
        <v>11432.0</v>
      </c>
      <c r="M2167" s="22" t="s">
        <v>50</v>
      </c>
      <c r="N2167" s="35" t="s">
        <v>6892</v>
      </c>
      <c r="O2167" s="28">
        <v>45540.65925925926</v>
      </c>
      <c r="P2167" s="35" t="s">
        <v>8557</v>
      </c>
      <c r="Q2167" s="14" t="s">
        <v>67</v>
      </c>
      <c r="R2167" s="14" t="s">
        <v>67</v>
      </c>
      <c r="S2167" s="14" t="s">
        <v>101</v>
      </c>
      <c r="T2167" s="52">
        <v>45524.440034722225</v>
      </c>
      <c r="U2167" s="52">
        <v>45524.440034722225</v>
      </c>
      <c r="V2167" s="52">
        <v>45539.60042824074</v>
      </c>
      <c r="W2167" s="30"/>
      <c r="X2167" s="30"/>
      <c r="Y2167" s="31"/>
      <c r="Z2167" s="31"/>
      <c r="AA2167" s="78" t="s">
        <v>3059</v>
      </c>
      <c r="AB2167" s="74" t="s">
        <v>8561</v>
      </c>
      <c r="AC2167" s="74"/>
    </row>
    <row r="2168" ht="18.75" customHeight="1">
      <c r="A2168" s="18" t="s">
        <v>8562</v>
      </c>
      <c r="B2168" s="19" t="s">
        <v>8563</v>
      </c>
      <c r="C2168" s="20">
        <v>90.0</v>
      </c>
      <c r="D2168" s="21"/>
      <c r="E2168" s="27" t="s">
        <v>91</v>
      </c>
      <c r="F2168" s="18" t="s">
        <v>48</v>
      </c>
      <c r="G2168" s="32" t="s">
        <v>35</v>
      </c>
      <c r="H2168" s="23" t="s">
        <v>35</v>
      </c>
      <c r="I2168" s="24" t="s">
        <v>984</v>
      </c>
      <c r="J2168" s="34" t="s">
        <v>65</v>
      </c>
      <c r="K2168" s="26" t="s">
        <v>38</v>
      </c>
      <c r="L2168" s="25">
        <v>-11385.0</v>
      </c>
      <c r="M2168" s="27"/>
      <c r="N2168" s="26"/>
      <c r="O2168" s="28"/>
      <c r="P2168" s="26" t="s">
        <v>8564</v>
      </c>
      <c r="Q2168" s="11" t="s">
        <v>67</v>
      </c>
      <c r="R2168" s="11" t="s">
        <v>67</v>
      </c>
      <c r="S2168" s="11"/>
      <c r="T2168" s="29">
        <v>45526.6967343287</v>
      </c>
      <c r="U2168" s="29">
        <v>45551.589433773144</v>
      </c>
      <c r="V2168" s="29"/>
      <c r="W2168" s="30"/>
      <c r="X2168" s="149">
        <v>45841.0</v>
      </c>
      <c r="Y2168" s="31"/>
      <c r="Z2168" s="31"/>
      <c r="AA2168" s="31" t="s">
        <v>3059</v>
      </c>
      <c r="AB2168" s="31" t="s">
        <v>8565</v>
      </c>
      <c r="AC2168" s="31"/>
    </row>
    <row r="2169" ht="18.75" customHeight="1">
      <c r="A2169" s="18" t="s">
        <v>8566</v>
      </c>
      <c r="B2169" s="19" t="s">
        <v>8563</v>
      </c>
      <c r="C2169" s="20">
        <v>0.0</v>
      </c>
      <c r="D2169" s="21"/>
      <c r="E2169" s="27" t="s">
        <v>165</v>
      </c>
      <c r="F2169" s="18" t="s">
        <v>33</v>
      </c>
      <c r="G2169" s="32" t="s">
        <v>35</v>
      </c>
      <c r="H2169" s="23" t="s">
        <v>35</v>
      </c>
      <c r="I2169" s="24" t="s">
        <v>984</v>
      </c>
      <c r="J2169" s="34" t="s">
        <v>65</v>
      </c>
      <c r="K2169" s="26" t="s">
        <v>38</v>
      </c>
      <c r="L2169" s="25">
        <v>-11385.0</v>
      </c>
      <c r="M2169" s="27"/>
      <c r="N2169" s="26"/>
      <c r="O2169" s="28"/>
      <c r="P2169" s="26" t="s">
        <v>8564</v>
      </c>
      <c r="Q2169" s="11" t="s">
        <v>67</v>
      </c>
      <c r="R2169" s="11" t="s">
        <v>67</v>
      </c>
      <c r="S2169" s="11"/>
      <c r="T2169" s="29">
        <v>45526.69758613426</v>
      </c>
      <c r="U2169" s="29">
        <v>45551.58933619213</v>
      </c>
      <c r="V2169" s="29"/>
      <c r="W2169" s="30"/>
      <c r="X2169" s="149">
        <v>45841.0</v>
      </c>
      <c r="Y2169" s="31"/>
      <c r="Z2169" s="31"/>
      <c r="AA2169" s="31" t="s">
        <v>3059</v>
      </c>
      <c r="AB2169" s="31" t="s">
        <v>8567</v>
      </c>
      <c r="AC2169" s="31"/>
    </row>
    <row r="2170" ht="18.75" customHeight="1">
      <c r="A2170" s="18" t="s">
        <v>8568</v>
      </c>
      <c r="B2170" s="19" t="s">
        <v>8563</v>
      </c>
      <c r="C2170" s="20">
        <v>0.0</v>
      </c>
      <c r="D2170" s="21"/>
      <c r="E2170" s="27" t="s">
        <v>165</v>
      </c>
      <c r="F2170" s="18" t="s">
        <v>33</v>
      </c>
      <c r="G2170" s="32" t="s">
        <v>35</v>
      </c>
      <c r="H2170" s="23" t="s">
        <v>35</v>
      </c>
      <c r="I2170" s="24" t="s">
        <v>984</v>
      </c>
      <c r="J2170" s="34" t="s">
        <v>65</v>
      </c>
      <c r="K2170" s="26" t="s">
        <v>38</v>
      </c>
      <c r="L2170" s="25">
        <v>-11385.0</v>
      </c>
      <c r="M2170" s="27"/>
      <c r="N2170" s="26"/>
      <c r="O2170" s="28"/>
      <c r="P2170" s="26" t="s">
        <v>8564</v>
      </c>
      <c r="Q2170" s="11"/>
      <c r="R2170" s="11" t="s">
        <v>67</v>
      </c>
      <c r="S2170" s="11"/>
      <c r="T2170" s="29">
        <v>45526.69737898148</v>
      </c>
      <c r="U2170" s="29">
        <v>45551.58928559028</v>
      </c>
      <c r="V2170" s="29"/>
      <c r="W2170" s="30"/>
      <c r="X2170" s="149">
        <v>45841.0</v>
      </c>
      <c r="Y2170" s="31"/>
      <c r="Z2170" s="31"/>
      <c r="AA2170" s="31" t="s">
        <v>3059</v>
      </c>
      <c r="AB2170" s="31" t="s">
        <v>8569</v>
      </c>
      <c r="AC2170" s="31"/>
    </row>
    <row r="2171" ht="18.75" customHeight="1">
      <c r="A2171" s="142" t="s">
        <v>8570</v>
      </c>
      <c r="B2171" s="19" t="s">
        <v>8571</v>
      </c>
      <c r="C2171" s="20">
        <v>137.0</v>
      </c>
      <c r="D2171" s="21" t="s">
        <v>8572</v>
      </c>
      <c r="E2171" s="27" t="s">
        <v>85</v>
      </c>
      <c r="F2171" s="18" t="s">
        <v>48</v>
      </c>
      <c r="G2171" s="32" t="s">
        <v>35</v>
      </c>
      <c r="H2171" s="23" t="s">
        <v>35</v>
      </c>
      <c r="I2171" s="24" t="s">
        <v>36</v>
      </c>
      <c r="J2171" s="25" t="s">
        <v>518</v>
      </c>
      <c r="K2171" s="26" t="s">
        <v>38</v>
      </c>
      <c r="L2171" s="25">
        <v>11355.0</v>
      </c>
      <c r="M2171" s="27" t="s">
        <v>50</v>
      </c>
      <c r="N2171" s="26" t="s">
        <v>4616</v>
      </c>
      <c r="O2171" s="28">
        <v>45526.57357262731</v>
      </c>
      <c r="P2171" s="26" t="s">
        <v>8573</v>
      </c>
      <c r="Q2171" s="11" t="s">
        <v>67</v>
      </c>
      <c r="R2171" s="11" t="s">
        <v>67</v>
      </c>
      <c r="S2171" s="11" t="s">
        <v>50</v>
      </c>
      <c r="T2171" s="29">
        <v>45524.67034496528</v>
      </c>
      <c r="U2171" s="29">
        <v>45525.34876574074</v>
      </c>
      <c r="V2171" s="29">
        <v>45525.45767783565</v>
      </c>
      <c r="W2171" s="30"/>
      <c r="X2171" s="30"/>
      <c r="Y2171" s="31"/>
      <c r="Z2171" s="31"/>
      <c r="AA2171" s="31" t="s">
        <v>108</v>
      </c>
      <c r="AB2171" s="31" t="s">
        <v>8574</v>
      </c>
      <c r="AC2171" s="31"/>
    </row>
    <row r="2172" ht="18.75" customHeight="1">
      <c r="A2172" s="142" t="s">
        <v>8575</v>
      </c>
      <c r="B2172" s="19" t="s">
        <v>4450</v>
      </c>
      <c r="C2172" s="20">
        <v>34.0</v>
      </c>
      <c r="D2172" s="21" t="s">
        <v>8576</v>
      </c>
      <c r="E2172" s="27" t="s">
        <v>47</v>
      </c>
      <c r="F2172" s="18" t="s">
        <v>48</v>
      </c>
      <c r="G2172" s="32" t="s">
        <v>35</v>
      </c>
      <c r="H2172" s="23" t="s">
        <v>35</v>
      </c>
      <c r="I2172" s="24" t="s">
        <v>36</v>
      </c>
      <c r="J2172" s="25" t="s">
        <v>420</v>
      </c>
      <c r="K2172" s="26" t="s">
        <v>38</v>
      </c>
      <c r="L2172" s="25">
        <v>11356.0</v>
      </c>
      <c r="M2172" s="27" t="s">
        <v>50</v>
      </c>
      <c r="N2172" s="26" t="s">
        <v>4031</v>
      </c>
      <c r="O2172" s="28">
        <v>45525.62608420139</v>
      </c>
      <c r="P2172" s="26" t="s">
        <v>8577</v>
      </c>
      <c r="Q2172" s="11" t="s">
        <v>67</v>
      </c>
      <c r="R2172" s="11" t="s">
        <v>67</v>
      </c>
      <c r="S2172" s="11" t="s">
        <v>50</v>
      </c>
      <c r="T2172" s="29">
        <v>45524.67230052083</v>
      </c>
      <c r="U2172" s="29">
        <v>45525.348418368056</v>
      </c>
      <c r="V2172" s="29">
        <v>45525.45769008102</v>
      </c>
      <c r="W2172" s="30"/>
      <c r="X2172" s="30"/>
      <c r="Y2172" s="31"/>
      <c r="Z2172" s="31"/>
      <c r="AA2172" s="31" t="s">
        <v>120</v>
      </c>
      <c r="AB2172" s="31" t="s">
        <v>8578</v>
      </c>
      <c r="AC2172" s="31"/>
    </row>
    <row r="2173" ht="18.75" customHeight="1">
      <c r="A2173" s="142" t="s">
        <v>8579</v>
      </c>
      <c r="B2173" s="19" t="s">
        <v>4147</v>
      </c>
      <c r="C2173" s="20">
        <v>0.0</v>
      </c>
      <c r="D2173" s="21" t="s">
        <v>7123</v>
      </c>
      <c r="E2173" s="27" t="s">
        <v>3441</v>
      </c>
      <c r="F2173" s="18" t="s">
        <v>48</v>
      </c>
      <c r="G2173" s="32" t="s">
        <v>35</v>
      </c>
      <c r="H2173" s="23" t="s">
        <v>35</v>
      </c>
      <c r="I2173" s="24" t="s">
        <v>36</v>
      </c>
      <c r="J2173" s="25" t="s">
        <v>49</v>
      </c>
      <c r="K2173" s="26" t="s">
        <v>38</v>
      </c>
      <c r="L2173" s="25">
        <v>11450.0</v>
      </c>
      <c r="M2173" s="27" t="s">
        <v>50</v>
      </c>
      <c r="N2173" s="26" t="s">
        <v>99</v>
      </c>
      <c r="O2173" s="28">
        <v>45544.70804024306</v>
      </c>
      <c r="P2173" s="26" t="s">
        <v>8580</v>
      </c>
      <c r="Q2173" s="11" t="s">
        <v>67</v>
      </c>
      <c r="R2173" s="11" t="s">
        <v>67</v>
      </c>
      <c r="S2173" s="11" t="s">
        <v>50</v>
      </c>
      <c r="T2173" s="29">
        <v>45524.67682493056</v>
      </c>
      <c r="U2173" s="29">
        <v>45540.411822071765</v>
      </c>
      <c r="V2173" s="29">
        <v>45544.483847627314</v>
      </c>
      <c r="W2173" s="30"/>
      <c r="X2173" s="30"/>
      <c r="Y2173" s="31"/>
      <c r="Z2173" s="31"/>
      <c r="AA2173" s="31" t="s">
        <v>127</v>
      </c>
      <c r="AB2173" s="31" t="s">
        <v>8581</v>
      </c>
      <c r="AC2173" s="31"/>
    </row>
    <row r="2174" ht="18.75" customHeight="1">
      <c r="A2174" s="142" t="s">
        <v>8582</v>
      </c>
      <c r="B2174" s="19" t="s">
        <v>8583</v>
      </c>
      <c r="C2174" s="20">
        <v>0.0</v>
      </c>
      <c r="D2174" s="21" t="s">
        <v>8584</v>
      </c>
      <c r="E2174" s="27" t="s">
        <v>681</v>
      </c>
      <c r="F2174" s="18" t="s">
        <v>244</v>
      </c>
      <c r="G2174" s="32" t="s">
        <v>35</v>
      </c>
      <c r="H2174" s="23" t="s">
        <v>35</v>
      </c>
      <c r="I2174" s="24" t="s">
        <v>36</v>
      </c>
      <c r="J2174" s="25" t="s">
        <v>8585</v>
      </c>
      <c r="K2174" s="26" t="s">
        <v>38</v>
      </c>
      <c r="L2174" s="25">
        <v>11405.0</v>
      </c>
      <c r="M2174" s="27" t="s">
        <v>50</v>
      </c>
      <c r="N2174" s="26" t="s">
        <v>8586</v>
      </c>
      <c r="O2174" s="28">
        <v>45537.45853833333</v>
      </c>
      <c r="P2174" s="26" t="s">
        <v>8587</v>
      </c>
      <c r="Q2174" s="11" t="s">
        <v>67</v>
      </c>
      <c r="R2174" s="11" t="s">
        <v>67</v>
      </c>
      <c r="S2174" s="11" t="s">
        <v>50</v>
      </c>
      <c r="T2174" s="29">
        <v>45525.40513252315</v>
      </c>
      <c r="U2174" s="29">
        <v>45525.63735574074</v>
      </c>
      <c r="V2174" s="29">
        <v>45530.496725254634</v>
      </c>
      <c r="W2174" s="30"/>
      <c r="X2174" s="30"/>
      <c r="Y2174" s="31"/>
      <c r="Z2174" s="31"/>
      <c r="AA2174" s="31" t="s">
        <v>8588</v>
      </c>
      <c r="AB2174" s="31" t="s">
        <v>8589</v>
      </c>
      <c r="AC2174" s="31"/>
    </row>
    <row r="2175" ht="18.75" customHeight="1">
      <c r="A2175" s="48" t="s">
        <v>8590</v>
      </c>
      <c r="B2175" s="53" t="s">
        <v>63</v>
      </c>
      <c r="C2175" s="47">
        <v>137.0</v>
      </c>
      <c r="D2175" s="70" t="s">
        <v>8591</v>
      </c>
      <c r="E2175" s="55" t="s">
        <v>85</v>
      </c>
      <c r="F2175" s="32" t="s">
        <v>48</v>
      </c>
      <c r="G2175" s="32" t="s">
        <v>35</v>
      </c>
      <c r="H2175" s="71" t="s">
        <v>35</v>
      </c>
      <c r="I2175" s="71" t="s">
        <v>36</v>
      </c>
      <c r="J2175" s="34" t="s">
        <v>65</v>
      </c>
      <c r="K2175" s="57" t="s">
        <v>38</v>
      </c>
      <c r="L2175" s="72">
        <v>11387.0</v>
      </c>
      <c r="M2175" s="22"/>
      <c r="N2175" s="73"/>
      <c r="O2175" s="28">
        <v>45531.47725694445</v>
      </c>
      <c r="P2175" s="35" t="s">
        <v>8592</v>
      </c>
      <c r="Q2175" s="14" t="s">
        <v>67</v>
      </c>
      <c r="R2175" s="14" t="s">
        <v>67</v>
      </c>
      <c r="S2175" s="12"/>
      <c r="T2175" s="52">
        <v>45531.47725694445</v>
      </c>
      <c r="U2175" s="52">
        <v>45531.47725694445</v>
      </c>
      <c r="V2175" s="52">
        <v>45531.47725694445</v>
      </c>
      <c r="W2175" s="30"/>
      <c r="X2175" s="30"/>
      <c r="Y2175" s="31"/>
      <c r="Z2175" s="31"/>
      <c r="AA2175" s="78" t="s">
        <v>94</v>
      </c>
      <c r="AB2175" s="74" t="s">
        <v>8593</v>
      </c>
      <c r="AC2175" s="74"/>
    </row>
    <row r="2176" ht="18.75" customHeight="1">
      <c r="A2176" s="142" t="s">
        <v>8594</v>
      </c>
      <c r="B2176" s="19" t="s">
        <v>7703</v>
      </c>
      <c r="C2176" s="20">
        <v>34.0</v>
      </c>
      <c r="D2176" s="21" t="s">
        <v>8595</v>
      </c>
      <c r="E2176" s="27" t="s">
        <v>47</v>
      </c>
      <c r="F2176" s="18" t="s">
        <v>48</v>
      </c>
      <c r="G2176" s="32" t="s">
        <v>35</v>
      </c>
      <c r="H2176" s="23" t="s">
        <v>35</v>
      </c>
      <c r="I2176" s="24" t="s">
        <v>36</v>
      </c>
      <c r="J2176" s="34" t="s">
        <v>65</v>
      </c>
      <c r="K2176" s="26" t="s">
        <v>38</v>
      </c>
      <c r="L2176" s="25">
        <v>11397.0</v>
      </c>
      <c r="M2176" s="27" t="s">
        <v>50</v>
      </c>
      <c r="N2176" s="26" t="s">
        <v>5897</v>
      </c>
      <c r="O2176" s="28">
        <v>45531.69959425926</v>
      </c>
      <c r="P2176" s="26" t="s">
        <v>8596</v>
      </c>
      <c r="Q2176" s="11" t="s">
        <v>67</v>
      </c>
      <c r="R2176" s="11" t="s">
        <v>67</v>
      </c>
      <c r="S2176" s="11" t="s">
        <v>50</v>
      </c>
      <c r="T2176" s="29">
        <v>45526.45275489583</v>
      </c>
      <c r="U2176" s="29">
        <v>45530.39646584491</v>
      </c>
      <c r="V2176" s="29">
        <v>45531.63343703704</v>
      </c>
      <c r="W2176" s="30"/>
      <c r="X2176" s="30"/>
      <c r="Y2176" s="31"/>
      <c r="Z2176" s="31"/>
      <c r="AA2176" s="31" t="s">
        <v>3059</v>
      </c>
      <c r="AB2176" s="31" t="s">
        <v>8597</v>
      </c>
      <c r="AC2176" s="31"/>
    </row>
    <row r="2177" ht="18.75" customHeight="1">
      <c r="A2177" s="142" t="s">
        <v>8598</v>
      </c>
      <c r="B2177" s="119" t="s">
        <v>4739</v>
      </c>
      <c r="C2177" s="54">
        <v>0.0</v>
      </c>
      <c r="D2177" s="21" t="s">
        <v>8599</v>
      </c>
      <c r="E2177" s="55" t="s">
        <v>171</v>
      </c>
      <c r="F2177" s="32" t="s">
        <v>48</v>
      </c>
      <c r="G2177" s="32" t="s">
        <v>35</v>
      </c>
      <c r="H2177" s="23" t="s">
        <v>35</v>
      </c>
      <c r="I2177" s="66" t="s">
        <v>36</v>
      </c>
      <c r="J2177" s="34" t="s">
        <v>65</v>
      </c>
      <c r="K2177" s="57" t="s">
        <v>38</v>
      </c>
      <c r="L2177" s="146">
        <v>11400.0</v>
      </c>
      <c r="M2177" s="22"/>
      <c r="N2177" s="26" t="s">
        <v>86</v>
      </c>
      <c r="O2177" s="28">
        <v>45531.71813440972</v>
      </c>
      <c r="P2177" s="26" t="s">
        <v>8600</v>
      </c>
      <c r="Q2177" s="11" t="s">
        <v>67</v>
      </c>
      <c r="R2177" s="11" t="s">
        <v>67</v>
      </c>
      <c r="S2177" s="60"/>
      <c r="T2177" s="29">
        <v>45531.71813440972</v>
      </c>
      <c r="U2177" s="29">
        <v>45531.71813440972</v>
      </c>
      <c r="V2177" s="29">
        <v>45531.71813440972</v>
      </c>
      <c r="W2177" s="30"/>
      <c r="X2177" s="30"/>
      <c r="Y2177" s="31"/>
      <c r="Z2177" s="31"/>
      <c r="AA2177" s="31" t="s">
        <v>94</v>
      </c>
      <c r="AB2177" s="31" t="s">
        <v>8601</v>
      </c>
      <c r="AC2177" s="31"/>
    </row>
    <row r="2178" ht="18.75" customHeight="1">
      <c r="A2178" s="142" t="s">
        <v>8602</v>
      </c>
      <c r="B2178" s="19" t="s">
        <v>858</v>
      </c>
      <c r="C2178" s="20">
        <v>34.0</v>
      </c>
      <c r="D2178" s="21" t="s">
        <v>8603</v>
      </c>
      <c r="E2178" s="27" t="s">
        <v>47</v>
      </c>
      <c r="F2178" s="18" t="s">
        <v>48</v>
      </c>
      <c r="G2178" s="32" t="s">
        <v>35</v>
      </c>
      <c r="H2178" s="23" t="s">
        <v>35</v>
      </c>
      <c r="I2178" s="24" t="s">
        <v>36</v>
      </c>
      <c r="J2178" s="25" t="s">
        <v>420</v>
      </c>
      <c r="K2178" s="26" t="s">
        <v>38</v>
      </c>
      <c r="L2178" s="25">
        <v>11367.0</v>
      </c>
      <c r="M2178" s="27" t="s">
        <v>50</v>
      </c>
      <c r="N2178" s="26" t="s">
        <v>4031</v>
      </c>
      <c r="O2178" s="28">
        <v>45527.6076140625</v>
      </c>
      <c r="P2178" s="26" t="s">
        <v>8604</v>
      </c>
      <c r="Q2178" s="11" t="s">
        <v>67</v>
      </c>
      <c r="R2178" s="11" t="s">
        <v>67</v>
      </c>
      <c r="S2178" s="11" t="s">
        <v>50</v>
      </c>
      <c r="T2178" s="29">
        <v>45526.46456414352</v>
      </c>
      <c r="U2178" s="29">
        <v>45526.4759750463</v>
      </c>
      <c r="V2178" s="29">
        <v>45527.3377333449</v>
      </c>
      <c r="W2178" s="30"/>
      <c r="X2178" s="30"/>
      <c r="Y2178" s="31"/>
      <c r="Z2178" s="31"/>
      <c r="AA2178" s="31" t="s">
        <v>120</v>
      </c>
      <c r="AB2178" s="31" t="s">
        <v>8605</v>
      </c>
      <c r="AC2178" s="31"/>
    </row>
    <row r="2179" ht="18.75" customHeight="1">
      <c r="A2179" s="142" t="s">
        <v>8606</v>
      </c>
      <c r="B2179" s="19" t="s">
        <v>4941</v>
      </c>
      <c r="C2179" s="20">
        <v>34.0</v>
      </c>
      <c r="D2179" s="21" t="s">
        <v>8607</v>
      </c>
      <c r="E2179" s="27" t="s">
        <v>47</v>
      </c>
      <c r="F2179" s="18" t="s">
        <v>48</v>
      </c>
      <c r="G2179" s="32" t="s">
        <v>35</v>
      </c>
      <c r="H2179" s="23" t="s">
        <v>35</v>
      </c>
      <c r="I2179" s="24" t="s">
        <v>36</v>
      </c>
      <c r="J2179" s="34" t="s">
        <v>65</v>
      </c>
      <c r="K2179" s="26" t="s">
        <v>38</v>
      </c>
      <c r="L2179" s="25">
        <v>11371.0</v>
      </c>
      <c r="M2179" s="27" t="s">
        <v>50</v>
      </c>
      <c r="N2179" s="26" t="s">
        <v>51</v>
      </c>
      <c r="O2179" s="28">
        <v>45527.41484136574</v>
      </c>
      <c r="P2179" s="26" t="s">
        <v>8608</v>
      </c>
      <c r="Q2179" s="11" t="s">
        <v>67</v>
      </c>
      <c r="R2179" s="11" t="s">
        <v>67</v>
      </c>
      <c r="S2179" s="11"/>
      <c r="T2179" s="29">
        <v>45527.41484136574</v>
      </c>
      <c r="U2179" s="29">
        <v>45527.41484136574</v>
      </c>
      <c r="V2179" s="29">
        <v>45527.41484136574</v>
      </c>
      <c r="W2179" s="30"/>
      <c r="X2179" s="30"/>
      <c r="Y2179" s="31"/>
      <c r="Z2179" s="31"/>
      <c r="AA2179" s="31" t="s">
        <v>94</v>
      </c>
      <c r="AB2179" s="31" t="s">
        <v>8609</v>
      </c>
      <c r="AC2179" s="31"/>
    </row>
    <row r="2180" ht="18.75" customHeight="1">
      <c r="A2180" s="142" t="s">
        <v>8610</v>
      </c>
      <c r="B2180" s="19" t="s">
        <v>8611</v>
      </c>
      <c r="C2180" s="20">
        <v>11.0</v>
      </c>
      <c r="D2180" s="21" t="s">
        <v>8612</v>
      </c>
      <c r="E2180" s="27" t="s">
        <v>112</v>
      </c>
      <c r="F2180" s="18" t="s">
        <v>48</v>
      </c>
      <c r="G2180" s="32" t="s">
        <v>35</v>
      </c>
      <c r="H2180" s="23" t="s">
        <v>35</v>
      </c>
      <c r="I2180" s="24" t="s">
        <v>36</v>
      </c>
      <c r="J2180" s="25" t="s">
        <v>92</v>
      </c>
      <c r="K2180" s="26" t="s">
        <v>38</v>
      </c>
      <c r="L2180" s="25">
        <v>11369.0</v>
      </c>
      <c r="M2180" s="27" t="s">
        <v>50</v>
      </c>
      <c r="N2180" s="26" t="s">
        <v>8613</v>
      </c>
      <c r="O2180" s="28">
        <v>45527.481404652775</v>
      </c>
      <c r="P2180" s="26" t="s">
        <v>8614</v>
      </c>
      <c r="Q2180" s="11" t="s">
        <v>67</v>
      </c>
      <c r="R2180" s="11" t="s">
        <v>67</v>
      </c>
      <c r="S2180" s="11" t="s">
        <v>50</v>
      </c>
      <c r="T2180" s="29">
        <v>45526.483551770834</v>
      </c>
      <c r="U2180" s="29">
        <v>45527.366605393516</v>
      </c>
      <c r="V2180" s="29">
        <v>45527.37955074074</v>
      </c>
      <c r="W2180" s="30"/>
      <c r="X2180" s="30"/>
      <c r="Y2180" s="31"/>
      <c r="Z2180" s="31"/>
      <c r="AA2180" s="31" t="s">
        <v>120</v>
      </c>
      <c r="AB2180" s="31" t="s">
        <v>8615</v>
      </c>
      <c r="AC2180" s="31"/>
    </row>
    <row r="2181" ht="18.75" customHeight="1">
      <c r="A2181" s="142" t="s">
        <v>8616</v>
      </c>
      <c r="B2181" s="19" t="s">
        <v>96</v>
      </c>
      <c r="C2181" s="20">
        <v>90.0</v>
      </c>
      <c r="D2181" s="21" t="s">
        <v>8617</v>
      </c>
      <c r="E2181" s="27" t="s">
        <v>91</v>
      </c>
      <c r="F2181" s="18" t="s">
        <v>48</v>
      </c>
      <c r="G2181" s="32" t="s">
        <v>35</v>
      </c>
      <c r="H2181" s="23" t="s">
        <v>35</v>
      </c>
      <c r="I2181" s="24" t="s">
        <v>36</v>
      </c>
      <c r="J2181" s="25" t="s">
        <v>49</v>
      </c>
      <c r="K2181" s="26" t="s">
        <v>38</v>
      </c>
      <c r="L2181" s="25">
        <v>11368.0</v>
      </c>
      <c r="M2181" s="27" t="s">
        <v>50</v>
      </c>
      <c r="N2181" s="26" t="s">
        <v>5936</v>
      </c>
      <c r="O2181" s="28">
        <v>45527.5842728125</v>
      </c>
      <c r="P2181" s="26" t="s">
        <v>8618</v>
      </c>
      <c r="Q2181" s="11" t="s">
        <v>67</v>
      </c>
      <c r="R2181" s="11" t="s">
        <v>67</v>
      </c>
      <c r="S2181" s="11" t="s">
        <v>50</v>
      </c>
      <c r="T2181" s="29">
        <v>45526.62905415509</v>
      </c>
      <c r="U2181" s="29">
        <v>45526.65327899306</v>
      </c>
      <c r="V2181" s="29">
        <v>45527.33775892361</v>
      </c>
      <c r="W2181" s="30"/>
      <c r="X2181" s="30"/>
      <c r="Y2181" s="31"/>
      <c r="Z2181" s="31"/>
      <c r="AA2181" s="31" t="s">
        <v>102</v>
      </c>
      <c r="AB2181" s="31" t="s">
        <v>8619</v>
      </c>
      <c r="AC2181" s="31"/>
    </row>
    <row r="2182" ht="18.75" customHeight="1">
      <c r="A2182" s="142" t="s">
        <v>8620</v>
      </c>
      <c r="B2182" s="19" t="s">
        <v>4681</v>
      </c>
      <c r="C2182" s="20">
        <v>11.0</v>
      </c>
      <c r="D2182" s="21" t="s">
        <v>8621</v>
      </c>
      <c r="E2182" s="27" t="s">
        <v>112</v>
      </c>
      <c r="F2182" s="18" t="s">
        <v>48</v>
      </c>
      <c r="G2182" s="32" t="s">
        <v>35</v>
      </c>
      <c r="H2182" s="23" t="s">
        <v>35</v>
      </c>
      <c r="I2182" s="24" t="s">
        <v>36</v>
      </c>
      <c r="J2182" s="25" t="s">
        <v>49</v>
      </c>
      <c r="K2182" s="26" t="s">
        <v>4683</v>
      </c>
      <c r="L2182" s="25">
        <v>11370.0</v>
      </c>
      <c r="M2182" s="27" t="s">
        <v>50</v>
      </c>
      <c r="N2182" s="26" t="s">
        <v>5936</v>
      </c>
      <c r="O2182" s="28">
        <v>45527.58434378472</v>
      </c>
      <c r="P2182" s="26" t="s">
        <v>8622</v>
      </c>
      <c r="Q2182" s="11" t="s">
        <v>67</v>
      </c>
      <c r="R2182" s="11" t="s">
        <v>67</v>
      </c>
      <c r="S2182" s="11" t="s">
        <v>50</v>
      </c>
      <c r="T2182" s="29">
        <v>45526.70921935185</v>
      </c>
      <c r="U2182" s="29">
        <v>45527.3958875463</v>
      </c>
      <c r="V2182" s="29">
        <v>45527.413583807866</v>
      </c>
      <c r="W2182" s="30"/>
      <c r="X2182" s="30"/>
      <c r="Y2182" s="31"/>
      <c r="Z2182" s="31"/>
      <c r="AA2182" s="31" t="s">
        <v>127</v>
      </c>
      <c r="AB2182" s="31" t="s">
        <v>8623</v>
      </c>
      <c r="AC2182" s="31"/>
    </row>
    <row r="2183" ht="18.75" customHeight="1">
      <c r="A2183" s="18" t="s">
        <v>8624</v>
      </c>
      <c r="B2183" s="19" t="s">
        <v>4875</v>
      </c>
      <c r="C2183" s="20">
        <v>90.0</v>
      </c>
      <c r="D2183" s="21" t="s">
        <v>8625</v>
      </c>
      <c r="E2183" s="27" t="s">
        <v>91</v>
      </c>
      <c r="F2183" s="18" t="s">
        <v>48</v>
      </c>
      <c r="G2183" s="32" t="s">
        <v>35</v>
      </c>
      <c r="H2183" s="23" t="s">
        <v>35</v>
      </c>
      <c r="I2183" s="24" t="s">
        <v>36</v>
      </c>
      <c r="J2183" s="34" t="s">
        <v>65</v>
      </c>
      <c r="K2183" s="26" t="s">
        <v>38</v>
      </c>
      <c r="L2183" s="25">
        <v>11396.0</v>
      </c>
      <c r="M2183" s="27" t="s">
        <v>50</v>
      </c>
      <c r="N2183" s="26" t="s">
        <v>5897</v>
      </c>
      <c r="O2183" s="28">
        <v>45531.69892260416</v>
      </c>
      <c r="P2183" s="26" t="s">
        <v>6028</v>
      </c>
      <c r="Q2183" s="11" t="s">
        <v>67</v>
      </c>
      <c r="R2183" s="11"/>
      <c r="S2183" s="11" t="s">
        <v>50</v>
      </c>
      <c r="T2183" s="29">
        <v>45471.0</v>
      </c>
      <c r="U2183" s="29">
        <v>45471.0</v>
      </c>
      <c r="V2183" s="29">
        <v>45531.6113081713</v>
      </c>
      <c r="W2183" s="30"/>
      <c r="X2183" s="30"/>
      <c r="Y2183" s="31"/>
      <c r="Z2183" s="31"/>
      <c r="AA2183" s="31" t="s">
        <v>94</v>
      </c>
      <c r="AB2183" s="31" t="s">
        <v>8626</v>
      </c>
      <c r="AC2183" s="31"/>
    </row>
    <row r="2184" ht="18.75" customHeight="1">
      <c r="A2184" s="18" t="s">
        <v>8627</v>
      </c>
      <c r="B2184" s="19" t="s">
        <v>4875</v>
      </c>
      <c r="C2184" s="20">
        <v>90.0</v>
      </c>
      <c r="D2184" s="21" t="s">
        <v>8628</v>
      </c>
      <c r="E2184" s="27" t="s">
        <v>91</v>
      </c>
      <c r="F2184" s="18" t="s">
        <v>48</v>
      </c>
      <c r="G2184" s="32" t="s">
        <v>35</v>
      </c>
      <c r="H2184" s="23" t="s">
        <v>35</v>
      </c>
      <c r="I2184" s="24" t="s">
        <v>36</v>
      </c>
      <c r="J2184" s="34" t="s">
        <v>65</v>
      </c>
      <c r="K2184" s="26" t="s">
        <v>38</v>
      </c>
      <c r="L2184" s="25">
        <v>11396.0</v>
      </c>
      <c r="M2184" s="27" t="s">
        <v>50</v>
      </c>
      <c r="N2184" s="26" t="s">
        <v>5897</v>
      </c>
      <c r="O2184" s="28">
        <v>45531.6990009375</v>
      </c>
      <c r="P2184" s="26" t="s">
        <v>6028</v>
      </c>
      <c r="Q2184" s="11" t="s">
        <v>67</v>
      </c>
      <c r="R2184" s="11"/>
      <c r="S2184" s="11" t="s">
        <v>50</v>
      </c>
      <c r="T2184" s="29">
        <v>45471.0</v>
      </c>
      <c r="U2184" s="29">
        <v>45471.0</v>
      </c>
      <c r="V2184" s="29">
        <v>45531.611318888885</v>
      </c>
      <c r="W2184" s="30"/>
      <c r="X2184" s="30"/>
      <c r="Y2184" s="31"/>
      <c r="Z2184" s="31"/>
      <c r="AA2184" s="31" t="s">
        <v>94</v>
      </c>
      <c r="AB2184" s="31" t="s">
        <v>8629</v>
      </c>
      <c r="AC2184" s="31"/>
    </row>
    <row r="2185" ht="18.75" customHeight="1">
      <c r="A2185" s="18" t="s">
        <v>8630</v>
      </c>
      <c r="B2185" s="19" t="s">
        <v>4875</v>
      </c>
      <c r="C2185" s="20">
        <v>90.0</v>
      </c>
      <c r="D2185" s="21" t="s">
        <v>8631</v>
      </c>
      <c r="E2185" s="27" t="s">
        <v>91</v>
      </c>
      <c r="F2185" s="18" t="s">
        <v>48</v>
      </c>
      <c r="G2185" s="32" t="s">
        <v>35</v>
      </c>
      <c r="H2185" s="23" t="s">
        <v>35</v>
      </c>
      <c r="I2185" s="24" t="s">
        <v>36</v>
      </c>
      <c r="J2185" s="34" t="s">
        <v>65</v>
      </c>
      <c r="K2185" s="26" t="s">
        <v>38</v>
      </c>
      <c r="L2185" s="25">
        <v>11396.0</v>
      </c>
      <c r="M2185" s="27" t="s">
        <v>50</v>
      </c>
      <c r="N2185" s="26" t="s">
        <v>5897</v>
      </c>
      <c r="O2185" s="28">
        <v>45531.69907045139</v>
      </c>
      <c r="P2185" s="26" t="s">
        <v>6028</v>
      </c>
      <c r="Q2185" s="11" t="s">
        <v>67</v>
      </c>
      <c r="R2185" s="11"/>
      <c r="S2185" s="11" t="s">
        <v>50</v>
      </c>
      <c r="T2185" s="29">
        <v>45471.0</v>
      </c>
      <c r="U2185" s="29">
        <v>45471.0</v>
      </c>
      <c r="V2185" s="29">
        <v>45531.611328831015</v>
      </c>
      <c r="W2185" s="30"/>
      <c r="X2185" s="30"/>
      <c r="Y2185" s="31"/>
      <c r="Z2185" s="31"/>
      <c r="AA2185" s="31" t="s">
        <v>94</v>
      </c>
      <c r="AB2185" s="31" t="s">
        <v>8632</v>
      </c>
      <c r="AC2185" s="31"/>
    </row>
    <row r="2186" ht="18.75" customHeight="1">
      <c r="A2186" s="18" t="s">
        <v>8633</v>
      </c>
      <c r="B2186" s="19" t="s">
        <v>4875</v>
      </c>
      <c r="C2186" s="20">
        <v>90.0</v>
      </c>
      <c r="D2186" s="21" t="s">
        <v>8634</v>
      </c>
      <c r="E2186" s="27" t="s">
        <v>91</v>
      </c>
      <c r="F2186" s="18" t="s">
        <v>48</v>
      </c>
      <c r="G2186" s="32" t="s">
        <v>35</v>
      </c>
      <c r="H2186" s="23" t="s">
        <v>35</v>
      </c>
      <c r="I2186" s="24" t="s">
        <v>36</v>
      </c>
      <c r="J2186" s="34" t="s">
        <v>65</v>
      </c>
      <c r="K2186" s="26" t="s">
        <v>38</v>
      </c>
      <c r="L2186" s="25">
        <v>11396.0</v>
      </c>
      <c r="M2186" s="27" t="s">
        <v>50</v>
      </c>
      <c r="N2186" s="26" t="s">
        <v>5897</v>
      </c>
      <c r="O2186" s="28">
        <v>45531.69914121528</v>
      </c>
      <c r="P2186" s="26" t="s">
        <v>6028</v>
      </c>
      <c r="Q2186" s="11" t="s">
        <v>67</v>
      </c>
      <c r="R2186" s="11"/>
      <c r="S2186" s="11" t="s">
        <v>50</v>
      </c>
      <c r="T2186" s="29">
        <v>45471.0</v>
      </c>
      <c r="U2186" s="29">
        <v>45471.0</v>
      </c>
      <c r="V2186" s="29">
        <v>45531.61133824074</v>
      </c>
      <c r="W2186" s="30"/>
      <c r="X2186" s="30"/>
      <c r="Y2186" s="31"/>
      <c r="Z2186" s="31"/>
      <c r="AA2186" s="31" t="s">
        <v>94</v>
      </c>
      <c r="AB2186" s="31" t="s">
        <v>8635</v>
      </c>
      <c r="AC2186" s="31"/>
    </row>
    <row r="2187" ht="18.75" customHeight="1">
      <c r="A2187" s="18" t="s">
        <v>8636</v>
      </c>
      <c r="B2187" s="19" t="s">
        <v>4875</v>
      </c>
      <c r="C2187" s="20">
        <v>90.0</v>
      </c>
      <c r="D2187" s="21" t="s">
        <v>8637</v>
      </c>
      <c r="E2187" s="27" t="s">
        <v>91</v>
      </c>
      <c r="F2187" s="18" t="s">
        <v>48</v>
      </c>
      <c r="G2187" s="32" t="s">
        <v>35</v>
      </c>
      <c r="H2187" s="23" t="s">
        <v>35</v>
      </c>
      <c r="I2187" s="24" t="s">
        <v>36</v>
      </c>
      <c r="J2187" s="34" t="s">
        <v>65</v>
      </c>
      <c r="K2187" s="26" t="s">
        <v>38</v>
      </c>
      <c r="L2187" s="25">
        <v>11396.0</v>
      </c>
      <c r="M2187" s="27" t="s">
        <v>50</v>
      </c>
      <c r="N2187" s="26" t="s">
        <v>5897</v>
      </c>
      <c r="O2187" s="28">
        <v>45531.699219016205</v>
      </c>
      <c r="P2187" s="26" t="s">
        <v>6028</v>
      </c>
      <c r="Q2187" s="11" t="s">
        <v>67</v>
      </c>
      <c r="R2187" s="11"/>
      <c r="S2187" s="11" t="s">
        <v>50</v>
      </c>
      <c r="T2187" s="29">
        <v>45471.0</v>
      </c>
      <c r="U2187" s="29">
        <v>45471.0</v>
      </c>
      <c r="V2187" s="29">
        <v>45531.61134909722</v>
      </c>
      <c r="W2187" s="30"/>
      <c r="X2187" s="30"/>
      <c r="Y2187" s="31"/>
      <c r="Z2187" s="31"/>
      <c r="AA2187" s="31" t="s">
        <v>94</v>
      </c>
      <c r="AB2187" s="31" t="s">
        <v>8638</v>
      </c>
      <c r="AC2187" s="31"/>
    </row>
    <row r="2188" ht="18.75" customHeight="1">
      <c r="A2188" s="18" t="s">
        <v>8639</v>
      </c>
      <c r="B2188" s="19" t="s">
        <v>4875</v>
      </c>
      <c r="C2188" s="20">
        <v>90.0</v>
      </c>
      <c r="D2188" s="21" t="s">
        <v>8640</v>
      </c>
      <c r="E2188" s="27" t="s">
        <v>91</v>
      </c>
      <c r="F2188" s="18" t="s">
        <v>48</v>
      </c>
      <c r="G2188" s="32" t="s">
        <v>35</v>
      </c>
      <c r="H2188" s="23" t="s">
        <v>35</v>
      </c>
      <c r="I2188" s="24" t="s">
        <v>36</v>
      </c>
      <c r="J2188" s="34" t="s">
        <v>65</v>
      </c>
      <c r="K2188" s="26" t="s">
        <v>38</v>
      </c>
      <c r="L2188" s="25">
        <v>11396.0</v>
      </c>
      <c r="M2188" s="27" t="s">
        <v>50</v>
      </c>
      <c r="N2188" s="26" t="s">
        <v>5897</v>
      </c>
      <c r="O2188" s="28">
        <v>45531.69931305556</v>
      </c>
      <c r="P2188" s="26" t="s">
        <v>6028</v>
      </c>
      <c r="Q2188" s="11" t="s">
        <v>67</v>
      </c>
      <c r="R2188" s="11"/>
      <c r="S2188" s="11" t="s">
        <v>50</v>
      </c>
      <c r="T2188" s="29">
        <v>45471.0</v>
      </c>
      <c r="U2188" s="29">
        <v>45471.0</v>
      </c>
      <c r="V2188" s="29">
        <v>45531.61135706019</v>
      </c>
      <c r="W2188" s="30"/>
      <c r="X2188" s="30"/>
      <c r="Y2188" s="31"/>
      <c r="Z2188" s="31"/>
      <c r="AA2188" s="31" t="s">
        <v>94</v>
      </c>
      <c r="AB2188" s="31" t="s">
        <v>8641</v>
      </c>
      <c r="AC2188" s="31"/>
    </row>
    <row r="2189" ht="18.75" customHeight="1">
      <c r="A2189" s="18" t="s">
        <v>8642</v>
      </c>
      <c r="B2189" s="19" t="s">
        <v>4875</v>
      </c>
      <c r="C2189" s="20">
        <v>90.0</v>
      </c>
      <c r="D2189" s="21" t="s">
        <v>8643</v>
      </c>
      <c r="E2189" s="27" t="s">
        <v>91</v>
      </c>
      <c r="F2189" s="18" t="s">
        <v>48</v>
      </c>
      <c r="G2189" s="32" t="s">
        <v>35</v>
      </c>
      <c r="H2189" s="23" t="s">
        <v>35</v>
      </c>
      <c r="I2189" s="24" t="s">
        <v>36</v>
      </c>
      <c r="J2189" s="34" t="s">
        <v>65</v>
      </c>
      <c r="K2189" s="26" t="s">
        <v>38</v>
      </c>
      <c r="L2189" s="25">
        <v>11396.0</v>
      </c>
      <c r="M2189" s="27" t="s">
        <v>50</v>
      </c>
      <c r="N2189" s="26" t="s">
        <v>5897</v>
      </c>
      <c r="O2189" s="28">
        <v>45531.69939002315</v>
      </c>
      <c r="P2189" s="26" t="s">
        <v>6028</v>
      </c>
      <c r="Q2189" s="11" t="s">
        <v>67</v>
      </c>
      <c r="R2189" s="11"/>
      <c r="S2189" s="11" t="s">
        <v>50</v>
      </c>
      <c r="T2189" s="29">
        <v>45471.0</v>
      </c>
      <c r="U2189" s="29">
        <v>45471.0</v>
      </c>
      <c r="V2189" s="29">
        <v>45531.61136571759</v>
      </c>
      <c r="W2189" s="30"/>
      <c r="X2189" s="30"/>
      <c r="Y2189" s="31"/>
      <c r="Z2189" s="31"/>
      <c r="AA2189" s="31" t="s">
        <v>94</v>
      </c>
      <c r="AB2189" s="31" t="s">
        <v>8644</v>
      </c>
      <c r="AC2189" s="31"/>
    </row>
    <row r="2190" ht="18.75" customHeight="1">
      <c r="A2190" s="18" t="s">
        <v>8645</v>
      </c>
      <c r="B2190" s="19" t="s">
        <v>4875</v>
      </c>
      <c r="C2190" s="20">
        <v>90.0</v>
      </c>
      <c r="D2190" s="21" t="s">
        <v>8646</v>
      </c>
      <c r="E2190" s="27" t="s">
        <v>91</v>
      </c>
      <c r="F2190" s="18" t="s">
        <v>48</v>
      </c>
      <c r="G2190" s="32" t="s">
        <v>35</v>
      </c>
      <c r="H2190" s="23" t="s">
        <v>35</v>
      </c>
      <c r="I2190" s="24" t="s">
        <v>36</v>
      </c>
      <c r="J2190" s="34" t="s">
        <v>65</v>
      </c>
      <c r="K2190" s="26" t="s">
        <v>38</v>
      </c>
      <c r="L2190" s="25">
        <v>11396.0</v>
      </c>
      <c r="M2190" s="27" t="s">
        <v>50</v>
      </c>
      <c r="N2190" s="26" t="s">
        <v>5897</v>
      </c>
      <c r="O2190" s="28">
        <v>45531.69946013889</v>
      </c>
      <c r="P2190" s="26" t="s">
        <v>6028</v>
      </c>
      <c r="Q2190" s="11" t="s">
        <v>67</v>
      </c>
      <c r="R2190" s="11"/>
      <c r="S2190" s="11" t="s">
        <v>50</v>
      </c>
      <c r="T2190" s="29">
        <v>45471.0</v>
      </c>
      <c r="U2190" s="29">
        <v>45471.0</v>
      </c>
      <c r="V2190" s="29">
        <v>45531.61137493055</v>
      </c>
      <c r="W2190" s="30"/>
      <c r="X2190" s="30"/>
      <c r="Y2190" s="31"/>
      <c r="Z2190" s="31"/>
      <c r="AA2190" s="31" t="s">
        <v>94</v>
      </c>
      <c r="AB2190" s="31" t="s">
        <v>8647</v>
      </c>
      <c r="AC2190" s="31"/>
    </row>
    <row r="2191" ht="18.75" customHeight="1">
      <c r="A2191" s="32" t="s">
        <v>8648</v>
      </c>
      <c r="B2191" s="19" t="s">
        <v>4875</v>
      </c>
      <c r="C2191" s="20">
        <v>90.0</v>
      </c>
      <c r="D2191" s="21" t="s">
        <v>8649</v>
      </c>
      <c r="E2191" s="27" t="s">
        <v>91</v>
      </c>
      <c r="F2191" s="18" t="s">
        <v>48</v>
      </c>
      <c r="G2191" s="32" t="s">
        <v>35</v>
      </c>
      <c r="H2191" s="23" t="s">
        <v>35</v>
      </c>
      <c r="I2191" s="37" t="s">
        <v>36</v>
      </c>
      <c r="J2191" s="34" t="s">
        <v>65</v>
      </c>
      <c r="K2191" s="26" t="s">
        <v>38</v>
      </c>
      <c r="L2191" s="25">
        <v>11631.0</v>
      </c>
      <c r="M2191" s="27" t="s">
        <v>50</v>
      </c>
      <c r="N2191" s="26" t="s">
        <v>8104</v>
      </c>
      <c r="O2191" s="28">
        <v>45573.66249371528</v>
      </c>
      <c r="P2191" s="26" t="s">
        <v>6028</v>
      </c>
      <c r="Q2191" s="11" t="s">
        <v>67</v>
      </c>
      <c r="R2191" s="11"/>
      <c r="S2191" s="11" t="s">
        <v>50</v>
      </c>
      <c r="T2191" s="29">
        <v>45471.0</v>
      </c>
      <c r="U2191" s="29">
        <v>45471.0</v>
      </c>
      <c r="V2191" s="29">
        <v>45573.45956456018</v>
      </c>
      <c r="W2191" s="30"/>
      <c r="X2191" s="30"/>
      <c r="Y2191" s="31"/>
      <c r="Z2191" s="31"/>
      <c r="AA2191" s="31" t="s">
        <v>94</v>
      </c>
      <c r="AB2191" s="31" t="s">
        <v>8650</v>
      </c>
      <c r="AC2191" s="31"/>
    </row>
    <row r="2192" ht="18.75" customHeight="1">
      <c r="A2192" s="18" t="s">
        <v>8651</v>
      </c>
      <c r="B2192" s="19" t="s">
        <v>8652</v>
      </c>
      <c r="C2192" s="20">
        <v>0.0</v>
      </c>
      <c r="D2192" s="21" t="s">
        <v>8653</v>
      </c>
      <c r="E2192" s="22" t="s">
        <v>1119</v>
      </c>
      <c r="F2192" s="18" t="s">
        <v>33</v>
      </c>
      <c r="G2192" s="32" t="s">
        <v>35</v>
      </c>
      <c r="H2192" s="23" t="s">
        <v>35</v>
      </c>
      <c r="I2192" s="24" t="s">
        <v>36</v>
      </c>
      <c r="J2192" s="34" t="s">
        <v>65</v>
      </c>
      <c r="K2192" s="26" t="s">
        <v>38</v>
      </c>
      <c r="L2192" s="25">
        <v>11406.0</v>
      </c>
      <c r="M2192" s="27" t="s">
        <v>50</v>
      </c>
      <c r="N2192" s="26" t="s">
        <v>5706</v>
      </c>
      <c r="O2192" s="28">
        <v>45540.69727071759</v>
      </c>
      <c r="P2192" s="26" t="s">
        <v>8654</v>
      </c>
      <c r="Q2192" s="11" t="s">
        <v>67</v>
      </c>
      <c r="R2192" s="11" t="s">
        <v>67</v>
      </c>
      <c r="S2192" s="11" t="s">
        <v>101</v>
      </c>
      <c r="T2192" s="29">
        <v>45532.363625972226</v>
      </c>
      <c r="U2192" s="29">
        <v>45532.58665131945</v>
      </c>
      <c r="V2192" s="29">
        <v>45539.406182245366</v>
      </c>
      <c r="W2192" s="30"/>
      <c r="X2192" s="30"/>
      <c r="Y2192" s="31"/>
      <c r="Z2192" s="31"/>
      <c r="AA2192" s="31" t="s">
        <v>3059</v>
      </c>
      <c r="AB2192" s="31" t="s">
        <v>8655</v>
      </c>
      <c r="AC2192" s="31"/>
    </row>
    <row r="2193" ht="18.75" customHeight="1">
      <c r="A2193" s="18" t="s">
        <v>8656</v>
      </c>
      <c r="B2193" s="19" t="s">
        <v>8652</v>
      </c>
      <c r="C2193" s="20">
        <v>0.0</v>
      </c>
      <c r="D2193" s="21" t="s">
        <v>8657</v>
      </c>
      <c r="E2193" s="22" t="s">
        <v>1119</v>
      </c>
      <c r="F2193" s="18" t="s">
        <v>33</v>
      </c>
      <c r="G2193" s="32" t="s">
        <v>35</v>
      </c>
      <c r="H2193" s="23" t="s">
        <v>35</v>
      </c>
      <c r="I2193" s="24" t="s">
        <v>36</v>
      </c>
      <c r="J2193" s="34" t="s">
        <v>65</v>
      </c>
      <c r="K2193" s="26" t="s">
        <v>38</v>
      </c>
      <c r="L2193" s="25">
        <v>11406.0</v>
      </c>
      <c r="M2193" s="27" t="s">
        <v>50</v>
      </c>
      <c r="N2193" s="26" t="s">
        <v>5706</v>
      </c>
      <c r="O2193" s="28">
        <v>45540.697006180555</v>
      </c>
      <c r="P2193" s="26" t="s">
        <v>8654</v>
      </c>
      <c r="Q2193" s="11" t="s">
        <v>67</v>
      </c>
      <c r="R2193" s="11" t="s">
        <v>67</v>
      </c>
      <c r="S2193" s="11" t="s">
        <v>101</v>
      </c>
      <c r="T2193" s="29">
        <v>45532.363733969905</v>
      </c>
      <c r="U2193" s="29">
        <v>45532.586709675925</v>
      </c>
      <c r="V2193" s="29">
        <v>45540.419522129625</v>
      </c>
      <c r="W2193" s="30"/>
      <c r="X2193" s="30"/>
      <c r="Y2193" s="31"/>
      <c r="Z2193" s="31"/>
      <c r="AA2193" s="31" t="s">
        <v>3059</v>
      </c>
      <c r="AB2193" s="31" t="s">
        <v>8658</v>
      </c>
      <c r="AC2193" s="31"/>
    </row>
    <row r="2194" ht="18.75" customHeight="1">
      <c r="A2194" s="18" t="s">
        <v>8659</v>
      </c>
      <c r="B2194" s="19" t="s">
        <v>8652</v>
      </c>
      <c r="C2194" s="20">
        <v>0.0</v>
      </c>
      <c r="D2194" s="21" t="s">
        <v>8660</v>
      </c>
      <c r="E2194" s="22" t="s">
        <v>1119</v>
      </c>
      <c r="F2194" s="18" t="s">
        <v>33</v>
      </c>
      <c r="G2194" s="32" t="s">
        <v>35</v>
      </c>
      <c r="H2194" s="23" t="s">
        <v>35</v>
      </c>
      <c r="I2194" s="24" t="s">
        <v>36</v>
      </c>
      <c r="J2194" s="34" t="s">
        <v>65</v>
      </c>
      <c r="K2194" s="26" t="s">
        <v>38</v>
      </c>
      <c r="L2194" s="25">
        <v>11406.0</v>
      </c>
      <c r="M2194" s="27" t="s">
        <v>50</v>
      </c>
      <c r="N2194" s="26" t="s">
        <v>5706</v>
      </c>
      <c r="O2194" s="28">
        <v>45540.69717143518</v>
      </c>
      <c r="P2194" s="26" t="s">
        <v>8654</v>
      </c>
      <c r="Q2194" s="11" t="s">
        <v>67</v>
      </c>
      <c r="R2194" s="11" t="s">
        <v>67</v>
      </c>
      <c r="S2194" s="11" t="s">
        <v>101</v>
      </c>
      <c r="T2194" s="29">
        <v>45532.36378645833</v>
      </c>
      <c r="U2194" s="29">
        <v>45532.586705671296</v>
      </c>
      <c r="V2194" s="29">
        <v>45538.3752387037</v>
      </c>
      <c r="W2194" s="30"/>
      <c r="X2194" s="30"/>
      <c r="Y2194" s="31"/>
      <c r="Z2194" s="31"/>
      <c r="AA2194" s="31" t="s">
        <v>3059</v>
      </c>
      <c r="AB2194" s="31" t="s">
        <v>8661</v>
      </c>
      <c r="AC2194" s="31"/>
    </row>
    <row r="2195" ht="18.75" customHeight="1">
      <c r="A2195" s="18" t="s">
        <v>8662</v>
      </c>
      <c r="B2195" s="19" t="s">
        <v>8652</v>
      </c>
      <c r="C2195" s="20">
        <v>0.0</v>
      </c>
      <c r="D2195" s="21" t="s">
        <v>8663</v>
      </c>
      <c r="E2195" s="22" t="s">
        <v>1119</v>
      </c>
      <c r="F2195" s="18" t="s">
        <v>33</v>
      </c>
      <c r="G2195" s="32" t="s">
        <v>35</v>
      </c>
      <c r="H2195" s="23" t="s">
        <v>35</v>
      </c>
      <c r="I2195" s="24" t="s">
        <v>36</v>
      </c>
      <c r="J2195" s="34" t="s">
        <v>65</v>
      </c>
      <c r="K2195" s="26" t="s">
        <v>38</v>
      </c>
      <c r="L2195" s="25">
        <v>11406.0</v>
      </c>
      <c r="M2195" s="27" t="s">
        <v>50</v>
      </c>
      <c r="N2195" s="26" t="s">
        <v>5706</v>
      </c>
      <c r="O2195" s="28">
        <v>45540.697087939814</v>
      </c>
      <c r="P2195" s="26" t="s">
        <v>8654</v>
      </c>
      <c r="Q2195" s="11" t="s">
        <v>67</v>
      </c>
      <c r="R2195" s="11" t="s">
        <v>67</v>
      </c>
      <c r="S2195" s="11" t="s">
        <v>101</v>
      </c>
      <c r="T2195" s="29">
        <v>45532.36383929398</v>
      </c>
      <c r="U2195" s="29">
        <v>45532.586714907404</v>
      </c>
      <c r="V2195" s="29">
        <v>45540.4195294213</v>
      </c>
      <c r="W2195" s="30"/>
      <c r="X2195" s="30"/>
      <c r="Y2195" s="31"/>
      <c r="Z2195" s="31"/>
      <c r="AA2195" s="31" t="s">
        <v>3059</v>
      </c>
      <c r="AB2195" s="31" t="s">
        <v>8664</v>
      </c>
      <c r="AC2195" s="31"/>
    </row>
    <row r="2196" ht="18.75" customHeight="1">
      <c r="A2196" s="142" t="s">
        <v>8665</v>
      </c>
      <c r="B2196" s="19" t="s">
        <v>8666</v>
      </c>
      <c r="C2196" s="20">
        <v>0.0</v>
      </c>
      <c r="D2196" s="21" t="s">
        <v>8667</v>
      </c>
      <c r="E2196" s="27" t="s">
        <v>453</v>
      </c>
      <c r="F2196" s="18" t="s">
        <v>244</v>
      </c>
      <c r="G2196" s="32" t="s">
        <v>35</v>
      </c>
      <c r="H2196" s="23" t="s">
        <v>35</v>
      </c>
      <c r="I2196" s="24" t="s">
        <v>36</v>
      </c>
      <c r="J2196" s="25" t="s">
        <v>49</v>
      </c>
      <c r="K2196" s="26" t="s">
        <v>38</v>
      </c>
      <c r="L2196" s="25">
        <v>11430.0</v>
      </c>
      <c r="M2196" s="27" t="s">
        <v>50</v>
      </c>
      <c r="N2196" s="26" t="s">
        <v>5936</v>
      </c>
      <c r="O2196" s="28">
        <v>45539.66357700231</v>
      </c>
      <c r="P2196" s="26" t="s">
        <v>8668</v>
      </c>
      <c r="Q2196" s="11" t="s">
        <v>67</v>
      </c>
      <c r="R2196" s="11" t="s">
        <v>67</v>
      </c>
      <c r="S2196" s="11" t="s">
        <v>101</v>
      </c>
      <c r="T2196" s="29">
        <v>45532.37085552083</v>
      </c>
      <c r="U2196" s="29">
        <v>45532.666640138894</v>
      </c>
      <c r="V2196" s="29">
        <v>45538.37530013889</v>
      </c>
      <c r="W2196" s="30"/>
      <c r="X2196" s="30"/>
      <c r="Y2196" s="31"/>
      <c r="Z2196" s="31"/>
      <c r="AA2196" s="31" t="s">
        <v>5199</v>
      </c>
      <c r="AB2196" s="31" t="s">
        <v>8669</v>
      </c>
      <c r="AC2196" s="31"/>
    </row>
    <row r="2197" ht="18.75" customHeight="1">
      <c r="A2197" s="142" t="s">
        <v>8670</v>
      </c>
      <c r="B2197" s="19" t="s">
        <v>5287</v>
      </c>
      <c r="C2197" s="20">
        <v>34.0</v>
      </c>
      <c r="D2197" s="21" t="s">
        <v>8671</v>
      </c>
      <c r="E2197" s="27" t="s">
        <v>47</v>
      </c>
      <c r="F2197" s="18" t="s">
        <v>48</v>
      </c>
      <c r="G2197" s="32" t="s">
        <v>35</v>
      </c>
      <c r="H2197" s="23" t="s">
        <v>35</v>
      </c>
      <c r="I2197" s="24" t="s">
        <v>36</v>
      </c>
      <c r="J2197" s="25" t="s">
        <v>49</v>
      </c>
      <c r="K2197" s="26" t="s">
        <v>38</v>
      </c>
      <c r="L2197" s="25">
        <v>11411.0</v>
      </c>
      <c r="M2197" s="27" t="s">
        <v>50</v>
      </c>
      <c r="N2197" s="26" t="s">
        <v>5936</v>
      </c>
      <c r="O2197" s="28">
        <v>45533.58212258102</v>
      </c>
      <c r="P2197" s="26" t="s">
        <v>8672</v>
      </c>
      <c r="Q2197" s="11" t="s">
        <v>67</v>
      </c>
      <c r="R2197" s="11" t="s">
        <v>73</v>
      </c>
      <c r="S2197" s="11" t="s">
        <v>50</v>
      </c>
      <c r="T2197" s="29">
        <v>45532.40460068287</v>
      </c>
      <c r="U2197" s="29">
        <v>45532.47537996528</v>
      </c>
      <c r="V2197" s="29">
        <v>45532.693281053245</v>
      </c>
      <c r="W2197" s="30"/>
      <c r="X2197" s="30"/>
      <c r="Y2197" s="31"/>
      <c r="Z2197" s="31"/>
      <c r="AA2197" s="31" t="s">
        <v>5290</v>
      </c>
      <c r="AB2197" s="31" t="s">
        <v>8673</v>
      </c>
      <c r="AC2197" s="31"/>
    </row>
    <row r="2198" ht="18.75" customHeight="1">
      <c r="A2198" s="18" t="s">
        <v>8674</v>
      </c>
      <c r="B2198" s="19" t="s">
        <v>8675</v>
      </c>
      <c r="C2198" s="20">
        <v>90.0</v>
      </c>
      <c r="D2198" s="21" t="s">
        <v>8676</v>
      </c>
      <c r="E2198" s="27" t="s">
        <v>91</v>
      </c>
      <c r="F2198" s="18" t="s">
        <v>48</v>
      </c>
      <c r="G2198" s="32" t="s">
        <v>35</v>
      </c>
      <c r="H2198" s="23" t="s">
        <v>35</v>
      </c>
      <c r="I2198" s="24" t="s">
        <v>36</v>
      </c>
      <c r="J2198" s="25" t="s">
        <v>49</v>
      </c>
      <c r="K2198" s="26" t="s">
        <v>838</v>
      </c>
      <c r="L2198" s="25">
        <v>11512.0</v>
      </c>
      <c r="M2198" s="27" t="s">
        <v>50</v>
      </c>
      <c r="N2198" s="26" t="s">
        <v>99</v>
      </c>
      <c r="O2198" s="28">
        <v>45552.628707916665</v>
      </c>
      <c r="P2198" s="26" t="s">
        <v>8677</v>
      </c>
      <c r="Q2198" s="11" t="s">
        <v>67</v>
      </c>
      <c r="R2198" s="11" t="s">
        <v>67</v>
      </c>
      <c r="S2198" s="11" t="s">
        <v>50</v>
      </c>
      <c r="T2198" s="29">
        <v>45532.4140743287</v>
      </c>
      <c r="U2198" s="29">
        <v>45548.365281493054</v>
      </c>
      <c r="V2198" s="29">
        <v>45552.45768215277</v>
      </c>
      <c r="W2198" s="30"/>
      <c r="X2198" s="30"/>
      <c r="Y2198" s="31"/>
      <c r="Z2198" s="31"/>
      <c r="AA2198" s="31" t="s">
        <v>5290</v>
      </c>
      <c r="AB2198" s="31" t="s">
        <v>8678</v>
      </c>
      <c r="AC2198" s="31"/>
    </row>
    <row r="2199" ht="18.75" customHeight="1">
      <c r="A2199" s="18" t="s">
        <v>8679</v>
      </c>
      <c r="B2199" s="19" t="s">
        <v>8675</v>
      </c>
      <c r="C2199" s="20">
        <v>90.0</v>
      </c>
      <c r="D2199" s="21" t="s">
        <v>8680</v>
      </c>
      <c r="E2199" s="27" t="s">
        <v>91</v>
      </c>
      <c r="F2199" s="18" t="s">
        <v>48</v>
      </c>
      <c r="G2199" s="32" t="s">
        <v>35</v>
      </c>
      <c r="H2199" s="23" t="s">
        <v>35</v>
      </c>
      <c r="I2199" s="24" t="s">
        <v>36</v>
      </c>
      <c r="J2199" s="25" t="s">
        <v>49</v>
      </c>
      <c r="K2199" s="26" t="s">
        <v>838</v>
      </c>
      <c r="L2199" s="25">
        <v>11614.0</v>
      </c>
      <c r="M2199" s="22" t="s">
        <v>50</v>
      </c>
      <c r="N2199" s="35" t="s">
        <v>8199</v>
      </c>
      <c r="O2199" s="28">
        <v>45573.64878472222</v>
      </c>
      <c r="P2199" s="26" t="s">
        <v>8677</v>
      </c>
      <c r="Q2199" s="11" t="s">
        <v>67</v>
      </c>
      <c r="R2199" s="11" t="s">
        <v>67</v>
      </c>
      <c r="S2199" s="11" t="s">
        <v>50</v>
      </c>
      <c r="T2199" s="29">
        <v>45532.41417775463</v>
      </c>
      <c r="U2199" s="29">
        <v>45548.365322025464</v>
      </c>
      <c r="V2199" s="29">
        <v>45573.41288380787</v>
      </c>
      <c r="W2199" s="30"/>
      <c r="X2199" s="30"/>
      <c r="Y2199" s="31"/>
      <c r="Z2199" s="31"/>
      <c r="AA2199" s="31" t="s">
        <v>5290</v>
      </c>
      <c r="AB2199" s="31" t="s">
        <v>8681</v>
      </c>
      <c r="AC2199" s="31"/>
    </row>
    <row r="2200" ht="18.75" customHeight="1">
      <c r="A2200" s="142" t="s">
        <v>8682</v>
      </c>
      <c r="B2200" s="19" t="s">
        <v>5681</v>
      </c>
      <c r="C2200" s="20">
        <v>137.0</v>
      </c>
      <c r="D2200" s="21" t="s">
        <v>8683</v>
      </c>
      <c r="E2200" s="27" t="s">
        <v>85</v>
      </c>
      <c r="F2200" s="18" t="s">
        <v>48</v>
      </c>
      <c r="G2200" s="32" t="s">
        <v>35</v>
      </c>
      <c r="H2200" s="23" t="s">
        <v>35</v>
      </c>
      <c r="I2200" s="24" t="s">
        <v>36</v>
      </c>
      <c r="J2200" s="34" t="s">
        <v>65</v>
      </c>
      <c r="K2200" s="26" t="s">
        <v>38</v>
      </c>
      <c r="L2200" s="25">
        <v>11403.0</v>
      </c>
      <c r="M2200" s="27" t="s">
        <v>50</v>
      </c>
      <c r="N2200" s="26" t="s">
        <v>51</v>
      </c>
      <c r="O2200" s="28">
        <v>45555.71307619213</v>
      </c>
      <c r="P2200" s="26" t="s">
        <v>8684</v>
      </c>
      <c r="Q2200" s="11" t="s">
        <v>67</v>
      </c>
      <c r="R2200" s="11" t="s">
        <v>67</v>
      </c>
      <c r="S2200" s="11"/>
      <c r="T2200" s="29">
        <v>45555.71307619213</v>
      </c>
      <c r="U2200" s="29">
        <v>45555.71307619213</v>
      </c>
      <c r="V2200" s="29">
        <v>45555.71307619213</v>
      </c>
      <c r="W2200" s="30"/>
      <c r="X2200" s="30"/>
      <c r="Y2200" s="31"/>
      <c r="Z2200" s="31"/>
      <c r="AA2200" s="31" t="s">
        <v>94</v>
      </c>
      <c r="AB2200" s="31" t="s">
        <v>8685</v>
      </c>
      <c r="AC2200" s="31"/>
    </row>
    <row r="2201" ht="18.75" customHeight="1">
      <c r="A2201" s="142" t="s">
        <v>8686</v>
      </c>
      <c r="B2201" s="19" t="s">
        <v>8046</v>
      </c>
      <c r="C2201" s="20">
        <v>0.0</v>
      </c>
      <c r="D2201" s="21" t="s">
        <v>8687</v>
      </c>
      <c r="E2201" s="27" t="s">
        <v>3441</v>
      </c>
      <c r="F2201" s="18" t="s">
        <v>48</v>
      </c>
      <c r="G2201" s="32" t="s">
        <v>35</v>
      </c>
      <c r="H2201" s="23" t="s">
        <v>35</v>
      </c>
      <c r="I2201" s="24" t="s">
        <v>36</v>
      </c>
      <c r="J2201" s="34" t="s">
        <v>65</v>
      </c>
      <c r="K2201" s="26" t="s">
        <v>38</v>
      </c>
      <c r="L2201" s="25">
        <v>11412.0</v>
      </c>
      <c r="M2201" s="27" t="s">
        <v>50</v>
      </c>
      <c r="N2201" s="26" t="s">
        <v>5897</v>
      </c>
      <c r="O2201" s="28">
        <v>45533.67299295139</v>
      </c>
      <c r="P2201" s="26" t="s">
        <v>8688</v>
      </c>
      <c r="Q2201" s="11" t="s">
        <v>67</v>
      </c>
      <c r="R2201" s="11" t="s">
        <v>67</v>
      </c>
      <c r="S2201" s="11" t="s">
        <v>50</v>
      </c>
      <c r="T2201" s="29">
        <v>45532.43552008102</v>
      </c>
      <c r="U2201" s="29">
        <v>45532.65043667824</v>
      </c>
      <c r="V2201" s="29">
        <v>45532.699605138885</v>
      </c>
      <c r="W2201" s="30"/>
      <c r="X2201" s="30"/>
      <c r="Y2201" s="31"/>
      <c r="Z2201" s="31"/>
      <c r="AA2201" s="31" t="s">
        <v>94</v>
      </c>
      <c r="AB2201" s="31" t="s">
        <v>8689</v>
      </c>
      <c r="AC2201" s="31"/>
    </row>
    <row r="2202" ht="18.75" customHeight="1">
      <c r="A2202" s="142" t="s">
        <v>8690</v>
      </c>
      <c r="B2202" s="19" t="s">
        <v>8691</v>
      </c>
      <c r="C2202" s="20">
        <v>137.0</v>
      </c>
      <c r="D2202" s="21" t="s">
        <v>8692</v>
      </c>
      <c r="E2202" s="27" t="s">
        <v>85</v>
      </c>
      <c r="F2202" s="18" t="s">
        <v>48</v>
      </c>
      <c r="G2202" s="32" t="s">
        <v>35</v>
      </c>
      <c r="H2202" s="23" t="s">
        <v>35</v>
      </c>
      <c r="I2202" s="37" t="s">
        <v>36</v>
      </c>
      <c r="J2202" s="25" t="s">
        <v>49</v>
      </c>
      <c r="K2202" s="26" t="s">
        <v>38</v>
      </c>
      <c r="L2202" s="25">
        <v>11507.0</v>
      </c>
      <c r="M2202" s="27" t="s">
        <v>50</v>
      </c>
      <c r="N2202" s="26" t="s">
        <v>51</v>
      </c>
      <c r="O2202" s="28">
        <v>45600.62649818287</v>
      </c>
      <c r="P2202" s="26" t="s">
        <v>8693</v>
      </c>
      <c r="Q2202" s="11" t="s">
        <v>73</v>
      </c>
      <c r="R2202" s="11" t="s">
        <v>73</v>
      </c>
      <c r="S2202" s="11"/>
      <c r="T2202" s="29">
        <v>45600.62649818287</v>
      </c>
      <c r="U2202" s="29">
        <v>45600.62649818287</v>
      </c>
      <c r="V2202" s="29">
        <v>45600.62649818287</v>
      </c>
      <c r="W2202" s="38"/>
      <c r="X2202" s="30"/>
      <c r="Y2202" s="31"/>
      <c r="Z2202" s="31"/>
      <c r="AA2202" s="31"/>
      <c r="AB2202" s="31" t="s">
        <v>8694</v>
      </c>
      <c r="AC2202" s="31"/>
    </row>
    <row r="2203" ht="18.75" customHeight="1">
      <c r="A2203" s="142" t="s">
        <v>8695</v>
      </c>
      <c r="B2203" s="19" t="s">
        <v>8203</v>
      </c>
      <c r="C2203" s="20">
        <v>137.0</v>
      </c>
      <c r="D2203" s="21" t="s">
        <v>8696</v>
      </c>
      <c r="E2203" s="27" t="s">
        <v>85</v>
      </c>
      <c r="F2203" s="18" t="s">
        <v>48</v>
      </c>
      <c r="G2203" s="32" t="s">
        <v>35</v>
      </c>
      <c r="H2203" s="23" t="s">
        <v>35</v>
      </c>
      <c r="I2203" s="24" t="s">
        <v>36</v>
      </c>
      <c r="J2203" s="34" t="s">
        <v>65</v>
      </c>
      <c r="K2203" s="26" t="s">
        <v>38</v>
      </c>
      <c r="L2203" s="25">
        <v>11413.0</v>
      </c>
      <c r="M2203" s="27" t="s">
        <v>50</v>
      </c>
      <c r="N2203" s="26" t="s">
        <v>5897</v>
      </c>
      <c r="O2203" s="28">
        <v>45533.67289954861</v>
      </c>
      <c r="P2203" s="26" t="s">
        <v>8697</v>
      </c>
      <c r="Q2203" s="11"/>
      <c r="R2203" s="11" t="s">
        <v>67</v>
      </c>
      <c r="S2203" s="11" t="s">
        <v>50</v>
      </c>
      <c r="T2203" s="29">
        <v>45532.0</v>
      </c>
      <c r="U2203" s="29">
        <v>45532.585956967596</v>
      </c>
      <c r="V2203" s="29">
        <v>45532.69961391204</v>
      </c>
      <c r="W2203" s="30"/>
      <c r="X2203" s="30"/>
      <c r="Y2203" s="31"/>
      <c r="Z2203" s="31"/>
      <c r="AA2203" s="31" t="s">
        <v>3059</v>
      </c>
      <c r="AB2203" s="31" t="s">
        <v>8698</v>
      </c>
      <c r="AC2203" s="31"/>
    </row>
    <row r="2204" ht="18.75" customHeight="1">
      <c r="A2204" s="142" t="s">
        <v>8699</v>
      </c>
      <c r="B2204" s="19" t="s">
        <v>140</v>
      </c>
      <c r="C2204" s="20">
        <v>34.0</v>
      </c>
      <c r="D2204" s="21" t="s">
        <v>8700</v>
      </c>
      <c r="E2204" s="27" t="s">
        <v>47</v>
      </c>
      <c r="F2204" s="18" t="s">
        <v>48</v>
      </c>
      <c r="G2204" s="32" t="s">
        <v>35</v>
      </c>
      <c r="H2204" s="23" t="s">
        <v>35</v>
      </c>
      <c r="I2204" s="24" t="s">
        <v>36</v>
      </c>
      <c r="J2204" s="25" t="s">
        <v>49</v>
      </c>
      <c r="K2204" s="26" t="s">
        <v>142</v>
      </c>
      <c r="L2204" s="25">
        <v>11444.0</v>
      </c>
      <c r="M2204" s="27" t="s">
        <v>50</v>
      </c>
      <c r="N2204" s="26" t="s">
        <v>99</v>
      </c>
      <c r="O2204" s="28">
        <v>45544.7074803125</v>
      </c>
      <c r="P2204" s="26" t="s">
        <v>8701</v>
      </c>
      <c r="Q2204" s="11" t="s">
        <v>67</v>
      </c>
      <c r="R2204" s="11" t="s">
        <v>67</v>
      </c>
      <c r="S2204" s="11" t="s">
        <v>50</v>
      </c>
      <c r="T2204" s="29">
        <v>45532.56862939815</v>
      </c>
      <c r="U2204" s="29">
        <v>45540.603674976854</v>
      </c>
      <c r="V2204" s="29">
        <v>45544.34289662037</v>
      </c>
      <c r="W2204" s="30"/>
      <c r="X2204" s="30"/>
      <c r="Y2204" s="31"/>
      <c r="Z2204" s="31"/>
      <c r="AA2204" s="31" t="s">
        <v>145</v>
      </c>
      <c r="AB2204" s="31" t="s">
        <v>8702</v>
      </c>
      <c r="AC2204" s="31"/>
    </row>
    <row r="2205" ht="18.75" customHeight="1">
      <c r="A2205" s="142" t="s">
        <v>8703</v>
      </c>
      <c r="B2205" s="19" t="s">
        <v>5039</v>
      </c>
      <c r="C2205" s="20">
        <v>0.0</v>
      </c>
      <c r="D2205" s="135" t="s">
        <v>8704</v>
      </c>
      <c r="E2205" s="22" t="s">
        <v>32</v>
      </c>
      <c r="F2205" s="18" t="s">
        <v>33</v>
      </c>
      <c r="G2205" s="32" t="s">
        <v>35</v>
      </c>
      <c r="H2205" s="23" t="s">
        <v>35</v>
      </c>
      <c r="I2205" s="24" t="s">
        <v>36</v>
      </c>
      <c r="J2205" s="25" t="s">
        <v>49</v>
      </c>
      <c r="K2205" s="26" t="s">
        <v>38</v>
      </c>
      <c r="L2205" s="25">
        <v>11438.0</v>
      </c>
      <c r="M2205" s="27" t="s">
        <v>50</v>
      </c>
      <c r="N2205" s="26" t="s">
        <v>5936</v>
      </c>
      <c r="O2205" s="28">
        <v>45541.57103528935</v>
      </c>
      <c r="P2205" s="26" t="s">
        <v>8705</v>
      </c>
      <c r="Q2205" s="11" t="s">
        <v>67</v>
      </c>
      <c r="R2205" s="11" t="s">
        <v>67</v>
      </c>
      <c r="S2205" s="11" t="s">
        <v>101</v>
      </c>
      <c r="T2205" s="29">
        <v>45532.57012813658</v>
      </c>
      <c r="U2205" s="29">
        <v>45532.586303958335</v>
      </c>
      <c r="V2205" s="29">
        <v>45538.46856005787</v>
      </c>
      <c r="W2205" s="30"/>
      <c r="X2205" s="30"/>
      <c r="Y2205" s="31"/>
      <c r="Z2205" s="31"/>
      <c r="AA2205" s="31" t="s">
        <v>102</v>
      </c>
      <c r="AB2205" s="31" t="s">
        <v>8706</v>
      </c>
      <c r="AC2205" s="31"/>
    </row>
    <row r="2206" ht="18.75" customHeight="1">
      <c r="A2206" s="142" t="s">
        <v>8707</v>
      </c>
      <c r="B2206" s="19" t="s">
        <v>5039</v>
      </c>
      <c r="C2206" s="20">
        <v>0.0</v>
      </c>
      <c r="D2206" s="21" t="s">
        <v>8708</v>
      </c>
      <c r="E2206" s="27" t="s">
        <v>701</v>
      </c>
      <c r="F2206" s="18" t="s">
        <v>33</v>
      </c>
      <c r="G2206" s="32" t="s">
        <v>35</v>
      </c>
      <c r="H2206" s="23" t="s">
        <v>35</v>
      </c>
      <c r="I2206" s="24" t="s">
        <v>36</v>
      </c>
      <c r="J2206" s="25" t="s">
        <v>49</v>
      </c>
      <c r="K2206" s="26" t="s">
        <v>38</v>
      </c>
      <c r="L2206" s="25">
        <v>11437.0</v>
      </c>
      <c r="M2206" s="27" t="s">
        <v>50</v>
      </c>
      <c r="N2206" s="26" t="s">
        <v>5936</v>
      </c>
      <c r="O2206" s="28">
        <v>45541.57111388889</v>
      </c>
      <c r="P2206" s="26" t="s">
        <v>8709</v>
      </c>
      <c r="Q2206" s="11" t="s">
        <v>67</v>
      </c>
      <c r="R2206" s="11" t="s">
        <v>67</v>
      </c>
      <c r="S2206" s="11" t="s">
        <v>101</v>
      </c>
      <c r="T2206" s="29">
        <v>45532.624257013886</v>
      </c>
      <c r="U2206" s="29">
        <v>45532.64410471065</v>
      </c>
      <c r="V2206" s="29">
        <v>45540.66037111111</v>
      </c>
      <c r="W2206" s="30"/>
      <c r="X2206" s="30"/>
      <c r="Y2206" s="31"/>
      <c r="Z2206" s="31"/>
      <c r="AA2206" s="31" t="s">
        <v>102</v>
      </c>
      <c r="AB2206" s="31" t="s">
        <v>8710</v>
      </c>
      <c r="AC2206" s="31"/>
    </row>
    <row r="2207" ht="18.75" customHeight="1">
      <c r="A2207" s="142" t="s">
        <v>8711</v>
      </c>
      <c r="B2207" s="19" t="s">
        <v>1811</v>
      </c>
      <c r="C2207" s="20">
        <v>34.0</v>
      </c>
      <c r="D2207" s="21" t="s">
        <v>8712</v>
      </c>
      <c r="E2207" s="27" t="s">
        <v>47</v>
      </c>
      <c r="F2207" s="18" t="s">
        <v>48</v>
      </c>
      <c r="G2207" s="32" t="s">
        <v>35</v>
      </c>
      <c r="H2207" s="23" t="s">
        <v>35</v>
      </c>
      <c r="I2207" s="24" t="s">
        <v>36</v>
      </c>
      <c r="J2207" s="25" t="s">
        <v>49</v>
      </c>
      <c r="K2207" s="26" t="s">
        <v>1506</v>
      </c>
      <c r="L2207" s="25">
        <v>11419.0</v>
      </c>
      <c r="M2207" s="27" t="s">
        <v>50</v>
      </c>
      <c r="N2207" s="26" t="s">
        <v>5936</v>
      </c>
      <c r="O2207" s="28">
        <v>45534.61394835648</v>
      </c>
      <c r="P2207" s="26" t="s">
        <v>8713</v>
      </c>
      <c r="Q2207" s="11" t="s">
        <v>67</v>
      </c>
      <c r="R2207" s="11" t="s">
        <v>67</v>
      </c>
      <c r="S2207" s="11" t="s">
        <v>50</v>
      </c>
      <c r="T2207" s="29">
        <v>45532.64799848379</v>
      </c>
      <c r="U2207" s="29">
        <v>45533.387522627316</v>
      </c>
      <c r="V2207" s="29">
        <v>45534.464049699076</v>
      </c>
      <c r="W2207" s="30"/>
      <c r="X2207" s="30"/>
      <c r="Y2207" s="31"/>
      <c r="Z2207" s="31"/>
      <c r="AA2207" s="31" t="s">
        <v>3053</v>
      </c>
      <c r="AB2207" s="31" t="s">
        <v>8714</v>
      </c>
      <c r="AC2207" s="31"/>
    </row>
    <row r="2208" ht="18.75" customHeight="1">
      <c r="A2208" s="18" t="s">
        <v>8715</v>
      </c>
      <c r="B2208" s="19" t="s">
        <v>2209</v>
      </c>
      <c r="C2208" s="20">
        <v>0.0</v>
      </c>
      <c r="D2208" s="21" t="s">
        <v>8716</v>
      </c>
      <c r="E2208" s="27" t="s">
        <v>1530</v>
      </c>
      <c r="F2208" s="18" t="s">
        <v>33</v>
      </c>
      <c r="G2208" s="18" t="s">
        <v>34</v>
      </c>
      <c r="H2208" s="23" t="s">
        <v>35</v>
      </c>
      <c r="I2208" s="24" t="s">
        <v>36</v>
      </c>
      <c r="J2208" s="25" t="s">
        <v>92</v>
      </c>
      <c r="K2208" s="26" t="s">
        <v>38</v>
      </c>
      <c r="L2208" s="25">
        <v>11527.0</v>
      </c>
      <c r="M2208" s="27" t="s">
        <v>50</v>
      </c>
      <c r="N2208" s="26" t="s">
        <v>8717</v>
      </c>
      <c r="O2208" s="28">
        <v>45560.66828375</v>
      </c>
      <c r="P2208" s="26" t="s">
        <v>8718</v>
      </c>
      <c r="Q2208" s="11" t="s">
        <v>67</v>
      </c>
      <c r="R2208" s="11" t="s">
        <v>67</v>
      </c>
      <c r="S2208" s="11" t="s">
        <v>101</v>
      </c>
      <c r="T2208" s="29">
        <v>45533.58384443287</v>
      </c>
      <c r="U2208" s="29">
        <v>45533.59550834491</v>
      </c>
      <c r="V2208" s="29">
        <v>45548.6217209375</v>
      </c>
      <c r="W2208" s="30"/>
      <c r="X2208" s="30"/>
      <c r="Y2208" s="31"/>
      <c r="Z2208" s="31"/>
      <c r="AA2208" s="31" t="s">
        <v>120</v>
      </c>
      <c r="AB2208" s="31" t="s">
        <v>8719</v>
      </c>
      <c r="AC2208" s="31"/>
    </row>
    <row r="2209" ht="18.75" customHeight="1">
      <c r="A2209" s="18" t="s">
        <v>8720</v>
      </c>
      <c r="B2209" s="19" t="s">
        <v>2209</v>
      </c>
      <c r="C2209" s="20">
        <v>0.0</v>
      </c>
      <c r="D2209" s="21" t="s">
        <v>8721</v>
      </c>
      <c r="E2209" s="27" t="s">
        <v>1530</v>
      </c>
      <c r="F2209" s="18" t="s">
        <v>33</v>
      </c>
      <c r="G2209" s="18" t="s">
        <v>34</v>
      </c>
      <c r="H2209" s="23" t="s">
        <v>35</v>
      </c>
      <c r="I2209" s="24" t="s">
        <v>36</v>
      </c>
      <c r="J2209" s="25" t="s">
        <v>92</v>
      </c>
      <c r="K2209" s="26" t="s">
        <v>38</v>
      </c>
      <c r="L2209" s="25">
        <v>11527.0</v>
      </c>
      <c r="M2209" s="27" t="s">
        <v>50</v>
      </c>
      <c r="N2209" s="26" t="s">
        <v>8717</v>
      </c>
      <c r="O2209" s="28">
        <v>45560.66837092592</v>
      </c>
      <c r="P2209" s="26" t="s">
        <v>8718</v>
      </c>
      <c r="Q2209" s="11" t="s">
        <v>67</v>
      </c>
      <c r="R2209" s="11" t="s">
        <v>67</v>
      </c>
      <c r="S2209" s="11" t="s">
        <v>101</v>
      </c>
      <c r="T2209" s="29">
        <v>45533.58389918982</v>
      </c>
      <c r="U2209" s="29">
        <v>45533.5955369213</v>
      </c>
      <c r="V2209" s="29">
        <v>45553.7214293287</v>
      </c>
      <c r="W2209" s="30"/>
      <c r="X2209" s="30"/>
      <c r="Y2209" s="31"/>
      <c r="Z2209" s="31"/>
      <c r="AA2209" s="31" t="s">
        <v>120</v>
      </c>
      <c r="AB2209" s="31" t="s">
        <v>8722</v>
      </c>
      <c r="AC2209" s="31"/>
    </row>
    <row r="2210" ht="18.75" customHeight="1">
      <c r="A2210" s="142" t="s">
        <v>8723</v>
      </c>
      <c r="B2210" s="19" t="s">
        <v>5356</v>
      </c>
      <c r="C2210" s="20">
        <v>0.0</v>
      </c>
      <c r="D2210" s="21" t="s">
        <v>8724</v>
      </c>
      <c r="E2210" s="27" t="s">
        <v>5944</v>
      </c>
      <c r="F2210" s="18" t="s">
        <v>244</v>
      </c>
      <c r="G2210" s="32" t="s">
        <v>35</v>
      </c>
      <c r="H2210" s="23" t="s">
        <v>35</v>
      </c>
      <c r="I2210" s="24" t="s">
        <v>36</v>
      </c>
      <c r="J2210" s="25" t="s">
        <v>49</v>
      </c>
      <c r="K2210" s="26" t="s">
        <v>38</v>
      </c>
      <c r="L2210" s="25">
        <v>11446.0</v>
      </c>
      <c r="M2210" s="27" t="s">
        <v>50</v>
      </c>
      <c r="N2210" s="26" t="s">
        <v>99</v>
      </c>
      <c r="O2210" s="28">
        <v>45544.70791832176</v>
      </c>
      <c r="P2210" s="26" t="s">
        <v>8725</v>
      </c>
      <c r="Q2210" s="11" t="s">
        <v>67</v>
      </c>
      <c r="R2210" s="11" t="s">
        <v>67</v>
      </c>
      <c r="S2210" s="11" t="s">
        <v>101</v>
      </c>
      <c r="T2210" s="29">
        <v>45533.57971318287</v>
      </c>
      <c r="U2210" s="29">
        <v>45533.59527709491</v>
      </c>
      <c r="V2210" s="29">
        <v>45541.430881990746</v>
      </c>
      <c r="W2210" s="30"/>
      <c r="X2210" s="30"/>
      <c r="Y2210" s="31"/>
      <c r="Z2210" s="31"/>
      <c r="AA2210" s="31" t="s">
        <v>102</v>
      </c>
      <c r="AB2210" s="31" t="s">
        <v>8726</v>
      </c>
      <c r="AC2210" s="31"/>
    </row>
    <row r="2211" ht="18.75" customHeight="1">
      <c r="A2211" s="142" t="s">
        <v>8727</v>
      </c>
      <c r="B2211" s="19" t="s">
        <v>3645</v>
      </c>
      <c r="C2211" s="20">
        <v>0.0</v>
      </c>
      <c r="D2211" s="135" t="s">
        <v>8728</v>
      </c>
      <c r="E2211" s="27" t="s">
        <v>3834</v>
      </c>
      <c r="F2211" s="18" t="s">
        <v>33</v>
      </c>
      <c r="G2211" s="32" t="s">
        <v>35</v>
      </c>
      <c r="H2211" s="23" t="s">
        <v>35</v>
      </c>
      <c r="I2211" s="24" t="s">
        <v>36</v>
      </c>
      <c r="J2211" s="25" t="s">
        <v>49</v>
      </c>
      <c r="K2211" s="26" t="s">
        <v>38</v>
      </c>
      <c r="L2211" s="25">
        <v>11514.0</v>
      </c>
      <c r="M2211" s="27" t="s">
        <v>50</v>
      </c>
      <c r="N2211" s="26" t="s">
        <v>4183</v>
      </c>
      <c r="O2211" s="28">
        <v>45553.59821997685</v>
      </c>
      <c r="P2211" s="26" t="s">
        <v>8729</v>
      </c>
      <c r="Q2211" s="11" t="s">
        <v>67</v>
      </c>
      <c r="R2211" s="11" t="s">
        <v>67</v>
      </c>
      <c r="S2211" s="11" t="s">
        <v>101</v>
      </c>
      <c r="T2211" s="29">
        <v>45533.581514097226</v>
      </c>
      <c r="U2211" s="29">
        <v>45546.6964571412</v>
      </c>
      <c r="V2211" s="29">
        <v>45552.69982997685</v>
      </c>
      <c r="W2211" s="30"/>
      <c r="X2211" s="30"/>
      <c r="Y2211" s="31"/>
      <c r="Z2211" s="31"/>
      <c r="AA2211" s="31" t="s">
        <v>127</v>
      </c>
      <c r="AB2211" s="31" t="s">
        <v>8730</v>
      </c>
      <c r="AC2211" s="31"/>
    </row>
    <row r="2212" ht="18.75" customHeight="1">
      <c r="A2212" s="18" t="s">
        <v>8731</v>
      </c>
      <c r="B2212" s="19" t="s">
        <v>7403</v>
      </c>
      <c r="C2212" s="20">
        <v>0.0</v>
      </c>
      <c r="D2212" s="21" t="s">
        <v>8732</v>
      </c>
      <c r="E2212" s="22" t="s">
        <v>882</v>
      </c>
      <c r="F2212" s="18" t="s">
        <v>33</v>
      </c>
      <c r="G2212" s="32" t="s">
        <v>35</v>
      </c>
      <c r="H2212" s="23" t="s">
        <v>35</v>
      </c>
      <c r="I2212" s="24" t="s">
        <v>36</v>
      </c>
      <c r="J2212" s="34" t="s">
        <v>65</v>
      </c>
      <c r="K2212" s="26" t="s">
        <v>38</v>
      </c>
      <c r="L2212" s="25">
        <v>11467.0</v>
      </c>
      <c r="M2212" s="27" t="s">
        <v>50</v>
      </c>
      <c r="N2212" s="26" t="s">
        <v>3442</v>
      </c>
      <c r="O2212" s="28">
        <v>45547.64037753472</v>
      </c>
      <c r="P2212" s="26" t="s">
        <v>8733</v>
      </c>
      <c r="Q2212" s="11" t="s">
        <v>67</v>
      </c>
      <c r="R2212" s="11" t="s">
        <v>67</v>
      </c>
      <c r="S2212" s="11" t="s">
        <v>101</v>
      </c>
      <c r="T2212" s="29">
        <v>45533.63052515047</v>
      </c>
      <c r="U2212" s="29">
        <v>45533.69076320602</v>
      </c>
      <c r="V2212" s="29">
        <v>45546.351770416666</v>
      </c>
      <c r="W2212" s="30"/>
      <c r="X2212" s="30"/>
      <c r="Y2212" s="31"/>
      <c r="Z2212" s="31"/>
      <c r="AA2212" s="31" t="s">
        <v>94</v>
      </c>
      <c r="AB2212" s="31" t="s">
        <v>8734</v>
      </c>
      <c r="AC2212" s="31"/>
    </row>
    <row r="2213" ht="18.75" customHeight="1">
      <c r="A2213" s="18" t="s">
        <v>8735</v>
      </c>
      <c r="B2213" s="19" t="s">
        <v>7403</v>
      </c>
      <c r="C2213" s="20">
        <v>0.0</v>
      </c>
      <c r="D2213" s="21" t="s">
        <v>8736</v>
      </c>
      <c r="E2213" s="22" t="s">
        <v>882</v>
      </c>
      <c r="F2213" s="18" t="s">
        <v>33</v>
      </c>
      <c r="G2213" s="32" t="s">
        <v>35</v>
      </c>
      <c r="H2213" s="23" t="s">
        <v>35</v>
      </c>
      <c r="I2213" s="24" t="s">
        <v>36</v>
      </c>
      <c r="J2213" s="34" t="s">
        <v>65</v>
      </c>
      <c r="K2213" s="26" t="s">
        <v>38</v>
      </c>
      <c r="L2213" s="25">
        <v>11467.0</v>
      </c>
      <c r="M2213" s="27" t="s">
        <v>50</v>
      </c>
      <c r="N2213" s="26" t="s">
        <v>3442</v>
      </c>
      <c r="O2213" s="28">
        <v>45547.64058043982</v>
      </c>
      <c r="P2213" s="26" t="s">
        <v>8733</v>
      </c>
      <c r="Q2213" s="11" t="s">
        <v>67</v>
      </c>
      <c r="R2213" s="11" t="s">
        <v>67</v>
      </c>
      <c r="S2213" s="11" t="s">
        <v>101</v>
      </c>
      <c r="T2213" s="29">
        <v>45533.63062084491</v>
      </c>
      <c r="U2213" s="29">
        <v>45533.69082299768</v>
      </c>
      <c r="V2213" s="29">
        <v>45546.360909780095</v>
      </c>
      <c r="W2213" s="30"/>
      <c r="X2213" s="30"/>
      <c r="Y2213" s="31"/>
      <c r="Z2213" s="31"/>
      <c r="AA2213" s="31" t="s">
        <v>94</v>
      </c>
      <c r="AB2213" s="31" t="s">
        <v>8737</v>
      </c>
      <c r="AC2213" s="31"/>
    </row>
    <row r="2214" ht="18.75" customHeight="1">
      <c r="A2214" s="142" t="s">
        <v>8738</v>
      </c>
      <c r="B2214" s="19" t="s">
        <v>4614</v>
      </c>
      <c r="C2214" s="20">
        <v>11.0</v>
      </c>
      <c r="D2214" s="21" t="s">
        <v>8739</v>
      </c>
      <c r="E2214" s="27" t="s">
        <v>112</v>
      </c>
      <c r="F2214" s="18" t="s">
        <v>48</v>
      </c>
      <c r="G2214" s="32" t="s">
        <v>35</v>
      </c>
      <c r="H2214" s="23" t="s">
        <v>35</v>
      </c>
      <c r="I2214" s="24" t="s">
        <v>36</v>
      </c>
      <c r="J2214" s="34" t="s">
        <v>65</v>
      </c>
      <c r="K2214" s="26" t="s">
        <v>38</v>
      </c>
      <c r="L2214" s="25">
        <v>11425.0</v>
      </c>
      <c r="M2214" s="27" t="s">
        <v>50</v>
      </c>
      <c r="N2214" s="26" t="s">
        <v>51</v>
      </c>
      <c r="O2214" s="28">
        <v>45537.66776887732</v>
      </c>
      <c r="P2214" s="26" t="s">
        <v>8740</v>
      </c>
      <c r="Q2214" s="11" t="s">
        <v>67</v>
      </c>
      <c r="R2214" s="11" t="s">
        <v>67</v>
      </c>
      <c r="S2214" s="11"/>
      <c r="T2214" s="29">
        <v>45537.66776887732</v>
      </c>
      <c r="U2214" s="29">
        <v>45537.66776887732</v>
      </c>
      <c r="V2214" s="29">
        <v>45537.66776887732</v>
      </c>
      <c r="W2214" s="30"/>
      <c r="X2214" s="30"/>
      <c r="Y2214" s="31"/>
      <c r="Z2214" s="31"/>
      <c r="AA2214" s="31" t="s">
        <v>94</v>
      </c>
      <c r="AB2214" s="31" t="s">
        <v>8741</v>
      </c>
      <c r="AC2214" s="31"/>
    </row>
    <row r="2215" ht="18.75" customHeight="1">
      <c r="A2215" s="18" t="s">
        <v>8742</v>
      </c>
      <c r="B2215" s="19" t="s">
        <v>8743</v>
      </c>
      <c r="C2215" s="20">
        <v>137.0</v>
      </c>
      <c r="D2215" s="21" t="s">
        <v>8744</v>
      </c>
      <c r="E2215" s="27" t="s">
        <v>85</v>
      </c>
      <c r="F2215" s="18" t="s">
        <v>48</v>
      </c>
      <c r="G2215" s="32" t="s">
        <v>35</v>
      </c>
      <c r="H2215" s="23" t="s">
        <v>35</v>
      </c>
      <c r="I2215" s="24" t="s">
        <v>36</v>
      </c>
      <c r="J2215" s="25" t="s">
        <v>92</v>
      </c>
      <c r="K2215" s="26" t="s">
        <v>38</v>
      </c>
      <c r="L2215" s="25">
        <v>11416.0</v>
      </c>
      <c r="M2215" s="27" t="s">
        <v>50</v>
      </c>
      <c r="N2215" s="26" t="s">
        <v>8745</v>
      </c>
      <c r="O2215" s="28">
        <v>45533.732600347226</v>
      </c>
      <c r="P2215" s="26" t="s">
        <v>8746</v>
      </c>
      <c r="Q2215" s="11" t="s">
        <v>67</v>
      </c>
      <c r="R2215" s="11" t="s">
        <v>67</v>
      </c>
      <c r="S2215" s="11" t="s">
        <v>8747</v>
      </c>
      <c r="T2215" s="29">
        <v>45533.71434976852</v>
      </c>
      <c r="U2215" s="29">
        <v>45533.71460574074</v>
      </c>
      <c r="V2215" s="29">
        <v>45533.0</v>
      </c>
      <c r="W2215" s="30"/>
      <c r="X2215" s="30"/>
      <c r="Y2215" s="31"/>
      <c r="Z2215" s="31"/>
      <c r="AA2215" s="31" t="s">
        <v>3059</v>
      </c>
      <c r="AB2215" s="31" t="s">
        <v>8748</v>
      </c>
      <c r="AC2215" s="31"/>
    </row>
    <row r="2216" ht="18.75" customHeight="1">
      <c r="A2216" s="18" t="s">
        <v>8749</v>
      </c>
      <c r="B2216" s="19" t="s">
        <v>8743</v>
      </c>
      <c r="C2216" s="20">
        <v>0.0</v>
      </c>
      <c r="D2216" s="21" t="s">
        <v>8750</v>
      </c>
      <c r="E2216" s="27" t="s">
        <v>3441</v>
      </c>
      <c r="F2216" s="18" t="s">
        <v>48</v>
      </c>
      <c r="G2216" s="32" t="s">
        <v>35</v>
      </c>
      <c r="H2216" s="23" t="s">
        <v>35</v>
      </c>
      <c r="I2216" s="24" t="s">
        <v>36</v>
      </c>
      <c r="J2216" s="25" t="s">
        <v>92</v>
      </c>
      <c r="K2216" s="26" t="s">
        <v>38</v>
      </c>
      <c r="L2216" s="25">
        <v>11416.0</v>
      </c>
      <c r="M2216" s="27" t="s">
        <v>50</v>
      </c>
      <c r="N2216" s="26" t="s">
        <v>8745</v>
      </c>
      <c r="O2216" s="28">
        <v>45533.73267420139</v>
      </c>
      <c r="P2216" s="26" t="s">
        <v>8746</v>
      </c>
      <c r="Q2216" s="11" t="s">
        <v>67</v>
      </c>
      <c r="R2216" s="11" t="s">
        <v>67</v>
      </c>
      <c r="S2216" s="11" t="s">
        <v>50</v>
      </c>
      <c r="T2216" s="29">
        <v>45533.71455082176</v>
      </c>
      <c r="U2216" s="29">
        <v>45533.71464369213</v>
      </c>
      <c r="V2216" s="29">
        <v>45533.731186944446</v>
      </c>
      <c r="W2216" s="30"/>
      <c r="X2216" s="30"/>
      <c r="Y2216" s="31"/>
      <c r="Z2216" s="31"/>
      <c r="AA2216" s="31" t="s">
        <v>3059</v>
      </c>
      <c r="AB2216" s="31" t="s">
        <v>8751</v>
      </c>
      <c r="AC2216" s="31"/>
    </row>
    <row r="2217" ht="18.75" customHeight="1">
      <c r="A2217" s="142" t="s">
        <v>8752</v>
      </c>
      <c r="B2217" s="19" t="s">
        <v>63</v>
      </c>
      <c r="C2217" s="20">
        <v>11.0</v>
      </c>
      <c r="D2217" s="21" t="s">
        <v>8753</v>
      </c>
      <c r="E2217" s="27" t="s">
        <v>112</v>
      </c>
      <c r="F2217" s="18" t="s">
        <v>48</v>
      </c>
      <c r="G2217" s="32" t="s">
        <v>35</v>
      </c>
      <c r="H2217" s="23" t="s">
        <v>35</v>
      </c>
      <c r="I2217" s="24" t="s">
        <v>36</v>
      </c>
      <c r="J2217" s="34" t="s">
        <v>65</v>
      </c>
      <c r="K2217" s="26" t="s">
        <v>38</v>
      </c>
      <c r="L2217" s="25">
        <v>11417.0</v>
      </c>
      <c r="M2217" s="27" t="s">
        <v>50</v>
      </c>
      <c r="N2217" s="26" t="s">
        <v>51</v>
      </c>
      <c r="O2217" s="28">
        <v>45534.44939337963</v>
      </c>
      <c r="P2217" s="26" t="s">
        <v>8754</v>
      </c>
      <c r="Q2217" s="11" t="s">
        <v>67</v>
      </c>
      <c r="R2217" s="11" t="s">
        <v>67</v>
      </c>
      <c r="S2217" s="11"/>
      <c r="T2217" s="29">
        <v>45534.44939337963</v>
      </c>
      <c r="U2217" s="29">
        <v>45534.44939337963</v>
      </c>
      <c r="V2217" s="29">
        <v>45534.44939337963</v>
      </c>
      <c r="W2217" s="30"/>
      <c r="X2217" s="30"/>
      <c r="Y2217" s="31"/>
      <c r="Z2217" s="31"/>
      <c r="AA2217" s="31" t="s">
        <v>94</v>
      </c>
      <c r="AB2217" s="31" t="s">
        <v>8755</v>
      </c>
      <c r="AC2217" s="31"/>
    </row>
    <row r="2218" ht="18.75" customHeight="1">
      <c r="A2218" s="142" t="s">
        <v>8756</v>
      </c>
      <c r="B2218" s="19" t="s">
        <v>8757</v>
      </c>
      <c r="C2218" s="20">
        <v>0.0</v>
      </c>
      <c r="D2218" s="21" t="s">
        <v>8758</v>
      </c>
      <c r="E2218" s="27" t="s">
        <v>2431</v>
      </c>
      <c r="F2218" s="18" t="s">
        <v>244</v>
      </c>
      <c r="G2218" s="32" t="s">
        <v>35</v>
      </c>
      <c r="H2218" s="23" t="s">
        <v>35</v>
      </c>
      <c r="I2218" s="24" t="s">
        <v>36</v>
      </c>
      <c r="J2218" s="34" t="s">
        <v>65</v>
      </c>
      <c r="K2218" s="26" t="s">
        <v>38</v>
      </c>
      <c r="L2218" s="25">
        <v>11488.0</v>
      </c>
      <c r="M2218" s="27" t="s">
        <v>50</v>
      </c>
      <c r="N2218" s="26" t="s">
        <v>5279</v>
      </c>
      <c r="O2218" s="28">
        <v>45551.58784361111</v>
      </c>
      <c r="P2218" s="26" t="s">
        <v>8759</v>
      </c>
      <c r="Q2218" s="11" t="s">
        <v>67</v>
      </c>
      <c r="R2218" s="11" t="s">
        <v>67</v>
      </c>
      <c r="S2218" s="11" t="s">
        <v>101</v>
      </c>
      <c r="T2218" s="29">
        <v>45534.38325825232</v>
      </c>
      <c r="U2218" s="29">
        <v>45545.686124687505</v>
      </c>
      <c r="V2218" s="29">
        <v>45548.47015625</v>
      </c>
      <c r="W2218" s="30"/>
      <c r="X2218" s="30"/>
      <c r="Y2218" s="31"/>
      <c r="Z2218" s="31"/>
      <c r="AA2218" s="31" t="s">
        <v>94</v>
      </c>
      <c r="AB2218" s="31" t="s">
        <v>8760</v>
      </c>
      <c r="AC2218" s="31"/>
    </row>
    <row r="2219" ht="18.75" customHeight="1">
      <c r="A2219" s="18" t="s">
        <v>8761</v>
      </c>
      <c r="B2219" s="19" t="s">
        <v>5469</v>
      </c>
      <c r="C2219" s="20">
        <v>11.0</v>
      </c>
      <c r="D2219" s="21" t="s">
        <v>8762</v>
      </c>
      <c r="E2219" s="27" t="s">
        <v>112</v>
      </c>
      <c r="F2219" s="18" t="s">
        <v>48</v>
      </c>
      <c r="G2219" s="32" t="s">
        <v>35</v>
      </c>
      <c r="H2219" s="23" t="s">
        <v>35</v>
      </c>
      <c r="I2219" s="24" t="s">
        <v>36</v>
      </c>
      <c r="J2219" s="25" t="s">
        <v>49</v>
      </c>
      <c r="K2219" s="26" t="s">
        <v>38</v>
      </c>
      <c r="L2219" s="25">
        <v>11418.0</v>
      </c>
      <c r="M2219" s="27" t="s">
        <v>50</v>
      </c>
      <c r="N2219" s="26" t="s">
        <v>5936</v>
      </c>
      <c r="O2219" s="28">
        <v>45534.61405695602</v>
      </c>
      <c r="P2219" s="26" t="s">
        <v>8763</v>
      </c>
      <c r="Q2219" s="11" t="s">
        <v>67</v>
      </c>
      <c r="R2219" s="11" t="s">
        <v>67</v>
      </c>
      <c r="S2219" s="11" t="s">
        <v>50</v>
      </c>
      <c r="T2219" s="29">
        <v>45534.38463829861</v>
      </c>
      <c r="U2219" s="29">
        <v>45534.44774318287</v>
      </c>
      <c r="V2219" s="29">
        <v>45534.463497488425</v>
      </c>
      <c r="W2219" s="30"/>
      <c r="X2219" s="30"/>
      <c r="Y2219" s="31"/>
      <c r="Z2219" s="31"/>
      <c r="AA2219" s="31" t="s">
        <v>102</v>
      </c>
      <c r="AB2219" s="31" t="s">
        <v>8764</v>
      </c>
      <c r="AC2219" s="31"/>
    </row>
    <row r="2220" ht="18.75" customHeight="1">
      <c r="A2220" s="18" t="s">
        <v>8765</v>
      </c>
      <c r="B2220" s="19" t="s">
        <v>5469</v>
      </c>
      <c r="C2220" s="20">
        <v>11.0</v>
      </c>
      <c r="D2220" s="21" t="s">
        <v>8766</v>
      </c>
      <c r="E2220" s="27" t="s">
        <v>112</v>
      </c>
      <c r="F2220" s="18" t="s">
        <v>48</v>
      </c>
      <c r="G2220" s="32" t="s">
        <v>35</v>
      </c>
      <c r="H2220" s="23" t="s">
        <v>35</v>
      </c>
      <c r="I2220" s="24" t="s">
        <v>36</v>
      </c>
      <c r="J2220" s="25" t="s">
        <v>49</v>
      </c>
      <c r="K2220" s="26" t="s">
        <v>38</v>
      </c>
      <c r="L2220" s="25">
        <v>11418.0</v>
      </c>
      <c r="M2220" s="27" t="s">
        <v>50</v>
      </c>
      <c r="N2220" s="26" t="s">
        <v>5936</v>
      </c>
      <c r="O2220" s="28">
        <v>45534.61411896991</v>
      </c>
      <c r="P2220" s="26" t="s">
        <v>8763</v>
      </c>
      <c r="Q2220" s="11" t="s">
        <v>67</v>
      </c>
      <c r="R2220" s="11" t="s">
        <v>67</v>
      </c>
      <c r="S2220" s="11" t="s">
        <v>50</v>
      </c>
      <c r="T2220" s="29">
        <v>45534.38827652778</v>
      </c>
      <c r="U2220" s="29">
        <v>45534.44776491898</v>
      </c>
      <c r="V2220" s="29">
        <v>45534.46351054398</v>
      </c>
      <c r="W2220" s="30"/>
      <c r="X2220" s="30"/>
      <c r="Y2220" s="31"/>
      <c r="Z2220" s="31"/>
      <c r="AA2220" s="31" t="s">
        <v>102</v>
      </c>
      <c r="AB2220" s="31" t="s">
        <v>8767</v>
      </c>
      <c r="AC2220" s="31"/>
    </row>
    <row r="2221" ht="18.75" customHeight="1">
      <c r="A2221" s="18" t="s">
        <v>8768</v>
      </c>
      <c r="B2221" s="19" t="s">
        <v>911</v>
      </c>
      <c r="C2221" s="20">
        <v>0.0</v>
      </c>
      <c r="D2221" s="21" t="s">
        <v>8769</v>
      </c>
      <c r="E2221" s="27" t="s">
        <v>257</v>
      </c>
      <c r="F2221" s="18" t="s">
        <v>244</v>
      </c>
      <c r="G2221" s="32" t="s">
        <v>35</v>
      </c>
      <c r="H2221" s="23" t="s">
        <v>35</v>
      </c>
      <c r="I2221" s="24" t="s">
        <v>36</v>
      </c>
      <c r="J2221" s="25" t="s">
        <v>49</v>
      </c>
      <c r="K2221" s="26" t="s">
        <v>8770</v>
      </c>
      <c r="L2221" s="25">
        <v>11513.0</v>
      </c>
      <c r="M2221" s="27" t="s">
        <v>50</v>
      </c>
      <c r="N2221" s="26" t="s">
        <v>4183</v>
      </c>
      <c r="O2221" s="28">
        <v>45553.598306678236</v>
      </c>
      <c r="P2221" s="26" t="s">
        <v>8771</v>
      </c>
      <c r="Q2221" s="11" t="s">
        <v>67</v>
      </c>
      <c r="R2221" s="11" t="s">
        <v>67</v>
      </c>
      <c r="S2221" s="11" t="s">
        <v>101</v>
      </c>
      <c r="T2221" s="29">
        <v>45534.41803927084</v>
      </c>
      <c r="U2221" s="29">
        <v>45534.45295131944</v>
      </c>
      <c r="V2221" s="29">
        <v>45552.627301782406</v>
      </c>
      <c r="W2221" s="30"/>
      <c r="X2221" s="30"/>
      <c r="Y2221" s="31"/>
      <c r="Z2221" s="31"/>
      <c r="AA2221" s="31" t="s">
        <v>3053</v>
      </c>
      <c r="AB2221" s="31" t="s">
        <v>8772</v>
      </c>
      <c r="AC2221" s="31"/>
    </row>
    <row r="2222" ht="18.75" customHeight="1">
      <c r="A2222" s="18" t="s">
        <v>8773</v>
      </c>
      <c r="B2222" s="19" t="s">
        <v>911</v>
      </c>
      <c r="C2222" s="20">
        <v>0.0</v>
      </c>
      <c r="D2222" s="21" t="s">
        <v>8774</v>
      </c>
      <c r="E2222" s="27" t="s">
        <v>79</v>
      </c>
      <c r="F2222" s="18" t="s">
        <v>33</v>
      </c>
      <c r="G2222" s="32" t="s">
        <v>35</v>
      </c>
      <c r="H2222" s="23" t="s">
        <v>35</v>
      </c>
      <c r="I2222" s="24" t="s">
        <v>36</v>
      </c>
      <c r="J2222" s="25" t="s">
        <v>49</v>
      </c>
      <c r="K2222" s="26" t="s">
        <v>8770</v>
      </c>
      <c r="L2222" s="25">
        <v>11513.0</v>
      </c>
      <c r="M2222" s="27" t="s">
        <v>50</v>
      </c>
      <c r="N2222" s="26" t="s">
        <v>4183</v>
      </c>
      <c r="O2222" s="28">
        <v>45553.59845425926</v>
      </c>
      <c r="P2222" s="26" t="s">
        <v>8771</v>
      </c>
      <c r="Q2222" s="11" t="s">
        <v>67</v>
      </c>
      <c r="R2222" s="11" t="s">
        <v>67</v>
      </c>
      <c r="S2222" s="11" t="s">
        <v>101</v>
      </c>
      <c r="T2222" s="29">
        <v>45534.41817737269</v>
      </c>
      <c r="U2222" s="29">
        <v>45534.45296263889</v>
      </c>
      <c r="V2222" s="29">
        <v>45544.65730005787</v>
      </c>
      <c r="W2222" s="30"/>
      <c r="X2222" s="30"/>
      <c r="Y2222" s="31"/>
      <c r="Z2222" s="31"/>
      <c r="AA2222" s="31" t="s">
        <v>3053</v>
      </c>
      <c r="AB2222" s="31" t="s">
        <v>8775</v>
      </c>
      <c r="AC2222" s="31"/>
    </row>
    <row r="2223" ht="18.75" customHeight="1">
      <c r="A2223" s="18" t="s">
        <v>8776</v>
      </c>
      <c r="B2223" s="19" t="s">
        <v>911</v>
      </c>
      <c r="C2223" s="20">
        <v>0.0</v>
      </c>
      <c r="D2223" s="21" t="s">
        <v>8777</v>
      </c>
      <c r="E2223" s="27" t="s">
        <v>295</v>
      </c>
      <c r="F2223" s="18" t="s">
        <v>33</v>
      </c>
      <c r="G2223" s="32" t="s">
        <v>35</v>
      </c>
      <c r="H2223" s="23" t="s">
        <v>35</v>
      </c>
      <c r="I2223" s="24" t="s">
        <v>36</v>
      </c>
      <c r="J2223" s="25" t="s">
        <v>49</v>
      </c>
      <c r="K2223" s="26" t="s">
        <v>8770</v>
      </c>
      <c r="L2223" s="25">
        <v>11513.0</v>
      </c>
      <c r="M2223" s="27" t="s">
        <v>50</v>
      </c>
      <c r="N2223" s="26" t="s">
        <v>4183</v>
      </c>
      <c r="O2223" s="28">
        <v>45553.59854219908</v>
      </c>
      <c r="P2223" s="26" t="s">
        <v>8771</v>
      </c>
      <c r="Q2223" s="11" t="s">
        <v>67</v>
      </c>
      <c r="R2223" s="11" t="s">
        <v>67</v>
      </c>
      <c r="S2223" s="11" t="s">
        <v>101</v>
      </c>
      <c r="T2223" s="29">
        <v>45534.417961134255</v>
      </c>
      <c r="U2223" s="29">
        <v>45534.45296793981</v>
      </c>
      <c r="V2223" s="29">
        <v>45541.41296016204</v>
      </c>
      <c r="W2223" s="30"/>
      <c r="X2223" s="30"/>
      <c r="Y2223" s="31"/>
      <c r="Z2223" s="31"/>
      <c r="AA2223" s="31" t="s">
        <v>3053</v>
      </c>
      <c r="AB2223" s="31" t="s">
        <v>8778</v>
      </c>
      <c r="AC2223" s="31"/>
    </row>
    <row r="2224" ht="18.75" customHeight="1">
      <c r="A2224" s="18" t="s">
        <v>8779</v>
      </c>
      <c r="B2224" s="19" t="s">
        <v>911</v>
      </c>
      <c r="C2224" s="20">
        <v>0.0</v>
      </c>
      <c r="D2224" s="21" t="s">
        <v>8780</v>
      </c>
      <c r="E2224" s="22" t="s">
        <v>913</v>
      </c>
      <c r="F2224" s="18" t="s">
        <v>33</v>
      </c>
      <c r="G2224" s="32" t="s">
        <v>35</v>
      </c>
      <c r="H2224" s="23" t="s">
        <v>35</v>
      </c>
      <c r="I2224" s="24" t="s">
        <v>36</v>
      </c>
      <c r="J2224" s="25" t="s">
        <v>49</v>
      </c>
      <c r="K2224" s="26" t="s">
        <v>8770</v>
      </c>
      <c r="L2224" s="25">
        <v>11513.0</v>
      </c>
      <c r="M2224" s="27" t="s">
        <v>50</v>
      </c>
      <c r="N2224" s="26" t="s">
        <v>4183</v>
      </c>
      <c r="O2224" s="28">
        <v>45553.59837590277</v>
      </c>
      <c r="P2224" s="26" t="s">
        <v>8771</v>
      </c>
      <c r="Q2224" s="11" t="s">
        <v>67</v>
      </c>
      <c r="R2224" s="11" t="s">
        <v>67</v>
      </c>
      <c r="S2224" s="11" t="s">
        <v>101</v>
      </c>
      <c r="T2224" s="29">
        <v>45534.41810918981</v>
      </c>
      <c r="U2224" s="29">
        <v>45534.452956180554</v>
      </c>
      <c r="V2224" s="29">
        <v>45548.4064859375</v>
      </c>
      <c r="W2224" s="30"/>
      <c r="X2224" s="30"/>
      <c r="Y2224" s="31"/>
      <c r="Z2224" s="31"/>
      <c r="AA2224" s="31" t="s">
        <v>3053</v>
      </c>
      <c r="AB2224" s="31" t="s">
        <v>8781</v>
      </c>
      <c r="AC2224" s="31"/>
    </row>
    <row r="2225" ht="18.75" customHeight="1">
      <c r="A2225" s="142" t="s">
        <v>8782</v>
      </c>
      <c r="B2225" s="19" t="s">
        <v>3636</v>
      </c>
      <c r="C2225" s="20">
        <v>1.0</v>
      </c>
      <c r="D2225" s="21" t="s">
        <v>8783</v>
      </c>
      <c r="E2225" s="27" t="s">
        <v>3395</v>
      </c>
      <c r="F2225" s="18" t="s">
        <v>48</v>
      </c>
      <c r="G2225" s="32" t="s">
        <v>35</v>
      </c>
      <c r="H2225" s="23" t="s">
        <v>35</v>
      </c>
      <c r="I2225" s="24" t="s">
        <v>36</v>
      </c>
      <c r="J2225" s="25" t="s">
        <v>49</v>
      </c>
      <c r="K2225" s="26" t="s">
        <v>38</v>
      </c>
      <c r="L2225" s="25">
        <v>11602.0</v>
      </c>
      <c r="M2225" s="22" t="s">
        <v>50</v>
      </c>
      <c r="N2225" s="35" t="s">
        <v>8199</v>
      </c>
      <c r="O2225" s="28">
        <v>45573.64878472222</v>
      </c>
      <c r="P2225" s="26" t="s">
        <v>8784</v>
      </c>
      <c r="Q2225" s="11" t="s">
        <v>67</v>
      </c>
      <c r="R2225" s="11" t="s">
        <v>67</v>
      </c>
      <c r="S2225" s="11" t="s">
        <v>50</v>
      </c>
      <c r="T2225" s="29">
        <v>45534.58781652778</v>
      </c>
      <c r="U2225" s="29">
        <v>45537.71839054398</v>
      </c>
      <c r="V2225" s="29">
        <v>45573.30551601852</v>
      </c>
      <c r="W2225" s="30"/>
      <c r="X2225" s="30"/>
      <c r="Y2225" s="31"/>
      <c r="Z2225" s="31"/>
      <c r="AA2225" s="31" t="s">
        <v>127</v>
      </c>
      <c r="AB2225" s="31" t="s">
        <v>8785</v>
      </c>
      <c r="AC2225" s="31"/>
    </row>
    <row r="2226" ht="18.75" customHeight="1">
      <c r="A2226" s="142" t="s">
        <v>8786</v>
      </c>
      <c r="B2226" s="19" t="s">
        <v>122</v>
      </c>
      <c r="C2226" s="20">
        <v>90.0</v>
      </c>
      <c r="D2226" s="21" t="s">
        <v>8787</v>
      </c>
      <c r="E2226" s="27" t="s">
        <v>91</v>
      </c>
      <c r="F2226" s="18" t="s">
        <v>48</v>
      </c>
      <c r="G2226" s="32" t="s">
        <v>35</v>
      </c>
      <c r="H2226" s="23" t="s">
        <v>35</v>
      </c>
      <c r="I2226" s="24" t="s">
        <v>36</v>
      </c>
      <c r="J2226" s="25" t="s">
        <v>49</v>
      </c>
      <c r="K2226" s="26" t="s">
        <v>38</v>
      </c>
      <c r="L2226" s="25">
        <v>11615.0</v>
      </c>
      <c r="M2226" s="22" t="s">
        <v>50</v>
      </c>
      <c r="N2226" s="35" t="s">
        <v>8199</v>
      </c>
      <c r="O2226" s="28">
        <v>45573.64878472222</v>
      </c>
      <c r="P2226" s="26" t="s">
        <v>8788</v>
      </c>
      <c r="Q2226" s="11" t="s">
        <v>67</v>
      </c>
      <c r="R2226" s="11" t="s">
        <v>67</v>
      </c>
      <c r="S2226" s="11" t="s">
        <v>50</v>
      </c>
      <c r="T2226" s="29">
        <v>45534.59139988426</v>
      </c>
      <c r="U2226" s="29">
        <v>45555.634723125</v>
      </c>
      <c r="V2226" s="29">
        <v>45573.41397793981</v>
      </c>
      <c r="W2226" s="30"/>
      <c r="X2226" s="30"/>
      <c r="Y2226" s="31"/>
      <c r="Z2226" s="31"/>
      <c r="AA2226" s="31" t="s">
        <v>127</v>
      </c>
      <c r="AB2226" s="31" t="s">
        <v>8789</v>
      </c>
      <c r="AC2226" s="31"/>
    </row>
    <row r="2227" ht="18.75" customHeight="1">
      <c r="A2227" s="18" t="s">
        <v>8790</v>
      </c>
      <c r="B2227" s="19" t="s">
        <v>1299</v>
      </c>
      <c r="C2227" s="20">
        <v>0.0</v>
      </c>
      <c r="D2227" s="135" t="s">
        <v>8791</v>
      </c>
      <c r="E2227" s="27" t="s">
        <v>532</v>
      </c>
      <c r="F2227" s="18" t="s">
        <v>244</v>
      </c>
      <c r="G2227" s="32" t="s">
        <v>35</v>
      </c>
      <c r="H2227" s="23" t="s">
        <v>35</v>
      </c>
      <c r="I2227" s="37" t="s">
        <v>36</v>
      </c>
      <c r="J2227" s="25" t="s">
        <v>92</v>
      </c>
      <c r="K2227" s="26" t="s">
        <v>38</v>
      </c>
      <c r="L2227" s="25">
        <v>11528.0</v>
      </c>
      <c r="M2227" s="27" t="s">
        <v>50</v>
      </c>
      <c r="N2227" s="26" t="s">
        <v>4767</v>
      </c>
      <c r="O2227" s="28">
        <v>45583.416642951386</v>
      </c>
      <c r="P2227" s="26" t="s">
        <v>8792</v>
      </c>
      <c r="Q2227" s="11" t="s">
        <v>67</v>
      </c>
      <c r="R2227" s="11" t="s">
        <v>67</v>
      </c>
      <c r="S2227" s="11" t="s">
        <v>101</v>
      </c>
      <c r="T2227" s="29">
        <v>45534.59569565972</v>
      </c>
      <c r="U2227" s="29">
        <v>45547.613249270835</v>
      </c>
      <c r="V2227" s="29">
        <v>45554.37142012731</v>
      </c>
      <c r="W2227" s="30"/>
      <c r="X2227" s="30"/>
      <c r="Y2227" s="31"/>
      <c r="Z2227" s="31"/>
      <c r="AA2227" s="31" t="s">
        <v>120</v>
      </c>
      <c r="AB2227" s="31" t="s">
        <v>8793</v>
      </c>
      <c r="AC2227" s="31"/>
    </row>
    <row r="2228" ht="18.75" customHeight="1">
      <c r="A2228" s="18" t="s">
        <v>8794</v>
      </c>
      <c r="B2228" s="19" t="s">
        <v>1299</v>
      </c>
      <c r="C2228" s="20">
        <v>0.0</v>
      </c>
      <c r="D2228" s="135" t="s">
        <v>8795</v>
      </c>
      <c r="E2228" s="27" t="s">
        <v>532</v>
      </c>
      <c r="F2228" s="18" t="s">
        <v>244</v>
      </c>
      <c r="G2228" s="32" t="s">
        <v>35</v>
      </c>
      <c r="H2228" s="23" t="s">
        <v>35</v>
      </c>
      <c r="I2228" s="37" t="s">
        <v>36</v>
      </c>
      <c r="J2228" s="25" t="s">
        <v>92</v>
      </c>
      <c r="K2228" s="26" t="s">
        <v>38</v>
      </c>
      <c r="L2228" s="25">
        <v>11528.0</v>
      </c>
      <c r="M2228" s="27" t="s">
        <v>50</v>
      </c>
      <c r="N2228" s="26" t="s">
        <v>4767</v>
      </c>
      <c r="O2228" s="28">
        <v>45583.41672886574</v>
      </c>
      <c r="P2228" s="26" t="s">
        <v>8792</v>
      </c>
      <c r="Q2228" s="11" t="s">
        <v>67</v>
      </c>
      <c r="R2228" s="11" t="s">
        <v>67</v>
      </c>
      <c r="S2228" s="11" t="s">
        <v>101</v>
      </c>
      <c r="T2228" s="29">
        <v>45534.59583618055</v>
      </c>
      <c r="U2228" s="29">
        <v>45547.6133734375</v>
      </c>
      <c r="V2228" s="29">
        <v>45554.371448969905</v>
      </c>
      <c r="W2228" s="30"/>
      <c r="X2228" s="30"/>
      <c r="Y2228" s="31"/>
      <c r="Z2228" s="31"/>
      <c r="AA2228" s="31" t="s">
        <v>120</v>
      </c>
      <c r="AB2228" s="31" t="s">
        <v>8796</v>
      </c>
      <c r="AC2228" s="31"/>
    </row>
    <row r="2229" ht="18.75" customHeight="1">
      <c r="A2229" s="142" t="s">
        <v>8797</v>
      </c>
      <c r="B2229" s="19" t="s">
        <v>4885</v>
      </c>
      <c r="C2229" s="20">
        <v>137.0</v>
      </c>
      <c r="D2229" s="21" t="s">
        <v>8798</v>
      </c>
      <c r="E2229" s="27" t="s">
        <v>85</v>
      </c>
      <c r="F2229" s="18" t="s">
        <v>48</v>
      </c>
      <c r="G2229" s="32" t="s">
        <v>35</v>
      </c>
      <c r="H2229" s="23" t="s">
        <v>35</v>
      </c>
      <c r="I2229" s="37" t="s">
        <v>36</v>
      </c>
      <c r="J2229" s="25" t="s">
        <v>92</v>
      </c>
      <c r="K2229" s="26" t="s">
        <v>38</v>
      </c>
      <c r="L2229" s="25">
        <v>11421.0</v>
      </c>
      <c r="M2229" s="27" t="s">
        <v>50</v>
      </c>
      <c r="N2229" s="26" t="s">
        <v>136</v>
      </c>
      <c r="O2229" s="28">
        <v>45579.64583333333</v>
      </c>
      <c r="P2229" s="26" t="s">
        <v>8799</v>
      </c>
      <c r="Q2229" s="11" t="s">
        <v>67</v>
      </c>
      <c r="R2229" s="11" t="s">
        <v>67</v>
      </c>
      <c r="S2229" s="11" t="s">
        <v>50</v>
      </c>
      <c r="T2229" s="29">
        <v>45534.59771324074</v>
      </c>
      <c r="U2229" s="29">
        <v>45534.646163275465</v>
      </c>
      <c r="V2229" s="29">
        <v>45537.433432025464</v>
      </c>
      <c r="W2229" s="30"/>
      <c r="X2229" s="30"/>
      <c r="Y2229" s="31"/>
      <c r="Z2229" s="31"/>
      <c r="AA2229" s="31" t="s">
        <v>120</v>
      </c>
      <c r="AB2229" s="31" t="s">
        <v>8800</v>
      </c>
      <c r="AC2229" s="31"/>
    </row>
    <row r="2230" ht="18.75" customHeight="1">
      <c r="A2230" s="142" t="s">
        <v>8801</v>
      </c>
      <c r="B2230" s="19" t="s">
        <v>5323</v>
      </c>
      <c r="C2230" s="20">
        <v>137.0</v>
      </c>
      <c r="D2230" s="21" t="s">
        <v>8802</v>
      </c>
      <c r="E2230" s="27" t="s">
        <v>85</v>
      </c>
      <c r="F2230" s="18" t="s">
        <v>48</v>
      </c>
      <c r="G2230" s="32" t="s">
        <v>35</v>
      </c>
      <c r="H2230" s="23" t="s">
        <v>35</v>
      </c>
      <c r="I2230" s="24" t="s">
        <v>36</v>
      </c>
      <c r="J2230" s="25" t="s">
        <v>49</v>
      </c>
      <c r="K2230" s="26" t="s">
        <v>38</v>
      </c>
      <c r="L2230" s="25">
        <v>11422.0</v>
      </c>
      <c r="M2230" s="27" t="s">
        <v>50</v>
      </c>
      <c r="N2230" s="26" t="s">
        <v>99</v>
      </c>
      <c r="O2230" s="28">
        <v>45537.59408603009</v>
      </c>
      <c r="P2230" s="26" t="s">
        <v>8803</v>
      </c>
      <c r="Q2230" s="11" t="s">
        <v>67</v>
      </c>
      <c r="R2230" s="11" t="s">
        <v>67</v>
      </c>
      <c r="S2230" s="11" t="s">
        <v>50</v>
      </c>
      <c r="T2230" s="29">
        <v>45534.59901085648</v>
      </c>
      <c r="U2230" s="29">
        <v>45534.60206592592</v>
      </c>
      <c r="V2230" s="29">
        <v>45537.43216423611</v>
      </c>
      <c r="W2230" s="30"/>
      <c r="X2230" s="30"/>
      <c r="Y2230" s="31"/>
      <c r="Z2230" s="31"/>
      <c r="AA2230" s="31" t="s">
        <v>102</v>
      </c>
      <c r="AB2230" s="31" t="s">
        <v>8804</v>
      </c>
      <c r="AC2230" s="31"/>
    </row>
    <row r="2231" ht="18.75" customHeight="1">
      <c r="A2231" s="142" t="s">
        <v>8805</v>
      </c>
      <c r="B2231" s="19" t="s">
        <v>8459</v>
      </c>
      <c r="C2231" s="20">
        <v>0.0</v>
      </c>
      <c r="D2231" s="21" t="s">
        <v>8806</v>
      </c>
      <c r="E2231" s="27" t="s">
        <v>3441</v>
      </c>
      <c r="F2231" s="18" t="s">
        <v>48</v>
      </c>
      <c r="G2231" s="32" t="s">
        <v>35</v>
      </c>
      <c r="H2231" s="23" t="s">
        <v>35</v>
      </c>
      <c r="I2231" s="24" t="s">
        <v>36</v>
      </c>
      <c r="J2231" s="25" t="s">
        <v>49</v>
      </c>
      <c r="K2231" s="26" t="s">
        <v>1506</v>
      </c>
      <c r="L2231" s="25">
        <v>11645.0</v>
      </c>
      <c r="M2231" s="22" t="s">
        <v>50</v>
      </c>
      <c r="N2231" s="35" t="s">
        <v>8199</v>
      </c>
      <c r="O2231" s="28">
        <v>45573.64878472222</v>
      </c>
      <c r="P2231" s="26" t="s">
        <v>8807</v>
      </c>
      <c r="Q2231" s="11" t="s">
        <v>67</v>
      </c>
      <c r="R2231" s="11" t="s">
        <v>67</v>
      </c>
      <c r="S2231" s="11" t="s">
        <v>50</v>
      </c>
      <c r="T2231" s="29">
        <v>45534.60138057871</v>
      </c>
      <c r="U2231" s="29">
        <v>45534.642693692134</v>
      </c>
      <c r="V2231" s="29">
        <v>45573.36510888889</v>
      </c>
      <c r="W2231" s="30"/>
      <c r="X2231" s="30"/>
      <c r="Y2231" s="31"/>
      <c r="Z2231" s="31"/>
      <c r="AA2231" s="31" t="s">
        <v>3053</v>
      </c>
      <c r="AB2231" s="31" t="s">
        <v>8808</v>
      </c>
      <c r="AC2231" s="31"/>
    </row>
    <row r="2232" ht="18.75" customHeight="1">
      <c r="A2232" s="142" t="s">
        <v>8809</v>
      </c>
      <c r="B2232" s="19" t="s">
        <v>8810</v>
      </c>
      <c r="C2232" s="20">
        <v>34.0</v>
      </c>
      <c r="D2232" s="21" t="s">
        <v>8811</v>
      </c>
      <c r="E2232" s="27" t="s">
        <v>47</v>
      </c>
      <c r="F2232" s="18" t="s">
        <v>48</v>
      </c>
      <c r="G2232" s="32" t="s">
        <v>35</v>
      </c>
      <c r="H2232" s="23" t="s">
        <v>35</v>
      </c>
      <c r="I2232" s="24" t="s">
        <v>36</v>
      </c>
      <c r="J2232" s="34" t="s">
        <v>65</v>
      </c>
      <c r="K2232" s="26" t="s">
        <v>38</v>
      </c>
      <c r="L2232" s="25">
        <v>11424.0</v>
      </c>
      <c r="M2232" s="27" t="s">
        <v>50</v>
      </c>
      <c r="N2232" s="26" t="s">
        <v>51</v>
      </c>
      <c r="O2232" s="28">
        <v>45537.66555826389</v>
      </c>
      <c r="P2232" s="26" t="s">
        <v>8812</v>
      </c>
      <c r="Q2232" s="11" t="s">
        <v>67</v>
      </c>
      <c r="R2232" s="11" t="s">
        <v>67</v>
      </c>
      <c r="S2232" s="11"/>
      <c r="T2232" s="29">
        <v>45537.66555826389</v>
      </c>
      <c r="U2232" s="29">
        <v>45537.66555826389</v>
      </c>
      <c r="V2232" s="29">
        <v>45537.66555826389</v>
      </c>
      <c r="W2232" s="30"/>
      <c r="X2232" s="30"/>
      <c r="Y2232" s="31"/>
      <c r="Z2232" s="31"/>
      <c r="AA2232" s="31" t="s">
        <v>94</v>
      </c>
      <c r="AB2232" s="31" t="s">
        <v>8813</v>
      </c>
      <c r="AC2232" s="31"/>
    </row>
    <row r="2233" ht="18.75" customHeight="1">
      <c r="A2233" s="18" t="s">
        <v>8814</v>
      </c>
      <c r="B2233" s="19" t="s">
        <v>8652</v>
      </c>
      <c r="C2233" s="20">
        <v>0.0</v>
      </c>
      <c r="D2233" s="21" t="s">
        <v>8815</v>
      </c>
      <c r="E2233" s="27" t="s">
        <v>713</v>
      </c>
      <c r="F2233" s="18" t="s">
        <v>33</v>
      </c>
      <c r="G2233" s="32" t="s">
        <v>35</v>
      </c>
      <c r="H2233" s="23" t="s">
        <v>35</v>
      </c>
      <c r="I2233" s="150" t="s">
        <v>36</v>
      </c>
      <c r="J2233" s="34" t="s">
        <v>65</v>
      </c>
      <c r="K2233" s="26" t="s">
        <v>38</v>
      </c>
      <c r="L2233" s="25">
        <v>11674.0</v>
      </c>
      <c r="M2233" s="27" t="s">
        <v>50</v>
      </c>
      <c r="N2233" s="26" t="s">
        <v>8469</v>
      </c>
      <c r="O2233" s="28">
        <v>45574.659356793985</v>
      </c>
      <c r="P2233" s="26" t="s">
        <v>8816</v>
      </c>
      <c r="Q2233" s="11" t="s">
        <v>67</v>
      </c>
      <c r="R2233" s="11" t="s">
        <v>67</v>
      </c>
      <c r="S2233" s="11" t="s">
        <v>101</v>
      </c>
      <c r="T2233" s="29">
        <v>45534.62574634259</v>
      </c>
      <c r="U2233" s="29">
        <v>45574.43457063657</v>
      </c>
      <c r="V2233" s="29">
        <v>45574.49021091435</v>
      </c>
      <c r="W2233" s="30"/>
      <c r="X2233" s="30"/>
      <c r="Y2233" s="31"/>
      <c r="Z2233" s="31"/>
      <c r="AA2233" s="31" t="s">
        <v>3059</v>
      </c>
      <c r="AB2233" s="31" t="s">
        <v>8817</v>
      </c>
      <c r="AC2233" s="31"/>
    </row>
    <row r="2234" ht="18.75" customHeight="1">
      <c r="A2234" s="18" t="s">
        <v>8818</v>
      </c>
      <c r="B2234" s="19" t="s">
        <v>8652</v>
      </c>
      <c r="C2234" s="20">
        <v>0.0</v>
      </c>
      <c r="D2234" s="135" t="s">
        <v>8819</v>
      </c>
      <c r="E2234" s="27" t="s">
        <v>713</v>
      </c>
      <c r="F2234" s="18" t="s">
        <v>33</v>
      </c>
      <c r="G2234" s="32" t="s">
        <v>35</v>
      </c>
      <c r="H2234" s="23" t="s">
        <v>35</v>
      </c>
      <c r="I2234" s="37" t="s">
        <v>36</v>
      </c>
      <c r="J2234" s="34" t="s">
        <v>65</v>
      </c>
      <c r="K2234" s="26" t="s">
        <v>38</v>
      </c>
      <c r="L2234" s="25">
        <v>11708.0</v>
      </c>
      <c r="M2234" s="27" t="s">
        <v>50</v>
      </c>
      <c r="N2234" s="26" t="s">
        <v>5279</v>
      </c>
      <c r="O2234" s="28">
        <v>45579.6299766088</v>
      </c>
      <c r="P2234" s="26" t="s">
        <v>8816</v>
      </c>
      <c r="Q2234" s="11" t="s">
        <v>67</v>
      </c>
      <c r="R2234" s="11" t="s">
        <v>67</v>
      </c>
      <c r="S2234" s="11"/>
      <c r="T2234" s="29">
        <v>45534.625911469906</v>
      </c>
      <c r="U2234" s="29">
        <v>45574.43451603009</v>
      </c>
      <c r="V2234" s="29"/>
      <c r="W2234" s="30"/>
      <c r="X2234" s="30"/>
      <c r="Y2234" s="31"/>
      <c r="Z2234" s="31"/>
      <c r="AA2234" s="31" t="s">
        <v>3059</v>
      </c>
      <c r="AB2234" s="31" t="s">
        <v>8820</v>
      </c>
      <c r="AC2234" s="31"/>
    </row>
    <row r="2235" ht="18.75" customHeight="1">
      <c r="A2235" s="18" t="s">
        <v>8821</v>
      </c>
      <c r="B2235" s="19" t="s">
        <v>8652</v>
      </c>
      <c r="C2235" s="20">
        <v>1.0</v>
      </c>
      <c r="D2235" s="21" t="s">
        <v>8822</v>
      </c>
      <c r="E2235" s="27" t="s">
        <v>3395</v>
      </c>
      <c r="F2235" s="32" t="s">
        <v>48</v>
      </c>
      <c r="G2235" s="32" t="s">
        <v>35</v>
      </c>
      <c r="H2235" s="23" t="s">
        <v>35</v>
      </c>
      <c r="I2235" s="37" t="s">
        <v>36</v>
      </c>
      <c r="J2235" s="34" t="s">
        <v>65</v>
      </c>
      <c r="K2235" s="26" t="s">
        <v>38</v>
      </c>
      <c r="L2235" s="25">
        <v>11674.0</v>
      </c>
      <c r="M2235" s="27" t="s">
        <v>50</v>
      </c>
      <c r="N2235" s="26" t="s">
        <v>8469</v>
      </c>
      <c r="O2235" s="28">
        <v>45574.65942777778</v>
      </c>
      <c r="P2235" s="26" t="s">
        <v>8816</v>
      </c>
      <c r="Q2235" s="11" t="s">
        <v>67</v>
      </c>
      <c r="R2235" s="11" t="s">
        <v>67</v>
      </c>
      <c r="S2235" s="11" t="s">
        <v>50</v>
      </c>
      <c r="T2235" s="29">
        <v>45534.62618129629</v>
      </c>
      <c r="U2235" s="29">
        <v>45574.43454564815</v>
      </c>
      <c r="V2235" s="29">
        <v>45574.57711916667</v>
      </c>
      <c r="W2235" s="30"/>
      <c r="X2235" s="30"/>
      <c r="Y2235" s="31"/>
      <c r="Z2235" s="31"/>
      <c r="AA2235" s="31" t="s">
        <v>3059</v>
      </c>
      <c r="AB2235" s="31" t="s">
        <v>8823</v>
      </c>
      <c r="AC2235" s="31"/>
    </row>
    <row r="2236" ht="18.75" customHeight="1">
      <c r="A2236" s="142" t="s">
        <v>8824</v>
      </c>
      <c r="B2236" s="19" t="s">
        <v>8825</v>
      </c>
      <c r="C2236" s="20">
        <v>0.0</v>
      </c>
      <c r="D2236" s="21" t="s">
        <v>8826</v>
      </c>
      <c r="E2236" s="27" t="s">
        <v>3441</v>
      </c>
      <c r="F2236" s="18" t="s">
        <v>48</v>
      </c>
      <c r="G2236" s="32" t="s">
        <v>35</v>
      </c>
      <c r="H2236" s="23" t="s">
        <v>35</v>
      </c>
      <c r="I2236" s="24" t="s">
        <v>36</v>
      </c>
      <c r="J2236" s="25" t="s">
        <v>49</v>
      </c>
      <c r="K2236" s="26" t="s">
        <v>38</v>
      </c>
      <c r="L2236" s="25">
        <v>11646.0</v>
      </c>
      <c r="M2236" s="22" t="s">
        <v>50</v>
      </c>
      <c r="N2236" s="35" t="s">
        <v>8199</v>
      </c>
      <c r="O2236" s="28">
        <v>45573.64878472222</v>
      </c>
      <c r="P2236" s="26" t="s">
        <v>8827</v>
      </c>
      <c r="Q2236" s="11" t="s">
        <v>67</v>
      </c>
      <c r="R2236" s="11" t="s">
        <v>67</v>
      </c>
      <c r="S2236" s="11" t="s">
        <v>50</v>
      </c>
      <c r="T2236" s="29">
        <v>45534.66433543981</v>
      </c>
      <c r="U2236" s="29">
        <v>45565.656591446765</v>
      </c>
      <c r="V2236" s="29">
        <v>45573.362069236115</v>
      </c>
      <c r="W2236" s="30"/>
      <c r="X2236" s="30"/>
      <c r="Y2236" s="31"/>
      <c r="Z2236" s="31"/>
      <c r="AA2236" s="31" t="s">
        <v>5290</v>
      </c>
      <c r="AB2236" s="31" t="s">
        <v>8828</v>
      </c>
      <c r="AC2236" s="31"/>
    </row>
    <row r="2237" ht="18.75" customHeight="1">
      <c r="A2237" s="142" t="s">
        <v>8829</v>
      </c>
      <c r="B2237" s="19" t="s">
        <v>1593</v>
      </c>
      <c r="C2237" s="20">
        <v>1.0</v>
      </c>
      <c r="D2237" s="21" t="s">
        <v>8830</v>
      </c>
      <c r="E2237" s="27" t="s">
        <v>3395</v>
      </c>
      <c r="F2237" s="18" t="s">
        <v>48</v>
      </c>
      <c r="G2237" s="32" t="s">
        <v>35</v>
      </c>
      <c r="H2237" s="23" t="s">
        <v>35</v>
      </c>
      <c r="I2237" s="24" t="s">
        <v>36</v>
      </c>
      <c r="J2237" s="25" t="s">
        <v>49</v>
      </c>
      <c r="K2237" s="26" t="s">
        <v>38</v>
      </c>
      <c r="L2237" s="25">
        <v>11605.0</v>
      </c>
      <c r="M2237" s="22" t="s">
        <v>50</v>
      </c>
      <c r="N2237" s="35" t="s">
        <v>8199</v>
      </c>
      <c r="O2237" s="28">
        <v>45573.64878472222</v>
      </c>
      <c r="P2237" s="26" t="s">
        <v>8831</v>
      </c>
      <c r="Q2237" s="11" t="s">
        <v>67</v>
      </c>
      <c r="R2237" s="11" t="s">
        <v>67</v>
      </c>
      <c r="S2237" s="11" t="s">
        <v>50</v>
      </c>
      <c r="T2237" s="29">
        <v>45534.666300972225</v>
      </c>
      <c r="U2237" s="29">
        <v>45534.675098506945</v>
      </c>
      <c r="V2237" s="29">
        <v>45573.30555302084</v>
      </c>
      <c r="W2237" s="30"/>
      <c r="X2237" s="30"/>
      <c r="Y2237" s="31"/>
      <c r="Z2237" s="31"/>
      <c r="AA2237" s="31" t="s">
        <v>102</v>
      </c>
      <c r="AB2237" s="31" t="s">
        <v>8832</v>
      </c>
      <c r="AC2237" s="31"/>
    </row>
    <row r="2238" ht="18.75" customHeight="1">
      <c r="A2238" s="142" t="s">
        <v>8833</v>
      </c>
      <c r="B2238" s="19" t="s">
        <v>8834</v>
      </c>
      <c r="C2238" s="20">
        <v>0.0</v>
      </c>
      <c r="D2238" s="21" t="s">
        <v>8835</v>
      </c>
      <c r="E2238" s="27" t="s">
        <v>3441</v>
      </c>
      <c r="F2238" s="18" t="s">
        <v>48</v>
      </c>
      <c r="G2238" s="32" t="s">
        <v>35</v>
      </c>
      <c r="H2238" s="23" t="s">
        <v>35</v>
      </c>
      <c r="I2238" s="24" t="s">
        <v>36</v>
      </c>
      <c r="J2238" s="34" t="s">
        <v>65</v>
      </c>
      <c r="K2238" s="26" t="s">
        <v>38</v>
      </c>
      <c r="L2238" s="25">
        <v>11589.0</v>
      </c>
      <c r="M2238" s="27" t="s">
        <v>8836</v>
      </c>
      <c r="N2238" s="26" t="s">
        <v>4129</v>
      </c>
      <c r="O2238" s="28">
        <v>45567.0</v>
      </c>
      <c r="P2238" s="26" t="s">
        <v>8837</v>
      </c>
      <c r="Q2238" s="11" t="s">
        <v>67</v>
      </c>
      <c r="R2238" s="11" t="s">
        <v>67</v>
      </c>
      <c r="S2238" s="11" t="s">
        <v>8747</v>
      </c>
      <c r="T2238" s="29">
        <v>45534.668810312505</v>
      </c>
      <c r="U2238" s="29">
        <v>45537.38211851852</v>
      </c>
      <c r="V2238" s="29">
        <v>45567.0</v>
      </c>
      <c r="W2238" s="30"/>
      <c r="X2238" s="30"/>
      <c r="Y2238" s="31"/>
      <c r="Z2238" s="31"/>
      <c r="AA2238" s="31" t="s">
        <v>94</v>
      </c>
      <c r="AB2238" s="31" t="s">
        <v>8838</v>
      </c>
      <c r="AC2238" s="31"/>
    </row>
    <row r="2239" ht="18.75" customHeight="1">
      <c r="A2239" s="18" t="s">
        <v>8839</v>
      </c>
      <c r="B2239" s="19" t="s">
        <v>3049</v>
      </c>
      <c r="C2239" s="20">
        <v>0.0</v>
      </c>
      <c r="D2239" s="21" t="s">
        <v>8840</v>
      </c>
      <c r="E2239" s="27" t="s">
        <v>117</v>
      </c>
      <c r="F2239" s="18" t="s">
        <v>33</v>
      </c>
      <c r="G2239" s="32" t="s">
        <v>35</v>
      </c>
      <c r="H2239" s="23" t="s">
        <v>35</v>
      </c>
      <c r="I2239" s="24" t="s">
        <v>36</v>
      </c>
      <c r="J2239" s="25" t="s">
        <v>49</v>
      </c>
      <c r="K2239" s="26" t="s">
        <v>3051</v>
      </c>
      <c r="L2239" s="25">
        <v>11480.0</v>
      </c>
      <c r="M2239" s="27" t="s">
        <v>50</v>
      </c>
      <c r="N2239" s="26" t="s">
        <v>99</v>
      </c>
      <c r="O2239" s="28">
        <v>45548.68240780092</v>
      </c>
      <c r="P2239" s="26" t="s">
        <v>8841</v>
      </c>
      <c r="Q2239" s="11" t="s">
        <v>67</v>
      </c>
      <c r="R2239" s="11" t="s">
        <v>67</v>
      </c>
      <c r="S2239" s="11" t="s">
        <v>101</v>
      </c>
      <c r="T2239" s="29">
        <v>45534.67112815972</v>
      </c>
      <c r="U2239" s="29">
        <v>45534.71508310185</v>
      </c>
      <c r="V2239" s="29">
        <v>45548.62221716435</v>
      </c>
      <c r="W2239" s="30"/>
      <c r="X2239" s="30"/>
      <c r="Y2239" s="31"/>
      <c r="Z2239" s="31"/>
      <c r="AA2239" s="31" t="s">
        <v>3053</v>
      </c>
      <c r="AB2239" s="31" t="s">
        <v>8842</v>
      </c>
      <c r="AC2239" s="31"/>
    </row>
    <row r="2240" ht="18.75" customHeight="1">
      <c r="A2240" s="18" t="s">
        <v>8843</v>
      </c>
      <c r="B2240" s="19" t="s">
        <v>3049</v>
      </c>
      <c r="C2240" s="20">
        <v>0.0</v>
      </c>
      <c r="D2240" s="21" t="s">
        <v>8844</v>
      </c>
      <c r="E2240" s="27" t="s">
        <v>550</v>
      </c>
      <c r="F2240" s="18" t="s">
        <v>33</v>
      </c>
      <c r="G2240" s="32" t="s">
        <v>35</v>
      </c>
      <c r="H2240" s="23" t="s">
        <v>35</v>
      </c>
      <c r="I2240" s="24" t="s">
        <v>36</v>
      </c>
      <c r="J2240" s="25" t="s">
        <v>49</v>
      </c>
      <c r="K2240" s="26" t="s">
        <v>3051</v>
      </c>
      <c r="L2240" s="25">
        <v>11480.0</v>
      </c>
      <c r="M2240" s="27" t="s">
        <v>50</v>
      </c>
      <c r="N2240" s="26" t="s">
        <v>99</v>
      </c>
      <c r="O2240" s="28">
        <v>45548.68201736111</v>
      </c>
      <c r="P2240" s="26" t="s">
        <v>8845</v>
      </c>
      <c r="Q2240" s="11" t="s">
        <v>67</v>
      </c>
      <c r="R2240" s="11" t="s">
        <v>67</v>
      </c>
      <c r="S2240" s="11" t="s">
        <v>101</v>
      </c>
      <c r="T2240" s="29">
        <v>45534.67246634259</v>
      </c>
      <c r="U2240" s="29">
        <v>45534.715116770836</v>
      </c>
      <c r="V2240" s="29">
        <v>45541.569590555555</v>
      </c>
      <c r="W2240" s="30"/>
      <c r="X2240" s="30"/>
      <c r="Y2240" s="31"/>
      <c r="Z2240" s="31"/>
      <c r="AA2240" s="31" t="s">
        <v>3053</v>
      </c>
      <c r="AB2240" s="31" t="s">
        <v>8846</v>
      </c>
      <c r="AC2240" s="31"/>
    </row>
    <row r="2241" ht="18.75" customHeight="1">
      <c r="A2241" s="18" t="s">
        <v>8847</v>
      </c>
      <c r="B2241" s="19" t="s">
        <v>3049</v>
      </c>
      <c r="C2241" s="20">
        <v>0.0</v>
      </c>
      <c r="D2241" s="21" t="s">
        <v>8848</v>
      </c>
      <c r="E2241" s="27" t="s">
        <v>295</v>
      </c>
      <c r="F2241" s="18" t="s">
        <v>33</v>
      </c>
      <c r="G2241" s="32" t="s">
        <v>35</v>
      </c>
      <c r="H2241" s="23" t="s">
        <v>35</v>
      </c>
      <c r="I2241" s="24" t="s">
        <v>36</v>
      </c>
      <c r="J2241" s="25" t="s">
        <v>49</v>
      </c>
      <c r="K2241" s="26" t="s">
        <v>3051</v>
      </c>
      <c r="L2241" s="25">
        <v>11480.0</v>
      </c>
      <c r="M2241" s="27" t="s">
        <v>50</v>
      </c>
      <c r="N2241" s="26" t="s">
        <v>99</v>
      </c>
      <c r="O2241" s="28">
        <v>45548.68228847222</v>
      </c>
      <c r="P2241" s="26" t="s">
        <v>8845</v>
      </c>
      <c r="Q2241" s="11" t="s">
        <v>67</v>
      </c>
      <c r="R2241" s="11" t="s">
        <v>67</v>
      </c>
      <c r="S2241" s="11" t="s">
        <v>101</v>
      </c>
      <c r="T2241" s="29">
        <v>45534.67263826389</v>
      </c>
      <c r="U2241" s="29">
        <v>45534.715122974536</v>
      </c>
      <c r="V2241" s="29">
        <v>45541.43131175926</v>
      </c>
      <c r="W2241" s="30"/>
      <c r="X2241" s="30"/>
      <c r="Y2241" s="31"/>
      <c r="Z2241" s="31"/>
      <c r="AA2241" s="31" t="s">
        <v>3053</v>
      </c>
      <c r="AB2241" s="31" t="s">
        <v>8849</v>
      </c>
      <c r="AC2241" s="31"/>
    </row>
    <row r="2242" ht="18.75" customHeight="1">
      <c r="A2242" s="18" t="s">
        <v>8850</v>
      </c>
      <c r="B2242" s="19" t="s">
        <v>3049</v>
      </c>
      <c r="C2242" s="20">
        <v>0.0</v>
      </c>
      <c r="D2242" s="21" t="s">
        <v>8851</v>
      </c>
      <c r="E2242" s="27" t="s">
        <v>545</v>
      </c>
      <c r="F2242" s="18" t="s">
        <v>33</v>
      </c>
      <c r="G2242" s="32" t="s">
        <v>35</v>
      </c>
      <c r="H2242" s="23" t="s">
        <v>35</v>
      </c>
      <c r="I2242" s="24" t="s">
        <v>36</v>
      </c>
      <c r="J2242" s="25" t="s">
        <v>49</v>
      </c>
      <c r="K2242" s="26" t="s">
        <v>3051</v>
      </c>
      <c r="L2242" s="25">
        <v>11480.0</v>
      </c>
      <c r="M2242" s="27" t="s">
        <v>50</v>
      </c>
      <c r="N2242" s="26" t="s">
        <v>99</v>
      </c>
      <c r="O2242" s="28">
        <v>45548.681740659726</v>
      </c>
      <c r="P2242" s="26" t="s">
        <v>8845</v>
      </c>
      <c r="Q2242" s="11" t="s">
        <v>67</v>
      </c>
      <c r="R2242" s="11" t="s">
        <v>67</v>
      </c>
      <c r="S2242" s="11" t="s">
        <v>101</v>
      </c>
      <c r="T2242" s="29">
        <v>45534.67278915509</v>
      </c>
      <c r="U2242" s="29">
        <v>45534.71512944445</v>
      </c>
      <c r="V2242" s="29">
        <v>45545.70366622685</v>
      </c>
      <c r="W2242" s="30"/>
      <c r="X2242" s="30"/>
      <c r="Y2242" s="31"/>
      <c r="Z2242" s="31"/>
      <c r="AA2242" s="31" t="s">
        <v>3053</v>
      </c>
      <c r="AB2242" s="31" t="s">
        <v>8852</v>
      </c>
      <c r="AC2242" s="31"/>
    </row>
    <row r="2243" ht="18.75" customHeight="1">
      <c r="A2243" s="18" t="s">
        <v>8853</v>
      </c>
      <c r="B2243" s="19" t="s">
        <v>3049</v>
      </c>
      <c r="C2243" s="20">
        <v>0.0</v>
      </c>
      <c r="D2243" s="21" t="s">
        <v>8854</v>
      </c>
      <c r="E2243" s="27" t="s">
        <v>545</v>
      </c>
      <c r="F2243" s="18" t="s">
        <v>33</v>
      </c>
      <c r="G2243" s="32" t="s">
        <v>35</v>
      </c>
      <c r="H2243" s="23" t="s">
        <v>35</v>
      </c>
      <c r="I2243" s="24" t="s">
        <v>36</v>
      </c>
      <c r="J2243" s="25" t="s">
        <v>49</v>
      </c>
      <c r="K2243" s="26" t="s">
        <v>3051</v>
      </c>
      <c r="L2243" s="25">
        <v>11480.0</v>
      </c>
      <c r="M2243" s="27" t="s">
        <v>50</v>
      </c>
      <c r="N2243" s="26" t="s">
        <v>99</v>
      </c>
      <c r="O2243" s="28">
        <v>45548.68167149306</v>
      </c>
      <c r="P2243" s="26" t="s">
        <v>8845</v>
      </c>
      <c r="Q2243" s="11" t="s">
        <v>67</v>
      </c>
      <c r="R2243" s="11" t="s">
        <v>67</v>
      </c>
      <c r="S2243" s="11" t="s">
        <v>101</v>
      </c>
      <c r="T2243" s="29">
        <v>45534.672989432875</v>
      </c>
      <c r="U2243" s="29">
        <v>45534.71513575231</v>
      </c>
      <c r="V2243" s="29">
        <v>45546.35164018518</v>
      </c>
      <c r="W2243" s="30"/>
      <c r="X2243" s="30"/>
      <c r="Y2243" s="31"/>
      <c r="Z2243" s="31"/>
      <c r="AA2243" s="31" t="s">
        <v>3053</v>
      </c>
      <c r="AB2243" s="31" t="s">
        <v>8855</v>
      </c>
      <c r="AC2243" s="31"/>
    </row>
    <row r="2244" ht="18.75" customHeight="1">
      <c r="A2244" s="18" t="s">
        <v>8856</v>
      </c>
      <c r="B2244" s="19" t="s">
        <v>3049</v>
      </c>
      <c r="C2244" s="20">
        <v>0.0</v>
      </c>
      <c r="D2244" s="21" t="s">
        <v>8857</v>
      </c>
      <c r="E2244" s="27" t="s">
        <v>545</v>
      </c>
      <c r="F2244" s="18" t="s">
        <v>33</v>
      </c>
      <c r="G2244" s="32" t="s">
        <v>35</v>
      </c>
      <c r="H2244" s="23" t="s">
        <v>35</v>
      </c>
      <c r="I2244" s="24" t="s">
        <v>36</v>
      </c>
      <c r="J2244" s="25" t="s">
        <v>49</v>
      </c>
      <c r="K2244" s="26" t="s">
        <v>3051</v>
      </c>
      <c r="L2244" s="25">
        <v>11480.0</v>
      </c>
      <c r="M2244" s="27" t="s">
        <v>50</v>
      </c>
      <c r="N2244" s="26" t="s">
        <v>99</v>
      </c>
      <c r="O2244" s="28">
        <v>45548.68234855324</v>
      </c>
      <c r="P2244" s="26" t="s">
        <v>8845</v>
      </c>
      <c r="Q2244" s="11" t="s">
        <v>67</v>
      </c>
      <c r="R2244" s="11" t="s">
        <v>67</v>
      </c>
      <c r="S2244" s="11" t="s">
        <v>101</v>
      </c>
      <c r="T2244" s="29">
        <v>45534.673144050925</v>
      </c>
      <c r="U2244" s="29">
        <v>45534.71514212963</v>
      </c>
      <c r="V2244" s="29">
        <v>45547.70233570602</v>
      </c>
      <c r="W2244" s="30"/>
      <c r="X2244" s="30"/>
      <c r="Y2244" s="31"/>
      <c r="Z2244" s="31"/>
      <c r="AA2244" s="31" t="s">
        <v>3053</v>
      </c>
      <c r="AB2244" s="31" t="s">
        <v>8858</v>
      </c>
      <c r="AC2244" s="31"/>
    </row>
    <row r="2245" ht="18.75" customHeight="1">
      <c r="A2245" s="18" t="s">
        <v>8859</v>
      </c>
      <c r="B2245" s="19" t="s">
        <v>3049</v>
      </c>
      <c r="C2245" s="20">
        <v>0.0</v>
      </c>
      <c r="D2245" s="21" t="s">
        <v>8860</v>
      </c>
      <c r="E2245" s="27" t="s">
        <v>511</v>
      </c>
      <c r="F2245" s="18" t="s">
        <v>33</v>
      </c>
      <c r="G2245" s="32" t="s">
        <v>35</v>
      </c>
      <c r="H2245" s="23" t="s">
        <v>35</v>
      </c>
      <c r="I2245" s="24" t="s">
        <v>36</v>
      </c>
      <c r="J2245" s="25" t="s">
        <v>49</v>
      </c>
      <c r="K2245" s="26" t="s">
        <v>3051</v>
      </c>
      <c r="L2245" s="25">
        <v>11480.0</v>
      </c>
      <c r="M2245" s="27" t="s">
        <v>50</v>
      </c>
      <c r="N2245" s="26" t="s">
        <v>99</v>
      </c>
      <c r="O2245" s="28">
        <v>45548.68105212963</v>
      </c>
      <c r="P2245" s="26" t="s">
        <v>8845</v>
      </c>
      <c r="Q2245" s="11" t="s">
        <v>67</v>
      </c>
      <c r="R2245" s="11" t="s">
        <v>67</v>
      </c>
      <c r="S2245" s="11" t="s">
        <v>101</v>
      </c>
      <c r="T2245" s="29">
        <v>45534.6734078125</v>
      </c>
      <c r="U2245" s="29">
        <v>45534.71514834491</v>
      </c>
      <c r="V2245" s="29">
        <v>45544.65630229167</v>
      </c>
      <c r="W2245" s="30"/>
      <c r="X2245" s="30"/>
      <c r="Y2245" s="31"/>
      <c r="Z2245" s="31"/>
      <c r="AA2245" s="31" t="s">
        <v>3053</v>
      </c>
      <c r="AB2245" s="31" t="s">
        <v>8861</v>
      </c>
      <c r="AC2245" s="31"/>
    </row>
    <row r="2246" ht="18.75" customHeight="1">
      <c r="A2246" s="18" t="s">
        <v>8862</v>
      </c>
      <c r="B2246" s="19" t="s">
        <v>3049</v>
      </c>
      <c r="C2246" s="20">
        <v>0.0</v>
      </c>
      <c r="D2246" s="21" t="s">
        <v>8863</v>
      </c>
      <c r="E2246" s="27" t="s">
        <v>511</v>
      </c>
      <c r="F2246" s="18" t="s">
        <v>33</v>
      </c>
      <c r="G2246" s="32" t="s">
        <v>35</v>
      </c>
      <c r="H2246" s="23" t="s">
        <v>35</v>
      </c>
      <c r="I2246" s="24" t="s">
        <v>36</v>
      </c>
      <c r="J2246" s="25" t="s">
        <v>49</v>
      </c>
      <c r="K2246" s="26" t="s">
        <v>3051</v>
      </c>
      <c r="L2246" s="25">
        <v>11480.0</v>
      </c>
      <c r="M2246" s="27" t="s">
        <v>50</v>
      </c>
      <c r="N2246" s="26" t="s">
        <v>99</v>
      </c>
      <c r="O2246" s="28">
        <v>45548.68047086806</v>
      </c>
      <c r="P2246" s="26" t="s">
        <v>8845</v>
      </c>
      <c r="Q2246" s="11" t="s">
        <v>67</v>
      </c>
      <c r="R2246" s="11" t="s">
        <v>67</v>
      </c>
      <c r="S2246" s="11" t="s">
        <v>101</v>
      </c>
      <c r="T2246" s="29">
        <v>45534.673604421296</v>
      </c>
      <c r="U2246" s="29">
        <v>45534.71515503472</v>
      </c>
      <c r="V2246" s="29">
        <v>45545.70358003472</v>
      </c>
      <c r="W2246" s="30"/>
      <c r="X2246" s="30"/>
      <c r="Y2246" s="31"/>
      <c r="Z2246" s="31"/>
      <c r="AA2246" s="31" t="s">
        <v>3053</v>
      </c>
      <c r="AB2246" s="31" t="s">
        <v>8864</v>
      </c>
      <c r="AC2246" s="31"/>
    </row>
    <row r="2247" ht="18.75" customHeight="1">
      <c r="A2247" s="18" t="s">
        <v>8865</v>
      </c>
      <c r="B2247" s="19" t="s">
        <v>8866</v>
      </c>
      <c r="C2247" s="20">
        <v>0.0</v>
      </c>
      <c r="D2247" s="21" t="s">
        <v>8867</v>
      </c>
      <c r="E2247" s="27" t="s">
        <v>8868</v>
      </c>
      <c r="F2247" s="18" t="s">
        <v>48</v>
      </c>
      <c r="G2247" s="32" t="s">
        <v>35</v>
      </c>
      <c r="H2247" s="23" t="s">
        <v>35</v>
      </c>
      <c r="I2247" s="37" t="s">
        <v>36</v>
      </c>
      <c r="J2247" s="34" t="s">
        <v>65</v>
      </c>
      <c r="K2247" s="26" t="s">
        <v>38</v>
      </c>
      <c r="L2247" s="25">
        <v>11601.0</v>
      </c>
      <c r="M2247" s="27" t="s">
        <v>50</v>
      </c>
      <c r="N2247" s="26" t="s">
        <v>8469</v>
      </c>
      <c r="O2247" s="28">
        <v>45572.672904872685</v>
      </c>
      <c r="P2247" s="26" t="s">
        <v>8869</v>
      </c>
      <c r="Q2247" s="11" t="s">
        <v>67</v>
      </c>
      <c r="R2247" s="11" t="s">
        <v>67</v>
      </c>
      <c r="S2247" s="11" t="s">
        <v>101</v>
      </c>
      <c r="T2247" s="29">
        <v>45534.721560763894</v>
      </c>
      <c r="U2247" s="29">
        <v>45538.64097559028</v>
      </c>
      <c r="V2247" s="29">
        <v>45572.41058840278</v>
      </c>
      <c r="W2247" s="30"/>
      <c r="X2247" s="30"/>
      <c r="Y2247" s="31"/>
      <c r="Z2247" s="31"/>
      <c r="AA2247" s="31" t="s">
        <v>94</v>
      </c>
      <c r="AB2247" s="31" t="s">
        <v>8870</v>
      </c>
      <c r="AC2247" s="31"/>
    </row>
    <row r="2248" ht="18.75" customHeight="1">
      <c r="A2248" s="18" t="s">
        <v>8871</v>
      </c>
      <c r="B2248" s="19" t="s">
        <v>8866</v>
      </c>
      <c r="C2248" s="20">
        <v>0.0</v>
      </c>
      <c r="D2248" s="21" t="s">
        <v>219</v>
      </c>
      <c r="E2248" s="27" t="s">
        <v>8868</v>
      </c>
      <c r="F2248" s="18" t="s">
        <v>48</v>
      </c>
      <c r="G2248" s="32" t="s">
        <v>35</v>
      </c>
      <c r="H2248" s="23" t="s">
        <v>35</v>
      </c>
      <c r="I2248" s="37" t="s">
        <v>36</v>
      </c>
      <c r="J2248" s="34" t="s">
        <v>65</v>
      </c>
      <c r="K2248" s="26" t="s">
        <v>38</v>
      </c>
      <c r="L2248" s="25">
        <v>11601.0</v>
      </c>
      <c r="M2248" s="27" t="s">
        <v>50</v>
      </c>
      <c r="N2248" s="26" t="s">
        <v>8469</v>
      </c>
      <c r="O2248" s="28">
        <v>45572.6729659375</v>
      </c>
      <c r="P2248" s="26" t="s">
        <v>8869</v>
      </c>
      <c r="Q2248" s="11" t="s">
        <v>67</v>
      </c>
      <c r="R2248" s="11" t="s">
        <v>67</v>
      </c>
      <c r="S2248" s="11" t="s">
        <v>101</v>
      </c>
      <c r="T2248" s="29">
        <v>45534.72175586806</v>
      </c>
      <c r="U2248" s="29">
        <v>45538.64105902778</v>
      </c>
      <c r="V2248" s="29">
        <v>45572.4106044213</v>
      </c>
      <c r="W2248" s="30"/>
      <c r="X2248" s="30"/>
      <c r="Y2248" s="31"/>
      <c r="Z2248" s="31"/>
      <c r="AA2248" s="31" t="s">
        <v>94</v>
      </c>
      <c r="AB2248" s="31" t="s">
        <v>8872</v>
      </c>
      <c r="AC2248" s="31"/>
    </row>
    <row r="2249" ht="18.75" customHeight="1">
      <c r="A2249" s="142" t="s">
        <v>8873</v>
      </c>
      <c r="B2249" s="19" t="s">
        <v>1593</v>
      </c>
      <c r="C2249" s="20">
        <v>0.0</v>
      </c>
      <c r="D2249" s="21" t="s">
        <v>8874</v>
      </c>
      <c r="E2249" s="27" t="s">
        <v>408</v>
      </c>
      <c r="F2249" s="18" t="s">
        <v>33</v>
      </c>
      <c r="G2249" s="18" t="s">
        <v>34</v>
      </c>
      <c r="H2249" s="23" t="s">
        <v>35</v>
      </c>
      <c r="I2249" s="24" t="s">
        <v>36</v>
      </c>
      <c r="J2249" s="25" t="s">
        <v>49</v>
      </c>
      <c r="K2249" s="26" t="s">
        <v>38</v>
      </c>
      <c r="L2249" s="25">
        <v>11481.0</v>
      </c>
      <c r="M2249" s="27" t="s">
        <v>50</v>
      </c>
      <c r="N2249" s="26" t="s">
        <v>99</v>
      </c>
      <c r="O2249" s="28">
        <v>45548.68119188657</v>
      </c>
      <c r="P2249" s="26" t="s">
        <v>8875</v>
      </c>
      <c r="Q2249" s="11" t="s">
        <v>67</v>
      </c>
      <c r="R2249" s="11" t="s">
        <v>67</v>
      </c>
      <c r="S2249" s="11" t="s">
        <v>101</v>
      </c>
      <c r="T2249" s="29">
        <v>45534.71288679398</v>
      </c>
      <c r="U2249" s="29">
        <v>45534.72074105324</v>
      </c>
      <c r="V2249" s="29">
        <v>45547.70221898148</v>
      </c>
      <c r="W2249" s="30"/>
      <c r="X2249" s="30"/>
      <c r="Y2249" s="31"/>
      <c r="Z2249" s="31"/>
      <c r="AA2249" s="31" t="s">
        <v>102</v>
      </c>
      <c r="AB2249" s="31" t="s">
        <v>8876</v>
      </c>
      <c r="AC2249" s="31"/>
    </row>
    <row r="2250" ht="18.75" customHeight="1">
      <c r="A2250" s="142" t="s">
        <v>8877</v>
      </c>
      <c r="B2250" s="19" t="s">
        <v>8878</v>
      </c>
      <c r="C2250" s="20">
        <v>1.0</v>
      </c>
      <c r="D2250" s="21" t="s">
        <v>8879</v>
      </c>
      <c r="E2250" s="27" t="s">
        <v>3395</v>
      </c>
      <c r="F2250" s="18" t="s">
        <v>48</v>
      </c>
      <c r="G2250" s="32" t="s">
        <v>35</v>
      </c>
      <c r="H2250" s="23" t="s">
        <v>35</v>
      </c>
      <c r="I2250" s="37" t="s">
        <v>36</v>
      </c>
      <c r="J2250" s="25" t="s">
        <v>420</v>
      </c>
      <c r="K2250" s="26" t="s">
        <v>38</v>
      </c>
      <c r="L2250" s="25">
        <v>11669.0</v>
      </c>
      <c r="M2250" s="27" t="s">
        <v>50</v>
      </c>
      <c r="N2250" s="26" t="s">
        <v>4031</v>
      </c>
      <c r="O2250" s="28">
        <v>45574.584853900466</v>
      </c>
      <c r="P2250" s="26" t="s">
        <v>8880</v>
      </c>
      <c r="Q2250" s="11" t="s">
        <v>67</v>
      </c>
      <c r="R2250" s="11" t="s">
        <v>67</v>
      </c>
      <c r="S2250" s="11" t="s">
        <v>50</v>
      </c>
      <c r="T2250" s="29">
        <v>45534.72894983796</v>
      </c>
      <c r="U2250" s="29">
        <v>45537.38278946759</v>
      </c>
      <c r="V2250" s="29">
        <v>45574.42433528935</v>
      </c>
      <c r="W2250" s="30"/>
      <c r="X2250" s="30"/>
      <c r="Y2250" s="31"/>
      <c r="Z2250" s="31"/>
      <c r="AA2250" s="31" t="s">
        <v>120</v>
      </c>
      <c r="AB2250" s="31" t="s">
        <v>8881</v>
      </c>
      <c r="AC2250" s="31"/>
    </row>
    <row r="2251" ht="18.75" customHeight="1">
      <c r="A2251" s="151" t="s">
        <v>8882</v>
      </c>
      <c r="B2251" s="19" t="s">
        <v>8883</v>
      </c>
      <c r="C2251" s="20">
        <v>90.0</v>
      </c>
      <c r="D2251" s="21" t="s">
        <v>8884</v>
      </c>
      <c r="E2251" s="27" t="s">
        <v>91</v>
      </c>
      <c r="F2251" s="18" t="s">
        <v>48</v>
      </c>
      <c r="G2251" s="32" t="s">
        <v>35</v>
      </c>
      <c r="H2251" s="23" t="s">
        <v>35</v>
      </c>
      <c r="I2251" s="24" t="s">
        <v>36</v>
      </c>
      <c r="J2251" s="25" t="s">
        <v>49</v>
      </c>
      <c r="K2251" s="26" t="s">
        <v>238</v>
      </c>
      <c r="L2251" s="64" t="s">
        <v>2567</v>
      </c>
      <c r="M2251" s="22" t="s">
        <v>50</v>
      </c>
      <c r="N2251" s="65" t="s">
        <v>125</v>
      </c>
      <c r="O2251" s="28">
        <v>45645.73094907407</v>
      </c>
      <c r="P2251" s="26" t="s">
        <v>8885</v>
      </c>
      <c r="Q2251" s="11" t="s">
        <v>67</v>
      </c>
      <c r="R2251" s="11" t="s">
        <v>67</v>
      </c>
      <c r="S2251" s="11" t="s">
        <v>73</v>
      </c>
      <c r="T2251" s="29">
        <v>45607.63544344908</v>
      </c>
      <c r="U2251" s="29">
        <v>45607.63544628472</v>
      </c>
      <c r="V2251" s="29">
        <v>45643.75369762731</v>
      </c>
      <c r="W2251" s="30"/>
      <c r="X2251" s="30"/>
      <c r="Y2251" s="66">
        <v>-11981.0</v>
      </c>
      <c r="Z2251" s="31"/>
      <c r="AA2251" s="31" t="s">
        <v>3808</v>
      </c>
      <c r="AB2251" s="31" t="s">
        <v>8886</v>
      </c>
      <c r="AC2251" s="31"/>
    </row>
    <row r="2252" ht="18.75" customHeight="1">
      <c r="A2252" s="142" t="s">
        <v>8887</v>
      </c>
      <c r="B2252" s="19" t="s">
        <v>8888</v>
      </c>
      <c r="C2252" s="20">
        <v>1.0</v>
      </c>
      <c r="D2252" s="21" t="s">
        <v>8889</v>
      </c>
      <c r="E2252" s="27" t="s">
        <v>3395</v>
      </c>
      <c r="F2252" s="18" t="s">
        <v>48</v>
      </c>
      <c r="G2252" s="32" t="s">
        <v>35</v>
      </c>
      <c r="H2252" s="23" t="s">
        <v>35</v>
      </c>
      <c r="I2252" s="24" t="s">
        <v>36</v>
      </c>
      <c r="J2252" s="25" t="s">
        <v>49</v>
      </c>
      <c r="K2252" s="26" t="s">
        <v>38</v>
      </c>
      <c r="L2252" s="25">
        <v>11606.0</v>
      </c>
      <c r="M2252" s="22" t="s">
        <v>50</v>
      </c>
      <c r="N2252" s="35" t="s">
        <v>8199</v>
      </c>
      <c r="O2252" s="28">
        <v>45573.64878472222</v>
      </c>
      <c r="P2252" s="26" t="s">
        <v>8890</v>
      </c>
      <c r="Q2252" s="11" t="s">
        <v>67</v>
      </c>
      <c r="R2252" s="11" t="s">
        <v>67</v>
      </c>
      <c r="S2252" s="11" t="s">
        <v>50</v>
      </c>
      <c r="T2252" s="29">
        <v>45537.42783793982</v>
      </c>
      <c r="U2252" s="29">
        <v>45537.65626158565</v>
      </c>
      <c r="V2252" s="29">
        <v>45573.305565925926</v>
      </c>
      <c r="W2252" s="30"/>
      <c r="X2252" s="30"/>
      <c r="Y2252" s="31"/>
      <c r="Z2252" s="31"/>
      <c r="AA2252" s="31" t="s">
        <v>127</v>
      </c>
      <c r="AB2252" s="31" t="s">
        <v>8891</v>
      </c>
      <c r="AC2252" s="31"/>
    </row>
    <row r="2253" ht="18.75" customHeight="1">
      <c r="A2253" s="142" t="s">
        <v>8892</v>
      </c>
      <c r="B2253" s="19" t="s">
        <v>8893</v>
      </c>
      <c r="C2253" s="20">
        <v>90.0</v>
      </c>
      <c r="D2253" s="21" t="s">
        <v>8894</v>
      </c>
      <c r="E2253" s="27" t="s">
        <v>91</v>
      </c>
      <c r="F2253" s="18" t="s">
        <v>48</v>
      </c>
      <c r="G2253" s="32" t="s">
        <v>35</v>
      </c>
      <c r="H2253" s="23" t="s">
        <v>35</v>
      </c>
      <c r="I2253" s="24" t="s">
        <v>36</v>
      </c>
      <c r="J2253" s="25" t="s">
        <v>49</v>
      </c>
      <c r="K2253" s="26" t="s">
        <v>38</v>
      </c>
      <c r="L2253" s="25">
        <v>11616.0</v>
      </c>
      <c r="M2253" s="22" t="s">
        <v>50</v>
      </c>
      <c r="N2253" s="35" t="s">
        <v>8199</v>
      </c>
      <c r="O2253" s="28">
        <v>45573.64878472222</v>
      </c>
      <c r="P2253" s="26" t="s">
        <v>8895</v>
      </c>
      <c r="Q2253" s="11" t="s">
        <v>67</v>
      </c>
      <c r="R2253" s="11" t="s">
        <v>67</v>
      </c>
      <c r="S2253" s="11" t="s">
        <v>50</v>
      </c>
      <c r="T2253" s="29">
        <v>45537.600295173615</v>
      </c>
      <c r="U2253" s="29">
        <v>45537.669803240744</v>
      </c>
      <c r="V2253" s="29">
        <v>45573.409774189815</v>
      </c>
      <c r="W2253" s="30"/>
      <c r="X2253" s="30"/>
      <c r="Y2253" s="31"/>
      <c r="Z2253" s="31"/>
      <c r="AA2253" s="31" t="s">
        <v>5199</v>
      </c>
      <c r="AB2253" s="31" t="s">
        <v>8896</v>
      </c>
      <c r="AC2253" s="31"/>
    </row>
    <row r="2254" ht="18.75" customHeight="1">
      <c r="A2254" s="142" t="s">
        <v>8897</v>
      </c>
      <c r="B2254" s="19" t="s">
        <v>7442</v>
      </c>
      <c r="C2254" s="20">
        <v>0.0</v>
      </c>
      <c r="D2254" s="21" t="s">
        <v>8898</v>
      </c>
      <c r="E2254" s="27" t="s">
        <v>3441</v>
      </c>
      <c r="F2254" s="18" t="s">
        <v>48</v>
      </c>
      <c r="G2254" s="32" t="s">
        <v>35</v>
      </c>
      <c r="H2254" s="23" t="s">
        <v>35</v>
      </c>
      <c r="I2254" s="37" t="s">
        <v>36</v>
      </c>
      <c r="J2254" s="34" t="s">
        <v>65</v>
      </c>
      <c r="K2254" s="26" t="s">
        <v>38</v>
      </c>
      <c r="L2254" s="25">
        <v>11647.0</v>
      </c>
      <c r="M2254" s="27" t="s">
        <v>50</v>
      </c>
      <c r="N2254" s="26" t="s">
        <v>8104</v>
      </c>
      <c r="O2254" s="28">
        <v>45573.66249371528</v>
      </c>
      <c r="P2254" s="26" t="s">
        <v>8899</v>
      </c>
      <c r="Q2254" s="11" t="s">
        <v>67</v>
      </c>
      <c r="R2254" s="11" t="s">
        <v>67</v>
      </c>
      <c r="S2254" s="11" t="s">
        <v>50</v>
      </c>
      <c r="T2254" s="29">
        <v>45537.60404</v>
      </c>
      <c r="U2254" s="29">
        <v>45538.63978300926</v>
      </c>
      <c r="V2254" s="29">
        <v>45573.505332835644</v>
      </c>
      <c r="W2254" s="30"/>
      <c r="X2254" s="30"/>
      <c r="Y2254" s="31"/>
      <c r="Z2254" s="31"/>
      <c r="AA2254" s="31" t="s">
        <v>94</v>
      </c>
      <c r="AB2254" s="31" t="s">
        <v>8900</v>
      </c>
      <c r="AC2254" s="31"/>
    </row>
    <row r="2255" ht="18.75" customHeight="1">
      <c r="A2255" s="142" t="s">
        <v>8901</v>
      </c>
      <c r="B2255" s="19" t="s">
        <v>8902</v>
      </c>
      <c r="C2255" s="20">
        <v>0.0</v>
      </c>
      <c r="D2255" s="21" t="s">
        <v>8903</v>
      </c>
      <c r="E2255" s="27" t="s">
        <v>1163</v>
      </c>
      <c r="F2255" s="18" t="s">
        <v>33</v>
      </c>
      <c r="G2255" s="32" t="s">
        <v>35</v>
      </c>
      <c r="H2255" s="23" t="s">
        <v>35</v>
      </c>
      <c r="I2255" s="37" t="s">
        <v>36</v>
      </c>
      <c r="J2255" s="25" t="s">
        <v>49</v>
      </c>
      <c r="K2255" s="26" t="s">
        <v>38</v>
      </c>
      <c r="L2255" s="25">
        <v>11983.0</v>
      </c>
      <c r="M2255" s="27" t="s">
        <v>50</v>
      </c>
      <c r="N2255" s="26" t="s">
        <v>99</v>
      </c>
      <c r="O2255" s="28">
        <v>45609.48385372685</v>
      </c>
      <c r="P2255" s="26" t="s">
        <v>8904</v>
      </c>
      <c r="Q2255" s="11" t="s">
        <v>67</v>
      </c>
      <c r="R2255" s="11" t="s">
        <v>67</v>
      </c>
      <c r="S2255" s="11" t="s">
        <v>101</v>
      </c>
      <c r="T2255" s="29">
        <v>45604.713359733796</v>
      </c>
      <c r="U2255" s="29">
        <v>45604.71336311343</v>
      </c>
      <c r="V2255" s="29">
        <v>45608.72821207176</v>
      </c>
      <c r="W2255" s="38"/>
      <c r="X2255" s="30"/>
      <c r="Y2255" s="31"/>
      <c r="Z2255" s="31"/>
      <c r="AA2255" s="31" t="s">
        <v>102</v>
      </c>
      <c r="AB2255" s="31" t="s">
        <v>8905</v>
      </c>
      <c r="AC2255" s="31"/>
    </row>
    <row r="2256" ht="18.75" customHeight="1">
      <c r="A2256" s="142" t="s">
        <v>8906</v>
      </c>
      <c r="B2256" s="19" t="s">
        <v>8907</v>
      </c>
      <c r="C2256" s="20">
        <v>34.0</v>
      </c>
      <c r="D2256" s="21" t="s">
        <v>8908</v>
      </c>
      <c r="E2256" s="27" t="s">
        <v>47</v>
      </c>
      <c r="F2256" s="18" t="s">
        <v>48</v>
      </c>
      <c r="G2256" s="32" t="s">
        <v>35</v>
      </c>
      <c r="H2256" s="23" t="s">
        <v>35</v>
      </c>
      <c r="I2256" s="24" t="s">
        <v>36</v>
      </c>
      <c r="J2256" s="34" t="s">
        <v>65</v>
      </c>
      <c r="K2256" s="26" t="s">
        <v>38</v>
      </c>
      <c r="L2256" s="25">
        <v>11453.0</v>
      </c>
      <c r="M2256" s="27" t="s">
        <v>50</v>
      </c>
      <c r="N2256" s="26" t="s">
        <v>149</v>
      </c>
      <c r="O2256" s="28">
        <v>45545.610053055556</v>
      </c>
      <c r="P2256" s="26" t="s">
        <v>8909</v>
      </c>
      <c r="Q2256" s="11" t="s">
        <v>67</v>
      </c>
      <c r="R2256" s="11" t="s">
        <v>67</v>
      </c>
      <c r="S2256" s="11" t="s">
        <v>50</v>
      </c>
      <c r="T2256" s="29">
        <v>45537.63717744213</v>
      </c>
      <c r="U2256" s="29">
        <v>45544.574954895834</v>
      </c>
      <c r="V2256" s="29">
        <v>45545.45887832176</v>
      </c>
      <c r="W2256" s="30"/>
      <c r="X2256" s="30"/>
      <c r="Y2256" s="31"/>
      <c r="Z2256" s="31"/>
      <c r="AA2256" s="31" t="s">
        <v>3059</v>
      </c>
      <c r="AB2256" s="31" t="s">
        <v>8910</v>
      </c>
      <c r="AC2256" s="31"/>
    </row>
    <row r="2257" ht="18.75" customHeight="1">
      <c r="A2257" s="142" t="s">
        <v>8911</v>
      </c>
      <c r="B2257" s="19" t="s">
        <v>7780</v>
      </c>
      <c r="C2257" s="20">
        <v>34.0</v>
      </c>
      <c r="D2257" s="21" t="s">
        <v>8912</v>
      </c>
      <c r="E2257" s="27" t="s">
        <v>47</v>
      </c>
      <c r="F2257" s="18" t="s">
        <v>48</v>
      </c>
      <c r="G2257" s="32" t="s">
        <v>35</v>
      </c>
      <c r="H2257" s="23" t="s">
        <v>35</v>
      </c>
      <c r="I2257" s="24" t="s">
        <v>36</v>
      </c>
      <c r="J2257" s="34" t="s">
        <v>65</v>
      </c>
      <c r="K2257" s="26" t="s">
        <v>38</v>
      </c>
      <c r="L2257" s="25">
        <v>11426.0</v>
      </c>
      <c r="M2257" s="27" t="s">
        <v>50</v>
      </c>
      <c r="N2257" s="26" t="s">
        <v>51</v>
      </c>
      <c r="O2257" s="28">
        <v>45537.680016875005</v>
      </c>
      <c r="P2257" s="26" t="s">
        <v>8913</v>
      </c>
      <c r="Q2257" s="11" t="s">
        <v>67</v>
      </c>
      <c r="R2257" s="11" t="s">
        <v>67</v>
      </c>
      <c r="S2257" s="11"/>
      <c r="T2257" s="29">
        <v>45537.680016875005</v>
      </c>
      <c r="U2257" s="29">
        <v>45537.680016875005</v>
      </c>
      <c r="V2257" s="29">
        <v>45537.680016875005</v>
      </c>
      <c r="W2257" s="30"/>
      <c r="X2257" s="30"/>
      <c r="Y2257" s="31"/>
      <c r="Z2257" s="31"/>
      <c r="AA2257" s="31" t="s">
        <v>94</v>
      </c>
      <c r="AB2257" s="31" t="s">
        <v>8914</v>
      </c>
      <c r="AC2257" s="31"/>
    </row>
    <row r="2258" ht="18.75" customHeight="1">
      <c r="A2258" s="142" t="s">
        <v>8915</v>
      </c>
      <c r="B2258" s="19" t="s">
        <v>8916</v>
      </c>
      <c r="C2258" s="20">
        <v>137.0</v>
      </c>
      <c r="D2258" s="21" t="s">
        <v>8917</v>
      </c>
      <c r="E2258" s="27" t="s">
        <v>85</v>
      </c>
      <c r="F2258" s="18" t="s">
        <v>48</v>
      </c>
      <c r="G2258" s="32" t="s">
        <v>35</v>
      </c>
      <c r="H2258" s="23" t="s">
        <v>35</v>
      </c>
      <c r="I2258" s="24" t="s">
        <v>36</v>
      </c>
      <c r="J2258" s="25" t="s">
        <v>49</v>
      </c>
      <c r="K2258" s="26" t="s">
        <v>38</v>
      </c>
      <c r="L2258" s="25">
        <v>11427.0</v>
      </c>
      <c r="M2258" s="27" t="s">
        <v>50</v>
      </c>
      <c r="N2258" s="26" t="s">
        <v>5936</v>
      </c>
      <c r="O2258" s="28">
        <v>45538.5869674537</v>
      </c>
      <c r="P2258" s="26" t="s">
        <v>8918</v>
      </c>
      <c r="Q2258" s="11" t="s">
        <v>67</v>
      </c>
      <c r="R2258" s="11" t="s">
        <v>67</v>
      </c>
      <c r="S2258" s="11" t="s">
        <v>50</v>
      </c>
      <c r="T2258" s="29">
        <v>45537.64082876158</v>
      </c>
      <c r="U2258" s="29">
        <v>45538.36030666667</v>
      </c>
      <c r="V2258" s="29">
        <v>45538.44463344908</v>
      </c>
      <c r="W2258" s="30"/>
      <c r="X2258" s="30"/>
      <c r="Y2258" s="31"/>
      <c r="Z2258" s="31"/>
      <c r="AA2258" s="31" t="s">
        <v>127</v>
      </c>
      <c r="AB2258" s="31" t="s">
        <v>8919</v>
      </c>
      <c r="AC2258" s="31"/>
    </row>
    <row r="2259" ht="18.75" customHeight="1">
      <c r="A2259" s="142" t="s">
        <v>8920</v>
      </c>
      <c r="B2259" s="19" t="s">
        <v>8921</v>
      </c>
      <c r="C2259" s="20">
        <v>137.0</v>
      </c>
      <c r="D2259" s="21" t="s">
        <v>8922</v>
      </c>
      <c r="E2259" s="27" t="s">
        <v>85</v>
      </c>
      <c r="F2259" s="18" t="s">
        <v>48</v>
      </c>
      <c r="G2259" s="32" t="s">
        <v>35</v>
      </c>
      <c r="H2259" s="23" t="s">
        <v>35</v>
      </c>
      <c r="I2259" s="24" t="s">
        <v>36</v>
      </c>
      <c r="J2259" s="25" t="s">
        <v>49</v>
      </c>
      <c r="K2259" s="26" t="s">
        <v>1506</v>
      </c>
      <c r="L2259" s="25">
        <v>11428.0</v>
      </c>
      <c r="M2259" s="27" t="s">
        <v>50</v>
      </c>
      <c r="N2259" s="26" t="s">
        <v>5936</v>
      </c>
      <c r="O2259" s="28">
        <v>45538.58704268518</v>
      </c>
      <c r="P2259" s="26" t="s">
        <v>8923</v>
      </c>
      <c r="Q2259" s="11" t="s">
        <v>67</v>
      </c>
      <c r="R2259" s="11" t="s">
        <v>67</v>
      </c>
      <c r="S2259" s="11" t="s">
        <v>50</v>
      </c>
      <c r="T2259" s="29">
        <v>45537.64311258102</v>
      </c>
      <c r="U2259" s="29">
        <v>45537.67015046296</v>
      </c>
      <c r="V2259" s="29">
        <v>45538.44464460648</v>
      </c>
      <c r="W2259" s="30"/>
      <c r="X2259" s="30"/>
      <c r="Y2259" s="31"/>
      <c r="Z2259" s="31"/>
      <c r="AA2259" s="31" t="s">
        <v>3053</v>
      </c>
      <c r="AB2259" s="31" t="s">
        <v>8924</v>
      </c>
      <c r="AC2259" s="31"/>
    </row>
    <row r="2260" ht="18.75" customHeight="1">
      <c r="A2260" s="18" t="s">
        <v>8925</v>
      </c>
      <c r="B2260" s="19" t="s">
        <v>3964</v>
      </c>
      <c r="C2260" s="20">
        <v>11.0</v>
      </c>
      <c r="D2260" s="21" t="s">
        <v>8926</v>
      </c>
      <c r="E2260" s="27" t="s">
        <v>112</v>
      </c>
      <c r="F2260" s="18" t="s">
        <v>48</v>
      </c>
      <c r="G2260" s="32" t="s">
        <v>35</v>
      </c>
      <c r="H2260" s="23" t="s">
        <v>35</v>
      </c>
      <c r="I2260" s="24" t="s">
        <v>36</v>
      </c>
      <c r="J2260" s="25" t="s">
        <v>49</v>
      </c>
      <c r="K2260" s="26" t="s">
        <v>38</v>
      </c>
      <c r="L2260" s="25">
        <v>11429.0</v>
      </c>
      <c r="M2260" s="27" t="s">
        <v>50</v>
      </c>
      <c r="N2260" s="26" t="s">
        <v>5936</v>
      </c>
      <c r="O2260" s="28">
        <v>45539.66368341435</v>
      </c>
      <c r="P2260" s="26" t="s">
        <v>8927</v>
      </c>
      <c r="Q2260" s="11" t="s">
        <v>67</v>
      </c>
      <c r="R2260" s="11" t="s">
        <v>67</v>
      </c>
      <c r="S2260" s="11" t="s">
        <v>50</v>
      </c>
      <c r="T2260" s="29">
        <v>45537.64780896991</v>
      </c>
      <c r="U2260" s="29">
        <v>45538.658220509256</v>
      </c>
      <c r="V2260" s="29">
        <v>45539.37110982639</v>
      </c>
      <c r="W2260" s="30"/>
      <c r="X2260" s="30"/>
      <c r="Y2260" s="31"/>
      <c r="Z2260" s="31"/>
      <c r="AA2260" s="31" t="s">
        <v>127</v>
      </c>
      <c r="AB2260" s="31" t="s">
        <v>8928</v>
      </c>
      <c r="AC2260" s="31"/>
    </row>
    <row r="2261" ht="18.75" customHeight="1">
      <c r="A2261" s="18" t="s">
        <v>8929</v>
      </c>
      <c r="B2261" s="19" t="s">
        <v>3964</v>
      </c>
      <c r="C2261" s="20">
        <v>137.0</v>
      </c>
      <c r="D2261" s="21" t="s">
        <v>8930</v>
      </c>
      <c r="E2261" s="27" t="s">
        <v>85</v>
      </c>
      <c r="F2261" s="18" t="s">
        <v>48</v>
      </c>
      <c r="G2261" s="32" t="s">
        <v>35</v>
      </c>
      <c r="H2261" s="23" t="s">
        <v>35</v>
      </c>
      <c r="I2261" s="24" t="s">
        <v>36</v>
      </c>
      <c r="J2261" s="25" t="s">
        <v>49</v>
      </c>
      <c r="K2261" s="26" t="s">
        <v>38</v>
      </c>
      <c r="L2261" s="25">
        <v>11429.0</v>
      </c>
      <c r="M2261" s="27" t="s">
        <v>50</v>
      </c>
      <c r="N2261" s="26" t="s">
        <v>5936</v>
      </c>
      <c r="O2261" s="28">
        <v>45539.66375748842</v>
      </c>
      <c r="P2261" s="26" t="s">
        <v>8927</v>
      </c>
      <c r="Q2261" s="11" t="s">
        <v>67</v>
      </c>
      <c r="R2261" s="11" t="s">
        <v>67</v>
      </c>
      <c r="S2261" s="11" t="s">
        <v>50</v>
      </c>
      <c r="T2261" s="29">
        <v>45537.64809827546</v>
      </c>
      <c r="U2261" s="29">
        <v>45538.65824849537</v>
      </c>
      <c r="V2261" s="29">
        <v>45539.371119965275</v>
      </c>
      <c r="W2261" s="30"/>
      <c r="X2261" s="30"/>
      <c r="Y2261" s="31"/>
      <c r="Z2261" s="31"/>
      <c r="AA2261" s="31" t="s">
        <v>127</v>
      </c>
      <c r="AB2261" s="31" t="s">
        <v>8931</v>
      </c>
      <c r="AC2261" s="31"/>
    </row>
    <row r="2262" ht="18.75" customHeight="1">
      <c r="A2262" s="142" t="s">
        <v>8932</v>
      </c>
      <c r="B2262" s="19" t="s">
        <v>8933</v>
      </c>
      <c r="C2262" s="20">
        <v>0.0</v>
      </c>
      <c r="D2262" s="21" t="s">
        <v>8934</v>
      </c>
      <c r="E2262" s="27" t="s">
        <v>3834</v>
      </c>
      <c r="F2262" s="18" t="s">
        <v>33</v>
      </c>
      <c r="G2262" s="32" t="s">
        <v>35</v>
      </c>
      <c r="H2262" s="23" t="s">
        <v>35</v>
      </c>
      <c r="I2262" s="24" t="s">
        <v>36</v>
      </c>
      <c r="J2262" s="34" t="s">
        <v>65</v>
      </c>
      <c r="K2262" s="26" t="s">
        <v>38</v>
      </c>
      <c r="L2262" s="25">
        <v>11436.0</v>
      </c>
      <c r="M2262" s="27" t="s">
        <v>50</v>
      </c>
      <c r="N2262" s="26" t="s">
        <v>149</v>
      </c>
      <c r="O2262" s="28">
        <v>45541.594578738426</v>
      </c>
      <c r="P2262" s="26" t="s">
        <v>8935</v>
      </c>
      <c r="Q2262" s="11" t="s">
        <v>67</v>
      </c>
      <c r="R2262" s="11" t="s">
        <v>67</v>
      </c>
      <c r="S2262" s="11"/>
      <c r="T2262" s="29">
        <v>45538.42001495371</v>
      </c>
      <c r="U2262" s="29">
        <v>45538.640596516205</v>
      </c>
      <c r="V2262" s="29"/>
      <c r="W2262" s="30"/>
      <c r="X2262" s="30"/>
      <c r="Y2262" s="31"/>
      <c r="Z2262" s="31"/>
      <c r="AA2262" s="31" t="s">
        <v>94</v>
      </c>
      <c r="AB2262" s="31" t="s">
        <v>8936</v>
      </c>
      <c r="AC2262" s="31"/>
    </row>
    <row r="2263" ht="18.75" customHeight="1">
      <c r="A2263" s="142" t="s">
        <v>8937</v>
      </c>
      <c r="B2263" s="19" t="s">
        <v>8938</v>
      </c>
      <c r="C2263" s="20">
        <v>137.0</v>
      </c>
      <c r="D2263" s="21" t="s">
        <v>8939</v>
      </c>
      <c r="E2263" s="27" t="s">
        <v>85</v>
      </c>
      <c r="F2263" s="18" t="s">
        <v>48</v>
      </c>
      <c r="G2263" s="32" t="s">
        <v>35</v>
      </c>
      <c r="H2263" s="23" t="s">
        <v>35</v>
      </c>
      <c r="I2263" s="24" t="s">
        <v>36</v>
      </c>
      <c r="J2263" s="25" t="s">
        <v>518</v>
      </c>
      <c r="K2263" s="26" t="s">
        <v>38</v>
      </c>
      <c r="L2263" s="25">
        <v>11431.0</v>
      </c>
      <c r="M2263" s="27" t="s">
        <v>50</v>
      </c>
      <c r="N2263" s="26" t="s">
        <v>4616</v>
      </c>
      <c r="O2263" s="28">
        <v>45544.57025171296</v>
      </c>
      <c r="P2263" s="26" t="s">
        <v>8940</v>
      </c>
      <c r="Q2263" s="11" t="s">
        <v>67</v>
      </c>
      <c r="R2263" s="11" t="s">
        <v>67</v>
      </c>
      <c r="S2263" s="11" t="s">
        <v>50</v>
      </c>
      <c r="T2263" s="29">
        <v>45540.35038699074</v>
      </c>
      <c r="U2263" s="29">
        <v>45540.66436311342</v>
      </c>
      <c r="V2263" s="29">
        <v>45544.33625927083</v>
      </c>
      <c r="W2263" s="30"/>
      <c r="X2263" s="30"/>
      <c r="Y2263" s="31"/>
      <c r="Z2263" s="31"/>
      <c r="AA2263" s="31" t="s">
        <v>108</v>
      </c>
      <c r="AB2263" s="31" t="s">
        <v>8941</v>
      </c>
      <c r="AC2263" s="31"/>
    </row>
    <row r="2264" ht="18.75" customHeight="1">
      <c r="A2264" s="18" t="s">
        <v>8942</v>
      </c>
      <c r="B2264" s="19" t="s">
        <v>8943</v>
      </c>
      <c r="C2264" s="20">
        <v>137.0</v>
      </c>
      <c r="D2264" s="21" t="s">
        <v>8944</v>
      </c>
      <c r="E2264" s="27" t="s">
        <v>85</v>
      </c>
      <c r="F2264" s="18" t="s">
        <v>48</v>
      </c>
      <c r="G2264" s="32" t="s">
        <v>35</v>
      </c>
      <c r="H2264" s="23" t="s">
        <v>35</v>
      </c>
      <c r="I2264" s="24" t="s">
        <v>36</v>
      </c>
      <c r="J2264" s="25" t="s">
        <v>49</v>
      </c>
      <c r="K2264" s="26" t="s">
        <v>447</v>
      </c>
      <c r="L2264" s="25">
        <v>11454.0</v>
      </c>
      <c r="M2264" s="27" t="s">
        <v>50</v>
      </c>
      <c r="N2264" s="26" t="s">
        <v>99</v>
      </c>
      <c r="O2264" s="28">
        <v>45545.596786064816</v>
      </c>
      <c r="P2264" s="26" t="s">
        <v>8945</v>
      </c>
      <c r="Q2264" s="11" t="s">
        <v>67</v>
      </c>
      <c r="R2264" s="11" t="s">
        <v>67</v>
      </c>
      <c r="S2264" s="11" t="s">
        <v>50</v>
      </c>
      <c r="T2264" s="29">
        <v>45540.353575625</v>
      </c>
      <c r="U2264" s="29">
        <v>45540.39080061343</v>
      </c>
      <c r="V2264" s="29">
        <v>45545.458892951385</v>
      </c>
      <c r="W2264" s="30"/>
      <c r="X2264" s="30"/>
      <c r="Y2264" s="31"/>
      <c r="Z2264" s="31"/>
      <c r="AA2264" s="31" t="s">
        <v>108</v>
      </c>
      <c r="AB2264" s="31" t="s">
        <v>8946</v>
      </c>
      <c r="AC2264" s="31"/>
    </row>
    <row r="2265" ht="18.75" customHeight="1">
      <c r="A2265" s="18" t="s">
        <v>8947</v>
      </c>
      <c r="B2265" s="19" t="s">
        <v>8943</v>
      </c>
      <c r="C2265" s="20">
        <v>90.0</v>
      </c>
      <c r="D2265" s="21" t="s">
        <v>8948</v>
      </c>
      <c r="E2265" s="27" t="s">
        <v>91</v>
      </c>
      <c r="F2265" s="18" t="s">
        <v>48</v>
      </c>
      <c r="G2265" s="32" t="s">
        <v>35</v>
      </c>
      <c r="H2265" s="23" t="s">
        <v>35</v>
      </c>
      <c r="I2265" s="24" t="s">
        <v>36</v>
      </c>
      <c r="J2265" s="25" t="s">
        <v>49</v>
      </c>
      <c r="K2265" s="26" t="s">
        <v>447</v>
      </c>
      <c r="L2265" s="25">
        <v>11617.0</v>
      </c>
      <c r="M2265" s="22" t="s">
        <v>50</v>
      </c>
      <c r="N2265" s="35" t="s">
        <v>8199</v>
      </c>
      <c r="O2265" s="28">
        <v>45573.64878472222</v>
      </c>
      <c r="P2265" s="26" t="s">
        <v>8945</v>
      </c>
      <c r="Q2265" s="11" t="s">
        <v>67</v>
      </c>
      <c r="R2265" s="11" t="s">
        <v>67</v>
      </c>
      <c r="S2265" s="11" t="s">
        <v>50</v>
      </c>
      <c r="T2265" s="29">
        <v>45540.35388214121</v>
      </c>
      <c r="U2265" s="29">
        <v>45540.39081462963</v>
      </c>
      <c r="V2265" s="29">
        <v>45573.41009265046</v>
      </c>
      <c r="W2265" s="30"/>
      <c r="X2265" s="30"/>
      <c r="Y2265" s="31"/>
      <c r="Z2265" s="31"/>
      <c r="AA2265" s="31" t="s">
        <v>108</v>
      </c>
      <c r="AB2265" s="31" t="s">
        <v>8949</v>
      </c>
      <c r="AC2265" s="31"/>
    </row>
    <row r="2266" ht="18.75" customHeight="1">
      <c r="A2266" s="142" t="s">
        <v>8950</v>
      </c>
      <c r="B2266" s="19" t="s">
        <v>5686</v>
      </c>
      <c r="C2266" s="20">
        <v>137.0</v>
      </c>
      <c r="D2266" s="21" t="s">
        <v>8951</v>
      </c>
      <c r="E2266" s="27" t="s">
        <v>85</v>
      </c>
      <c r="F2266" s="18" t="s">
        <v>48</v>
      </c>
      <c r="G2266" s="32" t="s">
        <v>35</v>
      </c>
      <c r="H2266" s="23" t="s">
        <v>35</v>
      </c>
      <c r="I2266" s="24" t="s">
        <v>36</v>
      </c>
      <c r="J2266" s="25" t="s">
        <v>92</v>
      </c>
      <c r="K2266" s="26" t="s">
        <v>38</v>
      </c>
      <c r="L2266" s="25">
        <v>11440.0</v>
      </c>
      <c r="M2266" s="27" t="s">
        <v>50</v>
      </c>
      <c r="N2266" s="26" t="s">
        <v>8952</v>
      </c>
      <c r="O2266" s="28">
        <v>45541.43192741898</v>
      </c>
      <c r="P2266" s="26" t="s">
        <v>8953</v>
      </c>
      <c r="Q2266" s="11" t="s">
        <v>67</v>
      </c>
      <c r="R2266" s="11" t="s">
        <v>73</v>
      </c>
      <c r="S2266" s="11" t="s">
        <v>50</v>
      </c>
      <c r="T2266" s="29">
        <v>45540.35538637731</v>
      </c>
      <c r="U2266" s="29">
        <v>45541.396253645835</v>
      </c>
      <c r="V2266" s="29">
        <v>45541.42917283565</v>
      </c>
      <c r="W2266" s="30"/>
      <c r="X2266" s="30"/>
      <c r="Y2266" s="31"/>
      <c r="Z2266" s="31"/>
      <c r="AA2266" s="31" t="s">
        <v>120</v>
      </c>
      <c r="AB2266" s="31" t="s">
        <v>8954</v>
      </c>
      <c r="AC2266" s="31"/>
    </row>
    <row r="2267" ht="18.75" customHeight="1">
      <c r="A2267" s="142" t="s">
        <v>8955</v>
      </c>
      <c r="B2267" s="19" t="s">
        <v>8888</v>
      </c>
      <c r="C2267" s="20">
        <v>0.0</v>
      </c>
      <c r="D2267" s="21" t="s">
        <v>8956</v>
      </c>
      <c r="E2267" s="27" t="s">
        <v>79</v>
      </c>
      <c r="F2267" s="18" t="s">
        <v>33</v>
      </c>
      <c r="G2267" s="18" t="s">
        <v>34</v>
      </c>
      <c r="H2267" s="23" t="s">
        <v>35</v>
      </c>
      <c r="I2267" s="24" t="s">
        <v>36</v>
      </c>
      <c r="J2267" s="25" t="s">
        <v>49</v>
      </c>
      <c r="K2267" s="26" t="s">
        <v>38</v>
      </c>
      <c r="L2267" s="25">
        <v>11489.0</v>
      </c>
      <c r="M2267" s="27" t="s">
        <v>50</v>
      </c>
      <c r="N2267" s="26" t="s">
        <v>99</v>
      </c>
      <c r="O2267" s="28">
        <v>45551.59582814814</v>
      </c>
      <c r="P2267" s="26" t="s">
        <v>8957</v>
      </c>
      <c r="Q2267" s="11" t="s">
        <v>67</v>
      </c>
      <c r="R2267" s="11" t="s">
        <v>67</v>
      </c>
      <c r="S2267" s="11" t="s">
        <v>101</v>
      </c>
      <c r="T2267" s="29">
        <v>45540.473263692125</v>
      </c>
      <c r="U2267" s="29">
        <v>45540.49760625</v>
      </c>
      <c r="V2267" s="29">
        <v>45548.435066817125</v>
      </c>
      <c r="W2267" s="30"/>
      <c r="X2267" s="30"/>
      <c r="Y2267" s="31"/>
      <c r="Z2267" s="31"/>
      <c r="AA2267" s="31" t="s">
        <v>127</v>
      </c>
      <c r="AB2267" s="31" t="s">
        <v>8958</v>
      </c>
      <c r="AC2267" s="31"/>
    </row>
    <row r="2268" ht="18.75" customHeight="1">
      <c r="A2268" s="142" t="s">
        <v>8959</v>
      </c>
      <c r="B2268" s="19" t="s">
        <v>8960</v>
      </c>
      <c r="C2268" s="20">
        <v>27.0</v>
      </c>
      <c r="D2268" s="39" t="s">
        <v>8961</v>
      </c>
      <c r="E2268" s="27" t="s">
        <v>72</v>
      </c>
      <c r="F2268" s="18" t="s">
        <v>48</v>
      </c>
      <c r="G2268" s="32" t="s">
        <v>35</v>
      </c>
      <c r="H2268" s="23" t="s">
        <v>35</v>
      </c>
      <c r="I2268" s="37" t="s">
        <v>36</v>
      </c>
      <c r="J2268" s="25" t="s">
        <v>49</v>
      </c>
      <c r="K2268" s="26" t="s">
        <v>38</v>
      </c>
      <c r="L2268" s="25">
        <v>11599.0</v>
      </c>
      <c r="M2268" s="27" t="s">
        <v>50</v>
      </c>
      <c r="N2268" s="26" t="s">
        <v>99</v>
      </c>
      <c r="O2268" s="28">
        <v>45572.61842400463</v>
      </c>
      <c r="P2268" s="26" t="s">
        <v>8962</v>
      </c>
      <c r="Q2268" s="11" t="s">
        <v>67</v>
      </c>
      <c r="R2268" s="11" t="s">
        <v>67</v>
      </c>
      <c r="S2268" s="11" t="s">
        <v>50</v>
      </c>
      <c r="T2268" s="29">
        <v>45540.35879915509</v>
      </c>
      <c r="U2268" s="29">
        <v>45540.411474837965</v>
      </c>
      <c r="V2268" s="29">
        <v>45572.45501158565</v>
      </c>
      <c r="W2268" s="30"/>
      <c r="X2268" s="30"/>
      <c r="Y2268" s="31"/>
      <c r="Z2268" s="31"/>
      <c r="AA2268" s="31" t="s">
        <v>127</v>
      </c>
      <c r="AB2268" s="31" t="s">
        <v>8963</v>
      </c>
      <c r="AC2268" s="31"/>
    </row>
    <row r="2269" ht="18.75" customHeight="1">
      <c r="A2269" s="142" t="s">
        <v>8964</v>
      </c>
      <c r="B2269" s="19" t="s">
        <v>4352</v>
      </c>
      <c r="C2269" s="20">
        <v>90.0</v>
      </c>
      <c r="D2269" s="21" t="s">
        <v>8965</v>
      </c>
      <c r="E2269" s="27" t="s">
        <v>91</v>
      </c>
      <c r="F2269" s="18" t="s">
        <v>48</v>
      </c>
      <c r="G2269" s="32" t="s">
        <v>35</v>
      </c>
      <c r="H2269" s="23" t="s">
        <v>35</v>
      </c>
      <c r="I2269" s="24" t="s">
        <v>36</v>
      </c>
      <c r="J2269" s="25" t="s">
        <v>49</v>
      </c>
      <c r="K2269" s="26" t="s">
        <v>38</v>
      </c>
      <c r="L2269" s="25">
        <v>11618.0</v>
      </c>
      <c r="M2269" s="22" t="s">
        <v>50</v>
      </c>
      <c r="N2269" s="35" t="s">
        <v>8199</v>
      </c>
      <c r="O2269" s="28">
        <v>45573.64878472222</v>
      </c>
      <c r="P2269" s="26" t="s">
        <v>8966</v>
      </c>
      <c r="Q2269" s="11" t="s">
        <v>67</v>
      </c>
      <c r="R2269" s="11" t="s">
        <v>67</v>
      </c>
      <c r="S2269" s="11" t="s">
        <v>50</v>
      </c>
      <c r="T2269" s="29">
        <v>45540.36068416666</v>
      </c>
      <c r="U2269" s="29">
        <v>45547.465445486116</v>
      </c>
      <c r="V2269" s="29">
        <v>45573.410537592594</v>
      </c>
      <c r="W2269" s="30"/>
      <c r="X2269" s="30"/>
      <c r="Y2269" s="31"/>
      <c r="Z2269" s="31"/>
      <c r="AA2269" s="31" t="s">
        <v>127</v>
      </c>
      <c r="AB2269" s="31" t="s">
        <v>8967</v>
      </c>
      <c r="AC2269" s="31"/>
    </row>
    <row r="2270" ht="18.75" customHeight="1">
      <c r="A2270" s="18" t="s">
        <v>8968</v>
      </c>
      <c r="B2270" s="19" t="s">
        <v>4352</v>
      </c>
      <c r="C2270" s="20">
        <v>27.0</v>
      </c>
      <c r="D2270" s="39" t="s">
        <v>8969</v>
      </c>
      <c r="E2270" s="27" t="s">
        <v>72</v>
      </c>
      <c r="F2270" s="18" t="s">
        <v>48</v>
      </c>
      <c r="G2270" s="32" t="s">
        <v>35</v>
      </c>
      <c r="H2270" s="23" t="s">
        <v>35</v>
      </c>
      <c r="I2270" s="24" t="s">
        <v>36</v>
      </c>
      <c r="J2270" s="25" t="s">
        <v>49</v>
      </c>
      <c r="K2270" s="26" t="s">
        <v>38</v>
      </c>
      <c r="L2270" s="25">
        <v>11656.0</v>
      </c>
      <c r="M2270" s="22" t="s">
        <v>50</v>
      </c>
      <c r="N2270" s="35" t="s">
        <v>8199</v>
      </c>
      <c r="O2270" s="28">
        <v>45573.64878472222</v>
      </c>
      <c r="P2270" s="26" t="s">
        <v>8970</v>
      </c>
      <c r="Q2270" s="11" t="s">
        <v>67</v>
      </c>
      <c r="R2270" s="11" t="s">
        <v>67</v>
      </c>
      <c r="S2270" s="11" t="s">
        <v>50</v>
      </c>
      <c r="T2270" s="29">
        <v>45540.36207855324</v>
      </c>
      <c r="U2270" s="29">
        <v>45547.46568851852</v>
      </c>
      <c r="V2270" s="29">
        <v>45573.355562233795</v>
      </c>
      <c r="W2270" s="30"/>
      <c r="X2270" s="30"/>
      <c r="Y2270" s="31"/>
      <c r="Z2270" s="31"/>
      <c r="AA2270" s="31" t="s">
        <v>127</v>
      </c>
      <c r="AB2270" s="31" t="s">
        <v>8971</v>
      </c>
      <c r="AC2270" s="31"/>
    </row>
    <row r="2271" ht="18.75" customHeight="1">
      <c r="A2271" s="18" t="s">
        <v>8972</v>
      </c>
      <c r="B2271" s="19" t="s">
        <v>4352</v>
      </c>
      <c r="C2271" s="20">
        <v>27.0</v>
      </c>
      <c r="D2271" s="39" t="s">
        <v>8973</v>
      </c>
      <c r="E2271" s="27" t="s">
        <v>72</v>
      </c>
      <c r="F2271" s="18" t="s">
        <v>48</v>
      </c>
      <c r="G2271" s="32" t="s">
        <v>35</v>
      </c>
      <c r="H2271" s="23" t="s">
        <v>35</v>
      </c>
      <c r="I2271" s="24" t="s">
        <v>36</v>
      </c>
      <c r="J2271" s="25" t="s">
        <v>49</v>
      </c>
      <c r="K2271" s="26" t="s">
        <v>38</v>
      </c>
      <c r="L2271" s="25">
        <v>11656.0</v>
      </c>
      <c r="M2271" s="22" t="s">
        <v>50</v>
      </c>
      <c r="N2271" s="35" t="s">
        <v>8199</v>
      </c>
      <c r="O2271" s="28">
        <v>45573.64878472222</v>
      </c>
      <c r="P2271" s="26" t="s">
        <v>8970</v>
      </c>
      <c r="Q2271" s="11" t="s">
        <v>67</v>
      </c>
      <c r="R2271" s="11" t="s">
        <v>67</v>
      </c>
      <c r="S2271" s="11" t="s">
        <v>50</v>
      </c>
      <c r="T2271" s="29">
        <v>45540.36213248843</v>
      </c>
      <c r="U2271" s="29">
        <v>45547.46571243055</v>
      </c>
      <c r="V2271" s="29">
        <v>45573.3555762037</v>
      </c>
      <c r="W2271" s="30"/>
      <c r="X2271" s="30"/>
      <c r="Y2271" s="31"/>
      <c r="Z2271" s="31"/>
      <c r="AA2271" s="31" t="s">
        <v>127</v>
      </c>
      <c r="AB2271" s="31" t="s">
        <v>8974</v>
      </c>
      <c r="AC2271" s="31"/>
    </row>
    <row r="2272" ht="18.75" customHeight="1">
      <c r="A2272" s="142" t="s">
        <v>8975</v>
      </c>
      <c r="B2272" s="19" t="s">
        <v>4352</v>
      </c>
      <c r="C2272" s="20">
        <v>0.0</v>
      </c>
      <c r="D2272" s="21" t="s">
        <v>8976</v>
      </c>
      <c r="E2272" s="27" t="s">
        <v>3441</v>
      </c>
      <c r="F2272" s="18" t="s">
        <v>48</v>
      </c>
      <c r="G2272" s="32" t="s">
        <v>35</v>
      </c>
      <c r="H2272" s="23" t="s">
        <v>35</v>
      </c>
      <c r="I2272" s="24" t="s">
        <v>36</v>
      </c>
      <c r="J2272" s="25" t="s">
        <v>49</v>
      </c>
      <c r="K2272" s="26" t="s">
        <v>38</v>
      </c>
      <c r="L2272" s="25">
        <v>11651.0</v>
      </c>
      <c r="M2272" s="22" t="s">
        <v>50</v>
      </c>
      <c r="N2272" s="35" t="s">
        <v>8199</v>
      </c>
      <c r="O2272" s="28">
        <v>45573.64878472222</v>
      </c>
      <c r="P2272" s="26" t="s">
        <v>8977</v>
      </c>
      <c r="Q2272" s="11" t="s">
        <v>67</v>
      </c>
      <c r="R2272" s="11" t="s">
        <v>67</v>
      </c>
      <c r="S2272" s="11" t="s">
        <v>50</v>
      </c>
      <c r="T2272" s="29">
        <v>45540.36351148148</v>
      </c>
      <c r="U2272" s="29">
        <v>45547.46530788194</v>
      </c>
      <c r="V2272" s="29">
        <v>45573.365124062504</v>
      </c>
      <c r="W2272" s="30"/>
      <c r="X2272" s="30"/>
      <c r="Y2272" s="31"/>
      <c r="Z2272" s="31"/>
      <c r="AA2272" s="31" t="s">
        <v>127</v>
      </c>
      <c r="AB2272" s="31" t="s">
        <v>8978</v>
      </c>
      <c r="AC2272" s="31"/>
    </row>
    <row r="2273" ht="18.75" customHeight="1">
      <c r="A2273" s="142" t="s">
        <v>8979</v>
      </c>
      <c r="B2273" s="19" t="s">
        <v>4035</v>
      </c>
      <c r="C2273" s="20">
        <v>0.0</v>
      </c>
      <c r="D2273" s="21" t="s">
        <v>8980</v>
      </c>
      <c r="E2273" s="27" t="s">
        <v>8868</v>
      </c>
      <c r="F2273" s="18" t="s">
        <v>48</v>
      </c>
      <c r="G2273" s="32" t="s">
        <v>35</v>
      </c>
      <c r="H2273" s="23" t="s">
        <v>35</v>
      </c>
      <c r="I2273" s="37" t="s">
        <v>36</v>
      </c>
      <c r="J2273" s="25" t="s">
        <v>518</v>
      </c>
      <c r="K2273" s="26" t="s">
        <v>38</v>
      </c>
      <c r="L2273" s="25">
        <v>11686.0</v>
      </c>
      <c r="M2273" s="27" t="s">
        <v>50</v>
      </c>
      <c r="N2273" s="26" t="s">
        <v>4616</v>
      </c>
      <c r="O2273" s="28">
        <v>45575.583021388884</v>
      </c>
      <c r="P2273" s="26" t="s">
        <v>8981</v>
      </c>
      <c r="Q2273" s="11" t="s">
        <v>67</v>
      </c>
      <c r="R2273" s="11" t="s">
        <v>67</v>
      </c>
      <c r="S2273" s="11" t="s">
        <v>101</v>
      </c>
      <c r="T2273" s="29">
        <v>45540.36431142361</v>
      </c>
      <c r="U2273" s="29">
        <v>45540.41274811343</v>
      </c>
      <c r="V2273" s="29">
        <v>45572.4796440162</v>
      </c>
      <c r="W2273" s="30"/>
      <c r="X2273" s="30"/>
      <c r="Y2273" s="31"/>
      <c r="Z2273" s="31"/>
      <c r="AA2273" s="31" t="s">
        <v>94</v>
      </c>
      <c r="AB2273" s="31" t="s">
        <v>8982</v>
      </c>
      <c r="AC2273" s="31"/>
    </row>
    <row r="2274" ht="18.75" customHeight="1">
      <c r="A2274" s="18" t="s">
        <v>8983</v>
      </c>
      <c r="B2274" s="19" t="s">
        <v>5264</v>
      </c>
      <c r="C2274" s="20">
        <v>1.0</v>
      </c>
      <c r="D2274" s="21" t="s">
        <v>8984</v>
      </c>
      <c r="E2274" s="27" t="s">
        <v>3395</v>
      </c>
      <c r="F2274" s="18" t="s">
        <v>48</v>
      </c>
      <c r="G2274" s="32" t="s">
        <v>35</v>
      </c>
      <c r="H2274" s="23" t="s">
        <v>35</v>
      </c>
      <c r="I2274" s="24" t="s">
        <v>36</v>
      </c>
      <c r="J2274" s="34" t="s">
        <v>65</v>
      </c>
      <c r="K2274" s="26" t="s">
        <v>38</v>
      </c>
      <c r="L2274" s="25">
        <v>11447.0</v>
      </c>
      <c r="M2274" s="27" t="s">
        <v>50</v>
      </c>
      <c r="N2274" s="26" t="s">
        <v>5897</v>
      </c>
      <c r="O2274" s="28">
        <v>45544.72320674769</v>
      </c>
      <c r="P2274" s="26" t="s">
        <v>8985</v>
      </c>
      <c r="Q2274" s="11" t="s">
        <v>67</v>
      </c>
      <c r="R2274" s="11" t="s">
        <v>67</v>
      </c>
      <c r="S2274" s="11" t="s">
        <v>50</v>
      </c>
      <c r="T2274" s="29">
        <v>45540.441488321754</v>
      </c>
      <c r="U2274" s="29">
        <v>45540.496431886575</v>
      </c>
      <c r="V2274" s="29">
        <v>45544.42963863426</v>
      </c>
      <c r="W2274" s="30"/>
      <c r="X2274" s="30"/>
      <c r="Y2274" s="31"/>
      <c r="Z2274" s="31"/>
      <c r="AA2274" s="31" t="s">
        <v>3059</v>
      </c>
      <c r="AB2274" s="31" t="s">
        <v>8986</v>
      </c>
      <c r="AC2274" s="31"/>
    </row>
    <row r="2275" ht="18.75" customHeight="1">
      <c r="A2275" s="18" t="s">
        <v>8987</v>
      </c>
      <c r="B2275" s="19" t="s">
        <v>5264</v>
      </c>
      <c r="C2275" s="20">
        <v>0.0</v>
      </c>
      <c r="D2275" s="21" t="s">
        <v>8988</v>
      </c>
      <c r="E2275" s="27" t="s">
        <v>3441</v>
      </c>
      <c r="F2275" s="18" t="s">
        <v>48</v>
      </c>
      <c r="G2275" s="32" t="s">
        <v>35</v>
      </c>
      <c r="H2275" s="23" t="s">
        <v>35</v>
      </c>
      <c r="I2275" s="24" t="s">
        <v>36</v>
      </c>
      <c r="J2275" s="34" t="s">
        <v>65</v>
      </c>
      <c r="K2275" s="26" t="s">
        <v>38</v>
      </c>
      <c r="L2275" s="25">
        <v>11447.0</v>
      </c>
      <c r="M2275" s="27" t="s">
        <v>50</v>
      </c>
      <c r="N2275" s="26" t="s">
        <v>5897</v>
      </c>
      <c r="O2275" s="28">
        <v>45544.723285451386</v>
      </c>
      <c r="P2275" s="26" t="s">
        <v>8985</v>
      </c>
      <c r="Q2275" s="11" t="s">
        <v>67</v>
      </c>
      <c r="R2275" s="11" t="s">
        <v>67</v>
      </c>
      <c r="S2275" s="11" t="s">
        <v>50</v>
      </c>
      <c r="T2275" s="29">
        <v>45540.441646493055</v>
      </c>
      <c r="U2275" s="29">
        <v>45540.4964612037</v>
      </c>
      <c r="V2275" s="29">
        <v>45544.390680358796</v>
      </c>
      <c r="W2275" s="30"/>
      <c r="X2275" s="30"/>
      <c r="Y2275" s="31"/>
      <c r="Z2275" s="31"/>
      <c r="AA2275" s="31" t="s">
        <v>3059</v>
      </c>
      <c r="AB2275" s="31" t="s">
        <v>8989</v>
      </c>
      <c r="AC2275" s="31"/>
    </row>
    <row r="2276" ht="18.75" customHeight="1">
      <c r="A2276" s="18" t="s">
        <v>8990</v>
      </c>
      <c r="B2276" s="19" t="s">
        <v>5264</v>
      </c>
      <c r="C2276" s="20">
        <v>137.0</v>
      </c>
      <c r="D2276" s="21" t="s">
        <v>8991</v>
      </c>
      <c r="E2276" s="27" t="s">
        <v>85</v>
      </c>
      <c r="F2276" s="18" t="s">
        <v>48</v>
      </c>
      <c r="G2276" s="32" t="s">
        <v>35</v>
      </c>
      <c r="H2276" s="23" t="s">
        <v>35</v>
      </c>
      <c r="I2276" s="24" t="s">
        <v>36</v>
      </c>
      <c r="J2276" s="34" t="s">
        <v>65</v>
      </c>
      <c r="K2276" s="26" t="s">
        <v>38</v>
      </c>
      <c r="L2276" s="25">
        <v>11447.0</v>
      </c>
      <c r="M2276" s="27" t="s">
        <v>50</v>
      </c>
      <c r="N2276" s="26" t="s">
        <v>5897</v>
      </c>
      <c r="O2276" s="28">
        <v>45544.72336118056</v>
      </c>
      <c r="P2276" s="26" t="s">
        <v>8985</v>
      </c>
      <c r="Q2276" s="11" t="s">
        <v>67</v>
      </c>
      <c r="R2276" s="11" t="s">
        <v>67</v>
      </c>
      <c r="S2276" s="11" t="s">
        <v>50</v>
      </c>
      <c r="T2276" s="29">
        <v>45540.44178188658</v>
      </c>
      <c r="U2276" s="29">
        <v>45540.496465868055</v>
      </c>
      <c r="V2276" s="29">
        <v>45544.390692256944</v>
      </c>
      <c r="W2276" s="30"/>
      <c r="X2276" s="30"/>
      <c r="Y2276" s="31"/>
      <c r="Z2276" s="31"/>
      <c r="AA2276" s="31" t="s">
        <v>3059</v>
      </c>
      <c r="AB2276" s="31" t="s">
        <v>8992</v>
      </c>
      <c r="AC2276" s="31"/>
    </row>
    <row r="2277" ht="18.75" customHeight="1">
      <c r="A2277" s="142" t="s">
        <v>8993</v>
      </c>
      <c r="B2277" s="19" t="s">
        <v>8994</v>
      </c>
      <c r="C2277" s="20">
        <v>0.0</v>
      </c>
      <c r="D2277" s="21" t="s">
        <v>8995</v>
      </c>
      <c r="E2277" s="27" t="s">
        <v>532</v>
      </c>
      <c r="F2277" s="18" t="s">
        <v>244</v>
      </c>
      <c r="G2277" s="32" t="s">
        <v>35</v>
      </c>
      <c r="H2277" s="23" t="s">
        <v>35</v>
      </c>
      <c r="I2277" s="24" t="s">
        <v>36</v>
      </c>
      <c r="J2277" s="25" t="s">
        <v>1170</v>
      </c>
      <c r="K2277" s="26" t="s">
        <v>38</v>
      </c>
      <c r="L2277" s="25">
        <v>11482.0</v>
      </c>
      <c r="M2277" s="27" t="s">
        <v>50</v>
      </c>
      <c r="N2277" s="26" t="s">
        <v>8996</v>
      </c>
      <c r="O2277" s="28">
        <v>45548.6595790162</v>
      </c>
      <c r="P2277" s="26" t="s">
        <v>8997</v>
      </c>
      <c r="Q2277" s="11" t="s">
        <v>67</v>
      </c>
      <c r="R2277" s="11" t="s">
        <v>67</v>
      </c>
      <c r="S2277" s="11" t="s">
        <v>101</v>
      </c>
      <c r="T2277" s="29">
        <v>45540.46970122685</v>
      </c>
      <c r="U2277" s="29">
        <v>45540.47003981481</v>
      </c>
      <c r="V2277" s="29">
        <v>45547.7020743287</v>
      </c>
      <c r="W2277" s="30"/>
      <c r="X2277" s="30"/>
      <c r="Y2277" s="31"/>
      <c r="Z2277" s="31"/>
      <c r="AA2277" s="31" t="s">
        <v>120</v>
      </c>
      <c r="AB2277" s="31" t="s">
        <v>8998</v>
      </c>
      <c r="AC2277" s="31"/>
    </row>
    <row r="2278" ht="18.75" customHeight="1">
      <c r="A2278" s="18" t="s">
        <v>8999</v>
      </c>
      <c r="B2278" s="19" t="s">
        <v>3266</v>
      </c>
      <c r="C2278" s="20">
        <v>33.0</v>
      </c>
      <c r="D2278" s="21"/>
      <c r="E2278" s="27" t="s">
        <v>6133</v>
      </c>
      <c r="F2278" s="18" t="s">
        <v>48</v>
      </c>
      <c r="G2278" s="32" t="s">
        <v>35</v>
      </c>
      <c r="H2278" s="23" t="s">
        <v>35</v>
      </c>
      <c r="I2278" s="24" t="s">
        <v>665</v>
      </c>
      <c r="J2278" s="34" t="s">
        <v>65</v>
      </c>
      <c r="K2278" s="26" t="s">
        <v>38</v>
      </c>
      <c r="L2278" s="25">
        <v>11439.0</v>
      </c>
      <c r="M2278" s="27" t="s">
        <v>50</v>
      </c>
      <c r="N2278" s="26" t="s">
        <v>5897</v>
      </c>
      <c r="O2278" s="28">
        <v>45544.722564375</v>
      </c>
      <c r="P2278" s="26" t="s">
        <v>9000</v>
      </c>
      <c r="Q2278" s="11" t="s">
        <v>67</v>
      </c>
      <c r="R2278" s="11" t="s">
        <v>67</v>
      </c>
      <c r="S2278" s="11" t="s">
        <v>50</v>
      </c>
      <c r="T2278" s="29">
        <v>45540.453833356485</v>
      </c>
      <c r="U2278" s="29">
        <v>45540.56733266204</v>
      </c>
      <c r="V2278" s="29">
        <v>45544.36256142361</v>
      </c>
      <c r="W2278" s="30"/>
      <c r="X2278" s="30"/>
      <c r="Y2278" s="31"/>
      <c r="Z2278" s="31"/>
      <c r="AA2278" s="31"/>
      <c r="AB2278" s="31" t="s">
        <v>9001</v>
      </c>
      <c r="AC2278" s="31"/>
    </row>
    <row r="2279" ht="18.75" customHeight="1">
      <c r="A2279" s="18" t="s">
        <v>9002</v>
      </c>
      <c r="B2279" s="19" t="s">
        <v>3266</v>
      </c>
      <c r="C2279" s="20">
        <v>137.0</v>
      </c>
      <c r="D2279" s="21" t="s">
        <v>9003</v>
      </c>
      <c r="E2279" s="27" t="s">
        <v>85</v>
      </c>
      <c r="F2279" s="18" t="s">
        <v>48</v>
      </c>
      <c r="G2279" s="32" t="s">
        <v>35</v>
      </c>
      <c r="H2279" s="23" t="s">
        <v>35</v>
      </c>
      <c r="I2279" s="24" t="s">
        <v>36</v>
      </c>
      <c r="J2279" s="34" t="s">
        <v>65</v>
      </c>
      <c r="K2279" s="26" t="s">
        <v>38</v>
      </c>
      <c r="L2279" s="25">
        <v>11439.0</v>
      </c>
      <c r="M2279" s="27" t="s">
        <v>50</v>
      </c>
      <c r="N2279" s="26" t="s">
        <v>5897</v>
      </c>
      <c r="O2279" s="28">
        <v>45544.722660115745</v>
      </c>
      <c r="P2279" s="26" t="s">
        <v>9004</v>
      </c>
      <c r="Q2279" s="11" t="s">
        <v>67</v>
      </c>
      <c r="R2279" s="11" t="s">
        <v>67</v>
      </c>
      <c r="S2279" s="11" t="s">
        <v>50</v>
      </c>
      <c r="T2279" s="29">
        <v>45540.454065162034</v>
      </c>
      <c r="U2279" s="29">
        <v>45540.56741783565</v>
      </c>
      <c r="V2279" s="29">
        <v>45544.362570972226</v>
      </c>
      <c r="W2279" s="30"/>
      <c r="X2279" s="30"/>
      <c r="Y2279" s="31"/>
      <c r="Z2279" s="31"/>
      <c r="AA2279" s="31"/>
      <c r="AB2279" s="31" t="s">
        <v>9005</v>
      </c>
      <c r="AC2279" s="31"/>
    </row>
    <row r="2280" ht="18.75" customHeight="1">
      <c r="A2280" s="142" t="s">
        <v>9006</v>
      </c>
      <c r="B2280" s="19" t="s">
        <v>7442</v>
      </c>
      <c r="C2280" s="20">
        <v>137.0</v>
      </c>
      <c r="D2280" s="21" t="s">
        <v>9007</v>
      </c>
      <c r="E2280" s="27" t="s">
        <v>85</v>
      </c>
      <c r="F2280" s="18" t="s">
        <v>48</v>
      </c>
      <c r="G2280" s="32" t="s">
        <v>35</v>
      </c>
      <c r="H2280" s="23" t="s">
        <v>35</v>
      </c>
      <c r="I2280" s="24" t="s">
        <v>36</v>
      </c>
      <c r="J2280" s="34" t="s">
        <v>65</v>
      </c>
      <c r="K2280" s="26" t="s">
        <v>38</v>
      </c>
      <c r="L2280" s="25">
        <v>11506.0</v>
      </c>
      <c r="M2280" s="27" t="s">
        <v>50</v>
      </c>
      <c r="N2280" s="26" t="s">
        <v>5279</v>
      </c>
      <c r="O2280" s="28">
        <v>45552.628996053245</v>
      </c>
      <c r="P2280" s="26" t="s">
        <v>9008</v>
      </c>
      <c r="Q2280" s="11" t="s">
        <v>67</v>
      </c>
      <c r="R2280" s="11" t="s">
        <v>67</v>
      </c>
      <c r="S2280" s="11" t="s">
        <v>50</v>
      </c>
      <c r="T2280" s="29">
        <v>45540.48157553241</v>
      </c>
      <c r="U2280" s="29">
        <v>45548.36273518519</v>
      </c>
      <c r="V2280" s="29">
        <v>45552.455334212966</v>
      </c>
      <c r="W2280" s="30"/>
      <c r="X2280" s="30"/>
      <c r="Y2280" s="31"/>
      <c r="Z2280" s="31"/>
      <c r="AA2280" s="31" t="s">
        <v>94</v>
      </c>
      <c r="AB2280" s="31" t="s">
        <v>9009</v>
      </c>
      <c r="AC2280" s="31"/>
    </row>
    <row r="2281" ht="18.75" customHeight="1">
      <c r="A2281" s="142" t="s">
        <v>9010</v>
      </c>
      <c r="B2281" s="19" t="s">
        <v>4604</v>
      </c>
      <c r="C2281" s="20">
        <v>0.0</v>
      </c>
      <c r="D2281" s="21" t="s">
        <v>9011</v>
      </c>
      <c r="E2281" s="27" t="s">
        <v>3441</v>
      </c>
      <c r="F2281" s="18" t="s">
        <v>48</v>
      </c>
      <c r="G2281" s="32" t="s">
        <v>35</v>
      </c>
      <c r="H2281" s="23" t="s">
        <v>35</v>
      </c>
      <c r="I2281" s="37" t="s">
        <v>36</v>
      </c>
      <c r="J2281" s="34" t="s">
        <v>65</v>
      </c>
      <c r="K2281" s="26" t="s">
        <v>38</v>
      </c>
      <c r="L2281" s="25">
        <v>11648.0</v>
      </c>
      <c r="M2281" s="27" t="s">
        <v>50</v>
      </c>
      <c r="N2281" s="26" t="s">
        <v>8104</v>
      </c>
      <c r="O2281" s="28">
        <v>45573.66249371528</v>
      </c>
      <c r="P2281" s="26" t="s">
        <v>9012</v>
      </c>
      <c r="Q2281" s="11" t="s">
        <v>67</v>
      </c>
      <c r="R2281" s="11" t="s">
        <v>67</v>
      </c>
      <c r="S2281" s="11" t="s">
        <v>50</v>
      </c>
      <c r="T2281" s="29">
        <v>45540.484597523144</v>
      </c>
      <c r="U2281" s="29">
        <v>45547.617416875</v>
      </c>
      <c r="V2281" s="29">
        <v>45573.5053525</v>
      </c>
      <c r="W2281" s="30"/>
      <c r="X2281" s="30"/>
      <c r="Y2281" s="31"/>
      <c r="Z2281" s="31"/>
      <c r="AA2281" s="31" t="s">
        <v>94</v>
      </c>
      <c r="AB2281" s="31" t="s">
        <v>9013</v>
      </c>
      <c r="AC2281" s="31"/>
    </row>
    <row r="2282" ht="18.75" customHeight="1">
      <c r="A2282" s="18" t="s">
        <v>9014</v>
      </c>
      <c r="B2282" s="19" t="s">
        <v>115</v>
      </c>
      <c r="C2282" s="20">
        <v>137.0</v>
      </c>
      <c r="D2282" s="21" t="s">
        <v>9015</v>
      </c>
      <c r="E2282" s="27" t="s">
        <v>85</v>
      </c>
      <c r="F2282" s="18" t="s">
        <v>48</v>
      </c>
      <c r="G2282" s="32" t="s">
        <v>35</v>
      </c>
      <c r="H2282" s="23" t="s">
        <v>35</v>
      </c>
      <c r="I2282" s="24" t="s">
        <v>36</v>
      </c>
      <c r="J2282" s="25" t="s">
        <v>92</v>
      </c>
      <c r="K2282" s="26" t="s">
        <v>38</v>
      </c>
      <c r="L2282" s="25">
        <v>11442.0</v>
      </c>
      <c r="M2282" s="27" t="s">
        <v>50</v>
      </c>
      <c r="N2282" s="26" t="s">
        <v>118</v>
      </c>
      <c r="O2282" s="28">
        <v>45545.38192438657</v>
      </c>
      <c r="P2282" s="26" t="s">
        <v>9016</v>
      </c>
      <c r="Q2282" s="11" t="s">
        <v>67</v>
      </c>
      <c r="R2282" s="11" t="s">
        <v>67</v>
      </c>
      <c r="S2282" s="11" t="s">
        <v>50</v>
      </c>
      <c r="T2282" s="29">
        <v>45540.48597306713</v>
      </c>
      <c r="U2282" s="29">
        <v>45540.665963865744</v>
      </c>
      <c r="V2282" s="29">
        <v>45544.33348354167</v>
      </c>
      <c r="W2282" s="30"/>
      <c r="X2282" s="30"/>
      <c r="Y2282" s="31"/>
      <c r="Z2282" s="31"/>
      <c r="AA2282" s="31" t="s">
        <v>120</v>
      </c>
      <c r="AB2282" s="31" t="s">
        <v>9017</v>
      </c>
      <c r="AC2282" s="31"/>
    </row>
    <row r="2283" ht="18.75" customHeight="1">
      <c r="A2283" s="18" t="s">
        <v>9018</v>
      </c>
      <c r="B2283" s="19" t="s">
        <v>115</v>
      </c>
      <c r="C2283" s="20">
        <v>137.0</v>
      </c>
      <c r="D2283" s="21" t="s">
        <v>9019</v>
      </c>
      <c r="E2283" s="27" t="s">
        <v>85</v>
      </c>
      <c r="F2283" s="18" t="s">
        <v>48</v>
      </c>
      <c r="G2283" s="32" t="s">
        <v>35</v>
      </c>
      <c r="H2283" s="23" t="s">
        <v>35</v>
      </c>
      <c r="I2283" s="24" t="s">
        <v>36</v>
      </c>
      <c r="J2283" s="25" t="s">
        <v>92</v>
      </c>
      <c r="K2283" s="26" t="s">
        <v>38</v>
      </c>
      <c r="L2283" s="25">
        <v>11442.0</v>
      </c>
      <c r="M2283" s="27" t="s">
        <v>50</v>
      </c>
      <c r="N2283" s="26" t="s">
        <v>118</v>
      </c>
      <c r="O2283" s="28">
        <v>45545.38201785879</v>
      </c>
      <c r="P2283" s="26" t="s">
        <v>9016</v>
      </c>
      <c r="Q2283" s="11" t="s">
        <v>67</v>
      </c>
      <c r="R2283" s="11" t="s">
        <v>67</v>
      </c>
      <c r="S2283" s="11" t="s">
        <v>50</v>
      </c>
      <c r="T2283" s="29">
        <v>45540.486090046295</v>
      </c>
      <c r="U2283" s="29">
        <v>45540.66598336806</v>
      </c>
      <c r="V2283" s="29">
        <v>45544.33349351852</v>
      </c>
      <c r="W2283" s="30"/>
      <c r="X2283" s="30"/>
      <c r="Y2283" s="31"/>
      <c r="Z2283" s="31"/>
      <c r="AA2283" s="31" t="s">
        <v>120</v>
      </c>
      <c r="AB2283" s="31" t="s">
        <v>9020</v>
      </c>
      <c r="AC2283" s="31"/>
    </row>
    <row r="2284" ht="18.75" customHeight="1">
      <c r="A2284" s="18" t="s">
        <v>9021</v>
      </c>
      <c r="B2284" s="19" t="s">
        <v>115</v>
      </c>
      <c r="C2284" s="20">
        <v>137.0</v>
      </c>
      <c r="D2284" s="21" t="s">
        <v>9022</v>
      </c>
      <c r="E2284" s="27" t="s">
        <v>85</v>
      </c>
      <c r="F2284" s="18" t="s">
        <v>48</v>
      </c>
      <c r="G2284" s="32" t="s">
        <v>35</v>
      </c>
      <c r="H2284" s="23" t="s">
        <v>35</v>
      </c>
      <c r="I2284" s="24" t="s">
        <v>36</v>
      </c>
      <c r="J2284" s="25" t="s">
        <v>92</v>
      </c>
      <c r="K2284" s="26" t="s">
        <v>38</v>
      </c>
      <c r="L2284" s="25">
        <v>11442.0</v>
      </c>
      <c r="M2284" s="27" t="s">
        <v>50</v>
      </c>
      <c r="N2284" s="26" t="s">
        <v>118</v>
      </c>
      <c r="O2284" s="28">
        <v>45545.38211160879</v>
      </c>
      <c r="P2284" s="26" t="s">
        <v>9016</v>
      </c>
      <c r="Q2284" s="11" t="s">
        <v>67</v>
      </c>
      <c r="R2284" s="11" t="s">
        <v>67</v>
      </c>
      <c r="S2284" s="11" t="s">
        <v>50</v>
      </c>
      <c r="T2284" s="29">
        <v>45540.486144814815</v>
      </c>
      <c r="U2284" s="29">
        <v>45540.66604373843</v>
      </c>
      <c r="V2284" s="29">
        <v>45544.33350262731</v>
      </c>
      <c r="W2284" s="30"/>
      <c r="X2284" s="30"/>
      <c r="Y2284" s="31"/>
      <c r="Z2284" s="31"/>
      <c r="AA2284" s="31" t="s">
        <v>120</v>
      </c>
      <c r="AB2284" s="31" t="s">
        <v>9023</v>
      </c>
      <c r="AC2284" s="31"/>
    </row>
    <row r="2285" ht="18.75" customHeight="1">
      <c r="A2285" s="18" t="s">
        <v>9024</v>
      </c>
      <c r="B2285" s="19" t="s">
        <v>9025</v>
      </c>
      <c r="C2285" s="20">
        <v>34.0</v>
      </c>
      <c r="D2285" s="21" t="s">
        <v>9026</v>
      </c>
      <c r="E2285" s="27" t="s">
        <v>47</v>
      </c>
      <c r="F2285" s="18" t="s">
        <v>48</v>
      </c>
      <c r="G2285" s="32" t="s">
        <v>35</v>
      </c>
      <c r="H2285" s="23" t="s">
        <v>35</v>
      </c>
      <c r="I2285" s="24" t="s">
        <v>36</v>
      </c>
      <c r="J2285" s="25" t="s">
        <v>49</v>
      </c>
      <c r="K2285" s="26" t="s">
        <v>9027</v>
      </c>
      <c r="L2285" s="25">
        <v>11484.0</v>
      </c>
      <c r="M2285" s="27" t="s">
        <v>50</v>
      </c>
      <c r="N2285" s="26" t="s">
        <v>99</v>
      </c>
      <c r="O2285" s="28">
        <v>45548.681603599536</v>
      </c>
      <c r="P2285" s="26" t="s">
        <v>9028</v>
      </c>
      <c r="Q2285" s="11" t="s">
        <v>67</v>
      </c>
      <c r="R2285" s="11" t="s">
        <v>67</v>
      </c>
      <c r="S2285" s="11" t="s">
        <v>50</v>
      </c>
      <c r="T2285" s="29">
        <v>45541.364454236114</v>
      </c>
      <c r="U2285" s="29">
        <v>45547.60526482639</v>
      </c>
      <c r="V2285" s="29">
        <v>45548.57876746528</v>
      </c>
      <c r="W2285" s="30"/>
      <c r="X2285" s="30"/>
      <c r="Y2285" s="31"/>
      <c r="Z2285" s="31"/>
      <c r="AA2285" s="31" t="s">
        <v>108</v>
      </c>
      <c r="AB2285" s="31" t="s">
        <v>9029</v>
      </c>
      <c r="AC2285" s="31"/>
    </row>
    <row r="2286" ht="18.75" customHeight="1">
      <c r="A2286" s="18" t="s">
        <v>9030</v>
      </c>
      <c r="B2286" s="19" t="s">
        <v>9025</v>
      </c>
      <c r="C2286" s="20">
        <v>34.0</v>
      </c>
      <c r="D2286" s="21" t="s">
        <v>9031</v>
      </c>
      <c r="E2286" s="27" t="s">
        <v>47</v>
      </c>
      <c r="F2286" s="18" t="s">
        <v>48</v>
      </c>
      <c r="G2286" s="32" t="s">
        <v>35</v>
      </c>
      <c r="H2286" s="23" t="s">
        <v>35</v>
      </c>
      <c r="I2286" s="24" t="s">
        <v>36</v>
      </c>
      <c r="J2286" s="25" t="s">
        <v>49</v>
      </c>
      <c r="K2286" s="26" t="s">
        <v>9027</v>
      </c>
      <c r="L2286" s="25">
        <v>11484.0</v>
      </c>
      <c r="M2286" s="27" t="s">
        <v>50</v>
      </c>
      <c r="N2286" s="26" t="s">
        <v>99</v>
      </c>
      <c r="O2286" s="28">
        <v>45548.681435300925</v>
      </c>
      <c r="P2286" s="26" t="s">
        <v>9028</v>
      </c>
      <c r="Q2286" s="11" t="s">
        <v>67</v>
      </c>
      <c r="R2286" s="11" t="s">
        <v>67</v>
      </c>
      <c r="S2286" s="11" t="s">
        <v>50</v>
      </c>
      <c r="T2286" s="29">
        <v>45541.36452768519</v>
      </c>
      <c r="U2286" s="29">
        <v>45547.605276539354</v>
      </c>
      <c r="V2286" s="29">
        <v>45548.578779814816</v>
      </c>
      <c r="W2286" s="30"/>
      <c r="X2286" s="30"/>
      <c r="Y2286" s="31"/>
      <c r="Z2286" s="31"/>
      <c r="AA2286" s="31" t="s">
        <v>108</v>
      </c>
      <c r="AB2286" s="31" t="s">
        <v>9032</v>
      </c>
      <c r="AC2286" s="31"/>
    </row>
    <row r="2287" ht="18.75" customHeight="1">
      <c r="A2287" s="142" t="s">
        <v>9033</v>
      </c>
      <c r="B2287" s="19" t="s">
        <v>477</v>
      </c>
      <c r="C2287" s="20">
        <v>0.0</v>
      </c>
      <c r="D2287" s="21" t="s">
        <v>9034</v>
      </c>
      <c r="E2287" s="27" t="s">
        <v>213</v>
      </c>
      <c r="F2287" s="18" t="s">
        <v>33</v>
      </c>
      <c r="G2287" s="18" t="s">
        <v>34</v>
      </c>
      <c r="H2287" s="23" t="s">
        <v>35</v>
      </c>
      <c r="I2287" s="24" t="s">
        <v>36</v>
      </c>
      <c r="J2287" s="34" t="s">
        <v>65</v>
      </c>
      <c r="K2287" s="26" t="s">
        <v>38</v>
      </c>
      <c r="L2287" s="25">
        <v>11468.0</v>
      </c>
      <c r="M2287" s="27" t="s">
        <v>50</v>
      </c>
      <c r="N2287" s="26" t="s">
        <v>3442</v>
      </c>
      <c r="O2287" s="28">
        <v>45547.64046918981</v>
      </c>
      <c r="P2287" s="26" t="s">
        <v>9035</v>
      </c>
      <c r="Q2287" s="11" t="s">
        <v>67</v>
      </c>
      <c r="R2287" s="11" t="s">
        <v>67</v>
      </c>
      <c r="S2287" s="11" t="s">
        <v>101</v>
      </c>
      <c r="T2287" s="29">
        <v>45541.47705059028</v>
      </c>
      <c r="U2287" s="29">
        <v>45546.41697334491</v>
      </c>
      <c r="V2287" s="29">
        <v>45547.36191157407</v>
      </c>
      <c r="W2287" s="30"/>
      <c r="X2287" s="30"/>
      <c r="Y2287" s="31"/>
      <c r="Z2287" s="31"/>
      <c r="AA2287" s="31" t="s">
        <v>94</v>
      </c>
      <c r="AB2287" s="31" t="s">
        <v>9036</v>
      </c>
      <c r="AC2287" s="31"/>
    </row>
    <row r="2288" ht="18.75" customHeight="1">
      <c r="A2288" s="142" t="s">
        <v>9037</v>
      </c>
      <c r="B2288" s="19" t="s">
        <v>89</v>
      </c>
      <c r="C2288" s="20">
        <v>137.0</v>
      </c>
      <c r="D2288" s="21" t="s">
        <v>9038</v>
      </c>
      <c r="E2288" s="27" t="s">
        <v>85</v>
      </c>
      <c r="F2288" s="18" t="s">
        <v>48</v>
      </c>
      <c r="G2288" s="32" t="s">
        <v>35</v>
      </c>
      <c r="H2288" s="23" t="s">
        <v>35</v>
      </c>
      <c r="I2288" s="24" t="s">
        <v>36</v>
      </c>
      <c r="J2288" s="34" t="s">
        <v>65</v>
      </c>
      <c r="K2288" s="26" t="s">
        <v>38</v>
      </c>
      <c r="L2288" s="25">
        <v>11456.0</v>
      </c>
      <c r="M2288" s="27" t="s">
        <v>50</v>
      </c>
      <c r="N2288" s="26" t="s">
        <v>51</v>
      </c>
      <c r="O2288" s="28">
        <v>45546.41843719907</v>
      </c>
      <c r="P2288" s="26" t="s">
        <v>9039</v>
      </c>
      <c r="Q2288" s="11" t="s">
        <v>67</v>
      </c>
      <c r="R2288" s="11" t="s">
        <v>67</v>
      </c>
      <c r="S2288" s="11"/>
      <c r="T2288" s="29">
        <v>45546.41843719907</v>
      </c>
      <c r="U2288" s="29">
        <v>45546.41843719907</v>
      </c>
      <c r="V2288" s="29">
        <v>45546.41843719907</v>
      </c>
      <c r="W2288" s="30"/>
      <c r="X2288" s="30"/>
      <c r="Y2288" s="31"/>
      <c r="Z2288" s="31"/>
      <c r="AA2288" s="31" t="s">
        <v>94</v>
      </c>
      <c r="AB2288" s="31" t="s">
        <v>9040</v>
      </c>
      <c r="AC2288" s="31"/>
    </row>
    <row r="2289" ht="18.75" customHeight="1">
      <c r="A2289" s="18" t="s">
        <v>9041</v>
      </c>
      <c r="B2289" s="19" t="s">
        <v>880</v>
      </c>
      <c r="C2289" s="20">
        <v>137.0</v>
      </c>
      <c r="D2289" s="21" t="s">
        <v>9042</v>
      </c>
      <c r="E2289" s="27" t="s">
        <v>85</v>
      </c>
      <c r="F2289" s="18" t="s">
        <v>48</v>
      </c>
      <c r="G2289" s="32" t="s">
        <v>35</v>
      </c>
      <c r="H2289" s="23" t="s">
        <v>35</v>
      </c>
      <c r="I2289" s="24" t="s">
        <v>36</v>
      </c>
      <c r="J2289" s="34" t="s">
        <v>65</v>
      </c>
      <c r="K2289" s="26" t="s">
        <v>38</v>
      </c>
      <c r="L2289" s="25">
        <v>11443.0</v>
      </c>
      <c r="M2289" s="27" t="s">
        <v>50</v>
      </c>
      <c r="N2289" s="26" t="s">
        <v>5897</v>
      </c>
      <c r="O2289" s="28">
        <v>45544.72287896991</v>
      </c>
      <c r="P2289" s="26" t="s">
        <v>9043</v>
      </c>
      <c r="Q2289" s="11" t="s">
        <v>67</v>
      </c>
      <c r="R2289" s="11" t="s">
        <v>67</v>
      </c>
      <c r="S2289" s="11" t="s">
        <v>50</v>
      </c>
      <c r="T2289" s="29">
        <v>45541.392691712965</v>
      </c>
      <c r="U2289" s="29">
        <v>45541.40739541667</v>
      </c>
      <c r="V2289" s="29">
        <v>45544.34037576389</v>
      </c>
      <c r="W2289" s="30"/>
      <c r="X2289" s="30"/>
      <c r="Y2289" s="31"/>
      <c r="Z2289" s="31"/>
      <c r="AA2289" s="31" t="s">
        <v>94</v>
      </c>
      <c r="AB2289" s="31" t="s">
        <v>9044</v>
      </c>
      <c r="AC2289" s="31"/>
    </row>
    <row r="2290" ht="18.75" customHeight="1">
      <c r="A2290" s="18" t="s">
        <v>9045</v>
      </c>
      <c r="B2290" s="19" t="s">
        <v>880</v>
      </c>
      <c r="C2290" s="20">
        <v>137.0</v>
      </c>
      <c r="D2290" s="21" t="s">
        <v>9046</v>
      </c>
      <c r="E2290" s="27" t="s">
        <v>85</v>
      </c>
      <c r="F2290" s="18" t="s">
        <v>48</v>
      </c>
      <c r="G2290" s="32" t="s">
        <v>35</v>
      </c>
      <c r="H2290" s="23" t="s">
        <v>35</v>
      </c>
      <c r="I2290" s="24" t="s">
        <v>36</v>
      </c>
      <c r="J2290" s="34" t="s">
        <v>65</v>
      </c>
      <c r="K2290" s="26" t="s">
        <v>38</v>
      </c>
      <c r="L2290" s="25">
        <v>11443.0</v>
      </c>
      <c r="M2290" s="27" t="s">
        <v>50</v>
      </c>
      <c r="N2290" s="26" t="s">
        <v>5897</v>
      </c>
      <c r="O2290" s="28">
        <v>45544.72295534722</v>
      </c>
      <c r="P2290" s="26" t="s">
        <v>9043</v>
      </c>
      <c r="Q2290" s="11" t="s">
        <v>67</v>
      </c>
      <c r="R2290" s="11" t="s">
        <v>67</v>
      </c>
      <c r="S2290" s="11" t="s">
        <v>50</v>
      </c>
      <c r="T2290" s="29">
        <v>45541.39283719908</v>
      </c>
      <c r="U2290" s="29">
        <v>45541.4074056713</v>
      </c>
      <c r="V2290" s="29">
        <v>45544.3403871412</v>
      </c>
      <c r="W2290" s="30"/>
      <c r="X2290" s="30"/>
      <c r="Y2290" s="31"/>
      <c r="Z2290" s="31"/>
      <c r="AA2290" s="31" t="s">
        <v>94</v>
      </c>
      <c r="AB2290" s="31" t="s">
        <v>9047</v>
      </c>
      <c r="AC2290" s="31"/>
    </row>
    <row r="2291" ht="18.75" customHeight="1">
      <c r="A2291" s="18" t="s">
        <v>9048</v>
      </c>
      <c r="B2291" s="19" t="s">
        <v>9049</v>
      </c>
      <c r="C2291" s="20">
        <v>0.0</v>
      </c>
      <c r="D2291" s="21" t="s">
        <v>9050</v>
      </c>
      <c r="E2291" s="27" t="s">
        <v>8230</v>
      </c>
      <c r="F2291" s="18" t="s">
        <v>33</v>
      </c>
      <c r="G2291" s="18" t="s">
        <v>34</v>
      </c>
      <c r="H2291" s="23" t="s">
        <v>35</v>
      </c>
      <c r="I2291" s="24" t="s">
        <v>36</v>
      </c>
      <c r="J2291" s="25" t="s">
        <v>92</v>
      </c>
      <c r="K2291" s="26" t="s">
        <v>38</v>
      </c>
      <c r="L2291" s="25">
        <v>11530.0</v>
      </c>
      <c r="M2291" s="27" t="s">
        <v>50</v>
      </c>
      <c r="N2291" s="26" t="s">
        <v>136</v>
      </c>
      <c r="O2291" s="28">
        <v>45555.60416666667</v>
      </c>
      <c r="P2291" s="26" t="s">
        <v>9051</v>
      </c>
      <c r="Q2291" s="11" t="s">
        <v>67</v>
      </c>
      <c r="R2291" s="11" t="s">
        <v>67</v>
      </c>
      <c r="S2291" s="11"/>
      <c r="T2291" s="29">
        <v>45554.60094079861</v>
      </c>
      <c r="U2291" s="29">
        <v>45554.600960972224</v>
      </c>
      <c r="V2291" s="29"/>
      <c r="W2291" s="30"/>
      <c r="X2291" s="30"/>
      <c r="Y2291" s="31"/>
      <c r="Z2291" s="31"/>
      <c r="AA2291" s="31"/>
      <c r="AB2291" s="31" t="s">
        <v>9052</v>
      </c>
      <c r="AC2291" s="31"/>
    </row>
    <row r="2292" ht="18.75" customHeight="1">
      <c r="A2292" s="18" t="s">
        <v>9053</v>
      </c>
      <c r="B2292" s="19" t="s">
        <v>9049</v>
      </c>
      <c r="C2292" s="20">
        <v>0.0</v>
      </c>
      <c r="D2292" s="21" t="s">
        <v>9054</v>
      </c>
      <c r="E2292" s="27" t="s">
        <v>8230</v>
      </c>
      <c r="F2292" s="18" t="s">
        <v>33</v>
      </c>
      <c r="G2292" s="18" t="s">
        <v>34</v>
      </c>
      <c r="H2292" s="23" t="s">
        <v>35</v>
      </c>
      <c r="I2292" s="24" t="s">
        <v>36</v>
      </c>
      <c r="J2292" s="25" t="s">
        <v>92</v>
      </c>
      <c r="K2292" s="26" t="s">
        <v>38</v>
      </c>
      <c r="L2292" s="25">
        <v>11530.0</v>
      </c>
      <c r="M2292" s="27" t="s">
        <v>50</v>
      </c>
      <c r="N2292" s="26" t="s">
        <v>136</v>
      </c>
      <c r="O2292" s="28">
        <v>45555.60416666667</v>
      </c>
      <c r="P2292" s="26" t="s">
        <v>9051</v>
      </c>
      <c r="Q2292" s="11" t="s">
        <v>67</v>
      </c>
      <c r="R2292" s="11" t="s">
        <v>67</v>
      </c>
      <c r="S2292" s="11"/>
      <c r="T2292" s="29">
        <v>45554.600828483795</v>
      </c>
      <c r="U2292" s="29">
        <v>45554.60094350694</v>
      </c>
      <c r="V2292" s="29"/>
      <c r="W2292" s="30"/>
      <c r="X2292" s="30"/>
      <c r="Y2292" s="31"/>
      <c r="Z2292" s="31"/>
      <c r="AA2292" s="31"/>
      <c r="AB2292" s="31" t="s">
        <v>9055</v>
      </c>
      <c r="AC2292" s="31"/>
    </row>
    <row r="2293" ht="18.75" customHeight="1">
      <c r="A2293" s="18" t="s">
        <v>9056</v>
      </c>
      <c r="B2293" s="19" t="s">
        <v>5630</v>
      </c>
      <c r="C2293" s="20">
        <v>11.0</v>
      </c>
      <c r="D2293" s="21" t="s">
        <v>9057</v>
      </c>
      <c r="E2293" s="27" t="s">
        <v>112</v>
      </c>
      <c r="F2293" s="18" t="s">
        <v>48</v>
      </c>
      <c r="G2293" s="32" t="s">
        <v>35</v>
      </c>
      <c r="H2293" s="23" t="s">
        <v>35</v>
      </c>
      <c r="I2293" s="24" t="s">
        <v>36</v>
      </c>
      <c r="J2293" s="25" t="s">
        <v>49</v>
      </c>
      <c r="K2293" s="26" t="s">
        <v>38</v>
      </c>
      <c r="L2293" s="25">
        <v>11445.0</v>
      </c>
      <c r="M2293" s="27" t="s">
        <v>50</v>
      </c>
      <c r="N2293" s="26" t="s">
        <v>99</v>
      </c>
      <c r="O2293" s="28">
        <v>45544.70780402778</v>
      </c>
      <c r="P2293" s="26" t="s">
        <v>9058</v>
      </c>
      <c r="Q2293" s="11" t="s">
        <v>67</v>
      </c>
      <c r="R2293" s="11" t="s">
        <v>67</v>
      </c>
      <c r="S2293" s="11" t="s">
        <v>50</v>
      </c>
      <c r="T2293" s="29">
        <v>45541.46584127315</v>
      </c>
      <c r="U2293" s="29">
        <v>45541.465858599535</v>
      </c>
      <c r="V2293" s="29">
        <v>45544.34816337963</v>
      </c>
      <c r="W2293" s="30"/>
      <c r="X2293" s="30"/>
      <c r="Y2293" s="31"/>
      <c r="Z2293" s="31"/>
      <c r="AA2293" s="31" t="s">
        <v>102</v>
      </c>
      <c r="AB2293" s="31" t="s">
        <v>9059</v>
      </c>
      <c r="AC2293" s="31"/>
    </row>
    <row r="2294" ht="18.75" customHeight="1">
      <c r="A2294" s="18" t="s">
        <v>9060</v>
      </c>
      <c r="B2294" s="19" t="s">
        <v>5630</v>
      </c>
      <c r="C2294" s="20">
        <v>11.0</v>
      </c>
      <c r="D2294" s="21" t="s">
        <v>9061</v>
      </c>
      <c r="E2294" s="27" t="s">
        <v>112</v>
      </c>
      <c r="F2294" s="18" t="s">
        <v>48</v>
      </c>
      <c r="G2294" s="32" t="s">
        <v>35</v>
      </c>
      <c r="H2294" s="23" t="s">
        <v>35</v>
      </c>
      <c r="I2294" s="24" t="s">
        <v>36</v>
      </c>
      <c r="J2294" s="25" t="s">
        <v>49</v>
      </c>
      <c r="K2294" s="26" t="s">
        <v>38</v>
      </c>
      <c r="L2294" s="25">
        <v>11445.0</v>
      </c>
      <c r="M2294" s="27" t="s">
        <v>50</v>
      </c>
      <c r="N2294" s="26" t="s">
        <v>99</v>
      </c>
      <c r="O2294" s="28">
        <v>45544.70772847222</v>
      </c>
      <c r="P2294" s="26" t="s">
        <v>9058</v>
      </c>
      <c r="Q2294" s="11" t="s">
        <v>67</v>
      </c>
      <c r="R2294" s="11" t="s">
        <v>67</v>
      </c>
      <c r="S2294" s="11" t="s">
        <v>50</v>
      </c>
      <c r="T2294" s="29">
        <v>45541.46101559028</v>
      </c>
      <c r="U2294" s="29">
        <v>45541.46584527778</v>
      </c>
      <c r="V2294" s="29">
        <v>45544.34815395833</v>
      </c>
      <c r="W2294" s="30"/>
      <c r="X2294" s="30"/>
      <c r="Y2294" s="31"/>
      <c r="Z2294" s="31"/>
      <c r="AA2294" s="31" t="s">
        <v>102</v>
      </c>
      <c r="AB2294" s="31" t="s">
        <v>9062</v>
      </c>
      <c r="AC2294" s="31"/>
    </row>
    <row r="2295" ht="18.75" customHeight="1">
      <c r="A2295" s="18" t="s">
        <v>9063</v>
      </c>
      <c r="B2295" s="19" t="s">
        <v>4352</v>
      </c>
      <c r="C2295" s="20">
        <v>137.0</v>
      </c>
      <c r="D2295" s="21" t="s">
        <v>9064</v>
      </c>
      <c r="E2295" s="27" t="s">
        <v>85</v>
      </c>
      <c r="F2295" s="18" t="s">
        <v>48</v>
      </c>
      <c r="G2295" s="32" t="s">
        <v>35</v>
      </c>
      <c r="H2295" s="23" t="s">
        <v>35</v>
      </c>
      <c r="I2295" s="24" t="s">
        <v>36</v>
      </c>
      <c r="J2295" s="25" t="s">
        <v>49</v>
      </c>
      <c r="K2295" s="26" t="s">
        <v>38</v>
      </c>
      <c r="L2295" s="25">
        <v>11474.0</v>
      </c>
      <c r="M2295" s="27" t="s">
        <v>50</v>
      </c>
      <c r="N2295" s="26" t="s">
        <v>99</v>
      </c>
      <c r="O2295" s="28">
        <v>45548.682085740744</v>
      </c>
      <c r="P2295" s="26" t="s">
        <v>9065</v>
      </c>
      <c r="Q2295" s="11" t="s">
        <v>67</v>
      </c>
      <c r="R2295" s="11" t="s">
        <v>67</v>
      </c>
      <c r="S2295" s="11" t="s">
        <v>50</v>
      </c>
      <c r="T2295" s="29">
        <v>45541.56250891204</v>
      </c>
      <c r="U2295" s="29">
        <v>45547.46507634259</v>
      </c>
      <c r="V2295" s="29">
        <v>45548.58141128472</v>
      </c>
      <c r="W2295" s="30"/>
      <c r="X2295" s="30"/>
      <c r="Y2295" s="31"/>
      <c r="Z2295" s="31"/>
      <c r="AA2295" s="31" t="s">
        <v>127</v>
      </c>
      <c r="AB2295" s="31" t="s">
        <v>9066</v>
      </c>
      <c r="AC2295" s="31"/>
    </row>
    <row r="2296" ht="18.75" customHeight="1">
      <c r="A2296" s="18" t="s">
        <v>9067</v>
      </c>
      <c r="B2296" s="19" t="s">
        <v>4352</v>
      </c>
      <c r="C2296" s="20">
        <v>137.0</v>
      </c>
      <c r="D2296" s="21" t="s">
        <v>9068</v>
      </c>
      <c r="E2296" s="27" t="s">
        <v>85</v>
      </c>
      <c r="F2296" s="18" t="s">
        <v>48</v>
      </c>
      <c r="G2296" s="32" t="s">
        <v>35</v>
      </c>
      <c r="H2296" s="23" t="s">
        <v>35</v>
      </c>
      <c r="I2296" s="24" t="s">
        <v>36</v>
      </c>
      <c r="J2296" s="25" t="s">
        <v>49</v>
      </c>
      <c r="K2296" s="26" t="s">
        <v>38</v>
      </c>
      <c r="L2296" s="25">
        <v>11474.0</v>
      </c>
      <c r="M2296" s="27" t="s">
        <v>50</v>
      </c>
      <c r="N2296" s="26" t="s">
        <v>99</v>
      </c>
      <c r="O2296" s="28">
        <v>45548.681341250005</v>
      </c>
      <c r="P2296" s="26" t="s">
        <v>9065</v>
      </c>
      <c r="Q2296" s="11" t="s">
        <v>67</v>
      </c>
      <c r="R2296" s="11" t="s">
        <v>67</v>
      </c>
      <c r="S2296" s="11" t="s">
        <v>50</v>
      </c>
      <c r="T2296" s="29">
        <v>45541.56267013889</v>
      </c>
      <c r="U2296" s="29">
        <v>45547.46511716435</v>
      </c>
      <c r="V2296" s="29">
        <v>45548.58142263889</v>
      </c>
      <c r="W2296" s="30"/>
      <c r="X2296" s="30"/>
      <c r="Y2296" s="31"/>
      <c r="Z2296" s="31"/>
      <c r="AA2296" s="31" t="s">
        <v>127</v>
      </c>
      <c r="AB2296" s="31" t="s">
        <v>9069</v>
      </c>
      <c r="AC2296" s="31"/>
    </row>
    <row r="2297" ht="18.75" customHeight="1">
      <c r="A2297" s="18" t="s">
        <v>9070</v>
      </c>
      <c r="B2297" s="19" t="s">
        <v>4352</v>
      </c>
      <c r="C2297" s="20">
        <v>137.0</v>
      </c>
      <c r="D2297" s="21" t="s">
        <v>9071</v>
      </c>
      <c r="E2297" s="27" t="s">
        <v>85</v>
      </c>
      <c r="F2297" s="18" t="s">
        <v>48</v>
      </c>
      <c r="G2297" s="32" t="s">
        <v>35</v>
      </c>
      <c r="H2297" s="23" t="s">
        <v>35</v>
      </c>
      <c r="I2297" s="24" t="s">
        <v>36</v>
      </c>
      <c r="J2297" s="25" t="s">
        <v>49</v>
      </c>
      <c r="K2297" s="26" t="s">
        <v>38</v>
      </c>
      <c r="L2297" s="25">
        <v>11474.0</v>
      </c>
      <c r="M2297" s="27" t="s">
        <v>50</v>
      </c>
      <c r="N2297" s="26" t="s">
        <v>99</v>
      </c>
      <c r="O2297" s="28">
        <v>45548.681276550924</v>
      </c>
      <c r="P2297" s="26" t="s">
        <v>9065</v>
      </c>
      <c r="Q2297" s="11" t="s">
        <v>67</v>
      </c>
      <c r="R2297" s="11" t="s">
        <v>67</v>
      </c>
      <c r="S2297" s="11" t="s">
        <v>50</v>
      </c>
      <c r="T2297" s="29">
        <v>45541.56272072917</v>
      </c>
      <c r="U2297" s="29">
        <v>45547.46512474537</v>
      </c>
      <c r="V2297" s="29">
        <v>45548.5814297801</v>
      </c>
      <c r="W2297" s="30"/>
      <c r="X2297" s="30"/>
      <c r="Y2297" s="31"/>
      <c r="Z2297" s="31"/>
      <c r="AA2297" s="31" t="s">
        <v>127</v>
      </c>
      <c r="AB2297" s="31" t="s">
        <v>9072</v>
      </c>
      <c r="AC2297" s="31"/>
    </row>
    <row r="2298" ht="18.75" customHeight="1">
      <c r="A2298" s="18" t="s">
        <v>9073</v>
      </c>
      <c r="B2298" s="19" t="s">
        <v>4352</v>
      </c>
      <c r="C2298" s="20">
        <v>137.0</v>
      </c>
      <c r="D2298" s="21" t="s">
        <v>9074</v>
      </c>
      <c r="E2298" s="27" t="s">
        <v>85</v>
      </c>
      <c r="F2298" s="18" t="s">
        <v>48</v>
      </c>
      <c r="G2298" s="32" t="s">
        <v>35</v>
      </c>
      <c r="H2298" s="23" t="s">
        <v>35</v>
      </c>
      <c r="I2298" s="24" t="s">
        <v>36</v>
      </c>
      <c r="J2298" s="25" t="s">
        <v>49</v>
      </c>
      <c r="K2298" s="26" t="s">
        <v>38</v>
      </c>
      <c r="L2298" s="25">
        <v>11474.0</v>
      </c>
      <c r="M2298" s="27" t="s">
        <v>50</v>
      </c>
      <c r="N2298" s="26" t="s">
        <v>99</v>
      </c>
      <c r="O2298" s="28">
        <v>45548.681523148145</v>
      </c>
      <c r="P2298" s="26" t="s">
        <v>9065</v>
      </c>
      <c r="Q2298" s="11" t="s">
        <v>67</v>
      </c>
      <c r="R2298" s="11" t="s">
        <v>67</v>
      </c>
      <c r="S2298" s="11" t="s">
        <v>50</v>
      </c>
      <c r="T2298" s="29">
        <v>45541.56276850695</v>
      </c>
      <c r="U2298" s="29">
        <v>45547.465130219905</v>
      </c>
      <c r="V2298" s="29">
        <v>45548.58143521991</v>
      </c>
      <c r="W2298" s="30"/>
      <c r="X2298" s="30"/>
      <c r="Y2298" s="31"/>
      <c r="Z2298" s="31"/>
      <c r="AA2298" s="31" t="s">
        <v>127</v>
      </c>
      <c r="AB2298" s="31" t="s">
        <v>9075</v>
      </c>
      <c r="AC2298" s="31"/>
    </row>
    <row r="2299" ht="18.75" customHeight="1">
      <c r="A2299" s="18" t="s">
        <v>9076</v>
      </c>
      <c r="B2299" s="19" t="s">
        <v>4352</v>
      </c>
      <c r="C2299" s="20">
        <v>137.0</v>
      </c>
      <c r="D2299" s="21" t="s">
        <v>9077</v>
      </c>
      <c r="E2299" s="27" t="s">
        <v>85</v>
      </c>
      <c r="F2299" s="18" t="s">
        <v>48</v>
      </c>
      <c r="G2299" s="32" t="s">
        <v>35</v>
      </c>
      <c r="H2299" s="23" t="s">
        <v>35</v>
      </c>
      <c r="I2299" s="24" t="s">
        <v>36</v>
      </c>
      <c r="J2299" s="25" t="s">
        <v>49</v>
      </c>
      <c r="K2299" s="26" t="s">
        <v>38</v>
      </c>
      <c r="L2299" s="25">
        <v>11474.0</v>
      </c>
      <c r="M2299" s="27" t="s">
        <v>50</v>
      </c>
      <c r="N2299" s="26" t="s">
        <v>99</v>
      </c>
      <c r="O2299" s="28">
        <v>45548.681800983795</v>
      </c>
      <c r="P2299" s="26" t="s">
        <v>9065</v>
      </c>
      <c r="Q2299" s="11" t="s">
        <v>67</v>
      </c>
      <c r="R2299" s="11" t="s">
        <v>67</v>
      </c>
      <c r="S2299" s="11" t="s">
        <v>50</v>
      </c>
      <c r="T2299" s="29">
        <v>45541.56281667824</v>
      </c>
      <c r="U2299" s="29">
        <v>45547.46513564815</v>
      </c>
      <c r="V2299" s="29">
        <v>45548.58144515046</v>
      </c>
      <c r="W2299" s="30"/>
      <c r="X2299" s="30"/>
      <c r="Y2299" s="31"/>
      <c r="Z2299" s="31"/>
      <c r="AA2299" s="31" t="s">
        <v>127</v>
      </c>
      <c r="AB2299" s="31" t="s">
        <v>9078</v>
      </c>
      <c r="AC2299" s="31"/>
    </row>
    <row r="2300" ht="18.75" customHeight="1">
      <c r="A2300" s="142" t="s">
        <v>9079</v>
      </c>
      <c r="B2300" s="19" t="s">
        <v>115</v>
      </c>
      <c r="C2300" s="20">
        <v>0.0</v>
      </c>
      <c r="D2300" s="21" t="s">
        <v>9080</v>
      </c>
      <c r="E2300" s="27" t="s">
        <v>3441</v>
      </c>
      <c r="F2300" s="18" t="s">
        <v>48</v>
      </c>
      <c r="G2300" s="32" t="s">
        <v>35</v>
      </c>
      <c r="H2300" s="23" t="s">
        <v>35</v>
      </c>
      <c r="I2300" s="24" t="s">
        <v>36</v>
      </c>
      <c r="J2300" s="25" t="s">
        <v>92</v>
      </c>
      <c r="K2300" s="26" t="s">
        <v>38</v>
      </c>
      <c r="L2300" s="25">
        <v>11441.0</v>
      </c>
      <c r="M2300" s="27" t="s">
        <v>50</v>
      </c>
      <c r="N2300" s="26" t="s">
        <v>118</v>
      </c>
      <c r="O2300" s="28">
        <v>45541.497372604164</v>
      </c>
      <c r="P2300" s="26" t="s">
        <v>9081</v>
      </c>
      <c r="Q2300" s="11" t="s">
        <v>73</v>
      </c>
      <c r="R2300" s="11" t="s">
        <v>73</v>
      </c>
      <c r="S2300" s="11" t="s">
        <v>50</v>
      </c>
      <c r="T2300" s="29">
        <v>45541.49209824074</v>
      </c>
      <c r="U2300" s="29">
        <v>45541.49209935185</v>
      </c>
      <c r="V2300" s="29">
        <v>45541.49274295139</v>
      </c>
      <c r="W2300" s="30"/>
      <c r="X2300" s="30"/>
      <c r="Y2300" s="31"/>
      <c r="Z2300" s="31"/>
      <c r="AA2300" s="31" t="s">
        <v>120</v>
      </c>
      <c r="AB2300" s="31" t="s">
        <v>9082</v>
      </c>
      <c r="AC2300" s="31"/>
    </row>
    <row r="2301" ht="18.75" customHeight="1">
      <c r="A2301" s="142" t="s">
        <v>9083</v>
      </c>
      <c r="B2301" s="19" t="s">
        <v>1069</v>
      </c>
      <c r="C2301" s="20">
        <v>0.0</v>
      </c>
      <c r="D2301" s="21" t="s">
        <v>9084</v>
      </c>
      <c r="E2301" s="27" t="s">
        <v>3441</v>
      </c>
      <c r="F2301" s="18" t="s">
        <v>48</v>
      </c>
      <c r="G2301" s="32" t="s">
        <v>35</v>
      </c>
      <c r="H2301" s="23" t="s">
        <v>35</v>
      </c>
      <c r="I2301" s="37" t="s">
        <v>36</v>
      </c>
      <c r="J2301" s="34" t="s">
        <v>65</v>
      </c>
      <c r="K2301" s="26" t="s">
        <v>38</v>
      </c>
      <c r="L2301" s="25">
        <v>11650.0</v>
      </c>
      <c r="M2301" s="27" t="s">
        <v>50</v>
      </c>
      <c r="N2301" s="26" t="s">
        <v>8104</v>
      </c>
      <c r="O2301" s="28">
        <v>45573.66249371528</v>
      </c>
      <c r="P2301" s="26" t="s">
        <v>9085</v>
      </c>
      <c r="Q2301" s="11" t="s">
        <v>67</v>
      </c>
      <c r="R2301" s="11" t="s">
        <v>67</v>
      </c>
      <c r="S2301" s="11" t="s">
        <v>50</v>
      </c>
      <c r="T2301" s="29">
        <v>45544.38733431713</v>
      </c>
      <c r="U2301" s="29">
        <v>45523.706352430556</v>
      </c>
      <c r="V2301" s="29">
        <v>45573.50531952546</v>
      </c>
      <c r="W2301" s="30"/>
      <c r="X2301" s="30"/>
      <c r="Y2301" s="31"/>
      <c r="Z2301" s="31"/>
      <c r="AA2301" s="31" t="s">
        <v>94</v>
      </c>
      <c r="AB2301" s="31" t="s">
        <v>9086</v>
      </c>
      <c r="AC2301" s="31"/>
    </row>
    <row r="2302" ht="18.75" customHeight="1">
      <c r="A2302" s="18" t="s">
        <v>9087</v>
      </c>
      <c r="B2302" s="19" t="s">
        <v>5047</v>
      </c>
      <c r="C2302" s="20">
        <v>27.0</v>
      </c>
      <c r="D2302" s="39" t="s">
        <v>9088</v>
      </c>
      <c r="E2302" s="27" t="s">
        <v>72</v>
      </c>
      <c r="F2302" s="18" t="s">
        <v>48</v>
      </c>
      <c r="G2302" s="32" t="s">
        <v>35</v>
      </c>
      <c r="H2302" s="23" t="s">
        <v>35</v>
      </c>
      <c r="I2302" s="37" t="s">
        <v>36</v>
      </c>
      <c r="J2302" s="25" t="s">
        <v>37</v>
      </c>
      <c r="K2302" s="26" t="s">
        <v>38</v>
      </c>
      <c r="L2302" s="25">
        <v>11667.0</v>
      </c>
      <c r="M2302" s="27" t="s">
        <v>50</v>
      </c>
      <c r="N2302" s="26" t="s">
        <v>41</v>
      </c>
      <c r="O2302" s="28">
        <v>45574.60731025463</v>
      </c>
      <c r="P2302" s="26" t="s">
        <v>9089</v>
      </c>
      <c r="Q2302" s="11" t="s">
        <v>67</v>
      </c>
      <c r="R2302" s="11" t="s">
        <v>67</v>
      </c>
      <c r="S2302" s="11" t="s">
        <v>50</v>
      </c>
      <c r="T2302" s="29">
        <v>45544.394097199074</v>
      </c>
      <c r="U2302" s="29">
        <v>45545.39347152778</v>
      </c>
      <c r="V2302" s="29">
        <v>45574.42181635417</v>
      </c>
      <c r="W2302" s="30"/>
      <c r="X2302" s="30"/>
      <c r="Y2302" s="31"/>
      <c r="Z2302" s="31"/>
      <c r="AA2302" s="31" t="s">
        <v>120</v>
      </c>
      <c r="AB2302" s="31" t="s">
        <v>9090</v>
      </c>
      <c r="AC2302" s="31"/>
    </row>
    <row r="2303" ht="18.75" customHeight="1">
      <c r="A2303" s="18" t="s">
        <v>9091</v>
      </c>
      <c r="B2303" s="19" t="s">
        <v>5047</v>
      </c>
      <c r="C2303" s="20">
        <v>27.0</v>
      </c>
      <c r="D2303" s="39" t="s">
        <v>9092</v>
      </c>
      <c r="E2303" s="27" t="s">
        <v>72</v>
      </c>
      <c r="F2303" s="18" t="s">
        <v>48</v>
      </c>
      <c r="G2303" s="32" t="s">
        <v>35</v>
      </c>
      <c r="H2303" s="23" t="s">
        <v>35</v>
      </c>
      <c r="I2303" s="37" t="s">
        <v>36</v>
      </c>
      <c r="J2303" s="25" t="s">
        <v>37</v>
      </c>
      <c r="K2303" s="26" t="s">
        <v>38</v>
      </c>
      <c r="L2303" s="25">
        <v>11667.0</v>
      </c>
      <c r="M2303" s="27" t="s">
        <v>50</v>
      </c>
      <c r="N2303" s="26" t="s">
        <v>41</v>
      </c>
      <c r="O2303" s="28">
        <v>45574.607374976855</v>
      </c>
      <c r="P2303" s="26" t="s">
        <v>9089</v>
      </c>
      <c r="Q2303" s="11" t="s">
        <v>67</v>
      </c>
      <c r="R2303" s="11" t="s">
        <v>67</v>
      </c>
      <c r="S2303" s="11" t="s">
        <v>50</v>
      </c>
      <c r="T2303" s="29">
        <v>45544.39426888889</v>
      </c>
      <c r="U2303" s="29">
        <v>45545.39356296296</v>
      </c>
      <c r="V2303" s="29">
        <v>45574.421826562495</v>
      </c>
      <c r="W2303" s="30"/>
      <c r="X2303" s="30"/>
      <c r="Y2303" s="31"/>
      <c r="Z2303" s="31"/>
      <c r="AA2303" s="31" t="s">
        <v>120</v>
      </c>
      <c r="AB2303" s="31" t="s">
        <v>9093</v>
      </c>
      <c r="AC2303" s="31"/>
    </row>
    <row r="2304" ht="18.75" customHeight="1">
      <c r="A2304" s="18" t="s">
        <v>9094</v>
      </c>
      <c r="B2304" s="19" t="s">
        <v>5047</v>
      </c>
      <c r="C2304" s="20">
        <v>27.0</v>
      </c>
      <c r="D2304" s="39" t="s">
        <v>9095</v>
      </c>
      <c r="E2304" s="27" t="s">
        <v>72</v>
      </c>
      <c r="F2304" s="18" t="s">
        <v>48</v>
      </c>
      <c r="G2304" s="32" t="s">
        <v>35</v>
      </c>
      <c r="H2304" s="23" t="s">
        <v>35</v>
      </c>
      <c r="I2304" s="37" t="s">
        <v>36</v>
      </c>
      <c r="J2304" s="25" t="s">
        <v>37</v>
      </c>
      <c r="K2304" s="26" t="s">
        <v>38</v>
      </c>
      <c r="L2304" s="25">
        <v>11667.0</v>
      </c>
      <c r="M2304" s="27" t="s">
        <v>50</v>
      </c>
      <c r="N2304" s="26" t="s">
        <v>41</v>
      </c>
      <c r="O2304" s="28">
        <v>45574.607515462965</v>
      </c>
      <c r="P2304" s="26" t="s">
        <v>9089</v>
      </c>
      <c r="Q2304" s="11" t="s">
        <v>67</v>
      </c>
      <c r="R2304" s="11" t="s">
        <v>67</v>
      </c>
      <c r="S2304" s="11" t="s">
        <v>50</v>
      </c>
      <c r="T2304" s="29">
        <v>45544.394324270834</v>
      </c>
      <c r="U2304" s="29">
        <v>45545.39357273148</v>
      </c>
      <c r="V2304" s="29">
        <v>45574.42184791667</v>
      </c>
      <c r="W2304" s="30"/>
      <c r="X2304" s="30"/>
      <c r="Y2304" s="31"/>
      <c r="Z2304" s="31"/>
      <c r="AA2304" s="31" t="s">
        <v>120</v>
      </c>
      <c r="AB2304" s="31" t="s">
        <v>9096</v>
      </c>
      <c r="AC2304" s="31"/>
    </row>
    <row r="2305" ht="18.75" customHeight="1">
      <c r="A2305" s="18" t="s">
        <v>9097</v>
      </c>
      <c r="B2305" s="19" t="s">
        <v>5047</v>
      </c>
      <c r="C2305" s="20">
        <v>90.0</v>
      </c>
      <c r="D2305" s="21" t="s">
        <v>9098</v>
      </c>
      <c r="E2305" s="27" t="s">
        <v>91</v>
      </c>
      <c r="F2305" s="18" t="s">
        <v>48</v>
      </c>
      <c r="G2305" s="32" t="s">
        <v>35</v>
      </c>
      <c r="H2305" s="23" t="s">
        <v>35</v>
      </c>
      <c r="I2305" s="37" t="s">
        <v>36</v>
      </c>
      <c r="J2305" s="25" t="s">
        <v>37</v>
      </c>
      <c r="K2305" s="26" t="s">
        <v>38</v>
      </c>
      <c r="L2305" s="25">
        <v>11667.0</v>
      </c>
      <c r="M2305" s="27" t="s">
        <v>50</v>
      </c>
      <c r="N2305" s="26" t="s">
        <v>41</v>
      </c>
      <c r="O2305" s="28">
        <v>45574.60744527778</v>
      </c>
      <c r="P2305" s="26" t="s">
        <v>9089</v>
      </c>
      <c r="Q2305" s="11" t="s">
        <v>67</v>
      </c>
      <c r="R2305" s="11" t="s">
        <v>67</v>
      </c>
      <c r="S2305" s="11" t="s">
        <v>50</v>
      </c>
      <c r="T2305" s="29">
        <v>45544.39447451389</v>
      </c>
      <c r="U2305" s="29">
        <v>45545.39356672454</v>
      </c>
      <c r="V2305" s="29">
        <v>45574.42183730324</v>
      </c>
      <c r="W2305" s="30"/>
      <c r="X2305" s="30"/>
      <c r="Y2305" s="31"/>
      <c r="Z2305" s="31"/>
      <c r="AA2305" s="31" t="s">
        <v>120</v>
      </c>
      <c r="AB2305" s="31" t="s">
        <v>9099</v>
      </c>
      <c r="AC2305" s="31"/>
    </row>
    <row r="2306" ht="18.75" customHeight="1">
      <c r="A2306" s="18" t="s">
        <v>9100</v>
      </c>
      <c r="B2306" s="19" t="s">
        <v>9101</v>
      </c>
      <c r="C2306" s="20">
        <v>1.0</v>
      </c>
      <c r="D2306" s="21" t="s">
        <v>9102</v>
      </c>
      <c r="E2306" s="27" t="s">
        <v>3395</v>
      </c>
      <c r="F2306" s="18" t="s">
        <v>48</v>
      </c>
      <c r="G2306" s="32" t="s">
        <v>35</v>
      </c>
      <c r="H2306" s="23" t="s">
        <v>35</v>
      </c>
      <c r="I2306" s="37" t="s">
        <v>36</v>
      </c>
      <c r="J2306" s="34" t="s">
        <v>65</v>
      </c>
      <c r="K2306" s="26" t="s">
        <v>38</v>
      </c>
      <c r="L2306" s="25">
        <v>11641.0</v>
      </c>
      <c r="M2306" s="27" t="s">
        <v>50</v>
      </c>
      <c r="N2306" s="26" t="s">
        <v>8104</v>
      </c>
      <c r="O2306" s="28">
        <v>45573.66249371528</v>
      </c>
      <c r="P2306" s="26" t="s">
        <v>9103</v>
      </c>
      <c r="Q2306" s="11" t="s">
        <v>67</v>
      </c>
      <c r="R2306" s="11" t="s">
        <v>67</v>
      </c>
      <c r="S2306" s="11" t="s">
        <v>50</v>
      </c>
      <c r="T2306" s="29">
        <v>45544.39793247685</v>
      </c>
      <c r="U2306" s="29">
        <v>45546.419172442125</v>
      </c>
      <c r="V2306" s="29">
        <v>45573.50172226852</v>
      </c>
      <c r="W2306" s="30"/>
      <c r="X2306" s="30"/>
      <c r="Y2306" s="31"/>
      <c r="Z2306" s="31"/>
      <c r="AA2306" s="31" t="s">
        <v>94</v>
      </c>
      <c r="AB2306" s="31" t="s">
        <v>9104</v>
      </c>
      <c r="AC2306" s="31"/>
    </row>
    <row r="2307" ht="18.75" customHeight="1">
      <c r="A2307" s="18" t="s">
        <v>9105</v>
      </c>
      <c r="B2307" s="19" t="s">
        <v>9101</v>
      </c>
      <c r="C2307" s="20">
        <v>0.0</v>
      </c>
      <c r="D2307" s="21" t="s">
        <v>9106</v>
      </c>
      <c r="E2307" s="27" t="s">
        <v>3441</v>
      </c>
      <c r="F2307" s="18" t="s">
        <v>48</v>
      </c>
      <c r="G2307" s="32" t="s">
        <v>35</v>
      </c>
      <c r="H2307" s="23" t="s">
        <v>35</v>
      </c>
      <c r="I2307" s="37" t="s">
        <v>36</v>
      </c>
      <c r="J2307" s="34" t="s">
        <v>65</v>
      </c>
      <c r="K2307" s="26" t="s">
        <v>38</v>
      </c>
      <c r="L2307" s="25">
        <v>11641.0</v>
      </c>
      <c r="M2307" s="27" t="s">
        <v>50</v>
      </c>
      <c r="N2307" s="26" t="s">
        <v>8104</v>
      </c>
      <c r="O2307" s="28">
        <v>45573.66249371528</v>
      </c>
      <c r="P2307" s="26" t="s">
        <v>9103</v>
      </c>
      <c r="Q2307" s="11" t="s">
        <v>67</v>
      </c>
      <c r="R2307" s="11" t="s">
        <v>67</v>
      </c>
      <c r="S2307" s="11" t="s">
        <v>50</v>
      </c>
      <c r="T2307" s="29">
        <v>45544.39810097222</v>
      </c>
      <c r="U2307" s="29">
        <v>45546.419218993055</v>
      </c>
      <c r="V2307" s="29">
        <v>45573.50534108796</v>
      </c>
      <c r="W2307" s="30"/>
      <c r="X2307" s="30"/>
      <c r="Y2307" s="31"/>
      <c r="Z2307" s="31"/>
      <c r="AA2307" s="31" t="s">
        <v>94</v>
      </c>
      <c r="AB2307" s="31" t="s">
        <v>9107</v>
      </c>
      <c r="AC2307" s="31"/>
    </row>
    <row r="2308" ht="18.75" customHeight="1">
      <c r="A2308" s="142" t="s">
        <v>9108</v>
      </c>
      <c r="B2308" s="19" t="s">
        <v>96</v>
      </c>
      <c r="C2308" s="20">
        <v>0.0</v>
      </c>
      <c r="D2308" s="21" t="s">
        <v>9109</v>
      </c>
      <c r="E2308" s="27" t="s">
        <v>7436</v>
      </c>
      <c r="F2308" s="18" t="s">
        <v>33</v>
      </c>
      <c r="G2308" s="18" t="s">
        <v>34</v>
      </c>
      <c r="H2308" s="23" t="s">
        <v>35</v>
      </c>
      <c r="I2308" s="37" t="s">
        <v>36</v>
      </c>
      <c r="J2308" s="25" t="s">
        <v>49</v>
      </c>
      <c r="K2308" s="26" t="s">
        <v>38</v>
      </c>
      <c r="L2308" s="25">
        <v>12666.0</v>
      </c>
      <c r="M2308" s="27" t="s">
        <v>50</v>
      </c>
      <c r="N2308" s="26" t="s">
        <v>143</v>
      </c>
      <c r="O2308" s="140">
        <v>45712.62713337963</v>
      </c>
      <c r="P2308" s="26" t="s">
        <v>9110</v>
      </c>
      <c r="Q2308" s="11" t="s">
        <v>75</v>
      </c>
      <c r="R2308" s="11" t="s">
        <v>75</v>
      </c>
      <c r="S2308" s="11"/>
      <c r="T2308" s="29">
        <v>45691.67563751157</v>
      </c>
      <c r="U2308" s="29">
        <v>45691.67713431713</v>
      </c>
      <c r="V2308" s="29"/>
      <c r="W2308" s="30"/>
      <c r="X2308" s="30"/>
      <c r="Y2308" s="31"/>
      <c r="Z2308" s="31"/>
      <c r="AA2308" s="31" t="s">
        <v>102</v>
      </c>
      <c r="AB2308" s="31" t="s">
        <v>9111</v>
      </c>
      <c r="AC2308" s="31"/>
    </row>
    <row r="2309" ht="18.75" customHeight="1">
      <c r="A2309" s="142" t="s">
        <v>9112</v>
      </c>
      <c r="B2309" s="19" t="s">
        <v>96</v>
      </c>
      <c r="C2309" s="20">
        <v>0.0</v>
      </c>
      <c r="D2309" s="135" t="s">
        <v>9113</v>
      </c>
      <c r="E2309" s="27" t="s">
        <v>268</v>
      </c>
      <c r="F2309" s="18" t="s">
        <v>33</v>
      </c>
      <c r="G2309" s="18" t="s">
        <v>34</v>
      </c>
      <c r="H2309" s="23" t="s">
        <v>35</v>
      </c>
      <c r="I2309" s="37" t="s">
        <v>36</v>
      </c>
      <c r="J2309" s="25" t="s">
        <v>49</v>
      </c>
      <c r="K2309" s="26" t="s">
        <v>38</v>
      </c>
      <c r="L2309" s="25">
        <v>12645.0</v>
      </c>
      <c r="M2309" s="27" t="s">
        <v>50</v>
      </c>
      <c r="N2309" s="26" t="s">
        <v>143</v>
      </c>
      <c r="O2309" s="140">
        <v>45708.595622719906</v>
      </c>
      <c r="P2309" s="26" t="s">
        <v>9114</v>
      </c>
      <c r="Q2309" s="11" t="s">
        <v>75</v>
      </c>
      <c r="R2309" s="11" t="s">
        <v>75</v>
      </c>
      <c r="S2309" s="11" t="s">
        <v>101</v>
      </c>
      <c r="T2309" s="29">
        <v>45691.67573377315</v>
      </c>
      <c r="U2309" s="29">
        <v>45691.677249375</v>
      </c>
      <c r="V2309" s="141">
        <v>45702.43075237269</v>
      </c>
      <c r="W2309" s="30"/>
      <c r="X2309" s="30"/>
      <c r="Y2309" s="31"/>
      <c r="Z2309" s="31"/>
      <c r="AA2309" s="31" t="s">
        <v>102</v>
      </c>
      <c r="AB2309" s="31" t="s">
        <v>9115</v>
      </c>
      <c r="AC2309" s="31"/>
    </row>
    <row r="2310" ht="18.75" customHeight="1">
      <c r="A2310" s="142" t="s">
        <v>9116</v>
      </c>
      <c r="B2310" s="19" t="s">
        <v>96</v>
      </c>
      <c r="C2310" s="20">
        <v>0.0</v>
      </c>
      <c r="D2310" s="80" t="s">
        <v>983</v>
      </c>
      <c r="E2310" s="27" t="s">
        <v>165</v>
      </c>
      <c r="F2310" s="18" t="s">
        <v>33</v>
      </c>
      <c r="G2310" s="18" t="s">
        <v>34</v>
      </c>
      <c r="H2310" s="23" t="s">
        <v>35</v>
      </c>
      <c r="I2310" s="24" t="s">
        <v>984</v>
      </c>
      <c r="J2310" s="25" t="s">
        <v>49</v>
      </c>
      <c r="K2310" s="26" t="s">
        <v>38</v>
      </c>
      <c r="L2310" s="25">
        <v>-11496.0</v>
      </c>
      <c r="M2310" s="27"/>
      <c r="N2310" s="26"/>
      <c r="O2310" s="28"/>
      <c r="P2310" s="26" t="s">
        <v>9117</v>
      </c>
      <c r="Q2310" s="11" t="s">
        <v>67</v>
      </c>
      <c r="R2310" s="11" t="s">
        <v>67</v>
      </c>
      <c r="S2310" s="11"/>
      <c r="T2310" s="29">
        <v>45545.361769062496</v>
      </c>
      <c r="U2310" s="29">
        <v>45551.62711996528</v>
      </c>
      <c r="V2310" s="29"/>
      <c r="W2310" s="30"/>
      <c r="X2310" s="30"/>
      <c r="Y2310" s="31"/>
      <c r="Z2310" s="31"/>
      <c r="AA2310" s="31" t="s">
        <v>102</v>
      </c>
      <c r="AB2310" s="31" t="s">
        <v>9118</v>
      </c>
      <c r="AC2310" s="31"/>
    </row>
    <row r="2311" ht="18.75" customHeight="1">
      <c r="A2311" s="142" t="s">
        <v>9119</v>
      </c>
      <c r="B2311" s="19" t="s">
        <v>96</v>
      </c>
      <c r="C2311" s="20">
        <v>0.0</v>
      </c>
      <c r="D2311" s="21" t="s">
        <v>9120</v>
      </c>
      <c r="E2311" s="27" t="s">
        <v>213</v>
      </c>
      <c r="F2311" s="18" t="s">
        <v>33</v>
      </c>
      <c r="G2311" s="18" t="s">
        <v>34</v>
      </c>
      <c r="H2311" s="23" t="s">
        <v>35</v>
      </c>
      <c r="I2311" s="37" t="s">
        <v>36</v>
      </c>
      <c r="J2311" s="25" t="s">
        <v>49</v>
      </c>
      <c r="K2311" s="26" t="s">
        <v>38</v>
      </c>
      <c r="L2311" s="25">
        <v>11783.0</v>
      </c>
      <c r="M2311" s="27" t="s">
        <v>50</v>
      </c>
      <c r="N2311" s="26" t="s">
        <v>99</v>
      </c>
      <c r="O2311" s="28">
        <v>45588.69250121528</v>
      </c>
      <c r="P2311" s="26" t="s">
        <v>9121</v>
      </c>
      <c r="Q2311" s="11" t="s">
        <v>67</v>
      </c>
      <c r="R2311" s="11" t="s">
        <v>67</v>
      </c>
      <c r="S2311" s="11" t="s">
        <v>101</v>
      </c>
      <c r="T2311" s="29">
        <v>45545.36276512731</v>
      </c>
      <c r="U2311" s="29">
        <v>45574.70455440972</v>
      </c>
      <c r="V2311" s="29">
        <v>45588.3811162037</v>
      </c>
      <c r="W2311" s="30"/>
      <c r="X2311" s="30"/>
      <c r="Y2311" s="31"/>
      <c r="Z2311" s="31"/>
      <c r="AA2311" s="31" t="s">
        <v>102</v>
      </c>
      <c r="AB2311" s="31" t="s">
        <v>9122</v>
      </c>
      <c r="AC2311" s="31"/>
    </row>
    <row r="2312" ht="18.75" customHeight="1">
      <c r="A2312" s="142" t="s">
        <v>9123</v>
      </c>
      <c r="B2312" s="19" t="s">
        <v>96</v>
      </c>
      <c r="C2312" s="20">
        <v>0.0</v>
      </c>
      <c r="D2312" s="21" t="s">
        <v>9124</v>
      </c>
      <c r="E2312" s="22" t="s">
        <v>98</v>
      </c>
      <c r="F2312" s="18" t="s">
        <v>33</v>
      </c>
      <c r="G2312" s="18" t="s">
        <v>34</v>
      </c>
      <c r="H2312" s="23" t="s">
        <v>35</v>
      </c>
      <c r="I2312" s="24" t="s">
        <v>36</v>
      </c>
      <c r="J2312" s="25" t="s">
        <v>49</v>
      </c>
      <c r="K2312" s="26" t="s">
        <v>38</v>
      </c>
      <c r="L2312" s="25">
        <v>11490.0</v>
      </c>
      <c r="M2312" s="27" t="s">
        <v>50</v>
      </c>
      <c r="N2312" s="26" t="s">
        <v>99</v>
      </c>
      <c r="O2312" s="28">
        <v>45551.59590796297</v>
      </c>
      <c r="P2312" s="26" t="s">
        <v>9125</v>
      </c>
      <c r="Q2312" s="11" t="s">
        <v>67</v>
      </c>
      <c r="R2312" s="11" t="s">
        <v>67</v>
      </c>
      <c r="S2312" s="11" t="s">
        <v>101</v>
      </c>
      <c r="T2312" s="29">
        <v>45545.363645150464</v>
      </c>
      <c r="U2312" s="29">
        <v>45545.39694395833</v>
      </c>
      <c r="V2312" s="29">
        <v>45548.58767446759</v>
      </c>
      <c r="W2312" s="30"/>
      <c r="X2312" s="30"/>
      <c r="Y2312" s="31"/>
      <c r="Z2312" s="31"/>
      <c r="AA2312" s="31" t="s">
        <v>102</v>
      </c>
      <c r="AB2312" s="31" t="s">
        <v>9126</v>
      </c>
      <c r="AC2312" s="31"/>
    </row>
    <row r="2313" ht="18.75" customHeight="1">
      <c r="A2313" s="18" t="s">
        <v>9127</v>
      </c>
      <c r="B2313" s="19" t="s">
        <v>96</v>
      </c>
      <c r="C2313" s="20">
        <v>0.0</v>
      </c>
      <c r="D2313" s="21" t="s">
        <v>9128</v>
      </c>
      <c r="E2313" s="27" t="s">
        <v>79</v>
      </c>
      <c r="F2313" s="18" t="s">
        <v>33</v>
      </c>
      <c r="G2313" s="18" t="s">
        <v>34</v>
      </c>
      <c r="H2313" s="23" t="s">
        <v>35</v>
      </c>
      <c r="I2313" s="37" t="s">
        <v>36</v>
      </c>
      <c r="J2313" s="25" t="s">
        <v>49</v>
      </c>
      <c r="K2313" s="26" t="s">
        <v>38</v>
      </c>
      <c r="L2313" s="25">
        <v>12151.0</v>
      </c>
      <c r="M2313" s="27" t="s">
        <v>50</v>
      </c>
      <c r="N2313" s="26" t="s">
        <v>99</v>
      </c>
      <c r="O2313" s="28">
        <v>45632.591387754626</v>
      </c>
      <c r="P2313" s="26" t="s">
        <v>9129</v>
      </c>
      <c r="Q2313" s="11" t="s">
        <v>67</v>
      </c>
      <c r="R2313" s="11" t="s">
        <v>67</v>
      </c>
      <c r="S2313" s="11" t="s">
        <v>101</v>
      </c>
      <c r="T2313" s="29">
        <v>45629.41240233796</v>
      </c>
      <c r="U2313" s="29">
        <v>45629.412552662034</v>
      </c>
      <c r="V2313" s="29">
        <v>45631.70547405093</v>
      </c>
      <c r="W2313" s="30"/>
      <c r="X2313" s="148">
        <v>45629.0</v>
      </c>
      <c r="Y2313" s="31"/>
      <c r="Z2313" s="31"/>
      <c r="AA2313" s="31" t="s">
        <v>102</v>
      </c>
      <c r="AB2313" s="31" t="s">
        <v>9130</v>
      </c>
      <c r="AC2313" s="31"/>
    </row>
    <row r="2314" ht="18.75" customHeight="1">
      <c r="A2314" s="18" t="s">
        <v>9131</v>
      </c>
      <c r="B2314" s="19" t="s">
        <v>96</v>
      </c>
      <c r="C2314" s="20">
        <v>0.0</v>
      </c>
      <c r="D2314" s="21" t="s">
        <v>829</v>
      </c>
      <c r="E2314" s="27" t="s">
        <v>79</v>
      </c>
      <c r="F2314" s="18" t="s">
        <v>33</v>
      </c>
      <c r="G2314" s="18" t="s">
        <v>34</v>
      </c>
      <c r="H2314" s="23" t="s">
        <v>35</v>
      </c>
      <c r="I2314" s="37" t="s">
        <v>36</v>
      </c>
      <c r="J2314" s="25" t="s">
        <v>49</v>
      </c>
      <c r="K2314" s="26" t="s">
        <v>38</v>
      </c>
      <c r="L2314" s="25">
        <v>12151.0</v>
      </c>
      <c r="M2314" s="27" t="s">
        <v>50</v>
      </c>
      <c r="N2314" s="26" t="s">
        <v>99</v>
      </c>
      <c r="O2314" s="28">
        <v>45632.59131885417</v>
      </c>
      <c r="P2314" s="26" t="s">
        <v>9129</v>
      </c>
      <c r="Q2314" s="11" t="s">
        <v>67</v>
      </c>
      <c r="R2314" s="11" t="s">
        <v>67</v>
      </c>
      <c r="S2314" s="11" t="s">
        <v>101</v>
      </c>
      <c r="T2314" s="29">
        <v>45629.41250180556</v>
      </c>
      <c r="U2314" s="29">
        <v>45629.41258087963</v>
      </c>
      <c r="V2314" s="29">
        <v>45631.70548247686</v>
      </c>
      <c r="W2314" s="30"/>
      <c r="X2314" s="148">
        <v>45629.0</v>
      </c>
      <c r="Y2314" s="31"/>
      <c r="Z2314" s="31"/>
      <c r="AA2314" s="31" t="s">
        <v>102</v>
      </c>
      <c r="AB2314" s="31" t="s">
        <v>9132</v>
      </c>
      <c r="AC2314" s="31"/>
    </row>
    <row r="2315" ht="18.75" customHeight="1">
      <c r="A2315" s="142" t="s">
        <v>9133</v>
      </c>
      <c r="B2315" s="19" t="s">
        <v>96</v>
      </c>
      <c r="C2315" s="20">
        <v>0.0</v>
      </c>
      <c r="D2315" s="135" t="s">
        <v>9134</v>
      </c>
      <c r="E2315" s="27" t="s">
        <v>165</v>
      </c>
      <c r="F2315" s="18" t="s">
        <v>33</v>
      </c>
      <c r="G2315" s="18" t="s">
        <v>34</v>
      </c>
      <c r="H2315" s="23" t="s">
        <v>35</v>
      </c>
      <c r="I2315" s="37" t="s">
        <v>36</v>
      </c>
      <c r="J2315" s="25" t="s">
        <v>49</v>
      </c>
      <c r="K2315" s="26" t="s">
        <v>38</v>
      </c>
      <c r="L2315" s="25">
        <v>12149.0</v>
      </c>
      <c r="M2315" s="27" t="s">
        <v>50</v>
      </c>
      <c r="N2315" s="26" t="s">
        <v>99</v>
      </c>
      <c r="O2315" s="28">
        <v>45632.59125315972</v>
      </c>
      <c r="P2315" s="26" t="s">
        <v>9135</v>
      </c>
      <c r="Q2315" s="11" t="s">
        <v>67</v>
      </c>
      <c r="R2315" s="11" t="s">
        <v>67</v>
      </c>
      <c r="S2315" s="11" t="s">
        <v>101</v>
      </c>
      <c r="T2315" s="29">
        <v>45629.41288392361</v>
      </c>
      <c r="U2315" s="29">
        <v>45629.412930509265</v>
      </c>
      <c r="V2315" s="29">
        <v>45631.57663989584</v>
      </c>
      <c r="W2315" s="30"/>
      <c r="X2315" s="148">
        <v>45629.0</v>
      </c>
      <c r="Y2315" s="31"/>
      <c r="Z2315" s="31"/>
      <c r="AA2315" s="31" t="s">
        <v>102</v>
      </c>
      <c r="AB2315" s="31" t="s">
        <v>9136</v>
      </c>
      <c r="AC2315" s="31"/>
    </row>
    <row r="2316" ht="18.75" customHeight="1">
      <c r="A2316" s="142" t="s">
        <v>9137</v>
      </c>
      <c r="B2316" s="19" t="s">
        <v>3377</v>
      </c>
      <c r="C2316" s="20">
        <v>11.0</v>
      </c>
      <c r="D2316" s="21" t="s">
        <v>9138</v>
      </c>
      <c r="E2316" s="27" t="s">
        <v>112</v>
      </c>
      <c r="F2316" s="18" t="s">
        <v>48</v>
      </c>
      <c r="G2316" s="32" t="s">
        <v>35</v>
      </c>
      <c r="H2316" s="23" t="s">
        <v>35</v>
      </c>
      <c r="I2316" s="24" t="s">
        <v>36</v>
      </c>
      <c r="J2316" s="34" t="s">
        <v>65</v>
      </c>
      <c r="K2316" s="26" t="s">
        <v>38</v>
      </c>
      <c r="L2316" s="25">
        <v>11455.0</v>
      </c>
      <c r="M2316" s="27" t="s">
        <v>50</v>
      </c>
      <c r="N2316" s="26" t="s">
        <v>51</v>
      </c>
      <c r="O2316" s="28">
        <v>45546.348272523144</v>
      </c>
      <c r="P2316" s="26" t="s">
        <v>9139</v>
      </c>
      <c r="Q2316" s="11" t="s">
        <v>67</v>
      </c>
      <c r="R2316" s="11" t="s">
        <v>67</v>
      </c>
      <c r="S2316" s="11"/>
      <c r="T2316" s="29">
        <v>45546.348272523144</v>
      </c>
      <c r="U2316" s="29">
        <v>45546.348272523144</v>
      </c>
      <c r="V2316" s="29">
        <v>45546.348272523144</v>
      </c>
      <c r="W2316" s="30"/>
      <c r="X2316" s="30"/>
      <c r="Y2316" s="31"/>
      <c r="Z2316" s="31"/>
      <c r="AA2316" s="31" t="s">
        <v>94</v>
      </c>
      <c r="AB2316" s="31" t="s">
        <v>9140</v>
      </c>
      <c r="AC2316" s="31"/>
    </row>
    <row r="2317" ht="18.75" customHeight="1">
      <c r="A2317" s="18" t="s">
        <v>9141</v>
      </c>
      <c r="B2317" s="19" t="s">
        <v>3121</v>
      </c>
      <c r="C2317" s="20">
        <v>1.0</v>
      </c>
      <c r="D2317" s="21" t="s">
        <v>9142</v>
      </c>
      <c r="E2317" s="27" t="s">
        <v>3395</v>
      </c>
      <c r="F2317" s="18" t="s">
        <v>48</v>
      </c>
      <c r="G2317" s="32" t="s">
        <v>35</v>
      </c>
      <c r="H2317" s="23" t="s">
        <v>35</v>
      </c>
      <c r="I2317" s="37" t="s">
        <v>36</v>
      </c>
      <c r="J2317" s="25" t="s">
        <v>92</v>
      </c>
      <c r="K2317" s="26" t="s">
        <v>38</v>
      </c>
      <c r="L2317" s="25">
        <v>11680.0</v>
      </c>
      <c r="M2317" s="27" t="s">
        <v>50</v>
      </c>
      <c r="N2317" s="26" t="s">
        <v>136</v>
      </c>
      <c r="O2317" s="28">
        <v>45579.64583333333</v>
      </c>
      <c r="P2317" s="26" t="s">
        <v>9143</v>
      </c>
      <c r="Q2317" s="11" t="s">
        <v>67</v>
      </c>
      <c r="R2317" s="11" t="s">
        <v>67</v>
      </c>
      <c r="S2317" s="11" t="s">
        <v>50</v>
      </c>
      <c r="T2317" s="29">
        <v>45545.39171048611</v>
      </c>
      <c r="U2317" s="29">
        <v>45545.68475234954</v>
      </c>
      <c r="V2317" s="29">
        <v>45574.36365378472</v>
      </c>
      <c r="W2317" s="30"/>
      <c r="X2317" s="30"/>
      <c r="Y2317" s="31"/>
      <c r="Z2317" s="31"/>
      <c r="AA2317" s="31" t="s">
        <v>120</v>
      </c>
      <c r="AB2317" s="31" t="s">
        <v>9144</v>
      </c>
      <c r="AC2317" s="31"/>
    </row>
    <row r="2318" ht="18.75" customHeight="1">
      <c r="A2318" s="18" t="s">
        <v>9145</v>
      </c>
      <c r="B2318" s="19" t="s">
        <v>3121</v>
      </c>
      <c r="C2318" s="20">
        <v>34.0</v>
      </c>
      <c r="D2318" s="21" t="s">
        <v>9146</v>
      </c>
      <c r="E2318" s="27" t="s">
        <v>47</v>
      </c>
      <c r="F2318" s="18" t="s">
        <v>48</v>
      </c>
      <c r="G2318" s="32" t="s">
        <v>35</v>
      </c>
      <c r="H2318" s="23" t="s">
        <v>35</v>
      </c>
      <c r="I2318" s="24" t="s">
        <v>36</v>
      </c>
      <c r="J2318" s="25" t="s">
        <v>92</v>
      </c>
      <c r="K2318" s="26" t="s">
        <v>38</v>
      </c>
      <c r="L2318" s="25">
        <v>11573.0</v>
      </c>
      <c r="M2318" s="27" t="s">
        <v>50</v>
      </c>
      <c r="N2318" s="26" t="s">
        <v>9147</v>
      </c>
      <c r="O2318" s="28">
        <v>45565.658272569446</v>
      </c>
      <c r="P2318" s="26" t="s">
        <v>9143</v>
      </c>
      <c r="Q2318" s="11" t="s">
        <v>67</v>
      </c>
      <c r="R2318" s="11" t="s">
        <v>67</v>
      </c>
      <c r="S2318" s="11" t="s">
        <v>50</v>
      </c>
      <c r="T2318" s="29">
        <v>45545.39194027778</v>
      </c>
      <c r="U2318" s="29">
        <v>45545.68467564815</v>
      </c>
      <c r="V2318" s="29">
        <v>45546.44464956019</v>
      </c>
      <c r="W2318" s="30"/>
      <c r="X2318" s="30"/>
      <c r="Y2318" s="31"/>
      <c r="Z2318" s="31"/>
      <c r="AA2318" s="31" t="s">
        <v>120</v>
      </c>
      <c r="AB2318" s="31" t="s">
        <v>9148</v>
      </c>
      <c r="AC2318" s="31"/>
    </row>
    <row r="2319" ht="18.75" customHeight="1">
      <c r="A2319" s="142" t="s">
        <v>9149</v>
      </c>
      <c r="B2319" s="19" t="s">
        <v>1069</v>
      </c>
      <c r="C2319" s="20">
        <v>34.0</v>
      </c>
      <c r="D2319" s="21" t="s">
        <v>9150</v>
      </c>
      <c r="E2319" s="27" t="s">
        <v>47</v>
      </c>
      <c r="F2319" s="18" t="s">
        <v>48</v>
      </c>
      <c r="G2319" s="32" t="s">
        <v>35</v>
      </c>
      <c r="H2319" s="23" t="s">
        <v>35</v>
      </c>
      <c r="I2319" s="24" t="s">
        <v>36</v>
      </c>
      <c r="J2319" s="25" t="s">
        <v>49</v>
      </c>
      <c r="K2319" s="26" t="s">
        <v>38</v>
      </c>
      <c r="L2319" s="25">
        <v>11461.0</v>
      </c>
      <c r="M2319" s="27" t="s">
        <v>50</v>
      </c>
      <c r="N2319" s="26" t="s">
        <v>51</v>
      </c>
      <c r="O2319" s="28">
        <v>45546.46360857639</v>
      </c>
      <c r="P2319" s="26" t="s">
        <v>9151</v>
      </c>
      <c r="Q2319" s="11" t="s">
        <v>67</v>
      </c>
      <c r="R2319" s="11" t="s">
        <v>67</v>
      </c>
      <c r="S2319" s="11"/>
      <c r="T2319" s="29">
        <v>45546.46360857639</v>
      </c>
      <c r="U2319" s="29">
        <v>45546.46360857639</v>
      </c>
      <c r="V2319" s="29">
        <v>45546.46360857639</v>
      </c>
      <c r="W2319" s="30"/>
      <c r="X2319" s="30"/>
      <c r="Y2319" s="31"/>
      <c r="Z2319" s="31"/>
      <c r="AA2319" s="31" t="s">
        <v>94</v>
      </c>
      <c r="AB2319" s="31" t="s">
        <v>9152</v>
      </c>
      <c r="AC2319" s="31"/>
    </row>
    <row r="2320" ht="18.75" customHeight="1">
      <c r="A2320" s="142" t="s">
        <v>9153</v>
      </c>
      <c r="B2320" s="19" t="s">
        <v>1299</v>
      </c>
      <c r="C2320" s="20">
        <v>11.0</v>
      </c>
      <c r="D2320" s="21" t="s">
        <v>9154</v>
      </c>
      <c r="E2320" s="27" t="s">
        <v>112</v>
      </c>
      <c r="F2320" s="18" t="s">
        <v>48</v>
      </c>
      <c r="G2320" s="32" t="s">
        <v>35</v>
      </c>
      <c r="H2320" s="23" t="s">
        <v>35</v>
      </c>
      <c r="I2320" s="24" t="s">
        <v>36</v>
      </c>
      <c r="J2320" s="25" t="s">
        <v>92</v>
      </c>
      <c r="K2320" s="26" t="s">
        <v>38</v>
      </c>
      <c r="L2320" s="25">
        <v>11460.0</v>
      </c>
      <c r="M2320" s="27" t="s">
        <v>50</v>
      </c>
      <c r="N2320" s="26" t="s">
        <v>4250</v>
      </c>
      <c r="O2320" s="28">
        <v>45548.35993628472</v>
      </c>
      <c r="P2320" s="26" t="s">
        <v>9155</v>
      </c>
      <c r="Q2320" s="11" t="s">
        <v>67</v>
      </c>
      <c r="R2320" s="11" t="s">
        <v>67</v>
      </c>
      <c r="S2320" s="11" t="s">
        <v>50</v>
      </c>
      <c r="T2320" s="29">
        <v>45545.66254020833</v>
      </c>
      <c r="U2320" s="29">
        <v>45545.68409681713</v>
      </c>
      <c r="V2320" s="29">
        <v>45546.44466109954</v>
      </c>
      <c r="W2320" s="30"/>
      <c r="X2320" s="30"/>
      <c r="Y2320" s="31"/>
      <c r="Z2320" s="31"/>
      <c r="AA2320" s="31" t="s">
        <v>120</v>
      </c>
      <c r="AB2320" s="31" t="s">
        <v>9156</v>
      </c>
      <c r="AC2320" s="31"/>
    </row>
    <row r="2321" ht="18.75" customHeight="1">
      <c r="A2321" s="142" t="s">
        <v>9157</v>
      </c>
      <c r="B2321" s="19" t="s">
        <v>7178</v>
      </c>
      <c r="C2321" s="20">
        <v>11.0</v>
      </c>
      <c r="D2321" s="21" t="s">
        <v>9158</v>
      </c>
      <c r="E2321" s="27" t="s">
        <v>112</v>
      </c>
      <c r="F2321" s="18" t="s">
        <v>48</v>
      </c>
      <c r="G2321" s="32" t="s">
        <v>35</v>
      </c>
      <c r="H2321" s="23" t="s">
        <v>35</v>
      </c>
      <c r="I2321" s="24" t="s">
        <v>36</v>
      </c>
      <c r="J2321" s="25" t="s">
        <v>49</v>
      </c>
      <c r="K2321" s="26" t="s">
        <v>5954</v>
      </c>
      <c r="L2321" s="25">
        <v>11459.0</v>
      </c>
      <c r="M2321" s="27" t="s">
        <v>50</v>
      </c>
      <c r="N2321" s="26" t="s">
        <v>5936</v>
      </c>
      <c r="O2321" s="28">
        <v>45546.61375853009</v>
      </c>
      <c r="P2321" s="26" t="s">
        <v>9159</v>
      </c>
      <c r="Q2321" s="11" t="s">
        <v>67</v>
      </c>
      <c r="R2321" s="11" t="s">
        <v>67</v>
      </c>
      <c r="S2321" s="11" t="s">
        <v>50</v>
      </c>
      <c r="T2321" s="29">
        <v>45545.66428607639</v>
      </c>
      <c r="U2321" s="29">
        <v>45546.34590835648</v>
      </c>
      <c r="V2321" s="29">
        <v>45546.4446730787</v>
      </c>
      <c r="W2321" s="30"/>
      <c r="X2321" s="30"/>
      <c r="Y2321" s="31"/>
      <c r="Z2321" s="31"/>
      <c r="AA2321" s="31" t="s">
        <v>127</v>
      </c>
      <c r="AB2321" s="31" t="s">
        <v>9160</v>
      </c>
      <c r="AC2321" s="31"/>
    </row>
    <row r="2322" ht="18.75" customHeight="1">
      <c r="A2322" s="142" t="s">
        <v>9161</v>
      </c>
      <c r="B2322" s="19" t="s">
        <v>5650</v>
      </c>
      <c r="C2322" s="20">
        <v>11.0</v>
      </c>
      <c r="D2322" s="21" t="s">
        <v>9162</v>
      </c>
      <c r="E2322" s="27" t="s">
        <v>112</v>
      </c>
      <c r="F2322" s="18" t="s">
        <v>48</v>
      </c>
      <c r="G2322" s="32" t="s">
        <v>35</v>
      </c>
      <c r="H2322" s="23" t="s">
        <v>35</v>
      </c>
      <c r="I2322" s="24" t="s">
        <v>36</v>
      </c>
      <c r="J2322" s="25" t="s">
        <v>49</v>
      </c>
      <c r="K2322" s="26" t="s">
        <v>38</v>
      </c>
      <c r="L2322" s="25">
        <v>11458.0</v>
      </c>
      <c r="M2322" s="27" t="s">
        <v>50</v>
      </c>
      <c r="N2322" s="26" t="s">
        <v>5936</v>
      </c>
      <c r="O2322" s="28">
        <v>45546.613856701384</v>
      </c>
      <c r="P2322" s="26" t="s">
        <v>9163</v>
      </c>
      <c r="Q2322" s="11" t="s">
        <v>67</v>
      </c>
      <c r="R2322" s="11" t="s">
        <v>67</v>
      </c>
      <c r="S2322" s="11" t="s">
        <v>50</v>
      </c>
      <c r="T2322" s="29">
        <v>45545.66503505787</v>
      </c>
      <c r="U2322" s="29">
        <v>45545.6864115162</v>
      </c>
      <c r="V2322" s="29">
        <v>45546.44468403935</v>
      </c>
      <c r="W2322" s="30"/>
      <c r="X2322" s="30"/>
      <c r="Y2322" s="31"/>
      <c r="Z2322" s="31"/>
      <c r="AA2322" s="31" t="s">
        <v>102</v>
      </c>
      <c r="AB2322" s="31" t="s">
        <v>9164</v>
      </c>
      <c r="AC2322" s="31"/>
    </row>
    <row r="2323" ht="18.75" customHeight="1">
      <c r="A2323" s="142" t="s">
        <v>9165</v>
      </c>
      <c r="B2323" s="19" t="s">
        <v>8916</v>
      </c>
      <c r="C2323" s="20">
        <v>137.0</v>
      </c>
      <c r="D2323" s="21" t="s">
        <v>9166</v>
      </c>
      <c r="E2323" s="27" t="s">
        <v>85</v>
      </c>
      <c r="F2323" s="18" t="s">
        <v>48</v>
      </c>
      <c r="G2323" s="32" t="s">
        <v>35</v>
      </c>
      <c r="H2323" s="23" t="s">
        <v>35</v>
      </c>
      <c r="I2323" s="24" t="s">
        <v>36</v>
      </c>
      <c r="J2323" s="25" t="s">
        <v>49</v>
      </c>
      <c r="K2323" s="26" t="s">
        <v>38</v>
      </c>
      <c r="L2323" s="25">
        <v>11561.0</v>
      </c>
      <c r="M2323" s="27" t="s">
        <v>50</v>
      </c>
      <c r="N2323" s="26" t="s">
        <v>5936</v>
      </c>
      <c r="O2323" s="28">
        <v>45562.631156504634</v>
      </c>
      <c r="P2323" s="26" t="s">
        <v>9167</v>
      </c>
      <c r="Q2323" s="11" t="s">
        <v>67</v>
      </c>
      <c r="R2323" s="11" t="s">
        <v>67</v>
      </c>
      <c r="S2323" s="11" t="s">
        <v>50</v>
      </c>
      <c r="T2323" s="29">
        <v>45545.66777053241</v>
      </c>
      <c r="U2323" s="29">
        <v>45561.635042650465</v>
      </c>
      <c r="V2323" s="29">
        <v>45562.34657256944</v>
      </c>
      <c r="W2323" s="30"/>
      <c r="X2323" s="30"/>
      <c r="Y2323" s="31"/>
      <c r="Z2323" s="31"/>
      <c r="AA2323" s="31" t="s">
        <v>127</v>
      </c>
      <c r="AB2323" s="31" t="s">
        <v>9168</v>
      </c>
      <c r="AC2323" s="31"/>
    </row>
    <row r="2324" ht="18.75" customHeight="1">
      <c r="A2324" s="142" t="s">
        <v>9169</v>
      </c>
      <c r="B2324" s="19" t="s">
        <v>9170</v>
      </c>
      <c r="C2324" s="20">
        <v>0.0</v>
      </c>
      <c r="D2324" s="21" t="s">
        <v>9171</v>
      </c>
      <c r="E2324" s="27" t="s">
        <v>9172</v>
      </c>
      <c r="F2324" s="18" t="s">
        <v>33</v>
      </c>
      <c r="G2324" s="18" t="s">
        <v>34</v>
      </c>
      <c r="H2324" s="23" t="s">
        <v>35</v>
      </c>
      <c r="I2324" s="24" t="s">
        <v>36</v>
      </c>
      <c r="J2324" s="25" t="s">
        <v>339</v>
      </c>
      <c r="K2324" s="26" t="s">
        <v>38</v>
      </c>
      <c r="L2324" s="25">
        <v>11501.0</v>
      </c>
      <c r="M2324" s="27" t="s">
        <v>50</v>
      </c>
      <c r="N2324" s="26" t="s">
        <v>6892</v>
      </c>
      <c r="O2324" s="28">
        <v>45552.69513306713</v>
      </c>
      <c r="P2324" s="26" t="s">
        <v>9173</v>
      </c>
      <c r="Q2324" s="11" t="s">
        <v>67</v>
      </c>
      <c r="R2324" s="11" t="s">
        <v>67</v>
      </c>
      <c r="S2324" s="11" t="s">
        <v>101</v>
      </c>
      <c r="T2324" s="29">
        <v>45546.34461622685</v>
      </c>
      <c r="U2324" s="29">
        <v>45546.34498256944</v>
      </c>
      <c r="V2324" s="29">
        <v>45551.36062017361</v>
      </c>
      <c r="W2324" s="30"/>
      <c r="X2324" s="30"/>
      <c r="Y2324" s="31"/>
      <c r="Z2324" s="31"/>
      <c r="AA2324" s="31" t="s">
        <v>3059</v>
      </c>
      <c r="AB2324" s="31" t="s">
        <v>9174</v>
      </c>
      <c r="AC2324" s="31"/>
    </row>
    <row r="2325" ht="18.75" customHeight="1">
      <c r="A2325" s="142" t="s">
        <v>9175</v>
      </c>
      <c r="B2325" s="19" t="s">
        <v>5346</v>
      </c>
      <c r="C2325" s="20">
        <v>34.0</v>
      </c>
      <c r="D2325" s="21" t="s">
        <v>9176</v>
      </c>
      <c r="E2325" s="27" t="s">
        <v>47</v>
      </c>
      <c r="F2325" s="18" t="s">
        <v>48</v>
      </c>
      <c r="G2325" s="32" t="s">
        <v>35</v>
      </c>
      <c r="H2325" s="23" t="s">
        <v>35</v>
      </c>
      <c r="I2325" s="24" t="s">
        <v>36</v>
      </c>
      <c r="J2325" s="25" t="s">
        <v>49</v>
      </c>
      <c r="K2325" s="26" t="s">
        <v>38</v>
      </c>
      <c r="L2325" s="25">
        <v>11457.0</v>
      </c>
      <c r="M2325" s="27" t="s">
        <v>50</v>
      </c>
      <c r="N2325" s="26" t="s">
        <v>5936</v>
      </c>
      <c r="O2325" s="28">
        <v>45546.61394591435</v>
      </c>
      <c r="P2325" s="26" t="s">
        <v>9177</v>
      </c>
      <c r="Q2325" s="11" t="s">
        <v>67</v>
      </c>
      <c r="R2325" s="11" t="s">
        <v>67</v>
      </c>
      <c r="S2325" s="11" t="s">
        <v>50</v>
      </c>
      <c r="T2325" s="29">
        <v>45546.356535439816</v>
      </c>
      <c r="U2325" s="29">
        <v>45546.36734041666</v>
      </c>
      <c r="V2325" s="29">
        <v>45546.444694861115</v>
      </c>
      <c r="W2325" s="30"/>
      <c r="X2325" s="30"/>
      <c r="Y2325" s="31"/>
      <c r="Z2325" s="31"/>
      <c r="AA2325" s="31" t="s">
        <v>127</v>
      </c>
      <c r="AB2325" s="31" t="s">
        <v>9178</v>
      </c>
      <c r="AC2325" s="31"/>
    </row>
    <row r="2326" ht="18.75" customHeight="1">
      <c r="A2326" s="142" t="s">
        <v>9179</v>
      </c>
      <c r="B2326" s="19" t="s">
        <v>9101</v>
      </c>
      <c r="C2326" s="20">
        <v>90.0</v>
      </c>
      <c r="D2326" s="21" t="s">
        <v>9180</v>
      </c>
      <c r="E2326" s="27" t="s">
        <v>91</v>
      </c>
      <c r="F2326" s="18" t="s">
        <v>48</v>
      </c>
      <c r="G2326" s="32" t="s">
        <v>35</v>
      </c>
      <c r="H2326" s="23" t="s">
        <v>35</v>
      </c>
      <c r="I2326" s="37" t="s">
        <v>36</v>
      </c>
      <c r="J2326" s="34" t="s">
        <v>65</v>
      </c>
      <c r="K2326" s="26" t="s">
        <v>38</v>
      </c>
      <c r="L2326" s="25">
        <v>11633.0</v>
      </c>
      <c r="M2326" s="27" t="s">
        <v>50</v>
      </c>
      <c r="N2326" s="26" t="s">
        <v>8104</v>
      </c>
      <c r="O2326" s="28">
        <v>45573.66249371528</v>
      </c>
      <c r="P2326" s="26" t="s">
        <v>9181</v>
      </c>
      <c r="Q2326" s="11" t="s">
        <v>67</v>
      </c>
      <c r="R2326" s="11" t="s">
        <v>67</v>
      </c>
      <c r="S2326" s="11" t="s">
        <v>50</v>
      </c>
      <c r="T2326" s="29">
        <v>45546.46127342593</v>
      </c>
      <c r="U2326" s="29">
        <v>45546.60363246528</v>
      </c>
      <c r="V2326" s="29">
        <v>45573.45452601852</v>
      </c>
      <c r="W2326" s="30"/>
      <c r="X2326" s="30"/>
      <c r="Y2326" s="31"/>
      <c r="Z2326" s="31"/>
      <c r="AA2326" s="31" t="s">
        <v>94</v>
      </c>
      <c r="AB2326" s="31" t="s">
        <v>9182</v>
      </c>
      <c r="AC2326" s="31"/>
    </row>
    <row r="2327" ht="18.75" customHeight="1">
      <c r="A2327" s="142" t="s">
        <v>9183</v>
      </c>
      <c r="B2327" s="19" t="s">
        <v>9184</v>
      </c>
      <c r="C2327" s="20">
        <v>137.0</v>
      </c>
      <c r="D2327" s="21" t="s">
        <v>9185</v>
      </c>
      <c r="E2327" s="27" t="s">
        <v>85</v>
      </c>
      <c r="F2327" s="18" t="s">
        <v>48</v>
      </c>
      <c r="G2327" s="32" t="s">
        <v>35</v>
      </c>
      <c r="H2327" s="23" t="s">
        <v>35</v>
      </c>
      <c r="I2327" s="24" t="s">
        <v>36</v>
      </c>
      <c r="J2327" s="25" t="s">
        <v>49</v>
      </c>
      <c r="K2327" s="26" t="s">
        <v>238</v>
      </c>
      <c r="L2327" s="25">
        <v>11508.0</v>
      </c>
      <c r="M2327" s="27" t="s">
        <v>50</v>
      </c>
      <c r="N2327" s="26" t="s">
        <v>99</v>
      </c>
      <c r="O2327" s="28">
        <v>45552.62852709491</v>
      </c>
      <c r="P2327" s="26" t="s">
        <v>9186</v>
      </c>
      <c r="Q2327" s="11" t="s">
        <v>67</v>
      </c>
      <c r="R2327" s="11" t="s">
        <v>67</v>
      </c>
      <c r="S2327" s="11" t="s">
        <v>50</v>
      </c>
      <c r="T2327" s="29">
        <v>45546.43280886574</v>
      </c>
      <c r="U2327" s="29">
        <v>45548.38970275463</v>
      </c>
      <c r="V2327" s="29">
        <v>45552.45534804398</v>
      </c>
      <c r="W2327" s="30"/>
      <c r="X2327" s="30"/>
      <c r="Y2327" s="31"/>
      <c r="Z2327" s="31"/>
      <c r="AA2327" s="31" t="s">
        <v>3808</v>
      </c>
      <c r="AB2327" s="31" t="s">
        <v>9187</v>
      </c>
      <c r="AC2327" s="31"/>
    </row>
    <row r="2328" ht="18.75" customHeight="1">
      <c r="A2328" s="142" t="s">
        <v>9188</v>
      </c>
      <c r="B2328" s="19" t="s">
        <v>5507</v>
      </c>
      <c r="C2328" s="20">
        <v>11.0</v>
      </c>
      <c r="D2328" s="21" t="s">
        <v>9189</v>
      </c>
      <c r="E2328" s="27" t="s">
        <v>112</v>
      </c>
      <c r="F2328" s="18" t="s">
        <v>48</v>
      </c>
      <c r="G2328" s="32" t="s">
        <v>35</v>
      </c>
      <c r="H2328" s="23" t="s">
        <v>35</v>
      </c>
      <c r="I2328" s="24" t="s">
        <v>36</v>
      </c>
      <c r="J2328" s="25" t="s">
        <v>49</v>
      </c>
      <c r="K2328" s="26" t="s">
        <v>38</v>
      </c>
      <c r="L2328" s="25">
        <v>11470.0</v>
      </c>
      <c r="M2328" s="27" t="s">
        <v>50</v>
      </c>
      <c r="N2328" s="26" t="s">
        <v>106</v>
      </c>
      <c r="O2328" s="28">
        <v>45547.61067928241</v>
      </c>
      <c r="P2328" s="26" t="s">
        <v>9190</v>
      </c>
      <c r="Q2328" s="11" t="s">
        <v>67</v>
      </c>
      <c r="R2328" s="11" t="s">
        <v>67</v>
      </c>
      <c r="S2328" s="11" t="s">
        <v>50</v>
      </c>
      <c r="T2328" s="29">
        <v>45546.43492644676</v>
      </c>
      <c r="U2328" s="29">
        <v>45546.64911929399</v>
      </c>
      <c r="V2328" s="29">
        <v>45547.47281064815</v>
      </c>
      <c r="W2328" s="30"/>
      <c r="X2328" s="30"/>
      <c r="Y2328" s="31"/>
      <c r="Z2328" s="31"/>
      <c r="AA2328" s="31" t="s">
        <v>127</v>
      </c>
      <c r="AB2328" s="31" t="s">
        <v>9191</v>
      </c>
      <c r="AC2328" s="31"/>
    </row>
    <row r="2329" ht="18.75" customHeight="1">
      <c r="A2329" s="142" t="s">
        <v>9192</v>
      </c>
      <c r="B2329" s="19" t="s">
        <v>7173</v>
      </c>
      <c r="C2329" s="20">
        <v>0.0</v>
      </c>
      <c r="D2329" s="21" t="s">
        <v>9193</v>
      </c>
      <c r="E2329" s="22" t="s">
        <v>804</v>
      </c>
      <c r="F2329" s="18" t="s">
        <v>244</v>
      </c>
      <c r="G2329" s="32" t="s">
        <v>35</v>
      </c>
      <c r="H2329" s="23" t="s">
        <v>35</v>
      </c>
      <c r="I2329" s="24" t="s">
        <v>36</v>
      </c>
      <c r="J2329" s="25" t="s">
        <v>518</v>
      </c>
      <c r="K2329" s="26" t="s">
        <v>38</v>
      </c>
      <c r="L2329" s="25">
        <v>11502.0</v>
      </c>
      <c r="M2329" s="27" t="s">
        <v>50</v>
      </c>
      <c r="N2329" s="26" t="s">
        <v>4616</v>
      </c>
      <c r="O2329" s="28">
        <v>45552.581504456015</v>
      </c>
      <c r="P2329" s="26" t="s">
        <v>9194</v>
      </c>
      <c r="Q2329" s="11" t="s">
        <v>67</v>
      </c>
      <c r="R2329" s="11" t="s">
        <v>67</v>
      </c>
      <c r="S2329" s="11" t="s">
        <v>101</v>
      </c>
      <c r="T2329" s="29">
        <v>45546.60322880787</v>
      </c>
      <c r="U2329" s="29">
        <v>45546.60323173611</v>
      </c>
      <c r="V2329" s="29">
        <v>45552.377077893514</v>
      </c>
      <c r="W2329" s="30"/>
      <c r="X2329" s="30"/>
      <c r="Y2329" s="31"/>
      <c r="Z2329" s="31"/>
      <c r="AA2329" s="31" t="s">
        <v>94</v>
      </c>
      <c r="AB2329" s="31" t="s">
        <v>9195</v>
      </c>
      <c r="AC2329" s="31"/>
    </row>
    <row r="2330" ht="18.75" customHeight="1">
      <c r="A2330" s="18" t="s">
        <v>9196</v>
      </c>
      <c r="B2330" s="19" t="s">
        <v>3335</v>
      </c>
      <c r="C2330" s="20">
        <v>11.0</v>
      </c>
      <c r="D2330" s="21" t="s">
        <v>9197</v>
      </c>
      <c r="E2330" s="27" t="s">
        <v>112</v>
      </c>
      <c r="F2330" s="18" t="s">
        <v>48</v>
      </c>
      <c r="G2330" s="32" t="s">
        <v>35</v>
      </c>
      <c r="H2330" s="23" t="s">
        <v>35</v>
      </c>
      <c r="I2330" s="24" t="s">
        <v>36</v>
      </c>
      <c r="J2330" s="25" t="s">
        <v>92</v>
      </c>
      <c r="K2330" s="26" t="s">
        <v>38</v>
      </c>
      <c r="L2330" s="25">
        <v>11469.0</v>
      </c>
      <c r="M2330" s="27" t="s">
        <v>50</v>
      </c>
      <c r="N2330" s="26" t="s">
        <v>9198</v>
      </c>
      <c r="O2330" s="28">
        <v>45548.371087465275</v>
      </c>
      <c r="P2330" s="26" t="s">
        <v>9199</v>
      </c>
      <c r="Q2330" s="11"/>
      <c r="R2330" s="11" t="s">
        <v>67</v>
      </c>
      <c r="S2330" s="11" t="s">
        <v>50</v>
      </c>
      <c r="T2330" s="29">
        <v>45546.44356690972</v>
      </c>
      <c r="U2330" s="29">
        <v>45547.36625460648</v>
      </c>
      <c r="V2330" s="29">
        <v>45547.43907100694</v>
      </c>
      <c r="W2330" s="30"/>
      <c r="X2330" s="30"/>
      <c r="Y2330" s="31"/>
      <c r="Z2330" s="31"/>
      <c r="AA2330" s="31" t="s">
        <v>120</v>
      </c>
      <c r="AB2330" s="31" t="s">
        <v>9200</v>
      </c>
      <c r="AC2330" s="31"/>
    </row>
    <row r="2331" ht="18.75" customHeight="1">
      <c r="A2331" s="18" t="s">
        <v>9201</v>
      </c>
      <c r="B2331" s="19" t="s">
        <v>3335</v>
      </c>
      <c r="C2331" s="20">
        <v>11.0</v>
      </c>
      <c r="D2331" s="21" t="s">
        <v>9202</v>
      </c>
      <c r="E2331" s="27" t="s">
        <v>112</v>
      </c>
      <c r="F2331" s="18" t="s">
        <v>48</v>
      </c>
      <c r="G2331" s="32" t="s">
        <v>35</v>
      </c>
      <c r="H2331" s="23" t="s">
        <v>35</v>
      </c>
      <c r="I2331" s="24" t="s">
        <v>36</v>
      </c>
      <c r="J2331" s="25" t="s">
        <v>92</v>
      </c>
      <c r="K2331" s="26" t="s">
        <v>38</v>
      </c>
      <c r="L2331" s="25">
        <v>11469.0</v>
      </c>
      <c r="M2331" s="27" t="s">
        <v>50</v>
      </c>
      <c r="N2331" s="26" t="s">
        <v>9198</v>
      </c>
      <c r="O2331" s="28">
        <v>45548.37121293982</v>
      </c>
      <c r="P2331" s="26" t="s">
        <v>9199</v>
      </c>
      <c r="Q2331" s="11" t="s">
        <v>67</v>
      </c>
      <c r="R2331" s="11" t="s">
        <v>67</v>
      </c>
      <c r="S2331" s="11" t="s">
        <v>50</v>
      </c>
      <c r="T2331" s="29">
        <v>45546.44551300926</v>
      </c>
      <c r="U2331" s="29">
        <v>45547.36633725694</v>
      </c>
      <c r="V2331" s="29">
        <v>45547.43910710648</v>
      </c>
      <c r="W2331" s="30"/>
      <c r="X2331" s="30"/>
      <c r="Y2331" s="31"/>
      <c r="Z2331" s="31"/>
      <c r="AA2331" s="31" t="s">
        <v>120</v>
      </c>
      <c r="AB2331" s="31" t="s">
        <v>9203</v>
      </c>
      <c r="AC2331" s="31"/>
    </row>
    <row r="2332" ht="18.75" customHeight="1">
      <c r="A2332" s="142" t="s">
        <v>9204</v>
      </c>
      <c r="B2332" s="19" t="s">
        <v>9205</v>
      </c>
      <c r="C2332" s="20">
        <v>11.0</v>
      </c>
      <c r="D2332" s="21" t="s">
        <v>9206</v>
      </c>
      <c r="E2332" s="27" t="s">
        <v>112</v>
      </c>
      <c r="F2332" s="18" t="s">
        <v>48</v>
      </c>
      <c r="G2332" s="32" t="s">
        <v>35</v>
      </c>
      <c r="H2332" s="23" t="s">
        <v>35</v>
      </c>
      <c r="I2332" s="24" t="s">
        <v>36</v>
      </c>
      <c r="J2332" s="25" t="s">
        <v>49</v>
      </c>
      <c r="K2332" s="26" t="s">
        <v>38</v>
      </c>
      <c r="L2332" s="25">
        <v>11471.0</v>
      </c>
      <c r="M2332" s="27" t="s">
        <v>50</v>
      </c>
      <c r="N2332" s="26" t="s">
        <v>106</v>
      </c>
      <c r="O2332" s="28">
        <v>45547.61083533565</v>
      </c>
      <c r="P2332" s="26" t="s">
        <v>9207</v>
      </c>
      <c r="Q2332" s="11" t="s">
        <v>67</v>
      </c>
      <c r="R2332" s="11" t="s">
        <v>67</v>
      </c>
      <c r="S2332" s="11" t="s">
        <v>50</v>
      </c>
      <c r="T2332" s="29">
        <v>45546.44679983796</v>
      </c>
      <c r="U2332" s="29">
        <v>45546.465815937496</v>
      </c>
      <c r="V2332" s="29">
        <v>45547.47358827546</v>
      </c>
      <c r="W2332" s="30"/>
      <c r="X2332" s="30"/>
      <c r="Y2332" s="31"/>
      <c r="Z2332" s="31"/>
      <c r="AA2332" s="31" t="s">
        <v>102</v>
      </c>
      <c r="AB2332" s="31" t="s">
        <v>9208</v>
      </c>
      <c r="AC2332" s="31"/>
    </row>
    <row r="2333" ht="18.75" customHeight="1">
      <c r="A2333" s="18" t="s">
        <v>9209</v>
      </c>
      <c r="B2333" s="19" t="s">
        <v>4035</v>
      </c>
      <c r="C2333" s="20">
        <v>11.0</v>
      </c>
      <c r="D2333" s="21" t="s">
        <v>9210</v>
      </c>
      <c r="E2333" s="27" t="s">
        <v>112</v>
      </c>
      <c r="F2333" s="18" t="s">
        <v>48</v>
      </c>
      <c r="G2333" s="32" t="s">
        <v>35</v>
      </c>
      <c r="H2333" s="23" t="s">
        <v>35</v>
      </c>
      <c r="I2333" s="24" t="s">
        <v>36</v>
      </c>
      <c r="J2333" s="34" t="s">
        <v>65</v>
      </c>
      <c r="K2333" s="26" t="s">
        <v>38</v>
      </c>
      <c r="L2333" s="25">
        <v>11462.0</v>
      </c>
      <c r="M2333" s="27" t="s">
        <v>50</v>
      </c>
      <c r="N2333" s="26" t="s">
        <v>51</v>
      </c>
      <c r="O2333" s="28">
        <v>45546.60693047453</v>
      </c>
      <c r="P2333" s="26" t="s">
        <v>7891</v>
      </c>
      <c r="Q2333" s="11" t="s">
        <v>67</v>
      </c>
      <c r="R2333" s="11" t="s">
        <v>67</v>
      </c>
      <c r="S2333" s="11"/>
      <c r="T2333" s="29">
        <v>45546.60693047453</v>
      </c>
      <c r="U2333" s="29">
        <v>45546.60693047453</v>
      </c>
      <c r="V2333" s="29">
        <v>45546.60693047453</v>
      </c>
      <c r="W2333" s="30"/>
      <c r="X2333" s="30"/>
      <c r="Y2333" s="31"/>
      <c r="Z2333" s="31"/>
      <c r="AA2333" s="31" t="s">
        <v>94</v>
      </c>
      <c r="AB2333" s="31" t="s">
        <v>9211</v>
      </c>
      <c r="AC2333" s="31"/>
    </row>
    <row r="2334" ht="18.75" customHeight="1">
      <c r="A2334" s="142" t="s">
        <v>9212</v>
      </c>
      <c r="B2334" s="19" t="s">
        <v>4035</v>
      </c>
      <c r="C2334" s="20">
        <v>137.0</v>
      </c>
      <c r="D2334" s="21" t="s">
        <v>9213</v>
      </c>
      <c r="E2334" s="27" t="s">
        <v>85</v>
      </c>
      <c r="F2334" s="18" t="s">
        <v>48</v>
      </c>
      <c r="G2334" s="32" t="s">
        <v>35</v>
      </c>
      <c r="H2334" s="23" t="s">
        <v>35</v>
      </c>
      <c r="I2334" s="24" t="s">
        <v>36</v>
      </c>
      <c r="J2334" s="34" t="s">
        <v>65</v>
      </c>
      <c r="K2334" s="26" t="s">
        <v>38</v>
      </c>
      <c r="L2334" s="25">
        <v>11449.0</v>
      </c>
      <c r="M2334" s="27" t="s">
        <v>50</v>
      </c>
      <c r="N2334" s="26" t="s">
        <v>51</v>
      </c>
      <c r="O2334" s="28">
        <v>45548.36818392361</v>
      </c>
      <c r="P2334" s="26" t="s">
        <v>9214</v>
      </c>
      <c r="Q2334" s="11" t="s">
        <v>67</v>
      </c>
      <c r="R2334" s="11" t="s">
        <v>67</v>
      </c>
      <c r="S2334" s="11"/>
      <c r="T2334" s="29">
        <v>45548.37039648148</v>
      </c>
      <c r="U2334" s="29">
        <v>45548.36818392361</v>
      </c>
      <c r="V2334" s="29">
        <v>45544.46848496528</v>
      </c>
      <c r="W2334" s="30"/>
      <c r="X2334" s="30"/>
      <c r="Y2334" s="31"/>
      <c r="Z2334" s="31"/>
      <c r="AA2334" s="31" t="s">
        <v>94</v>
      </c>
      <c r="AB2334" s="31" t="s">
        <v>9215</v>
      </c>
      <c r="AC2334" s="31"/>
    </row>
    <row r="2335" ht="18.75" customHeight="1">
      <c r="A2335" s="142" t="s">
        <v>9216</v>
      </c>
      <c r="B2335" s="19" t="s">
        <v>7999</v>
      </c>
      <c r="C2335" s="20">
        <v>0.0</v>
      </c>
      <c r="D2335" s="135" t="s">
        <v>9217</v>
      </c>
      <c r="E2335" s="27" t="s">
        <v>213</v>
      </c>
      <c r="F2335" s="18" t="s">
        <v>33</v>
      </c>
      <c r="G2335" s="32" t="s">
        <v>35</v>
      </c>
      <c r="H2335" s="23" t="s">
        <v>35</v>
      </c>
      <c r="I2335" s="24" t="s">
        <v>36</v>
      </c>
      <c r="J2335" s="25" t="s">
        <v>49</v>
      </c>
      <c r="K2335" s="26" t="s">
        <v>38</v>
      </c>
      <c r="L2335" s="25">
        <v>11551.0</v>
      </c>
      <c r="M2335" s="27" t="s">
        <v>50</v>
      </c>
      <c r="N2335" s="26" t="s">
        <v>99</v>
      </c>
      <c r="O2335" s="28">
        <v>45561.39275225694</v>
      </c>
      <c r="P2335" s="26" t="s">
        <v>9218</v>
      </c>
      <c r="Q2335" s="11" t="s">
        <v>67</v>
      </c>
      <c r="R2335" s="11" t="s">
        <v>67</v>
      </c>
      <c r="S2335" s="11"/>
      <c r="T2335" s="29">
        <v>45546.65104709491</v>
      </c>
      <c r="U2335" s="29">
        <v>45546.695762303236</v>
      </c>
      <c r="V2335" s="29"/>
      <c r="W2335" s="30"/>
      <c r="X2335" s="30"/>
      <c r="Y2335" s="31"/>
      <c r="Z2335" s="31"/>
      <c r="AA2335" s="31" t="s">
        <v>127</v>
      </c>
      <c r="AB2335" s="31" t="s">
        <v>9219</v>
      </c>
      <c r="AC2335" s="31"/>
    </row>
    <row r="2336" ht="18.75" customHeight="1">
      <c r="A2336" s="142" t="s">
        <v>9220</v>
      </c>
      <c r="B2336" s="19" t="s">
        <v>9221</v>
      </c>
      <c r="C2336" s="20">
        <v>1.0</v>
      </c>
      <c r="D2336" s="21" t="s">
        <v>9222</v>
      </c>
      <c r="E2336" s="27" t="s">
        <v>3395</v>
      </c>
      <c r="F2336" s="18" t="s">
        <v>48</v>
      </c>
      <c r="G2336" s="32" t="s">
        <v>35</v>
      </c>
      <c r="H2336" s="23" t="s">
        <v>35</v>
      </c>
      <c r="I2336" s="37" t="s">
        <v>36</v>
      </c>
      <c r="J2336" s="25" t="s">
        <v>518</v>
      </c>
      <c r="K2336" s="26" t="s">
        <v>38</v>
      </c>
      <c r="L2336" s="25">
        <v>11625.0</v>
      </c>
      <c r="M2336" s="27" t="s">
        <v>50</v>
      </c>
      <c r="N2336" s="26" t="s">
        <v>4616</v>
      </c>
      <c r="O2336" s="28">
        <v>45573.57149516203</v>
      </c>
      <c r="P2336" s="26" t="s">
        <v>9223</v>
      </c>
      <c r="Q2336" s="11" t="s">
        <v>67</v>
      </c>
      <c r="R2336" s="11" t="s">
        <v>67</v>
      </c>
      <c r="S2336" s="11" t="s">
        <v>50</v>
      </c>
      <c r="T2336" s="29">
        <v>45546.65681673611</v>
      </c>
      <c r="U2336" s="29">
        <v>45547.681999293985</v>
      </c>
      <c r="V2336" s="29">
        <v>45573.56799423611</v>
      </c>
      <c r="W2336" s="30"/>
      <c r="X2336" s="30"/>
      <c r="Y2336" s="31"/>
      <c r="Z2336" s="31"/>
      <c r="AA2336" s="31" t="s">
        <v>108</v>
      </c>
      <c r="AB2336" s="31" t="s">
        <v>9224</v>
      </c>
      <c r="AC2336" s="31"/>
    </row>
    <row r="2337" ht="18.75" customHeight="1">
      <c r="A2337" s="142" t="s">
        <v>9225</v>
      </c>
      <c r="B2337" s="19" t="s">
        <v>5681</v>
      </c>
      <c r="C2337" s="20">
        <v>137.0</v>
      </c>
      <c r="D2337" s="21" t="s">
        <v>9226</v>
      </c>
      <c r="E2337" s="27" t="s">
        <v>85</v>
      </c>
      <c r="F2337" s="18" t="s">
        <v>48</v>
      </c>
      <c r="G2337" s="32" t="s">
        <v>35</v>
      </c>
      <c r="H2337" s="23" t="s">
        <v>35</v>
      </c>
      <c r="I2337" s="24" t="s">
        <v>36</v>
      </c>
      <c r="J2337" s="34" t="s">
        <v>65</v>
      </c>
      <c r="K2337" s="26" t="s">
        <v>38</v>
      </c>
      <c r="L2337" s="25">
        <v>11519.0</v>
      </c>
      <c r="M2337" s="27" t="s">
        <v>50</v>
      </c>
      <c r="N2337" s="26" t="s">
        <v>149</v>
      </c>
      <c r="O2337" s="28">
        <v>45554.61504160879</v>
      </c>
      <c r="P2337" s="26" t="s">
        <v>9227</v>
      </c>
      <c r="Q2337" s="11" t="s">
        <v>67</v>
      </c>
      <c r="R2337" s="11" t="s">
        <v>67</v>
      </c>
      <c r="S2337" s="11" t="s">
        <v>50</v>
      </c>
      <c r="T2337" s="29">
        <v>45546.65940234954</v>
      </c>
      <c r="U2337" s="29">
        <v>45552.48315517361</v>
      </c>
      <c r="V2337" s="29">
        <v>45554.474201481484</v>
      </c>
      <c r="W2337" s="30"/>
      <c r="X2337" s="30"/>
      <c r="Y2337" s="31"/>
      <c r="Z2337" s="31"/>
      <c r="AA2337" s="31" t="s">
        <v>94</v>
      </c>
      <c r="AB2337" s="31" t="s">
        <v>9228</v>
      </c>
      <c r="AC2337" s="31"/>
    </row>
    <row r="2338" ht="18.75" customHeight="1">
      <c r="A2338" s="142" t="s">
        <v>9229</v>
      </c>
      <c r="B2338" s="19" t="s">
        <v>9230</v>
      </c>
      <c r="C2338" s="20">
        <v>0.0</v>
      </c>
      <c r="D2338" s="135" t="s">
        <v>9231</v>
      </c>
      <c r="E2338" s="27" t="s">
        <v>511</v>
      </c>
      <c r="F2338" s="18" t="s">
        <v>33</v>
      </c>
      <c r="G2338" s="18" t="s">
        <v>34</v>
      </c>
      <c r="H2338" s="23" t="s">
        <v>35</v>
      </c>
      <c r="I2338" s="24" t="s">
        <v>36</v>
      </c>
      <c r="J2338" s="34" t="s">
        <v>65</v>
      </c>
      <c r="K2338" s="26" t="s">
        <v>38</v>
      </c>
      <c r="L2338" s="25">
        <v>11526.0</v>
      </c>
      <c r="M2338" s="27" t="s">
        <v>50</v>
      </c>
      <c r="N2338" s="26" t="s">
        <v>9232</v>
      </c>
      <c r="O2338" s="28">
        <v>45555.60603935186</v>
      </c>
      <c r="P2338" s="26" t="s">
        <v>9233</v>
      </c>
      <c r="Q2338" s="11" t="s">
        <v>67</v>
      </c>
      <c r="R2338" s="11" t="s">
        <v>67</v>
      </c>
      <c r="S2338" s="11" t="s">
        <v>101</v>
      </c>
      <c r="T2338" s="29">
        <v>45546.66110631944</v>
      </c>
      <c r="U2338" s="29">
        <v>45548.493953287034</v>
      </c>
      <c r="V2338" s="29">
        <v>45554.65834997685</v>
      </c>
      <c r="W2338" s="30"/>
      <c r="X2338" s="30"/>
      <c r="Y2338" s="31"/>
      <c r="Z2338" s="31"/>
      <c r="AA2338" s="31" t="s">
        <v>120</v>
      </c>
      <c r="AB2338" s="31" t="s">
        <v>9234</v>
      </c>
      <c r="AC2338" s="31"/>
    </row>
    <row r="2339" ht="18.75" customHeight="1">
      <c r="A2339" s="18" t="s">
        <v>9235</v>
      </c>
      <c r="B2339" s="19" t="s">
        <v>9236</v>
      </c>
      <c r="C2339" s="20">
        <v>34.0</v>
      </c>
      <c r="D2339" s="21" t="s">
        <v>9237</v>
      </c>
      <c r="E2339" s="27" t="s">
        <v>47</v>
      </c>
      <c r="F2339" s="18" t="s">
        <v>48</v>
      </c>
      <c r="G2339" s="32" t="s">
        <v>35</v>
      </c>
      <c r="H2339" s="23" t="s">
        <v>35</v>
      </c>
      <c r="I2339" s="24" t="s">
        <v>36</v>
      </c>
      <c r="J2339" s="25" t="s">
        <v>49</v>
      </c>
      <c r="K2339" s="26" t="s">
        <v>518</v>
      </c>
      <c r="L2339" s="25">
        <v>11483.0</v>
      </c>
      <c r="M2339" s="27" t="s">
        <v>50</v>
      </c>
      <c r="N2339" s="26" t="s">
        <v>99</v>
      </c>
      <c r="O2339" s="28">
        <v>45548.68221381944</v>
      </c>
      <c r="P2339" s="26" t="s">
        <v>9238</v>
      </c>
      <c r="Q2339" s="11" t="s">
        <v>67</v>
      </c>
      <c r="R2339" s="11" t="s">
        <v>67</v>
      </c>
      <c r="S2339" s="11" t="s">
        <v>50</v>
      </c>
      <c r="T2339" s="29">
        <v>45547.393761354164</v>
      </c>
      <c r="U2339" s="29">
        <v>45547.58533076389</v>
      </c>
      <c r="V2339" s="29">
        <v>45548.57976862269</v>
      </c>
      <c r="W2339" s="30"/>
      <c r="X2339" s="30"/>
      <c r="Y2339" s="31"/>
      <c r="Z2339" s="31"/>
      <c r="AA2339" s="31" t="s">
        <v>108</v>
      </c>
      <c r="AB2339" s="31" t="s">
        <v>9239</v>
      </c>
      <c r="AC2339" s="31"/>
    </row>
    <row r="2340" ht="18.75" customHeight="1">
      <c r="A2340" s="18" t="s">
        <v>9240</v>
      </c>
      <c r="B2340" s="19" t="s">
        <v>9236</v>
      </c>
      <c r="C2340" s="20">
        <v>34.0</v>
      </c>
      <c r="D2340" s="21" t="s">
        <v>9241</v>
      </c>
      <c r="E2340" s="27" t="s">
        <v>47</v>
      </c>
      <c r="F2340" s="18" t="s">
        <v>48</v>
      </c>
      <c r="G2340" s="32" t="s">
        <v>35</v>
      </c>
      <c r="H2340" s="23" t="s">
        <v>35</v>
      </c>
      <c r="I2340" s="24" t="s">
        <v>36</v>
      </c>
      <c r="J2340" s="25" t="s">
        <v>49</v>
      </c>
      <c r="K2340" s="26" t="s">
        <v>518</v>
      </c>
      <c r="L2340" s="25">
        <v>11483.0</v>
      </c>
      <c r="M2340" s="27" t="s">
        <v>50</v>
      </c>
      <c r="N2340" s="26" t="s">
        <v>99</v>
      </c>
      <c r="O2340" s="28">
        <v>45548.68214983796</v>
      </c>
      <c r="P2340" s="26" t="s">
        <v>9238</v>
      </c>
      <c r="Q2340" s="11" t="s">
        <v>67</v>
      </c>
      <c r="R2340" s="11" t="s">
        <v>67</v>
      </c>
      <c r="S2340" s="11" t="s">
        <v>50</v>
      </c>
      <c r="T2340" s="29">
        <v>45547.39387266204</v>
      </c>
      <c r="U2340" s="29">
        <v>45547.58521510416</v>
      </c>
      <c r="V2340" s="29">
        <v>45548.57975542824</v>
      </c>
      <c r="W2340" s="30"/>
      <c r="X2340" s="30"/>
      <c r="Y2340" s="31"/>
      <c r="Z2340" s="31"/>
      <c r="AA2340" s="31" t="s">
        <v>108</v>
      </c>
      <c r="AB2340" s="31" t="s">
        <v>9242</v>
      </c>
      <c r="AC2340" s="31"/>
    </row>
    <row r="2341" ht="18.75" customHeight="1">
      <c r="A2341" s="18" t="s">
        <v>9243</v>
      </c>
      <c r="B2341" s="19" t="s">
        <v>9236</v>
      </c>
      <c r="C2341" s="20">
        <v>34.0</v>
      </c>
      <c r="D2341" s="21" t="s">
        <v>9244</v>
      </c>
      <c r="E2341" s="27" t="s">
        <v>47</v>
      </c>
      <c r="F2341" s="18" t="s">
        <v>48</v>
      </c>
      <c r="G2341" s="32" t="s">
        <v>35</v>
      </c>
      <c r="H2341" s="23" t="s">
        <v>35</v>
      </c>
      <c r="I2341" s="24" t="s">
        <v>36</v>
      </c>
      <c r="J2341" s="25" t="s">
        <v>49</v>
      </c>
      <c r="K2341" s="26" t="s">
        <v>518</v>
      </c>
      <c r="L2341" s="25">
        <v>11503.0</v>
      </c>
      <c r="M2341" s="27" t="s">
        <v>50</v>
      </c>
      <c r="N2341" s="26" t="s">
        <v>99</v>
      </c>
      <c r="O2341" s="28">
        <v>45552.628589189815</v>
      </c>
      <c r="P2341" s="26" t="s">
        <v>9245</v>
      </c>
      <c r="Q2341" s="11" t="s">
        <v>67</v>
      </c>
      <c r="R2341" s="11" t="s">
        <v>67</v>
      </c>
      <c r="S2341" s="11" t="s">
        <v>50</v>
      </c>
      <c r="T2341" s="29">
        <v>45547.396224421296</v>
      </c>
      <c r="U2341" s="29">
        <v>45548.4122721412</v>
      </c>
      <c r="V2341" s="29">
        <v>45552.455362361114</v>
      </c>
      <c r="W2341" s="30"/>
      <c r="X2341" s="30"/>
      <c r="Y2341" s="31"/>
      <c r="Z2341" s="31"/>
      <c r="AA2341" s="31" t="s">
        <v>108</v>
      </c>
      <c r="AB2341" s="31" t="s">
        <v>9246</v>
      </c>
      <c r="AC2341" s="31"/>
    </row>
    <row r="2342" ht="18.75" customHeight="1">
      <c r="A2342" s="18" t="s">
        <v>9247</v>
      </c>
      <c r="B2342" s="19" t="s">
        <v>9236</v>
      </c>
      <c r="C2342" s="20">
        <v>34.0</v>
      </c>
      <c r="D2342" s="21" t="s">
        <v>9248</v>
      </c>
      <c r="E2342" s="27" t="s">
        <v>47</v>
      </c>
      <c r="F2342" s="18" t="s">
        <v>48</v>
      </c>
      <c r="G2342" s="32" t="s">
        <v>35</v>
      </c>
      <c r="H2342" s="23" t="s">
        <v>35</v>
      </c>
      <c r="I2342" s="24" t="s">
        <v>36</v>
      </c>
      <c r="J2342" s="25" t="s">
        <v>49</v>
      </c>
      <c r="K2342" s="26" t="s">
        <v>518</v>
      </c>
      <c r="L2342" s="25">
        <v>11503.0</v>
      </c>
      <c r="M2342" s="27" t="s">
        <v>50</v>
      </c>
      <c r="N2342" s="26" t="s">
        <v>99</v>
      </c>
      <c r="O2342" s="28">
        <v>45552.62876056713</v>
      </c>
      <c r="P2342" s="26" t="s">
        <v>9245</v>
      </c>
      <c r="Q2342" s="11" t="s">
        <v>67</v>
      </c>
      <c r="R2342" s="11" t="s">
        <v>67</v>
      </c>
      <c r="S2342" s="11" t="s">
        <v>50</v>
      </c>
      <c r="T2342" s="29">
        <v>45547.39641927084</v>
      </c>
      <c r="U2342" s="29">
        <v>45548.412349652775</v>
      </c>
      <c r="V2342" s="29">
        <v>45552.4553715625</v>
      </c>
      <c r="W2342" s="30"/>
      <c r="X2342" s="30"/>
      <c r="Y2342" s="31"/>
      <c r="Z2342" s="31"/>
      <c r="AA2342" s="31" t="s">
        <v>108</v>
      </c>
      <c r="AB2342" s="31" t="s">
        <v>9249</v>
      </c>
      <c r="AC2342" s="31"/>
    </row>
    <row r="2343" ht="18.75" customHeight="1">
      <c r="A2343" s="18" t="s">
        <v>9250</v>
      </c>
      <c r="B2343" s="19" t="s">
        <v>9236</v>
      </c>
      <c r="C2343" s="20">
        <v>34.0</v>
      </c>
      <c r="D2343" s="21" t="s">
        <v>9251</v>
      </c>
      <c r="E2343" s="27" t="s">
        <v>47</v>
      </c>
      <c r="F2343" s="18" t="s">
        <v>48</v>
      </c>
      <c r="G2343" s="32" t="s">
        <v>35</v>
      </c>
      <c r="H2343" s="23" t="s">
        <v>35</v>
      </c>
      <c r="I2343" s="24" t="s">
        <v>36</v>
      </c>
      <c r="J2343" s="25" t="s">
        <v>49</v>
      </c>
      <c r="K2343" s="26" t="s">
        <v>518</v>
      </c>
      <c r="L2343" s="25">
        <v>11503.0</v>
      </c>
      <c r="M2343" s="27" t="s">
        <v>50</v>
      </c>
      <c r="N2343" s="26" t="s">
        <v>99</v>
      </c>
      <c r="O2343" s="28">
        <v>45552.628660625</v>
      </c>
      <c r="P2343" s="26" t="s">
        <v>9245</v>
      </c>
      <c r="Q2343" s="11" t="s">
        <v>67</v>
      </c>
      <c r="R2343" s="11" t="s">
        <v>67</v>
      </c>
      <c r="S2343" s="11" t="s">
        <v>50</v>
      </c>
      <c r="T2343" s="29">
        <v>45547.39646993055</v>
      </c>
      <c r="U2343" s="29">
        <v>45548.41235510417</v>
      </c>
      <c r="V2343" s="29">
        <v>45552.455375844904</v>
      </c>
      <c r="W2343" s="30"/>
      <c r="X2343" s="30"/>
      <c r="Y2343" s="31"/>
      <c r="Z2343" s="31"/>
      <c r="AA2343" s="31" t="s">
        <v>108</v>
      </c>
      <c r="AB2343" s="31" t="s">
        <v>9252</v>
      </c>
      <c r="AC2343" s="31"/>
    </row>
    <row r="2344" ht="18.75" customHeight="1">
      <c r="A2344" s="142" t="s">
        <v>9253</v>
      </c>
      <c r="B2344" s="19" t="s">
        <v>4739</v>
      </c>
      <c r="C2344" s="20">
        <v>137.0</v>
      </c>
      <c r="D2344" s="21" t="s">
        <v>9254</v>
      </c>
      <c r="E2344" s="27" t="s">
        <v>85</v>
      </c>
      <c r="F2344" s="18" t="s">
        <v>48</v>
      </c>
      <c r="G2344" s="32" t="s">
        <v>35</v>
      </c>
      <c r="H2344" s="23" t="s">
        <v>35</v>
      </c>
      <c r="I2344" s="24" t="s">
        <v>36</v>
      </c>
      <c r="J2344" s="34" t="s">
        <v>65</v>
      </c>
      <c r="K2344" s="26" t="s">
        <v>38</v>
      </c>
      <c r="L2344" s="25">
        <v>11473.0</v>
      </c>
      <c r="M2344" s="27" t="s">
        <v>50</v>
      </c>
      <c r="N2344" s="26" t="s">
        <v>51</v>
      </c>
      <c r="O2344" s="28">
        <v>45547.496561238426</v>
      </c>
      <c r="P2344" s="26" t="s">
        <v>9255</v>
      </c>
      <c r="Q2344" s="11" t="s">
        <v>67</v>
      </c>
      <c r="R2344" s="11" t="s">
        <v>67</v>
      </c>
      <c r="S2344" s="11"/>
      <c r="T2344" s="29">
        <v>45547.496561238426</v>
      </c>
      <c r="U2344" s="29">
        <v>45547.496561238426</v>
      </c>
      <c r="V2344" s="29">
        <v>45547.496561238426</v>
      </c>
      <c r="W2344" s="30"/>
      <c r="X2344" s="30"/>
      <c r="Y2344" s="31"/>
      <c r="Z2344" s="31"/>
      <c r="AA2344" s="31" t="s">
        <v>94</v>
      </c>
      <c r="AB2344" s="31" t="s">
        <v>9256</v>
      </c>
      <c r="AC2344" s="31"/>
    </row>
    <row r="2345" ht="18.75" customHeight="1">
      <c r="A2345" s="142" t="s">
        <v>9257</v>
      </c>
      <c r="B2345" s="19" t="s">
        <v>7490</v>
      </c>
      <c r="C2345" s="20">
        <v>0.0</v>
      </c>
      <c r="D2345" s="21" t="s">
        <v>9258</v>
      </c>
      <c r="E2345" s="27" t="s">
        <v>1530</v>
      </c>
      <c r="F2345" s="18" t="s">
        <v>33</v>
      </c>
      <c r="G2345" s="32" t="s">
        <v>35</v>
      </c>
      <c r="H2345" s="23" t="s">
        <v>35</v>
      </c>
      <c r="I2345" s="37" t="s">
        <v>36</v>
      </c>
      <c r="J2345" s="25" t="s">
        <v>92</v>
      </c>
      <c r="K2345" s="26" t="s">
        <v>38</v>
      </c>
      <c r="L2345" s="25">
        <v>11575.0</v>
      </c>
      <c r="M2345" s="27" t="s">
        <v>50</v>
      </c>
      <c r="N2345" s="26" t="s">
        <v>6840</v>
      </c>
      <c r="O2345" s="28">
        <v>45579.4575271412</v>
      </c>
      <c r="P2345" s="26" t="s">
        <v>9259</v>
      </c>
      <c r="Q2345" s="11" t="s">
        <v>67</v>
      </c>
      <c r="R2345" s="11" t="s">
        <v>67</v>
      </c>
      <c r="S2345" s="11" t="s">
        <v>101</v>
      </c>
      <c r="T2345" s="29">
        <v>45547.69966</v>
      </c>
      <c r="U2345" s="29">
        <v>45552.38430765046</v>
      </c>
      <c r="V2345" s="29">
        <v>45565.41622261574</v>
      </c>
      <c r="W2345" s="30"/>
      <c r="X2345" s="30"/>
      <c r="Y2345" s="31"/>
      <c r="Z2345" s="31"/>
      <c r="AA2345" s="31" t="s">
        <v>120</v>
      </c>
      <c r="AB2345" s="31" t="s">
        <v>9260</v>
      </c>
      <c r="AC2345" s="31"/>
    </row>
    <row r="2346" ht="18.75" customHeight="1">
      <c r="A2346" s="18" t="s">
        <v>9261</v>
      </c>
      <c r="B2346" s="19" t="s">
        <v>122</v>
      </c>
      <c r="C2346" s="20">
        <v>90.0</v>
      </c>
      <c r="D2346" s="21" t="s">
        <v>9262</v>
      </c>
      <c r="E2346" s="27" t="s">
        <v>91</v>
      </c>
      <c r="F2346" s="18" t="s">
        <v>48</v>
      </c>
      <c r="G2346" s="32" t="s">
        <v>35</v>
      </c>
      <c r="H2346" s="23" t="s">
        <v>35</v>
      </c>
      <c r="I2346" s="24" t="s">
        <v>36</v>
      </c>
      <c r="J2346" s="25" t="s">
        <v>49</v>
      </c>
      <c r="K2346" s="26" t="s">
        <v>38</v>
      </c>
      <c r="L2346" s="25">
        <v>11619.0</v>
      </c>
      <c r="M2346" s="22" t="s">
        <v>50</v>
      </c>
      <c r="N2346" s="35" t="s">
        <v>8199</v>
      </c>
      <c r="O2346" s="28">
        <v>45573.64878472222</v>
      </c>
      <c r="P2346" s="26" t="s">
        <v>9263</v>
      </c>
      <c r="Q2346" s="11" t="s">
        <v>67</v>
      </c>
      <c r="R2346" s="11" t="s">
        <v>67</v>
      </c>
      <c r="S2346" s="11" t="s">
        <v>50</v>
      </c>
      <c r="T2346" s="29">
        <v>45547.70082951389</v>
      </c>
      <c r="U2346" s="29">
        <v>45548.49221703704</v>
      </c>
      <c r="V2346" s="29">
        <v>45573.41289608796</v>
      </c>
      <c r="W2346" s="30"/>
      <c r="X2346" s="30"/>
      <c r="Y2346" s="31"/>
      <c r="Z2346" s="31"/>
      <c r="AA2346" s="31" t="s">
        <v>127</v>
      </c>
      <c r="AB2346" s="31" t="s">
        <v>9264</v>
      </c>
      <c r="AC2346" s="31"/>
    </row>
    <row r="2347" ht="18.75" customHeight="1">
      <c r="A2347" s="18" t="s">
        <v>9265</v>
      </c>
      <c r="B2347" s="19" t="s">
        <v>122</v>
      </c>
      <c r="C2347" s="20">
        <v>90.0</v>
      </c>
      <c r="D2347" s="21" t="s">
        <v>9266</v>
      </c>
      <c r="E2347" s="27" t="s">
        <v>91</v>
      </c>
      <c r="F2347" s="18" t="s">
        <v>48</v>
      </c>
      <c r="G2347" s="32" t="s">
        <v>35</v>
      </c>
      <c r="H2347" s="23" t="s">
        <v>35</v>
      </c>
      <c r="I2347" s="24" t="s">
        <v>36</v>
      </c>
      <c r="J2347" s="25" t="s">
        <v>49</v>
      </c>
      <c r="K2347" s="26" t="s">
        <v>38</v>
      </c>
      <c r="L2347" s="25">
        <v>11619.0</v>
      </c>
      <c r="M2347" s="22" t="s">
        <v>50</v>
      </c>
      <c r="N2347" s="35" t="s">
        <v>8199</v>
      </c>
      <c r="O2347" s="28">
        <v>45573.64878472222</v>
      </c>
      <c r="P2347" s="26" t="s">
        <v>9263</v>
      </c>
      <c r="Q2347" s="11" t="s">
        <v>67</v>
      </c>
      <c r="R2347" s="11" t="s">
        <v>67</v>
      </c>
      <c r="S2347" s="11" t="s">
        <v>50</v>
      </c>
      <c r="T2347" s="29">
        <v>45547.70093152778</v>
      </c>
      <c r="U2347" s="29">
        <v>45548.492229166666</v>
      </c>
      <c r="V2347" s="29">
        <v>45573.41290658565</v>
      </c>
      <c r="W2347" s="30"/>
      <c r="X2347" s="30"/>
      <c r="Y2347" s="31"/>
      <c r="Z2347" s="31"/>
      <c r="AA2347" s="31" t="s">
        <v>127</v>
      </c>
      <c r="AB2347" s="31" t="s">
        <v>9267</v>
      </c>
      <c r="AC2347" s="31"/>
    </row>
    <row r="2348" ht="18.75" customHeight="1">
      <c r="A2348" s="142" t="s">
        <v>9268</v>
      </c>
      <c r="B2348" s="19" t="s">
        <v>477</v>
      </c>
      <c r="C2348" s="20">
        <v>0.0</v>
      </c>
      <c r="D2348" s="21" t="s">
        <v>229</v>
      </c>
      <c r="E2348" s="27" t="s">
        <v>268</v>
      </c>
      <c r="F2348" s="18" t="s">
        <v>33</v>
      </c>
      <c r="G2348" s="32" t="s">
        <v>35</v>
      </c>
      <c r="H2348" s="23" t="s">
        <v>35</v>
      </c>
      <c r="I2348" s="37" t="s">
        <v>36</v>
      </c>
      <c r="J2348" s="34" t="s">
        <v>65</v>
      </c>
      <c r="K2348" s="26" t="s">
        <v>38</v>
      </c>
      <c r="L2348" s="25">
        <v>11594.0</v>
      </c>
      <c r="M2348" s="27" t="s">
        <v>50</v>
      </c>
      <c r="N2348" s="26" t="s">
        <v>5279</v>
      </c>
      <c r="O2348" s="28">
        <v>45568.49957274305</v>
      </c>
      <c r="P2348" s="26" t="s">
        <v>9269</v>
      </c>
      <c r="Q2348" s="11" t="s">
        <v>67</v>
      </c>
      <c r="R2348" s="11" t="s">
        <v>67</v>
      </c>
      <c r="S2348" s="11" t="s">
        <v>101</v>
      </c>
      <c r="T2348" s="29">
        <v>45547.70400175926</v>
      </c>
      <c r="U2348" s="29">
        <v>45562.38043908565</v>
      </c>
      <c r="V2348" s="29">
        <v>45568.47448650463</v>
      </c>
      <c r="W2348" s="30"/>
      <c r="X2348" s="30"/>
      <c r="Y2348" s="31"/>
      <c r="Z2348" s="31"/>
      <c r="AA2348" s="31" t="s">
        <v>94</v>
      </c>
      <c r="AB2348" s="31" t="s">
        <v>9270</v>
      </c>
      <c r="AC2348" s="31"/>
    </row>
    <row r="2349" ht="18.75" customHeight="1">
      <c r="A2349" s="142" t="s">
        <v>9271</v>
      </c>
      <c r="B2349" s="19" t="s">
        <v>4604</v>
      </c>
      <c r="C2349" s="20">
        <v>137.0</v>
      </c>
      <c r="D2349" s="21" t="s">
        <v>9272</v>
      </c>
      <c r="E2349" s="27" t="s">
        <v>85</v>
      </c>
      <c r="F2349" s="18" t="s">
        <v>48</v>
      </c>
      <c r="G2349" s="32" t="s">
        <v>35</v>
      </c>
      <c r="H2349" s="23" t="s">
        <v>35</v>
      </c>
      <c r="I2349" s="24" t="s">
        <v>36</v>
      </c>
      <c r="J2349" s="34" t="s">
        <v>65</v>
      </c>
      <c r="K2349" s="26" t="s">
        <v>38</v>
      </c>
      <c r="L2349" s="25">
        <v>11511.0</v>
      </c>
      <c r="M2349" s="27" t="s">
        <v>50</v>
      </c>
      <c r="N2349" s="26" t="s">
        <v>5279</v>
      </c>
      <c r="O2349" s="28">
        <v>45552.629085555556</v>
      </c>
      <c r="P2349" s="26" t="s">
        <v>9273</v>
      </c>
      <c r="Q2349" s="11" t="s">
        <v>67</v>
      </c>
      <c r="R2349" s="11" t="s">
        <v>67</v>
      </c>
      <c r="S2349" s="11" t="s">
        <v>50</v>
      </c>
      <c r="T2349" s="29">
        <v>45548.36362952546</v>
      </c>
      <c r="U2349" s="29">
        <v>45548.40417059028</v>
      </c>
      <c r="V2349" s="29">
        <v>45552.45541181713</v>
      </c>
      <c r="W2349" s="30"/>
      <c r="X2349" s="30"/>
      <c r="Y2349" s="31"/>
      <c r="Z2349" s="31"/>
      <c r="AA2349" s="31" t="s">
        <v>94</v>
      </c>
      <c r="AB2349" s="31" t="s">
        <v>9274</v>
      </c>
      <c r="AC2349" s="31"/>
    </row>
    <row r="2350" ht="18.75" customHeight="1">
      <c r="A2350" s="142" t="s">
        <v>9275</v>
      </c>
      <c r="B2350" s="19" t="s">
        <v>2104</v>
      </c>
      <c r="C2350" s="20">
        <v>11.0</v>
      </c>
      <c r="D2350" s="21" t="s">
        <v>9276</v>
      </c>
      <c r="E2350" s="27" t="s">
        <v>112</v>
      </c>
      <c r="F2350" s="18" t="s">
        <v>48</v>
      </c>
      <c r="G2350" s="32" t="s">
        <v>35</v>
      </c>
      <c r="H2350" s="23" t="s">
        <v>35</v>
      </c>
      <c r="I2350" s="24" t="s">
        <v>36</v>
      </c>
      <c r="J2350" s="25" t="s">
        <v>49</v>
      </c>
      <c r="K2350" s="26" t="s">
        <v>38</v>
      </c>
      <c r="L2350" s="25">
        <v>11504.0</v>
      </c>
      <c r="M2350" s="27" t="s">
        <v>50</v>
      </c>
      <c r="N2350" s="26" t="s">
        <v>99</v>
      </c>
      <c r="O2350" s="28">
        <v>45552.62882236111</v>
      </c>
      <c r="P2350" s="26" t="s">
        <v>9277</v>
      </c>
      <c r="Q2350" s="11" t="s">
        <v>67</v>
      </c>
      <c r="R2350" s="11" t="s">
        <v>67</v>
      </c>
      <c r="S2350" s="11" t="s">
        <v>50</v>
      </c>
      <c r="T2350" s="29">
        <v>45547.70867663194</v>
      </c>
      <c r="U2350" s="29">
        <v>45548.366091689815</v>
      </c>
      <c r="V2350" s="29">
        <v>45552.45539973379</v>
      </c>
      <c r="W2350" s="30"/>
      <c r="X2350" s="30"/>
      <c r="Y2350" s="31"/>
      <c r="Z2350" s="31"/>
      <c r="AA2350" s="31" t="s">
        <v>127</v>
      </c>
      <c r="AB2350" s="31" t="s">
        <v>9278</v>
      </c>
      <c r="AC2350" s="31"/>
    </row>
    <row r="2351" ht="18.75" customHeight="1">
      <c r="A2351" s="142" t="s">
        <v>9279</v>
      </c>
      <c r="B2351" s="19" t="s">
        <v>9280</v>
      </c>
      <c r="C2351" s="20">
        <v>11.0</v>
      </c>
      <c r="D2351" s="21" t="s">
        <v>9281</v>
      </c>
      <c r="E2351" s="27" t="s">
        <v>112</v>
      </c>
      <c r="F2351" s="18" t="s">
        <v>48</v>
      </c>
      <c r="G2351" s="32" t="s">
        <v>35</v>
      </c>
      <c r="H2351" s="23" t="s">
        <v>35</v>
      </c>
      <c r="I2351" s="24" t="s">
        <v>36</v>
      </c>
      <c r="J2351" s="25" t="s">
        <v>49</v>
      </c>
      <c r="K2351" s="26" t="s">
        <v>38</v>
      </c>
      <c r="L2351" s="25">
        <v>11520.0</v>
      </c>
      <c r="M2351" s="27" t="s">
        <v>50</v>
      </c>
      <c r="N2351" s="26" t="s">
        <v>99</v>
      </c>
      <c r="O2351" s="28">
        <v>45554.63946653935</v>
      </c>
      <c r="P2351" s="26" t="s">
        <v>9282</v>
      </c>
      <c r="Q2351" s="11" t="s">
        <v>67</v>
      </c>
      <c r="R2351" s="11" t="s">
        <v>67</v>
      </c>
      <c r="S2351" s="11" t="s">
        <v>50</v>
      </c>
      <c r="T2351" s="29">
        <v>45548.34934443287</v>
      </c>
      <c r="U2351" s="29">
        <v>45553.63178043981</v>
      </c>
      <c r="V2351" s="29">
        <v>45554.476214953705</v>
      </c>
      <c r="W2351" s="30"/>
      <c r="X2351" s="30"/>
      <c r="Y2351" s="31"/>
      <c r="Z2351" s="31"/>
      <c r="AA2351" s="31" t="s">
        <v>127</v>
      </c>
      <c r="AB2351" s="31" t="s">
        <v>9283</v>
      </c>
      <c r="AC2351" s="31"/>
    </row>
    <row r="2352" ht="18.75" customHeight="1">
      <c r="A2352" s="142" t="s">
        <v>9284</v>
      </c>
      <c r="B2352" s="19" t="s">
        <v>4604</v>
      </c>
      <c r="C2352" s="20">
        <v>0.0</v>
      </c>
      <c r="D2352" s="21" t="s">
        <v>9285</v>
      </c>
      <c r="E2352" s="27" t="s">
        <v>3441</v>
      </c>
      <c r="F2352" s="18" t="s">
        <v>48</v>
      </c>
      <c r="G2352" s="32" t="s">
        <v>35</v>
      </c>
      <c r="H2352" s="23" t="s">
        <v>35</v>
      </c>
      <c r="I2352" s="37" t="s">
        <v>36</v>
      </c>
      <c r="J2352" s="34" t="s">
        <v>65</v>
      </c>
      <c r="K2352" s="26" t="s">
        <v>38</v>
      </c>
      <c r="L2352" s="25">
        <v>11649.0</v>
      </c>
      <c r="M2352" s="27" t="s">
        <v>50</v>
      </c>
      <c r="N2352" s="26" t="s">
        <v>8104</v>
      </c>
      <c r="O2352" s="28">
        <v>45573.66249371528</v>
      </c>
      <c r="P2352" s="26" t="s">
        <v>9286</v>
      </c>
      <c r="Q2352" s="11" t="s">
        <v>67</v>
      </c>
      <c r="R2352" s="11" t="s">
        <v>67</v>
      </c>
      <c r="S2352" s="11" t="s">
        <v>50</v>
      </c>
      <c r="T2352" s="29">
        <v>45548.35383627315</v>
      </c>
      <c r="U2352" s="29">
        <v>45562.38067061343</v>
      </c>
      <c r="V2352" s="29">
        <v>45573.505372245374</v>
      </c>
      <c r="W2352" s="30"/>
      <c r="X2352" s="30"/>
      <c r="Y2352" s="31"/>
      <c r="Z2352" s="31"/>
      <c r="AA2352" s="31" t="s">
        <v>94</v>
      </c>
      <c r="AB2352" s="31" t="s">
        <v>9287</v>
      </c>
      <c r="AC2352" s="31"/>
    </row>
    <row r="2353" ht="18.75" customHeight="1">
      <c r="A2353" s="142" t="s">
        <v>9288</v>
      </c>
      <c r="B2353" s="19" t="s">
        <v>5469</v>
      </c>
      <c r="C2353" s="20">
        <v>0.0</v>
      </c>
      <c r="D2353" s="21" t="s">
        <v>9289</v>
      </c>
      <c r="E2353" s="27" t="s">
        <v>8868</v>
      </c>
      <c r="F2353" s="18" t="s">
        <v>48</v>
      </c>
      <c r="G2353" s="32" t="s">
        <v>35</v>
      </c>
      <c r="H2353" s="23" t="s">
        <v>35</v>
      </c>
      <c r="I2353" s="37" t="s">
        <v>36</v>
      </c>
      <c r="J2353" s="25" t="s">
        <v>49</v>
      </c>
      <c r="K2353" s="26" t="s">
        <v>38</v>
      </c>
      <c r="L2353" s="25">
        <v>11685.0</v>
      </c>
      <c r="M2353" s="27" t="s">
        <v>50</v>
      </c>
      <c r="N2353" s="26" t="s">
        <v>99</v>
      </c>
      <c r="O2353" s="28">
        <v>45575.58356570602</v>
      </c>
      <c r="P2353" s="26" t="s">
        <v>9290</v>
      </c>
      <c r="Q2353" s="11" t="s">
        <v>67</v>
      </c>
      <c r="R2353" s="11" t="s">
        <v>67</v>
      </c>
      <c r="S2353" s="11" t="s">
        <v>101</v>
      </c>
      <c r="T2353" s="29">
        <v>45548.371285347224</v>
      </c>
      <c r="U2353" s="29">
        <v>45548.39086035879</v>
      </c>
      <c r="V2353" s="29">
        <v>45572.49765326389</v>
      </c>
      <c r="W2353" s="30"/>
      <c r="X2353" s="30"/>
      <c r="Y2353" s="31"/>
      <c r="Z2353" s="31"/>
      <c r="AA2353" s="31" t="s">
        <v>102</v>
      </c>
      <c r="AB2353" s="31" t="s">
        <v>9291</v>
      </c>
      <c r="AC2353" s="31"/>
    </row>
    <row r="2354" ht="18.75" customHeight="1">
      <c r="A2354" s="142" t="s">
        <v>9292</v>
      </c>
      <c r="B2354" s="19" t="s">
        <v>9293</v>
      </c>
      <c r="C2354" s="20">
        <v>0.0</v>
      </c>
      <c r="D2354" s="21" t="s">
        <v>9294</v>
      </c>
      <c r="E2354" s="27" t="s">
        <v>3441</v>
      </c>
      <c r="F2354" s="18" t="s">
        <v>48</v>
      </c>
      <c r="G2354" s="32" t="s">
        <v>35</v>
      </c>
      <c r="H2354" s="23" t="s">
        <v>35</v>
      </c>
      <c r="I2354" s="24" t="s">
        <v>36</v>
      </c>
      <c r="J2354" s="25" t="s">
        <v>49</v>
      </c>
      <c r="K2354" s="26" t="s">
        <v>38</v>
      </c>
      <c r="L2354" s="25">
        <v>11652.0</v>
      </c>
      <c r="M2354" s="22" t="s">
        <v>50</v>
      </c>
      <c r="N2354" s="35" t="s">
        <v>8199</v>
      </c>
      <c r="O2354" s="28">
        <v>45573.64878472222</v>
      </c>
      <c r="P2354" s="26" t="s">
        <v>9295</v>
      </c>
      <c r="Q2354" s="11" t="s">
        <v>67</v>
      </c>
      <c r="R2354" s="11" t="s">
        <v>67</v>
      </c>
      <c r="S2354" s="11" t="s">
        <v>50</v>
      </c>
      <c r="T2354" s="29">
        <v>45548.36071444444</v>
      </c>
      <c r="U2354" s="29">
        <v>45548.62083024306</v>
      </c>
      <c r="V2354" s="29">
        <v>45573.35759876158</v>
      </c>
      <c r="W2354" s="30"/>
      <c r="X2354" s="30"/>
      <c r="Y2354" s="31"/>
      <c r="Z2354" s="31"/>
      <c r="AA2354" s="31" t="s">
        <v>102</v>
      </c>
      <c r="AB2354" s="31" t="s">
        <v>9296</v>
      </c>
      <c r="AC2354" s="31"/>
    </row>
    <row r="2355" ht="18.75" customHeight="1">
      <c r="A2355" s="142" t="s">
        <v>9297</v>
      </c>
      <c r="B2355" s="19" t="s">
        <v>4604</v>
      </c>
      <c r="C2355" s="20">
        <v>90.0</v>
      </c>
      <c r="D2355" s="21" t="s">
        <v>9298</v>
      </c>
      <c r="E2355" s="27" t="s">
        <v>91</v>
      </c>
      <c r="F2355" s="18" t="s">
        <v>48</v>
      </c>
      <c r="G2355" s="32" t="s">
        <v>35</v>
      </c>
      <c r="H2355" s="23" t="s">
        <v>35</v>
      </c>
      <c r="I2355" s="37" t="s">
        <v>36</v>
      </c>
      <c r="J2355" s="34" t="s">
        <v>65</v>
      </c>
      <c r="K2355" s="26" t="s">
        <v>38</v>
      </c>
      <c r="L2355" s="25">
        <v>11634.0</v>
      </c>
      <c r="M2355" s="27" t="s">
        <v>50</v>
      </c>
      <c r="N2355" s="26" t="s">
        <v>8104</v>
      </c>
      <c r="O2355" s="28">
        <v>45573.66249371528</v>
      </c>
      <c r="P2355" s="26" t="s">
        <v>9299</v>
      </c>
      <c r="Q2355" s="11" t="s">
        <v>67</v>
      </c>
      <c r="R2355" s="11" t="s">
        <v>67</v>
      </c>
      <c r="S2355" s="11" t="s">
        <v>50</v>
      </c>
      <c r="T2355" s="29">
        <v>45548.36158221065</v>
      </c>
      <c r="U2355" s="29">
        <v>45551.56756034722</v>
      </c>
      <c r="V2355" s="29">
        <v>45573.454537708334</v>
      </c>
      <c r="W2355" s="30"/>
      <c r="X2355" s="30"/>
      <c r="Y2355" s="31"/>
      <c r="Z2355" s="31"/>
      <c r="AA2355" s="31" t="s">
        <v>94</v>
      </c>
      <c r="AB2355" s="31" t="s">
        <v>9300</v>
      </c>
      <c r="AC2355" s="31"/>
    </row>
    <row r="2356" ht="18.75" customHeight="1">
      <c r="A2356" s="142" t="s">
        <v>9301</v>
      </c>
      <c r="B2356" s="19" t="s">
        <v>7696</v>
      </c>
      <c r="C2356" s="20">
        <v>0.0</v>
      </c>
      <c r="D2356" s="21" t="s">
        <v>9302</v>
      </c>
      <c r="E2356" s="27" t="s">
        <v>1595</v>
      </c>
      <c r="F2356" s="18" t="s">
        <v>33</v>
      </c>
      <c r="G2356" s="32" t="s">
        <v>35</v>
      </c>
      <c r="H2356" s="23" t="s">
        <v>35</v>
      </c>
      <c r="I2356" s="24" t="s">
        <v>36</v>
      </c>
      <c r="J2356" s="25" t="s">
        <v>49</v>
      </c>
      <c r="K2356" s="26" t="s">
        <v>38</v>
      </c>
      <c r="L2356" s="25">
        <v>11577.0</v>
      </c>
      <c r="M2356" s="27" t="s">
        <v>50</v>
      </c>
      <c r="N2356" s="26" t="s">
        <v>5936</v>
      </c>
      <c r="O2356" s="28">
        <v>45566.637715324076</v>
      </c>
      <c r="P2356" s="26" t="s">
        <v>9303</v>
      </c>
      <c r="Q2356" s="11" t="s">
        <v>67</v>
      </c>
      <c r="R2356" s="11" t="s">
        <v>67</v>
      </c>
      <c r="S2356" s="11" t="s">
        <v>101</v>
      </c>
      <c r="T2356" s="29">
        <v>45555.49173491898</v>
      </c>
      <c r="U2356" s="29">
        <v>45555.49204311342</v>
      </c>
      <c r="V2356" s="29">
        <v>45565.386988252314</v>
      </c>
      <c r="W2356" s="30"/>
      <c r="X2356" s="30"/>
      <c r="Y2356" s="31"/>
      <c r="Z2356" s="31"/>
      <c r="AA2356" s="31" t="s">
        <v>127</v>
      </c>
      <c r="AB2356" s="31" t="s">
        <v>9304</v>
      </c>
      <c r="AC2356" s="31"/>
    </row>
    <row r="2357" ht="18.75" customHeight="1">
      <c r="A2357" s="142" t="s">
        <v>9305</v>
      </c>
      <c r="B2357" s="19" t="s">
        <v>8197</v>
      </c>
      <c r="C2357" s="20">
        <v>137.0</v>
      </c>
      <c r="D2357" s="21" t="s">
        <v>9306</v>
      </c>
      <c r="E2357" s="27" t="s">
        <v>85</v>
      </c>
      <c r="F2357" s="18" t="s">
        <v>48</v>
      </c>
      <c r="G2357" s="32" t="s">
        <v>35</v>
      </c>
      <c r="H2357" s="23" t="s">
        <v>35</v>
      </c>
      <c r="I2357" s="24" t="s">
        <v>36</v>
      </c>
      <c r="J2357" s="25" t="s">
        <v>49</v>
      </c>
      <c r="K2357" s="26" t="s">
        <v>9307</v>
      </c>
      <c r="L2357" s="25">
        <v>11522.0</v>
      </c>
      <c r="M2357" s="27" t="s">
        <v>50</v>
      </c>
      <c r="N2357" s="26" t="s">
        <v>99</v>
      </c>
      <c r="O2357" s="28">
        <v>45554.63953818287</v>
      </c>
      <c r="P2357" s="26" t="s">
        <v>9308</v>
      </c>
      <c r="Q2357" s="11" t="s">
        <v>67</v>
      </c>
      <c r="R2357" s="11" t="s">
        <v>67</v>
      </c>
      <c r="S2357" s="11" t="s">
        <v>50</v>
      </c>
      <c r="T2357" s="29">
        <v>45548.461178136575</v>
      </c>
      <c r="U2357" s="29">
        <v>45553.63062260416</v>
      </c>
      <c r="V2357" s="29">
        <v>45554.478963842594</v>
      </c>
      <c r="W2357" s="30"/>
      <c r="X2357" s="30"/>
      <c r="Y2357" s="31"/>
      <c r="Z2357" s="31"/>
      <c r="AA2357" s="31" t="s">
        <v>5290</v>
      </c>
      <c r="AB2357" s="31" t="s">
        <v>9309</v>
      </c>
      <c r="AC2357" s="31"/>
    </row>
    <row r="2358" ht="18.75" customHeight="1">
      <c r="A2358" s="142" t="s">
        <v>9310</v>
      </c>
      <c r="B2358" s="19" t="s">
        <v>6361</v>
      </c>
      <c r="C2358" s="20">
        <v>137.0</v>
      </c>
      <c r="D2358" s="21" t="s">
        <v>9311</v>
      </c>
      <c r="E2358" s="27" t="s">
        <v>85</v>
      </c>
      <c r="F2358" s="18" t="s">
        <v>48</v>
      </c>
      <c r="G2358" s="32" t="s">
        <v>35</v>
      </c>
      <c r="H2358" s="23" t="s">
        <v>35</v>
      </c>
      <c r="I2358" s="24" t="s">
        <v>36</v>
      </c>
      <c r="J2358" s="34" t="s">
        <v>65</v>
      </c>
      <c r="K2358" s="26" t="s">
        <v>38</v>
      </c>
      <c r="L2358" s="25">
        <v>11510.0</v>
      </c>
      <c r="M2358" s="27" t="s">
        <v>50</v>
      </c>
      <c r="N2358" s="26" t="s">
        <v>5279</v>
      </c>
      <c r="O2358" s="28">
        <v>45552.62916996528</v>
      </c>
      <c r="P2358" s="26" t="s">
        <v>9312</v>
      </c>
      <c r="Q2358" s="11" t="s">
        <v>67</v>
      </c>
      <c r="R2358" s="11" t="s">
        <v>67</v>
      </c>
      <c r="S2358" s="11" t="s">
        <v>50</v>
      </c>
      <c r="T2358" s="29">
        <v>45548.46259106482</v>
      </c>
      <c r="U2358" s="29">
        <v>45551.56779195602</v>
      </c>
      <c r="V2358" s="29">
        <v>45552.4554334375</v>
      </c>
      <c r="W2358" s="30"/>
      <c r="X2358" s="30"/>
      <c r="Y2358" s="31"/>
      <c r="Z2358" s="31"/>
      <c r="AA2358" s="31" t="s">
        <v>94</v>
      </c>
      <c r="AB2358" s="31" t="s">
        <v>9313</v>
      </c>
      <c r="AC2358" s="31"/>
    </row>
    <row r="2359" ht="18.75" customHeight="1">
      <c r="A2359" s="142" t="s">
        <v>9314</v>
      </c>
      <c r="B2359" s="19" t="s">
        <v>1722</v>
      </c>
      <c r="C2359" s="20">
        <v>0.0</v>
      </c>
      <c r="D2359" s="21" t="s">
        <v>9315</v>
      </c>
      <c r="E2359" s="27" t="s">
        <v>511</v>
      </c>
      <c r="F2359" s="18" t="s">
        <v>33</v>
      </c>
      <c r="G2359" s="32" t="s">
        <v>35</v>
      </c>
      <c r="H2359" s="23" t="s">
        <v>35</v>
      </c>
      <c r="I2359" s="24" t="s">
        <v>36</v>
      </c>
      <c r="J2359" s="25" t="s">
        <v>49</v>
      </c>
      <c r="K2359" s="26" t="s">
        <v>38</v>
      </c>
      <c r="L2359" s="25">
        <v>11536.0</v>
      </c>
      <c r="M2359" s="27" t="s">
        <v>50</v>
      </c>
      <c r="N2359" s="26" t="s">
        <v>99</v>
      </c>
      <c r="O2359" s="28">
        <v>45558.57525501157</v>
      </c>
      <c r="P2359" s="26" t="s">
        <v>9316</v>
      </c>
      <c r="Q2359" s="11" t="s">
        <v>67</v>
      </c>
      <c r="R2359" s="11" t="s">
        <v>67</v>
      </c>
      <c r="S2359" s="11"/>
      <c r="T2359" s="29">
        <v>45552.627963935185</v>
      </c>
      <c r="U2359" s="29">
        <v>45555.4456621412</v>
      </c>
      <c r="V2359" s="29"/>
      <c r="W2359" s="30"/>
      <c r="X2359" s="30"/>
      <c r="Y2359" s="31"/>
      <c r="Z2359" s="31"/>
      <c r="AA2359" s="31" t="s">
        <v>9317</v>
      </c>
      <c r="AB2359" s="31" t="s">
        <v>9318</v>
      </c>
      <c r="AC2359" s="31"/>
    </row>
    <row r="2360" ht="18.75" customHeight="1">
      <c r="A2360" s="142" t="s">
        <v>9319</v>
      </c>
      <c r="B2360" s="19" t="s">
        <v>4313</v>
      </c>
      <c r="C2360" s="20">
        <v>34.0</v>
      </c>
      <c r="D2360" s="21" t="s">
        <v>9320</v>
      </c>
      <c r="E2360" s="27" t="s">
        <v>47</v>
      </c>
      <c r="F2360" s="18" t="s">
        <v>48</v>
      </c>
      <c r="G2360" s="32" t="s">
        <v>35</v>
      </c>
      <c r="H2360" s="23" t="s">
        <v>35</v>
      </c>
      <c r="I2360" s="24" t="s">
        <v>36</v>
      </c>
      <c r="J2360" s="25" t="s">
        <v>92</v>
      </c>
      <c r="K2360" s="26" t="s">
        <v>38</v>
      </c>
      <c r="L2360" s="25">
        <v>11509.0</v>
      </c>
      <c r="M2360" s="27" t="s">
        <v>50</v>
      </c>
      <c r="N2360" s="26" t="s">
        <v>118</v>
      </c>
      <c r="O2360" s="28">
        <v>45558.396908379626</v>
      </c>
      <c r="P2360" s="26" t="s">
        <v>9321</v>
      </c>
      <c r="Q2360" s="11" t="s">
        <v>67</v>
      </c>
      <c r="R2360" s="11" t="s">
        <v>67</v>
      </c>
      <c r="S2360" s="11" t="s">
        <v>50</v>
      </c>
      <c r="T2360" s="29">
        <v>45548.50098494213</v>
      </c>
      <c r="U2360" s="29">
        <v>45548.56085126157</v>
      </c>
      <c r="V2360" s="29">
        <v>45552.45542424769</v>
      </c>
      <c r="W2360" s="30"/>
      <c r="X2360" s="30"/>
      <c r="Y2360" s="31"/>
      <c r="Z2360" s="31"/>
      <c r="AA2360" s="31" t="s">
        <v>120</v>
      </c>
      <c r="AB2360" s="31" t="s">
        <v>9322</v>
      </c>
      <c r="AC2360" s="31"/>
    </row>
    <row r="2361" ht="18.75" customHeight="1">
      <c r="A2361" s="142" t="s">
        <v>9323</v>
      </c>
      <c r="B2361" s="19" t="s">
        <v>9101</v>
      </c>
      <c r="C2361" s="20">
        <v>137.0</v>
      </c>
      <c r="D2361" s="21" t="s">
        <v>9324</v>
      </c>
      <c r="E2361" s="27" t="s">
        <v>85</v>
      </c>
      <c r="F2361" s="18" t="s">
        <v>48</v>
      </c>
      <c r="G2361" s="32" t="s">
        <v>35</v>
      </c>
      <c r="H2361" s="23" t="s">
        <v>35</v>
      </c>
      <c r="I2361" s="24" t="s">
        <v>36</v>
      </c>
      <c r="J2361" s="34" t="s">
        <v>65</v>
      </c>
      <c r="K2361" s="26" t="s">
        <v>38</v>
      </c>
      <c r="L2361" s="25">
        <v>11562.0</v>
      </c>
      <c r="M2361" s="27" t="s">
        <v>50</v>
      </c>
      <c r="N2361" s="26" t="s">
        <v>4698</v>
      </c>
      <c r="O2361" s="28">
        <v>45562.64381523148</v>
      </c>
      <c r="P2361" s="26" t="s">
        <v>9325</v>
      </c>
      <c r="Q2361" s="11" t="s">
        <v>67</v>
      </c>
      <c r="R2361" s="11" t="s">
        <v>67</v>
      </c>
      <c r="S2361" s="11" t="s">
        <v>50</v>
      </c>
      <c r="T2361" s="29">
        <v>45551.3846021875</v>
      </c>
      <c r="U2361" s="29">
        <v>45561.64881596065</v>
      </c>
      <c r="V2361" s="29">
        <v>45562.34658509259</v>
      </c>
      <c r="W2361" s="30"/>
      <c r="X2361" s="30"/>
      <c r="Y2361" s="31"/>
      <c r="Z2361" s="31"/>
      <c r="AA2361" s="31" t="s">
        <v>94</v>
      </c>
      <c r="AB2361" s="31" t="s">
        <v>9326</v>
      </c>
      <c r="AC2361" s="31"/>
    </row>
    <row r="2362" ht="18.75" customHeight="1">
      <c r="A2362" s="142" t="s">
        <v>9327</v>
      </c>
      <c r="B2362" s="19" t="s">
        <v>5625</v>
      </c>
      <c r="C2362" s="20">
        <v>0.0</v>
      </c>
      <c r="D2362" s="135" t="s">
        <v>9328</v>
      </c>
      <c r="E2362" s="22" t="s">
        <v>98</v>
      </c>
      <c r="F2362" s="18" t="s">
        <v>33</v>
      </c>
      <c r="G2362" s="32" t="s">
        <v>35</v>
      </c>
      <c r="H2362" s="23" t="s">
        <v>35</v>
      </c>
      <c r="I2362" s="24" t="s">
        <v>36</v>
      </c>
      <c r="J2362" s="25" t="s">
        <v>49</v>
      </c>
      <c r="K2362" s="26" t="s">
        <v>447</v>
      </c>
      <c r="L2362" s="25">
        <v>11546.0</v>
      </c>
      <c r="M2362" s="27" t="s">
        <v>50</v>
      </c>
      <c r="N2362" s="26" t="s">
        <v>99</v>
      </c>
      <c r="O2362" s="28">
        <v>45561.392495231485</v>
      </c>
      <c r="P2362" s="26" t="s">
        <v>9329</v>
      </c>
      <c r="Q2362" s="11" t="s">
        <v>67</v>
      </c>
      <c r="R2362" s="11" t="s">
        <v>67</v>
      </c>
      <c r="S2362" s="11"/>
      <c r="T2362" s="29">
        <v>45551.38561671296</v>
      </c>
      <c r="U2362" s="29">
        <v>45554.46092324074</v>
      </c>
      <c r="V2362" s="29"/>
      <c r="W2362" s="30"/>
      <c r="X2362" s="30"/>
      <c r="Y2362" s="31"/>
      <c r="Z2362" s="31"/>
      <c r="AA2362" s="31" t="s">
        <v>108</v>
      </c>
      <c r="AB2362" s="31" t="s">
        <v>9330</v>
      </c>
      <c r="AC2362" s="31"/>
    </row>
    <row r="2363" ht="18.75" customHeight="1">
      <c r="A2363" s="142" t="s">
        <v>9331</v>
      </c>
      <c r="B2363" s="19" t="s">
        <v>1593</v>
      </c>
      <c r="C2363" s="20">
        <v>1.0</v>
      </c>
      <c r="D2363" s="21" t="s">
        <v>9332</v>
      </c>
      <c r="E2363" s="27" t="s">
        <v>3395</v>
      </c>
      <c r="F2363" s="18" t="s">
        <v>48</v>
      </c>
      <c r="G2363" s="32" t="s">
        <v>35</v>
      </c>
      <c r="H2363" s="23" t="s">
        <v>35</v>
      </c>
      <c r="I2363" s="24" t="s">
        <v>36</v>
      </c>
      <c r="J2363" s="34" t="s">
        <v>49</v>
      </c>
      <c r="K2363" s="26" t="s">
        <v>38</v>
      </c>
      <c r="L2363" s="25">
        <v>11607.0</v>
      </c>
      <c r="M2363" s="22" t="s">
        <v>50</v>
      </c>
      <c r="N2363" s="35" t="s">
        <v>8199</v>
      </c>
      <c r="O2363" s="28">
        <v>45573.64878472222</v>
      </c>
      <c r="P2363" s="26" t="s">
        <v>9333</v>
      </c>
      <c r="Q2363" s="11" t="s">
        <v>67</v>
      </c>
      <c r="R2363" s="11" t="s">
        <v>67</v>
      </c>
      <c r="S2363" s="11" t="s">
        <v>50</v>
      </c>
      <c r="T2363" s="29">
        <v>45551.390970266206</v>
      </c>
      <c r="U2363" s="29">
        <v>45552.38539980324</v>
      </c>
      <c r="V2363" s="29">
        <v>45573.305477291666</v>
      </c>
      <c r="W2363" s="30"/>
      <c r="X2363" s="30"/>
      <c r="Y2363" s="31"/>
      <c r="Z2363" s="31"/>
      <c r="AA2363" s="31" t="s">
        <v>102</v>
      </c>
      <c r="AB2363" s="31" t="s">
        <v>9334</v>
      </c>
      <c r="AC2363" s="31"/>
    </row>
    <row r="2364" ht="18.75" customHeight="1">
      <c r="A2364" s="142" t="s">
        <v>9335</v>
      </c>
      <c r="B2364" s="19" t="s">
        <v>9336</v>
      </c>
      <c r="C2364" s="20">
        <v>137.0</v>
      </c>
      <c r="D2364" s="21" t="s">
        <v>9337</v>
      </c>
      <c r="E2364" s="27" t="s">
        <v>85</v>
      </c>
      <c r="F2364" s="18" t="s">
        <v>48</v>
      </c>
      <c r="G2364" s="32" t="s">
        <v>35</v>
      </c>
      <c r="H2364" s="23" t="s">
        <v>35</v>
      </c>
      <c r="I2364" s="37" t="s">
        <v>36</v>
      </c>
      <c r="J2364" s="34" t="s">
        <v>9338</v>
      </c>
      <c r="K2364" s="26" t="s">
        <v>38</v>
      </c>
      <c r="L2364" s="25">
        <v>11576.0</v>
      </c>
      <c r="M2364" s="27" t="s">
        <v>50</v>
      </c>
      <c r="N2364" s="26" t="s">
        <v>9339</v>
      </c>
      <c r="O2364" s="28">
        <v>45567.67325731482</v>
      </c>
      <c r="P2364" s="26" t="s">
        <v>9340</v>
      </c>
      <c r="Q2364" s="11" t="s">
        <v>67</v>
      </c>
      <c r="R2364" s="11" t="s">
        <v>67</v>
      </c>
      <c r="S2364" s="11" t="s">
        <v>50</v>
      </c>
      <c r="T2364" s="29">
        <v>45551.393403912036</v>
      </c>
      <c r="U2364" s="29">
        <v>45565.58485033565</v>
      </c>
      <c r="V2364" s="29">
        <v>45566.44540561343</v>
      </c>
      <c r="W2364" s="30"/>
      <c r="X2364" s="30"/>
      <c r="Y2364" s="31"/>
      <c r="Z2364" s="31"/>
      <c r="AA2364" s="31" t="s">
        <v>3059</v>
      </c>
      <c r="AB2364" s="31" t="s">
        <v>9341</v>
      </c>
      <c r="AC2364" s="31"/>
    </row>
    <row r="2365" ht="18.75" customHeight="1">
      <c r="A2365" s="142" t="s">
        <v>9342</v>
      </c>
      <c r="B2365" s="19" t="s">
        <v>1811</v>
      </c>
      <c r="C2365" s="20">
        <v>11.0</v>
      </c>
      <c r="D2365" s="21" t="s">
        <v>9343</v>
      </c>
      <c r="E2365" s="27" t="s">
        <v>112</v>
      </c>
      <c r="F2365" s="18" t="s">
        <v>48</v>
      </c>
      <c r="G2365" s="32" t="s">
        <v>35</v>
      </c>
      <c r="H2365" s="23" t="s">
        <v>35</v>
      </c>
      <c r="I2365" s="24" t="s">
        <v>36</v>
      </c>
      <c r="J2365" s="25" t="s">
        <v>49</v>
      </c>
      <c r="K2365" s="26" t="s">
        <v>1506</v>
      </c>
      <c r="L2365" s="25">
        <v>11505.0</v>
      </c>
      <c r="M2365" s="27" t="s">
        <v>50</v>
      </c>
      <c r="N2365" s="26" t="s">
        <v>99</v>
      </c>
      <c r="O2365" s="28">
        <v>45552.6289030787</v>
      </c>
      <c r="P2365" s="26" t="s">
        <v>9344</v>
      </c>
      <c r="Q2365" s="11" t="s">
        <v>67</v>
      </c>
      <c r="R2365" s="11" t="s">
        <v>67</v>
      </c>
      <c r="S2365" s="11" t="s">
        <v>50</v>
      </c>
      <c r="T2365" s="29">
        <v>45551.4571681713</v>
      </c>
      <c r="U2365" s="29">
        <v>45551.49985212963</v>
      </c>
      <c r="V2365" s="29">
        <v>45552.45544431713</v>
      </c>
      <c r="W2365" s="30"/>
      <c r="X2365" s="30"/>
      <c r="Y2365" s="31"/>
      <c r="Z2365" s="31"/>
      <c r="AA2365" s="31" t="s">
        <v>3053</v>
      </c>
      <c r="AB2365" s="31" t="s">
        <v>9345</v>
      </c>
      <c r="AC2365" s="31"/>
    </row>
    <row r="2366" ht="18.75" customHeight="1">
      <c r="A2366" s="18" t="s">
        <v>9346</v>
      </c>
      <c r="B2366" s="19" t="s">
        <v>9347</v>
      </c>
      <c r="C2366" s="20">
        <v>0.0</v>
      </c>
      <c r="D2366" s="21" t="s">
        <v>9348</v>
      </c>
      <c r="E2366" s="27" t="s">
        <v>9349</v>
      </c>
      <c r="F2366" s="18" t="s">
        <v>33</v>
      </c>
      <c r="G2366" s="18" t="s">
        <v>34</v>
      </c>
      <c r="H2366" s="23" t="s">
        <v>35</v>
      </c>
      <c r="I2366" s="37" t="s">
        <v>36</v>
      </c>
      <c r="J2366" s="34" t="s">
        <v>65</v>
      </c>
      <c r="K2366" s="26" t="s">
        <v>38</v>
      </c>
      <c r="L2366" s="25">
        <v>12332.0</v>
      </c>
      <c r="M2366" s="27" t="s">
        <v>50</v>
      </c>
      <c r="N2366" s="26" t="s">
        <v>5706</v>
      </c>
      <c r="O2366" s="28">
        <v>45649.707180578705</v>
      </c>
      <c r="P2366" s="26" t="s">
        <v>9350</v>
      </c>
      <c r="Q2366" s="11" t="s">
        <v>67</v>
      </c>
      <c r="R2366" s="11" t="s">
        <v>67</v>
      </c>
      <c r="S2366" s="11" t="s">
        <v>50</v>
      </c>
      <c r="T2366" s="29">
        <v>45636.63060625</v>
      </c>
      <c r="U2366" s="29">
        <v>45636.630903240744</v>
      </c>
      <c r="V2366" s="29">
        <v>45649.46040851852</v>
      </c>
      <c r="W2366" s="30"/>
      <c r="X2366" s="148">
        <v>45636.0</v>
      </c>
      <c r="Y2366" s="31"/>
      <c r="Z2366" s="31"/>
      <c r="AA2366" s="31" t="s">
        <v>3059</v>
      </c>
      <c r="AB2366" s="31" t="s">
        <v>9351</v>
      </c>
      <c r="AC2366" s="31"/>
    </row>
    <row r="2367" ht="18.75" customHeight="1">
      <c r="A2367" s="18" t="s">
        <v>9352</v>
      </c>
      <c r="B2367" s="19" t="s">
        <v>9347</v>
      </c>
      <c r="C2367" s="20">
        <v>0.0</v>
      </c>
      <c r="D2367" s="21" t="s">
        <v>990</v>
      </c>
      <c r="E2367" s="27" t="s">
        <v>9353</v>
      </c>
      <c r="F2367" s="18" t="s">
        <v>33</v>
      </c>
      <c r="G2367" s="18" t="s">
        <v>34</v>
      </c>
      <c r="H2367" s="23" t="s">
        <v>35</v>
      </c>
      <c r="I2367" s="37" t="s">
        <v>36</v>
      </c>
      <c r="J2367" s="34" t="s">
        <v>65</v>
      </c>
      <c r="K2367" s="26" t="s">
        <v>38</v>
      </c>
      <c r="L2367" s="25">
        <v>12332.0</v>
      </c>
      <c r="M2367" s="27" t="s">
        <v>50</v>
      </c>
      <c r="N2367" s="26" t="s">
        <v>5706</v>
      </c>
      <c r="O2367" s="28">
        <v>45649.70726146991</v>
      </c>
      <c r="P2367" s="26" t="s">
        <v>9350</v>
      </c>
      <c r="Q2367" s="11" t="s">
        <v>67</v>
      </c>
      <c r="R2367" s="11" t="s">
        <v>67</v>
      </c>
      <c r="S2367" s="11" t="s">
        <v>50</v>
      </c>
      <c r="T2367" s="29">
        <v>45636.63074635417</v>
      </c>
      <c r="U2367" s="29">
        <v>45636.63092055556</v>
      </c>
      <c r="V2367" s="29">
        <v>45649.46042319444</v>
      </c>
      <c r="W2367" s="30"/>
      <c r="X2367" s="30"/>
      <c r="Y2367" s="31"/>
      <c r="Z2367" s="31"/>
      <c r="AA2367" s="31" t="s">
        <v>3059</v>
      </c>
      <c r="AB2367" s="31" t="s">
        <v>9354</v>
      </c>
      <c r="AC2367" s="31"/>
    </row>
    <row r="2368" ht="18.75" customHeight="1">
      <c r="A2368" s="18" t="s">
        <v>9355</v>
      </c>
      <c r="B2368" s="19" t="s">
        <v>9347</v>
      </c>
      <c r="C2368" s="20">
        <v>0.0</v>
      </c>
      <c r="D2368" s="21" t="s">
        <v>9356</v>
      </c>
      <c r="E2368" s="27" t="s">
        <v>713</v>
      </c>
      <c r="F2368" s="18" t="s">
        <v>33</v>
      </c>
      <c r="G2368" s="18" t="s">
        <v>34</v>
      </c>
      <c r="H2368" s="23" t="s">
        <v>35</v>
      </c>
      <c r="I2368" s="37" t="s">
        <v>36</v>
      </c>
      <c r="J2368" s="34" t="s">
        <v>65</v>
      </c>
      <c r="K2368" s="26" t="s">
        <v>38</v>
      </c>
      <c r="L2368" s="25">
        <v>12332.0</v>
      </c>
      <c r="M2368" s="27" t="s">
        <v>50</v>
      </c>
      <c r="N2368" s="26" t="s">
        <v>5706</v>
      </c>
      <c r="O2368" s="28">
        <v>45649.70734221065</v>
      </c>
      <c r="P2368" s="26" t="s">
        <v>9350</v>
      </c>
      <c r="Q2368" s="11" t="s">
        <v>67</v>
      </c>
      <c r="R2368" s="11" t="s">
        <v>67</v>
      </c>
      <c r="S2368" s="11"/>
      <c r="T2368" s="29">
        <v>45636.63084703704</v>
      </c>
      <c r="U2368" s="29">
        <v>45636.630948356484</v>
      </c>
      <c r="V2368" s="29"/>
      <c r="W2368" s="30"/>
      <c r="X2368" s="148">
        <v>45636.0</v>
      </c>
      <c r="Y2368" s="31"/>
      <c r="Z2368" s="31"/>
      <c r="AA2368" s="31" t="s">
        <v>3059</v>
      </c>
      <c r="AB2368" s="31" t="s">
        <v>9357</v>
      </c>
      <c r="AC2368" s="31"/>
    </row>
    <row r="2369" ht="18.75" customHeight="1">
      <c r="A2369" s="18" t="s">
        <v>9358</v>
      </c>
      <c r="B2369" s="19" t="s">
        <v>9359</v>
      </c>
      <c r="C2369" s="20">
        <v>0.0</v>
      </c>
      <c r="D2369" s="135" t="s">
        <v>9360</v>
      </c>
      <c r="E2369" s="27" t="s">
        <v>491</v>
      </c>
      <c r="F2369" s="18" t="s">
        <v>33</v>
      </c>
      <c r="G2369" s="32" t="s">
        <v>35</v>
      </c>
      <c r="H2369" s="23" t="s">
        <v>35</v>
      </c>
      <c r="I2369" s="24" t="s">
        <v>36</v>
      </c>
      <c r="J2369" s="34" t="s">
        <v>65</v>
      </c>
      <c r="K2369" s="26" t="s">
        <v>38</v>
      </c>
      <c r="L2369" s="25">
        <v>11545.0</v>
      </c>
      <c r="M2369" s="27" t="s">
        <v>50</v>
      </c>
      <c r="N2369" s="26" t="s">
        <v>5897</v>
      </c>
      <c r="O2369" s="28">
        <v>45561.6970909838</v>
      </c>
      <c r="P2369" s="26" t="s">
        <v>9361</v>
      </c>
      <c r="Q2369" s="11" t="s">
        <v>67</v>
      </c>
      <c r="R2369" s="11" t="s">
        <v>67</v>
      </c>
      <c r="S2369" s="11" t="s">
        <v>101</v>
      </c>
      <c r="T2369" s="29">
        <v>45551.69605222222</v>
      </c>
      <c r="U2369" s="29">
        <v>45552.6426459375</v>
      </c>
      <c r="V2369" s="29">
        <v>45555.464960694444</v>
      </c>
      <c r="W2369" s="30"/>
      <c r="X2369" s="30"/>
      <c r="Y2369" s="31"/>
      <c r="Z2369" s="31"/>
      <c r="AA2369" s="31" t="s">
        <v>3053</v>
      </c>
      <c r="AB2369" s="31" t="s">
        <v>9362</v>
      </c>
      <c r="AC2369" s="31"/>
    </row>
    <row r="2370" ht="18.75" customHeight="1">
      <c r="A2370" s="18" t="s">
        <v>9363</v>
      </c>
      <c r="B2370" s="19" t="s">
        <v>9359</v>
      </c>
      <c r="C2370" s="20">
        <v>0.0</v>
      </c>
      <c r="D2370" s="135" t="s">
        <v>9364</v>
      </c>
      <c r="E2370" s="27" t="s">
        <v>491</v>
      </c>
      <c r="F2370" s="18" t="s">
        <v>33</v>
      </c>
      <c r="G2370" s="32" t="s">
        <v>35</v>
      </c>
      <c r="H2370" s="23" t="s">
        <v>35</v>
      </c>
      <c r="I2370" s="24" t="s">
        <v>36</v>
      </c>
      <c r="J2370" s="34" t="s">
        <v>65</v>
      </c>
      <c r="K2370" s="26" t="s">
        <v>38</v>
      </c>
      <c r="L2370" s="25">
        <v>11545.0</v>
      </c>
      <c r="M2370" s="27" t="s">
        <v>50</v>
      </c>
      <c r="N2370" s="26" t="s">
        <v>5897</v>
      </c>
      <c r="O2370" s="28">
        <v>45561.697232175924</v>
      </c>
      <c r="P2370" s="26" t="s">
        <v>9361</v>
      </c>
      <c r="Q2370" s="11" t="s">
        <v>67</v>
      </c>
      <c r="R2370" s="11" t="s">
        <v>67</v>
      </c>
      <c r="S2370" s="11" t="s">
        <v>101</v>
      </c>
      <c r="T2370" s="29">
        <v>45551.696190856484</v>
      </c>
      <c r="U2370" s="29">
        <v>45552.64266291667</v>
      </c>
      <c r="V2370" s="29">
        <v>45558.348450115736</v>
      </c>
      <c r="W2370" s="30"/>
      <c r="X2370" s="30"/>
      <c r="Y2370" s="31"/>
      <c r="Z2370" s="31"/>
      <c r="AA2370" s="31" t="s">
        <v>3053</v>
      </c>
      <c r="AB2370" s="31" t="s">
        <v>9365</v>
      </c>
      <c r="AC2370" s="31"/>
    </row>
    <row r="2371" ht="18.75" customHeight="1">
      <c r="A2371" s="18" t="s">
        <v>9366</v>
      </c>
      <c r="B2371" s="19" t="s">
        <v>9359</v>
      </c>
      <c r="C2371" s="20">
        <v>0.0</v>
      </c>
      <c r="D2371" s="135" t="s">
        <v>9367</v>
      </c>
      <c r="E2371" s="27" t="s">
        <v>491</v>
      </c>
      <c r="F2371" s="18" t="s">
        <v>33</v>
      </c>
      <c r="G2371" s="32" t="s">
        <v>35</v>
      </c>
      <c r="H2371" s="23" t="s">
        <v>35</v>
      </c>
      <c r="I2371" s="24" t="s">
        <v>36</v>
      </c>
      <c r="J2371" s="34" t="s">
        <v>65</v>
      </c>
      <c r="K2371" s="26" t="s">
        <v>38</v>
      </c>
      <c r="L2371" s="25">
        <v>11545.0</v>
      </c>
      <c r="M2371" s="27" t="s">
        <v>50</v>
      </c>
      <c r="N2371" s="26" t="s">
        <v>5897</v>
      </c>
      <c r="O2371" s="28">
        <v>45561.69743777778</v>
      </c>
      <c r="P2371" s="26" t="s">
        <v>9361</v>
      </c>
      <c r="Q2371" s="11" t="s">
        <v>67</v>
      </c>
      <c r="R2371" s="11" t="s">
        <v>67</v>
      </c>
      <c r="S2371" s="11" t="s">
        <v>101</v>
      </c>
      <c r="T2371" s="29">
        <v>45551.69640493055</v>
      </c>
      <c r="U2371" s="29">
        <v>45552.642686273146</v>
      </c>
      <c r="V2371" s="29">
        <v>45559.383853356485</v>
      </c>
      <c r="W2371" s="30"/>
      <c r="X2371" s="30"/>
      <c r="Y2371" s="31"/>
      <c r="Z2371" s="31"/>
      <c r="AA2371" s="31" t="s">
        <v>3053</v>
      </c>
      <c r="AB2371" s="31" t="s">
        <v>9368</v>
      </c>
      <c r="AC2371" s="31"/>
    </row>
    <row r="2372" ht="18.75" customHeight="1">
      <c r="A2372" s="18" t="s">
        <v>9369</v>
      </c>
      <c r="B2372" s="19" t="s">
        <v>9359</v>
      </c>
      <c r="C2372" s="20">
        <v>0.0</v>
      </c>
      <c r="D2372" s="135" t="s">
        <v>9370</v>
      </c>
      <c r="E2372" s="27" t="s">
        <v>491</v>
      </c>
      <c r="F2372" s="18" t="s">
        <v>33</v>
      </c>
      <c r="G2372" s="32" t="s">
        <v>35</v>
      </c>
      <c r="H2372" s="23" t="s">
        <v>35</v>
      </c>
      <c r="I2372" s="24" t="s">
        <v>36</v>
      </c>
      <c r="J2372" s="34" t="s">
        <v>65</v>
      </c>
      <c r="K2372" s="26" t="s">
        <v>38</v>
      </c>
      <c r="L2372" s="25">
        <v>11545.0</v>
      </c>
      <c r="M2372" s="27" t="s">
        <v>50</v>
      </c>
      <c r="N2372" s="26" t="s">
        <v>5897</v>
      </c>
      <c r="O2372" s="28">
        <v>45561.69730280092</v>
      </c>
      <c r="P2372" s="26" t="s">
        <v>9361</v>
      </c>
      <c r="Q2372" s="11" t="s">
        <v>67</v>
      </c>
      <c r="R2372" s="11" t="s">
        <v>67</v>
      </c>
      <c r="S2372" s="11" t="s">
        <v>101</v>
      </c>
      <c r="T2372" s="29">
        <v>45551.69625971065</v>
      </c>
      <c r="U2372" s="29">
        <v>45552.64266753472</v>
      </c>
      <c r="V2372" s="29">
        <v>45558.348535173616</v>
      </c>
      <c r="W2372" s="30"/>
      <c r="X2372" s="30"/>
      <c r="Y2372" s="31"/>
      <c r="Z2372" s="31"/>
      <c r="AA2372" s="31" t="s">
        <v>3053</v>
      </c>
      <c r="AB2372" s="31" t="s">
        <v>9371</v>
      </c>
      <c r="AC2372" s="31"/>
    </row>
    <row r="2373" ht="18.75" customHeight="1">
      <c r="A2373" s="18" t="s">
        <v>9372</v>
      </c>
      <c r="B2373" s="19" t="s">
        <v>9359</v>
      </c>
      <c r="C2373" s="20">
        <v>0.0</v>
      </c>
      <c r="D2373" s="135" t="s">
        <v>9373</v>
      </c>
      <c r="E2373" s="27" t="s">
        <v>491</v>
      </c>
      <c r="F2373" s="18" t="s">
        <v>33</v>
      </c>
      <c r="G2373" s="32" t="s">
        <v>35</v>
      </c>
      <c r="H2373" s="23" t="s">
        <v>35</v>
      </c>
      <c r="I2373" s="24" t="s">
        <v>36</v>
      </c>
      <c r="J2373" s="34" t="s">
        <v>65</v>
      </c>
      <c r="K2373" s="26" t="s">
        <v>38</v>
      </c>
      <c r="L2373" s="25">
        <v>11545.0</v>
      </c>
      <c r="M2373" s="27" t="s">
        <v>50</v>
      </c>
      <c r="N2373" s="26" t="s">
        <v>5897</v>
      </c>
      <c r="O2373" s="28">
        <v>45561.697160972224</v>
      </c>
      <c r="P2373" s="26" t="s">
        <v>9361</v>
      </c>
      <c r="Q2373" s="11" t="s">
        <v>67</v>
      </c>
      <c r="R2373" s="11" t="s">
        <v>67</v>
      </c>
      <c r="S2373" s="11" t="s">
        <v>101</v>
      </c>
      <c r="T2373" s="29">
        <v>45551.69611914352</v>
      </c>
      <c r="U2373" s="29">
        <v>45552.6426550926</v>
      </c>
      <c r="V2373" s="29">
        <v>45555.33228081018</v>
      </c>
      <c r="W2373" s="30"/>
      <c r="X2373" s="30"/>
      <c r="Y2373" s="31"/>
      <c r="Z2373" s="31"/>
      <c r="AA2373" s="31" t="s">
        <v>3053</v>
      </c>
      <c r="AB2373" s="31" t="s">
        <v>9374</v>
      </c>
      <c r="AC2373" s="31"/>
    </row>
    <row r="2374" ht="18.75" customHeight="1">
      <c r="A2374" s="18" t="s">
        <v>9375</v>
      </c>
      <c r="B2374" s="19" t="s">
        <v>9359</v>
      </c>
      <c r="C2374" s="20">
        <v>0.0</v>
      </c>
      <c r="D2374" s="135" t="s">
        <v>9376</v>
      </c>
      <c r="E2374" s="27" t="s">
        <v>2089</v>
      </c>
      <c r="F2374" s="18" t="s">
        <v>33</v>
      </c>
      <c r="G2374" s="32" t="s">
        <v>35</v>
      </c>
      <c r="H2374" s="23" t="s">
        <v>35</v>
      </c>
      <c r="I2374" s="24" t="s">
        <v>36</v>
      </c>
      <c r="J2374" s="34" t="s">
        <v>65</v>
      </c>
      <c r="K2374" s="26" t="s">
        <v>38</v>
      </c>
      <c r="L2374" s="25">
        <v>11545.0</v>
      </c>
      <c r="M2374" s="27" t="s">
        <v>50</v>
      </c>
      <c r="N2374" s="26" t="s">
        <v>5897</v>
      </c>
      <c r="O2374" s="28">
        <v>45561.697371828704</v>
      </c>
      <c r="P2374" s="26" t="s">
        <v>9361</v>
      </c>
      <c r="Q2374" s="11" t="s">
        <v>67</v>
      </c>
      <c r="R2374" s="11" t="s">
        <v>67</v>
      </c>
      <c r="S2374" s="11" t="s">
        <v>101</v>
      </c>
      <c r="T2374" s="29">
        <v>45551.69634239584</v>
      </c>
      <c r="U2374" s="29">
        <v>45552.64267203704</v>
      </c>
      <c r="V2374" s="29">
        <v>45559.37293168981</v>
      </c>
      <c r="W2374" s="30"/>
      <c r="X2374" s="30"/>
      <c r="Y2374" s="31"/>
      <c r="Z2374" s="31"/>
      <c r="AA2374" s="31" t="s">
        <v>3053</v>
      </c>
      <c r="AB2374" s="31" t="s">
        <v>9377</v>
      </c>
      <c r="AC2374" s="31"/>
    </row>
    <row r="2375" ht="18.75" customHeight="1">
      <c r="A2375" s="142" t="s">
        <v>9378</v>
      </c>
      <c r="B2375" s="19" t="s">
        <v>4215</v>
      </c>
      <c r="C2375" s="20">
        <v>0.0</v>
      </c>
      <c r="D2375" s="21" t="s">
        <v>9379</v>
      </c>
      <c r="E2375" s="22" t="s">
        <v>913</v>
      </c>
      <c r="F2375" s="18" t="s">
        <v>33</v>
      </c>
      <c r="G2375" s="32" t="s">
        <v>35</v>
      </c>
      <c r="H2375" s="23" t="s">
        <v>35</v>
      </c>
      <c r="I2375" s="24" t="s">
        <v>36</v>
      </c>
      <c r="J2375" s="25" t="s">
        <v>37</v>
      </c>
      <c r="K2375" s="26" t="s">
        <v>38</v>
      </c>
      <c r="L2375" s="25">
        <v>11578.0</v>
      </c>
      <c r="M2375" s="27" t="s">
        <v>50</v>
      </c>
      <c r="N2375" s="26" t="s">
        <v>4527</v>
      </c>
      <c r="O2375" s="28">
        <v>45566.63188291667</v>
      </c>
      <c r="P2375" s="26" t="s">
        <v>9380</v>
      </c>
      <c r="Q2375" s="11" t="s">
        <v>67</v>
      </c>
      <c r="R2375" s="11" t="s">
        <v>67</v>
      </c>
      <c r="S2375" s="11" t="s">
        <v>101</v>
      </c>
      <c r="T2375" s="29">
        <v>45552.362060150466</v>
      </c>
      <c r="U2375" s="29">
        <v>45552.38076972222</v>
      </c>
      <c r="V2375" s="29">
        <v>45565.48697060185</v>
      </c>
      <c r="W2375" s="30"/>
      <c r="X2375" s="30"/>
      <c r="Y2375" s="31"/>
      <c r="Z2375" s="31"/>
      <c r="AA2375" s="31" t="s">
        <v>120</v>
      </c>
      <c r="AB2375" s="31" t="s">
        <v>9381</v>
      </c>
      <c r="AC2375" s="31"/>
    </row>
    <row r="2376" ht="18.75" customHeight="1">
      <c r="A2376" s="142" t="s">
        <v>9382</v>
      </c>
      <c r="B2376" s="19" t="s">
        <v>8907</v>
      </c>
      <c r="C2376" s="20">
        <v>90.0</v>
      </c>
      <c r="D2376" s="21" t="s">
        <v>9383</v>
      </c>
      <c r="E2376" s="27" t="s">
        <v>91</v>
      </c>
      <c r="F2376" s="18" t="s">
        <v>48</v>
      </c>
      <c r="G2376" s="32" t="s">
        <v>35</v>
      </c>
      <c r="H2376" s="23" t="s">
        <v>35</v>
      </c>
      <c r="I2376" s="37" t="s">
        <v>36</v>
      </c>
      <c r="J2376" s="34" t="s">
        <v>65</v>
      </c>
      <c r="K2376" s="26" t="s">
        <v>38</v>
      </c>
      <c r="L2376" s="25">
        <v>11635.0</v>
      </c>
      <c r="M2376" s="27" t="s">
        <v>50</v>
      </c>
      <c r="N2376" s="26" t="s">
        <v>8104</v>
      </c>
      <c r="O2376" s="28">
        <v>45573.66249371528</v>
      </c>
      <c r="P2376" s="26" t="s">
        <v>9384</v>
      </c>
      <c r="Q2376" s="11"/>
      <c r="R2376" s="11" t="s">
        <v>67</v>
      </c>
      <c r="S2376" s="11" t="s">
        <v>50</v>
      </c>
      <c r="T2376" s="29">
        <v>45551.0</v>
      </c>
      <c r="U2376" s="29">
        <v>45561.65691787037</v>
      </c>
      <c r="V2376" s="29">
        <v>45573.45622255787</v>
      </c>
      <c r="W2376" s="30"/>
      <c r="X2376" s="30"/>
      <c r="Y2376" s="31"/>
      <c r="Z2376" s="31"/>
      <c r="AA2376" s="31" t="s">
        <v>3059</v>
      </c>
      <c r="AB2376" s="31" t="s">
        <v>9385</v>
      </c>
      <c r="AC2376" s="31"/>
    </row>
    <row r="2377" ht="18.75" customHeight="1">
      <c r="A2377" s="18" t="s">
        <v>9386</v>
      </c>
      <c r="B2377" s="19" t="s">
        <v>9387</v>
      </c>
      <c r="C2377" s="20">
        <v>1.0</v>
      </c>
      <c r="D2377" s="21" t="s">
        <v>9388</v>
      </c>
      <c r="E2377" s="27" t="s">
        <v>3395</v>
      </c>
      <c r="F2377" s="18" t="s">
        <v>48</v>
      </c>
      <c r="G2377" s="32" t="s">
        <v>35</v>
      </c>
      <c r="H2377" s="23" t="s">
        <v>35</v>
      </c>
      <c r="I2377" s="37" t="s">
        <v>36</v>
      </c>
      <c r="J2377" s="34" t="s">
        <v>9338</v>
      </c>
      <c r="K2377" s="26" t="s">
        <v>38</v>
      </c>
      <c r="L2377" s="25">
        <v>11858.0</v>
      </c>
      <c r="M2377" s="27" t="s">
        <v>50</v>
      </c>
      <c r="N2377" s="26" t="s">
        <v>9389</v>
      </c>
      <c r="O2377" s="28">
        <v>45596.660518749995</v>
      </c>
      <c r="P2377" s="26" t="s">
        <v>9390</v>
      </c>
      <c r="Q2377" s="11" t="s">
        <v>67</v>
      </c>
      <c r="R2377" s="11" t="s">
        <v>67</v>
      </c>
      <c r="S2377" s="11" t="s">
        <v>50</v>
      </c>
      <c r="T2377" s="29">
        <v>45552.36518872685</v>
      </c>
      <c r="U2377" s="29">
        <v>45579.613951666666</v>
      </c>
      <c r="V2377" s="29">
        <v>45594.43712565972</v>
      </c>
      <c r="W2377" s="38"/>
      <c r="X2377" s="30"/>
      <c r="Y2377" s="31"/>
      <c r="Z2377" s="31"/>
      <c r="AA2377" s="31" t="s">
        <v>3059</v>
      </c>
      <c r="AB2377" s="31" t="s">
        <v>9391</v>
      </c>
      <c r="AC2377" s="31"/>
    </row>
    <row r="2378" ht="18.75" customHeight="1">
      <c r="A2378" s="18" t="s">
        <v>9392</v>
      </c>
      <c r="B2378" s="19" t="s">
        <v>9387</v>
      </c>
      <c r="C2378" s="20">
        <v>27.0</v>
      </c>
      <c r="D2378" s="39" t="s">
        <v>9393</v>
      </c>
      <c r="E2378" s="27" t="s">
        <v>72</v>
      </c>
      <c r="F2378" s="18" t="s">
        <v>48</v>
      </c>
      <c r="G2378" s="32" t="s">
        <v>35</v>
      </c>
      <c r="H2378" s="23" t="s">
        <v>35</v>
      </c>
      <c r="I2378" s="37" t="s">
        <v>36</v>
      </c>
      <c r="J2378" s="34" t="s">
        <v>9338</v>
      </c>
      <c r="K2378" s="26" t="s">
        <v>38</v>
      </c>
      <c r="L2378" s="25">
        <v>11858.0</v>
      </c>
      <c r="M2378" s="27" t="s">
        <v>50</v>
      </c>
      <c r="N2378" s="26" t="s">
        <v>9389</v>
      </c>
      <c r="O2378" s="28">
        <v>45596.66038951389</v>
      </c>
      <c r="P2378" s="26" t="s">
        <v>9390</v>
      </c>
      <c r="Q2378" s="11" t="s">
        <v>67</v>
      </c>
      <c r="R2378" s="11" t="s">
        <v>67</v>
      </c>
      <c r="S2378" s="11" t="s">
        <v>50</v>
      </c>
      <c r="T2378" s="29">
        <v>45593.67469349537</v>
      </c>
      <c r="U2378" s="29">
        <v>45593.67469667824</v>
      </c>
      <c r="V2378" s="29">
        <v>45594.437602708334</v>
      </c>
      <c r="W2378" s="38"/>
      <c r="X2378" s="30"/>
      <c r="Y2378" s="31"/>
      <c r="Z2378" s="31"/>
      <c r="AA2378" s="31" t="s">
        <v>3059</v>
      </c>
      <c r="AB2378" s="31" t="s">
        <v>9394</v>
      </c>
      <c r="AC2378" s="31"/>
    </row>
    <row r="2379" ht="18.75" customHeight="1">
      <c r="A2379" s="18" t="s">
        <v>9395</v>
      </c>
      <c r="B2379" s="19" t="s">
        <v>9387</v>
      </c>
      <c r="C2379" s="20">
        <v>90.0</v>
      </c>
      <c r="D2379" s="21" t="s">
        <v>9396</v>
      </c>
      <c r="E2379" s="27" t="s">
        <v>91</v>
      </c>
      <c r="F2379" s="18" t="s">
        <v>48</v>
      </c>
      <c r="G2379" s="32" t="s">
        <v>35</v>
      </c>
      <c r="H2379" s="23" t="s">
        <v>35</v>
      </c>
      <c r="I2379" s="37" t="s">
        <v>36</v>
      </c>
      <c r="J2379" s="34" t="s">
        <v>9338</v>
      </c>
      <c r="K2379" s="26" t="s">
        <v>38</v>
      </c>
      <c r="L2379" s="25">
        <v>11858.0</v>
      </c>
      <c r="M2379" s="27" t="s">
        <v>50</v>
      </c>
      <c r="N2379" s="26" t="s">
        <v>9389</v>
      </c>
      <c r="O2379" s="28">
        <v>45596.65979103009</v>
      </c>
      <c r="P2379" s="26" t="s">
        <v>9390</v>
      </c>
      <c r="Q2379" s="11" t="s">
        <v>67</v>
      </c>
      <c r="R2379" s="11" t="s">
        <v>67</v>
      </c>
      <c r="S2379" s="11" t="s">
        <v>50</v>
      </c>
      <c r="T2379" s="29">
        <v>45552.36554084491</v>
      </c>
      <c r="U2379" s="29">
        <v>45579.61400402778</v>
      </c>
      <c r="V2379" s="29">
        <v>45594.43714232639</v>
      </c>
      <c r="W2379" s="38"/>
      <c r="X2379" s="30"/>
      <c r="Y2379" s="31"/>
      <c r="Z2379" s="31"/>
      <c r="AA2379" s="31" t="s">
        <v>3059</v>
      </c>
      <c r="AB2379" s="31" t="s">
        <v>9397</v>
      </c>
      <c r="AC2379" s="31"/>
    </row>
    <row r="2380" ht="18.75" customHeight="1">
      <c r="A2380" s="142" t="s">
        <v>9398</v>
      </c>
      <c r="B2380" s="19" t="s">
        <v>9399</v>
      </c>
      <c r="C2380" s="20">
        <v>1.0</v>
      </c>
      <c r="D2380" s="21" t="s">
        <v>9400</v>
      </c>
      <c r="E2380" s="27" t="s">
        <v>3395</v>
      </c>
      <c r="F2380" s="18" t="s">
        <v>48</v>
      </c>
      <c r="G2380" s="32" t="s">
        <v>35</v>
      </c>
      <c r="H2380" s="23" t="s">
        <v>35</v>
      </c>
      <c r="I2380" s="37" t="s">
        <v>36</v>
      </c>
      <c r="J2380" s="34" t="s">
        <v>65</v>
      </c>
      <c r="K2380" s="26" t="s">
        <v>38</v>
      </c>
      <c r="L2380" s="25">
        <v>11642.0</v>
      </c>
      <c r="M2380" s="27" t="s">
        <v>50</v>
      </c>
      <c r="N2380" s="26" t="s">
        <v>8104</v>
      </c>
      <c r="O2380" s="28">
        <v>45573.66249371528</v>
      </c>
      <c r="P2380" s="26" t="s">
        <v>9401</v>
      </c>
      <c r="Q2380" s="11" t="s">
        <v>67</v>
      </c>
      <c r="R2380" s="11" t="s">
        <v>67</v>
      </c>
      <c r="S2380" s="11" t="s">
        <v>50</v>
      </c>
      <c r="T2380" s="29">
        <v>45553.35305819444</v>
      </c>
      <c r="U2380" s="29">
        <v>45562.38090232639</v>
      </c>
      <c r="V2380" s="29">
        <v>45573.50173153935</v>
      </c>
      <c r="W2380" s="30"/>
      <c r="X2380" s="30"/>
      <c r="Y2380" s="31"/>
      <c r="Z2380" s="31"/>
      <c r="AA2380" s="31" t="s">
        <v>94</v>
      </c>
      <c r="AB2380" s="31" t="s">
        <v>9402</v>
      </c>
      <c r="AC2380" s="31"/>
    </row>
    <row r="2381" ht="18.75" customHeight="1">
      <c r="A2381" s="142" t="s">
        <v>9403</v>
      </c>
      <c r="B2381" s="19" t="s">
        <v>3669</v>
      </c>
      <c r="C2381" s="20">
        <v>0.0</v>
      </c>
      <c r="D2381" s="135" t="s">
        <v>9404</v>
      </c>
      <c r="E2381" s="27" t="s">
        <v>251</v>
      </c>
      <c r="F2381" s="18" t="s">
        <v>33</v>
      </c>
      <c r="G2381" s="18" t="s">
        <v>34</v>
      </c>
      <c r="H2381" s="23" t="s">
        <v>35</v>
      </c>
      <c r="I2381" s="24" t="s">
        <v>36</v>
      </c>
      <c r="J2381" s="25" t="s">
        <v>420</v>
      </c>
      <c r="K2381" s="26" t="s">
        <v>38</v>
      </c>
      <c r="L2381" s="25">
        <v>11549.0</v>
      </c>
      <c r="M2381" s="27" t="s">
        <v>50</v>
      </c>
      <c r="N2381" s="26" t="s">
        <v>4031</v>
      </c>
      <c r="O2381" s="28">
        <v>45560.57664979166</v>
      </c>
      <c r="P2381" s="26" t="s">
        <v>9405</v>
      </c>
      <c r="Q2381" s="11" t="s">
        <v>67</v>
      </c>
      <c r="R2381" s="11" t="s">
        <v>67</v>
      </c>
      <c r="S2381" s="11" t="s">
        <v>101</v>
      </c>
      <c r="T2381" s="29">
        <v>45553.35419967593</v>
      </c>
      <c r="U2381" s="29">
        <v>45553.60272606481</v>
      </c>
      <c r="V2381" s="29">
        <v>45559.37285847223</v>
      </c>
      <c r="W2381" s="30"/>
      <c r="X2381" s="30"/>
      <c r="Y2381" s="31"/>
      <c r="Z2381" s="31"/>
      <c r="AA2381" s="31" t="s">
        <v>120</v>
      </c>
      <c r="AB2381" s="31" t="s">
        <v>9406</v>
      </c>
      <c r="AC2381" s="31"/>
    </row>
    <row r="2382" ht="18.75" customHeight="1">
      <c r="A2382" s="142" t="s">
        <v>9407</v>
      </c>
      <c r="B2382" s="19" t="s">
        <v>3377</v>
      </c>
      <c r="C2382" s="20">
        <v>11.0</v>
      </c>
      <c r="D2382" s="21" t="s">
        <v>9408</v>
      </c>
      <c r="E2382" s="27" t="s">
        <v>112</v>
      </c>
      <c r="F2382" s="18" t="s">
        <v>48</v>
      </c>
      <c r="G2382" s="32" t="s">
        <v>35</v>
      </c>
      <c r="H2382" s="23" t="s">
        <v>35</v>
      </c>
      <c r="I2382" s="24" t="s">
        <v>36</v>
      </c>
      <c r="J2382" s="34" t="s">
        <v>65</v>
      </c>
      <c r="K2382" s="26" t="s">
        <v>38</v>
      </c>
      <c r="L2382" s="25">
        <v>11515.0</v>
      </c>
      <c r="M2382" s="27" t="s">
        <v>50</v>
      </c>
      <c r="N2382" s="26" t="s">
        <v>51</v>
      </c>
      <c r="O2382" s="28">
        <v>45553.57886732639</v>
      </c>
      <c r="P2382" s="26" t="s">
        <v>9409</v>
      </c>
      <c r="Q2382" s="11" t="s">
        <v>67</v>
      </c>
      <c r="R2382" s="11" t="s">
        <v>67</v>
      </c>
      <c r="S2382" s="11"/>
      <c r="T2382" s="29">
        <v>45553.57886732639</v>
      </c>
      <c r="U2382" s="29">
        <v>45553.57886732639</v>
      </c>
      <c r="V2382" s="29">
        <v>45553.57886732639</v>
      </c>
      <c r="W2382" s="30"/>
      <c r="X2382" s="30"/>
      <c r="Y2382" s="31"/>
      <c r="Z2382" s="31"/>
      <c r="AA2382" s="31" t="s">
        <v>94</v>
      </c>
      <c r="AB2382" s="31" t="s">
        <v>9410</v>
      </c>
      <c r="AC2382" s="31"/>
    </row>
    <row r="2383" ht="18.75" customHeight="1">
      <c r="A2383" s="142" t="s">
        <v>9411</v>
      </c>
      <c r="B2383" s="19" t="s">
        <v>8675</v>
      </c>
      <c r="C2383" s="20">
        <v>90.0</v>
      </c>
      <c r="D2383" s="21" t="s">
        <v>9412</v>
      </c>
      <c r="E2383" s="27" t="s">
        <v>91</v>
      </c>
      <c r="F2383" s="18" t="s">
        <v>48</v>
      </c>
      <c r="G2383" s="32" t="s">
        <v>35</v>
      </c>
      <c r="H2383" s="23" t="s">
        <v>35</v>
      </c>
      <c r="I2383" s="24" t="s">
        <v>36</v>
      </c>
      <c r="J2383" s="25" t="s">
        <v>49</v>
      </c>
      <c r="K2383" s="26" t="s">
        <v>838</v>
      </c>
      <c r="L2383" s="25">
        <v>11620.0</v>
      </c>
      <c r="M2383" s="22" t="s">
        <v>50</v>
      </c>
      <c r="N2383" s="35" t="s">
        <v>8199</v>
      </c>
      <c r="O2383" s="28">
        <v>45573.64878472222</v>
      </c>
      <c r="P2383" s="26" t="s">
        <v>9413</v>
      </c>
      <c r="Q2383" s="11" t="s">
        <v>67</v>
      </c>
      <c r="R2383" s="11" t="s">
        <v>67</v>
      </c>
      <c r="S2383" s="11" t="s">
        <v>50</v>
      </c>
      <c r="T2383" s="29">
        <v>45553.36754475694</v>
      </c>
      <c r="U2383" s="29">
        <v>45553.6041178125</v>
      </c>
      <c r="V2383" s="29">
        <v>45573.41350730324</v>
      </c>
      <c r="W2383" s="30"/>
      <c r="X2383" s="30"/>
      <c r="Y2383" s="31"/>
      <c r="Z2383" s="31"/>
      <c r="AA2383" s="31" t="s">
        <v>5290</v>
      </c>
      <c r="AB2383" s="31" t="s">
        <v>9414</v>
      </c>
      <c r="AC2383" s="31"/>
    </row>
    <row r="2384" ht="18.75" customHeight="1">
      <c r="A2384" s="142" t="s">
        <v>9415</v>
      </c>
      <c r="B2384" s="19" t="s">
        <v>4035</v>
      </c>
      <c r="C2384" s="20">
        <v>137.0</v>
      </c>
      <c r="D2384" s="21" t="s">
        <v>9416</v>
      </c>
      <c r="E2384" s="27" t="s">
        <v>85</v>
      </c>
      <c r="F2384" s="18" t="s">
        <v>48</v>
      </c>
      <c r="G2384" s="32" t="s">
        <v>35</v>
      </c>
      <c r="H2384" s="23" t="s">
        <v>35</v>
      </c>
      <c r="I2384" s="24" t="s">
        <v>36</v>
      </c>
      <c r="J2384" s="25" t="s">
        <v>49</v>
      </c>
      <c r="K2384" s="26" t="s">
        <v>38</v>
      </c>
      <c r="L2384" s="25">
        <v>11521.0</v>
      </c>
      <c r="M2384" s="27" t="s">
        <v>50</v>
      </c>
      <c r="N2384" s="26" t="s">
        <v>99</v>
      </c>
      <c r="O2384" s="28">
        <v>45554.63961533565</v>
      </c>
      <c r="P2384" s="26" t="s">
        <v>9417</v>
      </c>
      <c r="Q2384" s="11" t="s">
        <v>67</v>
      </c>
      <c r="R2384" s="11" t="s">
        <v>67</v>
      </c>
      <c r="S2384" s="11" t="s">
        <v>50</v>
      </c>
      <c r="T2384" s="29">
        <v>45553.35733626157</v>
      </c>
      <c r="U2384" s="29">
        <v>45553.581777175925</v>
      </c>
      <c r="V2384" s="29">
        <v>45554.479881990745</v>
      </c>
      <c r="W2384" s="30"/>
      <c r="X2384" s="30"/>
      <c r="Y2384" s="31"/>
      <c r="Z2384" s="31"/>
      <c r="AA2384" s="31" t="s">
        <v>94</v>
      </c>
      <c r="AB2384" s="31" t="s">
        <v>9418</v>
      </c>
      <c r="AC2384" s="31"/>
    </row>
    <row r="2385" ht="18.75" customHeight="1">
      <c r="A2385" s="142" t="s">
        <v>9419</v>
      </c>
      <c r="B2385" s="19" t="s">
        <v>4215</v>
      </c>
      <c r="C2385" s="20">
        <v>0.0</v>
      </c>
      <c r="D2385" s="135" t="s">
        <v>9420</v>
      </c>
      <c r="E2385" s="27" t="s">
        <v>301</v>
      </c>
      <c r="F2385" s="18" t="s">
        <v>33</v>
      </c>
      <c r="G2385" s="32" t="s">
        <v>35</v>
      </c>
      <c r="H2385" s="23" t="s">
        <v>35</v>
      </c>
      <c r="I2385" s="24" t="s">
        <v>36</v>
      </c>
      <c r="J2385" s="25" t="s">
        <v>37</v>
      </c>
      <c r="K2385" s="26" t="s">
        <v>38</v>
      </c>
      <c r="L2385" s="25">
        <v>11568.0</v>
      </c>
      <c r="M2385" s="27" t="s">
        <v>50</v>
      </c>
      <c r="N2385" s="26" t="s">
        <v>41</v>
      </c>
      <c r="O2385" s="28">
        <v>45565.60063872686</v>
      </c>
      <c r="P2385" s="26" t="s">
        <v>9421</v>
      </c>
      <c r="Q2385" s="11" t="s">
        <v>67</v>
      </c>
      <c r="R2385" s="11" t="s">
        <v>67</v>
      </c>
      <c r="S2385" s="11" t="s">
        <v>101</v>
      </c>
      <c r="T2385" s="29">
        <v>45553.35874516204</v>
      </c>
      <c r="U2385" s="29">
        <v>45553.602610671296</v>
      </c>
      <c r="V2385" s="29">
        <v>45561.344921192125</v>
      </c>
      <c r="W2385" s="30"/>
      <c r="X2385" s="30"/>
      <c r="Y2385" s="31"/>
      <c r="Z2385" s="31"/>
      <c r="AA2385" s="31" t="s">
        <v>120</v>
      </c>
      <c r="AB2385" s="31" t="s">
        <v>9422</v>
      </c>
      <c r="AC2385" s="31"/>
    </row>
    <row r="2386" ht="18.75" customHeight="1">
      <c r="A2386" s="142" t="s">
        <v>9423</v>
      </c>
      <c r="B2386" s="19" t="s">
        <v>9424</v>
      </c>
      <c r="C2386" s="20">
        <v>11.0</v>
      </c>
      <c r="D2386" s="21" t="s">
        <v>9425</v>
      </c>
      <c r="E2386" s="27" t="s">
        <v>112</v>
      </c>
      <c r="F2386" s="18" t="s">
        <v>48</v>
      </c>
      <c r="G2386" s="32" t="s">
        <v>35</v>
      </c>
      <c r="H2386" s="23" t="s">
        <v>35</v>
      </c>
      <c r="I2386" s="24" t="s">
        <v>36</v>
      </c>
      <c r="J2386" s="25" t="s">
        <v>420</v>
      </c>
      <c r="K2386" s="26" t="s">
        <v>38</v>
      </c>
      <c r="L2386" s="25">
        <v>11523.0</v>
      </c>
      <c r="M2386" s="27" t="s">
        <v>50</v>
      </c>
      <c r="N2386" s="26" t="s">
        <v>4031</v>
      </c>
      <c r="O2386" s="28">
        <v>45554.61569946759</v>
      </c>
      <c r="P2386" s="26" t="s">
        <v>9426</v>
      </c>
      <c r="Q2386" s="11" t="s">
        <v>67</v>
      </c>
      <c r="R2386" s="11" t="s">
        <v>67</v>
      </c>
      <c r="S2386" s="11" t="s">
        <v>50</v>
      </c>
      <c r="T2386" s="29">
        <v>45553.35957909722</v>
      </c>
      <c r="U2386" s="29">
        <v>45553.603141493055</v>
      </c>
      <c r="V2386" s="29">
        <v>45554.48544211806</v>
      </c>
      <c r="W2386" s="30"/>
      <c r="X2386" s="30"/>
      <c r="Y2386" s="31"/>
      <c r="Z2386" s="31"/>
      <c r="AA2386" s="31" t="s">
        <v>120</v>
      </c>
      <c r="AB2386" s="31" t="s">
        <v>9427</v>
      </c>
      <c r="AC2386" s="31"/>
    </row>
    <row r="2387" ht="18.75" customHeight="1">
      <c r="A2387" s="142" t="s">
        <v>9428</v>
      </c>
      <c r="B2387" s="19" t="s">
        <v>746</v>
      </c>
      <c r="C2387" s="20">
        <v>11.0</v>
      </c>
      <c r="D2387" s="21" t="s">
        <v>9429</v>
      </c>
      <c r="E2387" s="27" t="s">
        <v>112</v>
      </c>
      <c r="F2387" s="18" t="s">
        <v>48</v>
      </c>
      <c r="G2387" s="32" t="s">
        <v>35</v>
      </c>
      <c r="H2387" s="23" t="s">
        <v>35</v>
      </c>
      <c r="I2387" s="24" t="s">
        <v>36</v>
      </c>
      <c r="J2387" s="34" t="s">
        <v>65</v>
      </c>
      <c r="K2387" s="26" t="s">
        <v>38</v>
      </c>
      <c r="L2387" s="25">
        <v>11516.0</v>
      </c>
      <c r="M2387" s="27" t="s">
        <v>50</v>
      </c>
      <c r="N2387" s="26" t="s">
        <v>51</v>
      </c>
      <c r="O2387" s="28">
        <v>45553.58097976852</v>
      </c>
      <c r="P2387" s="26" t="s">
        <v>9430</v>
      </c>
      <c r="Q2387" s="11" t="s">
        <v>67</v>
      </c>
      <c r="R2387" s="11" t="s">
        <v>67</v>
      </c>
      <c r="S2387" s="11"/>
      <c r="T2387" s="29">
        <v>45553.58097976852</v>
      </c>
      <c r="U2387" s="29">
        <v>45553.58097976852</v>
      </c>
      <c r="V2387" s="29">
        <v>45553.58097976852</v>
      </c>
      <c r="W2387" s="30"/>
      <c r="X2387" s="30"/>
      <c r="Y2387" s="31"/>
      <c r="Z2387" s="31"/>
      <c r="AA2387" s="31" t="s">
        <v>94</v>
      </c>
      <c r="AB2387" s="31" t="s">
        <v>9431</v>
      </c>
      <c r="AC2387" s="31"/>
    </row>
    <row r="2388" ht="18.75" customHeight="1">
      <c r="A2388" s="18" t="s">
        <v>9432</v>
      </c>
      <c r="B2388" s="19" t="s">
        <v>5630</v>
      </c>
      <c r="C2388" s="20">
        <v>34.0</v>
      </c>
      <c r="D2388" s="21" t="s">
        <v>9433</v>
      </c>
      <c r="E2388" s="27" t="s">
        <v>47</v>
      </c>
      <c r="F2388" s="18" t="s">
        <v>48</v>
      </c>
      <c r="G2388" s="32" t="s">
        <v>35</v>
      </c>
      <c r="H2388" s="23" t="s">
        <v>35</v>
      </c>
      <c r="I2388" s="24" t="s">
        <v>36</v>
      </c>
      <c r="J2388" s="25" t="s">
        <v>49</v>
      </c>
      <c r="K2388" s="26" t="s">
        <v>38</v>
      </c>
      <c r="L2388" s="25">
        <v>11547.0</v>
      </c>
      <c r="M2388" s="27" t="s">
        <v>50</v>
      </c>
      <c r="N2388" s="26" t="s">
        <v>99</v>
      </c>
      <c r="O2388" s="28">
        <v>45561.39266939815</v>
      </c>
      <c r="P2388" s="26" t="s">
        <v>9434</v>
      </c>
      <c r="Q2388" s="11" t="s">
        <v>67</v>
      </c>
      <c r="R2388" s="11" t="s">
        <v>67</v>
      </c>
      <c r="S2388" s="11" t="s">
        <v>50</v>
      </c>
      <c r="T2388" s="29">
        <v>45553.36321717592</v>
      </c>
      <c r="U2388" s="29">
        <v>45560.440984409724</v>
      </c>
      <c r="V2388" s="29">
        <v>45560.46329439815</v>
      </c>
      <c r="W2388" s="30"/>
      <c r="X2388" s="30"/>
      <c r="Y2388" s="31"/>
      <c r="Z2388" s="31"/>
      <c r="AA2388" s="31" t="s">
        <v>102</v>
      </c>
      <c r="AB2388" s="31" t="s">
        <v>9435</v>
      </c>
      <c r="AC2388" s="31"/>
    </row>
    <row r="2389" ht="18.75" customHeight="1">
      <c r="A2389" s="18" t="s">
        <v>9436</v>
      </c>
      <c r="B2389" s="19" t="s">
        <v>5630</v>
      </c>
      <c r="C2389" s="20">
        <v>34.0</v>
      </c>
      <c r="D2389" s="21" t="s">
        <v>9437</v>
      </c>
      <c r="E2389" s="27" t="s">
        <v>47</v>
      </c>
      <c r="F2389" s="18" t="s">
        <v>48</v>
      </c>
      <c r="G2389" s="32" t="s">
        <v>35</v>
      </c>
      <c r="H2389" s="23" t="s">
        <v>35</v>
      </c>
      <c r="I2389" s="24" t="s">
        <v>36</v>
      </c>
      <c r="J2389" s="25" t="s">
        <v>49</v>
      </c>
      <c r="K2389" s="26" t="s">
        <v>38</v>
      </c>
      <c r="L2389" s="25">
        <v>11547.0</v>
      </c>
      <c r="M2389" s="27" t="s">
        <v>50</v>
      </c>
      <c r="N2389" s="26" t="s">
        <v>99</v>
      </c>
      <c r="O2389" s="28">
        <v>45561.39241219907</v>
      </c>
      <c r="P2389" s="26" t="s">
        <v>9434</v>
      </c>
      <c r="Q2389" s="11" t="s">
        <v>67</v>
      </c>
      <c r="R2389" s="11" t="s">
        <v>67</v>
      </c>
      <c r="S2389" s="11" t="s">
        <v>50</v>
      </c>
      <c r="T2389" s="29">
        <v>45553.36365935185</v>
      </c>
      <c r="U2389" s="29">
        <v>45560.44103368056</v>
      </c>
      <c r="V2389" s="29">
        <v>45560.46330236111</v>
      </c>
      <c r="W2389" s="30"/>
      <c r="X2389" s="30"/>
      <c r="Y2389" s="31"/>
      <c r="Z2389" s="31"/>
      <c r="AA2389" s="31" t="s">
        <v>102</v>
      </c>
      <c r="AB2389" s="31" t="s">
        <v>9438</v>
      </c>
      <c r="AC2389" s="31"/>
    </row>
    <row r="2390" ht="18.75" customHeight="1">
      <c r="A2390" s="18" t="s">
        <v>9439</v>
      </c>
      <c r="B2390" s="19" t="s">
        <v>5630</v>
      </c>
      <c r="C2390" s="20">
        <v>34.0</v>
      </c>
      <c r="D2390" s="21" t="s">
        <v>9440</v>
      </c>
      <c r="E2390" s="27" t="s">
        <v>47</v>
      </c>
      <c r="F2390" s="18" t="s">
        <v>48</v>
      </c>
      <c r="G2390" s="32" t="s">
        <v>35</v>
      </c>
      <c r="H2390" s="23" t="s">
        <v>35</v>
      </c>
      <c r="I2390" s="24" t="s">
        <v>36</v>
      </c>
      <c r="J2390" s="25" t="s">
        <v>49</v>
      </c>
      <c r="K2390" s="26" t="s">
        <v>38</v>
      </c>
      <c r="L2390" s="25">
        <v>11547.0</v>
      </c>
      <c r="M2390" s="27" t="s">
        <v>50</v>
      </c>
      <c r="N2390" s="26" t="s">
        <v>99</v>
      </c>
      <c r="O2390" s="28">
        <v>45561.392578831015</v>
      </c>
      <c r="P2390" s="26" t="s">
        <v>9434</v>
      </c>
      <c r="Q2390" s="11" t="s">
        <v>67</v>
      </c>
      <c r="R2390" s="11" t="s">
        <v>67</v>
      </c>
      <c r="S2390" s="11" t="s">
        <v>50</v>
      </c>
      <c r="T2390" s="29">
        <v>45553.36370716435</v>
      </c>
      <c r="U2390" s="29">
        <v>45560.44103726852</v>
      </c>
      <c r="V2390" s="29">
        <v>45560.46330982639</v>
      </c>
      <c r="W2390" s="30"/>
      <c r="X2390" s="30"/>
      <c r="Y2390" s="31"/>
      <c r="Z2390" s="31"/>
      <c r="AA2390" s="31" t="s">
        <v>102</v>
      </c>
      <c r="AB2390" s="31" t="s">
        <v>9441</v>
      </c>
      <c r="AC2390" s="31"/>
    </row>
    <row r="2391" ht="18.75" customHeight="1">
      <c r="A2391" s="142" t="s">
        <v>9442</v>
      </c>
      <c r="B2391" s="19" t="s">
        <v>7608</v>
      </c>
      <c r="C2391" s="20">
        <v>1.0</v>
      </c>
      <c r="D2391" s="21" t="s">
        <v>9443</v>
      </c>
      <c r="E2391" s="27" t="s">
        <v>3395</v>
      </c>
      <c r="F2391" s="18" t="s">
        <v>48</v>
      </c>
      <c r="G2391" s="32" t="s">
        <v>35</v>
      </c>
      <c r="H2391" s="23" t="s">
        <v>35</v>
      </c>
      <c r="I2391" s="24" t="s">
        <v>36</v>
      </c>
      <c r="J2391" s="25" t="s">
        <v>49</v>
      </c>
      <c r="K2391" s="26" t="s">
        <v>518</v>
      </c>
      <c r="L2391" s="25">
        <v>11608.0</v>
      </c>
      <c r="M2391" s="22" t="s">
        <v>50</v>
      </c>
      <c r="N2391" s="35" t="s">
        <v>8199</v>
      </c>
      <c r="O2391" s="28">
        <v>45573.64878472222</v>
      </c>
      <c r="P2391" s="26" t="s">
        <v>9444</v>
      </c>
      <c r="Q2391" s="11" t="s">
        <v>67</v>
      </c>
      <c r="R2391" s="11" t="s">
        <v>67</v>
      </c>
      <c r="S2391" s="11" t="s">
        <v>50</v>
      </c>
      <c r="T2391" s="29">
        <v>45553.62481704861</v>
      </c>
      <c r="U2391" s="29">
        <v>45555.49265306713</v>
      </c>
      <c r="V2391" s="29">
        <v>45573.305465613426</v>
      </c>
      <c r="W2391" s="30"/>
      <c r="X2391" s="30"/>
      <c r="Y2391" s="31"/>
      <c r="Z2391" s="31"/>
      <c r="AA2391" s="31" t="s">
        <v>108</v>
      </c>
      <c r="AB2391" s="31" t="s">
        <v>9445</v>
      </c>
      <c r="AC2391" s="31"/>
    </row>
    <row r="2392" ht="18.75" customHeight="1">
      <c r="A2392" s="18" t="s">
        <v>9446</v>
      </c>
      <c r="B2392" s="19" t="s">
        <v>122</v>
      </c>
      <c r="C2392" s="20">
        <v>11.0</v>
      </c>
      <c r="D2392" s="21" t="s">
        <v>9447</v>
      </c>
      <c r="E2392" s="27" t="s">
        <v>112</v>
      </c>
      <c r="F2392" s="18" t="s">
        <v>48</v>
      </c>
      <c r="G2392" s="32" t="s">
        <v>35</v>
      </c>
      <c r="H2392" s="23" t="s">
        <v>35</v>
      </c>
      <c r="I2392" s="24" t="s">
        <v>36</v>
      </c>
      <c r="J2392" s="25" t="s">
        <v>49</v>
      </c>
      <c r="K2392" s="26" t="s">
        <v>38</v>
      </c>
      <c r="L2392" s="25">
        <v>11518.0</v>
      </c>
      <c r="M2392" s="27" t="s">
        <v>50</v>
      </c>
      <c r="N2392" s="26" t="s">
        <v>99</v>
      </c>
      <c r="O2392" s="28">
        <v>45554.63972306713</v>
      </c>
      <c r="P2392" s="26" t="s">
        <v>9448</v>
      </c>
      <c r="Q2392" s="11" t="s">
        <v>67</v>
      </c>
      <c r="R2392" s="11" t="s">
        <v>67</v>
      </c>
      <c r="S2392" s="11" t="s">
        <v>50</v>
      </c>
      <c r="T2392" s="29">
        <v>45553.64521508102</v>
      </c>
      <c r="U2392" s="29">
        <v>45553.658631620376</v>
      </c>
      <c r="V2392" s="29">
        <v>45554.459406504626</v>
      </c>
      <c r="W2392" s="30"/>
      <c r="X2392" s="30"/>
      <c r="Y2392" s="31"/>
      <c r="Z2392" s="31"/>
      <c r="AA2392" s="31" t="s">
        <v>127</v>
      </c>
      <c r="AB2392" s="31" t="s">
        <v>9449</v>
      </c>
      <c r="AC2392" s="31"/>
    </row>
    <row r="2393" ht="18.75" customHeight="1">
      <c r="A2393" s="18" t="s">
        <v>9450</v>
      </c>
      <c r="B2393" s="19" t="s">
        <v>122</v>
      </c>
      <c r="C2393" s="20">
        <v>11.0</v>
      </c>
      <c r="D2393" s="21" t="s">
        <v>9451</v>
      </c>
      <c r="E2393" s="27" t="s">
        <v>112</v>
      </c>
      <c r="F2393" s="18" t="s">
        <v>48</v>
      </c>
      <c r="G2393" s="32" t="s">
        <v>35</v>
      </c>
      <c r="H2393" s="23" t="s">
        <v>35</v>
      </c>
      <c r="I2393" s="24" t="s">
        <v>36</v>
      </c>
      <c r="J2393" s="25" t="s">
        <v>49</v>
      </c>
      <c r="K2393" s="26" t="s">
        <v>38</v>
      </c>
      <c r="L2393" s="25">
        <v>11518.0</v>
      </c>
      <c r="M2393" s="27" t="s">
        <v>50</v>
      </c>
      <c r="N2393" s="26" t="s">
        <v>99</v>
      </c>
      <c r="O2393" s="28">
        <v>45554.63980246527</v>
      </c>
      <c r="P2393" s="26" t="s">
        <v>9448</v>
      </c>
      <c r="Q2393" s="11" t="s">
        <v>67</v>
      </c>
      <c r="R2393" s="11" t="s">
        <v>67</v>
      </c>
      <c r="S2393" s="11" t="s">
        <v>50</v>
      </c>
      <c r="T2393" s="29">
        <v>45553.64534640046</v>
      </c>
      <c r="U2393" s="29">
        <v>45553.65871548611</v>
      </c>
      <c r="V2393" s="29">
        <v>45554.45941851852</v>
      </c>
      <c r="W2393" s="30"/>
      <c r="X2393" s="30"/>
      <c r="Y2393" s="31"/>
      <c r="Z2393" s="31"/>
      <c r="AA2393" s="31" t="s">
        <v>127</v>
      </c>
      <c r="AB2393" s="31" t="s">
        <v>9452</v>
      </c>
      <c r="AC2393" s="31"/>
    </row>
    <row r="2394" ht="18.75" customHeight="1">
      <c r="A2394" s="18" t="s">
        <v>9453</v>
      </c>
      <c r="B2394" s="19" t="s">
        <v>4293</v>
      </c>
      <c r="C2394" s="20">
        <v>90.0</v>
      </c>
      <c r="D2394" s="21" t="s">
        <v>9454</v>
      </c>
      <c r="E2394" s="27" t="s">
        <v>91</v>
      </c>
      <c r="F2394" s="18" t="s">
        <v>48</v>
      </c>
      <c r="G2394" s="32" t="s">
        <v>35</v>
      </c>
      <c r="H2394" s="23" t="s">
        <v>35</v>
      </c>
      <c r="I2394" s="37" t="s">
        <v>36</v>
      </c>
      <c r="J2394" s="34" t="s">
        <v>65</v>
      </c>
      <c r="K2394" s="26" t="s">
        <v>38</v>
      </c>
      <c r="L2394" s="25">
        <v>11666.0</v>
      </c>
      <c r="M2394" s="27" t="s">
        <v>50</v>
      </c>
      <c r="N2394" s="26" t="s">
        <v>8469</v>
      </c>
      <c r="O2394" s="28">
        <v>45574.65947850695</v>
      </c>
      <c r="P2394" s="26" t="s">
        <v>9455</v>
      </c>
      <c r="Q2394" s="11" t="s">
        <v>67</v>
      </c>
      <c r="R2394" s="11" t="s">
        <v>67</v>
      </c>
      <c r="S2394" s="11" t="s">
        <v>50</v>
      </c>
      <c r="T2394" s="29">
        <v>45553.64812479167</v>
      </c>
      <c r="U2394" s="29">
        <v>45573.4469493287</v>
      </c>
      <c r="V2394" s="29">
        <v>45574.45544642361</v>
      </c>
      <c r="W2394" s="30"/>
      <c r="X2394" s="30"/>
      <c r="Y2394" s="31"/>
      <c r="Z2394" s="31"/>
      <c r="AA2394" s="31" t="s">
        <v>94</v>
      </c>
      <c r="AB2394" s="31" t="s">
        <v>9456</v>
      </c>
      <c r="AC2394" s="31"/>
    </row>
    <row r="2395" ht="18.75" customHeight="1">
      <c r="A2395" s="18" t="s">
        <v>9457</v>
      </c>
      <c r="B2395" s="19" t="s">
        <v>4293</v>
      </c>
      <c r="C2395" s="20">
        <v>34.0</v>
      </c>
      <c r="D2395" s="21" t="s">
        <v>9458</v>
      </c>
      <c r="E2395" s="27" t="s">
        <v>47</v>
      </c>
      <c r="F2395" s="18" t="s">
        <v>48</v>
      </c>
      <c r="G2395" s="32" t="s">
        <v>35</v>
      </c>
      <c r="H2395" s="23" t="s">
        <v>35</v>
      </c>
      <c r="I2395" s="37" t="s">
        <v>36</v>
      </c>
      <c r="J2395" s="34" t="s">
        <v>65</v>
      </c>
      <c r="K2395" s="26" t="s">
        <v>38</v>
      </c>
      <c r="L2395" s="25">
        <v>11666.0</v>
      </c>
      <c r="M2395" s="27" t="s">
        <v>50</v>
      </c>
      <c r="N2395" s="26" t="s">
        <v>8469</v>
      </c>
      <c r="O2395" s="28">
        <v>45574.66134864584</v>
      </c>
      <c r="P2395" s="26" t="s">
        <v>9459</v>
      </c>
      <c r="Q2395" s="11" t="s">
        <v>67</v>
      </c>
      <c r="R2395" s="11" t="s">
        <v>67</v>
      </c>
      <c r="S2395" s="11" t="s">
        <v>50</v>
      </c>
      <c r="T2395" s="29">
        <v>45560.351462569444</v>
      </c>
      <c r="U2395" s="29">
        <v>45573.447166990736</v>
      </c>
      <c r="V2395" s="29">
        <v>45574.45417078704</v>
      </c>
      <c r="W2395" s="30"/>
      <c r="X2395" s="30"/>
      <c r="Y2395" s="31"/>
      <c r="Z2395" s="31"/>
      <c r="AA2395" s="31" t="s">
        <v>94</v>
      </c>
      <c r="AB2395" s="31" t="s">
        <v>9460</v>
      </c>
      <c r="AC2395" s="31"/>
    </row>
    <row r="2396" ht="18.75" customHeight="1">
      <c r="A2396" s="18" t="s">
        <v>9461</v>
      </c>
      <c r="B2396" s="19" t="s">
        <v>4293</v>
      </c>
      <c r="C2396" s="20">
        <v>34.0</v>
      </c>
      <c r="D2396" s="21" t="s">
        <v>9462</v>
      </c>
      <c r="E2396" s="27" t="s">
        <v>47</v>
      </c>
      <c r="F2396" s="18" t="s">
        <v>48</v>
      </c>
      <c r="G2396" s="32" t="s">
        <v>35</v>
      </c>
      <c r="H2396" s="23" t="s">
        <v>35</v>
      </c>
      <c r="I2396" s="37" t="s">
        <v>36</v>
      </c>
      <c r="J2396" s="34" t="s">
        <v>65</v>
      </c>
      <c r="K2396" s="26" t="s">
        <v>38</v>
      </c>
      <c r="L2396" s="25">
        <v>11666.0</v>
      </c>
      <c r="M2396" s="27" t="s">
        <v>50</v>
      </c>
      <c r="N2396" s="26" t="s">
        <v>8469</v>
      </c>
      <c r="O2396" s="28">
        <v>45574.661444745376</v>
      </c>
      <c r="P2396" s="26" t="s">
        <v>9459</v>
      </c>
      <c r="Q2396" s="11" t="s">
        <v>67</v>
      </c>
      <c r="R2396" s="11" t="s">
        <v>67</v>
      </c>
      <c r="S2396" s="11" t="s">
        <v>50</v>
      </c>
      <c r="T2396" s="29">
        <v>45560.35153971065</v>
      </c>
      <c r="U2396" s="29">
        <v>45573.447181932876</v>
      </c>
      <c r="V2396" s="29">
        <v>45574.454196817125</v>
      </c>
      <c r="W2396" s="30"/>
      <c r="X2396" s="30"/>
      <c r="Y2396" s="31"/>
      <c r="Z2396" s="31"/>
      <c r="AA2396" s="31" t="s">
        <v>94</v>
      </c>
      <c r="AB2396" s="31" t="s">
        <v>9463</v>
      </c>
      <c r="AC2396" s="31"/>
    </row>
    <row r="2397" ht="18.75" customHeight="1">
      <c r="A2397" s="18" t="s">
        <v>9464</v>
      </c>
      <c r="B2397" s="19" t="s">
        <v>4293</v>
      </c>
      <c r="C2397" s="20">
        <v>34.0</v>
      </c>
      <c r="D2397" s="21" t="s">
        <v>9465</v>
      </c>
      <c r="E2397" s="27" t="s">
        <v>47</v>
      </c>
      <c r="F2397" s="18" t="s">
        <v>48</v>
      </c>
      <c r="G2397" s="32" t="s">
        <v>35</v>
      </c>
      <c r="H2397" s="23" t="s">
        <v>35</v>
      </c>
      <c r="I2397" s="37" t="s">
        <v>36</v>
      </c>
      <c r="J2397" s="34" t="s">
        <v>65</v>
      </c>
      <c r="K2397" s="26" t="s">
        <v>38</v>
      </c>
      <c r="L2397" s="25">
        <v>11666.0</v>
      </c>
      <c r="M2397" s="27" t="s">
        <v>50</v>
      </c>
      <c r="N2397" s="26" t="s">
        <v>8469</v>
      </c>
      <c r="O2397" s="28">
        <v>45574.66140010417</v>
      </c>
      <c r="P2397" s="26" t="s">
        <v>9459</v>
      </c>
      <c r="Q2397" s="11" t="s">
        <v>67</v>
      </c>
      <c r="R2397" s="11" t="s">
        <v>67</v>
      </c>
      <c r="S2397" s="11" t="s">
        <v>50</v>
      </c>
      <c r="T2397" s="29">
        <v>45560.351620925925</v>
      </c>
      <c r="U2397" s="29">
        <v>45573.447173622684</v>
      </c>
      <c r="V2397" s="29">
        <v>45574.45418209491</v>
      </c>
      <c r="W2397" s="30"/>
      <c r="X2397" s="30"/>
      <c r="Y2397" s="31"/>
      <c r="Z2397" s="31"/>
      <c r="AA2397" s="31" t="s">
        <v>94</v>
      </c>
      <c r="AB2397" s="31" t="s">
        <v>9466</v>
      </c>
      <c r="AC2397" s="31"/>
    </row>
    <row r="2398" ht="18.75" customHeight="1">
      <c r="A2398" s="18" t="s">
        <v>9467</v>
      </c>
      <c r="B2398" s="19" t="s">
        <v>4293</v>
      </c>
      <c r="C2398" s="20">
        <v>90.0</v>
      </c>
      <c r="D2398" s="21" t="s">
        <v>9468</v>
      </c>
      <c r="E2398" s="27" t="s">
        <v>91</v>
      </c>
      <c r="F2398" s="18" t="s">
        <v>48</v>
      </c>
      <c r="G2398" s="32" t="s">
        <v>35</v>
      </c>
      <c r="H2398" s="23" t="s">
        <v>35</v>
      </c>
      <c r="I2398" s="37" t="s">
        <v>36</v>
      </c>
      <c r="J2398" s="34" t="s">
        <v>65</v>
      </c>
      <c r="K2398" s="26" t="s">
        <v>38</v>
      </c>
      <c r="L2398" s="25">
        <v>11666.0</v>
      </c>
      <c r="M2398" s="27" t="s">
        <v>50</v>
      </c>
      <c r="N2398" s="26" t="s">
        <v>8469</v>
      </c>
      <c r="O2398" s="28">
        <v>45574.65970898148</v>
      </c>
      <c r="P2398" s="26" t="s">
        <v>9455</v>
      </c>
      <c r="Q2398" s="11" t="s">
        <v>67</v>
      </c>
      <c r="R2398" s="11" t="s">
        <v>67</v>
      </c>
      <c r="S2398" s="11" t="s">
        <v>50</v>
      </c>
      <c r="T2398" s="29">
        <v>45553.64844605324</v>
      </c>
      <c r="U2398" s="29">
        <v>45573.44699063657</v>
      </c>
      <c r="V2398" s="29">
        <v>45574.458067997686</v>
      </c>
      <c r="W2398" s="30"/>
      <c r="X2398" s="30"/>
      <c r="Y2398" s="31"/>
      <c r="Z2398" s="31"/>
      <c r="AA2398" s="31" t="s">
        <v>94</v>
      </c>
      <c r="AB2398" s="31" t="s">
        <v>9469</v>
      </c>
      <c r="AC2398" s="31"/>
    </row>
    <row r="2399" ht="18.75" customHeight="1">
      <c r="A2399" s="18" t="s">
        <v>9470</v>
      </c>
      <c r="B2399" s="19" t="s">
        <v>4293</v>
      </c>
      <c r="C2399" s="20">
        <v>90.0</v>
      </c>
      <c r="D2399" s="21" t="s">
        <v>9471</v>
      </c>
      <c r="E2399" s="27" t="s">
        <v>91</v>
      </c>
      <c r="F2399" s="18" t="s">
        <v>48</v>
      </c>
      <c r="G2399" s="32" t="s">
        <v>35</v>
      </c>
      <c r="H2399" s="23" t="s">
        <v>35</v>
      </c>
      <c r="I2399" s="37" t="s">
        <v>36</v>
      </c>
      <c r="J2399" s="34" t="s">
        <v>65</v>
      </c>
      <c r="K2399" s="26" t="s">
        <v>38</v>
      </c>
      <c r="L2399" s="25">
        <v>11666.0</v>
      </c>
      <c r="M2399" s="27" t="s">
        <v>50</v>
      </c>
      <c r="N2399" s="26" t="s">
        <v>8469</v>
      </c>
      <c r="O2399" s="28">
        <v>45574.65953127315</v>
      </c>
      <c r="P2399" s="26" t="s">
        <v>9455</v>
      </c>
      <c r="Q2399" s="11" t="s">
        <v>67</v>
      </c>
      <c r="R2399" s="11" t="s">
        <v>67</v>
      </c>
      <c r="S2399" s="11" t="s">
        <v>50</v>
      </c>
      <c r="T2399" s="29">
        <v>45553.648532418985</v>
      </c>
      <c r="U2399" s="29">
        <v>45573.44696997685</v>
      </c>
      <c r="V2399" s="29">
        <v>45574.45545664352</v>
      </c>
      <c r="W2399" s="30"/>
      <c r="X2399" s="30"/>
      <c r="Y2399" s="31"/>
      <c r="Z2399" s="31"/>
      <c r="AA2399" s="31" t="s">
        <v>94</v>
      </c>
      <c r="AB2399" s="31" t="s">
        <v>9472</v>
      </c>
      <c r="AC2399" s="31"/>
    </row>
    <row r="2400" ht="18.75" customHeight="1">
      <c r="A2400" s="18" t="s">
        <v>9473</v>
      </c>
      <c r="B2400" s="19" t="s">
        <v>4293</v>
      </c>
      <c r="C2400" s="20">
        <v>90.0</v>
      </c>
      <c r="D2400" s="21" t="s">
        <v>9474</v>
      </c>
      <c r="E2400" s="27" t="s">
        <v>91</v>
      </c>
      <c r="F2400" s="18" t="s">
        <v>48</v>
      </c>
      <c r="G2400" s="32" t="s">
        <v>35</v>
      </c>
      <c r="H2400" s="23" t="s">
        <v>35</v>
      </c>
      <c r="I2400" s="37" t="s">
        <v>36</v>
      </c>
      <c r="J2400" s="34" t="s">
        <v>65</v>
      </c>
      <c r="K2400" s="26" t="s">
        <v>38</v>
      </c>
      <c r="L2400" s="25">
        <v>11666.0</v>
      </c>
      <c r="M2400" s="27" t="s">
        <v>50</v>
      </c>
      <c r="N2400" s="26" t="s">
        <v>8469</v>
      </c>
      <c r="O2400" s="28">
        <v>45574.65958390046</v>
      </c>
      <c r="P2400" s="26" t="s">
        <v>9455</v>
      </c>
      <c r="Q2400" s="11" t="s">
        <v>67</v>
      </c>
      <c r="R2400" s="11" t="s">
        <v>67</v>
      </c>
      <c r="S2400" s="11" t="s">
        <v>50</v>
      </c>
      <c r="T2400" s="29">
        <v>45553.64861923611</v>
      </c>
      <c r="U2400" s="29">
        <v>45573.446977071755</v>
      </c>
      <c r="V2400" s="29">
        <v>45574.45546724537</v>
      </c>
      <c r="W2400" s="30"/>
      <c r="X2400" s="30"/>
      <c r="Y2400" s="31"/>
      <c r="Z2400" s="31"/>
      <c r="AA2400" s="31" t="s">
        <v>94</v>
      </c>
      <c r="AB2400" s="31" t="s">
        <v>9475</v>
      </c>
      <c r="AC2400" s="31"/>
    </row>
    <row r="2401" ht="18.75" customHeight="1">
      <c r="A2401" s="18" t="s">
        <v>9476</v>
      </c>
      <c r="B2401" s="19" t="s">
        <v>4293</v>
      </c>
      <c r="C2401" s="20">
        <v>90.0</v>
      </c>
      <c r="D2401" s="21" t="s">
        <v>9477</v>
      </c>
      <c r="E2401" s="27" t="s">
        <v>91</v>
      </c>
      <c r="F2401" s="18" t="s">
        <v>48</v>
      </c>
      <c r="G2401" s="32" t="s">
        <v>35</v>
      </c>
      <c r="H2401" s="23" t="s">
        <v>35</v>
      </c>
      <c r="I2401" s="37" t="s">
        <v>36</v>
      </c>
      <c r="J2401" s="34" t="s">
        <v>65</v>
      </c>
      <c r="K2401" s="26" t="s">
        <v>38</v>
      </c>
      <c r="L2401" s="25">
        <v>11666.0</v>
      </c>
      <c r="M2401" s="27" t="s">
        <v>50</v>
      </c>
      <c r="N2401" s="26" t="s">
        <v>8469</v>
      </c>
      <c r="O2401" s="28">
        <v>45574.65963502315</v>
      </c>
      <c r="P2401" s="26" t="s">
        <v>9455</v>
      </c>
      <c r="Q2401" s="11" t="s">
        <v>67</v>
      </c>
      <c r="R2401" s="11" t="s">
        <v>67</v>
      </c>
      <c r="S2401" s="11" t="s">
        <v>50</v>
      </c>
      <c r="T2401" s="29">
        <v>45553.64868878472</v>
      </c>
      <c r="U2401" s="29">
        <v>45573.446983738424</v>
      </c>
      <c r="V2401" s="29">
        <v>45574.45805997685</v>
      </c>
      <c r="W2401" s="30"/>
      <c r="X2401" s="30"/>
      <c r="Y2401" s="31"/>
      <c r="Z2401" s="31"/>
      <c r="AA2401" s="31" t="s">
        <v>94</v>
      </c>
      <c r="AB2401" s="31" t="s">
        <v>9478</v>
      </c>
      <c r="AC2401" s="31"/>
    </row>
    <row r="2402" ht="18.75" customHeight="1">
      <c r="A2402" s="18" t="s">
        <v>9479</v>
      </c>
      <c r="B2402" s="19" t="s">
        <v>4293</v>
      </c>
      <c r="C2402" s="20">
        <v>90.0</v>
      </c>
      <c r="D2402" s="21" t="s">
        <v>9480</v>
      </c>
      <c r="E2402" s="27" t="s">
        <v>91</v>
      </c>
      <c r="F2402" s="18" t="s">
        <v>48</v>
      </c>
      <c r="G2402" s="32" t="s">
        <v>35</v>
      </c>
      <c r="H2402" s="23" t="s">
        <v>35</v>
      </c>
      <c r="I2402" s="37" t="s">
        <v>36</v>
      </c>
      <c r="J2402" s="34" t="s">
        <v>65</v>
      </c>
      <c r="K2402" s="26" t="s">
        <v>38</v>
      </c>
      <c r="L2402" s="25">
        <v>11666.0</v>
      </c>
      <c r="M2402" s="27" t="s">
        <v>50</v>
      </c>
      <c r="N2402" s="26" t="s">
        <v>8469</v>
      </c>
      <c r="O2402" s="28">
        <v>45574.65976363426</v>
      </c>
      <c r="P2402" s="26" t="s">
        <v>9455</v>
      </c>
      <c r="Q2402" s="11" t="s">
        <v>67</v>
      </c>
      <c r="R2402" s="11" t="s">
        <v>67</v>
      </c>
      <c r="S2402" s="11" t="s">
        <v>50</v>
      </c>
      <c r="T2402" s="29">
        <v>45553.64886164352</v>
      </c>
      <c r="U2402" s="29">
        <v>45573.44699679398</v>
      </c>
      <c r="V2402" s="29">
        <v>45574.45807527778</v>
      </c>
      <c r="W2402" s="30"/>
      <c r="X2402" s="30"/>
      <c r="Y2402" s="31"/>
      <c r="Z2402" s="31"/>
      <c r="AA2402" s="31" t="s">
        <v>94</v>
      </c>
      <c r="AB2402" s="31" t="s">
        <v>9481</v>
      </c>
      <c r="AC2402" s="31"/>
    </row>
    <row r="2403" ht="18.75" customHeight="1">
      <c r="A2403" s="18" t="s">
        <v>9482</v>
      </c>
      <c r="B2403" s="19" t="s">
        <v>4293</v>
      </c>
      <c r="C2403" s="20">
        <v>90.0</v>
      </c>
      <c r="D2403" s="21" t="s">
        <v>9483</v>
      </c>
      <c r="E2403" s="27" t="s">
        <v>91</v>
      </c>
      <c r="F2403" s="18" t="s">
        <v>48</v>
      </c>
      <c r="G2403" s="32" t="s">
        <v>35</v>
      </c>
      <c r="H2403" s="23" t="s">
        <v>35</v>
      </c>
      <c r="I2403" s="37" t="s">
        <v>36</v>
      </c>
      <c r="J2403" s="34" t="s">
        <v>65</v>
      </c>
      <c r="K2403" s="26" t="s">
        <v>38</v>
      </c>
      <c r="L2403" s="25">
        <v>11666.0</v>
      </c>
      <c r="M2403" s="27" t="s">
        <v>50</v>
      </c>
      <c r="N2403" s="26" t="s">
        <v>8469</v>
      </c>
      <c r="O2403" s="28">
        <v>45574.65981262732</v>
      </c>
      <c r="P2403" s="26" t="s">
        <v>9455</v>
      </c>
      <c r="Q2403" s="11" t="s">
        <v>67</v>
      </c>
      <c r="R2403" s="11" t="s">
        <v>67</v>
      </c>
      <c r="S2403" s="11" t="s">
        <v>50</v>
      </c>
      <c r="T2403" s="29">
        <v>45553.64891747685</v>
      </c>
      <c r="U2403" s="29">
        <v>45573.44700372685</v>
      </c>
      <c r="V2403" s="29">
        <v>45574.458083564816</v>
      </c>
      <c r="W2403" s="30"/>
      <c r="X2403" s="30"/>
      <c r="Y2403" s="31"/>
      <c r="Z2403" s="31"/>
      <c r="AA2403" s="31" t="s">
        <v>94</v>
      </c>
      <c r="AB2403" s="31" t="s">
        <v>9484</v>
      </c>
      <c r="AC2403" s="31"/>
    </row>
    <row r="2404" ht="18.75" customHeight="1">
      <c r="A2404" s="32" t="s">
        <v>9485</v>
      </c>
      <c r="B2404" s="19" t="s">
        <v>4293</v>
      </c>
      <c r="C2404" s="20">
        <v>137.0</v>
      </c>
      <c r="D2404" s="21" t="s">
        <v>9486</v>
      </c>
      <c r="E2404" s="27" t="s">
        <v>85</v>
      </c>
      <c r="F2404" s="18" t="s">
        <v>48</v>
      </c>
      <c r="G2404" s="32" t="s">
        <v>35</v>
      </c>
      <c r="H2404" s="23" t="s">
        <v>35</v>
      </c>
      <c r="I2404" s="24" t="s">
        <v>36</v>
      </c>
      <c r="J2404" s="34" t="s">
        <v>65</v>
      </c>
      <c r="K2404" s="26" t="s">
        <v>38</v>
      </c>
      <c r="L2404" s="64" t="s">
        <v>2253</v>
      </c>
      <c r="M2404" s="152" t="str">
        <f t="shared" ref="M2404:M2405" si="11">VLOOKUP(D2404,'Página111'!E:E,1,0)</f>
        <v>#REF!</v>
      </c>
      <c r="N2404" s="26"/>
      <c r="O2404" s="50">
        <v>45646.0</v>
      </c>
      <c r="P2404" s="26" t="s">
        <v>9455</v>
      </c>
      <c r="Q2404" s="11" t="s">
        <v>67</v>
      </c>
      <c r="R2404" s="11" t="s">
        <v>67</v>
      </c>
      <c r="S2404" s="11" t="s">
        <v>73</v>
      </c>
      <c r="T2404" s="29">
        <v>45553.649218136576</v>
      </c>
      <c r="U2404" s="29">
        <v>45573.447008773146</v>
      </c>
      <c r="V2404" s="29">
        <v>45644.775684120366</v>
      </c>
      <c r="W2404" s="30"/>
      <c r="X2404" s="30"/>
      <c r="Y2404" s="66">
        <v>-11665.0</v>
      </c>
      <c r="Z2404" s="31"/>
      <c r="AA2404" s="31" t="s">
        <v>94</v>
      </c>
      <c r="AB2404" s="31" t="s">
        <v>9487</v>
      </c>
      <c r="AC2404" s="31"/>
    </row>
    <row r="2405" ht="18.75" customHeight="1">
      <c r="A2405" s="32" t="s">
        <v>9488</v>
      </c>
      <c r="B2405" s="19" t="s">
        <v>4293</v>
      </c>
      <c r="C2405" s="20">
        <v>137.0</v>
      </c>
      <c r="D2405" s="21" t="s">
        <v>9489</v>
      </c>
      <c r="E2405" s="27" t="s">
        <v>85</v>
      </c>
      <c r="F2405" s="18" t="s">
        <v>48</v>
      </c>
      <c r="G2405" s="32" t="s">
        <v>35</v>
      </c>
      <c r="H2405" s="23" t="s">
        <v>35</v>
      </c>
      <c r="I2405" s="24" t="s">
        <v>36</v>
      </c>
      <c r="J2405" s="34" t="s">
        <v>65</v>
      </c>
      <c r="K2405" s="26" t="s">
        <v>38</v>
      </c>
      <c r="L2405" s="64" t="s">
        <v>2253</v>
      </c>
      <c r="M2405" s="152" t="str">
        <f t="shared" si="11"/>
        <v>#REF!</v>
      </c>
      <c r="N2405" s="26"/>
      <c r="O2405" s="50">
        <v>45646.0</v>
      </c>
      <c r="P2405" s="26" t="s">
        <v>9455</v>
      </c>
      <c r="Q2405" s="11" t="s">
        <v>67</v>
      </c>
      <c r="R2405" s="11" t="s">
        <v>67</v>
      </c>
      <c r="S2405" s="11" t="s">
        <v>73</v>
      </c>
      <c r="T2405" s="29">
        <v>45553.64936440972</v>
      </c>
      <c r="U2405" s="29">
        <v>45573.447014907404</v>
      </c>
      <c r="V2405" s="29">
        <v>45644.77570046297</v>
      </c>
      <c r="W2405" s="30"/>
      <c r="X2405" s="30"/>
      <c r="Y2405" s="66">
        <v>-11665.0</v>
      </c>
      <c r="Z2405" s="31"/>
      <c r="AA2405" s="31" t="s">
        <v>94</v>
      </c>
      <c r="AB2405" s="31" t="s">
        <v>9490</v>
      </c>
      <c r="AC2405" s="31"/>
    </row>
    <row r="2406" ht="18.75" customHeight="1">
      <c r="A2406" s="18" t="s">
        <v>9491</v>
      </c>
      <c r="B2406" s="19" t="s">
        <v>4293</v>
      </c>
      <c r="C2406" s="20">
        <v>0.0</v>
      </c>
      <c r="D2406" s="21" t="s">
        <v>9492</v>
      </c>
      <c r="E2406" s="22" t="s">
        <v>171</v>
      </c>
      <c r="F2406" s="18" t="s">
        <v>48</v>
      </c>
      <c r="G2406" s="32" t="s">
        <v>35</v>
      </c>
      <c r="H2406" s="23" t="s">
        <v>35</v>
      </c>
      <c r="I2406" s="37" t="s">
        <v>36</v>
      </c>
      <c r="J2406" s="34" t="s">
        <v>65</v>
      </c>
      <c r="K2406" s="26" t="s">
        <v>38</v>
      </c>
      <c r="L2406" s="25">
        <v>11675.0</v>
      </c>
      <c r="M2406" s="27" t="s">
        <v>50</v>
      </c>
      <c r="N2406" s="26" t="s">
        <v>8469</v>
      </c>
      <c r="O2406" s="28">
        <v>45574.659866319445</v>
      </c>
      <c r="P2406" s="26" t="s">
        <v>9455</v>
      </c>
      <c r="Q2406" s="11" t="s">
        <v>67</v>
      </c>
      <c r="R2406" s="11" t="s">
        <v>67</v>
      </c>
      <c r="S2406" s="11" t="s">
        <v>50</v>
      </c>
      <c r="T2406" s="29">
        <v>45553.649528055554</v>
      </c>
      <c r="U2406" s="29">
        <v>45573.44702042824</v>
      </c>
      <c r="V2406" s="29">
        <v>45574.597934062505</v>
      </c>
      <c r="W2406" s="30"/>
      <c r="X2406" s="30"/>
      <c r="Y2406" s="31"/>
      <c r="Z2406" s="31"/>
      <c r="AA2406" s="31" t="s">
        <v>94</v>
      </c>
      <c r="AB2406" s="31" t="s">
        <v>9493</v>
      </c>
      <c r="AC2406" s="31"/>
    </row>
    <row r="2407" ht="18.75" customHeight="1">
      <c r="A2407" s="18" t="s">
        <v>9494</v>
      </c>
      <c r="B2407" s="19" t="s">
        <v>4293</v>
      </c>
      <c r="C2407" s="20">
        <v>0.0</v>
      </c>
      <c r="D2407" s="21" t="s">
        <v>9495</v>
      </c>
      <c r="E2407" s="22" t="s">
        <v>171</v>
      </c>
      <c r="F2407" s="18" t="s">
        <v>48</v>
      </c>
      <c r="G2407" s="32" t="s">
        <v>35</v>
      </c>
      <c r="H2407" s="23" t="s">
        <v>35</v>
      </c>
      <c r="I2407" s="37" t="s">
        <v>36</v>
      </c>
      <c r="J2407" s="34" t="s">
        <v>65</v>
      </c>
      <c r="K2407" s="26" t="s">
        <v>38</v>
      </c>
      <c r="L2407" s="25">
        <v>11675.0</v>
      </c>
      <c r="M2407" s="27" t="s">
        <v>50</v>
      </c>
      <c r="N2407" s="26" t="s">
        <v>8469</v>
      </c>
      <c r="O2407" s="28">
        <v>45574.660839675926</v>
      </c>
      <c r="P2407" s="26" t="s">
        <v>9455</v>
      </c>
      <c r="Q2407" s="11" t="s">
        <v>67</v>
      </c>
      <c r="R2407" s="11" t="s">
        <v>67</v>
      </c>
      <c r="S2407" s="11" t="s">
        <v>50</v>
      </c>
      <c r="T2407" s="29">
        <v>45553.64972929398</v>
      </c>
      <c r="U2407" s="29">
        <v>45573.447026354166</v>
      </c>
      <c r="V2407" s="29">
        <v>45574.59794925926</v>
      </c>
      <c r="W2407" s="30"/>
      <c r="X2407" s="30"/>
      <c r="Y2407" s="31"/>
      <c r="Z2407" s="31"/>
      <c r="AA2407" s="31" t="s">
        <v>94</v>
      </c>
      <c r="AB2407" s="31" t="s">
        <v>9496</v>
      </c>
      <c r="AC2407" s="31"/>
    </row>
    <row r="2408" ht="18.75" customHeight="1">
      <c r="A2408" s="18" t="s">
        <v>9497</v>
      </c>
      <c r="B2408" s="19" t="s">
        <v>4293</v>
      </c>
      <c r="C2408" s="20">
        <v>27.0</v>
      </c>
      <c r="D2408" s="39" t="s">
        <v>9498</v>
      </c>
      <c r="E2408" s="27" t="s">
        <v>72</v>
      </c>
      <c r="F2408" s="18" t="s">
        <v>48</v>
      </c>
      <c r="G2408" s="32" t="s">
        <v>35</v>
      </c>
      <c r="H2408" s="23" t="s">
        <v>35</v>
      </c>
      <c r="I2408" s="37" t="s">
        <v>36</v>
      </c>
      <c r="J2408" s="34" t="s">
        <v>65</v>
      </c>
      <c r="K2408" s="26" t="s">
        <v>38</v>
      </c>
      <c r="L2408" s="25">
        <v>11666.0</v>
      </c>
      <c r="M2408" s="27" t="s">
        <v>50</v>
      </c>
      <c r="N2408" s="26" t="s">
        <v>8469</v>
      </c>
      <c r="O2408" s="28">
        <v>45574.66088693287</v>
      </c>
      <c r="P2408" s="26" t="s">
        <v>9455</v>
      </c>
      <c r="Q2408" s="11" t="s">
        <v>67</v>
      </c>
      <c r="R2408" s="11" t="s">
        <v>67</v>
      </c>
      <c r="S2408" s="11" t="s">
        <v>50</v>
      </c>
      <c r="T2408" s="29">
        <v>45553.649992453706</v>
      </c>
      <c r="U2408" s="29">
        <v>45573.44703177083</v>
      </c>
      <c r="V2408" s="29">
        <v>45574.45990140046</v>
      </c>
      <c r="W2408" s="30"/>
      <c r="X2408" s="30"/>
      <c r="Y2408" s="31"/>
      <c r="Z2408" s="31"/>
      <c r="AA2408" s="31" t="s">
        <v>94</v>
      </c>
      <c r="AB2408" s="31" t="s">
        <v>9499</v>
      </c>
      <c r="AC2408" s="31"/>
    </row>
    <row r="2409" ht="18.75" customHeight="1">
      <c r="A2409" s="18" t="s">
        <v>9500</v>
      </c>
      <c r="B2409" s="19" t="s">
        <v>4293</v>
      </c>
      <c r="C2409" s="20">
        <v>27.0</v>
      </c>
      <c r="D2409" s="39" t="s">
        <v>9501</v>
      </c>
      <c r="E2409" s="27" t="s">
        <v>72</v>
      </c>
      <c r="F2409" s="18" t="s">
        <v>48</v>
      </c>
      <c r="G2409" s="32" t="s">
        <v>35</v>
      </c>
      <c r="H2409" s="23" t="s">
        <v>35</v>
      </c>
      <c r="I2409" s="37" t="s">
        <v>36</v>
      </c>
      <c r="J2409" s="34" t="s">
        <v>65</v>
      </c>
      <c r="K2409" s="26" t="s">
        <v>38</v>
      </c>
      <c r="L2409" s="25">
        <v>11666.0</v>
      </c>
      <c r="M2409" s="27" t="s">
        <v>50</v>
      </c>
      <c r="N2409" s="26" t="s">
        <v>8469</v>
      </c>
      <c r="O2409" s="28">
        <v>45574.66093762731</v>
      </c>
      <c r="P2409" s="26" t="s">
        <v>9455</v>
      </c>
      <c r="Q2409" s="11" t="s">
        <v>67</v>
      </c>
      <c r="R2409" s="11" t="s">
        <v>67</v>
      </c>
      <c r="S2409" s="11" t="s">
        <v>50</v>
      </c>
      <c r="T2409" s="29">
        <v>45553.65012508102</v>
      </c>
      <c r="U2409" s="29">
        <v>45573.44703708333</v>
      </c>
      <c r="V2409" s="29">
        <v>45574.45990844908</v>
      </c>
      <c r="W2409" s="30"/>
      <c r="X2409" s="30"/>
      <c r="Y2409" s="31"/>
      <c r="Z2409" s="31"/>
      <c r="AA2409" s="31" t="s">
        <v>94</v>
      </c>
      <c r="AB2409" s="31" t="s">
        <v>9502</v>
      </c>
      <c r="AC2409" s="31"/>
    </row>
    <row r="2410" ht="18.75" customHeight="1">
      <c r="A2410" s="18" t="s">
        <v>9503</v>
      </c>
      <c r="B2410" s="19" t="s">
        <v>4293</v>
      </c>
      <c r="C2410" s="20">
        <v>27.0</v>
      </c>
      <c r="D2410" s="39" t="s">
        <v>9504</v>
      </c>
      <c r="E2410" s="27" t="s">
        <v>72</v>
      </c>
      <c r="F2410" s="18" t="s">
        <v>48</v>
      </c>
      <c r="G2410" s="32" t="s">
        <v>35</v>
      </c>
      <c r="H2410" s="23" t="s">
        <v>35</v>
      </c>
      <c r="I2410" s="37" t="s">
        <v>36</v>
      </c>
      <c r="J2410" s="34" t="s">
        <v>65</v>
      </c>
      <c r="K2410" s="26" t="s">
        <v>38</v>
      </c>
      <c r="L2410" s="25">
        <v>11666.0</v>
      </c>
      <c r="M2410" s="27" t="s">
        <v>50</v>
      </c>
      <c r="N2410" s="26" t="s">
        <v>8469</v>
      </c>
      <c r="O2410" s="28">
        <v>45574.66103210648</v>
      </c>
      <c r="P2410" s="26" t="s">
        <v>9455</v>
      </c>
      <c r="Q2410" s="11" t="s">
        <v>67</v>
      </c>
      <c r="R2410" s="11" t="s">
        <v>67</v>
      </c>
      <c r="S2410" s="11" t="s">
        <v>50</v>
      </c>
      <c r="T2410" s="29">
        <v>45553.65026210649</v>
      </c>
      <c r="U2410" s="29">
        <v>45573.4470515625</v>
      </c>
      <c r="V2410" s="29">
        <v>45574.45991469907</v>
      </c>
      <c r="W2410" s="30"/>
      <c r="X2410" s="30"/>
      <c r="Y2410" s="31"/>
      <c r="Z2410" s="31"/>
      <c r="AA2410" s="31" t="s">
        <v>94</v>
      </c>
      <c r="AB2410" s="31" t="s">
        <v>9505</v>
      </c>
      <c r="AC2410" s="31"/>
    </row>
    <row r="2411" ht="18.75" customHeight="1">
      <c r="A2411" s="18" t="s">
        <v>9506</v>
      </c>
      <c r="B2411" s="19" t="s">
        <v>4293</v>
      </c>
      <c r="C2411" s="20">
        <v>27.0</v>
      </c>
      <c r="D2411" s="39" t="s">
        <v>9507</v>
      </c>
      <c r="E2411" s="27" t="s">
        <v>72</v>
      </c>
      <c r="F2411" s="18" t="s">
        <v>48</v>
      </c>
      <c r="G2411" s="32" t="s">
        <v>35</v>
      </c>
      <c r="H2411" s="23" t="s">
        <v>35</v>
      </c>
      <c r="I2411" s="37" t="s">
        <v>36</v>
      </c>
      <c r="J2411" s="34" t="s">
        <v>65</v>
      </c>
      <c r="K2411" s="26" t="s">
        <v>38</v>
      </c>
      <c r="L2411" s="25">
        <v>11666.0</v>
      </c>
      <c r="M2411" s="27" t="s">
        <v>50</v>
      </c>
      <c r="N2411" s="26" t="s">
        <v>8469</v>
      </c>
      <c r="O2411" s="28">
        <v>45574.661095578704</v>
      </c>
      <c r="P2411" s="26" t="s">
        <v>9455</v>
      </c>
      <c r="Q2411" s="11" t="s">
        <v>67</v>
      </c>
      <c r="R2411" s="11" t="s">
        <v>67</v>
      </c>
      <c r="S2411" s="11" t="s">
        <v>50</v>
      </c>
      <c r="T2411" s="29">
        <v>45553.650464074075</v>
      </c>
      <c r="U2411" s="29">
        <v>45573.44705872685</v>
      </c>
      <c r="V2411" s="29">
        <v>45574.45992121528</v>
      </c>
      <c r="W2411" s="30"/>
      <c r="X2411" s="30"/>
      <c r="Y2411" s="31"/>
      <c r="Z2411" s="31"/>
      <c r="AA2411" s="31" t="s">
        <v>94</v>
      </c>
      <c r="AB2411" s="31" t="s">
        <v>9508</v>
      </c>
      <c r="AC2411" s="31"/>
    </row>
    <row r="2412" ht="18.75" customHeight="1">
      <c r="A2412" s="18" t="s">
        <v>9509</v>
      </c>
      <c r="B2412" s="19" t="s">
        <v>4293</v>
      </c>
      <c r="C2412" s="20">
        <v>27.0</v>
      </c>
      <c r="D2412" s="39" t="s">
        <v>9510</v>
      </c>
      <c r="E2412" s="27" t="s">
        <v>72</v>
      </c>
      <c r="F2412" s="18" t="s">
        <v>48</v>
      </c>
      <c r="G2412" s="32" t="s">
        <v>35</v>
      </c>
      <c r="H2412" s="23" t="s">
        <v>35</v>
      </c>
      <c r="I2412" s="37" t="s">
        <v>36</v>
      </c>
      <c r="J2412" s="34" t="s">
        <v>65</v>
      </c>
      <c r="K2412" s="26" t="s">
        <v>38</v>
      </c>
      <c r="L2412" s="25">
        <v>11666.0</v>
      </c>
      <c r="M2412" s="27" t="s">
        <v>50</v>
      </c>
      <c r="N2412" s="26" t="s">
        <v>8469</v>
      </c>
      <c r="O2412" s="28">
        <v>45574.66114114583</v>
      </c>
      <c r="P2412" s="26" t="s">
        <v>9455</v>
      </c>
      <c r="Q2412" s="11" t="s">
        <v>67</v>
      </c>
      <c r="R2412" s="11" t="s">
        <v>67</v>
      </c>
      <c r="S2412" s="11" t="s">
        <v>50</v>
      </c>
      <c r="T2412" s="29">
        <v>45553.650589780096</v>
      </c>
      <c r="U2412" s="29">
        <v>45573.44706693287</v>
      </c>
      <c r="V2412" s="29">
        <v>45574.46129681713</v>
      </c>
      <c r="W2412" s="30"/>
      <c r="X2412" s="30"/>
      <c r="Y2412" s="31"/>
      <c r="Z2412" s="31"/>
      <c r="AA2412" s="31" t="s">
        <v>94</v>
      </c>
      <c r="AB2412" s="31" t="s">
        <v>9511</v>
      </c>
      <c r="AC2412" s="31"/>
    </row>
    <row r="2413" ht="18.75" customHeight="1">
      <c r="A2413" s="18" t="s">
        <v>9512</v>
      </c>
      <c r="B2413" s="19" t="s">
        <v>4293</v>
      </c>
      <c r="C2413" s="20">
        <v>27.0</v>
      </c>
      <c r="D2413" s="39" t="s">
        <v>9513</v>
      </c>
      <c r="E2413" s="27" t="s">
        <v>72</v>
      </c>
      <c r="F2413" s="18" t="s">
        <v>48</v>
      </c>
      <c r="G2413" s="32" t="s">
        <v>35</v>
      </c>
      <c r="H2413" s="23" t="s">
        <v>35</v>
      </c>
      <c r="I2413" s="37" t="s">
        <v>36</v>
      </c>
      <c r="J2413" s="34" t="s">
        <v>65</v>
      </c>
      <c r="K2413" s="26" t="s">
        <v>38</v>
      </c>
      <c r="L2413" s="25">
        <v>11666.0</v>
      </c>
      <c r="M2413" s="27" t="s">
        <v>50</v>
      </c>
      <c r="N2413" s="26" t="s">
        <v>8469</v>
      </c>
      <c r="O2413" s="28">
        <v>45574.66119144676</v>
      </c>
      <c r="P2413" s="26" t="s">
        <v>9455</v>
      </c>
      <c r="Q2413" s="11" t="s">
        <v>67</v>
      </c>
      <c r="R2413" s="11" t="s">
        <v>67</v>
      </c>
      <c r="S2413" s="11" t="s">
        <v>50</v>
      </c>
      <c r="T2413" s="29">
        <v>45553.6506977199</v>
      </c>
      <c r="U2413" s="29">
        <v>45573.44707247685</v>
      </c>
      <c r="V2413" s="29">
        <v>45574.461307627316</v>
      </c>
      <c r="W2413" s="30"/>
      <c r="X2413" s="30"/>
      <c r="Y2413" s="31"/>
      <c r="Z2413" s="31"/>
      <c r="AA2413" s="31" t="s">
        <v>94</v>
      </c>
      <c r="AB2413" s="31" t="s">
        <v>9514</v>
      </c>
      <c r="AC2413" s="31"/>
    </row>
    <row r="2414" ht="18.75" customHeight="1">
      <c r="A2414" s="18" t="s">
        <v>9515</v>
      </c>
      <c r="B2414" s="19" t="s">
        <v>4293</v>
      </c>
      <c r="C2414" s="20">
        <v>27.0</v>
      </c>
      <c r="D2414" s="39" t="s">
        <v>9516</v>
      </c>
      <c r="E2414" s="27" t="s">
        <v>72</v>
      </c>
      <c r="F2414" s="18" t="s">
        <v>48</v>
      </c>
      <c r="G2414" s="32" t="s">
        <v>35</v>
      </c>
      <c r="H2414" s="23" t="s">
        <v>35</v>
      </c>
      <c r="I2414" s="37" t="s">
        <v>36</v>
      </c>
      <c r="J2414" s="34" t="s">
        <v>65</v>
      </c>
      <c r="K2414" s="26" t="s">
        <v>38</v>
      </c>
      <c r="L2414" s="25">
        <v>11666.0</v>
      </c>
      <c r="M2414" s="27" t="s">
        <v>50</v>
      </c>
      <c r="N2414" s="26" t="s">
        <v>8469</v>
      </c>
      <c r="O2414" s="28">
        <v>45574.66123971065</v>
      </c>
      <c r="P2414" s="26" t="s">
        <v>9455</v>
      </c>
      <c r="Q2414" s="11" t="s">
        <v>67</v>
      </c>
      <c r="R2414" s="11" t="s">
        <v>67</v>
      </c>
      <c r="S2414" s="11" t="s">
        <v>50</v>
      </c>
      <c r="T2414" s="29">
        <v>45553.650946828704</v>
      </c>
      <c r="U2414" s="29">
        <v>45573.447077916666</v>
      </c>
      <c r="V2414" s="29">
        <v>45574.461319571754</v>
      </c>
      <c r="W2414" s="30"/>
      <c r="X2414" s="30"/>
      <c r="Y2414" s="31"/>
      <c r="Z2414" s="31"/>
      <c r="AA2414" s="31" t="s">
        <v>94</v>
      </c>
      <c r="AB2414" s="31" t="s">
        <v>9517</v>
      </c>
      <c r="AC2414" s="31"/>
    </row>
    <row r="2415" ht="18.75" customHeight="1">
      <c r="A2415" s="18" t="s">
        <v>9518</v>
      </c>
      <c r="B2415" s="19" t="s">
        <v>4293</v>
      </c>
      <c r="C2415" s="20">
        <v>27.0</v>
      </c>
      <c r="D2415" s="39" t="s">
        <v>9519</v>
      </c>
      <c r="E2415" s="27" t="s">
        <v>72</v>
      </c>
      <c r="F2415" s="18" t="s">
        <v>48</v>
      </c>
      <c r="G2415" s="32" t="s">
        <v>35</v>
      </c>
      <c r="H2415" s="23" t="s">
        <v>35</v>
      </c>
      <c r="I2415" s="37" t="s">
        <v>36</v>
      </c>
      <c r="J2415" s="34" t="s">
        <v>65</v>
      </c>
      <c r="K2415" s="26" t="s">
        <v>38</v>
      </c>
      <c r="L2415" s="25">
        <v>11666.0</v>
      </c>
      <c r="M2415" s="27" t="s">
        <v>50</v>
      </c>
      <c r="N2415" s="26" t="s">
        <v>8469</v>
      </c>
      <c r="O2415" s="28">
        <v>45574.66129655093</v>
      </c>
      <c r="P2415" s="26" t="s">
        <v>9455</v>
      </c>
      <c r="Q2415" s="11" t="s">
        <v>67</v>
      </c>
      <c r="R2415" s="11" t="s">
        <v>67</v>
      </c>
      <c r="S2415" s="11" t="s">
        <v>50</v>
      </c>
      <c r="T2415" s="29">
        <v>45553.651117685185</v>
      </c>
      <c r="U2415" s="29">
        <v>45573.44708414352</v>
      </c>
      <c r="V2415" s="29">
        <v>45574.46133021991</v>
      </c>
      <c r="W2415" s="30"/>
      <c r="X2415" s="30"/>
      <c r="Y2415" s="31"/>
      <c r="Z2415" s="31"/>
      <c r="AA2415" s="31" t="s">
        <v>94</v>
      </c>
      <c r="AB2415" s="31" t="s">
        <v>9520</v>
      </c>
      <c r="AC2415" s="31"/>
    </row>
    <row r="2416" ht="18.75" customHeight="1">
      <c r="A2416" s="32" t="s">
        <v>9521</v>
      </c>
      <c r="B2416" s="19" t="s">
        <v>4293</v>
      </c>
      <c r="C2416" s="20">
        <v>0.0</v>
      </c>
      <c r="D2416" s="21" t="s">
        <v>9522</v>
      </c>
      <c r="E2416" s="27" t="s">
        <v>3441</v>
      </c>
      <c r="F2416" s="18" t="s">
        <v>48</v>
      </c>
      <c r="G2416" s="32" t="s">
        <v>35</v>
      </c>
      <c r="H2416" s="23" t="s">
        <v>35</v>
      </c>
      <c r="I2416" s="24" t="s">
        <v>36</v>
      </c>
      <c r="J2416" s="34" t="s">
        <v>65</v>
      </c>
      <c r="K2416" s="26" t="s">
        <v>38</v>
      </c>
      <c r="L2416" s="64" t="s">
        <v>2253</v>
      </c>
      <c r="M2416" s="152" t="str">
        <f t="shared" ref="M2416:M2422" si="12">VLOOKUP(D2416,'Página111'!E:E,1,0)</f>
        <v>#REF!</v>
      </c>
      <c r="N2416" s="26"/>
      <c r="O2416" s="50">
        <v>45646.0</v>
      </c>
      <c r="P2416" s="26" t="s">
        <v>9455</v>
      </c>
      <c r="Q2416" s="11" t="s">
        <v>67</v>
      </c>
      <c r="R2416" s="11" t="s">
        <v>67</v>
      </c>
      <c r="S2416" s="11" t="s">
        <v>73</v>
      </c>
      <c r="T2416" s="29">
        <v>45553.65148185185</v>
      </c>
      <c r="U2416" s="29">
        <v>45573.447090127316</v>
      </c>
      <c r="V2416" s="29">
        <v>45644.77571376157</v>
      </c>
      <c r="W2416" s="30"/>
      <c r="X2416" s="30"/>
      <c r="Y2416" s="66">
        <v>-11665.0</v>
      </c>
      <c r="Z2416" s="31"/>
      <c r="AA2416" s="31" t="s">
        <v>94</v>
      </c>
      <c r="AB2416" s="31" t="s">
        <v>9523</v>
      </c>
      <c r="AC2416" s="31"/>
    </row>
    <row r="2417" ht="18.75" customHeight="1">
      <c r="A2417" s="32" t="s">
        <v>9524</v>
      </c>
      <c r="B2417" s="19" t="s">
        <v>4293</v>
      </c>
      <c r="C2417" s="20">
        <v>0.0</v>
      </c>
      <c r="D2417" s="21" t="s">
        <v>9525</v>
      </c>
      <c r="E2417" s="27" t="s">
        <v>3441</v>
      </c>
      <c r="F2417" s="18" t="s">
        <v>48</v>
      </c>
      <c r="G2417" s="32" t="s">
        <v>35</v>
      </c>
      <c r="H2417" s="23" t="s">
        <v>35</v>
      </c>
      <c r="I2417" s="24" t="s">
        <v>36</v>
      </c>
      <c r="J2417" s="34" t="s">
        <v>65</v>
      </c>
      <c r="K2417" s="26" t="s">
        <v>38</v>
      </c>
      <c r="L2417" s="64" t="s">
        <v>2253</v>
      </c>
      <c r="M2417" s="152" t="str">
        <f t="shared" si="12"/>
        <v>#REF!</v>
      </c>
      <c r="N2417" s="26"/>
      <c r="O2417" s="50">
        <v>45646.0</v>
      </c>
      <c r="P2417" s="26" t="s">
        <v>9455</v>
      </c>
      <c r="Q2417" s="11" t="s">
        <v>67</v>
      </c>
      <c r="R2417" s="11" t="s">
        <v>67</v>
      </c>
      <c r="S2417" s="11" t="s">
        <v>73</v>
      </c>
      <c r="T2417" s="29">
        <v>45553.65168953704</v>
      </c>
      <c r="U2417" s="29">
        <v>45573.44709734953</v>
      </c>
      <c r="V2417" s="29">
        <v>45644.77572575232</v>
      </c>
      <c r="W2417" s="30"/>
      <c r="X2417" s="30"/>
      <c r="Y2417" s="66">
        <v>-11665.0</v>
      </c>
      <c r="Z2417" s="31"/>
      <c r="AA2417" s="31" t="s">
        <v>94</v>
      </c>
      <c r="AB2417" s="31" t="s">
        <v>9526</v>
      </c>
      <c r="AC2417" s="31"/>
    </row>
    <row r="2418" ht="18.75" customHeight="1">
      <c r="A2418" s="32" t="s">
        <v>9527</v>
      </c>
      <c r="B2418" s="19" t="s">
        <v>4293</v>
      </c>
      <c r="C2418" s="20">
        <v>0.0</v>
      </c>
      <c r="D2418" s="21" t="s">
        <v>9528</v>
      </c>
      <c r="E2418" s="27" t="s">
        <v>3441</v>
      </c>
      <c r="F2418" s="18" t="s">
        <v>48</v>
      </c>
      <c r="G2418" s="32" t="s">
        <v>35</v>
      </c>
      <c r="H2418" s="23" t="s">
        <v>35</v>
      </c>
      <c r="I2418" s="24" t="s">
        <v>36</v>
      </c>
      <c r="J2418" s="34" t="s">
        <v>65</v>
      </c>
      <c r="K2418" s="26" t="s">
        <v>38</v>
      </c>
      <c r="L2418" s="64" t="s">
        <v>2253</v>
      </c>
      <c r="M2418" s="152" t="str">
        <f t="shared" si="12"/>
        <v>#REF!</v>
      </c>
      <c r="N2418" s="26"/>
      <c r="O2418" s="50">
        <v>45646.0</v>
      </c>
      <c r="P2418" s="26" t="s">
        <v>9455</v>
      </c>
      <c r="Q2418" s="11" t="s">
        <v>67</v>
      </c>
      <c r="R2418" s="11" t="s">
        <v>67</v>
      </c>
      <c r="S2418" s="11" t="s">
        <v>73</v>
      </c>
      <c r="T2418" s="29">
        <v>45553.651819189814</v>
      </c>
      <c r="U2418" s="29">
        <v>45573.44710520833</v>
      </c>
      <c r="V2418" s="29">
        <v>45644.77574516204</v>
      </c>
      <c r="W2418" s="30"/>
      <c r="X2418" s="30"/>
      <c r="Y2418" s="66">
        <v>-11665.0</v>
      </c>
      <c r="Z2418" s="31"/>
      <c r="AA2418" s="31" t="s">
        <v>94</v>
      </c>
      <c r="AB2418" s="31" t="s">
        <v>9529</v>
      </c>
      <c r="AC2418" s="31"/>
    </row>
    <row r="2419" ht="18.75" customHeight="1">
      <c r="A2419" s="32" t="s">
        <v>9530</v>
      </c>
      <c r="B2419" s="19" t="s">
        <v>4293</v>
      </c>
      <c r="C2419" s="20">
        <v>0.0</v>
      </c>
      <c r="D2419" s="21" t="s">
        <v>9531</v>
      </c>
      <c r="E2419" s="27" t="s">
        <v>3441</v>
      </c>
      <c r="F2419" s="18" t="s">
        <v>48</v>
      </c>
      <c r="G2419" s="32" t="s">
        <v>35</v>
      </c>
      <c r="H2419" s="23" t="s">
        <v>35</v>
      </c>
      <c r="I2419" s="24" t="s">
        <v>36</v>
      </c>
      <c r="J2419" s="34" t="s">
        <v>65</v>
      </c>
      <c r="K2419" s="26" t="s">
        <v>38</v>
      </c>
      <c r="L2419" s="64" t="s">
        <v>2253</v>
      </c>
      <c r="M2419" s="152" t="str">
        <f t="shared" si="12"/>
        <v>#REF!</v>
      </c>
      <c r="N2419" s="26"/>
      <c r="O2419" s="50">
        <v>45646.0</v>
      </c>
      <c r="P2419" s="26" t="s">
        <v>9455</v>
      </c>
      <c r="Q2419" s="11" t="s">
        <v>67</v>
      </c>
      <c r="R2419" s="11" t="s">
        <v>67</v>
      </c>
      <c r="S2419" s="11" t="s">
        <v>73</v>
      </c>
      <c r="T2419" s="29">
        <v>45553.65268162037</v>
      </c>
      <c r="U2419" s="29">
        <v>45573.447159421296</v>
      </c>
      <c r="V2419" s="29">
        <v>45644.77580516203</v>
      </c>
      <c r="W2419" s="30"/>
      <c r="X2419" s="30"/>
      <c r="Y2419" s="66">
        <v>-11665.0</v>
      </c>
      <c r="Z2419" s="31"/>
      <c r="AA2419" s="31" t="s">
        <v>94</v>
      </c>
      <c r="AB2419" s="31" t="s">
        <v>9532</v>
      </c>
      <c r="AC2419" s="31"/>
    </row>
    <row r="2420" ht="18.75" customHeight="1">
      <c r="A2420" s="32" t="s">
        <v>9533</v>
      </c>
      <c r="B2420" s="19" t="s">
        <v>4293</v>
      </c>
      <c r="C2420" s="20">
        <v>0.0</v>
      </c>
      <c r="D2420" s="21" t="s">
        <v>9534</v>
      </c>
      <c r="E2420" s="27" t="s">
        <v>3441</v>
      </c>
      <c r="F2420" s="18" t="s">
        <v>48</v>
      </c>
      <c r="G2420" s="32" t="s">
        <v>35</v>
      </c>
      <c r="H2420" s="23" t="s">
        <v>35</v>
      </c>
      <c r="I2420" s="24" t="s">
        <v>36</v>
      </c>
      <c r="J2420" s="34" t="s">
        <v>65</v>
      </c>
      <c r="K2420" s="26" t="s">
        <v>38</v>
      </c>
      <c r="L2420" s="64" t="s">
        <v>2253</v>
      </c>
      <c r="M2420" s="152" t="str">
        <f t="shared" si="12"/>
        <v>#REF!</v>
      </c>
      <c r="N2420" s="26"/>
      <c r="O2420" s="50">
        <v>45646.0</v>
      </c>
      <c r="P2420" s="26" t="s">
        <v>9455</v>
      </c>
      <c r="Q2420" s="11" t="s">
        <v>67</v>
      </c>
      <c r="R2420" s="11" t="s">
        <v>67</v>
      </c>
      <c r="S2420" s="11" t="s">
        <v>73</v>
      </c>
      <c r="T2420" s="29">
        <v>45553.65214155093</v>
      </c>
      <c r="U2420" s="29">
        <v>45573.44714077546</v>
      </c>
      <c r="V2420" s="29">
        <v>45644.77579255787</v>
      </c>
      <c r="W2420" s="30"/>
      <c r="X2420" s="30"/>
      <c r="Y2420" s="66">
        <v>-11665.0</v>
      </c>
      <c r="Z2420" s="31"/>
      <c r="AA2420" s="31" t="s">
        <v>94</v>
      </c>
      <c r="AB2420" s="31" t="s">
        <v>9535</v>
      </c>
      <c r="AC2420" s="31"/>
    </row>
    <row r="2421" ht="18.75" customHeight="1">
      <c r="A2421" s="32" t="s">
        <v>9536</v>
      </c>
      <c r="B2421" s="19" t="s">
        <v>4293</v>
      </c>
      <c r="C2421" s="20">
        <v>0.0</v>
      </c>
      <c r="D2421" s="21" t="s">
        <v>9537</v>
      </c>
      <c r="E2421" s="27" t="s">
        <v>3441</v>
      </c>
      <c r="F2421" s="18" t="s">
        <v>48</v>
      </c>
      <c r="G2421" s="32" t="s">
        <v>35</v>
      </c>
      <c r="H2421" s="23" t="s">
        <v>35</v>
      </c>
      <c r="I2421" s="24" t="s">
        <v>36</v>
      </c>
      <c r="J2421" s="34" t="s">
        <v>65</v>
      </c>
      <c r="K2421" s="26" t="s">
        <v>38</v>
      </c>
      <c r="L2421" s="64" t="s">
        <v>2253</v>
      </c>
      <c r="M2421" s="152" t="str">
        <f t="shared" si="12"/>
        <v>#REF!</v>
      </c>
      <c r="N2421" s="26"/>
      <c r="O2421" s="50">
        <v>45646.0</v>
      </c>
      <c r="P2421" s="26" t="s">
        <v>9455</v>
      </c>
      <c r="Q2421" s="11" t="s">
        <v>67</v>
      </c>
      <c r="R2421" s="11" t="s">
        <v>67</v>
      </c>
      <c r="S2421" s="11" t="s">
        <v>73</v>
      </c>
      <c r="T2421" s="29">
        <v>45553.652221655095</v>
      </c>
      <c r="U2421" s="29">
        <v>45573.44712172454</v>
      </c>
      <c r="V2421" s="29">
        <v>45644.775779675925</v>
      </c>
      <c r="W2421" s="30"/>
      <c r="X2421" s="30"/>
      <c r="Y2421" s="66">
        <v>-11665.0</v>
      </c>
      <c r="Z2421" s="31"/>
      <c r="AA2421" s="31" t="s">
        <v>94</v>
      </c>
      <c r="AB2421" s="31" t="s">
        <v>9538</v>
      </c>
      <c r="AC2421" s="31"/>
    </row>
    <row r="2422" ht="18.75" customHeight="1">
      <c r="A2422" s="32" t="s">
        <v>9539</v>
      </c>
      <c r="B2422" s="19" t="s">
        <v>4293</v>
      </c>
      <c r="C2422" s="20">
        <v>0.0</v>
      </c>
      <c r="D2422" s="21" t="s">
        <v>9540</v>
      </c>
      <c r="E2422" s="27" t="s">
        <v>3441</v>
      </c>
      <c r="F2422" s="18" t="s">
        <v>48</v>
      </c>
      <c r="G2422" s="32" t="s">
        <v>35</v>
      </c>
      <c r="H2422" s="23" t="s">
        <v>35</v>
      </c>
      <c r="I2422" s="24" t="s">
        <v>36</v>
      </c>
      <c r="J2422" s="34" t="s">
        <v>65</v>
      </c>
      <c r="K2422" s="26" t="s">
        <v>38</v>
      </c>
      <c r="L2422" s="64" t="s">
        <v>2253</v>
      </c>
      <c r="M2422" s="152" t="str">
        <f t="shared" si="12"/>
        <v>#REF!</v>
      </c>
      <c r="N2422" s="26"/>
      <c r="O2422" s="50">
        <v>45646.0</v>
      </c>
      <c r="P2422" s="26" t="s">
        <v>9455</v>
      </c>
      <c r="Q2422" s="11" t="s">
        <v>67</v>
      </c>
      <c r="R2422" s="11" t="s">
        <v>67</v>
      </c>
      <c r="S2422" s="11" t="s">
        <v>73</v>
      </c>
      <c r="T2422" s="29">
        <v>45553.65250150463</v>
      </c>
      <c r="U2422" s="29">
        <v>45573.4471146412</v>
      </c>
      <c r="V2422" s="29">
        <v>45644.775762916666</v>
      </c>
      <c r="W2422" s="30"/>
      <c r="X2422" s="30"/>
      <c r="Y2422" s="66">
        <v>-11665.0</v>
      </c>
      <c r="Z2422" s="31"/>
      <c r="AA2422" s="31" t="s">
        <v>94</v>
      </c>
      <c r="AB2422" s="31" t="s">
        <v>9541</v>
      </c>
      <c r="AC2422" s="31"/>
    </row>
    <row r="2423" ht="18.75" customHeight="1">
      <c r="A2423" s="142" t="s">
        <v>9542</v>
      </c>
      <c r="B2423" s="19" t="s">
        <v>5180</v>
      </c>
      <c r="C2423" s="20">
        <v>27.0</v>
      </c>
      <c r="D2423" s="39" t="s">
        <v>9543</v>
      </c>
      <c r="E2423" s="27" t="s">
        <v>72</v>
      </c>
      <c r="F2423" s="18" t="s">
        <v>48</v>
      </c>
      <c r="G2423" s="32" t="s">
        <v>35</v>
      </c>
      <c r="H2423" s="23" t="s">
        <v>35</v>
      </c>
      <c r="I2423" s="37" t="s">
        <v>36</v>
      </c>
      <c r="J2423" s="34" t="s">
        <v>65</v>
      </c>
      <c r="K2423" s="26" t="s">
        <v>38</v>
      </c>
      <c r="L2423" s="25">
        <v>11657.0</v>
      </c>
      <c r="M2423" s="27" t="s">
        <v>50</v>
      </c>
      <c r="N2423" s="26" t="s">
        <v>8104</v>
      </c>
      <c r="O2423" s="28">
        <v>45573.66249371528</v>
      </c>
      <c r="P2423" s="26" t="s">
        <v>9544</v>
      </c>
      <c r="Q2423" s="11" t="s">
        <v>67</v>
      </c>
      <c r="R2423" s="11" t="s">
        <v>67</v>
      </c>
      <c r="S2423" s="11" t="s">
        <v>50</v>
      </c>
      <c r="T2423" s="29">
        <v>45553.65541979167</v>
      </c>
      <c r="U2423" s="29">
        <v>45554.427860497686</v>
      </c>
      <c r="V2423" s="29">
        <v>45573.50345207176</v>
      </c>
      <c r="W2423" s="30"/>
      <c r="X2423" s="30"/>
      <c r="Y2423" s="31"/>
      <c r="Z2423" s="31"/>
      <c r="AA2423" s="31" t="s">
        <v>94</v>
      </c>
      <c r="AB2423" s="31" t="s">
        <v>9545</v>
      </c>
      <c r="AC2423" s="31"/>
    </row>
    <row r="2424" ht="18.75" customHeight="1">
      <c r="A2424" s="18" t="s">
        <v>9546</v>
      </c>
      <c r="B2424" s="19" t="s">
        <v>3266</v>
      </c>
      <c r="C2424" s="20">
        <v>137.0</v>
      </c>
      <c r="D2424" s="21"/>
      <c r="E2424" s="27" t="s">
        <v>85</v>
      </c>
      <c r="F2424" s="18" t="s">
        <v>48</v>
      </c>
      <c r="G2424" s="32" t="s">
        <v>35</v>
      </c>
      <c r="H2424" s="23" t="s">
        <v>35</v>
      </c>
      <c r="I2424" s="24" t="s">
        <v>665</v>
      </c>
      <c r="J2424" s="34" t="s">
        <v>65</v>
      </c>
      <c r="K2424" s="26" t="s">
        <v>38</v>
      </c>
      <c r="L2424" s="25">
        <v>11517.0</v>
      </c>
      <c r="M2424" s="27" t="s">
        <v>50</v>
      </c>
      <c r="N2424" s="26" t="s">
        <v>149</v>
      </c>
      <c r="O2424" s="28">
        <v>45554.61512746528</v>
      </c>
      <c r="P2424" s="26" t="s">
        <v>9547</v>
      </c>
      <c r="Q2424" s="11" t="s">
        <v>67</v>
      </c>
      <c r="R2424" s="11" t="s">
        <v>67</v>
      </c>
      <c r="S2424" s="11" t="s">
        <v>50</v>
      </c>
      <c r="T2424" s="29">
        <v>45554.43319027778</v>
      </c>
      <c r="U2424" s="29">
        <v>45554.45397869213</v>
      </c>
      <c r="V2424" s="29">
        <v>45554.45824087963</v>
      </c>
      <c r="W2424" s="30"/>
      <c r="X2424" s="30"/>
      <c r="Y2424" s="31"/>
      <c r="Z2424" s="31"/>
      <c r="AA2424" s="31" t="s">
        <v>94</v>
      </c>
      <c r="AB2424" s="31" t="s">
        <v>9548</v>
      </c>
      <c r="AC2424" s="31"/>
    </row>
    <row r="2425" ht="18.75" customHeight="1">
      <c r="A2425" s="18" t="s">
        <v>9549</v>
      </c>
      <c r="B2425" s="19" t="s">
        <v>3266</v>
      </c>
      <c r="C2425" s="20">
        <v>11.0</v>
      </c>
      <c r="D2425" s="21" t="s">
        <v>9550</v>
      </c>
      <c r="E2425" s="27" t="s">
        <v>112</v>
      </c>
      <c r="F2425" s="18" t="s">
        <v>48</v>
      </c>
      <c r="G2425" s="32" t="s">
        <v>35</v>
      </c>
      <c r="H2425" s="23" t="s">
        <v>35</v>
      </c>
      <c r="I2425" s="24" t="s">
        <v>36</v>
      </c>
      <c r="J2425" s="34" t="s">
        <v>65</v>
      </c>
      <c r="K2425" s="26" t="s">
        <v>38</v>
      </c>
      <c r="L2425" s="25">
        <v>11517.0</v>
      </c>
      <c r="M2425" s="27" t="s">
        <v>50</v>
      </c>
      <c r="N2425" s="26" t="s">
        <v>149</v>
      </c>
      <c r="O2425" s="28">
        <v>45554.615202395835</v>
      </c>
      <c r="P2425" s="26" t="s">
        <v>9551</v>
      </c>
      <c r="Q2425" s="11" t="s">
        <v>67</v>
      </c>
      <c r="R2425" s="11" t="s">
        <v>67</v>
      </c>
      <c r="S2425" s="11" t="s">
        <v>50</v>
      </c>
      <c r="T2425" s="29">
        <v>45554.43346159722</v>
      </c>
      <c r="U2425" s="29">
        <v>45554.4539919213</v>
      </c>
      <c r="V2425" s="29">
        <v>45554.458249097224</v>
      </c>
      <c r="W2425" s="30"/>
      <c r="X2425" s="30"/>
      <c r="Y2425" s="31"/>
      <c r="Z2425" s="31"/>
      <c r="AA2425" s="31" t="s">
        <v>94</v>
      </c>
      <c r="AB2425" s="31" t="s">
        <v>9552</v>
      </c>
      <c r="AC2425" s="31"/>
    </row>
    <row r="2426" ht="18.75" customHeight="1">
      <c r="A2426" s="142" t="s">
        <v>9553</v>
      </c>
      <c r="B2426" s="19" t="s">
        <v>9554</v>
      </c>
      <c r="C2426" s="20">
        <v>1.0</v>
      </c>
      <c r="D2426" s="21" t="s">
        <v>9555</v>
      </c>
      <c r="E2426" s="27" t="s">
        <v>3395</v>
      </c>
      <c r="F2426" s="18" t="s">
        <v>48</v>
      </c>
      <c r="G2426" s="32" t="s">
        <v>35</v>
      </c>
      <c r="H2426" s="23" t="s">
        <v>35</v>
      </c>
      <c r="I2426" s="24" t="s">
        <v>36</v>
      </c>
      <c r="J2426" s="25" t="s">
        <v>49</v>
      </c>
      <c r="K2426" s="26" t="s">
        <v>9556</v>
      </c>
      <c r="L2426" s="72">
        <v>11613.0</v>
      </c>
      <c r="M2426" s="22" t="s">
        <v>50</v>
      </c>
      <c r="N2426" s="35" t="s">
        <v>8199</v>
      </c>
      <c r="O2426" s="28">
        <v>45573.64878472222</v>
      </c>
      <c r="P2426" s="26" t="s">
        <v>9557</v>
      </c>
      <c r="Q2426" s="11" t="s">
        <v>67</v>
      </c>
      <c r="R2426" s="11" t="s">
        <v>67</v>
      </c>
      <c r="S2426" s="11" t="s">
        <v>50</v>
      </c>
      <c r="T2426" s="29">
        <v>45554.437633113426</v>
      </c>
      <c r="U2426" s="29">
        <v>45561.66467236111</v>
      </c>
      <c r="V2426" s="29">
        <v>45573.30603034722</v>
      </c>
      <c r="W2426" s="30"/>
      <c r="X2426" s="30"/>
      <c r="Y2426" s="31"/>
      <c r="Z2426" s="31"/>
      <c r="AA2426" s="31" t="s">
        <v>3053</v>
      </c>
      <c r="AB2426" s="31" t="s">
        <v>9558</v>
      </c>
      <c r="AC2426" s="31"/>
    </row>
    <row r="2427" ht="18.75" customHeight="1">
      <c r="A2427" s="142" t="s">
        <v>9559</v>
      </c>
      <c r="B2427" s="19" t="s">
        <v>5650</v>
      </c>
      <c r="C2427" s="20">
        <v>11.0</v>
      </c>
      <c r="D2427" s="21" t="s">
        <v>9560</v>
      </c>
      <c r="E2427" s="27" t="s">
        <v>112</v>
      </c>
      <c r="F2427" s="18" t="s">
        <v>48</v>
      </c>
      <c r="G2427" s="32" t="s">
        <v>35</v>
      </c>
      <c r="H2427" s="23" t="s">
        <v>35</v>
      </c>
      <c r="I2427" s="24" t="s">
        <v>36</v>
      </c>
      <c r="J2427" s="25" t="s">
        <v>49</v>
      </c>
      <c r="K2427" s="26" t="s">
        <v>38</v>
      </c>
      <c r="L2427" s="25">
        <v>11529.0</v>
      </c>
      <c r="M2427" s="27" t="s">
        <v>50</v>
      </c>
      <c r="N2427" s="26" t="s">
        <v>99</v>
      </c>
      <c r="O2427" s="28">
        <v>45555.59160648148</v>
      </c>
      <c r="P2427" s="26" t="s">
        <v>9561</v>
      </c>
      <c r="Q2427" s="11" t="s">
        <v>67</v>
      </c>
      <c r="R2427" s="11" t="s">
        <v>67</v>
      </c>
      <c r="S2427" s="11" t="s">
        <v>50</v>
      </c>
      <c r="T2427" s="29">
        <v>45555.36446824074</v>
      </c>
      <c r="U2427" s="29">
        <v>45555.38142630787</v>
      </c>
      <c r="V2427" s="29">
        <v>45555.46267167824</v>
      </c>
      <c r="W2427" s="30"/>
      <c r="X2427" s="30"/>
      <c r="Y2427" s="31"/>
      <c r="Z2427" s="31"/>
      <c r="AA2427" s="31" t="s">
        <v>102</v>
      </c>
      <c r="AB2427" s="31" t="s">
        <v>9562</v>
      </c>
      <c r="AC2427" s="31"/>
    </row>
    <row r="2428" ht="18.75" customHeight="1">
      <c r="A2428" s="142" t="s">
        <v>9563</v>
      </c>
      <c r="B2428" s="19" t="s">
        <v>8071</v>
      </c>
      <c r="C2428" s="20">
        <v>137.0</v>
      </c>
      <c r="D2428" s="21" t="s">
        <v>9564</v>
      </c>
      <c r="E2428" s="27" t="s">
        <v>85</v>
      </c>
      <c r="F2428" s="18" t="s">
        <v>48</v>
      </c>
      <c r="G2428" s="32" t="s">
        <v>35</v>
      </c>
      <c r="H2428" s="23" t="s">
        <v>35</v>
      </c>
      <c r="I2428" s="24" t="s">
        <v>36</v>
      </c>
      <c r="J2428" s="25" t="s">
        <v>49</v>
      </c>
      <c r="K2428" s="26" t="s">
        <v>38</v>
      </c>
      <c r="L2428" s="25">
        <v>11541.0</v>
      </c>
      <c r="M2428" s="27" t="s">
        <v>50</v>
      </c>
      <c r="N2428" s="26" t="s">
        <v>99</v>
      </c>
      <c r="O2428" s="28">
        <v>45559.43502204861</v>
      </c>
      <c r="P2428" s="26" t="s">
        <v>9565</v>
      </c>
      <c r="Q2428" s="11" t="s">
        <v>67</v>
      </c>
      <c r="R2428" s="11" t="s">
        <v>67</v>
      </c>
      <c r="S2428" s="11" t="s">
        <v>50</v>
      </c>
      <c r="T2428" s="29">
        <v>45555.57960413194</v>
      </c>
      <c r="U2428" s="29">
        <v>45558.563199826385</v>
      </c>
      <c r="V2428" s="29">
        <v>45559.35276962963</v>
      </c>
      <c r="W2428" s="30"/>
      <c r="X2428" s="30"/>
      <c r="Y2428" s="31"/>
      <c r="Z2428" s="31"/>
      <c r="AA2428" s="31" t="s">
        <v>127</v>
      </c>
      <c r="AB2428" s="31" t="s">
        <v>9566</v>
      </c>
      <c r="AC2428" s="31"/>
    </row>
    <row r="2429" ht="18.75" customHeight="1">
      <c r="A2429" s="151" t="s">
        <v>9567</v>
      </c>
      <c r="B2429" s="19" t="s">
        <v>4716</v>
      </c>
      <c r="C2429" s="20">
        <v>137.0</v>
      </c>
      <c r="D2429" s="61" t="s">
        <v>9568</v>
      </c>
      <c r="E2429" s="27" t="s">
        <v>85</v>
      </c>
      <c r="F2429" s="18" t="s">
        <v>48</v>
      </c>
      <c r="G2429" s="32" t="s">
        <v>35</v>
      </c>
      <c r="H2429" s="23" t="s">
        <v>35</v>
      </c>
      <c r="I2429" s="37" t="s">
        <v>36</v>
      </c>
      <c r="J2429" s="25" t="s">
        <v>420</v>
      </c>
      <c r="K2429" s="26" t="s">
        <v>38</v>
      </c>
      <c r="L2429" s="64" t="s">
        <v>9569</v>
      </c>
      <c r="M2429" s="27" t="s">
        <v>50</v>
      </c>
      <c r="N2429" s="26" t="s">
        <v>4031</v>
      </c>
      <c r="O2429" s="28">
        <v>45649.69613480324</v>
      </c>
      <c r="P2429" s="26" t="s">
        <v>9570</v>
      </c>
      <c r="Q2429" s="11" t="s">
        <v>67</v>
      </c>
      <c r="R2429" s="11" t="s">
        <v>67</v>
      </c>
      <c r="S2429" s="11" t="s">
        <v>73</v>
      </c>
      <c r="T2429" s="29">
        <v>45575.4318066088</v>
      </c>
      <c r="U2429" s="29">
        <v>45575.661553530095</v>
      </c>
      <c r="V2429" s="29">
        <v>45644.77581738426</v>
      </c>
      <c r="W2429" s="30"/>
      <c r="X2429" s="30"/>
      <c r="Y2429" s="66">
        <v>-11896.0</v>
      </c>
      <c r="Z2429" s="31"/>
      <c r="AA2429" s="31"/>
      <c r="AB2429" s="31" t="s">
        <v>9571</v>
      </c>
      <c r="AC2429" s="31"/>
    </row>
    <row r="2430" ht="18.75" customHeight="1">
      <c r="A2430" s="142" t="s">
        <v>9572</v>
      </c>
      <c r="B2430" s="19" t="s">
        <v>9101</v>
      </c>
      <c r="C2430" s="20">
        <v>90.0</v>
      </c>
      <c r="D2430" s="21" t="s">
        <v>9573</v>
      </c>
      <c r="E2430" s="27" t="s">
        <v>91</v>
      </c>
      <c r="F2430" s="18" t="s">
        <v>48</v>
      </c>
      <c r="G2430" s="32" t="s">
        <v>35</v>
      </c>
      <c r="H2430" s="23" t="s">
        <v>35</v>
      </c>
      <c r="I2430" s="37" t="s">
        <v>36</v>
      </c>
      <c r="J2430" s="34" t="s">
        <v>65</v>
      </c>
      <c r="K2430" s="26" t="s">
        <v>38</v>
      </c>
      <c r="L2430" s="25">
        <v>11636.0</v>
      </c>
      <c r="M2430" s="27" t="s">
        <v>50</v>
      </c>
      <c r="N2430" s="26" t="s">
        <v>8104</v>
      </c>
      <c r="O2430" s="28">
        <v>45573.66249371528</v>
      </c>
      <c r="P2430" s="26" t="s">
        <v>9574</v>
      </c>
      <c r="Q2430" s="11" t="s">
        <v>67</v>
      </c>
      <c r="R2430" s="11" t="s">
        <v>67</v>
      </c>
      <c r="S2430" s="11" t="s">
        <v>50</v>
      </c>
      <c r="T2430" s="29">
        <v>45555.50007959491</v>
      </c>
      <c r="U2430" s="29">
        <v>45562.41909638889</v>
      </c>
      <c r="V2430" s="29">
        <v>45573.45623277778</v>
      </c>
      <c r="W2430" s="30"/>
      <c r="X2430" s="30"/>
      <c r="Y2430" s="31"/>
      <c r="Z2430" s="31"/>
      <c r="AA2430" s="31" t="s">
        <v>94</v>
      </c>
      <c r="AB2430" s="31" t="s">
        <v>9575</v>
      </c>
      <c r="AC2430" s="31"/>
    </row>
    <row r="2431" ht="18.75" customHeight="1">
      <c r="A2431" s="142" t="s">
        <v>9576</v>
      </c>
      <c r="B2431" s="19" t="s">
        <v>8041</v>
      </c>
      <c r="C2431" s="20">
        <v>34.0</v>
      </c>
      <c r="D2431" s="21" t="s">
        <v>9577</v>
      </c>
      <c r="E2431" s="27" t="s">
        <v>47</v>
      </c>
      <c r="F2431" s="18" t="s">
        <v>48</v>
      </c>
      <c r="G2431" s="32" t="s">
        <v>35</v>
      </c>
      <c r="H2431" s="23" t="s">
        <v>35</v>
      </c>
      <c r="I2431" s="24" t="s">
        <v>36</v>
      </c>
      <c r="J2431" s="25" t="s">
        <v>49</v>
      </c>
      <c r="K2431" s="26" t="s">
        <v>38</v>
      </c>
      <c r="L2431" s="25">
        <v>11537.0</v>
      </c>
      <c r="M2431" s="27" t="s">
        <v>50</v>
      </c>
      <c r="N2431" s="26" t="s">
        <v>99</v>
      </c>
      <c r="O2431" s="28">
        <v>45558.57518880787</v>
      </c>
      <c r="P2431" s="26" t="s">
        <v>9578</v>
      </c>
      <c r="Q2431" s="11" t="s">
        <v>67</v>
      </c>
      <c r="R2431" s="11" t="s">
        <v>67</v>
      </c>
      <c r="S2431" s="11" t="s">
        <v>50</v>
      </c>
      <c r="T2431" s="29">
        <v>45555.56613734954</v>
      </c>
      <c r="U2431" s="29">
        <v>45555.58165753473</v>
      </c>
      <c r="V2431" s="29">
        <v>45558.35689538195</v>
      </c>
      <c r="W2431" s="30"/>
      <c r="X2431" s="30"/>
      <c r="Y2431" s="31"/>
      <c r="Z2431" s="31"/>
      <c r="AA2431" s="31" t="s">
        <v>102</v>
      </c>
      <c r="AB2431" s="31" t="s">
        <v>9579</v>
      </c>
      <c r="AC2431" s="31"/>
    </row>
    <row r="2432" ht="18.75" customHeight="1">
      <c r="A2432" s="142" t="s">
        <v>9580</v>
      </c>
      <c r="B2432" s="19" t="s">
        <v>8041</v>
      </c>
      <c r="C2432" s="20">
        <v>90.0</v>
      </c>
      <c r="D2432" s="21" t="s">
        <v>9581</v>
      </c>
      <c r="E2432" s="27" t="s">
        <v>91</v>
      </c>
      <c r="F2432" s="18" t="s">
        <v>48</v>
      </c>
      <c r="G2432" s="32" t="s">
        <v>35</v>
      </c>
      <c r="H2432" s="23" t="s">
        <v>35</v>
      </c>
      <c r="I2432" s="24" t="s">
        <v>36</v>
      </c>
      <c r="J2432" s="25" t="s">
        <v>49</v>
      </c>
      <c r="K2432" s="26" t="s">
        <v>38</v>
      </c>
      <c r="L2432" s="72">
        <v>11621.0</v>
      </c>
      <c r="M2432" s="22" t="s">
        <v>50</v>
      </c>
      <c r="N2432" s="35" t="s">
        <v>8199</v>
      </c>
      <c r="O2432" s="28">
        <v>45573.64878472222</v>
      </c>
      <c r="P2432" s="26" t="s">
        <v>9582</v>
      </c>
      <c r="Q2432" s="11" t="s">
        <v>67</v>
      </c>
      <c r="R2432" s="11" t="s">
        <v>67</v>
      </c>
      <c r="S2432" s="11" t="s">
        <v>50</v>
      </c>
      <c r="T2432" s="29">
        <v>45555.56753792824</v>
      </c>
      <c r="U2432" s="29">
        <v>45555.58235222222</v>
      </c>
      <c r="V2432" s="29">
        <v>45573.41352012732</v>
      </c>
      <c r="W2432" s="30"/>
      <c r="X2432" s="30"/>
      <c r="Y2432" s="31"/>
      <c r="Z2432" s="31"/>
      <c r="AA2432" s="31" t="s">
        <v>102</v>
      </c>
      <c r="AB2432" s="31" t="s">
        <v>9583</v>
      </c>
      <c r="AC2432" s="31"/>
    </row>
    <row r="2433" ht="18.75" customHeight="1">
      <c r="A2433" s="142" t="s">
        <v>9584</v>
      </c>
      <c r="B2433" s="19" t="s">
        <v>4455</v>
      </c>
      <c r="C2433" s="20">
        <v>137.0</v>
      </c>
      <c r="D2433" s="21" t="s">
        <v>9585</v>
      </c>
      <c r="E2433" s="27" t="s">
        <v>85</v>
      </c>
      <c r="F2433" s="18" t="s">
        <v>48</v>
      </c>
      <c r="G2433" s="32" t="s">
        <v>35</v>
      </c>
      <c r="H2433" s="23" t="s">
        <v>35</v>
      </c>
      <c r="I2433" s="24" t="s">
        <v>36</v>
      </c>
      <c r="J2433" s="34" t="s">
        <v>65</v>
      </c>
      <c r="K2433" s="26" t="s">
        <v>38</v>
      </c>
      <c r="L2433" s="25">
        <v>11538.0</v>
      </c>
      <c r="M2433" s="27" t="s">
        <v>50</v>
      </c>
      <c r="N2433" s="26" t="s">
        <v>149</v>
      </c>
      <c r="O2433" s="28">
        <v>45558.63420112268</v>
      </c>
      <c r="P2433" s="26" t="s">
        <v>9586</v>
      </c>
      <c r="Q2433" s="11" t="s">
        <v>67</v>
      </c>
      <c r="R2433" s="11" t="s">
        <v>67</v>
      </c>
      <c r="S2433" s="11" t="s">
        <v>50</v>
      </c>
      <c r="T2433" s="29">
        <v>45555.57020219907</v>
      </c>
      <c r="U2433" s="29">
        <v>45555.69253721065</v>
      </c>
      <c r="V2433" s="29">
        <v>45558.358699687495</v>
      </c>
      <c r="W2433" s="30"/>
      <c r="X2433" s="30"/>
      <c r="Y2433" s="31"/>
      <c r="Z2433" s="31"/>
      <c r="AA2433" s="31" t="s">
        <v>94</v>
      </c>
      <c r="AB2433" s="31" t="s">
        <v>9587</v>
      </c>
      <c r="AC2433" s="31"/>
    </row>
    <row r="2434" ht="18.75" customHeight="1">
      <c r="A2434" s="18" t="s">
        <v>9588</v>
      </c>
      <c r="B2434" s="19" t="s">
        <v>9589</v>
      </c>
      <c r="C2434" s="20">
        <v>11.0</v>
      </c>
      <c r="D2434" s="21" t="s">
        <v>9590</v>
      </c>
      <c r="E2434" s="27" t="s">
        <v>112</v>
      </c>
      <c r="F2434" s="18" t="s">
        <v>48</v>
      </c>
      <c r="G2434" s="32" t="s">
        <v>35</v>
      </c>
      <c r="H2434" s="23" t="s">
        <v>35</v>
      </c>
      <c r="I2434" s="24" t="s">
        <v>36</v>
      </c>
      <c r="J2434" s="25" t="s">
        <v>49</v>
      </c>
      <c r="K2434" s="26" t="s">
        <v>38</v>
      </c>
      <c r="L2434" s="25">
        <v>11628.0</v>
      </c>
      <c r="M2434" s="22" t="s">
        <v>50</v>
      </c>
      <c r="N2434" s="35" t="s">
        <v>8199</v>
      </c>
      <c r="O2434" s="28">
        <v>45573.64878472222</v>
      </c>
      <c r="P2434" s="26" t="s">
        <v>9591</v>
      </c>
      <c r="Q2434" s="11" t="s">
        <v>67</v>
      </c>
      <c r="R2434" s="11" t="s">
        <v>67</v>
      </c>
      <c r="S2434" s="11" t="s">
        <v>50</v>
      </c>
      <c r="T2434" s="29">
        <v>45555.57336173611</v>
      </c>
      <c r="U2434" s="29">
        <v>45568.433772662036</v>
      </c>
      <c r="V2434" s="29">
        <v>45573.46450724537</v>
      </c>
      <c r="W2434" s="30"/>
      <c r="X2434" s="30"/>
      <c r="Y2434" s="31"/>
      <c r="Z2434" s="31"/>
      <c r="AA2434" s="31" t="s">
        <v>102</v>
      </c>
      <c r="AB2434" s="31" t="s">
        <v>9592</v>
      </c>
      <c r="AC2434" s="31"/>
    </row>
    <row r="2435" ht="18.75" customHeight="1">
      <c r="A2435" s="18" t="s">
        <v>9593</v>
      </c>
      <c r="B2435" s="19" t="s">
        <v>9589</v>
      </c>
      <c r="C2435" s="20">
        <v>11.0</v>
      </c>
      <c r="D2435" s="21" t="s">
        <v>9594</v>
      </c>
      <c r="E2435" s="27" t="s">
        <v>112</v>
      </c>
      <c r="F2435" s="18" t="s">
        <v>48</v>
      </c>
      <c r="G2435" s="32" t="s">
        <v>35</v>
      </c>
      <c r="H2435" s="23" t="s">
        <v>35</v>
      </c>
      <c r="I2435" s="37" t="s">
        <v>36</v>
      </c>
      <c r="J2435" s="25" t="s">
        <v>49</v>
      </c>
      <c r="K2435" s="26" t="s">
        <v>38</v>
      </c>
      <c r="L2435" s="25">
        <v>12077.0</v>
      </c>
      <c r="M2435" s="27" t="s">
        <v>50</v>
      </c>
      <c r="N2435" s="26" t="s">
        <v>99</v>
      </c>
      <c r="O2435" s="28">
        <v>45623.70833333333</v>
      </c>
      <c r="P2435" s="26" t="s">
        <v>9591</v>
      </c>
      <c r="Q2435" s="11" t="s">
        <v>67</v>
      </c>
      <c r="R2435" s="11" t="s">
        <v>67</v>
      </c>
      <c r="S2435" s="11" t="s">
        <v>50</v>
      </c>
      <c r="T2435" s="29">
        <v>45623.40503466435</v>
      </c>
      <c r="U2435" s="29">
        <v>45623.40506211805</v>
      </c>
      <c r="V2435" s="29">
        <v>45623.40558363426</v>
      </c>
      <c r="W2435" s="38"/>
      <c r="X2435" s="30"/>
      <c r="Y2435" s="31"/>
      <c r="Z2435" s="31"/>
      <c r="AA2435" s="31" t="s">
        <v>102</v>
      </c>
      <c r="AB2435" s="31" t="s">
        <v>9595</v>
      </c>
      <c r="AC2435" s="31"/>
    </row>
    <row r="2436" ht="18.75" customHeight="1">
      <c r="A2436" s="142" t="s">
        <v>9596</v>
      </c>
      <c r="B2436" s="19" t="s">
        <v>1345</v>
      </c>
      <c r="C2436" s="20">
        <v>0.0</v>
      </c>
      <c r="D2436" s="21" t="s">
        <v>9597</v>
      </c>
      <c r="E2436" s="22" t="s">
        <v>882</v>
      </c>
      <c r="F2436" s="18" t="s">
        <v>33</v>
      </c>
      <c r="G2436" s="32" t="s">
        <v>35</v>
      </c>
      <c r="H2436" s="23" t="s">
        <v>35</v>
      </c>
      <c r="I2436" s="37" t="s">
        <v>36</v>
      </c>
      <c r="J2436" s="25" t="s">
        <v>420</v>
      </c>
      <c r="K2436" s="26" t="s">
        <v>38</v>
      </c>
      <c r="L2436" s="25">
        <v>12069.0</v>
      </c>
      <c r="M2436" s="27" t="s">
        <v>50</v>
      </c>
      <c r="N2436" s="26" t="s">
        <v>4031</v>
      </c>
      <c r="O2436" s="28">
        <v>45623.6625</v>
      </c>
      <c r="P2436" s="26" t="s">
        <v>9598</v>
      </c>
      <c r="Q2436" s="11" t="s">
        <v>67</v>
      </c>
      <c r="R2436" s="11" t="s">
        <v>67</v>
      </c>
      <c r="S2436" s="11" t="s">
        <v>101</v>
      </c>
      <c r="T2436" s="29">
        <v>45618.43483371528</v>
      </c>
      <c r="U2436" s="29">
        <v>45618.43483648148</v>
      </c>
      <c r="V2436" s="29">
        <v>45622.61616990741</v>
      </c>
      <c r="W2436" s="38"/>
      <c r="X2436" s="30"/>
      <c r="Y2436" s="31"/>
      <c r="Z2436" s="31"/>
      <c r="AA2436" s="31" t="s">
        <v>94</v>
      </c>
      <c r="AB2436" s="31" t="s">
        <v>9599</v>
      </c>
      <c r="AC2436" s="31"/>
    </row>
    <row r="2437" ht="18.75" customHeight="1">
      <c r="A2437" s="142" t="s">
        <v>9600</v>
      </c>
      <c r="B2437" s="19" t="s">
        <v>96</v>
      </c>
      <c r="C2437" s="20">
        <v>0.0</v>
      </c>
      <c r="D2437" s="21" t="s">
        <v>9601</v>
      </c>
      <c r="E2437" s="27" t="s">
        <v>7436</v>
      </c>
      <c r="F2437" s="18" t="s">
        <v>33</v>
      </c>
      <c r="G2437" s="32" t="s">
        <v>35</v>
      </c>
      <c r="H2437" s="23" t="s">
        <v>35</v>
      </c>
      <c r="I2437" s="24" t="s">
        <v>36</v>
      </c>
      <c r="J2437" s="25" t="s">
        <v>49</v>
      </c>
      <c r="K2437" s="26" t="s">
        <v>38</v>
      </c>
      <c r="L2437" s="25">
        <v>11554.0</v>
      </c>
      <c r="M2437" s="27" t="s">
        <v>50</v>
      </c>
      <c r="N2437" s="26" t="s">
        <v>99</v>
      </c>
      <c r="O2437" s="28">
        <v>45561.39283002315</v>
      </c>
      <c r="P2437" s="26" t="s">
        <v>9602</v>
      </c>
      <c r="Q2437" s="11" t="s">
        <v>67</v>
      </c>
      <c r="R2437" s="11" t="s">
        <v>67</v>
      </c>
      <c r="S2437" s="11"/>
      <c r="T2437" s="29">
        <v>45558.36517211805</v>
      </c>
      <c r="U2437" s="29">
        <v>45558.41227398148</v>
      </c>
      <c r="V2437" s="29"/>
      <c r="W2437" s="30"/>
      <c r="X2437" s="30"/>
      <c r="Y2437" s="31"/>
      <c r="Z2437" s="31"/>
      <c r="AA2437" s="31" t="s">
        <v>102</v>
      </c>
      <c r="AB2437" s="31" t="s">
        <v>9603</v>
      </c>
      <c r="AC2437" s="31"/>
    </row>
    <row r="2438" ht="18.75" customHeight="1">
      <c r="A2438" s="142" t="s">
        <v>9604</v>
      </c>
      <c r="B2438" s="19" t="s">
        <v>4313</v>
      </c>
      <c r="C2438" s="20">
        <v>0.0</v>
      </c>
      <c r="D2438" s="135" t="s">
        <v>9605</v>
      </c>
      <c r="E2438" s="27" t="s">
        <v>79</v>
      </c>
      <c r="F2438" s="18" t="s">
        <v>33</v>
      </c>
      <c r="G2438" s="32" t="s">
        <v>35</v>
      </c>
      <c r="H2438" s="23" t="s">
        <v>35</v>
      </c>
      <c r="I2438" s="24" t="s">
        <v>36</v>
      </c>
      <c r="J2438" s="25" t="s">
        <v>92</v>
      </c>
      <c r="K2438" s="26" t="s">
        <v>38</v>
      </c>
      <c r="L2438" s="25">
        <v>11552.0</v>
      </c>
      <c r="M2438" s="27" t="s">
        <v>50</v>
      </c>
      <c r="N2438" s="26" t="s">
        <v>118</v>
      </c>
      <c r="O2438" s="28">
        <v>45565.377300486114</v>
      </c>
      <c r="P2438" s="26" t="s">
        <v>9606</v>
      </c>
      <c r="Q2438" s="11" t="s">
        <v>67</v>
      </c>
      <c r="R2438" s="11" t="s">
        <v>67</v>
      </c>
      <c r="S2438" s="11"/>
      <c r="T2438" s="29">
        <v>45558.36569934028</v>
      </c>
      <c r="U2438" s="29">
        <v>45558.379172280096</v>
      </c>
      <c r="V2438" s="29"/>
      <c r="W2438" s="30"/>
      <c r="X2438" s="30"/>
      <c r="Y2438" s="31"/>
      <c r="Z2438" s="31"/>
      <c r="AA2438" s="31" t="s">
        <v>120</v>
      </c>
      <c r="AB2438" s="31" t="s">
        <v>9607</v>
      </c>
      <c r="AC2438" s="31"/>
    </row>
    <row r="2439" ht="18.75" customHeight="1">
      <c r="A2439" s="142" t="s">
        <v>9608</v>
      </c>
      <c r="B2439" s="19" t="s">
        <v>7178</v>
      </c>
      <c r="C2439" s="20">
        <v>11.0</v>
      </c>
      <c r="D2439" s="21" t="s">
        <v>9609</v>
      </c>
      <c r="E2439" s="27" t="s">
        <v>112</v>
      </c>
      <c r="F2439" s="18" t="s">
        <v>48</v>
      </c>
      <c r="G2439" s="32" t="s">
        <v>35</v>
      </c>
      <c r="H2439" s="23" t="s">
        <v>35</v>
      </c>
      <c r="I2439" s="24" t="s">
        <v>36</v>
      </c>
      <c r="J2439" s="25" t="s">
        <v>49</v>
      </c>
      <c r="K2439" s="26" t="s">
        <v>38</v>
      </c>
      <c r="L2439" s="25">
        <v>11539.0</v>
      </c>
      <c r="M2439" s="27" t="s">
        <v>50</v>
      </c>
      <c r="N2439" s="26" t="s">
        <v>99</v>
      </c>
      <c r="O2439" s="28">
        <v>45558.57511510416</v>
      </c>
      <c r="P2439" s="26" t="s">
        <v>9610</v>
      </c>
      <c r="Q2439" s="11" t="s">
        <v>67</v>
      </c>
      <c r="R2439" s="11" t="s">
        <v>67</v>
      </c>
      <c r="S2439" s="11" t="s">
        <v>50</v>
      </c>
      <c r="T2439" s="29">
        <v>45558.36692380787</v>
      </c>
      <c r="U2439" s="29">
        <v>45558.41169533565</v>
      </c>
      <c r="V2439" s="29">
        <v>45561.47749916666</v>
      </c>
      <c r="W2439" s="30"/>
      <c r="X2439" s="30"/>
      <c r="Y2439" s="31"/>
      <c r="Z2439" s="31"/>
      <c r="AA2439" s="31" t="s">
        <v>127</v>
      </c>
      <c r="AB2439" s="31" t="s">
        <v>9611</v>
      </c>
      <c r="AC2439" s="31"/>
    </row>
    <row r="2440" ht="18.75" customHeight="1">
      <c r="A2440" s="142" t="s">
        <v>9612</v>
      </c>
      <c r="B2440" s="19" t="s">
        <v>5047</v>
      </c>
      <c r="C2440" s="20">
        <v>1.0</v>
      </c>
      <c r="D2440" s="21" t="s">
        <v>9613</v>
      </c>
      <c r="E2440" s="27" t="s">
        <v>3395</v>
      </c>
      <c r="F2440" s="18" t="s">
        <v>48</v>
      </c>
      <c r="G2440" s="32" t="s">
        <v>35</v>
      </c>
      <c r="H2440" s="23" t="s">
        <v>35</v>
      </c>
      <c r="I2440" s="37" t="s">
        <v>36</v>
      </c>
      <c r="J2440" s="25" t="s">
        <v>37</v>
      </c>
      <c r="K2440" s="26" t="s">
        <v>38</v>
      </c>
      <c r="L2440" s="25">
        <v>11794.0</v>
      </c>
      <c r="M2440" s="27" t="s">
        <v>50</v>
      </c>
      <c r="N2440" s="26" t="s">
        <v>4527</v>
      </c>
      <c r="O2440" s="28">
        <v>45590.62402393519</v>
      </c>
      <c r="P2440" s="26" t="s">
        <v>9614</v>
      </c>
      <c r="Q2440" s="11" t="s">
        <v>67</v>
      </c>
      <c r="R2440" s="11" t="s">
        <v>67</v>
      </c>
      <c r="S2440" s="11" t="s">
        <v>73</v>
      </c>
      <c r="T2440" s="29">
        <v>45558.466337418984</v>
      </c>
      <c r="U2440" s="29">
        <v>45580.41154064814</v>
      </c>
      <c r="V2440" s="29">
        <v>45589.78630905093</v>
      </c>
      <c r="W2440" s="30"/>
      <c r="X2440" s="30"/>
      <c r="Y2440" s="31"/>
      <c r="Z2440" s="31"/>
      <c r="AA2440" s="31" t="s">
        <v>120</v>
      </c>
      <c r="AB2440" s="31" t="s">
        <v>9615</v>
      </c>
      <c r="AC2440" s="31"/>
    </row>
    <row r="2441" ht="18.75" customHeight="1">
      <c r="A2441" s="142" t="s">
        <v>9616</v>
      </c>
      <c r="B2441" s="19" t="s">
        <v>9617</v>
      </c>
      <c r="C2441" s="20">
        <v>90.0</v>
      </c>
      <c r="D2441" s="21" t="s">
        <v>9618</v>
      </c>
      <c r="E2441" s="27" t="s">
        <v>91</v>
      </c>
      <c r="F2441" s="18" t="s">
        <v>48</v>
      </c>
      <c r="G2441" s="32" t="s">
        <v>35</v>
      </c>
      <c r="H2441" s="23" t="s">
        <v>35</v>
      </c>
      <c r="I2441" s="37" t="s">
        <v>36</v>
      </c>
      <c r="J2441" s="25" t="s">
        <v>518</v>
      </c>
      <c r="K2441" s="26" t="s">
        <v>38</v>
      </c>
      <c r="L2441" s="25">
        <v>11671.0</v>
      </c>
      <c r="M2441" s="27" t="s">
        <v>50</v>
      </c>
      <c r="N2441" s="26" t="s">
        <v>4616</v>
      </c>
      <c r="O2441" s="28">
        <v>45575.58287042824</v>
      </c>
      <c r="P2441" s="26" t="s">
        <v>9619</v>
      </c>
      <c r="Q2441" s="11" t="s">
        <v>67</v>
      </c>
      <c r="R2441" s="11" t="s">
        <v>67</v>
      </c>
      <c r="S2441" s="11" t="s">
        <v>9620</v>
      </c>
      <c r="T2441" s="29">
        <v>45559.37018561343</v>
      </c>
      <c r="U2441" s="29">
        <v>45559.421258738425</v>
      </c>
      <c r="V2441" s="29">
        <v>45574.41923703704</v>
      </c>
      <c r="W2441" s="30"/>
      <c r="X2441" s="30"/>
      <c r="Y2441" s="31"/>
      <c r="Z2441" s="31"/>
      <c r="AA2441" s="31" t="s">
        <v>108</v>
      </c>
      <c r="AB2441" s="31" t="s">
        <v>9621</v>
      </c>
      <c r="AC2441" s="31"/>
    </row>
    <row r="2442" ht="18.75" customHeight="1">
      <c r="A2442" s="142" t="s">
        <v>9622</v>
      </c>
      <c r="B2442" s="19" t="s">
        <v>8203</v>
      </c>
      <c r="C2442" s="20">
        <v>137.0</v>
      </c>
      <c r="D2442" s="21" t="s">
        <v>9623</v>
      </c>
      <c r="E2442" s="27" t="s">
        <v>85</v>
      </c>
      <c r="F2442" s="18" t="s">
        <v>48</v>
      </c>
      <c r="G2442" s="32" t="s">
        <v>35</v>
      </c>
      <c r="H2442" s="23" t="s">
        <v>35</v>
      </c>
      <c r="I2442" s="37" t="s">
        <v>36</v>
      </c>
      <c r="J2442" s="34" t="s">
        <v>9338</v>
      </c>
      <c r="K2442" s="26" t="s">
        <v>38</v>
      </c>
      <c r="L2442" s="25">
        <v>11550.0</v>
      </c>
      <c r="M2442" s="27" t="s">
        <v>50</v>
      </c>
      <c r="N2442" s="26" t="s">
        <v>9339</v>
      </c>
      <c r="O2442" s="28">
        <v>45567.673330983795</v>
      </c>
      <c r="P2442" s="26" t="s">
        <v>9624</v>
      </c>
      <c r="Q2442" s="11" t="s">
        <v>67</v>
      </c>
      <c r="R2442" s="11" t="s">
        <v>67</v>
      </c>
      <c r="S2442" s="11" t="s">
        <v>50</v>
      </c>
      <c r="T2442" s="29">
        <v>45559.373226932876</v>
      </c>
      <c r="U2442" s="29">
        <v>45560.40300010417</v>
      </c>
      <c r="V2442" s="29">
        <v>45560.454582025464</v>
      </c>
      <c r="W2442" s="30"/>
      <c r="X2442" s="30"/>
      <c r="Y2442" s="31"/>
      <c r="Z2442" s="31"/>
      <c r="AA2442" s="31" t="s">
        <v>3059</v>
      </c>
      <c r="AB2442" s="31" t="s">
        <v>9625</v>
      </c>
      <c r="AC2442" s="31"/>
    </row>
    <row r="2443" ht="18.75" customHeight="1">
      <c r="A2443" s="142" t="s">
        <v>9626</v>
      </c>
      <c r="B2443" s="19" t="s">
        <v>3636</v>
      </c>
      <c r="C2443" s="20">
        <v>11.0</v>
      </c>
      <c r="D2443" s="21" t="s">
        <v>9627</v>
      </c>
      <c r="E2443" s="27" t="s">
        <v>112</v>
      </c>
      <c r="F2443" s="18" t="s">
        <v>48</v>
      </c>
      <c r="G2443" s="32" t="s">
        <v>35</v>
      </c>
      <c r="H2443" s="23" t="s">
        <v>35</v>
      </c>
      <c r="I2443" s="24" t="s">
        <v>36</v>
      </c>
      <c r="J2443" s="25" t="s">
        <v>49</v>
      </c>
      <c r="K2443" s="26" t="s">
        <v>9628</v>
      </c>
      <c r="L2443" s="25">
        <v>11629.0</v>
      </c>
      <c r="M2443" s="22" t="s">
        <v>50</v>
      </c>
      <c r="N2443" s="35" t="s">
        <v>8199</v>
      </c>
      <c r="O2443" s="28">
        <v>45573.64878472222</v>
      </c>
      <c r="P2443" s="26" t="s">
        <v>9629</v>
      </c>
      <c r="Q2443" s="11" t="s">
        <v>67</v>
      </c>
      <c r="R2443" s="11" t="s">
        <v>67</v>
      </c>
      <c r="S2443" s="11" t="s">
        <v>50</v>
      </c>
      <c r="T2443" s="29">
        <v>45559.716632615746</v>
      </c>
      <c r="U2443" s="29">
        <v>45568.39986096065</v>
      </c>
      <c r="V2443" s="29">
        <v>45573.46453561343</v>
      </c>
      <c r="W2443" s="30"/>
      <c r="X2443" s="30"/>
      <c r="Y2443" s="31"/>
      <c r="Z2443" s="31"/>
      <c r="AA2443" s="31" t="s">
        <v>127</v>
      </c>
      <c r="AB2443" s="31" t="s">
        <v>9630</v>
      </c>
      <c r="AC2443" s="31"/>
    </row>
    <row r="2444" ht="18.75" customHeight="1">
      <c r="A2444" s="32" t="s">
        <v>9631</v>
      </c>
      <c r="B2444" s="19" t="s">
        <v>5004</v>
      </c>
      <c r="C2444" s="20">
        <v>0.0</v>
      </c>
      <c r="D2444" s="21" t="s">
        <v>9632</v>
      </c>
      <c r="E2444" s="27" t="s">
        <v>3441</v>
      </c>
      <c r="F2444" s="18" t="s">
        <v>48</v>
      </c>
      <c r="G2444" s="32" t="s">
        <v>35</v>
      </c>
      <c r="H2444" s="23" t="s">
        <v>35</v>
      </c>
      <c r="I2444" s="24" t="s">
        <v>36</v>
      </c>
      <c r="J2444" s="25" t="s">
        <v>420</v>
      </c>
      <c r="K2444" s="26" t="s">
        <v>38</v>
      </c>
      <c r="L2444" s="25">
        <v>11543.0</v>
      </c>
      <c r="M2444" s="27" t="s">
        <v>50</v>
      </c>
      <c r="N2444" s="26" t="s">
        <v>4031</v>
      </c>
      <c r="O2444" s="28">
        <v>45559.59031537037</v>
      </c>
      <c r="P2444" s="26" t="s">
        <v>9633</v>
      </c>
      <c r="Q2444" s="11" t="s">
        <v>67</v>
      </c>
      <c r="R2444" s="11" t="s">
        <v>67</v>
      </c>
      <c r="S2444" s="11" t="s">
        <v>50</v>
      </c>
      <c r="T2444" s="29">
        <v>45530.353559027775</v>
      </c>
      <c r="U2444" s="29">
        <v>45533.575452523146</v>
      </c>
      <c r="V2444" s="29">
        <v>45534.46525361111</v>
      </c>
      <c r="W2444" s="30"/>
      <c r="X2444" s="30"/>
      <c r="Y2444" s="31"/>
      <c r="Z2444" s="31"/>
      <c r="AA2444" s="31"/>
      <c r="AB2444" s="31" t="s">
        <v>9634</v>
      </c>
      <c r="AC2444" s="31"/>
    </row>
    <row r="2445" ht="18.75" customHeight="1">
      <c r="A2445" s="32" t="s">
        <v>9635</v>
      </c>
      <c r="B2445" s="19" t="s">
        <v>5004</v>
      </c>
      <c r="C2445" s="20">
        <v>1.0</v>
      </c>
      <c r="D2445" s="21" t="s">
        <v>9636</v>
      </c>
      <c r="E2445" s="27" t="s">
        <v>3395</v>
      </c>
      <c r="F2445" s="18" t="s">
        <v>48</v>
      </c>
      <c r="G2445" s="32" t="s">
        <v>35</v>
      </c>
      <c r="H2445" s="23" t="s">
        <v>35</v>
      </c>
      <c r="I2445" s="37" t="s">
        <v>36</v>
      </c>
      <c r="J2445" s="25" t="s">
        <v>420</v>
      </c>
      <c r="K2445" s="26" t="s">
        <v>38</v>
      </c>
      <c r="L2445" s="25">
        <v>11668.0</v>
      </c>
      <c r="M2445" s="27" t="s">
        <v>50</v>
      </c>
      <c r="N2445" s="26" t="s">
        <v>4031</v>
      </c>
      <c r="O2445" s="28">
        <v>45574.584770312504</v>
      </c>
      <c r="P2445" s="26" t="s">
        <v>9633</v>
      </c>
      <c r="Q2445" s="11" t="s">
        <v>67</v>
      </c>
      <c r="R2445" s="11" t="s">
        <v>67</v>
      </c>
      <c r="S2445" s="11" t="s">
        <v>50</v>
      </c>
      <c r="T2445" s="29">
        <v>45530.35329009259</v>
      </c>
      <c r="U2445" s="29">
        <v>45533.57537009259</v>
      </c>
      <c r="V2445" s="29">
        <v>45574.42432760417</v>
      </c>
      <c r="W2445" s="30"/>
      <c r="X2445" s="30"/>
      <c r="Y2445" s="31"/>
      <c r="Z2445" s="31"/>
      <c r="AA2445" s="31"/>
      <c r="AB2445" s="31" t="s">
        <v>9637</v>
      </c>
      <c r="AC2445" s="31"/>
    </row>
    <row r="2446" ht="18.75" customHeight="1">
      <c r="A2446" s="142" t="s">
        <v>9638</v>
      </c>
      <c r="B2446" s="19" t="s">
        <v>3121</v>
      </c>
      <c r="C2446" s="20">
        <v>1.0</v>
      </c>
      <c r="D2446" s="21" t="s">
        <v>9639</v>
      </c>
      <c r="E2446" s="27" t="s">
        <v>3395</v>
      </c>
      <c r="F2446" s="18" t="s">
        <v>48</v>
      </c>
      <c r="G2446" s="32" t="s">
        <v>35</v>
      </c>
      <c r="H2446" s="23" t="s">
        <v>35</v>
      </c>
      <c r="I2446" s="37" t="s">
        <v>36</v>
      </c>
      <c r="J2446" s="25" t="s">
        <v>92</v>
      </c>
      <c r="K2446" s="26" t="s">
        <v>38</v>
      </c>
      <c r="L2446" s="25">
        <v>11681.0</v>
      </c>
      <c r="M2446" s="27" t="s">
        <v>50</v>
      </c>
      <c r="N2446" s="26" t="s">
        <v>136</v>
      </c>
      <c r="O2446" s="28">
        <v>45579.64583333333</v>
      </c>
      <c r="P2446" s="26" t="s">
        <v>9640</v>
      </c>
      <c r="Q2446" s="11" t="s">
        <v>67</v>
      </c>
      <c r="R2446" s="11" t="s">
        <v>67</v>
      </c>
      <c r="S2446" s="11" t="s">
        <v>50</v>
      </c>
      <c r="T2446" s="29">
        <v>45559.44957358796</v>
      </c>
      <c r="U2446" s="29">
        <v>45559.650078645835</v>
      </c>
      <c r="V2446" s="29">
        <v>45574.36364273148</v>
      </c>
      <c r="W2446" s="30"/>
      <c r="X2446" s="30"/>
      <c r="Y2446" s="31"/>
      <c r="Z2446" s="31"/>
      <c r="AA2446" s="31" t="s">
        <v>120</v>
      </c>
      <c r="AB2446" s="31" t="s">
        <v>9641</v>
      </c>
      <c r="AC2446" s="31"/>
    </row>
    <row r="2447" ht="18.75" customHeight="1">
      <c r="A2447" s="18" t="s">
        <v>9642</v>
      </c>
      <c r="B2447" s="19" t="s">
        <v>4147</v>
      </c>
      <c r="C2447" s="20">
        <v>1.0</v>
      </c>
      <c r="D2447" s="21" t="s">
        <v>9643</v>
      </c>
      <c r="E2447" s="27" t="s">
        <v>3395</v>
      </c>
      <c r="F2447" s="18" t="s">
        <v>48</v>
      </c>
      <c r="G2447" s="32" t="s">
        <v>35</v>
      </c>
      <c r="H2447" s="23" t="s">
        <v>35</v>
      </c>
      <c r="I2447" s="37" t="s">
        <v>36</v>
      </c>
      <c r="J2447" s="25" t="s">
        <v>49</v>
      </c>
      <c r="K2447" s="26" t="s">
        <v>38</v>
      </c>
      <c r="L2447" s="72">
        <v>11609.0</v>
      </c>
      <c r="M2447" s="27" t="s">
        <v>50</v>
      </c>
      <c r="N2447" s="26" t="s">
        <v>99</v>
      </c>
      <c r="O2447" s="28">
        <v>45573.64878405092</v>
      </c>
      <c r="P2447" s="26" t="s">
        <v>9644</v>
      </c>
      <c r="Q2447" s="11" t="s">
        <v>67</v>
      </c>
      <c r="R2447" s="11" t="s">
        <v>67</v>
      </c>
      <c r="S2447" s="11" t="s">
        <v>50</v>
      </c>
      <c r="T2447" s="29">
        <v>45559.451173333335</v>
      </c>
      <c r="U2447" s="29">
        <v>45559.465240370366</v>
      </c>
      <c r="V2447" s="29">
        <v>45573.30543199074</v>
      </c>
      <c r="W2447" s="30"/>
      <c r="X2447" s="30"/>
      <c r="Y2447" s="31"/>
      <c r="Z2447" s="31"/>
      <c r="AA2447" s="31" t="s">
        <v>127</v>
      </c>
      <c r="AB2447" s="31" t="s">
        <v>9645</v>
      </c>
      <c r="AC2447" s="31"/>
    </row>
    <row r="2448" ht="18.75" customHeight="1">
      <c r="A2448" s="18" t="s">
        <v>9646</v>
      </c>
      <c r="B2448" s="19" t="s">
        <v>4147</v>
      </c>
      <c r="C2448" s="20">
        <v>0.0</v>
      </c>
      <c r="D2448" s="21" t="s">
        <v>9647</v>
      </c>
      <c r="E2448" s="27" t="s">
        <v>3441</v>
      </c>
      <c r="F2448" s="18" t="s">
        <v>48</v>
      </c>
      <c r="G2448" s="32" t="s">
        <v>35</v>
      </c>
      <c r="H2448" s="23" t="s">
        <v>35</v>
      </c>
      <c r="I2448" s="24" t="s">
        <v>36</v>
      </c>
      <c r="J2448" s="25" t="s">
        <v>49</v>
      </c>
      <c r="K2448" s="26" t="s">
        <v>38</v>
      </c>
      <c r="L2448" s="25">
        <v>11609.0</v>
      </c>
      <c r="M2448" s="22" t="s">
        <v>50</v>
      </c>
      <c r="N2448" s="35" t="s">
        <v>8199</v>
      </c>
      <c r="O2448" s="28">
        <v>45573.64878472222</v>
      </c>
      <c r="P2448" s="26" t="s">
        <v>9644</v>
      </c>
      <c r="Q2448" s="11" t="s">
        <v>67</v>
      </c>
      <c r="R2448" s="11" t="s">
        <v>67</v>
      </c>
      <c r="S2448" s="11" t="s">
        <v>50</v>
      </c>
      <c r="T2448" s="29">
        <v>45559.45136122685</v>
      </c>
      <c r="U2448" s="29">
        <v>45559.465316608796</v>
      </c>
      <c r="V2448" s="29">
        <v>45573.365077951385</v>
      </c>
      <c r="W2448" s="30"/>
      <c r="X2448" s="30"/>
      <c r="Y2448" s="31"/>
      <c r="Z2448" s="31"/>
      <c r="AA2448" s="31" t="s">
        <v>127</v>
      </c>
      <c r="AB2448" s="31" t="s">
        <v>9648</v>
      </c>
      <c r="AC2448" s="31"/>
    </row>
    <row r="2449" ht="18.75" customHeight="1">
      <c r="A2449" s="18" t="s">
        <v>9649</v>
      </c>
      <c r="B2449" s="19" t="s">
        <v>880</v>
      </c>
      <c r="C2449" s="20">
        <v>137.0</v>
      </c>
      <c r="D2449" s="21" t="s">
        <v>9650</v>
      </c>
      <c r="E2449" s="27" t="s">
        <v>85</v>
      </c>
      <c r="F2449" s="18" t="s">
        <v>48</v>
      </c>
      <c r="G2449" s="32" t="s">
        <v>35</v>
      </c>
      <c r="H2449" s="23" t="s">
        <v>35</v>
      </c>
      <c r="I2449" s="37" t="s">
        <v>36</v>
      </c>
      <c r="J2449" s="34" t="s">
        <v>65</v>
      </c>
      <c r="K2449" s="26" t="s">
        <v>38</v>
      </c>
      <c r="L2449" s="25">
        <v>11775.0</v>
      </c>
      <c r="M2449" s="27" t="s">
        <v>50</v>
      </c>
      <c r="N2449" s="26" t="s">
        <v>5279</v>
      </c>
      <c r="O2449" s="28">
        <v>45587.6715175</v>
      </c>
      <c r="P2449" s="26" t="s">
        <v>9651</v>
      </c>
      <c r="Q2449" s="11" t="s">
        <v>67</v>
      </c>
      <c r="R2449" s="11" t="s">
        <v>67</v>
      </c>
      <c r="S2449" s="11" t="s">
        <v>50</v>
      </c>
      <c r="T2449" s="29">
        <v>45559.45356010417</v>
      </c>
      <c r="U2449" s="29">
        <v>45582.48865238426</v>
      </c>
      <c r="V2449" s="29">
        <v>45587.4140352199</v>
      </c>
      <c r="W2449" s="30"/>
      <c r="X2449" s="30"/>
      <c r="Y2449" s="31"/>
      <c r="Z2449" s="31"/>
      <c r="AA2449" s="31" t="s">
        <v>94</v>
      </c>
      <c r="AB2449" s="31" t="s">
        <v>9652</v>
      </c>
      <c r="AC2449" s="31"/>
    </row>
    <row r="2450" ht="18.75" customHeight="1">
      <c r="A2450" s="18" t="s">
        <v>9653</v>
      </c>
      <c r="B2450" s="19" t="s">
        <v>880</v>
      </c>
      <c r="C2450" s="20">
        <v>11.0</v>
      </c>
      <c r="D2450" s="21" t="s">
        <v>9654</v>
      </c>
      <c r="E2450" s="27" t="s">
        <v>112</v>
      </c>
      <c r="F2450" s="18" t="s">
        <v>48</v>
      </c>
      <c r="G2450" s="32" t="s">
        <v>35</v>
      </c>
      <c r="H2450" s="23" t="s">
        <v>35</v>
      </c>
      <c r="I2450" s="37" t="s">
        <v>36</v>
      </c>
      <c r="J2450" s="34" t="s">
        <v>65</v>
      </c>
      <c r="K2450" s="26" t="s">
        <v>38</v>
      </c>
      <c r="L2450" s="25">
        <v>11763.0</v>
      </c>
      <c r="M2450" s="27" t="s">
        <v>50</v>
      </c>
      <c r="N2450" s="26" t="s">
        <v>5279</v>
      </c>
      <c r="O2450" s="28">
        <v>45586.688192939815</v>
      </c>
      <c r="P2450" s="26" t="s">
        <v>9651</v>
      </c>
      <c r="Q2450" s="11" t="s">
        <v>67</v>
      </c>
      <c r="R2450" s="11" t="s">
        <v>67</v>
      </c>
      <c r="S2450" s="11" t="s">
        <v>50</v>
      </c>
      <c r="T2450" s="29">
        <v>45559.453757407406</v>
      </c>
      <c r="U2450" s="29">
        <v>45582.48867097222</v>
      </c>
      <c r="V2450" s="29">
        <v>45586.450522141204</v>
      </c>
      <c r="W2450" s="30"/>
      <c r="X2450" s="30"/>
      <c r="Y2450" s="31"/>
      <c r="Z2450" s="31"/>
      <c r="AA2450" s="31" t="s">
        <v>94</v>
      </c>
      <c r="AB2450" s="31" t="s">
        <v>9655</v>
      </c>
      <c r="AC2450" s="31"/>
    </row>
    <row r="2451" ht="18.75" customHeight="1">
      <c r="A2451" s="142" t="s">
        <v>9656</v>
      </c>
      <c r="B2451" s="19" t="s">
        <v>9657</v>
      </c>
      <c r="C2451" s="20">
        <v>11.0</v>
      </c>
      <c r="D2451" s="21" t="s">
        <v>9658</v>
      </c>
      <c r="E2451" s="27" t="s">
        <v>112</v>
      </c>
      <c r="F2451" s="18" t="s">
        <v>48</v>
      </c>
      <c r="G2451" s="32" t="s">
        <v>35</v>
      </c>
      <c r="H2451" s="23" t="s">
        <v>35</v>
      </c>
      <c r="I2451" s="37" t="s">
        <v>36</v>
      </c>
      <c r="J2451" s="34" t="s">
        <v>718</v>
      </c>
      <c r="K2451" s="26" t="s">
        <v>38</v>
      </c>
      <c r="L2451" s="25">
        <v>2042.0</v>
      </c>
      <c r="M2451" s="27" t="s">
        <v>50</v>
      </c>
      <c r="N2451" s="26" t="s">
        <v>9659</v>
      </c>
      <c r="O2451" s="28">
        <v>45618.659272743054</v>
      </c>
      <c r="P2451" s="26" t="s">
        <v>9660</v>
      </c>
      <c r="Q2451" s="11" t="s">
        <v>67</v>
      </c>
      <c r="R2451" s="11" t="s">
        <v>67</v>
      </c>
      <c r="S2451" s="11" t="s">
        <v>50</v>
      </c>
      <c r="T2451" s="29">
        <v>45567.471632719906</v>
      </c>
      <c r="U2451" s="29">
        <v>45567.47163509259</v>
      </c>
      <c r="V2451" s="29">
        <v>45568.359034594905</v>
      </c>
      <c r="W2451" s="30"/>
      <c r="X2451" s="30"/>
      <c r="Y2451" s="31"/>
      <c r="Z2451" s="31"/>
      <c r="AA2451" s="31"/>
      <c r="AB2451" s="31" t="s">
        <v>9661</v>
      </c>
      <c r="AC2451" s="31"/>
    </row>
    <row r="2452" ht="18.75" customHeight="1">
      <c r="A2452" s="142" t="s">
        <v>9662</v>
      </c>
      <c r="B2452" s="19" t="s">
        <v>911</v>
      </c>
      <c r="C2452" s="20">
        <v>137.0</v>
      </c>
      <c r="D2452" s="21" t="s">
        <v>9663</v>
      </c>
      <c r="E2452" s="27" t="s">
        <v>85</v>
      </c>
      <c r="F2452" s="18" t="s">
        <v>48</v>
      </c>
      <c r="G2452" s="32" t="s">
        <v>35</v>
      </c>
      <c r="H2452" s="23" t="s">
        <v>35</v>
      </c>
      <c r="I2452" s="24" t="s">
        <v>36</v>
      </c>
      <c r="J2452" s="25" t="s">
        <v>49</v>
      </c>
      <c r="K2452" s="26" t="s">
        <v>38</v>
      </c>
      <c r="L2452" s="25">
        <v>11555.0</v>
      </c>
      <c r="M2452" s="27" t="s">
        <v>50</v>
      </c>
      <c r="N2452" s="26" t="s">
        <v>99</v>
      </c>
      <c r="O2452" s="28">
        <v>45561.6618644213</v>
      </c>
      <c r="P2452" s="26" t="s">
        <v>9664</v>
      </c>
      <c r="Q2452" s="11" t="s">
        <v>67</v>
      </c>
      <c r="R2452" s="11" t="s">
        <v>67</v>
      </c>
      <c r="S2452" s="11" t="s">
        <v>50</v>
      </c>
      <c r="T2452" s="29">
        <v>45559.69081760416</v>
      </c>
      <c r="U2452" s="29">
        <v>45560.67012958333</v>
      </c>
      <c r="V2452" s="29">
        <v>45561.44505758102</v>
      </c>
      <c r="W2452" s="30"/>
      <c r="X2452" s="30"/>
      <c r="Y2452" s="31"/>
      <c r="Z2452" s="31"/>
      <c r="AA2452" s="31" t="s">
        <v>3053</v>
      </c>
      <c r="AB2452" s="31" t="s">
        <v>9665</v>
      </c>
      <c r="AC2452" s="31"/>
    </row>
    <row r="2453" ht="18.75" customHeight="1">
      <c r="A2453" s="142" t="s">
        <v>9666</v>
      </c>
      <c r="B2453" s="19" t="s">
        <v>6153</v>
      </c>
      <c r="C2453" s="20">
        <v>34.0</v>
      </c>
      <c r="D2453" s="21" t="s">
        <v>9667</v>
      </c>
      <c r="E2453" s="27" t="s">
        <v>47</v>
      </c>
      <c r="F2453" s="18" t="s">
        <v>48</v>
      </c>
      <c r="G2453" s="32" t="s">
        <v>35</v>
      </c>
      <c r="H2453" s="23" t="s">
        <v>35</v>
      </c>
      <c r="I2453" s="24" t="s">
        <v>36</v>
      </c>
      <c r="J2453" s="34" t="s">
        <v>65</v>
      </c>
      <c r="K2453" s="26" t="s">
        <v>38</v>
      </c>
      <c r="L2453" s="25">
        <v>11553.0</v>
      </c>
      <c r="M2453" s="27" t="s">
        <v>50</v>
      </c>
      <c r="N2453" s="26" t="s">
        <v>51</v>
      </c>
      <c r="O2453" s="28">
        <v>45560.671946111106</v>
      </c>
      <c r="P2453" s="26" t="s">
        <v>9668</v>
      </c>
      <c r="Q2453" s="11" t="s">
        <v>67</v>
      </c>
      <c r="R2453" s="11" t="s">
        <v>67</v>
      </c>
      <c r="S2453" s="11"/>
      <c r="T2453" s="29">
        <v>45560.671946111106</v>
      </c>
      <c r="U2453" s="29">
        <v>45560.671946111106</v>
      </c>
      <c r="V2453" s="29">
        <v>45560.671946111106</v>
      </c>
      <c r="W2453" s="30"/>
      <c r="X2453" s="30"/>
      <c r="Y2453" s="31"/>
      <c r="Z2453" s="31"/>
      <c r="AA2453" s="31" t="s">
        <v>94</v>
      </c>
      <c r="AB2453" s="31" t="s">
        <v>9669</v>
      </c>
      <c r="AC2453" s="31"/>
    </row>
    <row r="2454" ht="18.75" customHeight="1">
      <c r="A2454" s="18" t="s">
        <v>9670</v>
      </c>
      <c r="B2454" s="19" t="s">
        <v>6153</v>
      </c>
      <c r="C2454" s="20">
        <v>34.0</v>
      </c>
      <c r="D2454" s="21" t="s">
        <v>9671</v>
      </c>
      <c r="E2454" s="27" t="s">
        <v>47</v>
      </c>
      <c r="F2454" s="18" t="s">
        <v>48</v>
      </c>
      <c r="G2454" s="32" t="s">
        <v>35</v>
      </c>
      <c r="H2454" s="23" t="s">
        <v>35</v>
      </c>
      <c r="I2454" s="24" t="s">
        <v>36</v>
      </c>
      <c r="J2454" s="34" t="s">
        <v>65</v>
      </c>
      <c r="K2454" s="26" t="s">
        <v>38</v>
      </c>
      <c r="L2454" s="25">
        <v>11553.0</v>
      </c>
      <c r="M2454" s="27" t="s">
        <v>50</v>
      </c>
      <c r="N2454" s="26" t="s">
        <v>51</v>
      </c>
      <c r="O2454" s="28">
        <v>45560.67242065972</v>
      </c>
      <c r="P2454" s="26" t="s">
        <v>9668</v>
      </c>
      <c r="Q2454" s="11" t="s">
        <v>67</v>
      </c>
      <c r="R2454" s="11" t="s">
        <v>67</v>
      </c>
      <c r="S2454" s="11"/>
      <c r="T2454" s="29">
        <v>45560.67242065972</v>
      </c>
      <c r="U2454" s="29">
        <v>45560.67242065972</v>
      </c>
      <c r="V2454" s="29">
        <v>45560.67242065972</v>
      </c>
      <c r="W2454" s="30"/>
      <c r="X2454" s="30"/>
      <c r="Y2454" s="31"/>
      <c r="Z2454" s="31"/>
      <c r="AA2454" s="31" t="s">
        <v>94</v>
      </c>
      <c r="AB2454" s="31" t="s">
        <v>9672</v>
      </c>
      <c r="AC2454" s="31"/>
    </row>
    <row r="2455" ht="18.75" customHeight="1">
      <c r="A2455" s="142" t="s">
        <v>9673</v>
      </c>
      <c r="B2455" s="19" t="s">
        <v>9674</v>
      </c>
      <c r="C2455" s="20">
        <v>0.0</v>
      </c>
      <c r="D2455" s="135" t="s">
        <v>9675</v>
      </c>
      <c r="E2455" s="27" t="s">
        <v>701</v>
      </c>
      <c r="F2455" s="18" t="s">
        <v>33</v>
      </c>
      <c r="G2455" s="18" t="s">
        <v>34</v>
      </c>
      <c r="H2455" s="23" t="s">
        <v>35</v>
      </c>
      <c r="I2455" s="37" t="s">
        <v>36</v>
      </c>
      <c r="J2455" s="25" t="s">
        <v>49</v>
      </c>
      <c r="K2455" s="26" t="s">
        <v>38</v>
      </c>
      <c r="L2455" s="25">
        <v>11597.0</v>
      </c>
      <c r="M2455" s="27" t="s">
        <v>50</v>
      </c>
      <c r="N2455" s="26" t="s">
        <v>99</v>
      </c>
      <c r="O2455" s="28">
        <v>45572.61828206018</v>
      </c>
      <c r="P2455" s="26" t="s">
        <v>9676</v>
      </c>
      <c r="Q2455" s="11" t="s">
        <v>67</v>
      </c>
      <c r="R2455" s="11" t="s">
        <v>67</v>
      </c>
      <c r="S2455" s="11" t="s">
        <v>101</v>
      </c>
      <c r="T2455" s="29">
        <v>45559.69827789352</v>
      </c>
      <c r="U2455" s="29">
        <v>45560.4781280787</v>
      </c>
      <c r="V2455" s="29">
        <v>45568.705311620375</v>
      </c>
      <c r="W2455" s="30"/>
      <c r="X2455" s="30"/>
      <c r="Y2455" s="31"/>
      <c r="Z2455" s="31"/>
      <c r="AA2455" s="31" t="s">
        <v>102</v>
      </c>
      <c r="AB2455" s="31" t="s">
        <v>9677</v>
      </c>
      <c r="AC2455" s="31"/>
    </row>
    <row r="2456" ht="18.75" customHeight="1">
      <c r="A2456" s="142" t="s">
        <v>9678</v>
      </c>
      <c r="B2456" s="19" t="s">
        <v>7303</v>
      </c>
      <c r="C2456" s="20">
        <v>0.0</v>
      </c>
      <c r="D2456" s="21" t="s">
        <v>9679</v>
      </c>
      <c r="E2456" s="27" t="s">
        <v>3441</v>
      </c>
      <c r="F2456" s="18" t="s">
        <v>48</v>
      </c>
      <c r="G2456" s="32" t="s">
        <v>35</v>
      </c>
      <c r="H2456" s="23" t="s">
        <v>35</v>
      </c>
      <c r="I2456" s="24" t="s">
        <v>36</v>
      </c>
      <c r="J2456" s="25" t="s">
        <v>49</v>
      </c>
      <c r="K2456" s="26" t="s">
        <v>38</v>
      </c>
      <c r="L2456" s="25">
        <v>11653.0</v>
      </c>
      <c r="M2456" s="22" t="s">
        <v>50</v>
      </c>
      <c r="N2456" s="35" t="s">
        <v>8199</v>
      </c>
      <c r="O2456" s="28">
        <v>45573.64878472222</v>
      </c>
      <c r="P2456" s="26" t="s">
        <v>9680</v>
      </c>
      <c r="Q2456" s="11" t="s">
        <v>67</v>
      </c>
      <c r="R2456" s="11" t="s">
        <v>67</v>
      </c>
      <c r="S2456" s="11" t="s">
        <v>50</v>
      </c>
      <c r="T2456" s="29">
        <v>45559.701271134254</v>
      </c>
      <c r="U2456" s="29">
        <v>45559.71839704861</v>
      </c>
      <c r="V2456" s="29">
        <v>45573.361177858795</v>
      </c>
      <c r="W2456" s="30"/>
      <c r="X2456" s="30"/>
      <c r="Y2456" s="31"/>
      <c r="Z2456" s="31"/>
      <c r="AA2456" s="31" t="s">
        <v>102</v>
      </c>
      <c r="AB2456" s="31" t="s">
        <v>9681</v>
      </c>
      <c r="AC2456" s="31"/>
    </row>
    <row r="2457" ht="18.75" customHeight="1">
      <c r="A2457" s="142" t="s">
        <v>9682</v>
      </c>
      <c r="B2457" s="19" t="s">
        <v>9683</v>
      </c>
      <c r="C2457" s="20">
        <v>0.0</v>
      </c>
      <c r="D2457" s="21" t="s">
        <v>9684</v>
      </c>
      <c r="E2457" s="27" t="s">
        <v>3441</v>
      </c>
      <c r="F2457" s="18" t="s">
        <v>48</v>
      </c>
      <c r="G2457" s="32" t="s">
        <v>35</v>
      </c>
      <c r="H2457" s="23" t="s">
        <v>35</v>
      </c>
      <c r="I2457" s="24" t="s">
        <v>36</v>
      </c>
      <c r="J2457" s="25" t="s">
        <v>49</v>
      </c>
      <c r="K2457" s="26" t="s">
        <v>38</v>
      </c>
      <c r="L2457" s="25">
        <v>11663.0</v>
      </c>
      <c r="M2457" s="22" t="s">
        <v>50</v>
      </c>
      <c r="N2457" s="35" t="s">
        <v>8199</v>
      </c>
      <c r="O2457" s="28">
        <v>45573.64878472222</v>
      </c>
      <c r="P2457" s="26" t="s">
        <v>9685</v>
      </c>
      <c r="Q2457" s="11" t="s">
        <v>67</v>
      </c>
      <c r="R2457" s="11" t="s">
        <v>67</v>
      </c>
      <c r="S2457" s="11" t="s">
        <v>50</v>
      </c>
      <c r="T2457" s="29">
        <v>45559.706451527774</v>
      </c>
      <c r="U2457" s="29">
        <v>45559.718744375</v>
      </c>
      <c r="V2457" s="29">
        <v>45573.36119229167</v>
      </c>
      <c r="W2457" s="30"/>
      <c r="X2457" s="30"/>
      <c r="Y2457" s="31"/>
      <c r="Z2457" s="31"/>
      <c r="AA2457" s="31" t="s">
        <v>102</v>
      </c>
      <c r="AB2457" s="31" t="s">
        <v>9686</v>
      </c>
      <c r="AC2457" s="31"/>
    </row>
    <row r="2458" ht="18.75" customHeight="1">
      <c r="A2458" s="142" t="s">
        <v>9687</v>
      </c>
      <c r="B2458" s="19" t="s">
        <v>7736</v>
      </c>
      <c r="C2458" s="20">
        <v>1.0</v>
      </c>
      <c r="D2458" s="21" t="s">
        <v>9688</v>
      </c>
      <c r="E2458" s="27" t="s">
        <v>3395</v>
      </c>
      <c r="F2458" s="18" t="s">
        <v>48</v>
      </c>
      <c r="G2458" s="32" t="s">
        <v>35</v>
      </c>
      <c r="H2458" s="23" t="s">
        <v>35</v>
      </c>
      <c r="I2458" s="24" t="s">
        <v>36</v>
      </c>
      <c r="J2458" s="25" t="s">
        <v>49</v>
      </c>
      <c r="K2458" s="26" t="s">
        <v>7738</v>
      </c>
      <c r="L2458" s="25">
        <v>11610.0</v>
      </c>
      <c r="M2458" s="22" t="s">
        <v>50</v>
      </c>
      <c r="N2458" s="35" t="s">
        <v>8199</v>
      </c>
      <c r="O2458" s="28">
        <v>45573.64878472222</v>
      </c>
      <c r="P2458" s="26" t="s">
        <v>9689</v>
      </c>
      <c r="Q2458" s="11" t="s">
        <v>67</v>
      </c>
      <c r="R2458" s="11" t="s">
        <v>67</v>
      </c>
      <c r="S2458" s="11" t="s">
        <v>50</v>
      </c>
      <c r="T2458" s="29">
        <v>45560.34718453704</v>
      </c>
      <c r="U2458" s="29">
        <v>45561.665019884254</v>
      </c>
      <c r="V2458" s="29">
        <v>45573.30640037037</v>
      </c>
      <c r="W2458" s="30"/>
      <c r="X2458" s="30"/>
      <c r="Y2458" s="31"/>
      <c r="Z2458" s="31"/>
      <c r="AA2458" s="31" t="s">
        <v>3053</v>
      </c>
      <c r="AB2458" s="31" t="s">
        <v>9690</v>
      </c>
      <c r="AC2458" s="31"/>
    </row>
    <row r="2459" ht="18.75" customHeight="1">
      <c r="A2459" s="142" t="s">
        <v>9691</v>
      </c>
      <c r="B2459" s="19" t="s">
        <v>8960</v>
      </c>
      <c r="C2459" s="20">
        <v>137.0</v>
      </c>
      <c r="D2459" s="21" t="s">
        <v>9692</v>
      </c>
      <c r="E2459" s="27" t="s">
        <v>85</v>
      </c>
      <c r="F2459" s="18" t="s">
        <v>48</v>
      </c>
      <c r="G2459" s="32" t="s">
        <v>35</v>
      </c>
      <c r="H2459" s="23" t="s">
        <v>35</v>
      </c>
      <c r="I2459" s="24" t="s">
        <v>36</v>
      </c>
      <c r="J2459" s="25" t="s">
        <v>49</v>
      </c>
      <c r="K2459" s="26" t="s">
        <v>38</v>
      </c>
      <c r="L2459" s="25">
        <v>11556.0</v>
      </c>
      <c r="M2459" s="27" t="s">
        <v>50</v>
      </c>
      <c r="N2459" s="26" t="s">
        <v>99</v>
      </c>
      <c r="O2459" s="28">
        <v>45561.661783703705</v>
      </c>
      <c r="P2459" s="26" t="s">
        <v>9693</v>
      </c>
      <c r="Q2459" s="11" t="s">
        <v>67</v>
      </c>
      <c r="R2459" s="11" t="s">
        <v>67</v>
      </c>
      <c r="S2459" s="11" t="s">
        <v>50</v>
      </c>
      <c r="T2459" s="29">
        <v>45560.35384064815</v>
      </c>
      <c r="U2459" s="29">
        <v>45560.40103252315</v>
      </c>
      <c r="V2459" s="29">
        <v>45561.44554418982</v>
      </c>
      <c r="W2459" s="30"/>
      <c r="X2459" s="30"/>
      <c r="Y2459" s="31"/>
      <c r="Z2459" s="31"/>
      <c r="AA2459" s="31" t="s">
        <v>127</v>
      </c>
      <c r="AB2459" s="31" t="s">
        <v>9694</v>
      </c>
      <c r="AC2459" s="31"/>
    </row>
    <row r="2460" ht="18.75" customHeight="1">
      <c r="A2460" s="142" t="s">
        <v>9695</v>
      </c>
      <c r="B2460" s="19" t="s">
        <v>5004</v>
      </c>
      <c r="C2460" s="20">
        <v>137.0</v>
      </c>
      <c r="D2460" s="21" t="s">
        <v>9696</v>
      </c>
      <c r="E2460" s="27" t="s">
        <v>85</v>
      </c>
      <c r="F2460" s="18" t="s">
        <v>48</v>
      </c>
      <c r="G2460" s="32" t="s">
        <v>35</v>
      </c>
      <c r="H2460" s="23" t="s">
        <v>35</v>
      </c>
      <c r="I2460" s="24" t="s">
        <v>36</v>
      </c>
      <c r="J2460" s="25" t="s">
        <v>420</v>
      </c>
      <c r="K2460" s="26" t="s">
        <v>38</v>
      </c>
      <c r="L2460" s="25">
        <v>11548.0</v>
      </c>
      <c r="M2460" s="27" t="s">
        <v>50</v>
      </c>
      <c r="N2460" s="26" t="s">
        <v>4031</v>
      </c>
      <c r="O2460" s="28">
        <v>45560.57672016203</v>
      </c>
      <c r="P2460" s="26" t="s">
        <v>9697</v>
      </c>
      <c r="Q2460" s="11" t="s">
        <v>67</v>
      </c>
      <c r="R2460" s="11" t="s">
        <v>67</v>
      </c>
      <c r="S2460" s="11" t="s">
        <v>50</v>
      </c>
      <c r="T2460" s="29">
        <v>45560.378683159724</v>
      </c>
      <c r="U2460" s="29">
        <v>45560.40166174769</v>
      </c>
      <c r="V2460" s="29">
        <v>45560.45356589121</v>
      </c>
      <c r="W2460" s="30"/>
      <c r="X2460" s="30"/>
      <c r="Y2460" s="31"/>
      <c r="Z2460" s="31"/>
      <c r="AA2460" s="31" t="s">
        <v>120</v>
      </c>
      <c r="AB2460" s="31" t="s">
        <v>9698</v>
      </c>
      <c r="AC2460" s="31"/>
    </row>
    <row r="2461" ht="18.75" customHeight="1">
      <c r="A2461" s="142" t="s">
        <v>9699</v>
      </c>
      <c r="B2461" s="19" t="s">
        <v>96</v>
      </c>
      <c r="C2461" s="20">
        <v>90.0</v>
      </c>
      <c r="D2461" s="21" t="s">
        <v>9700</v>
      </c>
      <c r="E2461" s="27" t="s">
        <v>91</v>
      </c>
      <c r="F2461" s="18" t="s">
        <v>48</v>
      </c>
      <c r="G2461" s="32" t="s">
        <v>35</v>
      </c>
      <c r="H2461" s="23" t="s">
        <v>35</v>
      </c>
      <c r="I2461" s="37" t="s">
        <v>36</v>
      </c>
      <c r="J2461" s="25" t="s">
        <v>49</v>
      </c>
      <c r="K2461" s="26" t="s">
        <v>38</v>
      </c>
      <c r="L2461" s="25">
        <v>11738.0</v>
      </c>
      <c r="M2461" s="27" t="s">
        <v>50</v>
      </c>
      <c r="N2461" s="26" t="s">
        <v>4183</v>
      </c>
      <c r="O2461" s="28">
        <v>45581.69603057871</v>
      </c>
      <c r="P2461" s="26" t="s">
        <v>9701</v>
      </c>
      <c r="Q2461" s="11" t="s">
        <v>67</v>
      </c>
      <c r="R2461" s="11" t="s">
        <v>67</v>
      </c>
      <c r="S2461" s="11" t="s">
        <v>50</v>
      </c>
      <c r="T2461" s="29">
        <v>45560.675475173615</v>
      </c>
      <c r="U2461" s="29">
        <v>45560.70438887732</v>
      </c>
      <c r="V2461" s="29">
        <v>45581.60740469907</v>
      </c>
      <c r="W2461" s="30"/>
      <c r="X2461" s="30"/>
      <c r="Y2461" s="31"/>
      <c r="Z2461" s="31"/>
      <c r="AA2461" s="31" t="s">
        <v>102</v>
      </c>
      <c r="AB2461" s="31" t="s">
        <v>9702</v>
      </c>
      <c r="AC2461" s="31"/>
    </row>
    <row r="2462" ht="18.75" customHeight="1">
      <c r="A2462" s="142" t="s">
        <v>9703</v>
      </c>
      <c r="B2462" s="19" t="s">
        <v>1345</v>
      </c>
      <c r="C2462" s="20">
        <v>0.0</v>
      </c>
      <c r="D2462" s="21" t="s">
        <v>9704</v>
      </c>
      <c r="E2462" s="27" t="s">
        <v>383</v>
      </c>
      <c r="F2462" s="18" t="s">
        <v>33</v>
      </c>
      <c r="G2462" s="32" t="s">
        <v>35</v>
      </c>
      <c r="H2462" s="23" t="s">
        <v>35</v>
      </c>
      <c r="I2462" s="37" t="s">
        <v>36</v>
      </c>
      <c r="J2462" s="34" t="s">
        <v>65</v>
      </c>
      <c r="K2462" s="26" t="s">
        <v>38</v>
      </c>
      <c r="L2462" s="72">
        <v>11724.0</v>
      </c>
      <c r="M2462" s="27" t="s">
        <v>50</v>
      </c>
      <c r="N2462" s="26" t="s">
        <v>149</v>
      </c>
      <c r="O2462" s="28">
        <v>45580.632743298615</v>
      </c>
      <c r="P2462" s="26" t="s">
        <v>9705</v>
      </c>
      <c r="Q2462" s="11" t="s">
        <v>67</v>
      </c>
      <c r="R2462" s="11" t="s">
        <v>67</v>
      </c>
      <c r="S2462" s="11" t="s">
        <v>50</v>
      </c>
      <c r="T2462" s="29">
        <v>45560.67622613426</v>
      </c>
      <c r="U2462" s="29">
        <v>45569.409734016204</v>
      </c>
      <c r="V2462" s="29">
        <v>45580.44396885417</v>
      </c>
      <c r="W2462" s="30"/>
      <c r="X2462" s="30"/>
      <c r="Y2462" s="31"/>
      <c r="Z2462" s="31"/>
      <c r="AA2462" s="31" t="s">
        <v>94</v>
      </c>
      <c r="AB2462" s="31" t="s">
        <v>9706</v>
      </c>
      <c r="AC2462" s="31"/>
    </row>
    <row r="2463" ht="18.75" customHeight="1">
      <c r="A2463" s="18" t="s">
        <v>9707</v>
      </c>
      <c r="B2463" s="19" t="s">
        <v>5586</v>
      </c>
      <c r="C2463" s="20">
        <v>90.0</v>
      </c>
      <c r="D2463" s="21" t="s">
        <v>9708</v>
      </c>
      <c r="E2463" s="27" t="s">
        <v>91</v>
      </c>
      <c r="F2463" s="18" t="s">
        <v>48</v>
      </c>
      <c r="G2463" s="32" t="s">
        <v>35</v>
      </c>
      <c r="H2463" s="23" t="s">
        <v>35</v>
      </c>
      <c r="I2463" s="24" t="s">
        <v>36</v>
      </c>
      <c r="J2463" s="25" t="s">
        <v>49</v>
      </c>
      <c r="K2463" s="26" t="s">
        <v>38</v>
      </c>
      <c r="L2463" s="25">
        <v>11622.0</v>
      </c>
      <c r="M2463" s="22" t="s">
        <v>50</v>
      </c>
      <c r="N2463" s="35" t="s">
        <v>8199</v>
      </c>
      <c r="O2463" s="28">
        <v>45573.64878472222</v>
      </c>
      <c r="P2463" s="26" t="s">
        <v>9709</v>
      </c>
      <c r="Q2463" s="11" t="s">
        <v>67</v>
      </c>
      <c r="R2463" s="11" t="s">
        <v>67</v>
      </c>
      <c r="S2463" s="11" t="s">
        <v>50</v>
      </c>
      <c r="T2463" s="29">
        <v>45560.67740616898</v>
      </c>
      <c r="U2463" s="29">
        <v>45561.36690136574</v>
      </c>
      <c r="V2463" s="29">
        <v>45573.41470490741</v>
      </c>
      <c r="W2463" s="30"/>
      <c r="X2463" s="30"/>
      <c r="Y2463" s="31"/>
      <c r="Z2463" s="31"/>
      <c r="AA2463" s="31" t="s">
        <v>108</v>
      </c>
      <c r="AB2463" s="31" t="s">
        <v>9710</v>
      </c>
      <c r="AC2463" s="31"/>
    </row>
    <row r="2464" ht="18.75" customHeight="1">
      <c r="A2464" s="18" t="s">
        <v>9711</v>
      </c>
      <c r="B2464" s="19" t="s">
        <v>5586</v>
      </c>
      <c r="C2464" s="20">
        <v>90.0</v>
      </c>
      <c r="D2464" s="21" t="s">
        <v>9712</v>
      </c>
      <c r="E2464" s="27" t="s">
        <v>91</v>
      </c>
      <c r="F2464" s="18" t="s">
        <v>48</v>
      </c>
      <c r="G2464" s="32" t="s">
        <v>35</v>
      </c>
      <c r="H2464" s="23" t="s">
        <v>35</v>
      </c>
      <c r="I2464" s="24" t="s">
        <v>36</v>
      </c>
      <c r="J2464" s="25" t="s">
        <v>49</v>
      </c>
      <c r="K2464" s="26" t="s">
        <v>38</v>
      </c>
      <c r="L2464" s="25">
        <v>11622.0</v>
      </c>
      <c r="M2464" s="22" t="s">
        <v>50</v>
      </c>
      <c r="N2464" s="35" t="s">
        <v>8199</v>
      </c>
      <c r="O2464" s="28">
        <v>45573.64878472222</v>
      </c>
      <c r="P2464" s="26" t="s">
        <v>9709</v>
      </c>
      <c r="Q2464" s="11" t="s">
        <v>67</v>
      </c>
      <c r="R2464" s="11" t="s">
        <v>67</v>
      </c>
      <c r="S2464" s="11" t="s">
        <v>50</v>
      </c>
      <c r="T2464" s="29">
        <v>45560.6775328125</v>
      </c>
      <c r="U2464" s="29">
        <v>45561.36700815972</v>
      </c>
      <c r="V2464" s="29">
        <v>45573.4147137963</v>
      </c>
      <c r="W2464" s="30"/>
      <c r="X2464" s="30"/>
      <c r="Y2464" s="31"/>
      <c r="Z2464" s="31"/>
      <c r="AA2464" s="31" t="s">
        <v>108</v>
      </c>
      <c r="AB2464" s="31" t="s">
        <v>9713</v>
      </c>
      <c r="AC2464" s="31"/>
    </row>
    <row r="2465" ht="18.75" customHeight="1">
      <c r="A2465" s="142" t="s">
        <v>9714</v>
      </c>
      <c r="B2465" s="19" t="s">
        <v>5039</v>
      </c>
      <c r="C2465" s="20">
        <v>0.0</v>
      </c>
      <c r="D2465" s="21" t="s">
        <v>9715</v>
      </c>
      <c r="E2465" s="27" t="s">
        <v>165</v>
      </c>
      <c r="F2465" s="18" t="s">
        <v>33</v>
      </c>
      <c r="G2465" s="32" t="s">
        <v>35</v>
      </c>
      <c r="H2465" s="23" t="s">
        <v>35</v>
      </c>
      <c r="I2465" s="37" t="s">
        <v>36</v>
      </c>
      <c r="J2465" s="25" t="s">
        <v>49</v>
      </c>
      <c r="K2465" s="26" t="s">
        <v>38</v>
      </c>
      <c r="L2465" s="25">
        <v>11598.0</v>
      </c>
      <c r="M2465" s="27" t="s">
        <v>50</v>
      </c>
      <c r="N2465" s="26" t="s">
        <v>99</v>
      </c>
      <c r="O2465" s="28">
        <v>45572.618355150466</v>
      </c>
      <c r="P2465" s="26" t="s">
        <v>9716</v>
      </c>
      <c r="Q2465" s="11" t="s">
        <v>67</v>
      </c>
      <c r="R2465" s="11" t="s">
        <v>67</v>
      </c>
      <c r="S2465" s="11" t="s">
        <v>101</v>
      </c>
      <c r="T2465" s="29">
        <v>45561.375619467595</v>
      </c>
      <c r="U2465" s="29">
        <v>45561.44525784723</v>
      </c>
      <c r="V2465" s="29">
        <v>45569.46905519676</v>
      </c>
      <c r="W2465" s="30"/>
      <c r="X2465" s="30"/>
      <c r="Y2465" s="31"/>
      <c r="Z2465" s="31"/>
      <c r="AA2465" s="31" t="s">
        <v>102</v>
      </c>
      <c r="AB2465" s="31" t="s">
        <v>9717</v>
      </c>
      <c r="AC2465" s="31"/>
    </row>
    <row r="2466" ht="18.75" customHeight="1">
      <c r="A2466" s="18" t="s">
        <v>9718</v>
      </c>
      <c r="B2466" s="19" t="s">
        <v>802</v>
      </c>
      <c r="C2466" s="20">
        <v>0.0</v>
      </c>
      <c r="D2466" s="21" t="s">
        <v>9719</v>
      </c>
      <c r="E2466" s="27" t="s">
        <v>3441</v>
      </c>
      <c r="F2466" s="18" t="s">
        <v>48</v>
      </c>
      <c r="G2466" s="32" t="s">
        <v>35</v>
      </c>
      <c r="H2466" s="23" t="s">
        <v>35</v>
      </c>
      <c r="I2466" s="24" t="s">
        <v>36</v>
      </c>
      <c r="J2466" s="25" t="s">
        <v>49</v>
      </c>
      <c r="K2466" s="26" t="s">
        <v>805</v>
      </c>
      <c r="L2466" s="25">
        <v>11626.0</v>
      </c>
      <c r="M2466" s="22" t="s">
        <v>50</v>
      </c>
      <c r="N2466" s="35" t="s">
        <v>8199</v>
      </c>
      <c r="O2466" s="28">
        <v>45573.64878472222</v>
      </c>
      <c r="P2466" s="26" t="s">
        <v>9720</v>
      </c>
      <c r="Q2466" s="11" t="s">
        <v>67</v>
      </c>
      <c r="R2466" s="11" t="s">
        <v>67</v>
      </c>
      <c r="S2466" s="11" t="s">
        <v>50</v>
      </c>
      <c r="T2466" s="29">
        <v>45561.38529702547</v>
      </c>
      <c r="U2466" s="29">
        <v>45565.60912304398</v>
      </c>
      <c r="V2466" s="29">
        <v>45573.362047002316</v>
      </c>
      <c r="W2466" s="30"/>
      <c r="X2466" s="30"/>
      <c r="Y2466" s="31"/>
      <c r="Z2466" s="31"/>
      <c r="AA2466" s="31" t="s">
        <v>3385</v>
      </c>
      <c r="AB2466" s="31" t="s">
        <v>9721</v>
      </c>
      <c r="AC2466" s="31"/>
    </row>
    <row r="2467" ht="18.75" customHeight="1">
      <c r="A2467" s="18" t="s">
        <v>9722</v>
      </c>
      <c r="B2467" s="19" t="s">
        <v>802</v>
      </c>
      <c r="C2467" s="20">
        <v>11.0</v>
      </c>
      <c r="D2467" s="21" t="s">
        <v>9723</v>
      </c>
      <c r="E2467" s="27" t="s">
        <v>112</v>
      </c>
      <c r="F2467" s="18" t="s">
        <v>48</v>
      </c>
      <c r="G2467" s="32" t="s">
        <v>35</v>
      </c>
      <c r="H2467" s="23" t="s">
        <v>35</v>
      </c>
      <c r="I2467" s="24" t="s">
        <v>36</v>
      </c>
      <c r="J2467" s="25" t="s">
        <v>49</v>
      </c>
      <c r="K2467" s="26" t="s">
        <v>805</v>
      </c>
      <c r="L2467" s="25">
        <v>11579.0</v>
      </c>
      <c r="M2467" s="27" t="s">
        <v>50</v>
      </c>
      <c r="N2467" s="26" t="s">
        <v>5936</v>
      </c>
      <c r="O2467" s="28">
        <v>45566.63784555555</v>
      </c>
      <c r="P2467" s="26" t="s">
        <v>9720</v>
      </c>
      <c r="Q2467" s="11" t="s">
        <v>67</v>
      </c>
      <c r="R2467" s="11" t="s">
        <v>67</v>
      </c>
      <c r="S2467" s="11" t="s">
        <v>50</v>
      </c>
      <c r="T2467" s="29">
        <v>45561.38550429398</v>
      </c>
      <c r="U2467" s="29">
        <v>45565.60921633102</v>
      </c>
      <c r="V2467" s="29">
        <v>45566.44582787037</v>
      </c>
      <c r="W2467" s="30"/>
      <c r="X2467" s="30"/>
      <c r="Y2467" s="31"/>
      <c r="Z2467" s="31"/>
      <c r="AA2467" s="31" t="s">
        <v>3385</v>
      </c>
      <c r="AB2467" s="31" t="s">
        <v>9724</v>
      </c>
      <c r="AC2467" s="31"/>
    </row>
    <row r="2468" ht="18.75" customHeight="1">
      <c r="A2468" s="18" t="s">
        <v>9725</v>
      </c>
      <c r="B2468" s="19" t="s">
        <v>5047</v>
      </c>
      <c r="C2468" s="20">
        <v>11.0</v>
      </c>
      <c r="D2468" s="21" t="s">
        <v>9726</v>
      </c>
      <c r="E2468" s="27" t="s">
        <v>112</v>
      </c>
      <c r="F2468" s="18" t="s">
        <v>48</v>
      </c>
      <c r="G2468" s="32" t="s">
        <v>35</v>
      </c>
      <c r="H2468" s="23" t="s">
        <v>35</v>
      </c>
      <c r="I2468" s="24" t="s">
        <v>36</v>
      </c>
      <c r="J2468" s="25" t="s">
        <v>37</v>
      </c>
      <c r="K2468" s="26" t="s">
        <v>38</v>
      </c>
      <c r="L2468" s="25">
        <v>11560.0</v>
      </c>
      <c r="M2468" s="27" t="s">
        <v>50</v>
      </c>
      <c r="N2468" s="26" t="s">
        <v>41</v>
      </c>
      <c r="O2468" s="28">
        <v>45562.687761134264</v>
      </c>
      <c r="P2468" s="26" t="s">
        <v>9727</v>
      </c>
      <c r="Q2468" s="11" t="s">
        <v>67</v>
      </c>
      <c r="R2468" s="11" t="s">
        <v>67</v>
      </c>
      <c r="S2468" s="11" t="s">
        <v>50</v>
      </c>
      <c r="T2468" s="29">
        <v>45561.38806986111</v>
      </c>
      <c r="U2468" s="29">
        <v>45561.60389854167</v>
      </c>
      <c r="V2468" s="29">
        <v>45562.34716385417</v>
      </c>
      <c r="W2468" s="30"/>
      <c r="X2468" s="30"/>
      <c r="Y2468" s="31"/>
      <c r="Z2468" s="31"/>
      <c r="AA2468" s="31" t="s">
        <v>120</v>
      </c>
      <c r="AB2468" s="31" t="s">
        <v>9728</v>
      </c>
      <c r="AC2468" s="31"/>
    </row>
    <row r="2469" ht="18.75" customHeight="1">
      <c r="A2469" s="18" t="s">
        <v>9729</v>
      </c>
      <c r="B2469" s="19" t="s">
        <v>5047</v>
      </c>
      <c r="C2469" s="20">
        <v>11.0</v>
      </c>
      <c r="D2469" s="21" t="s">
        <v>9730</v>
      </c>
      <c r="E2469" s="27" t="s">
        <v>112</v>
      </c>
      <c r="F2469" s="18" t="s">
        <v>48</v>
      </c>
      <c r="G2469" s="32" t="s">
        <v>35</v>
      </c>
      <c r="H2469" s="23" t="s">
        <v>35</v>
      </c>
      <c r="I2469" s="24" t="s">
        <v>36</v>
      </c>
      <c r="J2469" s="25" t="s">
        <v>37</v>
      </c>
      <c r="K2469" s="26" t="s">
        <v>38</v>
      </c>
      <c r="L2469" s="25">
        <v>11560.0</v>
      </c>
      <c r="M2469" s="27" t="s">
        <v>50</v>
      </c>
      <c r="N2469" s="26" t="s">
        <v>41</v>
      </c>
      <c r="O2469" s="28">
        <v>45562.68768043982</v>
      </c>
      <c r="P2469" s="26" t="s">
        <v>9727</v>
      </c>
      <c r="Q2469" s="11" t="s">
        <v>67</v>
      </c>
      <c r="R2469" s="11" t="s">
        <v>67</v>
      </c>
      <c r="S2469" s="11" t="s">
        <v>50</v>
      </c>
      <c r="T2469" s="29">
        <v>45561.38817719907</v>
      </c>
      <c r="U2469" s="29">
        <v>45561.60379270834</v>
      </c>
      <c r="V2469" s="29">
        <v>45562.34715383102</v>
      </c>
      <c r="W2469" s="30"/>
      <c r="X2469" s="30"/>
      <c r="Y2469" s="31"/>
      <c r="Z2469" s="31"/>
      <c r="AA2469" s="31" t="s">
        <v>120</v>
      </c>
      <c r="AB2469" s="31" t="s">
        <v>9731</v>
      </c>
      <c r="AC2469" s="31"/>
    </row>
    <row r="2470" ht="18.75" customHeight="1">
      <c r="A2470" s="142" t="s">
        <v>9732</v>
      </c>
      <c r="B2470" s="19" t="s">
        <v>7307</v>
      </c>
      <c r="C2470" s="20">
        <v>90.0</v>
      </c>
      <c r="D2470" s="21" t="s">
        <v>9733</v>
      </c>
      <c r="E2470" s="27" t="s">
        <v>91</v>
      </c>
      <c r="F2470" s="18" t="s">
        <v>48</v>
      </c>
      <c r="G2470" s="32" t="s">
        <v>35</v>
      </c>
      <c r="H2470" s="23" t="s">
        <v>35</v>
      </c>
      <c r="I2470" s="37" t="s">
        <v>36</v>
      </c>
      <c r="J2470" s="34" t="s">
        <v>65</v>
      </c>
      <c r="K2470" s="26" t="s">
        <v>38</v>
      </c>
      <c r="L2470" s="25">
        <v>11637.0</v>
      </c>
      <c r="M2470" s="27" t="s">
        <v>50</v>
      </c>
      <c r="N2470" s="26" t="s">
        <v>8104</v>
      </c>
      <c r="O2470" s="28">
        <v>45573.66249371528</v>
      </c>
      <c r="P2470" s="26" t="s">
        <v>9734</v>
      </c>
      <c r="Q2470" s="11" t="s">
        <v>67</v>
      </c>
      <c r="R2470" s="11" t="s">
        <v>67</v>
      </c>
      <c r="S2470" s="11" t="s">
        <v>50</v>
      </c>
      <c r="T2470" s="29">
        <v>45572.408389895834</v>
      </c>
      <c r="U2470" s="29">
        <v>45572.40839266204</v>
      </c>
      <c r="V2470" s="29">
        <v>45573.45797594907</v>
      </c>
      <c r="W2470" s="30"/>
      <c r="X2470" s="30"/>
      <c r="Y2470" s="31"/>
      <c r="Z2470" s="31"/>
      <c r="AA2470" s="31" t="s">
        <v>94</v>
      </c>
      <c r="AB2470" s="31" t="s">
        <v>9735</v>
      </c>
      <c r="AC2470" s="31"/>
    </row>
    <row r="2471" ht="18.75" customHeight="1">
      <c r="A2471" s="142" t="s">
        <v>9736</v>
      </c>
      <c r="B2471" s="19" t="s">
        <v>8675</v>
      </c>
      <c r="C2471" s="20">
        <v>34.0</v>
      </c>
      <c r="D2471" s="21" t="s">
        <v>9737</v>
      </c>
      <c r="E2471" s="27" t="s">
        <v>47</v>
      </c>
      <c r="F2471" s="18" t="s">
        <v>48</v>
      </c>
      <c r="G2471" s="32" t="s">
        <v>35</v>
      </c>
      <c r="H2471" s="23" t="s">
        <v>35</v>
      </c>
      <c r="I2471" s="37" t="s">
        <v>36</v>
      </c>
      <c r="J2471" s="25" t="s">
        <v>49</v>
      </c>
      <c r="K2471" s="26" t="s">
        <v>838</v>
      </c>
      <c r="L2471" s="25">
        <v>11557.0</v>
      </c>
      <c r="M2471" s="27" t="s">
        <v>50</v>
      </c>
      <c r="N2471" s="26" t="s">
        <v>99</v>
      </c>
      <c r="O2471" s="28">
        <v>45561.661670625</v>
      </c>
      <c r="P2471" s="26" t="s">
        <v>9738</v>
      </c>
      <c r="Q2471" s="11" t="s">
        <v>67</v>
      </c>
      <c r="R2471" s="11" t="s">
        <v>67</v>
      </c>
      <c r="S2471" s="11" t="s">
        <v>50</v>
      </c>
      <c r="T2471" s="29">
        <v>45561.43179231482</v>
      </c>
      <c r="U2471" s="29">
        <v>45561.46030396991</v>
      </c>
      <c r="V2471" s="29">
        <v>45561.48021854166</v>
      </c>
      <c r="W2471" s="30"/>
      <c r="X2471" s="30"/>
      <c r="Y2471" s="31"/>
      <c r="Z2471" s="31"/>
      <c r="AA2471" s="31" t="s">
        <v>5290</v>
      </c>
      <c r="AB2471" s="31" t="s">
        <v>9739</v>
      </c>
      <c r="AC2471" s="31"/>
    </row>
    <row r="2472" ht="18.75" customHeight="1">
      <c r="A2472" s="18" t="s">
        <v>9740</v>
      </c>
      <c r="B2472" s="19" t="s">
        <v>9741</v>
      </c>
      <c r="C2472" s="20">
        <v>90.0</v>
      </c>
      <c r="D2472" s="21" t="s">
        <v>9742</v>
      </c>
      <c r="E2472" s="27" t="s">
        <v>91</v>
      </c>
      <c r="F2472" s="18" t="s">
        <v>48</v>
      </c>
      <c r="G2472" s="32" t="s">
        <v>35</v>
      </c>
      <c r="H2472" s="23" t="s">
        <v>35</v>
      </c>
      <c r="I2472" s="37" t="s">
        <v>36</v>
      </c>
      <c r="J2472" s="34" t="s">
        <v>65</v>
      </c>
      <c r="K2472" s="26" t="s">
        <v>38</v>
      </c>
      <c r="L2472" s="25">
        <v>11795.0</v>
      </c>
      <c r="M2472" s="27" t="s">
        <v>50</v>
      </c>
      <c r="N2472" s="26" t="s">
        <v>9743</v>
      </c>
      <c r="O2472" s="28">
        <v>45590.66303473379</v>
      </c>
      <c r="P2472" s="26" t="s">
        <v>9744</v>
      </c>
      <c r="Q2472" s="11" t="s">
        <v>67</v>
      </c>
      <c r="R2472" s="11" t="s">
        <v>67</v>
      </c>
      <c r="S2472" s="11" t="s">
        <v>73</v>
      </c>
      <c r="T2472" s="29">
        <v>45561.67556743056</v>
      </c>
      <c r="U2472" s="29">
        <v>45574.429326412035</v>
      </c>
      <c r="V2472" s="29">
        <v>45589.786074641204</v>
      </c>
      <c r="W2472" s="30"/>
      <c r="X2472" s="30"/>
      <c r="Y2472" s="31"/>
      <c r="Z2472" s="31"/>
      <c r="AA2472" s="31" t="s">
        <v>3059</v>
      </c>
      <c r="AB2472" s="31" t="s">
        <v>9745</v>
      </c>
      <c r="AC2472" s="31"/>
    </row>
    <row r="2473" ht="18.75" customHeight="1">
      <c r="A2473" s="18" t="s">
        <v>9746</v>
      </c>
      <c r="B2473" s="19" t="s">
        <v>9741</v>
      </c>
      <c r="C2473" s="20">
        <v>90.0</v>
      </c>
      <c r="D2473" s="21" t="s">
        <v>9747</v>
      </c>
      <c r="E2473" s="27" t="s">
        <v>91</v>
      </c>
      <c r="F2473" s="18" t="s">
        <v>48</v>
      </c>
      <c r="G2473" s="32" t="s">
        <v>35</v>
      </c>
      <c r="H2473" s="23" t="s">
        <v>35</v>
      </c>
      <c r="I2473" s="37" t="s">
        <v>36</v>
      </c>
      <c r="J2473" s="34" t="s">
        <v>65</v>
      </c>
      <c r="K2473" s="26" t="s">
        <v>38</v>
      </c>
      <c r="L2473" s="25">
        <v>11795.0</v>
      </c>
      <c r="M2473" s="27" t="s">
        <v>50</v>
      </c>
      <c r="N2473" s="26" t="s">
        <v>9743</v>
      </c>
      <c r="O2473" s="28">
        <v>45590.663105694446</v>
      </c>
      <c r="P2473" s="26" t="s">
        <v>9744</v>
      </c>
      <c r="Q2473" s="11" t="s">
        <v>67</v>
      </c>
      <c r="R2473" s="11" t="s">
        <v>67</v>
      </c>
      <c r="S2473" s="11" t="s">
        <v>73</v>
      </c>
      <c r="T2473" s="29">
        <v>45561.67566918982</v>
      </c>
      <c r="U2473" s="29">
        <v>45574.42926778935</v>
      </c>
      <c r="V2473" s="29">
        <v>45589.78606576389</v>
      </c>
      <c r="W2473" s="30"/>
      <c r="X2473" s="30"/>
      <c r="Y2473" s="31"/>
      <c r="Z2473" s="31"/>
      <c r="AA2473" s="31" t="s">
        <v>3059</v>
      </c>
      <c r="AB2473" s="31" t="s">
        <v>9748</v>
      </c>
      <c r="AC2473" s="31"/>
    </row>
    <row r="2474" ht="18.75" customHeight="1">
      <c r="A2474" s="142" t="s">
        <v>9749</v>
      </c>
      <c r="B2474" s="19" t="s">
        <v>9750</v>
      </c>
      <c r="C2474" s="20">
        <v>90.0</v>
      </c>
      <c r="D2474" s="21" t="s">
        <v>9751</v>
      </c>
      <c r="E2474" s="27" t="s">
        <v>91</v>
      </c>
      <c r="F2474" s="18" t="s">
        <v>48</v>
      </c>
      <c r="G2474" s="32" t="s">
        <v>35</v>
      </c>
      <c r="H2474" s="23" t="s">
        <v>35</v>
      </c>
      <c r="I2474" s="37" t="s">
        <v>36</v>
      </c>
      <c r="J2474" s="34" t="s">
        <v>65</v>
      </c>
      <c r="K2474" s="26" t="s">
        <v>38</v>
      </c>
      <c r="L2474" s="25">
        <v>11638.0</v>
      </c>
      <c r="M2474" s="27" t="s">
        <v>50</v>
      </c>
      <c r="N2474" s="26" t="s">
        <v>8104</v>
      </c>
      <c r="O2474" s="28">
        <v>45573.66249371528</v>
      </c>
      <c r="P2474" s="26" t="s">
        <v>9752</v>
      </c>
      <c r="Q2474" s="11" t="s">
        <v>67</v>
      </c>
      <c r="R2474" s="11" t="s">
        <v>67</v>
      </c>
      <c r="S2474" s="11" t="s">
        <v>50</v>
      </c>
      <c r="T2474" s="29">
        <v>45561.67676061342</v>
      </c>
      <c r="U2474" s="29">
        <v>45567.56924810185</v>
      </c>
      <c r="V2474" s="29">
        <v>45573.457597650464</v>
      </c>
      <c r="W2474" s="30"/>
      <c r="X2474" s="30"/>
      <c r="Y2474" s="31"/>
      <c r="Z2474" s="31"/>
      <c r="AA2474" s="31" t="s">
        <v>3059</v>
      </c>
      <c r="AB2474" s="31" t="s">
        <v>9753</v>
      </c>
      <c r="AC2474" s="31"/>
    </row>
    <row r="2475" ht="18.75" customHeight="1">
      <c r="A2475" s="18" t="s">
        <v>9754</v>
      </c>
      <c r="B2475" s="19" t="s">
        <v>3645</v>
      </c>
      <c r="C2475" s="20">
        <v>34.0</v>
      </c>
      <c r="D2475" s="21" t="s">
        <v>9755</v>
      </c>
      <c r="E2475" s="27" t="s">
        <v>47</v>
      </c>
      <c r="F2475" s="18" t="s">
        <v>48</v>
      </c>
      <c r="G2475" s="32" t="s">
        <v>35</v>
      </c>
      <c r="H2475" s="23" t="s">
        <v>35</v>
      </c>
      <c r="I2475" s="37" t="s">
        <v>36</v>
      </c>
      <c r="J2475" s="25" t="s">
        <v>49</v>
      </c>
      <c r="K2475" s="26" t="s">
        <v>38</v>
      </c>
      <c r="L2475" s="25">
        <v>11565.0</v>
      </c>
      <c r="M2475" s="27" t="s">
        <v>50</v>
      </c>
      <c r="N2475" s="26" t="s">
        <v>99</v>
      </c>
      <c r="O2475" s="28">
        <v>45565.679035810186</v>
      </c>
      <c r="P2475" s="26" t="s">
        <v>9756</v>
      </c>
      <c r="Q2475" s="11" t="s">
        <v>67</v>
      </c>
      <c r="R2475" s="11" t="s">
        <v>67</v>
      </c>
      <c r="S2475" s="11" t="s">
        <v>50</v>
      </c>
      <c r="T2475" s="29">
        <v>45561.703725405096</v>
      </c>
      <c r="U2475" s="29">
        <v>45562.66920609954</v>
      </c>
      <c r="V2475" s="29">
        <v>45565.37264400463</v>
      </c>
      <c r="W2475" s="30"/>
      <c r="X2475" s="30"/>
      <c r="Y2475" s="31"/>
      <c r="Z2475" s="31"/>
      <c r="AA2475" s="31" t="s">
        <v>127</v>
      </c>
      <c r="AB2475" s="31" t="s">
        <v>9757</v>
      </c>
      <c r="AC2475" s="31"/>
    </row>
    <row r="2476" ht="18.75" customHeight="1">
      <c r="A2476" s="18" t="s">
        <v>9758</v>
      </c>
      <c r="B2476" s="19" t="s">
        <v>3645</v>
      </c>
      <c r="C2476" s="20">
        <v>34.0</v>
      </c>
      <c r="D2476" s="21" t="s">
        <v>9759</v>
      </c>
      <c r="E2476" s="27" t="s">
        <v>47</v>
      </c>
      <c r="F2476" s="18" t="s">
        <v>48</v>
      </c>
      <c r="G2476" s="32" t="s">
        <v>35</v>
      </c>
      <c r="H2476" s="23" t="s">
        <v>35</v>
      </c>
      <c r="I2476" s="37" t="s">
        <v>36</v>
      </c>
      <c r="J2476" s="25" t="s">
        <v>49</v>
      </c>
      <c r="K2476" s="26" t="s">
        <v>38</v>
      </c>
      <c r="L2476" s="25">
        <v>11565.0</v>
      </c>
      <c r="M2476" s="27" t="s">
        <v>50</v>
      </c>
      <c r="N2476" s="26" t="s">
        <v>99</v>
      </c>
      <c r="O2476" s="28">
        <v>45565.679117569445</v>
      </c>
      <c r="P2476" s="26" t="s">
        <v>9756</v>
      </c>
      <c r="Q2476" s="11" t="s">
        <v>67</v>
      </c>
      <c r="R2476" s="11" t="s">
        <v>67</v>
      </c>
      <c r="S2476" s="11" t="s">
        <v>50</v>
      </c>
      <c r="T2476" s="29">
        <v>45561.70385839121</v>
      </c>
      <c r="U2476" s="29">
        <v>45562.66928814814</v>
      </c>
      <c r="V2476" s="29">
        <v>45565.372656736115</v>
      </c>
      <c r="W2476" s="30"/>
      <c r="X2476" s="30"/>
      <c r="Y2476" s="31"/>
      <c r="Z2476" s="31"/>
      <c r="AA2476" s="31" t="s">
        <v>127</v>
      </c>
      <c r="AB2476" s="31" t="s">
        <v>9760</v>
      </c>
      <c r="AC2476" s="31"/>
    </row>
    <row r="2477" ht="18.75" customHeight="1">
      <c r="A2477" s="142" t="s">
        <v>9761</v>
      </c>
      <c r="B2477" s="19" t="s">
        <v>4711</v>
      </c>
      <c r="C2477" s="20">
        <v>90.0</v>
      </c>
      <c r="D2477" s="21" t="s">
        <v>9762</v>
      </c>
      <c r="E2477" s="27" t="s">
        <v>91</v>
      </c>
      <c r="F2477" s="18" t="s">
        <v>48</v>
      </c>
      <c r="G2477" s="32" t="s">
        <v>35</v>
      </c>
      <c r="H2477" s="23" t="s">
        <v>35</v>
      </c>
      <c r="I2477" s="37" t="s">
        <v>36</v>
      </c>
      <c r="J2477" s="34" t="s">
        <v>65</v>
      </c>
      <c r="K2477" s="26" t="s">
        <v>38</v>
      </c>
      <c r="L2477" s="25">
        <v>11639.0</v>
      </c>
      <c r="M2477" s="27" t="s">
        <v>50</v>
      </c>
      <c r="N2477" s="26" t="s">
        <v>8104</v>
      </c>
      <c r="O2477" s="28">
        <v>45573.66249371528</v>
      </c>
      <c r="P2477" s="26" t="s">
        <v>9763</v>
      </c>
      <c r="Q2477" s="11" t="s">
        <v>67</v>
      </c>
      <c r="R2477" s="11" t="s">
        <v>67</v>
      </c>
      <c r="S2477" s="11" t="s">
        <v>50</v>
      </c>
      <c r="T2477" s="29">
        <v>45562.624086261574</v>
      </c>
      <c r="U2477" s="29">
        <v>45565.36661395834</v>
      </c>
      <c r="V2477" s="29">
        <v>45573.45624547453</v>
      </c>
      <c r="W2477" s="30"/>
      <c r="X2477" s="30"/>
      <c r="Y2477" s="31"/>
      <c r="Z2477" s="31"/>
      <c r="AA2477" s="31" t="s">
        <v>94</v>
      </c>
      <c r="AB2477" s="31" t="s">
        <v>9764</v>
      </c>
      <c r="AC2477" s="31"/>
    </row>
    <row r="2478" ht="18.75" customHeight="1">
      <c r="A2478" s="142" t="s">
        <v>9765</v>
      </c>
      <c r="B2478" s="19" t="s">
        <v>9766</v>
      </c>
      <c r="C2478" s="20">
        <v>11.0</v>
      </c>
      <c r="D2478" s="21" t="s">
        <v>9767</v>
      </c>
      <c r="E2478" s="27" t="s">
        <v>112</v>
      </c>
      <c r="F2478" s="18" t="s">
        <v>48</v>
      </c>
      <c r="G2478" s="32" t="s">
        <v>35</v>
      </c>
      <c r="H2478" s="23" t="s">
        <v>35</v>
      </c>
      <c r="I2478" s="24" t="s">
        <v>36</v>
      </c>
      <c r="J2478" s="34" t="s">
        <v>65</v>
      </c>
      <c r="K2478" s="26" t="s">
        <v>38</v>
      </c>
      <c r="L2478" s="25">
        <v>11569.0</v>
      </c>
      <c r="M2478" s="27" t="s">
        <v>50</v>
      </c>
      <c r="N2478" s="26" t="s">
        <v>51</v>
      </c>
      <c r="O2478" s="28">
        <v>45565.4544265625</v>
      </c>
      <c r="P2478" s="26" t="s">
        <v>9768</v>
      </c>
      <c r="Q2478" s="11" t="s">
        <v>67</v>
      </c>
      <c r="R2478" s="11" t="s">
        <v>67</v>
      </c>
      <c r="S2478" s="11"/>
      <c r="T2478" s="29">
        <v>45565.4544265625</v>
      </c>
      <c r="U2478" s="29">
        <v>45565.4544265625</v>
      </c>
      <c r="V2478" s="29">
        <v>45565.4544265625</v>
      </c>
      <c r="W2478" s="30"/>
      <c r="X2478" s="30"/>
      <c r="Y2478" s="31"/>
      <c r="Z2478" s="31"/>
      <c r="AA2478" s="31" t="s">
        <v>94</v>
      </c>
      <c r="AB2478" s="31" t="s">
        <v>9769</v>
      </c>
      <c r="AC2478" s="31"/>
    </row>
    <row r="2479" ht="18.75" customHeight="1">
      <c r="A2479" s="18" t="s">
        <v>9770</v>
      </c>
      <c r="B2479" s="19" t="s">
        <v>4711</v>
      </c>
      <c r="C2479" s="20">
        <v>0.0</v>
      </c>
      <c r="D2479" s="21" t="s">
        <v>240</v>
      </c>
      <c r="E2479" s="27" t="s">
        <v>532</v>
      </c>
      <c r="F2479" s="18" t="s">
        <v>244</v>
      </c>
      <c r="G2479" s="32" t="s">
        <v>35</v>
      </c>
      <c r="H2479" s="23" t="s">
        <v>35</v>
      </c>
      <c r="I2479" s="37" t="s">
        <v>36</v>
      </c>
      <c r="J2479" s="34" t="s">
        <v>65</v>
      </c>
      <c r="K2479" s="26" t="s">
        <v>38</v>
      </c>
      <c r="L2479" s="25">
        <v>11596.0</v>
      </c>
      <c r="M2479" s="27" t="s">
        <v>50</v>
      </c>
      <c r="N2479" s="26" t="s">
        <v>8469</v>
      </c>
      <c r="O2479" s="28">
        <v>45572.6730302662</v>
      </c>
      <c r="P2479" s="26" t="s">
        <v>9771</v>
      </c>
      <c r="Q2479" s="11" t="s">
        <v>67</v>
      </c>
      <c r="R2479" s="11" t="s">
        <v>67</v>
      </c>
      <c r="S2479" s="11" t="s">
        <v>101</v>
      </c>
      <c r="T2479" s="29">
        <v>45562.62714722222</v>
      </c>
      <c r="U2479" s="29">
        <v>45565.41360467592</v>
      </c>
      <c r="V2479" s="29">
        <v>45568.70507133102</v>
      </c>
      <c r="W2479" s="30"/>
      <c r="X2479" s="30"/>
      <c r="Y2479" s="31"/>
      <c r="Z2479" s="31"/>
      <c r="AA2479" s="31" t="s">
        <v>94</v>
      </c>
      <c r="AB2479" s="31" t="s">
        <v>9772</v>
      </c>
      <c r="AC2479" s="31"/>
    </row>
    <row r="2480" ht="18.75" customHeight="1">
      <c r="A2480" s="18" t="s">
        <v>9773</v>
      </c>
      <c r="B2480" s="19" t="s">
        <v>4711</v>
      </c>
      <c r="C2480" s="20">
        <v>0.0</v>
      </c>
      <c r="D2480" s="135" t="s">
        <v>9774</v>
      </c>
      <c r="E2480" s="27" t="s">
        <v>532</v>
      </c>
      <c r="F2480" s="18" t="s">
        <v>244</v>
      </c>
      <c r="G2480" s="32" t="s">
        <v>35</v>
      </c>
      <c r="H2480" s="23" t="s">
        <v>35</v>
      </c>
      <c r="I2480" s="37" t="s">
        <v>36</v>
      </c>
      <c r="J2480" s="25" t="s">
        <v>9775</v>
      </c>
      <c r="K2480" s="26" t="s">
        <v>38</v>
      </c>
      <c r="L2480" s="25">
        <v>11596.0</v>
      </c>
      <c r="M2480" s="27" t="s">
        <v>50</v>
      </c>
      <c r="N2480" s="26" t="s">
        <v>8469</v>
      </c>
      <c r="O2480" s="28">
        <v>45572.673164085645</v>
      </c>
      <c r="P2480" s="26" t="s">
        <v>9771</v>
      </c>
      <c r="Q2480" s="11" t="s">
        <v>67</v>
      </c>
      <c r="R2480" s="11" t="s">
        <v>67</v>
      </c>
      <c r="S2480" s="11" t="s">
        <v>101</v>
      </c>
      <c r="T2480" s="29">
        <v>45562.62727864583</v>
      </c>
      <c r="U2480" s="29">
        <v>45565.41370928241</v>
      </c>
      <c r="V2480" s="29">
        <v>45608.33218265046</v>
      </c>
      <c r="W2480" s="38"/>
      <c r="X2480" s="30"/>
      <c r="Y2480" s="31"/>
      <c r="Z2480" s="31"/>
      <c r="AA2480" s="31" t="s">
        <v>94</v>
      </c>
      <c r="AB2480" s="31" t="s">
        <v>9776</v>
      </c>
      <c r="AC2480" s="31"/>
    </row>
    <row r="2481" ht="18.75" customHeight="1">
      <c r="A2481" s="18" t="s">
        <v>9777</v>
      </c>
      <c r="B2481" s="19" t="s">
        <v>4711</v>
      </c>
      <c r="C2481" s="20">
        <v>0.0</v>
      </c>
      <c r="D2481" s="21" t="s">
        <v>9778</v>
      </c>
      <c r="E2481" s="27" t="s">
        <v>532</v>
      </c>
      <c r="F2481" s="18" t="s">
        <v>244</v>
      </c>
      <c r="G2481" s="32" t="s">
        <v>35</v>
      </c>
      <c r="H2481" s="23" t="s">
        <v>35</v>
      </c>
      <c r="I2481" s="37" t="s">
        <v>36</v>
      </c>
      <c r="J2481" s="34" t="s">
        <v>65</v>
      </c>
      <c r="K2481" s="26" t="s">
        <v>38</v>
      </c>
      <c r="L2481" s="25">
        <v>11596.0</v>
      </c>
      <c r="M2481" s="27" t="s">
        <v>50</v>
      </c>
      <c r="N2481" s="26" t="s">
        <v>8469</v>
      </c>
      <c r="O2481" s="28">
        <v>45572.673164085645</v>
      </c>
      <c r="P2481" s="26" t="s">
        <v>9771</v>
      </c>
      <c r="Q2481" s="11" t="s">
        <v>67</v>
      </c>
      <c r="R2481" s="11" t="s">
        <v>67</v>
      </c>
      <c r="S2481" s="11" t="s">
        <v>101</v>
      </c>
      <c r="T2481" s="29">
        <v>45562.627332731485</v>
      </c>
      <c r="U2481" s="29">
        <v>45565.413702997685</v>
      </c>
      <c r="V2481" s="29">
        <v>45568.70500188657</v>
      </c>
      <c r="W2481" s="30"/>
      <c r="X2481" s="30"/>
      <c r="Y2481" s="31"/>
      <c r="Z2481" s="31"/>
      <c r="AA2481" s="31" t="s">
        <v>94</v>
      </c>
      <c r="AB2481" s="31" t="s">
        <v>9779</v>
      </c>
      <c r="AC2481" s="31"/>
    </row>
    <row r="2482" ht="18.75" customHeight="1">
      <c r="A2482" s="18" t="s">
        <v>9780</v>
      </c>
      <c r="B2482" s="19" t="s">
        <v>4711</v>
      </c>
      <c r="C2482" s="20">
        <v>0.0</v>
      </c>
      <c r="D2482" s="21" t="s">
        <v>9781</v>
      </c>
      <c r="E2482" s="27" t="s">
        <v>9782</v>
      </c>
      <c r="F2482" s="18" t="s">
        <v>244</v>
      </c>
      <c r="G2482" s="32" t="s">
        <v>35</v>
      </c>
      <c r="H2482" s="23" t="s">
        <v>35</v>
      </c>
      <c r="I2482" s="37" t="s">
        <v>36</v>
      </c>
      <c r="J2482" s="34" t="s">
        <v>92</v>
      </c>
      <c r="K2482" s="26" t="s">
        <v>38</v>
      </c>
      <c r="L2482" s="25">
        <v>11596.0</v>
      </c>
      <c r="M2482" s="27" t="s">
        <v>50</v>
      </c>
      <c r="N2482" s="26" t="s">
        <v>8469</v>
      </c>
      <c r="O2482" s="28">
        <v>45572.673100451386</v>
      </c>
      <c r="P2482" s="153" t="s">
        <v>9783</v>
      </c>
      <c r="Q2482" s="11" t="s">
        <v>67</v>
      </c>
      <c r="R2482" s="11" t="s">
        <v>67</v>
      </c>
      <c r="S2482" s="11" t="s">
        <v>101</v>
      </c>
      <c r="T2482" s="29">
        <v>45562.62750798611</v>
      </c>
      <c r="U2482" s="29">
        <v>45565.41369810185</v>
      </c>
      <c r="V2482" s="29">
        <v>45568.705032303245</v>
      </c>
      <c r="W2482" s="30"/>
      <c r="X2482" s="30"/>
      <c r="Y2482" s="31"/>
      <c r="Z2482" s="31"/>
      <c r="AA2482" s="31" t="s">
        <v>94</v>
      </c>
      <c r="AB2482" s="31" t="s">
        <v>9784</v>
      </c>
      <c r="AC2482" s="31"/>
    </row>
    <row r="2483" ht="18.75" customHeight="1">
      <c r="A2483" s="142" t="s">
        <v>9785</v>
      </c>
      <c r="B2483" s="19" t="s">
        <v>9786</v>
      </c>
      <c r="C2483" s="20">
        <v>27.0</v>
      </c>
      <c r="D2483" s="39" t="s">
        <v>9787</v>
      </c>
      <c r="E2483" s="27" t="s">
        <v>72</v>
      </c>
      <c r="F2483" s="18" t="s">
        <v>48</v>
      </c>
      <c r="G2483" s="32" t="s">
        <v>35</v>
      </c>
      <c r="H2483" s="23" t="s">
        <v>35</v>
      </c>
      <c r="I2483" s="37" t="s">
        <v>36</v>
      </c>
      <c r="J2483" s="27" t="s">
        <v>92</v>
      </c>
      <c r="K2483" s="26" t="s">
        <v>38</v>
      </c>
      <c r="L2483" s="25">
        <v>11730.0</v>
      </c>
      <c r="M2483" s="27" t="s">
        <v>50</v>
      </c>
      <c r="N2483" s="26" t="s">
        <v>9788</v>
      </c>
      <c r="O2483" s="28">
        <v>45582.72429146991</v>
      </c>
      <c r="P2483" s="26" t="s">
        <v>9789</v>
      </c>
      <c r="Q2483" s="11" t="s">
        <v>67</v>
      </c>
      <c r="R2483" s="11" t="s">
        <v>67</v>
      </c>
      <c r="S2483" s="11" t="s">
        <v>50</v>
      </c>
      <c r="T2483" s="29">
        <v>45562.62933642361</v>
      </c>
      <c r="U2483" s="29">
        <v>45580.41199579861</v>
      </c>
      <c r="V2483" s="29">
        <v>45580.68435136574</v>
      </c>
      <c r="W2483" s="30"/>
      <c r="X2483" s="30"/>
      <c r="Y2483" s="31"/>
      <c r="Z2483" s="31"/>
      <c r="AA2483" s="31" t="s">
        <v>120</v>
      </c>
      <c r="AB2483" s="31" t="s">
        <v>9790</v>
      </c>
      <c r="AC2483" s="31"/>
    </row>
    <row r="2484" ht="18.75" customHeight="1">
      <c r="A2484" s="142" t="s">
        <v>9791</v>
      </c>
      <c r="B2484" s="19" t="s">
        <v>8299</v>
      </c>
      <c r="C2484" s="20">
        <v>137.0</v>
      </c>
      <c r="D2484" s="21" t="s">
        <v>9792</v>
      </c>
      <c r="E2484" s="27" t="s">
        <v>85</v>
      </c>
      <c r="F2484" s="18" t="s">
        <v>48</v>
      </c>
      <c r="G2484" s="32" t="s">
        <v>35</v>
      </c>
      <c r="H2484" s="23" t="s">
        <v>35</v>
      </c>
      <c r="I2484" s="37" t="s">
        <v>36</v>
      </c>
      <c r="J2484" s="34" t="s">
        <v>65</v>
      </c>
      <c r="K2484" s="26" t="s">
        <v>38</v>
      </c>
      <c r="L2484" s="25">
        <v>11580.0</v>
      </c>
      <c r="M2484" s="27" t="s">
        <v>50</v>
      </c>
      <c r="N2484" s="26" t="s">
        <v>149</v>
      </c>
      <c r="O2484" s="28">
        <v>45566.63402271991</v>
      </c>
      <c r="P2484" s="26" t="s">
        <v>9793</v>
      </c>
      <c r="Q2484" s="11" t="s">
        <v>67</v>
      </c>
      <c r="R2484" s="11" t="s">
        <v>67</v>
      </c>
      <c r="S2484" s="11" t="s">
        <v>50</v>
      </c>
      <c r="T2484" s="29">
        <v>45562.63098611111</v>
      </c>
      <c r="U2484" s="29">
        <v>45565.481776030094</v>
      </c>
      <c r="V2484" s="29">
        <v>45566.44616181713</v>
      </c>
      <c r="W2484" s="30"/>
      <c r="X2484" s="30"/>
      <c r="Y2484" s="31"/>
      <c r="Z2484" s="31"/>
      <c r="AA2484" s="31" t="s">
        <v>94</v>
      </c>
      <c r="AB2484" s="31" t="s">
        <v>9794</v>
      </c>
      <c r="AC2484" s="31"/>
    </row>
    <row r="2485" ht="18.75" customHeight="1">
      <c r="A2485" s="142" t="s">
        <v>9795</v>
      </c>
      <c r="B2485" s="19" t="s">
        <v>9796</v>
      </c>
      <c r="C2485" s="20">
        <v>11.0</v>
      </c>
      <c r="D2485" s="21" t="s">
        <v>9797</v>
      </c>
      <c r="E2485" s="27" t="s">
        <v>112</v>
      </c>
      <c r="F2485" s="18" t="s">
        <v>48</v>
      </c>
      <c r="G2485" s="32" t="s">
        <v>35</v>
      </c>
      <c r="H2485" s="23" t="s">
        <v>35</v>
      </c>
      <c r="I2485" s="37" t="s">
        <v>36</v>
      </c>
      <c r="J2485" s="25" t="s">
        <v>49</v>
      </c>
      <c r="K2485" s="26" t="s">
        <v>38</v>
      </c>
      <c r="L2485" s="25">
        <v>11566.0</v>
      </c>
      <c r="M2485" s="27" t="s">
        <v>50</v>
      </c>
      <c r="N2485" s="26" t="s">
        <v>99</v>
      </c>
      <c r="O2485" s="28">
        <v>45565.67920158565</v>
      </c>
      <c r="P2485" s="26" t="s">
        <v>9798</v>
      </c>
      <c r="Q2485" s="11" t="s">
        <v>67</v>
      </c>
      <c r="R2485" s="11" t="s">
        <v>67</v>
      </c>
      <c r="S2485" s="11" t="s">
        <v>50</v>
      </c>
      <c r="T2485" s="29">
        <v>45562.62336780093</v>
      </c>
      <c r="U2485" s="29">
        <v>45562.66468961806</v>
      </c>
      <c r="V2485" s="29">
        <v>45565.37412561342</v>
      </c>
      <c r="W2485" s="30"/>
      <c r="X2485" s="30"/>
      <c r="Y2485" s="31"/>
      <c r="Z2485" s="31"/>
      <c r="AA2485" s="31" t="s">
        <v>3059</v>
      </c>
      <c r="AB2485" s="31" t="s">
        <v>9799</v>
      </c>
      <c r="AC2485" s="31"/>
    </row>
    <row r="2486" ht="18.75" customHeight="1">
      <c r="A2486" s="142" t="s">
        <v>9800</v>
      </c>
      <c r="B2486" s="19" t="s">
        <v>9801</v>
      </c>
      <c r="C2486" s="20">
        <v>27.0</v>
      </c>
      <c r="D2486" s="39" t="s">
        <v>9802</v>
      </c>
      <c r="E2486" s="27" t="s">
        <v>72</v>
      </c>
      <c r="F2486" s="18" t="s">
        <v>48</v>
      </c>
      <c r="G2486" s="32" t="s">
        <v>35</v>
      </c>
      <c r="H2486" s="23" t="s">
        <v>35</v>
      </c>
      <c r="I2486" s="37" t="s">
        <v>36</v>
      </c>
      <c r="J2486" s="34" t="s">
        <v>65</v>
      </c>
      <c r="K2486" s="26" t="s">
        <v>38</v>
      </c>
      <c r="L2486" s="25">
        <v>11659.0</v>
      </c>
      <c r="M2486" s="27" t="s">
        <v>50</v>
      </c>
      <c r="N2486" s="26" t="s">
        <v>8104</v>
      </c>
      <c r="O2486" s="28">
        <v>45573.66249371528</v>
      </c>
      <c r="P2486" s="26" t="s">
        <v>9803</v>
      </c>
      <c r="Q2486" s="11" t="s">
        <v>67</v>
      </c>
      <c r="R2486" s="11" t="s">
        <v>67</v>
      </c>
      <c r="S2486" s="11" t="s">
        <v>50</v>
      </c>
      <c r="T2486" s="29">
        <v>45565.47806439815</v>
      </c>
      <c r="U2486" s="29">
        <v>45565.56864657407</v>
      </c>
      <c r="V2486" s="29">
        <v>45573.50346943287</v>
      </c>
      <c r="W2486" s="30"/>
      <c r="X2486" s="30"/>
      <c r="Y2486" s="31"/>
      <c r="Z2486" s="31"/>
      <c r="AA2486" s="31" t="s">
        <v>94</v>
      </c>
      <c r="AB2486" s="31" t="s">
        <v>9804</v>
      </c>
      <c r="AC2486" s="31"/>
    </row>
    <row r="2487" ht="18.75" customHeight="1">
      <c r="A2487" s="18" t="s">
        <v>9805</v>
      </c>
      <c r="B2487" s="19" t="s">
        <v>451</v>
      </c>
      <c r="C2487" s="20">
        <v>0.0</v>
      </c>
      <c r="D2487" s="21" t="s">
        <v>9806</v>
      </c>
      <c r="E2487" s="27" t="s">
        <v>2431</v>
      </c>
      <c r="F2487" s="18" t="s">
        <v>244</v>
      </c>
      <c r="G2487" s="32" t="s">
        <v>35</v>
      </c>
      <c r="H2487" s="23" t="s">
        <v>35</v>
      </c>
      <c r="I2487" s="37" t="s">
        <v>36</v>
      </c>
      <c r="J2487" s="25" t="s">
        <v>49</v>
      </c>
      <c r="K2487" s="26" t="s">
        <v>38</v>
      </c>
      <c r="L2487" s="25">
        <v>11672.0</v>
      </c>
      <c r="M2487" s="27" t="s">
        <v>50</v>
      </c>
      <c r="N2487" s="26" t="s">
        <v>99</v>
      </c>
      <c r="O2487" s="28">
        <v>45574.57549495371</v>
      </c>
      <c r="P2487" s="26" t="s">
        <v>9807</v>
      </c>
      <c r="Q2487" s="11" t="s">
        <v>67</v>
      </c>
      <c r="R2487" s="11" t="s">
        <v>67</v>
      </c>
      <c r="S2487" s="11" t="s">
        <v>101</v>
      </c>
      <c r="T2487" s="29">
        <v>45565.48934460648</v>
      </c>
      <c r="U2487" s="29">
        <v>45565.58323752315</v>
      </c>
      <c r="V2487" s="29">
        <v>45574.45181121527</v>
      </c>
      <c r="W2487" s="30"/>
      <c r="X2487" s="30"/>
      <c r="Y2487" s="31"/>
      <c r="Z2487" s="31"/>
      <c r="AA2487" s="31" t="s">
        <v>127</v>
      </c>
      <c r="AB2487" s="31" t="s">
        <v>9808</v>
      </c>
      <c r="AC2487" s="31"/>
    </row>
    <row r="2488" ht="18.75" customHeight="1">
      <c r="A2488" s="18" t="s">
        <v>9809</v>
      </c>
      <c r="B2488" s="19" t="s">
        <v>451</v>
      </c>
      <c r="C2488" s="20">
        <v>0.0</v>
      </c>
      <c r="D2488" s="21" t="s">
        <v>248</v>
      </c>
      <c r="E2488" s="27" t="s">
        <v>453</v>
      </c>
      <c r="F2488" s="18" t="s">
        <v>244</v>
      </c>
      <c r="G2488" s="32" t="s">
        <v>35</v>
      </c>
      <c r="H2488" s="23" t="s">
        <v>35</v>
      </c>
      <c r="I2488" s="37" t="s">
        <v>36</v>
      </c>
      <c r="J2488" s="25" t="s">
        <v>49</v>
      </c>
      <c r="K2488" s="26" t="s">
        <v>38</v>
      </c>
      <c r="L2488" s="25">
        <v>11672.0</v>
      </c>
      <c r="M2488" s="27" t="s">
        <v>50</v>
      </c>
      <c r="N2488" s="26" t="s">
        <v>99</v>
      </c>
      <c r="O2488" s="28">
        <v>45574.57528621527</v>
      </c>
      <c r="P2488" s="26" t="s">
        <v>9807</v>
      </c>
      <c r="Q2488" s="11" t="s">
        <v>67</v>
      </c>
      <c r="R2488" s="11" t="s">
        <v>67</v>
      </c>
      <c r="S2488" s="11" t="s">
        <v>101</v>
      </c>
      <c r="T2488" s="29">
        <v>45565.48946121528</v>
      </c>
      <c r="U2488" s="29">
        <v>45565.583250613425</v>
      </c>
      <c r="V2488" s="29">
        <v>45568.704773564816</v>
      </c>
      <c r="W2488" s="30"/>
      <c r="X2488" s="30"/>
      <c r="Y2488" s="31"/>
      <c r="Z2488" s="31"/>
      <c r="AA2488" s="31" t="s">
        <v>127</v>
      </c>
      <c r="AB2488" s="31" t="s">
        <v>9810</v>
      </c>
      <c r="AC2488" s="31"/>
    </row>
    <row r="2489" ht="18.75" customHeight="1">
      <c r="A2489" s="18" t="s">
        <v>9811</v>
      </c>
      <c r="B2489" s="19" t="s">
        <v>451</v>
      </c>
      <c r="C2489" s="20">
        <v>0.0</v>
      </c>
      <c r="D2489" s="21" t="s">
        <v>9812</v>
      </c>
      <c r="E2489" s="27" t="s">
        <v>453</v>
      </c>
      <c r="F2489" s="18" t="s">
        <v>244</v>
      </c>
      <c r="G2489" s="32" t="s">
        <v>35</v>
      </c>
      <c r="H2489" s="23" t="s">
        <v>35</v>
      </c>
      <c r="I2489" s="37" t="s">
        <v>36</v>
      </c>
      <c r="J2489" s="25" t="s">
        <v>49</v>
      </c>
      <c r="K2489" s="26" t="s">
        <v>38</v>
      </c>
      <c r="L2489" s="25">
        <v>11672.0</v>
      </c>
      <c r="M2489" s="27" t="s">
        <v>50</v>
      </c>
      <c r="N2489" s="26" t="s">
        <v>99</v>
      </c>
      <c r="O2489" s="28">
        <v>45574.57521671296</v>
      </c>
      <c r="P2489" s="26" t="s">
        <v>9807</v>
      </c>
      <c r="Q2489" s="11" t="s">
        <v>67</v>
      </c>
      <c r="R2489" s="11" t="s">
        <v>67</v>
      </c>
      <c r="S2489" s="11" t="s">
        <v>101</v>
      </c>
      <c r="T2489" s="29">
        <v>45565.48959745371</v>
      </c>
      <c r="U2489" s="29">
        <v>45565.58325747685</v>
      </c>
      <c r="V2489" s="29">
        <v>45569.4691859375</v>
      </c>
      <c r="W2489" s="30"/>
      <c r="X2489" s="30"/>
      <c r="Y2489" s="31"/>
      <c r="Z2489" s="31"/>
      <c r="AA2489" s="31" t="s">
        <v>127</v>
      </c>
      <c r="AB2489" s="31" t="s">
        <v>9813</v>
      </c>
      <c r="AC2489" s="31"/>
    </row>
    <row r="2490" ht="18.75" customHeight="1">
      <c r="A2490" s="18" t="s">
        <v>9814</v>
      </c>
      <c r="B2490" s="19" t="s">
        <v>451</v>
      </c>
      <c r="C2490" s="20">
        <v>0.0</v>
      </c>
      <c r="D2490" s="21" t="s">
        <v>9815</v>
      </c>
      <c r="E2490" s="27" t="s">
        <v>461</v>
      </c>
      <c r="F2490" s="18" t="s">
        <v>244</v>
      </c>
      <c r="G2490" s="32" t="s">
        <v>35</v>
      </c>
      <c r="H2490" s="23" t="s">
        <v>35</v>
      </c>
      <c r="I2490" s="37" t="s">
        <v>36</v>
      </c>
      <c r="J2490" s="25" t="s">
        <v>49</v>
      </c>
      <c r="K2490" s="26" t="s">
        <v>38</v>
      </c>
      <c r="L2490" s="25">
        <v>11672.0</v>
      </c>
      <c r="M2490" s="27" t="s">
        <v>50</v>
      </c>
      <c r="N2490" s="26" t="s">
        <v>99</v>
      </c>
      <c r="O2490" s="28">
        <v>45574.57535672454</v>
      </c>
      <c r="P2490" s="26" t="s">
        <v>9807</v>
      </c>
      <c r="Q2490" s="11" t="s">
        <v>67</v>
      </c>
      <c r="R2490" s="11" t="s">
        <v>67</v>
      </c>
      <c r="S2490" s="11" t="s">
        <v>101</v>
      </c>
      <c r="T2490" s="29">
        <v>45565.4896950463</v>
      </c>
      <c r="U2490" s="29">
        <v>45565.58326247685</v>
      </c>
      <c r="V2490" s="29">
        <v>45573.460583368054</v>
      </c>
      <c r="W2490" s="30"/>
      <c r="X2490" s="30"/>
      <c r="Y2490" s="31"/>
      <c r="Z2490" s="31"/>
      <c r="AA2490" s="31" t="s">
        <v>127</v>
      </c>
      <c r="AB2490" s="31" t="s">
        <v>9816</v>
      </c>
      <c r="AC2490" s="31"/>
    </row>
    <row r="2491" ht="18.75" customHeight="1">
      <c r="A2491" s="18" t="s">
        <v>9817</v>
      </c>
      <c r="B2491" s="19" t="s">
        <v>451</v>
      </c>
      <c r="C2491" s="20">
        <v>0.0</v>
      </c>
      <c r="D2491" s="21" t="s">
        <v>254</v>
      </c>
      <c r="E2491" s="27" t="s">
        <v>453</v>
      </c>
      <c r="F2491" s="18" t="s">
        <v>244</v>
      </c>
      <c r="G2491" s="32" t="s">
        <v>35</v>
      </c>
      <c r="H2491" s="23" t="s">
        <v>35</v>
      </c>
      <c r="I2491" s="37" t="s">
        <v>36</v>
      </c>
      <c r="J2491" s="25" t="s">
        <v>49</v>
      </c>
      <c r="K2491" s="26" t="s">
        <v>38</v>
      </c>
      <c r="L2491" s="25">
        <v>11672.0</v>
      </c>
      <c r="M2491" s="27" t="s">
        <v>50</v>
      </c>
      <c r="N2491" s="26" t="s">
        <v>99</v>
      </c>
      <c r="O2491" s="28">
        <v>45574.575428067124</v>
      </c>
      <c r="P2491" s="26" t="s">
        <v>9807</v>
      </c>
      <c r="Q2491" s="11" t="s">
        <v>67</v>
      </c>
      <c r="R2491" s="11" t="s">
        <v>67</v>
      </c>
      <c r="S2491" s="11" t="s">
        <v>101</v>
      </c>
      <c r="T2491" s="29">
        <v>45565.4898146875</v>
      </c>
      <c r="U2491" s="29">
        <v>45565.583277303245</v>
      </c>
      <c r="V2491" s="29">
        <v>45568.7046559375</v>
      </c>
      <c r="W2491" s="30"/>
      <c r="X2491" s="30"/>
      <c r="Y2491" s="31"/>
      <c r="Z2491" s="31"/>
      <c r="AA2491" s="31" t="s">
        <v>127</v>
      </c>
      <c r="AB2491" s="31" t="s">
        <v>9818</v>
      </c>
      <c r="AC2491" s="31"/>
    </row>
    <row r="2492" ht="18.75" customHeight="1">
      <c r="A2492" s="18" t="s">
        <v>9819</v>
      </c>
      <c r="B2492" s="19" t="s">
        <v>451</v>
      </c>
      <c r="C2492" s="20">
        <v>0.0</v>
      </c>
      <c r="D2492" s="21" t="s">
        <v>9820</v>
      </c>
      <c r="E2492" s="27" t="s">
        <v>461</v>
      </c>
      <c r="F2492" s="18" t="s">
        <v>244</v>
      </c>
      <c r="G2492" s="32" t="s">
        <v>35</v>
      </c>
      <c r="H2492" s="23" t="s">
        <v>35</v>
      </c>
      <c r="I2492" s="37" t="s">
        <v>36</v>
      </c>
      <c r="J2492" s="25" t="s">
        <v>49</v>
      </c>
      <c r="K2492" s="26" t="s">
        <v>38</v>
      </c>
      <c r="L2492" s="25">
        <v>11672.0</v>
      </c>
      <c r="M2492" s="27" t="s">
        <v>50</v>
      </c>
      <c r="N2492" s="26" t="s">
        <v>99</v>
      </c>
      <c r="O2492" s="28">
        <v>45574.57557136574</v>
      </c>
      <c r="P2492" s="26" t="s">
        <v>9807</v>
      </c>
      <c r="Q2492" s="11" t="s">
        <v>67</v>
      </c>
      <c r="R2492" s="11" t="s">
        <v>67</v>
      </c>
      <c r="S2492" s="11" t="s">
        <v>101</v>
      </c>
      <c r="T2492" s="29">
        <v>45565.48989803241</v>
      </c>
      <c r="U2492" s="29">
        <v>45565.5833083912</v>
      </c>
      <c r="V2492" s="29">
        <v>45573.46051134259</v>
      </c>
      <c r="W2492" s="30"/>
      <c r="X2492" s="30"/>
      <c r="Y2492" s="31"/>
      <c r="Z2492" s="31"/>
      <c r="AA2492" s="31" t="s">
        <v>127</v>
      </c>
      <c r="AB2492" s="31" t="s">
        <v>9821</v>
      </c>
      <c r="AC2492" s="31"/>
    </row>
    <row r="2493" ht="18.75" customHeight="1">
      <c r="A2493" s="142" t="s">
        <v>9822</v>
      </c>
      <c r="B2493" s="19" t="s">
        <v>8743</v>
      </c>
      <c r="C2493" s="20">
        <v>1.0</v>
      </c>
      <c r="D2493" s="21" t="s">
        <v>9823</v>
      </c>
      <c r="E2493" s="27" t="s">
        <v>3395</v>
      </c>
      <c r="F2493" s="18" t="s">
        <v>48</v>
      </c>
      <c r="G2493" s="32" t="s">
        <v>35</v>
      </c>
      <c r="H2493" s="23" t="s">
        <v>35</v>
      </c>
      <c r="I2493" s="37" t="s">
        <v>36</v>
      </c>
      <c r="J2493" s="34" t="s">
        <v>9338</v>
      </c>
      <c r="K2493" s="26" t="s">
        <v>38</v>
      </c>
      <c r="L2493" s="25">
        <v>11684.0</v>
      </c>
      <c r="M2493" s="27" t="s">
        <v>50</v>
      </c>
      <c r="N2493" s="26" t="s">
        <v>9824</v>
      </c>
      <c r="O2493" s="28">
        <v>45579.59610829861</v>
      </c>
      <c r="P2493" s="26" t="s">
        <v>9825</v>
      </c>
      <c r="Q2493" s="11" t="s">
        <v>67</v>
      </c>
      <c r="R2493" s="11" t="s">
        <v>67</v>
      </c>
      <c r="S2493" s="11" t="s">
        <v>9620</v>
      </c>
      <c r="T2493" s="29">
        <v>45565.49513577546</v>
      </c>
      <c r="U2493" s="29">
        <v>45565.569225162035</v>
      </c>
      <c r="V2493" s="29">
        <v>45574.41583195602</v>
      </c>
      <c r="W2493" s="30"/>
      <c r="X2493" s="30"/>
      <c r="Y2493" s="31"/>
      <c r="Z2493" s="31"/>
      <c r="AA2493" s="31" t="s">
        <v>3059</v>
      </c>
      <c r="AB2493" s="31" t="s">
        <v>9826</v>
      </c>
      <c r="AC2493" s="31"/>
    </row>
    <row r="2494" ht="18.75" customHeight="1">
      <c r="A2494" s="18" t="s">
        <v>9827</v>
      </c>
      <c r="B2494" s="19" t="s">
        <v>9828</v>
      </c>
      <c r="C2494" s="20">
        <v>0.0</v>
      </c>
      <c r="D2494" s="21" t="s">
        <v>9829</v>
      </c>
      <c r="E2494" s="27" t="s">
        <v>1595</v>
      </c>
      <c r="F2494" s="18" t="s">
        <v>33</v>
      </c>
      <c r="G2494" s="32" t="s">
        <v>35</v>
      </c>
      <c r="H2494" s="23" t="s">
        <v>35</v>
      </c>
      <c r="I2494" s="37" t="s">
        <v>36</v>
      </c>
      <c r="J2494" s="25" t="s">
        <v>49</v>
      </c>
      <c r="K2494" s="26" t="s">
        <v>9830</v>
      </c>
      <c r="L2494" s="72">
        <v>11723.0</v>
      </c>
      <c r="M2494" s="27" t="s">
        <v>50</v>
      </c>
      <c r="N2494" s="26" t="s">
        <v>4183</v>
      </c>
      <c r="O2494" s="28">
        <v>45580.58800638889</v>
      </c>
      <c r="P2494" s="26" t="s">
        <v>9831</v>
      </c>
      <c r="Q2494" s="11" t="s">
        <v>67</v>
      </c>
      <c r="R2494" s="11" t="s">
        <v>67</v>
      </c>
      <c r="S2494" s="11" t="s">
        <v>101</v>
      </c>
      <c r="T2494" s="29">
        <v>45565.651218900464</v>
      </c>
      <c r="U2494" s="29">
        <v>45565.657054571755</v>
      </c>
      <c r="V2494" s="29">
        <v>45573.460320196755</v>
      </c>
      <c r="W2494" s="30"/>
      <c r="X2494" s="30"/>
      <c r="Y2494" s="31"/>
      <c r="Z2494" s="31"/>
      <c r="AA2494" s="31" t="s">
        <v>4904</v>
      </c>
      <c r="AB2494" s="31" t="s">
        <v>9832</v>
      </c>
      <c r="AC2494" s="31"/>
    </row>
    <row r="2495" ht="18.75" customHeight="1">
      <c r="A2495" s="18" t="s">
        <v>9833</v>
      </c>
      <c r="B2495" s="19" t="s">
        <v>9828</v>
      </c>
      <c r="C2495" s="20">
        <v>0.0</v>
      </c>
      <c r="D2495" s="21" t="s">
        <v>9834</v>
      </c>
      <c r="E2495" s="27" t="s">
        <v>9835</v>
      </c>
      <c r="F2495" s="18" t="s">
        <v>244</v>
      </c>
      <c r="G2495" s="32" t="s">
        <v>35</v>
      </c>
      <c r="H2495" s="23" t="s">
        <v>35</v>
      </c>
      <c r="I2495" s="37" t="s">
        <v>36</v>
      </c>
      <c r="J2495" s="25" t="s">
        <v>49</v>
      </c>
      <c r="K2495" s="26" t="s">
        <v>9830</v>
      </c>
      <c r="L2495" s="72">
        <v>11723.0</v>
      </c>
      <c r="M2495" s="27" t="s">
        <v>50</v>
      </c>
      <c r="N2495" s="26" t="s">
        <v>4183</v>
      </c>
      <c r="O2495" s="28">
        <v>45580.587941562495</v>
      </c>
      <c r="P2495" s="26" t="s">
        <v>9831</v>
      </c>
      <c r="Q2495" s="11" t="s">
        <v>67</v>
      </c>
      <c r="R2495" s="11" t="s">
        <v>67</v>
      </c>
      <c r="S2495" s="11" t="s">
        <v>101</v>
      </c>
      <c r="T2495" s="29">
        <v>45565.65169503472</v>
      </c>
      <c r="U2495" s="29">
        <v>45565.65711403935</v>
      </c>
      <c r="V2495" s="29">
        <v>45574.49214072917</v>
      </c>
      <c r="W2495" s="30"/>
      <c r="X2495" s="30"/>
      <c r="Y2495" s="31"/>
      <c r="Z2495" s="31"/>
      <c r="AA2495" s="31" t="s">
        <v>4904</v>
      </c>
      <c r="AB2495" s="31" t="s">
        <v>9836</v>
      </c>
      <c r="AC2495" s="31"/>
    </row>
    <row r="2496" ht="18.75" customHeight="1">
      <c r="A2496" s="18" t="s">
        <v>9837</v>
      </c>
      <c r="B2496" s="19" t="s">
        <v>9828</v>
      </c>
      <c r="C2496" s="20">
        <v>0.0</v>
      </c>
      <c r="D2496" s="21" t="s">
        <v>292</v>
      </c>
      <c r="E2496" s="27" t="s">
        <v>243</v>
      </c>
      <c r="F2496" s="18" t="s">
        <v>244</v>
      </c>
      <c r="G2496" s="32" t="s">
        <v>35</v>
      </c>
      <c r="H2496" s="23" t="s">
        <v>35</v>
      </c>
      <c r="I2496" s="37" t="s">
        <v>36</v>
      </c>
      <c r="J2496" s="25" t="s">
        <v>49</v>
      </c>
      <c r="K2496" s="26" t="s">
        <v>9830</v>
      </c>
      <c r="L2496" s="72">
        <v>11723.0</v>
      </c>
      <c r="M2496" s="27" t="s">
        <v>50</v>
      </c>
      <c r="N2496" s="26" t="s">
        <v>4183</v>
      </c>
      <c r="O2496" s="28">
        <v>45580.58759274306</v>
      </c>
      <c r="P2496" s="26" t="s">
        <v>9831</v>
      </c>
      <c r="Q2496" s="11" t="s">
        <v>67</v>
      </c>
      <c r="R2496" s="11" t="s">
        <v>67</v>
      </c>
      <c r="S2496" s="11" t="s">
        <v>50</v>
      </c>
      <c r="T2496" s="29">
        <v>45565.65193241899</v>
      </c>
      <c r="U2496" s="29">
        <v>45565.65711789352</v>
      </c>
      <c r="V2496" s="29">
        <v>45580.441685185186</v>
      </c>
      <c r="W2496" s="30"/>
      <c r="X2496" s="30"/>
      <c r="Y2496" s="31"/>
      <c r="Z2496" s="31"/>
      <c r="AA2496" s="31" t="s">
        <v>4904</v>
      </c>
      <c r="AB2496" s="31" t="s">
        <v>9838</v>
      </c>
      <c r="AC2496" s="31"/>
    </row>
    <row r="2497" ht="18.75" customHeight="1">
      <c r="A2497" s="142" t="s">
        <v>9839</v>
      </c>
      <c r="B2497" s="19" t="s">
        <v>4035</v>
      </c>
      <c r="C2497" s="20">
        <v>90.0</v>
      </c>
      <c r="D2497" s="21" t="s">
        <v>9840</v>
      </c>
      <c r="E2497" s="27" t="s">
        <v>91</v>
      </c>
      <c r="F2497" s="18" t="s">
        <v>48</v>
      </c>
      <c r="G2497" s="32" t="s">
        <v>35</v>
      </c>
      <c r="H2497" s="23" t="s">
        <v>35</v>
      </c>
      <c r="I2497" s="37" t="s">
        <v>36</v>
      </c>
      <c r="J2497" s="25" t="s">
        <v>518</v>
      </c>
      <c r="K2497" s="26" t="s">
        <v>38</v>
      </c>
      <c r="L2497" s="25">
        <v>11689.0</v>
      </c>
      <c r="M2497" s="27" t="s">
        <v>50</v>
      </c>
      <c r="N2497" s="26" t="s">
        <v>4616</v>
      </c>
      <c r="O2497" s="28">
        <v>45575.582943437505</v>
      </c>
      <c r="P2497" s="26" t="s">
        <v>9841</v>
      </c>
      <c r="Q2497" s="11" t="s">
        <v>67</v>
      </c>
      <c r="R2497" s="11" t="s">
        <v>67</v>
      </c>
      <c r="S2497" s="11" t="s">
        <v>50</v>
      </c>
      <c r="T2497" s="29">
        <v>45565.56786898148</v>
      </c>
      <c r="U2497" s="29">
        <v>45565.585838391205</v>
      </c>
      <c r="V2497" s="29">
        <v>45575.447422337966</v>
      </c>
      <c r="W2497" s="30"/>
      <c r="X2497" s="30"/>
      <c r="Y2497" s="31"/>
      <c r="Z2497" s="31"/>
      <c r="AA2497" s="31" t="s">
        <v>94</v>
      </c>
      <c r="AB2497" s="31" t="s">
        <v>9842</v>
      </c>
      <c r="AC2497" s="31"/>
    </row>
    <row r="2498" ht="18.75" customHeight="1">
      <c r="A2498" s="142" t="s">
        <v>9843</v>
      </c>
      <c r="B2498" s="19" t="s">
        <v>1811</v>
      </c>
      <c r="C2498" s="20">
        <v>1.0</v>
      </c>
      <c r="D2498" s="21" t="s">
        <v>9844</v>
      </c>
      <c r="E2498" s="27" t="s">
        <v>3395</v>
      </c>
      <c r="F2498" s="18" t="s">
        <v>48</v>
      </c>
      <c r="G2498" s="32" t="s">
        <v>35</v>
      </c>
      <c r="H2498" s="23" t="s">
        <v>35</v>
      </c>
      <c r="I2498" s="24" t="s">
        <v>36</v>
      </c>
      <c r="J2498" s="25" t="s">
        <v>49</v>
      </c>
      <c r="K2498" s="26" t="s">
        <v>1506</v>
      </c>
      <c r="L2498" s="25">
        <v>11611.0</v>
      </c>
      <c r="M2498" s="22" t="s">
        <v>50</v>
      </c>
      <c r="N2498" s="35" t="s">
        <v>8199</v>
      </c>
      <c r="O2498" s="28">
        <v>45573.64878472222</v>
      </c>
      <c r="P2498" s="26" t="s">
        <v>9845</v>
      </c>
      <c r="Q2498" s="11" t="s">
        <v>67</v>
      </c>
      <c r="R2498" s="11" t="s">
        <v>67</v>
      </c>
      <c r="S2498" s="11" t="s">
        <v>50</v>
      </c>
      <c r="T2498" s="29">
        <v>45565.592176261576</v>
      </c>
      <c r="U2498" s="29">
        <v>45565.6168730787</v>
      </c>
      <c r="V2498" s="29">
        <v>45573.30723121528</v>
      </c>
      <c r="W2498" s="30"/>
      <c r="X2498" s="30"/>
      <c r="Y2498" s="31"/>
      <c r="Z2498" s="31"/>
      <c r="AA2498" s="31" t="s">
        <v>3053</v>
      </c>
      <c r="AB2498" s="31" t="s">
        <v>9846</v>
      </c>
      <c r="AC2498" s="31"/>
    </row>
    <row r="2499" ht="18.75" customHeight="1">
      <c r="A2499" s="142" t="s">
        <v>9847</v>
      </c>
      <c r="B2499" s="19" t="s">
        <v>9280</v>
      </c>
      <c r="C2499" s="20">
        <v>90.0</v>
      </c>
      <c r="D2499" s="21" t="s">
        <v>9848</v>
      </c>
      <c r="E2499" s="27" t="s">
        <v>91</v>
      </c>
      <c r="F2499" s="18" t="s">
        <v>48</v>
      </c>
      <c r="G2499" s="32" t="s">
        <v>35</v>
      </c>
      <c r="H2499" s="23" t="s">
        <v>35</v>
      </c>
      <c r="I2499" s="24" t="s">
        <v>36</v>
      </c>
      <c r="J2499" s="25" t="s">
        <v>49</v>
      </c>
      <c r="K2499" s="26" t="s">
        <v>38</v>
      </c>
      <c r="L2499" s="25">
        <v>11623.0</v>
      </c>
      <c r="M2499" s="22" t="s">
        <v>50</v>
      </c>
      <c r="N2499" s="35" t="s">
        <v>8199</v>
      </c>
      <c r="O2499" s="28">
        <v>45573.64878472222</v>
      </c>
      <c r="P2499" s="26" t="s">
        <v>9849</v>
      </c>
      <c r="Q2499" s="11" t="s">
        <v>67</v>
      </c>
      <c r="R2499" s="11" t="s">
        <v>67</v>
      </c>
      <c r="S2499" s="11" t="s">
        <v>50</v>
      </c>
      <c r="T2499" s="29">
        <v>45565.62725148148</v>
      </c>
      <c r="U2499" s="29">
        <v>45567.37260462963</v>
      </c>
      <c r="V2499" s="29">
        <v>45573.415964733795</v>
      </c>
      <c r="W2499" s="30"/>
      <c r="X2499" s="30"/>
      <c r="Y2499" s="31"/>
      <c r="Z2499" s="31"/>
      <c r="AA2499" s="31" t="s">
        <v>127</v>
      </c>
      <c r="AB2499" s="31" t="s">
        <v>9850</v>
      </c>
      <c r="AC2499" s="31"/>
    </row>
    <row r="2500" ht="18.75" customHeight="1">
      <c r="A2500" s="18" t="s">
        <v>9851</v>
      </c>
      <c r="B2500" s="19" t="s">
        <v>7780</v>
      </c>
      <c r="C2500" s="20">
        <v>90.0</v>
      </c>
      <c r="D2500" s="21" t="s">
        <v>9852</v>
      </c>
      <c r="E2500" s="27" t="s">
        <v>91</v>
      </c>
      <c r="F2500" s="18" t="s">
        <v>48</v>
      </c>
      <c r="G2500" s="32" t="s">
        <v>35</v>
      </c>
      <c r="H2500" s="23" t="s">
        <v>35</v>
      </c>
      <c r="I2500" s="37" t="s">
        <v>36</v>
      </c>
      <c r="J2500" s="34" t="s">
        <v>65</v>
      </c>
      <c r="K2500" s="26" t="s">
        <v>38</v>
      </c>
      <c r="L2500" s="25">
        <v>11640.0</v>
      </c>
      <c r="M2500" s="27" t="s">
        <v>50</v>
      </c>
      <c r="N2500" s="26" t="s">
        <v>8104</v>
      </c>
      <c r="O2500" s="28">
        <v>45573.66249371528</v>
      </c>
      <c r="P2500" s="26" t="s">
        <v>9853</v>
      </c>
      <c r="Q2500" s="11" t="s">
        <v>67</v>
      </c>
      <c r="R2500" s="11" t="s">
        <v>67</v>
      </c>
      <c r="S2500" s="11" t="s">
        <v>50</v>
      </c>
      <c r="T2500" s="29">
        <v>45565.716277071755</v>
      </c>
      <c r="U2500" s="29">
        <v>45566.660073356485</v>
      </c>
      <c r="V2500" s="29">
        <v>45573.457203495374</v>
      </c>
      <c r="W2500" s="30"/>
      <c r="X2500" s="30"/>
      <c r="Y2500" s="31"/>
      <c r="Z2500" s="31"/>
      <c r="AA2500" s="31" t="s">
        <v>94</v>
      </c>
      <c r="AB2500" s="31" t="s">
        <v>9854</v>
      </c>
      <c r="AC2500" s="31"/>
    </row>
    <row r="2501" ht="18.75" customHeight="1">
      <c r="A2501" s="18" t="s">
        <v>9855</v>
      </c>
      <c r="B2501" s="19" t="s">
        <v>7780</v>
      </c>
      <c r="C2501" s="20">
        <v>90.0</v>
      </c>
      <c r="D2501" s="21" t="s">
        <v>9856</v>
      </c>
      <c r="E2501" s="27" t="s">
        <v>91</v>
      </c>
      <c r="F2501" s="18" t="s">
        <v>48</v>
      </c>
      <c r="G2501" s="32" t="s">
        <v>35</v>
      </c>
      <c r="H2501" s="23" t="s">
        <v>35</v>
      </c>
      <c r="I2501" s="37" t="s">
        <v>36</v>
      </c>
      <c r="J2501" s="34" t="s">
        <v>65</v>
      </c>
      <c r="K2501" s="26" t="s">
        <v>38</v>
      </c>
      <c r="L2501" s="25">
        <v>11640.0</v>
      </c>
      <c r="M2501" s="27" t="s">
        <v>50</v>
      </c>
      <c r="N2501" s="26" t="s">
        <v>8104</v>
      </c>
      <c r="O2501" s="28">
        <v>45573.66249371528</v>
      </c>
      <c r="P2501" s="26" t="s">
        <v>9853</v>
      </c>
      <c r="Q2501" s="11" t="s">
        <v>67</v>
      </c>
      <c r="R2501" s="11" t="s">
        <v>67</v>
      </c>
      <c r="S2501" s="11" t="s">
        <v>50</v>
      </c>
      <c r="T2501" s="29">
        <v>45565.71674002315</v>
      </c>
      <c r="U2501" s="29">
        <v>45566.66013724537</v>
      </c>
      <c r="V2501" s="29">
        <v>45573.45721337963</v>
      </c>
      <c r="W2501" s="30"/>
      <c r="X2501" s="30"/>
      <c r="Y2501" s="31"/>
      <c r="Z2501" s="31"/>
      <c r="AA2501" s="31" t="s">
        <v>94</v>
      </c>
      <c r="AB2501" s="31" t="s">
        <v>9857</v>
      </c>
      <c r="AC2501" s="31"/>
    </row>
    <row r="2502" ht="18.75" customHeight="1">
      <c r="A2502" s="18" t="s">
        <v>9858</v>
      </c>
      <c r="B2502" s="19" t="s">
        <v>7780</v>
      </c>
      <c r="C2502" s="20">
        <v>90.0</v>
      </c>
      <c r="D2502" s="154" t="s">
        <v>9859</v>
      </c>
      <c r="E2502" s="27" t="s">
        <v>91</v>
      </c>
      <c r="F2502" s="18" t="s">
        <v>48</v>
      </c>
      <c r="G2502" s="32" t="s">
        <v>35</v>
      </c>
      <c r="H2502" s="23" t="s">
        <v>35</v>
      </c>
      <c r="I2502" s="37" t="s">
        <v>36</v>
      </c>
      <c r="J2502" s="34" t="s">
        <v>65</v>
      </c>
      <c r="K2502" s="26" t="s">
        <v>38</v>
      </c>
      <c r="L2502" s="25">
        <v>11640.0</v>
      </c>
      <c r="M2502" s="27" t="s">
        <v>50</v>
      </c>
      <c r="N2502" s="26" t="s">
        <v>8104</v>
      </c>
      <c r="O2502" s="28">
        <v>45573.66249371528</v>
      </c>
      <c r="P2502" s="26" t="s">
        <v>9853</v>
      </c>
      <c r="Q2502" s="11" t="s">
        <v>67</v>
      </c>
      <c r="R2502" s="11" t="s">
        <v>67</v>
      </c>
      <c r="S2502" s="11" t="s">
        <v>50</v>
      </c>
      <c r="T2502" s="29">
        <v>45565.71680214121</v>
      </c>
      <c r="U2502" s="29">
        <v>45566.6601487963</v>
      </c>
      <c r="V2502" s="29">
        <v>45573.45722229166</v>
      </c>
      <c r="W2502" s="30"/>
      <c r="X2502" s="30"/>
      <c r="Y2502" s="31"/>
      <c r="Z2502" s="31"/>
      <c r="AA2502" s="31" t="s">
        <v>94</v>
      </c>
      <c r="AB2502" s="31" t="s">
        <v>9860</v>
      </c>
      <c r="AC2502" s="31"/>
    </row>
    <row r="2503" ht="18.75" customHeight="1">
      <c r="A2503" s="18" t="s">
        <v>9861</v>
      </c>
      <c r="B2503" s="19" t="s">
        <v>7780</v>
      </c>
      <c r="C2503" s="20">
        <v>34.0</v>
      </c>
      <c r="D2503" s="21" t="s">
        <v>9862</v>
      </c>
      <c r="E2503" s="27" t="s">
        <v>47</v>
      </c>
      <c r="F2503" s="18" t="s">
        <v>48</v>
      </c>
      <c r="G2503" s="32" t="s">
        <v>35</v>
      </c>
      <c r="H2503" s="23" t="s">
        <v>35</v>
      </c>
      <c r="I2503" s="37" t="s">
        <v>36</v>
      </c>
      <c r="J2503" s="34" t="s">
        <v>65</v>
      </c>
      <c r="K2503" s="26" t="s">
        <v>38</v>
      </c>
      <c r="L2503" s="25">
        <v>11586.0</v>
      </c>
      <c r="M2503" s="27" t="s">
        <v>50</v>
      </c>
      <c r="N2503" s="26" t="s">
        <v>5279</v>
      </c>
      <c r="O2503" s="28">
        <v>45567.66546537037</v>
      </c>
      <c r="P2503" s="26" t="s">
        <v>9853</v>
      </c>
      <c r="Q2503" s="11" t="s">
        <v>67</v>
      </c>
      <c r="R2503" s="11" t="s">
        <v>67</v>
      </c>
      <c r="S2503" s="11" t="s">
        <v>50</v>
      </c>
      <c r="T2503" s="29">
        <v>45565.71695743056</v>
      </c>
      <c r="U2503" s="29">
        <v>45566.66014260417</v>
      </c>
      <c r="V2503" s="29">
        <v>45567.4166740162</v>
      </c>
      <c r="W2503" s="30"/>
      <c r="X2503" s="30"/>
      <c r="Y2503" s="31"/>
      <c r="Z2503" s="31"/>
      <c r="AA2503" s="31" t="s">
        <v>94</v>
      </c>
      <c r="AB2503" s="31" t="s">
        <v>9863</v>
      </c>
      <c r="AC2503" s="31"/>
    </row>
    <row r="2504" ht="18.75" customHeight="1">
      <c r="A2504" s="18" t="s">
        <v>9864</v>
      </c>
      <c r="B2504" s="19" t="s">
        <v>7780</v>
      </c>
      <c r="C2504" s="20">
        <v>137.0</v>
      </c>
      <c r="D2504" s="21" t="s">
        <v>9865</v>
      </c>
      <c r="E2504" s="27" t="s">
        <v>85</v>
      </c>
      <c r="F2504" s="18" t="s">
        <v>48</v>
      </c>
      <c r="G2504" s="32" t="s">
        <v>35</v>
      </c>
      <c r="H2504" s="23" t="s">
        <v>35</v>
      </c>
      <c r="I2504" s="37" t="s">
        <v>36</v>
      </c>
      <c r="J2504" s="34" t="s">
        <v>65</v>
      </c>
      <c r="K2504" s="26" t="s">
        <v>38</v>
      </c>
      <c r="L2504" s="25">
        <v>11586.0</v>
      </c>
      <c r="M2504" s="27" t="s">
        <v>50</v>
      </c>
      <c r="N2504" s="26" t="s">
        <v>5279</v>
      </c>
      <c r="O2504" s="28">
        <v>45567.66553258101</v>
      </c>
      <c r="P2504" s="26" t="s">
        <v>9853</v>
      </c>
      <c r="Q2504" s="11" t="s">
        <v>67</v>
      </c>
      <c r="R2504" s="11" t="s">
        <v>67</v>
      </c>
      <c r="S2504" s="11" t="s">
        <v>50</v>
      </c>
      <c r="T2504" s="29">
        <v>45565.717609224535</v>
      </c>
      <c r="U2504" s="29">
        <v>45566.660154108795</v>
      </c>
      <c r="V2504" s="29">
        <v>45567.41623611111</v>
      </c>
      <c r="W2504" s="30"/>
      <c r="X2504" s="30"/>
      <c r="Y2504" s="31"/>
      <c r="Z2504" s="31"/>
      <c r="AA2504" s="31" t="s">
        <v>94</v>
      </c>
      <c r="AB2504" s="31" t="s">
        <v>9866</v>
      </c>
      <c r="AC2504" s="31"/>
    </row>
    <row r="2505" ht="18.75" customHeight="1">
      <c r="A2505" s="18" t="s">
        <v>9867</v>
      </c>
      <c r="B2505" s="19" t="s">
        <v>7780</v>
      </c>
      <c r="C2505" s="20">
        <v>27.0</v>
      </c>
      <c r="D2505" s="39" t="s">
        <v>9868</v>
      </c>
      <c r="E2505" s="27" t="s">
        <v>72</v>
      </c>
      <c r="F2505" s="18" t="s">
        <v>48</v>
      </c>
      <c r="G2505" s="32" t="s">
        <v>35</v>
      </c>
      <c r="H2505" s="23" t="s">
        <v>35</v>
      </c>
      <c r="I2505" s="37" t="s">
        <v>36</v>
      </c>
      <c r="J2505" s="34" t="s">
        <v>65</v>
      </c>
      <c r="K2505" s="26" t="s">
        <v>38</v>
      </c>
      <c r="L2505" s="25">
        <v>11640.0</v>
      </c>
      <c r="M2505" s="27" t="s">
        <v>50</v>
      </c>
      <c r="N2505" s="26" t="s">
        <v>8104</v>
      </c>
      <c r="O2505" s="28">
        <v>45573.66249371528</v>
      </c>
      <c r="P2505" s="26" t="s">
        <v>9853</v>
      </c>
      <c r="Q2505" s="11" t="s">
        <v>67</v>
      </c>
      <c r="R2505" s="11" t="s">
        <v>67</v>
      </c>
      <c r="S2505" s="11" t="s">
        <v>50</v>
      </c>
      <c r="T2505" s="29">
        <v>45565.717822743056</v>
      </c>
      <c r="U2505" s="29">
        <v>45566.660159837964</v>
      </c>
      <c r="V2505" s="29">
        <v>45573.503485520836</v>
      </c>
      <c r="W2505" s="30"/>
      <c r="X2505" s="30"/>
      <c r="Y2505" s="31"/>
      <c r="Z2505" s="31"/>
      <c r="AA2505" s="31" t="s">
        <v>94</v>
      </c>
      <c r="AB2505" s="31" t="s">
        <v>9869</v>
      </c>
      <c r="AC2505" s="31"/>
    </row>
    <row r="2506" ht="18.75" customHeight="1">
      <c r="A2506" s="18" t="s">
        <v>9870</v>
      </c>
      <c r="B2506" s="19" t="s">
        <v>7780</v>
      </c>
      <c r="C2506" s="20">
        <v>27.0</v>
      </c>
      <c r="D2506" s="39" t="s">
        <v>9871</v>
      </c>
      <c r="E2506" s="27" t="s">
        <v>72</v>
      </c>
      <c r="F2506" s="18" t="s">
        <v>48</v>
      </c>
      <c r="G2506" s="32" t="s">
        <v>35</v>
      </c>
      <c r="H2506" s="23" t="s">
        <v>35</v>
      </c>
      <c r="I2506" s="37" t="s">
        <v>36</v>
      </c>
      <c r="J2506" s="34" t="s">
        <v>65</v>
      </c>
      <c r="K2506" s="26" t="s">
        <v>38</v>
      </c>
      <c r="L2506" s="25">
        <v>11640.0</v>
      </c>
      <c r="M2506" s="27" t="s">
        <v>50</v>
      </c>
      <c r="N2506" s="26" t="s">
        <v>8104</v>
      </c>
      <c r="O2506" s="28">
        <v>45573.66249371528</v>
      </c>
      <c r="P2506" s="26" t="s">
        <v>9853</v>
      </c>
      <c r="Q2506" s="11" t="s">
        <v>67</v>
      </c>
      <c r="R2506" s="11" t="s">
        <v>67</v>
      </c>
      <c r="S2506" s="11" t="s">
        <v>50</v>
      </c>
      <c r="T2506" s="29">
        <v>45566.48438934028</v>
      </c>
      <c r="U2506" s="29">
        <v>45566.66016696759</v>
      </c>
      <c r="V2506" s="29">
        <v>45573.50349258102</v>
      </c>
      <c r="W2506" s="30"/>
      <c r="X2506" s="30"/>
      <c r="Y2506" s="31"/>
      <c r="Z2506" s="31"/>
      <c r="AA2506" s="31" t="s">
        <v>94</v>
      </c>
      <c r="AB2506" s="31" t="s">
        <v>9872</v>
      </c>
      <c r="AC2506" s="31"/>
    </row>
    <row r="2507" ht="18.75" customHeight="1">
      <c r="A2507" s="142" t="s">
        <v>9873</v>
      </c>
      <c r="B2507" s="19" t="s">
        <v>8435</v>
      </c>
      <c r="C2507" s="20">
        <v>27.0</v>
      </c>
      <c r="D2507" s="39" t="s">
        <v>9874</v>
      </c>
      <c r="E2507" s="27" t="s">
        <v>72</v>
      </c>
      <c r="F2507" s="18" t="s">
        <v>48</v>
      </c>
      <c r="G2507" s="32" t="s">
        <v>35</v>
      </c>
      <c r="H2507" s="23" t="s">
        <v>35</v>
      </c>
      <c r="I2507" s="37" t="s">
        <v>36</v>
      </c>
      <c r="J2507" s="34" t="s">
        <v>65</v>
      </c>
      <c r="K2507" s="26" t="s">
        <v>38</v>
      </c>
      <c r="L2507" s="25">
        <v>11661.0</v>
      </c>
      <c r="M2507" s="27" t="s">
        <v>50</v>
      </c>
      <c r="N2507" s="26" t="s">
        <v>8104</v>
      </c>
      <c r="O2507" s="28">
        <v>45573.66249371528</v>
      </c>
      <c r="P2507" s="26" t="s">
        <v>9875</v>
      </c>
      <c r="Q2507" s="11" t="s">
        <v>67</v>
      </c>
      <c r="R2507" s="11" t="s">
        <v>67</v>
      </c>
      <c r="S2507" s="11" t="s">
        <v>50</v>
      </c>
      <c r="T2507" s="29">
        <v>45565.71907491898</v>
      </c>
      <c r="U2507" s="29">
        <v>45566.46690211806</v>
      </c>
      <c r="V2507" s="29">
        <v>45573.50347782407</v>
      </c>
      <c r="W2507" s="30"/>
      <c r="X2507" s="30"/>
      <c r="Y2507" s="31"/>
      <c r="Z2507" s="31"/>
      <c r="AA2507" s="31" t="s">
        <v>94</v>
      </c>
      <c r="AB2507" s="31" t="s">
        <v>9876</v>
      </c>
      <c r="AC2507" s="31"/>
    </row>
    <row r="2508" ht="18.75" customHeight="1">
      <c r="A2508" s="142" t="s">
        <v>9877</v>
      </c>
      <c r="B2508" s="19" t="s">
        <v>8994</v>
      </c>
      <c r="C2508" s="20">
        <v>0.0</v>
      </c>
      <c r="D2508" s="21" t="s">
        <v>9878</v>
      </c>
      <c r="E2508" s="22" t="s">
        <v>289</v>
      </c>
      <c r="F2508" s="18" t="s">
        <v>33</v>
      </c>
      <c r="G2508" s="32" t="s">
        <v>35</v>
      </c>
      <c r="H2508" s="23" t="s">
        <v>35</v>
      </c>
      <c r="I2508" s="37" t="s">
        <v>36</v>
      </c>
      <c r="J2508" s="25" t="s">
        <v>1170</v>
      </c>
      <c r="K2508" s="26" t="s">
        <v>38</v>
      </c>
      <c r="L2508" s="25">
        <v>11694.0</v>
      </c>
      <c r="M2508" s="27" t="s">
        <v>50</v>
      </c>
      <c r="N2508" s="26" t="s">
        <v>9879</v>
      </c>
      <c r="O2508" s="28">
        <v>45576.67296127314</v>
      </c>
      <c r="P2508" s="26" t="s">
        <v>9880</v>
      </c>
      <c r="Q2508" s="11" t="s">
        <v>67</v>
      </c>
      <c r="R2508" s="11" t="s">
        <v>67</v>
      </c>
      <c r="S2508" s="11" t="s">
        <v>101</v>
      </c>
      <c r="T2508" s="29">
        <v>45565.72003251157</v>
      </c>
      <c r="U2508" s="29">
        <v>45566.436925138885</v>
      </c>
      <c r="V2508" s="29">
        <v>45574.451965</v>
      </c>
      <c r="W2508" s="30"/>
      <c r="X2508" s="30"/>
      <c r="Y2508" s="31"/>
      <c r="Z2508" s="31"/>
      <c r="AA2508" s="31" t="s">
        <v>120</v>
      </c>
      <c r="AB2508" s="31" t="s">
        <v>9881</v>
      </c>
      <c r="AC2508" s="31"/>
    </row>
    <row r="2509" ht="18.75" customHeight="1">
      <c r="A2509" s="18" t="s">
        <v>9882</v>
      </c>
      <c r="B2509" s="19" t="s">
        <v>3762</v>
      </c>
      <c r="C2509" s="20">
        <v>11.0</v>
      </c>
      <c r="D2509" s="21" t="s">
        <v>9883</v>
      </c>
      <c r="E2509" s="27" t="s">
        <v>112</v>
      </c>
      <c r="F2509" s="18" t="s">
        <v>48</v>
      </c>
      <c r="G2509" s="32" t="s">
        <v>35</v>
      </c>
      <c r="H2509" s="23" t="s">
        <v>35</v>
      </c>
      <c r="I2509" s="24" t="s">
        <v>36</v>
      </c>
      <c r="J2509" s="34" t="s">
        <v>65</v>
      </c>
      <c r="K2509" s="26" t="s">
        <v>38</v>
      </c>
      <c r="L2509" s="25">
        <v>11581.0</v>
      </c>
      <c r="M2509" s="27" t="s">
        <v>50</v>
      </c>
      <c r="N2509" s="26" t="s">
        <v>51</v>
      </c>
      <c r="O2509" s="28">
        <v>45566.46468643518</v>
      </c>
      <c r="P2509" s="26" t="s">
        <v>9884</v>
      </c>
      <c r="Q2509" s="11" t="s">
        <v>67</v>
      </c>
      <c r="R2509" s="11" t="s">
        <v>67</v>
      </c>
      <c r="S2509" s="11"/>
      <c r="T2509" s="29">
        <v>45566.46468643518</v>
      </c>
      <c r="U2509" s="29">
        <v>45566.46468643518</v>
      </c>
      <c r="V2509" s="29">
        <v>45566.46468643518</v>
      </c>
      <c r="W2509" s="30"/>
      <c r="X2509" s="30"/>
      <c r="Y2509" s="31"/>
      <c r="Z2509" s="31"/>
      <c r="AA2509" s="31" t="s">
        <v>94</v>
      </c>
      <c r="AB2509" s="31" t="s">
        <v>9885</v>
      </c>
      <c r="AC2509" s="31"/>
    </row>
    <row r="2510" ht="18.75" customHeight="1">
      <c r="A2510" s="18" t="s">
        <v>9886</v>
      </c>
      <c r="B2510" s="19" t="s">
        <v>3762</v>
      </c>
      <c r="C2510" s="20">
        <v>11.0</v>
      </c>
      <c r="D2510" s="21" t="s">
        <v>9887</v>
      </c>
      <c r="E2510" s="27" t="s">
        <v>112</v>
      </c>
      <c r="F2510" s="18" t="s">
        <v>48</v>
      </c>
      <c r="G2510" s="32" t="s">
        <v>35</v>
      </c>
      <c r="H2510" s="23" t="s">
        <v>35</v>
      </c>
      <c r="I2510" s="24" t="s">
        <v>36</v>
      </c>
      <c r="J2510" s="34" t="s">
        <v>65</v>
      </c>
      <c r="K2510" s="26" t="s">
        <v>38</v>
      </c>
      <c r="L2510" s="25">
        <v>11581.0</v>
      </c>
      <c r="M2510" s="27" t="s">
        <v>50</v>
      </c>
      <c r="N2510" s="26" t="s">
        <v>51</v>
      </c>
      <c r="O2510" s="28">
        <v>45566.46518704861</v>
      </c>
      <c r="P2510" s="26" t="s">
        <v>9888</v>
      </c>
      <c r="Q2510" s="11" t="s">
        <v>67</v>
      </c>
      <c r="R2510" s="11" t="s">
        <v>67</v>
      </c>
      <c r="S2510" s="11"/>
      <c r="T2510" s="29">
        <v>45566.46518704861</v>
      </c>
      <c r="U2510" s="29">
        <v>45566.46518704861</v>
      </c>
      <c r="V2510" s="29">
        <v>45566.46518704861</v>
      </c>
      <c r="W2510" s="30"/>
      <c r="X2510" s="30"/>
      <c r="Y2510" s="31"/>
      <c r="Z2510" s="31"/>
      <c r="AA2510" s="31" t="s">
        <v>94</v>
      </c>
      <c r="AB2510" s="31" t="s">
        <v>9889</v>
      </c>
      <c r="AC2510" s="31"/>
    </row>
    <row r="2511" ht="18.75" customHeight="1">
      <c r="A2511" s="142" t="s">
        <v>9890</v>
      </c>
      <c r="B2511" s="19" t="s">
        <v>7608</v>
      </c>
      <c r="C2511" s="20">
        <v>137.0</v>
      </c>
      <c r="D2511" s="21" t="s">
        <v>9891</v>
      </c>
      <c r="E2511" s="27" t="s">
        <v>85</v>
      </c>
      <c r="F2511" s="18" t="s">
        <v>48</v>
      </c>
      <c r="G2511" s="32" t="s">
        <v>35</v>
      </c>
      <c r="H2511" s="23" t="s">
        <v>35</v>
      </c>
      <c r="I2511" s="37" t="s">
        <v>36</v>
      </c>
      <c r="J2511" s="25" t="s">
        <v>49</v>
      </c>
      <c r="K2511" s="26" t="s">
        <v>518</v>
      </c>
      <c r="L2511" s="25">
        <v>11583.0</v>
      </c>
      <c r="M2511" s="27" t="s">
        <v>50</v>
      </c>
      <c r="N2511" s="26" t="s">
        <v>5936</v>
      </c>
      <c r="O2511" s="28">
        <v>45567.658700960645</v>
      </c>
      <c r="P2511" s="26" t="s">
        <v>9892</v>
      </c>
      <c r="Q2511" s="11" t="s">
        <v>67</v>
      </c>
      <c r="R2511" s="11" t="s">
        <v>67</v>
      </c>
      <c r="S2511" s="11" t="s">
        <v>50</v>
      </c>
      <c r="T2511" s="29">
        <v>45566.47610043982</v>
      </c>
      <c r="U2511" s="29">
        <v>45566.65961069445</v>
      </c>
      <c r="V2511" s="29">
        <v>45567.41729844907</v>
      </c>
      <c r="W2511" s="30"/>
      <c r="X2511" s="30"/>
      <c r="Y2511" s="31"/>
      <c r="Z2511" s="31"/>
      <c r="AA2511" s="31" t="s">
        <v>108</v>
      </c>
      <c r="AB2511" s="31" t="s">
        <v>9893</v>
      </c>
      <c r="AC2511" s="31"/>
    </row>
    <row r="2512" ht="18.75" customHeight="1">
      <c r="A2512" s="142" t="s">
        <v>9894</v>
      </c>
      <c r="B2512" s="19" t="s">
        <v>9895</v>
      </c>
      <c r="C2512" s="20">
        <v>137.0</v>
      </c>
      <c r="D2512" s="21" t="s">
        <v>9896</v>
      </c>
      <c r="E2512" s="27" t="s">
        <v>85</v>
      </c>
      <c r="F2512" s="18" t="s">
        <v>48</v>
      </c>
      <c r="G2512" s="32" t="s">
        <v>35</v>
      </c>
      <c r="H2512" s="23" t="s">
        <v>35</v>
      </c>
      <c r="I2512" s="37" t="s">
        <v>36</v>
      </c>
      <c r="J2512" s="25" t="s">
        <v>49</v>
      </c>
      <c r="K2512" s="26" t="s">
        <v>38</v>
      </c>
      <c r="L2512" s="25">
        <v>11584.0</v>
      </c>
      <c r="M2512" s="27" t="s">
        <v>50</v>
      </c>
      <c r="N2512" s="26" t="s">
        <v>5936</v>
      </c>
      <c r="O2512" s="28">
        <v>45567.65852462963</v>
      </c>
      <c r="P2512" s="26" t="s">
        <v>9897</v>
      </c>
      <c r="Q2512" s="11" t="s">
        <v>67</v>
      </c>
      <c r="R2512" s="11" t="s">
        <v>67</v>
      </c>
      <c r="S2512" s="11" t="s">
        <v>50</v>
      </c>
      <c r="T2512" s="29">
        <v>45566.47911053241</v>
      </c>
      <c r="U2512" s="29">
        <v>45567.36855372685</v>
      </c>
      <c r="V2512" s="29">
        <v>45567.41626174768</v>
      </c>
      <c r="W2512" s="30"/>
      <c r="X2512" s="30"/>
      <c r="Y2512" s="31"/>
      <c r="Z2512" s="31"/>
      <c r="AA2512" s="31" t="s">
        <v>127</v>
      </c>
      <c r="AB2512" s="31" t="s">
        <v>9898</v>
      </c>
      <c r="AC2512" s="31"/>
    </row>
    <row r="2513" ht="18.75" customHeight="1">
      <c r="A2513" s="142" t="s">
        <v>9899</v>
      </c>
      <c r="B2513" s="19" t="s">
        <v>122</v>
      </c>
      <c r="C2513" s="20">
        <v>34.0</v>
      </c>
      <c r="D2513" s="21" t="s">
        <v>9900</v>
      </c>
      <c r="E2513" s="27" t="s">
        <v>47</v>
      </c>
      <c r="F2513" s="18" t="s">
        <v>48</v>
      </c>
      <c r="G2513" s="32" t="s">
        <v>35</v>
      </c>
      <c r="H2513" s="23" t="s">
        <v>35</v>
      </c>
      <c r="I2513" s="37" t="s">
        <v>36</v>
      </c>
      <c r="J2513" s="25" t="s">
        <v>49</v>
      </c>
      <c r="K2513" s="26" t="s">
        <v>38</v>
      </c>
      <c r="L2513" s="25">
        <v>11585.0</v>
      </c>
      <c r="M2513" s="27" t="s">
        <v>50</v>
      </c>
      <c r="N2513" s="26" t="s">
        <v>5936</v>
      </c>
      <c r="O2513" s="28">
        <v>45567.65861211806</v>
      </c>
      <c r="P2513" s="26" t="s">
        <v>9901</v>
      </c>
      <c r="Q2513" s="11" t="s">
        <v>67</v>
      </c>
      <c r="R2513" s="11" t="s">
        <v>67</v>
      </c>
      <c r="S2513" s="11" t="s">
        <v>50</v>
      </c>
      <c r="T2513" s="29">
        <v>45566.683049479165</v>
      </c>
      <c r="U2513" s="29">
        <v>45567.36820702546</v>
      </c>
      <c r="V2513" s="29">
        <v>45567.416271469905</v>
      </c>
      <c r="W2513" s="30"/>
      <c r="X2513" s="30"/>
      <c r="Y2513" s="31"/>
      <c r="Z2513" s="31"/>
      <c r="AA2513" s="31" t="s">
        <v>127</v>
      </c>
      <c r="AB2513" s="31" t="s">
        <v>9902</v>
      </c>
      <c r="AC2513" s="31"/>
    </row>
    <row r="2514" ht="18.75" customHeight="1">
      <c r="A2514" s="142" t="s">
        <v>9903</v>
      </c>
      <c r="B2514" s="19" t="s">
        <v>9904</v>
      </c>
      <c r="C2514" s="20">
        <v>0.0</v>
      </c>
      <c r="D2514" s="21" t="s">
        <v>9905</v>
      </c>
      <c r="E2514" s="27" t="s">
        <v>3441</v>
      </c>
      <c r="F2514" s="18" t="s">
        <v>48</v>
      </c>
      <c r="G2514" s="32" t="s">
        <v>35</v>
      </c>
      <c r="H2514" s="23" t="s">
        <v>35</v>
      </c>
      <c r="I2514" s="37" t="s">
        <v>36</v>
      </c>
      <c r="J2514" s="25" t="s">
        <v>49</v>
      </c>
      <c r="K2514" s="26" t="s">
        <v>447</v>
      </c>
      <c r="L2514" s="25">
        <v>11720.0</v>
      </c>
      <c r="M2514" s="27" t="s">
        <v>50</v>
      </c>
      <c r="N2514" s="26" t="s">
        <v>4183</v>
      </c>
      <c r="O2514" s="28">
        <v>45580.587672407404</v>
      </c>
      <c r="P2514" s="26" t="s">
        <v>9906</v>
      </c>
      <c r="Q2514" s="11" t="s">
        <v>67</v>
      </c>
      <c r="R2514" s="11" t="s">
        <v>67</v>
      </c>
      <c r="S2514" s="11" t="s">
        <v>50</v>
      </c>
      <c r="T2514" s="29">
        <v>45567.362584675924</v>
      </c>
      <c r="U2514" s="29">
        <v>45573.43479658564</v>
      </c>
      <c r="V2514" s="29">
        <v>45580.38689359954</v>
      </c>
      <c r="W2514" s="30"/>
      <c r="X2514" s="30"/>
      <c r="Y2514" s="31"/>
      <c r="Z2514" s="31"/>
      <c r="AA2514" s="31" t="s">
        <v>108</v>
      </c>
      <c r="AB2514" s="31" t="s">
        <v>9907</v>
      </c>
      <c r="AC2514" s="31"/>
    </row>
    <row r="2515" ht="18.75" customHeight="1">
      <c r="A2515" s="18" t="s">
        <v>9908</v>
      </c>
      <c r="B2515" s="19" t="s">
        <v>9909</v>
      </c>
      <c r="C2515" s="20">
        <v>27.0</v>
      </c>
      <c r="D2515" s="39" t="s">
        <v>9910</v>
      </c>
      <c r="E2515" s="27" t="s">
        <v>72</v>
      </c>
      <c r="F2515" s="18" t="s">
        <v>48</v>
      </c>
      <c r="G2515" s="32" t="s">
        <v>35</v>
      </c>
      <c r="H2515" s="23" t="s">
        <v>35</v>
      </c>
      <c r="I2515" s="37" t="s">
        <v>36</v>
      </c>
      <c r="J2515" s="25" t="s">
        <v>420</v>
      </c>
      <c r="K2515" s="26" t="s">
        <v>38</v>
      </c>
      <c r="L2515" s="25">
        <v>11670.0</v>
      </c>
      <c r="M2515" s="27" t="s">
        <v>50</v>
      </c>
      <c r="N2515" s="26" t="s">
        <v>4031</v>
      </c>
      <c r="O2515" s="28">
        <v>45574.584936377316</v>
      </c>
      <c r="P2515" s="26" t="s">
        <v>9911</v>
      </c>
      <c r="Q2515" s="11" t="s">
        <v>67</v>
      </c>
      <c r="R2515" s="11" t="s">
        <v>67</v>
      </c>
      <c r="S2515" s="11" t="s">
        <v>50</v>
      </c>
      <c r="T2515" s="29">
        <v>45567.584073715276</v>
      </c>
      <c r="U2515" s="29">
        <v>45568.64870327547</v>
      </c>
      <c r="V2515" s="29">
        <v>45574.4243431713</v>
      </c>
      <c r="W2515" s="30"/>
      <c r="X2515" s="30"/>
      <c r="Y2515" s="31"/>
      <c r="Z2515" s="31"/>
      <c r="AA2515" s="31" t="s">
        <v>120</v>
      </c>
      <c r="AB2515" s="31" t="s">
        <v>9912</v>
      </c>
      <c r="AC2515" s="31"/>
    </row>
    <row r="2516" ht="18.75" customHeight="1">
      <c r="A2516" s="18" t="s">
        <v>9913</v>
      </c>
      <c r="B2516" s="19" t="s">
        <v>9909</v>
      </c>
      <c r="C2516" s="20">
        <v>27.0</v>
      </c>
      <c r="D2516" s="39" t="s">
        <v>9914</v>
      </c>
      <c r="E2516" s="27" t="s">
        <v>72</v>
      </c>
      <c r="F2516" s="18" t="s">
        <v>48</v>
      </c>
      <c r="G2516" s="32" t="s">
        <v>35</v>
      </c>
      <c r="H2516" s="23" t="s">
        <v>35</v>
      </c>
      <c r="I2516" s="37" t="s">
        <v>36</v>
      </c>
      <c r="J2516" s="25" t="s">
        <v>420</v>
      </c>
      <c r="K2516" s="26" t="s">
        <v>38</v>
      </c>
      <c r="L2516" s="25">
        <v>11670.0</v>
      </c>
      <c r="M2516" s="27" t="s">
        <v>50</v>
      </c>
      <c r="N2516" s="26" t="s">
        <v>4031</v>
      </c>
      <c r="O2516" s="28">
        <v>45574.58502798611</v>
      </c>
      <c r="P2516" s="26" t="s">
        <v>9911</v>
      </c>
      <c r="Q2516" s="11" t="s">
        <v>67</v>
      </c>
      <c r="R2516" s="11" t="s">
        <v>67</v>
      </c>
      <c r="S2516" s="11" t="s">
        <v>50</v>
      </c>
      <c r="T2516" s="29">
        <v>45567.584225266204</v>
      </c>
      <c r="U2516" s="29">
        <v>45568.6487464699</v>
      </c>
      <c r="V2516" s="29">
        <v>45574.424350104164</v>
      </c>
      <c r="W2516" s="30"/>
      <c r="X2516" s="30"/>
      <c r="Y2516" s="31"/>
      <c r="Z2516" s="31"/>
      <c r="AA2516" s="31" t="s">
        <v>120</v>
      </c>
      <c r="AB2516" s="31" t="s">
        <v>9915</v>
      </c>
      <c r="AC2516" s="31"/>
    </row>
    <row r="2517" ht="18.75" customHeight="1">
      <c r="A2517" s="142" t="s">
        <v>9916</v>
      </c>
      <c r="B2517" s="19" t="s">
        <v>9917</v>
      </c>
      <c r="C2517" s="20">
        <v>0.0</v>
      </c>
      <c r="D2517" s="21" t="s">
        <v>9918</v>
      </c>
      <c r="E2517" s="27" t="s">
        <v>408</v>
      </c>
      <c r="F2517" s="18" t="s">
        <v>33</v>
      </c>
      <c r="G2517" s="18" t="s">
        <v>34</v>
      </c>
      <c r="H2517" s="23" t="s">
        <v>35</v>
      </c>
      <c r="I2517" s="37" t="s">
        <v>36</v>
      </c>
      <c r="J2517" s="25" t="s">
        <v>49</v>
      </c>
      <c r="K2517" s="26" t="s">
        <v>38</v>
      </c>
      <c r="L2517" s="25">
        <v>11687.0</v>
      </c>
      <c r="M2517" s="27" t="s">
        <v>50</v>
      </c>
      <c r="N2517" s="26" t="s">
        <v>99</v>
      </c>
      <c r="O2517" s="28">
        <v>45575.58341060185</v>
      </c>
      <c r="P2517" s="26" t="s">
        <v>9919</v>
      </c>
      <c r="Q2517" s="11" t="s">
        <v>67</v>
      </c>
      <c r="R2517" s="11" t="s">
        <v>67</v>
      </c>
      <c r="S2517" s="11" t="s">
        <v>101</v>
      </c>
      <c r="T2517" s="29">
        <v>45567.617136574074</v>
      </c>
      <c r="U2517" s="29">
        <v>45567.66681851852</v>
      </c>
      <c r="V2517" s="29">
        <v>45574.492676458336</v>
      </c>
      <c r="W2517" s="30"/>
      <c r="X2517" s="30"/>
      <c r="Y2517" s="31"/>
      <c r="Z2517" s="31"/>
      <c r="AA2517" s="31" t="s">
        <v>127</v>
      </c>
      <c r="AB2517" s="31" t="s">
        <v>9920</v>
      </c>
      <c r="AC2517" s="31"/>
    </row>
    <row r="2518" ht="18.75" customHeight="1">
      <c r="A2518" s="18" t="s">
        <v>9921</v>
      </c>
      <c r="B2518" s="19" t="s">
        <v>9922</v>
      </c>
      <c r="C2518" s="20">
        <v>0.0</v>
      </c>
      <c r="D2518" s="21" t="s">
        <v>9923</v>
      </c>
      <c r="E2518" s="27" t="s">
        <v>532</v>
      </c>
      <c r="F2518" s="18" t="s">
        <v>244</v>
      </c>
      <c r="G2518" s="32" t="s">
        <v>35</v>
      </c>
      <c r="H2518" s="23" t="s">
        <v>35</v>
      </c>
      <c r="I2518" s="37" t="s">
        <v>36</v>
      </c>
      <c r="J2518" s="25" t="s">
        <v>49</v>
      </c>
      <c r="K2518" s="26" t="s">
        <v>9924</v>
      </c>
      <c r="L2518" s="25">
        <v>11707.0</v>
      </c>
      <c r="M2518" s="27" t="s">
        <v>50</v>
      </c>
      <c r="N2518" s="26" t="s">
        <v>4183</v>
      </c>
      <c r="O2518" s="28">
        <v>45579.59670775463</v>
      </c>
      <c r="P2518" s="26" t="s">
        <v>9925</v>
      </c>
      <c r="Q2518" s="11" t="s">
        <v>67</v>
      </c>
      <c r="R2518" s="11" t="s">
        <v>67</v>
      </c>
      <c r="S2518" s="11" t="s">
        <v>101</v>
      </c>
      <c r="T2518" s="29">
        <v>45567.63389123842</v>
      </c>
      <c r="U2518" s="29">
        <v>45567.67075388889</v>
      </c>
      <c r="V2518" s="29">
        <v>45576.35657645833</v>
      </c>
      <c r="W2518" s="30"/>
      <c r="X2518" s="30"/>
      <c r="Y2518" s="31"/>
      <c r="Z2518" s="31"/>
      <c r="AA2518" s="31" t="s">
        <v>145</v>
      </c>
      <c r="AB2518" s="31" t="s">
        <v>9926</v>
      </c>
      <c r="AC2518" s="31"/>
    </row>
    <row r="2519" ht="18.75" customHeight="1">
      <c r="A2519" s="18" t="s">
        <v>9927</v>
      </c>
      <c r="B2519" s="19" t="s">
        <v>9922</v>
      </c>
      <c r="C2519" s="20">
        <v>0.0</v>
      </c>
      <c r="D2519" s="21" t="s">
        <v>271</v>
      </c>
      <c r="E2519" s="27" t="s">
        <v>532</v>
      </c>
      <c r="F2519" s="18" t="s">
        <v>244</v>
      </c>
      <c r="G2519" s="32" t="s">
        <v>35</v>
      </c>
      <c r="H2519" s="23" t="s">
        <v>35</v>
      </c>
      <c r="I2519" s="37" t="s">
        <v>36</v>
      </c>
      <c r="J2519" s="25" t="s">
        <v>49</v>
      </c>
      <c r="K2519" s="26" t="s">
        <v>9924</v>
      </c>
      <c r="L2519" s="25">
        <v>11707.0</v>
      </c>
      <c r="M2519" s="27" t="s">
        <v>50</v>
      </c>
      <c r="N2519" s="26" t="s">
        <v>4183</v>
      </c>
      <c r="O2519" s="28">
        <v>45579.596345868056</v>
      </c>
      <c r="P2519" s="26" t="s">
        <v>9925</v>
      </c>
      <c r="Q2519" s="11" t="s">
        <v>67</v>
      </c>
      <c r="R2519" s="11" t="s">
        <v>67</v>
      </c>
      <c r="S2519" s="11" t="s">
        <v>101</v>
      </c>
      <c r="T2519" s="29">
        <v>45567.63408043981</v>
      </c>
      <c r="U2519" s="29">
        <v>45567.67086932871</v>
      </c>
      <c r="V2519" s="29">
        <v>45576.35659214121</v>
      </c>
      <c r="W2519" s="30"/>
      <c r="X2519" s="30"/>
      <c r="Y2519" s="31"/>
      <c r="Z2519" s="31"/>
      <c r="AA2519" s="31" t="s">
        <v>145</v>
      </c>
      <c r="AB2519" s="31" t="s">
        <v>9928</v>
      </c>
      <c r="AC2519" s="31"/>
    </row>
    <row r="2520" ht="18.75" customHeight="1">
      <c r="A2520" s="18" t="s">
        <v>9929</v>
      </c>
      <c r="B2520" s="19" t="s">
        <v>9922</v>
      </c>
      <c r="C2520" s="20">
        <v>0.0</v>
      </c>
      <c r="D2520" s="21" t="s">
        <v>9930</v>
      </c>
      <c r="E2520" s="27" t="s">
        <v>532</v>
      </c>
      <c r="F2520" s="18" t="s">
        <v>244</v>
      </c>
      <c r="G2520" s="32" t="s">
        <v>35</v>
      </c>
      <c r="H2520" s="23" t="s">
        <v>35</v>
      </c>
      <c r="I2520" s="37" t="s">
        <v>36</v>
      </c>
      <c r="J2520" s="25" t="s">
        <v>49</v>
      </c>
      <c r="K2520" s="26" t="s">
        <v>9924</v>
      </c>
      <c r="L2520" s="25">
        <v>11707.0</v>
      </c>
      <c r="M2520" s="27" t="s">
        <v>50</v>
      </c>
      <c r="N2520" s="26" t="s">
        <v>4183</v>
      </c>
      <c r="O2520" s="28">
        <v>45579.596571076385</v>
      </c>
      <c r="P2520" s="26" t="s">
        <v>9925</v>
      </c>
      <c r="Q2520" s="11" t="s">
        <v>67</v>
      </c>
      <c r="R2520" s="11" t="s">
        <v>67</v>
      </c>
      <c r="S2520" s="11" t="s">
        <v>101</v>
      </c>
      <c r="T2520" s="29">
        <v>45567.63397914352</v>
      </c>
      <c r="U2520" s="29">
        <v>45567.67086304398</v>
      </c>
      <c r="V2520" s="29">
        <v>45576.3562815162</v>
      </c>
      <c r="W2520" s="30"/>
      <c r="X2520" s="30"/>
      <c r="Y2520" s="31"/>
      <c r="Z2520" s="31"/>
      <c r="AA2520" s="31" t="s">
        <v>145</v>
      </c>
      <c r="AB2520" s="31" t="s">
        <v>9931</v>
      </c>
      <c r="AC2520" s="31"/>
    </row>
    <row r="2521" ht="18.75" customHeight="1">
      <c r="A2521" s="142" t="s">
        <v>9932</v>
      </c>
      <c r="B2521" s="19" t="s">
        <v>4352</v>
      </c>
      <c r="C2521" s="20">
        <v>0.0</v>
      </c>
      <c r="D2521" s="21" t="s">
        <v>9933</v>
      </c>
      <c r="E2521" s="27" t="s">
        <v>3441</v>
      </c>
      <c r="F2521" s="18" t="s">
        <v>48</v>
      </c>
      <c r="G2521" s="32" t="s">
        <v>35</v>
      </c>
      <c r="H2521" s="23" t="s">
        <v>35</v>
      </c>
      <c r="I2521" s="24" t="s">
        <v>36</v>
      </c>
      <c r="J2521" s="25" t="s">
        <v>49</v>
      </c>
      <c r="K2521" s="26" t="s">
        <v>38</v>
      </c>
      <c r="L2521" s="25">
        <v>11654.0</v>
      </c>
      <c r="M2521" s="22" t="s">
        <v>50</v>
      </c>
      <c r="N2521" s="35" t="s">
        <v>8199</v>
      </c>
      <c r="O2521" s="28">
        <v>45573.64878472222</v>
      </c>
      <c r="P2521" s="26" t="s">
        <v>9934</v>
      </c>
      <c r="Q2521" s="11" t="s">
        <v>67</v>
      </c>
      <c r="R2521" s="11" t="s">
        <v>67</v>
      </c>
      <c r="S2521" s="11" t="s">
        <v>50</v>
      </c>
      <c r="T2521" s="29">
        <v>45567.592061550924</v>
      </c>
      <c r="U2521" s="29">
        <v>45567.66751309027</v>
      </c>
      <c r="V2521" s="29">
        <v>45573.362706678236</v>
      </c>
      <c r="W2521" s="30"/>
      <c r="X2521" s="30"/>
      <c r="Y2521" s="31"/>
      <c r="Z2521" s="31"/>
      <c r="AA2521" s="31" t="s">
        <v>127</v>
      </c>
      <c r="AB2521" s="31" t="s">
        <v>9935</v>
      </c>
      <c r="AC2521" s="31"/>
    </row>
    <row r="2522" ht="18.75" customHeight="1">
      <c r="A2522" s="18" t="s">
        <v>9936</v>
      </c>
      <c r="B2522" s="19" t="s">
        <v>746</v>
      </c>
      <c r="C2522" s="20">
        <v>90.0</v>
      </c>
      <c r="D2522" s="21" t="s">
        <v>9937</v>
      </c>
      <c r="E2522" s="27" t="s">
        <v>91</v>
      </c>
      <c r="F2522" s="18" t="s">
        <v>48</v>
      </c>
      <c r="G2522" s="32" t="s">
        <v>35</v>
      </c>
      <c r="H2522" s="23" t="s">
        <v>35</v>
      </c>
      <c r="I2522" s="37" t="s">
        <v>36</v>
      </c>
      <c r="J2522" s="34" t="s">
        <v>65</v>
      </c>
      <c r="K2522" s="26" t="s">
        <v>38</v>
      </c>
      <c r="L2522" s="25">
        <v>11796.0</v>
      </c>
      <c r="M2522" s="27" t="s">
        <v>50</v>
      </c>
      <c r="N2522" s="26" t="s">
        <v>9743</v>
      </c>
      <c r="O2522" s="28">
        <v>45590.663490694445</v>
      </c>
      <c r="P2522" s="26" t="s">
        <v>9938</v>
      </c>
      <c r="Q2522" s="11" t="s">
        <v>67</v>
      </c>
      <c r="R2522" s="11" t="s">
        <v>67</v>
      </c>
      <c r="S2522" s="11" t="s">
        <v>73</v>
      </c>
      <c r="T2522" s="29">
        <v>45567.5983671412</v>
      </c>
      <c r="U2522" s="29">
        <v>45582.61404090278</v>
      </c>
      <c r="V2522" s="29">
        <v>45589.786423287034</v>
      </c>
      <c r="W2522" s="30"/>
      <c r="X2522" s="30"/>
      <c r="Y2522" s="31"/>
      <c r="Z2522" s="31"/>
      <c r="AA2522" s="31" t="s">
        <v>94</v>
      </c>
      <c r="AB2522" s="31" t="s">
        <v>9939</v>
      </c>
      <c r="AC2522" s="31"/>
    </row>
    <row r="2523" ht="18.75" customHeight="1">
      <c r="A2523" s="18" t="s">
        <v>9940</v>
      </c>
      <c r="B2523" s="19" t="s">
        <v>746</v>
      </c>
      <c r="C2523" s="20">
        <v>90.0</v>
      </c>
      <c r="D2523" s="21" t="s">
        <v>9941</v>
      </c>
      <c r="E2523" s="27" t="s">
        <v>91</v>
      </c>
      <c r="F2523" s="18" t="s">
        <v>48</v>
      </c>
      <c r="G2523" s="32" t="s">
        <v>35</v>
      </c>
      <c r="H2523" s="23" t="s">
        <v>35</v>
      </c>
      <c r="I2523" s="37" t="s">
        <v>36</v>
      </c>
      <c r="J2523" s="34" t="s">
        <v>65</v>
      </c>
      <c r="K2523" s="26" t="s">
        <v>38</v>
      </c>
      <c r="L2523" s="25">
        <v>11796.0</v>
      </c>
      <c r="M2523" s="27" t="s">
        <v>50</v>
      </c>
      <c r="N2523" s="26" t="s">
        <v>9743</v>
      </c>
      <c r="O2523" s="28">
        <v>45590.663559803244</v>
      </c>
      <c r="P2523" s="26" t="s">
        <v>9938</v>
      </c>
      <c r="Q2523" s="11" t="s">
        <v>67</v>
      </c>
      <c r="R2523" s="11" t="s">
        <v>67</v>
      </c>
      <c r="S2523" s="11" t="s">
        <v>73</v>
      </c>
      <c r="T2523" s="29">
        <v>45567.59846243056</v>
      </c>
      <c r="U2523" s="29">
        <v>45582.614071620366</v>
      </c>
      <c r="V2523" s="29">
        <v>45589.78643246528</v>
      </c>
      <c r="W2523" s="30"/>
      <c r="X2523" s="30"/>
      <c r="Y2523" s="31"/>
      <c r="Z2523" s="31"/>
      <c r="AA2523" s="31" t="s">
        <v>94</v>
      </c>
      <c r="AB2523" s="31" t="s">
        <v>9942</v>
      </c>
      <c r="AC2523" s="31"/>
    </row>
    <row r="2524" ht="18.75" customHeight="1">
      <c r="A2524" s="142" t="s">
        <v>9943</v>
      </c>
      <c r="B2524" s="19" t="s">
        <v>3888</v>
      </c>
      <c r="C2524" s="20">
        <v>27.0</v>
      </c>
      <c r="D2524" s="39" t="s">
        <v>9944</v>
      </c>
      <c r="E2524" s="27" t="s">
        <v>72</v>
      </c>
      <c r="F2524" s="18" t="s">
        <v>48</v>
      </c>
      <c r="G2524" s="32" t="s">
        <v>35</v>
      </c>
      <c r="H2524" s="23" t="s">
        <v>35</v>
      </c>
      <c r="I2524" s="24" t="s">
        <v>36</v>
      </c>
      <c r="J2524" s="25" t="s">
        <v>49</v>
      </c>
      <c r="K2524" s="35" t="s">
        <v>2978</v>
      </c>
      <c r="L2524" s="25">
        <v>11662.0</v>
      </c>
      <c r="M2524" s="22" t="s">
        <v>50</v>
      </c>
      <c r="N2524" s="35" t="s">
        <v>8199</v>
      </c>
      <c r="O2524" s="28">
        <v>45573.64878472222</v>
      </c>
      <c r="P2524" s="35" t="s">
        <v>9945</v>
      </c>
      <c r="Q2524" s="11" t="s">
        <v>67</v>
      </c>
      <c r="R2524" s="11" t="s">
        <v>67</v>
      </c>
      <c r="S2524" s="11" t="s">
        <v>50</v>
      </c>
      <c r="T2524" s="29">
        <v>45567.600208449076</v>
      </c>
      <c r="U2524" s="29">
        <v>45567.628754432866</v>
      </c>
      <c r="V2524" s="29">
        <v>45573.35652751157</v>
      </c>
      <c r="W2524" s="30"/>
      <c r="X2524" s="30"/>
      <c r="Y2524" s="31"/>
      <c r="Z2524" s="31"/>
      <c r="AA2524" s="31" t="s">
        <v>108</v>
      </c>
      <c r="AB2524" s="31" t="s">
        <v>9946</v>
      </c>
      <c r="AC2524" s="31"/>
    </row>
    <row r="2525" ht="18.75" customHeight="1">
      <c r="A2525" s="142" t="s">
        <v>9947</v>
      </c>
      <c r="B2525" s="19" t="s">
        <v>4352</v>
      </c>
      <c r="C2525" s="20">
        <v>0.0</v>
      </c>
      <c r="D2525" s="21" t="s">
        <v>9948</v>
      </c>
      <c r="E2525" s="27" t="s">
        <v>3441</v>
      </c>
      <c r="F2525" s="18" t="s">
        <v>48</v>
      </c>
      <c r="G2525" s="32" t="s">
        <v>35</v>
      </c>
      <c r="H2525" s="23" t="s">
        <v>35</v>
      </c>
      <c r="I2525" s="24" t="s">
        <v>36</v>
      </c>
      <c r="J2525" s="25" t="s">
        <v>49</v>
      </c>
      <c r="K2525" s="26" t="s">
        <v>38</v>
      </c>
      <c r="L2525" s="25">
        <v>11655.0</v>
      </c>
      <c r="M2525" s="22" t="s">
        <v>50</v>
      </c>
      <c r="N2525" s="35" t="s">
        <v>8199</v>
      </c>
      <c r="O2525" s="28">
        <v>45573.64878472222</v>
      </c>
      <c r="P2525" s="26" t="s">
        <v>9949</v>
      </c>
      <c r="Q2525" s="11" t="s">
        <v>67</v>
      </c>
      <c r="R2525" s="11" t="s">
        <v>67</v>
      </c>
      <c r="S2525" s="11" t="s">
        <v>50</v>
      </c>
      <c r="T2525" s="29">
        <v>45567.60182273148</v>
      </c>
      <c r="U2525" s="29">
        <v>45567.66739724537</v>
      </c>
      <c r="V2525" s="29">
        <v>45573.36269578704</v>
      </c>
      <c r="W2525" s="30"/>
      <c r="X2525" s="30"/>
      <c r="Y2525" s="31"/>
      <c r="Z2525" s="31"/>
      <c r="AA2525" s="31" t="s">
        <v>127</v>
      </c>
      <c r="AB2525" s="31" t="s">
        <v>9950</v>
      </c>
      <c r="AC2525" s="31"/>
    </row>
    <row r="2526" ht="18.75" customHeight="1">
      <c r="A2526" s="151" t="s">
        <v>9951</v>
      </c>
      <c r="B2526" s="19" t="s">
        <v>4352</v>
      </c>
      <c r="C2526" s="20">
        <v>137.0</v>
      </c>
      <c r="D2526" s="21" t="s">
        <v>9952</v>
      </c>
      <c r="E2526" s="27" t="s">
        <v>85</v>
      </c>
      <c r="F2526" s="18" t="s">
        <v>48</v>
      </c>
      <c r="G2526" s="32" t="s">
        <v>35</v>
      </c>
      <c r="H2526" s="23" t="s">
        <v>35</v>
      </c>
      <c r="I2526" s="37" t="s">
        <v>36</v>
      </c>
      <c r="J2526" s="25" t="s">
        <v>49</v>
      </c>
      <c r="K2526" s="26" t="s">
        <v>38</v>
      </c>
      <c r="L2526" s="25">
        <v>12345.0</v>
      </c>
      <c r="M2526" s="27" t="s">
        <v>50</v>
      </c>
      <c r="N2526" s="26" t="s">
        <v>9953</v>
      </c>
      <c r="O2526" s="28">
        <v>45659.0</v>
      </c>
      <c r="P2526" s="26" t="s">
        <v>9954</v>
      </c>
      <c r="Q2526" s="11" t="s">
        <v>67</v>
      </c>
      <c r="R2526" s="11" t="s">
        <v>67</v>
      </c>
      <c r="S2526" s="11" t="s">
        <v>50</v>
      </c>
      <c r="T2526" s="29">
        <v>45567.60299056713</v>
      </c>
      <c r="U2526" s="29">
        <v>45579.45648099537</v>
      </c>
      <c r="V2526" s="29">
        <v>45652.48445671296</v>
      </c>
      <c r="W2526" s="30"/>
      <c r="X2526" s="30"/>
      <c r="Y2526" s="31"/>
      <c r="Z2526" s="31"/>
      <c r="AA2526" s="31" t="s">
        <v>127</v>
      </c>
      <c r="AB2526" s="31" t="s">
        <v>9955</v>
      </c>
      <c r="AC2526" s="31"/>
    </row>
    <row r="2527" ht="18.75" customHeight="1">
      <c r="A2527" s="142" t="s">
        <v>9956</v>
      </c>
      <c r="B2527" s="19" t="s">
        <v>4352</v>
      </c>
      <c r="C2527" s="20">
        <v>90.0</v>
      </c>
      <c r="D2527" s="21" t="s">
        <v>9957</v>
      </c>
      <c r="E2527" s="27" t="s">
        <v>91</v>
      </c>
      <c r="F2527" s="18" t="s">
        <v>48</v>
      </c>
      <c r="G2527" s="32" t="s">
        <v>35</v>
      </c>
      <c r="H2527" s="23" t="s">
        <v>35</v>
      </c>
      <c r="I2527" s="24" t="s">
        <v>36</v>
      </c>
      <c r="J2527" s="25" t="s">
        <v>49</v>
      </c>
      <c r="K2527" s="26" t="s">
        <v>38</v>
      </c>
      <c r="L2527" s="25">
        <v>11624.0</v>
      </c>
      <c r="M2527" s="22" t="s">
        <v>50</v>
      </c>
      <c r="N2527" s="35" t="s">
        <v>8199</v>
      </c>
      <c r="O2527" s="28">
        <v>45573.64878472222</v>
      </c>
      <c r="P2527" s="26" t="s">
        <v>9958</v>
      </c>
      <c r="Q2527" s="11" t="s">
        <v>67</v>
      </c>
      <c r="R2527" s="11" t="s">
        <v>67</v>
      </c>
      <c r="S2527" s="11" t="s">
        <v>50</v>
      </c>
      <c r="T2527" s="29">
        <v>45567.60437811342</v>
      </c>
      <c r="U2527" s="29">
        <v>45567.667166354164</v>
      </c>
      <c r="V2527" s="29">
        <v>45573.41598092593</v>
      </c>
      <c r="W2527" s="30"/>
      <c r="X2527" s="30"/>
      <c r="Y2527" s="31"/>
      <c r="Z2527" s="31"/>
      <c r="AA2527" s="31" t="s">
        <v>127</v>
      </c>
      <c r="AB2527" s="31" t="s">
        <v>9959</v>
      </c>
      <c r="AC2527" s="31"/>
    </row>
    <row r="2528" ht="18.75" customHeight="1">
      <c r="A2528" s="142" t="s">
        <v>9960</v>
      </c>
      <c r="B2528" s="19" t="s">
        <v>6847</v>
      </c>
      <c r="C2528" s="20">
        <v>0.0</v>
      </c>
      <c r="D2528" s="21" t="s">
        <v>9961</v>
      </c>
      <c r="E2528" s="27" t="s">
        <v>8868</v>
      </c>
      <c r="F2528" s="18" t="s">
        <v>48</v>
      </c>
      <c r="G2528" s="32" t="s">
        <v>35</v>
      </c>
      <c r="H2528" s="23" t="s">
        <v>35</v>
      </c>
      <c r="I2528" s="37" t="s">
        <v>36</v>
      </c>
      <c r="J2528" s="25" t="s">
        <v>49</v>
      </c>
      <c r="K2528" s="26" t="s">
        <v>9962</v>
      </c>
      <c r="L2528" s="72">
        <v>11725.0</v>
      </c>
      <c r="M2528" s="27" t="s">
        <v>50</v>
      </c>
      <c r="N2528" s="26" t="s">
        <v>4183</v>
      </c>
      <c r="O2528" s="28">
        <v>45580.5875184375</v>
      </c>
      <c r="P2528" s="26" t="s">
        <v>9963</v>
      </c>
      <c r="Q2528" s="11" t="s">
        <v>67</v>
      </c>
      <c r="R2528" s="11" t="s">
        <v>67</v>
      </c>
      <c r="S2528" s="11"/>
      <c r="T2528" s="29">
        <v>45567.63220553241</v>
      </c>
      <c r="U2528" s="29">
        <v>45568.40102186342</v>
      </c>
      <c r="V2528" s="29"/>
      <c r="W2528" s="30"/>
      <c r="X2528" s="30"/>
      <c r="Y2528" s="31"/>
      <c r="Z2528" s="31"/>
      <c r="AA2528" s="31" t="s">
        <v>127</v>
      </c>
      <c r="AB2528" s="31" t="s">
        <v>9964</v>
      </c>
      <c r="AC2528" s="31"/>
    </row>
    <row r="2529" ht="18.75" customHeight="1">
      <c r="A2529" s="142" t="s">
        <v>9965</v>
      </c>
      <c r="B2529" s="19" t="s">
        <v>4352</v>
      </c>
      <c r="C2529" s="20">
        <v>11.0</v>
      </c>
      <c r="D2529" s="21" t="s">
        <v>9966</v>
      </c>
      <c r="E2529" s="27" t="s">
        <v>112</v>
      </c>
      <c r="F2529" s="18" t="s">
        <v>48</v>
      </c>
      <c r="G2529" s="32" t="s">
        <v>35</v>
      </c>
      <c r="H2529" s="23" t="s">
        <v>35</v>
      </c>
      <c r="I2529" s="37" t="s">
        <v>36</v>
      </c>
      <c r="J2529" s="25" t="s">
        <v>49</v>
      </c>
      <c r="K2529" s="26" t="s">
        <v>38</v>
      </c>
      <c r="L2529" s="25">
        <v>11729.0</v>
      </c>
      <c r="M2529" s="27" t="s">
        <v>50</v>
      </c>
      <c r="N2529" s="26" t="s">
        <v>4183</v>
      </c>
      <c r="O2529" s="28">
        <v>45580.58773934028</v>
      </c>
      <c r="P2529" s="35" t="s">
        <v>9967</v>
      </c>
      <c r="Q2529" s="11" t="s">
        <v>67</v>
      </c>
      <c r="R2529" s="11" t="s">
        <v>67</v>
      </c>
      <c r="S2529" s="11" t="s">
        <v>50</v>
      </c>
      <c r="T2529" s="29">
        <v>45567.63589877315</v>
      </c>
      <c r="U2529" s="29">
        <v>45579.59212922453</v>
      </c>
      <c r="V2529" s="29">
        <v>45580.46160628472</v>
      </c>
      <c r="W2529" s="30"/>
      <c r="X2529" s="30"/>
      <c r="Y2529" s="31"/>
      <c r="Z2529" s="31"/>
      <c r="AA2529" s="31" t="s">
        <v>127</v>
      </c>
      <c r="AB2529" s="31" t="s">
        <v>9968</v>
      </c>
      <c r="AC2529" s="31"/>
    </row>
    <row r="2530" ht="18.75" customHeight="1">
      <c r="A2530" s="142" t="s">
        <v>9969</v>
      </c>
      <c r="B2530" s="19" t="s">
        <v>9970</v>
      </c>
      <c r="C2530" s="20">
        <v>0.0</v>
      </c>
      <c r="D2530" s="155" t="s">
        <v>9971</v>
      </c>
      <c r="E2530" s="27" t="s">
        <v>3441</v>
      </c>
      <c r="F2530" s="18" t="s">
        <v>48</v>
      </c>
      <c r="G2530" s="32" t="s">
        <v>35</v>
      </c>
      <c r="H2530" s="23" t="s">
        <v>35</v>
      </c>
      <c r="I2530" s="24" t="s">
        <v>36</v>
      </c>
      <c r="J2530" s="34" t="s">
        <v>65</v>
      </c>
      <c r="K2530" s="26" t="s">
        <v>38</v>
      </c>
      <c r="L2530" s="34">
        <v>11590.0</v>
      </c>
      <c r="M2530" s="22" t="s">
        <v>1703</v>
      </c>
      <c r="N2530" s="35" t="s">
        <v>1703</v>
      </c>
      <c r="O2530" s="28">
        <v>45567.0</v>
      </c>
      <c r="P2530" s="26" t="s">
        <v>9972</v>
      </c>
      <c r="Q2530" s="11" t="s">
        <v>67</v>
      </c>
      <c r="R2530" s="11" t="s">
        <v>67</v>
      </c>
      <c r="S2530" s="12" t="s">
        <v>9973</v>
      </c>
      <c r="T2530" s="29">
        <v>45567.64218555555</v>
      </c>
      <c r="U2530" s="29">
        <v>45567.64223965278</v>
      </c>
      <c r="V2530" s="29">
        <v>45567.0</v>
      </c>
      <c r="W2530" s="30"/>
      <c r="X2530" s="30"/>
      <c r="Y2530" s="31"/>
      <c r="Z2530" s="31"/>
      <c r="AA2530" s="31" t="s">
        <v>94</v>
      </c>
      <c r="AB2530" s="31" t="s">
        <v>9974</v>
      </c>
      <c r="AC2530" s="31"/>
    </row>
    <row r="2531" ht="18.75" customHeight="1">
      <c r="A2531" s="142" t="s">
        <v>9975</v>
      </c>
      <c r="B2531" s="19" t="s">
        <v>3211</v>
      </c>
      <c r="C2531" s="20">
        <v>90.0</v>
      </c>
      <c r="D2531" s="21" t="s">
        <v>9976</v>
      </c>
      <c r="E2531" s="27" t="s">
        <v>91</v>
      </c>
      <c r="F2531" s="18" t="s">
        <v>48</v>
      </c>
      <c r="G2531" s="32" t="s">
        <v>35</v>
      </c>
      <c r="H2531" s="23" t="s">
        <v>35</v>
      </c>
      <c r="I2531" s="37" t="s">
        <v>36</v>
      </c>
      <c r="J2531" s="25" t="s">
        <v>92</v>
      </c>
      <c r="K2531" s="26" t="s">
        <v>38</v>
      </c>
      <c r="L2531" s="25">
        <v>11682.0</v>
      </c>
      <c r="M2531" s="27" t="s">
        <v>50</v>
      </c>
      <c r="N2531" s="26" t="s">
        <v>7083</v>
      </c>
      <c r="O2531" s="28">
        <v>45579.40173604166</v>
      </c>
      <c r="P2531" s="26" t="s">
        <v>9977</v>
      </c>
      <c r="Q2531" s="11" t="s">
        <v>67</v>
      </c>
      <c r="R2531" s="11" t="s">
        <v>67</v>
      </c>
      <c r="S2531" s="11" t="s">
        <v>50</v>
      </c>
      <c r="T2531" s="29">
        <v>45567.65548516204</v>
      </c>
      <c r="U2531" s="29">
        <v>45567.6827909375</v>
      </c>
      <c r="V2531" s="29">
        <v>45574.370083553236</v>
      </c>
      <c r="W2531" s="30"/>
      <c r="X2531" s="30"/>
      <c r="Y2531" s="31"/>
      <c r="Z2531" s="31"/>
      <c r="AA2531" s="31" t="s">
        <v>120</v>
      </c>
      <c r="AB2531" s="31" t="s">
        <v>9978</v>
      </c>
      <c r="AC2531" s="31"/>
    </row>
    <row r="2532" ht="18.75" customHeight="1">
      <c r="A2532" s="142" t="s">
        <v>9979</v>
      </c>
      <c r="B2532" s="19" t="s">
        <v>3211</v>
      </c>
      <c r="C2532" s="20">
        <v>0.0</v>
      </c>
      <c r="D2532" s="21" t="s">
        <v>9980</v>
      </c>
      <c r="E2532" s="27" t="s">
        <v>664</v>
      </c>
      <c r="F2532" s="18" t="s">
        <v>48</v>
      </c>
      <c r="G2532" s="32" t="s">
        <v>35</v>
      </c>
      <c r="H2532" s="23" t="s">
        <v>35</v>
      </c>
      <c r="I2532" s="37" t="s">
        <v>36</v>
      </c>
      <c r="J2532" s="25" t="s">
        <v>92</v>
      </c>
      <c r="K2532" s="26" t="s">
        <v>38</v>
      </c>
      <c r="L2532" s="25">
        <v>11731.0</v>
      </c>
      <c r="M2532" s="27" t="s">
        <v>50</v>
      </c>
      <c r="N2532" s="26" t="s">
        <v>7077</v>
      </c>
      <c r="O2532" s="28">
        <v>45601.42941376157</v>
      </c>
      <c r="P2532" s="26" t="s">
        <v>9981</v>
      </c>
      <c r="Q2532" s="11" t="s">
        <v>67</v>
      </c>
      <c r="R2532" s="11" t="s">
        <v>67</v>
      </c>
      <c r="S2532" s="11" t="s">
        <v>50</v>
      </c>
      <c r="T2532" s="29">
        <v>45567.65677393519</v>
      </c>
      <c r="U2532" s="29">
        <v>45567.68302232639</v>
      </c>
      <c r="V2532" s="29">
        <v>45580.684122962964</v>
      </c>
      <c r="W2532" s="30"/>
      <c r="X2532" s="30"/>
      <c r="Y2532" s="31"/>
      <c r="Z2532" s="31"/>
      <c r="AA2532" s="31" t="s">
        <v>120</v>
      </c>
      <c r="AB2532" s="31" t="s">
        <v>9982</v>
      </c>
      <c r="AC2532" s="31"/>
    </row>
    <row r="2533" ht="18.75" customHeight="1">
      <c r="A2533" s="18" t="s">
        <v>9983</v>
      </c>
      <c r="B2533" s="19" t="s">
        <v>9984</v>
      </c>
      <c r="C2533" s="20">
        <v>90.0</v>
      </c>
      <c r="D2533" s="21" t="s">
        <v>9985</v>
      </c>
      <c r="E2533" s="27" t="s">
        <v>91</v>
      </c>
      <c r="F2533" s="18" t="s">
        <v>48</v>
      </c>
      <c r="G2533" s="32" t="s">
        <v>35</v>
      </c>
      <c r="H2533" s="23" t="s">
        <v>35</v>
      </c>
      <c r="I2533" s="24" t="s">
        <v>36</v>
      </c>
      <c r="J2533" s="25" t="s">
        <v>49</v>
      </c>
      <c r="K2533" s="26" t="s">
        <v>38</v>
      </c>
      <c r="L2533" s="25">
        <v>2043.0</v>
      </c>
      <c r="M2533" s="22" t="s">
        <v>50</v>
      </c>
      <c r="N2533" s="35" t="s">
        <v>8199</v>
      </c>
      <c r="O2533" s="28">
        <v>45573.64878472222</v>
      </c>
      <c r="P2533" s="26" t="s">
        <v>9986</v>
      </c>
      <c r="Q2533" s="11" t="s">
        <v>67</v>
      </c>
      <c r="R2533" s="11" t="s">
        <v>67</v>
      </c>
      <c r="S2533" s="11" t="s">
        <v>50</v>
      </c>
      <c r="T2533" s="29">
        <v>45572.355250243054</v>
      </c>
      <c r="U2533" s="29">
        <v>45572.35589826389</v>
      </c>
      <c r="V2533" s="29">
        <v>45573.4174034375</v>
      </c>
      <c r="W2533" s="30"/>
      <c r="X2533" s="30"/>
      <c r="Y2533" s="31"/>
      <c r="Z2533" s="31"/>
      <c r="AA2533" s="31"/>
      <c r="AB2533" s="31" t="s">
        <v>9987</v>
      </c>
      <c r="AC2533" s="31"/>
    </row>
    <row r="2534" ht="18.75" customHeight="1">
      <c r="A2534" s="18" t="s">
        <v>9988</v>
      </c>
      <c r="B2534" s="19" t="s">
        <v>9984</v>
      </c>
      <c r="C2534" s="20">
        <v>90.0</v>
      </c>
      <c r="D2534" s="21" t="s">
        <v>9989</v>
      </c>
      <c r="E2534" s="27" t="s">
        <v>91</v>
      </c>
      <c r="F2534" s="18" t="s">
        <v>48</v>
      </c>
      <c r="G2534" s="32" t="s">
        <v>35</v>
      </c>
      <c r="H2534" s="23" t="s">
        <v>35</v>
      </c>
      <c r="I2534" s="24" t="s">
        <v>36</v>
      </c>
      <c r="J2534" s="25" t="s">
        <v>49</v>
      </c>
      <c r="K2534" s="26" t="s">
        <v>38</v>
      </c>
      <c r="L2534" s="25">
        <v>2043.0</v>
      </c>
      <c r="M2534" s="22" t="s">
        <v>50</v>
      </c>
      <c r="N2534" s="35" t="s">
        <v>8199</v>
      </c>
      <c r="O2534" s="28">
        <v>45573.64878472222</v>
      </c>
      <c r="P2534" s="26" t="s">
        <v>9986</v>
      </c>
      <c r="Q2534" s="11" t="s">
        <v>67</v>
      </c>
      <c r="R2534" s="11" t="s">
        <v>67</v>
      </c>
      <c r="S2534" s="11" t="s">
        <v>50</v>
      </c>
      <c r="T2534" s="29">
        <v>45572.35540616898</v>
      </c>
      <c r="U2534" s="29">
        <v>45572.355954259256</v>
      </c>
      <c r="V2534" s="29">
        <v>45573.41741140046</v>
      </c>
      <c r="W2534" s="30"/>
      <c r="X2534" s="30"/>
      <c r="Y2534" s="31"/>
      <c r="Z2534" s="31"/>
      <c r="AA2534" s="31"/>
      <c r="AB2534" s="31" t="s">
        <v>9990</v>
      </c>
      <c r="AC2534" s="31"/>
    </row>
    <row r="2535" ht="18.75" customHeight="1">
      <c r="A2535" s="18" t="s">
        <v>9991</v>
      </c>
      <c r="B2535" s="19" t="s">
        <v>9984</v>
      </c>
      <c r="C2535" s="20">
        <v>90.0</v>
      </c>
      <c r="D2535" s="21" t="s">
        <v>9992</v>
      </c>
      <c r="E2535" s="27" t="s">
        <v>91</v>
      </c>
      <c r="F2535" s="18" t="s">
        <v>48</v>
      </c>
      <c r="G2535" s="32" t="s">
        <v>35</v>
      </c>
      <c r="H2535" s="23" t="s">
        <v>35</v>
      </c>
      <c r="I2535" s="24" t="s">
        <v>36</v>
      </c>
      <c r="J2535" s="25" t="s">
        <v>49</v>
      </c>
      <c r="K2535" s="26" t="s">
        <v>38</v>
      </c>
      <c r="L2535" s="25">
        <v>2043.0</v>
      </c>
      <c r="M2535" s="22" t="s">
        <v>50</v>
      </c>
      <c r="N2535" s="35" t="s">
        <v>8199</v>
      </c>
      <c r="O2535" s="28">
        <v>45573.64878472222</v>
      </c>
      <c r="P2535" s="26" t="s">
        <v>9986</v>
      </c>
      <c r="Q2535" s="11" t="s">
        <v>67</v>
      </c>
      <c r="R2535" s="11" t="s">
        <v>67</v>
      </c>
      <c r="S2535" s="11" t="s">
        <v>50</v>
      </c>
      <c r="T2535" s="29">
        <v>45572.3554702199</v>
      </c>
      <c r="U2535" s="29">
        <v>45572.35596153935</v>
      </c>
      <c r="V2535" s="29">
        <v>45573.41742915509</v>
      </c>
      <c r="W2535" s="30"/>
      <c r="X2535" s="30"/>
      <c r="Y2535" s="31"/>
      <c r="Z2535" s="31"/>
      <c r="AA2535" s="31"/>
      <c r="AB2535" s="31" t="s">
        <v>9993</v>
      </c>
      <c r="AC2535" s="31"/>
    </row>
    <row r="2536" ht="18.75" customHeight="1">
      <c r="A2536" s="18" t="s">
        <v>9994</v>
      </c>
      <c r="B2536" s="19" t="s">
        <v>9984</v>
      </c>
      <c r="C2536" s="20">
        <v>1.0</v>
      </c>
      <c r="D2536" s="21" t="s">
        <v>9995</v>
      </c>
      <c r="E2536" s="27" t="s">
        <v>3395</v>
      </c>
      <c r="F2536" s="18" t="s">
        <v>48</v>
      </c>
      <c r="G2536" s="32" t="s">
        <v>35</v>
      </c>
      <c r="H2536" s="23" t="s">
        <v>35</v>
      </c>
      <c r="I2536" s="24" t="s">
        <v>36</v>
      </c>
      <c r="J2536" s="25" t="s">
        <v>49</v>
      </c>
      <c r="K2536" s="26" t="s">
        <v>38</v>
      </c>
      <c r="L2536" s="25">
        <v>2043.0</v>
      </c>
      <c r="M2536" s="22" t="s">
        <v>50</v>
      </c>
      <c r="N2536" s="35" t="s">
        <v>8199</v>
      </c>
      <c r="O2536" s="28">
        <v>45573.64878472222</v>
      </c>
      <c r="P2536" s="26" t="s">
        <v>9986</v>
      </c>
      <c r="Q2536" s="11" t="s">
        <v>67</v>
      </c>
      <c r="R2536" s="11" t="s">
        <v>67</v>
      </c>
      <c r="S2536" s="11" t="s">
        <v>50</v>
      </c>
      <c r="T2536" s="29">
        <v>45572.35572015046</v>
      </c>
      <c r="U2536" s="29">
        <v>45572.35596890046</v>
      </c>
      <c r="V2536" s="29">
        <v>45573.30678349537</v>
      </c>
      <c r="W2536" s="30"/>
      <c r="X2536" s="30"/>
      <c r="Y2536" s="31"/>
      <c r="Z2536" s="31"/>
      <c r="AA2536" s="31"/>
      <c r="AB2536" s="31" t="s">
        <v>9996</v>
      </c>
      <c r="AC2536" s="31"/>
    </row>
    <row r="2537" ht="18.75" customHeight="1">
      <c r="A2537" s="18" t="s">
        <v>9997</v>
      </c>
      <c r="B2537" s="19" t="s">
        <v>9998</v>
      </c>
      <c r="C2537" s="20">
        <v>0.0</v>
      </c>
      <c r="D2537" s="21" t="s">
        <v>7280</v>
      </c>
      <c r="E2537" s="27" t="s">
        <v>1693</v>
      </c>
      <c r="F2537" s="18" t="s">
        <v>48</v>
      </c>
      <c r="G2537" s="32" t="s">
        <v>35</v>
      </c>
      <c r="H2537" s="23" t="s">
        <v>35</v>
      </c>
      <c r="I2537" s="37" t="s">
        <v>36</v>
      </c>
      <c r="J2537" s="25" t="s">
        <v>9999</v>
      </c>
      <c r="K2537" s="26" t="s">
        <v>38</v>
      </c>
      <c r="L2537" s="25">
        <v>11955.0</v>
      </c>
      <c r="M2537" s="27" t="s">
        <v>50</v>
      </c>
      <c r="N2537" s="26" t="s">
        <v>10000</v>
      </c>
      <c r="O2537" s="28">
        <v>45607.66983320602</v>
      </c>
      <c r="P2537" s="26" t="s">
        <v>10001</v>
      </c>
      <c r="Q2537" s="11" t="s">
        <v>67</v>
      </c>
      <c r="R2537" s="11" t="s">
        <v>67</v>
      </c>
      <c r="S2537" s="11" t="s">
        <v>50</v>
      </c>
      <c r="T2537" s="29">
        <v>45604.60965280092</v>
      </c>
      <c r="U2537" s="29">
        <v>45604.610643576394</v>
      </c>
      <c r="V2537" s="29">
        <v>45607.45720200232</v>
      </c>
      <c r="W2537" s="38"/>
      <c r="X2537" s="30"/>
      <c r="Y2537" s="31"/>
      <c r="Z2537" s="31"/>
      <c r="AA2537" s="31" t="s">
        <v>120</v>
      </c>
      <c r="AB2537" s="31" t="s">
        <v>10002</v>
      </c>
      <c r="AC2537" s="31"/>
    </row>
    <row r="2538" ht="18.75" customHeight="1">
      <c r="A2538" s="18" t="s">
        <v>10003</v>
      </c>
      <c r="B2538" s="19" t="s">
        <v>9998</v>
      </c>
      <c r="C2538" s="20">
        <v>0.0</v>
      </c>
      <c r="D2538" s="21" t="s">
        <v>10004</v>
      </c>
      <c r="E2538" s="27" t="s">
        <v>1693</v>
      </c>
      <c r="F2538" s="18" t="s">
        <v>48</v>
      </c>
      <c r="G2538" s="32" t="s">
        <v>35</v>
      </c>
      <c r="H2538" s="23" t="s">
        <v>35</v>
      </c>
      <c r="I2538" s="37" t="s">
        <v>36</v>
      </c>
      <c r="J2538" s="25" t="s">
        <v>9999</v>
      </c>
      <c r="K2538" s="26" t="s">
        <v>38</v>
      </c>
      <c r="L2538" s="25">
        <v>11955.0</v>
      </c>
      <c r="M2538" s="27" t="s">
        <v>50</v>
      </c>
      <c r="N2538" s="26" t="s">
        <v>10000</v>
      </c>
      <c r="O2538" s="28">
        <v>45607.669917465275</v>
      </c>
      <c r="P2538" s="26" t="s">
        <v>10001</v>
      </c>
      <c r="Q2538" s="11" t="s">
        <v>67</v>
      </c>
      <c r="R2538" s="11" t="s">
        <v>67</v>
      </c>
      <c r="S2538" s="11" t="s">
        <v>50</v>
      </c>
      <c r="T2538" s="29">
        <v>45604.609684062496</v>
      </c>
      <c r="U2538" s="29">
        <v>45604.610678391204</v>
      </c>
      <c r="V2538" s="29">
        <v>45607.45720996527</v>
      </c>
      <c r="W2538" s="38"/>
      <c r="X2538" s="30"/>
      <c r="Y2538" s="31"/>
      <c r="Z2538" s="31"/>
      <c r="AA2538" s="31" t="s">
        <v>120</v>
      </c>
      <c r="AB2538" s="31" t="s">
        <v>10005</v>
      </c>
      <c r="AC2538" s="31"/>
    </row>
    <row r="2539" ht="18.75" customHeight="1">
      <c r="A2539" s="142" t="s">
        <v>10006</v>
      </c>
      <c r="B2539" s="19" t="s">
        <v>63</v>
      </c>
      <c r="C2539" s="20">
        <v>90.0</v>
      </c>
      <c r="D2539" s="21" t="s">
        <v>10007</v>
      </c>
      <c r="E2539" s="27" t="s">
        <v>91</v>
      </c>
      <c r="F2539" s="18" t="s">
        <v>48</v>
      </c>
      <c r="G2539" s="32" t="s">
        <v>35</v>
      </c>
      <c r="H2539" s="23" t="s">
        <v>35</v>
      </c>
      <c r="I2539" s="37" t="s">
        <v>36</v>
      </c>
      <c r="J2539" s="25" t="s">
        <v>49</v>
      </c>
      <c r="K2539" s="26" t="s">
        <v>38</v>
      </c>
      <c r="L2539" s="25">
        <v>11797.0</v>
      </c>
      <c r="M2539" s="27" t="s">
        <v>50</v>
      </c>
      <c r="N2539" s="26" t="s">
        <v>99</v>
      </c>
      <c r="O2539" s="28">
        <v>45590.68841765047</v>
      </c>
      <c r="P2539" s="26" t="s">
        <v>10008</v>
      </c>
      <c r="Q2539" s="11" t="s">
        <v>67</v>
      </c>
      <c r="R2539" s="11" t="s">
        <v>67</v>
      </c>
      <c r="S2539" s="11" t="s">
        <v>73</v>
      </c>
      <c r="T2539" s="29">
        <v>45583.49163844908</v>
      </c>
      <c r="U2539" s="29">
        <v>45583.49202765046</v>
      </c>
      <c r="V2539" s="29">
        <v>45589.7864393287</v>
      </c>
      <c r="W2539" s="30"/>
      <c r="X2539" s="30"/>
      <c r="Y2539" s="31"/>
      <c r="Z2539" s="31"/>
      <c r="AA2539" s="31" t="s">
        <v>94</v>
      </c>
      <c r="AB2539" s="31" t="s">
        <v>10009</v>
      </c>
      <c r="AC2539" s="31"/>
    </row>
    <row r="2540" ht="18.75" customHeight="1">
      <c r="A2540" s="18" t="s">
        <v>10010</v>
      </c>
      <c r="B2540" s="19" t="s">
        <v>1299</v>
      </c>
      <c r="C2540" s="20">
        <v>34.0</v>
      </c>
      <c r="D2540" s="21" t="s">
        <v>10011</v>
      </c>
      <c r="E2540" s="27" t="s">
        <v>47</v>
      </c>
      <c r="F2540" s="18" t="s">
        <v>48</v>
      </c>
      <c r="G2540" s="32" t="s">
        <v>35</v>
      </c>
      <c r="H2540" s="23" t="s">
        <v>35</v>
      </c>
      <c r="I2540" s="37" t="s">
        <v>36</v>
      </c>
      <c r="J2540" s="25" t="s">
        <v>92</v>
      </c>
      <c r="K2540" s="26" t="s">
        <v>38</v>
      </c>
      <c r="L2540" s="25">
        <v>11683.0</v>
      </c>
      <c r="M2540" s="27" t="s">
        <v>50</v>
      </c>
      <c r="N2540" s="26" t="s">
        <v>4767</v>
      </c>
      <c r="O2540" s="28">
        <v>45576.361722037036</v>
      </c>
      <c r="P2540" s="26" t="s">
        <v>10012</v>
      </c>
      <c r="Q2540" s="11" t="s">
        <v>67</v>
      </c>
      <c r="R2540" s="11" t="s">
        <v>67</v>
      </c>
      <c r="S2540" s="11" t="s">
        <v>9620</v>
      </c>
      <c r="T2540" s="29">
        <v>45572.368961747685</v>
      </c>
      <c r="U2540" s="29">
        <v>45572.39149579861</v>
      </c>
      <c r="V2540" s="29">
        <v>45574.41366909722</v>
      </c>
      <c r="W2540" s="30"/>
      <c r="X2540" s="30"/>
      <c r="Y2540" s="31"/>
      <c r="Z2540" s="31"/>
      <c r="AA2540" s="31" t="s">
        <v>120</v>
      </c>
      <c r="AB2540" s="31" t="s">
        <v>10013</v>
      </c>
      <c r="AC2540" s="31"/>
    </row>
    <row r="2541" ht="18.75" customHeight="1">
      <c r="A2541" s="18" t="s">
        <v>10014</v>
      </c>
      <c r="B2541" s="19" t="s">
        <v>1299</v>
      </c>
      <c r="C2541" s="20">
        <v>34.0</v>
      </c>
      <c r="D2541" s="21" t="s">
        <v>10015</v>
      </c>
      <c r="E2541" s="27" t="s">
        <v>47</v>
      </c>
      <c r="F2541" s="18" t="s">
        <v>48</v>
      </c>
      <c r="G2541" s="32" t="s">
        <v>35</v>
      </c>
      <c r="H2541" s="23" t="s">
        <v>35</v>
      </c>
      <c r="I2541" s="37" t="s">
        <v>36</v>
      </c>
      <c r="J2541" s="25" t="s">
        <v>92</v>
      </c>
      <c r="K2541" s="26" t="s">
        <v>38</v>
      </c>
      <c r="L2541" s="25">
        <v>11683.0</v>
      </c>
      <c r="M2541" s="27" t="s">
        <v>50</v>
      </c>
      <c r="N2541" s="26" t="s">
        <v>4767</v>
      </c>
      <c r="O2541" s="28">
        <v>45576.36111111111</v>
      </c>
      <c r="P2541" s="26" t="s">
        <v>10012</v>
      </c>
      <c r="Q2541" s="11" t="s">
        <v>67</v>
      </c>
      <c r="R2541" s="11" t="s">
        <v>67</v>
      </c>
      <c r="S2541" s="11" t="s">
        <v>9620</v>
      </c>
      <c r="T2541" s="29">
        <v>45572.36913730324</v>
      </c>
      <c r="U2541" s="29">
        <v>45572.391430497686</v>
      </c>
      <c r="V2541" s="29">
        <v>45574.40823140046</v>
      </c>
      <c r="W2541" s="30"/>
      <c r="X2541" s="30"/>
      <c r="Y2541" s="31"/>
      <c r="Z2541" s="31"/>
      <c r="AA2541" s="31" t="s">
        <v>120</v>
      </c>
      <c r="AB2541" s="31" t="s">
        <v>10016</v>
      </c>
      <c r="AC2541" s="31"/>
    </row>
    <row r="2542" ht="18.75" customHeight="1">
      <c r="A2542" s="18" t="s">
        <v>10017</v>
      </c>
      <c r="B2542" s="19" t="s">
        <v>1299</v>
      </c>
      <c r="C2542" s="20">
        <v>34.0</v>
      </c>
      <c r="D2542" s="21" t="s">
        <v>10018</v>
      </c>
      <c r="E2542" s="27" t="s">
        <v>47</v>
      </c>
      <c r="F2542" s="18" t="s">
        <v>48</v>
      </c>
      <c r="G2542" s="32" t="s">
        <v>35</v>
      </c>
      <c r="H2542" s="23" t="s">
        <v>35</v>
      </c>
      <c r="I2542" s="37" t="s">
        <v>36</v>
      </c>
      <c r="J2542" s="25" t="s">
        <v>92</v>
      </c>
      <c r="K2542" s="26" t="s">
        <v>38</v>
      </c>
      <c r="L2542" s="25">
        <v>11683.0</v>
      </c>
      <c r="M2542" s="27" t="s">
        <v>50</v>
      </c>
      <c r="N2542" s="26" t="s">
        <v>4767</v>
      </c>
      <c r="O2542" s="28">
        <v>45576.36147013889</v>
      </c>
      <c r="P2542" s="26" t="s">
        <v>10012</v>
      </c>
      <c r="Q2542" s="11" t="s">
        <v>67</v>
      </c>
      <c r="R2542" s="11" t="s">
        <v>67</v>
      </c>
      <c r="S2542" s="11" t="s">
        <v>9620</v>
      </c>
      <c r="T2542" s="29">
        <v>45572.369201203706</v>
      </c>
      <c r="U2542" s="29">
        <v>45572.39149217593</v>
      </c>
      <c r="V2542" s="29">
        <v>45574.40860809028</v>
      </c>
      <c r="W2542" s="30"/>
      <c r="X2542" s="30"/>
      <c r="Y2542" s="31"/>
      <c r="Z2542" s="31"/>
      <c r="AA2542" s="31" t="s">
        <v>120</v>
      </c>
      <c r="AB2542" s="31" t="s">
        <v>10019</v>
      </c>
      <c r="AC2542" s="31"/>
    </row>
    <row r="2543" ht="18.75" customHeight="1">
      <c r="A2543" s="18" t="s">
        <v>10020</v>
      </c>
      <c r="B2543" s="19" t="s">
        <v>1299</v>
      </c>
      <c r="C2543" s="20">
        <v>11.0</v>
      </c>
      <c r="D2543" s="21" t="s">
        <v>10021</v>
      </c>
      <c r="E2543" s="27" t="s">
        <v>112</v>
      </c>
      <c r="F2543" s="18" t="s">
        <v>48</v>
      </c>
      <c r="G2543" s="32" t="s">
        <v>35</v>
      </c>
      <c r="H2543" s="23" t="s">
        <v>35</v>
      </c>
      <c r="I2543" s="37" t="s">
        <v>36</v>
      </c>
      <c r="J2543" s="25" t="s">
        <v>92</v>
      </c>
      <c r="K2543" s="26" t="s">
        <v>38</v>
      </c>
      <c r="L2543" s="25">
        <v>11683.0</v>
      </c>
      <c r="M2543" s="27" t="s">
        <v>50</v>
      </c>
      <c r="N2543" s="26" t="s">
        <v>4767</v>
      </c>
      <c r="O2543" s="28">
        <v>45576.36161799768</v>
      </c>
      <c r="P2543" s="26" t="s">
        <v>10012</v>
      </c>
      <c r="Q2543" s="11" t="s">
        <v>67</v>
      </c>
      <c r="R2543" s="11" t="s">
        <v>67</v>
      </c>
      <c r="S2543" s="11" t="s">
        <v>50</v>
      </c>
      <c r="T2543" s="29">
        <v>45572.36946960648</v>
      </c>
      <c r="U2543" s="29">
        <v>45572.39149998843</v>
      </c>
      <c r="V2543" s="29">
        <v>45574.37936329861</v>
      </c>
      <c r="W2543" s="30"/>
      <c r="X2543" s="30"/>
      <c r="Y2543" s="31"/>
      <c r="Z2543" s="31"/>
      <c r="AA2543" s="31" t="s">
        <v>120</v>
      </c>
      <c r="AB2543" s="31" t="s">
        <v>10022</v>
      </c>
      <c r="AC2543" s="31"/>
    </row>
    <row r="2544" ht="18.75" customHeight="1">
      <c r="A2544" s="18" t="s">
        <v>10023</v>
      </c>
      <c r="B2544" s="19" t="s">
        <v>1299</v>
      </c>
      <c r="C2544" s="20">
        <v>0.0</v>
      </c>
      <c r="D2544" s="21" t="s">
        <v>10024</v>
      </c>
      <c r="E2544" s="27" t="s">
        <v>3441</v>
      </c>
      <c r="F2544" s="18" t="s">
        <v>48</v>
      </c>
      <c r="G2544" s="32" t="s">
        <v>35</v>
      </c>
      <c r="H2544" s="23" t="s">
        <v>35</v>
      </c>
      <c r="I2544" s="37" t="s">
        <v>36</v>
      </c>
      <c r="J2544" s="25" t="s">
        <v>92</v>
      </c>
      <c r="K2544" s="26" t="s">
        <v>38</v>
      </c>
      <c r="L2544" s="25">
        <v>11683.0</v>
      </c>
      <c r="M2544" s="27" t="s">
        <v>50</v>
      </c>
      <c r="N2544" s="26" t="s">
        <v>4767</v>
      </c>
      <c r="O2544" s="28">
        <v>45576.36154395834</v>
      </c>
      <c r="P2544" s="26" t="s">
        <v>10012</v>
      </c>
      <c r="Q2544" s="11" t="s">
        <v>67</v>
      </c>
      <c r="R2544" s="11" t="s">
        <v>67</v>
      </c>
      <c r="S2544" s="11" t="s">
        <v>50</v>
      </c>
      <c r="T2544" s="29">
        <v>45572.36965357639</v>
      </c>
      <c r="U2544" s="29">
        <v>45572.39150596065</v>
      </c>
      <c r="V2544" s="29">
        <v>45576.351575671295</v>
      </c>
      <c r="W2544" s="30"/>
      <c r="X2544" s="30"/>
      <c r="Y2544" s="31"/>
      <c r="Z2544" s="31"/>
      <c r="AA2544" s="31" t="s">
        <v>120</v>
      </c>
      <c r="AB2544" s="31" t="s">
        <v>10025</v>
      </c>
      <c r="AC2544" s="31"/>
    </row>
    <row r="2545" ht="18.75" customHeight="1">
      <c r="A2545" s="18" t="s">
        <v>10026</v>
      </c>
      <c r="B2545" s="19" t="s">
        <v>5356</v>
      </c>
      <c r="C2545" s="20">
        <v>0.0</v>
      </c>
      <c r="D2545" s="21" t="s">
        <v>10027</v>
      </c>
      <c r="E2545" s="27" t="s">
        <v>461</v>
      </c>
      <c r="F2545" s="18" t="s">
        <v>244</v>
      </c>
      <c r="G2545" s="32" t="s">
        <v>35</v>
      </c>
      <c r="H2545" s="23" t="s">
        <v>35</v>
      </c>
      <c r="I2545" s="37" t="s">
        <v>36</v>
      </c>
      <c r="J2545" s="25" t="s">
        <v>49</v>
      </c>
      <c r="K2545" s="26" t="s">
        <v>38</v>
      </c>
      <c r="L2545" s="25">
        <v>11688.0</v>
      </c>
      <c r="M2545" s="27" t="s">
        <v>50</v>
      </c>
      <c r="N2545" s="26" t="s">
        <v>99</v>
      </c>
      <c r="O2545" s="28">
        <v>45575.58333451389</v>
      </c>
      <c r="P2545" s="26" t="s">
        <v>10028</v>
      </c>
      <c r="Q2545" s="11" t="s">
        <v>67</v>
      </c>
      <c r="R2545" s="11" t="s">
        <v>67</v>
      </c>
      <c r="S2545" s="11" t="s">
        <v>101</v>
      </c>
      <c r="T2545" s="29">
        <v>45572.37288207176</v>
      </c>
      <c r="U2545" s="29">
        <v>45572.39116922454</v>
      </c>
      <c r="V2545" s="29">
        <v>45573.366151863425</v>
      </c>
      <c r="W2545" s="30"/>
      <c r="X2545" s="30"/>
      <c r="Y2545" s="31"/>
      <c r="Z2545" s="31"/>
      <c r="AA2545" s="31" t="s">
        <v>102</v>
      </c>
      <c r="AB2545" s="31" t="s">
        <v>10029</v>
      </c>
      <c r="AC2545" s="31"/>
    </row>
    <row r="2546" ht="18.75" customHeight="1">
      <c r="A2546" s="18" t="s">
        <v>10030</v>
      </c>
      <c r="B2546" s="19" t="s">
        <v>5356</v>
      </c>
      <c r="C2546" s="20">
        <v>0.0</v>
      </c>
      <c r="D2546" s="21" t="s">
        <v>10031</v>
      </c>
      <c r="E2546" s="27" t="s">
        <v>461</v>
      </c>
      <c r="F2546" s="18" t="s">
        <v>244</v>
      </c>
      <c r="G2546" s="32" t="s">
        <v>35</v>
      </c>
      <c r="H2546" s="23" t="s">
        <v>35</v>
      </c>
      <c r="I2546" s="37" t="s">
        <v>36</v>
      </c>
      <c r="J2546" s="25" t="s">
        <v>49</v>
      </c>
      <c r="K2546" s="26" t="s">
        <v>38</v>
      </c>
      <c r="L2546" s="25">
        <v>11688.0</v>
      </c>
      <c r="M2546" s="27" t="s">
        <v>50</v>
      </c>
      <c r="N2546" s="26" t="s">
        <v>99</v>
      </c>
      <c r="O2546" s="28">
        <v>45575.583250254625</v>
      </c>
      <c r="P2546" s="26" t="s">
        <v>10028</v>
      </c>
      <c r="Q2546" s="11" t="s">
        <v>67</v>
      </c>
      <c r="R2546" s="11" t="s">
        <v>67</v>
      </c>
      <c r="S2546" s="11" t="s">
        <v>101</v>
      </c>
      <c r="T2546" s="29">
        <v>45572.372993576384</v>
      </c>
      <c r="U2546" s="29">
        <v>45572.39108349537</v>
      </c>
      <c r="V2546" s="29">
        <v>45573.3520496875</v>
      </c>
      <c r="W2546" s="30"/>
      <c r="X2546" s="30"/>
      <c r="Y2546" s="31"/>
      <c r="Z2546" s="31"/>
      <c r="AA2546" s="31" t="s">
        <v>102</v>
      </c>
      <c r="AB2546" s="31" t="s">
        <v>10032</v>
      </c>
      <c r="AC2546" s="31"/>
    </row>
    <row r="2547" ht="18.75" customHeight="1">
      <c r="A2547" s="142" t="s">
        <v>10033</v>
      </c>
      <c r="B2547" s="19" t="s">
        <v>7780</v>
      </c>
      <c r="C2547" s="20">
        <v>0.0</v>
      </c>
      <c r="D2547" s="21" t="s">
        <v>10034</v>
      </c>
      <c r="E2547" s="27" t="s">
        <v>243</v>
      </c>
      <c r="F2547" s="18" t="s">
        <v>244</v>
      </c>
      <c r="G2547" s="32" t="s">
        <v>35</v>
      </c>
      <c r="H2547" s="23" t="s">
        <v>35</v>
      </c>
      <c r="I2547" s="37" t="s">
        <v>36</v>
      </c>
      <c r="J2547" s="34" t="s">
        <v>65</v>
      </c>
      <c r="K2547" s="26" t="s">
        <v>38</v>
      </c>
      <c r="L2547" s="25">
        <v>11742.0</v>
      </c>
      <c r="M2547" s="27" t="s">
        <v>50</v>
      </c>
      <c r="N2547" s="26" t="s">
        <v>5279</v>
      </c>
      <c r="O2547" s="28">
        <v>45582.64592082176</v>
      </c>
      <c r="P2547" s="26" t="s">
        <v>10035</v>
      </c>
      <c r="Q2547" s="11" t="s">
        <v>67</v>
      </c>
      <c r="R2547" s="11" t="s">
        <v>67</v>
      </c>
      <c r="S2547" s="11" t="s">
        <v>101</v>
      </c>
      <c r="T2547" s="29">
        <v>45572.37709356481</v>
      </c>
      <c r="U2547" s="29">
        <v>45573.66943447916</v>
      </c>
      <c r="V2547" s="29">
        <v>45581.43315333333</v>
      </c>
      <c r="W2547" s="30"/>
      <c r="X2547" s="30"/>
      <c r="Y2547" s="31"/>
      <c r="Z2547" s="31"/>
      <c r="AA2547" s="31" t="s">
        <v>94</v>
      </c>
      <c r="AB2547" s="31" t="s">
        <v>10036</v>
      </c>
      <c r="AC2547" s="31"/>
    </row>
    <row r="2548" ht="18.75" customHeight="1">
      <c r="A2548" s="142" t="s">
        <v>10037</v>
      </c>
      <c r="B2548" s="19" t="s">
        <v>10038</v>
      </c>
      <c r="C2548" s="20">
        <v>27.0</v>
      </c>
      <c r="D2548" s="39" t="s">
        <v>10039</v>
      </c>
      <c r="E2548" s="27" t="s">
        <v>72</v>
      </c>
      <c r="F2548" s="18" t="s">
        <v>48</v>
      </c>
      <c r="G2548" s="32" t="s">
        <v>35</v>
      </c>
      <c r="H2548" s="23" t="s">
        <v>35</v>
      </c>
      <c r="I2548" s="37" t="s">
        <v>36</v>
      </c>
      <c r="J2548" s="34" t="s">
        <v>65</v>
      </c>
      <c r="K2548" s="26" t="s">
        <v>38</v>
      </c>
      <c r="L2548" s="25">
        <v>11690.0</v>
      </c>
      <c r="M2548" s="27" t="s">
        <v>50</v>
      </c>
      <c r="N2548" s="26" t="s">
        <v>5279</v>
      </c>
      <c r="O2548" s="28">
        <v>45575.66515325231</v>
      </c>
      <c r="P2548" s="26" t="s">
        <v>10040</v>
      </c>
      <c r="Q2548" s="11" t="s">
        <v>67</v>
      </c>
      <c r="R2548" s="11" t="s">
        <v>67</v>
      </c>
      <c r="S2548" s="11" t="s">
        <v>50</v>
      </c>
      <c r="T2548" s="29">
        <v>45572.383313715276</v>
      </c>
      <c r="U2548" s="29">
        <v>45573.63398667824</v>
      </c>
      <c r="V2548" s="29">
        <v>45575.45321423611</v>
      </c>
      <c r="W2548" s="30"/>
      <c r="X2548" s="30"/>
      <c r="Y2548" s="31"/>
      <c r="Z2548" s="31"/>
      <c r="AA2548" s="31" t="s">
        <v>120</v>
      </c>
      <c r="AB2548" s="31" t="s">
        <v>10041</v>
      </c>
      <c r="AC2548" s="31"/>
    </row>
    <row r="2549" ht="18.75" customHeight="1">
      <c r="A2549" s="142" t="s">
        <v>10042</v>
      </c>
      <c r="B2549" s="19" t="s">
        <v>10043</v>
      </c>
      <c r="C2549" s="20">
        <v>0.0</v>
      </c>
      <c r="D2549" s="21" t="s">
        <v>7283</v>
      </c>
      <c r="E2549" s="27" t="s">
        <v>1693</v>
      </c>
      <c r="F2549" s="18" t="s">
        <v>48</v>
      </c>
      <c r="G2549" s="32" t="s">
        <v>35</v>
      </c>
      <c r="H2549" s="23" t="s">
        <v>35</v>
      </c>
      <c r="I2549" s="37" t="s">
        <v>36</v>
      </c>
      <c r="J2549" s="25" t="s">
        <v>92</v>
      </c>
      <c r="K2549" s="26" t="s">
        <v>38</v>
      </c>
      <c r="L2549" s="25">
        <v>1.0</v>
      </c>
      <c r="M2549" s="27" t="s">
        <v>50</v>
      </c>
      <c r="N2549" s="26" t="s">
        <v>7291</v>
      </c>
      <c r="O2549" s="28">
        <v>45576.566732638894</v>
      </c>
      <c r="P2549" s="26" t="s">
        <v>10044</v>
      </c>
      <c r="Q2549" s="11" t="s">
        <v>67</v>
      </c>
      <c r="R2549" s="11" t="s">
        <v>67</v>
      </c>
      <c r="S2549" s="11" t="s">
        <v>50</v>
      </c>
      <c r="T2549" s="29">
        <v>45576.35316537037</v>
      </c>
      <c r="U2549" s="29">
        <v>45576.35325335649</v>
      </c>
      <c r="V2549" s="29">
        <v>45576.38617690973</v>
      </c>
      <c r="W2549" s="30"/>
      <c r="X2549" s="30"/>
      <c r="Y2549" s="31"/>
      <c r="Z2549" s="31"/>
      <c r="AA2549" s="31"/>
      <c r="AB2549" s="31" t="s">
        <v>10045</v>
      </c>
      <c r="AC2549" s="31"/>
    </row>
    <row r="2550" ht="18.75" customHeight="1">
      <c r="A2550" s="142" t="s">
        <v>10046</v>
      </c>
      <c r="B2550" s="19" t="s">
        <v>4035</v>
      </c>
      <c r="C2550" s="20">
        <v>1.0</v>
      </c>
      <c r="D2550" s="21" t="s">
        <v>10047</v>
      </c>
      <c r="E2550" s="27" t="s">
        <v>3395</v>
      </c>
      <c r="F2550" s="18" t="s">
        <v>48</v>
      </c>
      <c r="G2550" s="32" t="s">
        <v>35</v>
      </c>
      <c r="H2550" s="23" t="s">
        <v>35</v>
      </c>
      <c r="I2550" s="37" t="s">
        <v>36</v>
      </c>
      <c r="J2550" s="34" t="s">
        <v>65</v>
      </c>
      <c r="K2550" s="26" t="s">
        <v>38</v>
      </c>
      <c r="L2550" s="25">
        <v>11643.0</v>
      </c>
      <c r="M2550" s="27" t="s">
        <v>50</v>
      </c>
      <c r="N2550" s="26" t="s">
        <v>8104</v>
      </c>
      <c r="O2550" s="28">
        <v>45573.66249371528</v>
      </c>
      <c r="P2550" s="26" t="s">
        <v>10048</v>
      </c>
      <c r="Q2550" s="11" t="s">
        <v>67</v>
      </c>
      <c r="R2550" s="11" t="s">
        <v>67</v>
      </c>
      <c r="S2550" s="11" t="s">
        <v>50</v>
      </c>
      <c r="T2550" s="29">
        <v>45572.43313509259</v>
      </c>
      <c r="U2550" s="29">
        <v>45572.47013435185</v>
      </c>
      <c r="V2550" s="29">
        <v>45573.50174116898</v>
      </c>
      <c r="W2550" s="30"/>
      <c r="X2550" s="30"/>
      <c r="Y2550" s="31"/>
      <c r="Z2550" s="31"/>
      <c r="AA2550" s="31" t="s">
        <v>94</v>
      </c>
      <c r="AB2550" s="31" t="s">
        <v>10049</v>
      </c>
      <c r="AC2550" s="31"/>
    </row>
    <row r="2551" ht="18.75" customHeight="1">
      <c r="A2551" s="142" t="s">
        <v>10050</v>
      </c>
      <c r="B2551" s="19" t="s">
        <v>4035</v>
      </c>
      <c r="C2551" s="20">
        <v>11.0</v>
      </c>
      <c r="D2551" s="21" t="s">
        <v>10051</v>
      </c>
      <c r="E2551" s="27" t="s">
        <v>112</v>
      </c>
      <c r="F2551" s="18" t="s">
        <v>48</v>
      </c>
      <c r="G2551" s="32" t="s">
        <v>35</v>
      </c>
      <c r="H2551" s="23" t="s">
        <v>35</v>
      </c>
      <c r="I2551" s="37" t="s">
        <v>36</v>
      </c>
      <c r="J2551" s="34" t="s">
        <v>65</v>
      </c>
      <c r="K2551" s="26" t="s">
        <v>38</v>
      </c>
      <c r="L2551" s="25">
        <v>11600.0</v>
      </c>
      <c r="M2551" s="27" t="s">
        <v>50</v>
      </c>
      <c r="N2551" s="26" t="s">
        <v>51</v>
      </c>
      <c r="O2551" s="28">
        <v>45572.4820971875</v>
      </c>
      <c r="P2551" s="26" t="s">
        <v>10052</v>
      </c>
      <c r="Q2551" s="11" t="s">
        <v>67</v>
      </c>
      <c r="R2551" s="11" t="s">
        <v>67</v>
      </c>
      <c r="S2551" s="11"/>
      <c r="T2551" s="29">
        <v>45572.4820971875</v>
      </c>
      <c r="U2551" s="29">
        <v>45572.4820971875</v>
      </c>
      <c r="V2551" s="29">
        <v>45572.4820971875</v>
      </c>
      <c r="W2551" s="30"/>
      <c r="X2551" s="30"/>
      <c r="Y2551" s="31"/>
      <c r="Z2551" s="31"/>
      <c r="AA2551" s="31" t="s">
        <v>94</v>
      </c>
      <c r="AB2551" s="31" t="s">
        <v>10053</v>
      </c>
      <c r="AC2551" s="31"/>
    </row>
    <row r="2552" ht="18.75" customHeight="1">
      <c r="A2552" s="142" t="s">
        <v>10054</v>
      </c>
      <c r="B2552" s="19" t="s">
        <v>10055</v>
      </c>
      <c r="C2552" s="20">
        <v>137.0</v>
      </c>
      <c r="D2552" s="21" t="s">
        <v>10056</v>
      </c>
      <c r="E2552" s="27" t="s">
        <v>85</v>
      </c>
      <c r="F2552" s="18" t="s">
        <v>48</v>
      </c>
      <c r="G2552" s="32" t="s">
        <v>35</v>
      </c>
      <c r="H2552" s="23" t="s">
        <v>35</v>
      </c>
      <c r="I2552" s="37" t="s">
        <v>36</v>
      </c>
      <c r="J2552" s="34" t="s">
        <v>65</v>
      </c>
      <c r="K2552" s="26" t="s">
        <v>38</v>
      </c>
      <c r="L2552" s="34">
        <v>11604.0</v>
      </c>
      <c r="M2552" s="27" t="s">
        <v>50</v>
      </c>
      <c r="N2552" s="26" t="s">
        <v>8469</v>
      </c>
      <c r="O2552" s="28">
        <v>45574.66150446759</v>
      </c>
      <c r="P2552" s="26" t="s">
        <v>10057</v>
      </c>
      <c r="Q2552" s="11" t="s">
        <v>67</v>
      </c>
      <c r="R2552" s="11" t="s">
        <v>67</v>
      </c>
      <c r="S2552" s="11" t="s">
        <v>50</v>
      </c>
      <c r="T2552" s="29">
        <v>45572.48898513889</v>
      </c>
      <c r="U2552" s="29">
        <v>45573.35933349537</v>
      </c>
      <c r="V2552" s="29">
        <v>45574.60782172454</v>
      </c>
      <c r="W2552" s="30"/>
      <c r="X2552" s="30"/>
      <c r="Y2552" s="31"/>
      <c r="Z2552" s="31"/>
      <c r="AA2552" s="31" t="s">
        <v>94</v>
      </c>
      <c r="AB2552" s="31" t="s">
        <v>10058</v>
      </c>
      <c r="AC2552" s="31"/>
    </row>
    <row r="2553" ht="18.75" customHeight="1">
      <c r="A2553" s="142" t="s">
        <v>10059</v>
      </c>
      <c r="B2553" s="19" t="s">
        <v>7307</v>
      </c>
      <c r="C2553" s="20">
        <v>90.0</v>
      </c>
      <c r="D2553" s="21" t="s">
        <v>10060</v>
      </c>
      <c r="E2553" s="27" t="s">
        <v>91</v>
      </c>
      <c r="F2553" s="18" t="s">
        <v>48</v>
      </c>
      <c r="G2553" s="32" t="s">
        <v>35</v>
      </c>
      <c r="H2553" s="23" t="s">
        <v>35</v>
      </c>
      <c r="I2553" s="37" t="s">
        <v>36</v>
      </c>
      <c r="J2553" s="34" t="s">
        <v>65</v>
      </c>
      <c r="K2553" s="26" t="s">
        <v>38</v>
      </c>
      <c r="L2553" s="25">
        <v>11798.0</v>
      </c>
      <c r="M2553" s="27" t="s">
        <v>50</v>
      </c>
      <c r="N2553" s="26" t="s">
        <v>9743</v>
      </c>
      <c r="O2553" s="28">
        <v>45590.66370788195</v>
      </c>
      <c r="P2553" s="26" t="s">
        <v>10061</v>
      </c>
      <c r="Q2553" s="11" t="s">
        <v>67</v>
      </c>
      <c r="R2553" s="11" t="s">
        <v>67</v>
      </c>
      <c r="S2553" s="11" t="s">
        <v>73</v>
      </c>
      <c r="T2553" s="29">
        <v>45572.490260439816</v>
      </c>
      <c r="U2553" s="29">
        <v>45572.7243009838</v>
      </c>
      <c r="V2553" s="29">
        <v>45589.78605502315</v>
      </c>
      <c r="W2553" s="30"/>
      <c r="X2553" s="30"/>
      <c r="Y2553" s="31"/>
      <c r="Z2553" s="31"/>
      <c r="AA2553" s="31" t="s">
        <v>94</v>
      </c>
      <c r="AB2553" s="31" t="s">
        <v>10062</v>
      </c>
      <c r="AC2553" s="31"/>
    </row>
    <row r="2554" ht="18.75" customHeight="1">
      <c r="A2554" s="142" t="s">
        <v>10063</v>
      </c>
      <c r="B2554" s="19" t="s">
        <v>5507</v>
      </c>
      <c r="C2554" s="20">
        <v>11.0</v>
      </c>
      <c r="D2554" s="21" t="s">
        <v>10064</v>
      </c>
      <c r="E2554" s="27" t="s">
        <v>112</v>
      </c>
      <c r="F2554" s="18" t="s">
        <v>48</v>
      </c>
      <c r="G2554" s="32" t="s">
        <v>35</v>
      </c>
      <c r="H2554" s="23" t="s">
        <v>35</v>
      </c>
      <c r="I2554" s="24" t="s">
        <v>36</v>
      </c>
      <c r="J2554" s="25" t="s">
        <v>49</v>
      </c>
      <c r="K2554" s="26" t="s">
        <v>38</v>
      </c>
      <c r="L2554" s="25">
        <v>11630.0</v>
      </c>
      <c r="M2554" s="22" t="s">
        <v>50</v>
      </c>
      <c r="N2554" s="35" t="s">
        <v>8199</v>
      </c>
      <c r="O2554" s="28">
        <v>45573.64878472222</v>
      </c>
      <c r="P2554" s="26" t="s">
        <v>10065</v>
      </c>
      <c r="Q2554" s="11" t="s">
        <v>67</v>
      </c>
      <c r="R2554" s="11" t="s">
        <v>67</v>
      </c>
      <c r="S2554" s="11" t="s">
        <v>50</v>
      </c>
      <c r="T2554" s="29">
        <v>45572.4920746875</v>
      </c>
      <c r="U2554" s="29">
        <v>45572.644555439816</v>
      </c>
      <c r="V2554" s="29">
        <v>45573.46452296297</v>
      </c>
      <c r="W2554" s="30"/>
      <c r="X2554" s="30"/>
      <c r="Y2554" s="31"/>
      <c r="Z2554" s="31"/>
      <c r="AA2554" s="31" t="s">
        <v>127</v>
      </c>
      <c r="AB2554" s="31" t="s">
        <v>10066</v>
      </c>
      <c r="AC2554" s="31"/>
    </row>
    <row r="2555" ht="18.75" customHeight="1">
      <c r="A2555" s="142" t="s">
        <v>10067</v>
      </c>
      <c r="B2555" s="19" t="s">
        <v>5313</v>
      </c>
      <c r="C2555" s="20">
        <v>11.0</v>
      </c>
      <c r="D2555" s="21" t="s">
        <v>10068</v>
      </c>
      <c r="E2555" s="27" t="s">
        <v>112</v>
      </c>
      <c r="F2555" s="18" t="s">
        <v>48</v>
      </c>
      <c r="G2555" s="32" t="s">
        <v>35</v>
      </c>
      <c r="H2555" s="23" t="s">
        <v>35</v>
      </c>
      <c r="I2555" s="37" t="s">
        <v>36</v>
      </c>
      <c r="J2555" s="34" t="s">
        <v>65</v>
      </c>
      <c r="K2555" s="26" t="s">
        <v>38</v>
      </c>
      <c r="L2555" s="25">
        <v>11603.0</v>
      </c>
      <c r="M2555" s="27" t="s">
        <v>50</v>
      </c>
      <c r="N2555" s="26" t="s">
        <v>51</v>
      </c>
      <c r="O2555" s="28">
        <v>45573.368254456014</v>
      </c>
      <c r="P2555" s="26" t="s">
        <v>10069</v>
      </c>
      <c r="Q2555" s="11" t="s">
        <v>67</v>
      </c>
      <c r="R2555" s="11" t="s">
        <v>67</v>
      </c>
      <c r="S2555" s="11"/>
      <c r="T2555" s="29">
        <v>45573.368254456014</v>
      </c>
      <c r="U2555" s="29">
        <v>45573.368254456014</v>
      </c>
      <c r="V2555" s="29">
        <v>45573.368254456014</v>
      </c>
      <c r="W2555" s="30"/>
      <c r="X2555" s="30"/>
      <c r="Y2555" s="31"/>
      <c r="Z2555" s="31"/>
      <c r="AA2555" s="31" t="s">
        <v>94</v>
      </c>
      <c r="AB2555" s="31" t="s">
        <v>10070</v>
      </c>
      <c r="AC2555" s="31"/>
    </row>
    <row r="2556" ht="18.75" customHeight="1">
      <c r="A2556" s="142" t="s">
        <v>10071</v>
      </c>
      <c r="B2556" s="19" t="s">
        <v>4005</v>
      </c>
      <c r="C2556" s="20">
        <v>0.0</v>
      </c>
      <c r="D2556" s="21" t="s">
        <v>10072</v>
      </c>
      <c r="E2556" s="27" t="s">
        <v>10073</v>
      </c>
      <c r="F2556" s="18" t="s">
        <v>33</v>
      </c>
      <c r="G2556" s="32" t="s">
        <v>35</v>
      </c>
      <c r="H2556" s="23" t="s">
        <v>35</v>
      </c>
      <c r="I2556" s="37" t="s">
        <v>36</v>
      </c>
      <c r="J2556" s="25" t="s">
        <v>49</v>
      </c>
      <c r="K2556" s="26" t="s">
        <v>38</v>
      </c>
      <c r="L2556" s="25">
        <v>11721.0</v>
      </c>
      <c r="M2556" s="27" t="s">
        <v>50</v>
      </c>
      <c r="N2556" s="26" t="s">
        <v>4183</v>
      </c>
      <c r="O2556" s="28">
        <v>45581.696100810186</v>
      </c>
      <c r="P2556" s="26" t="s">
        <v>10074</v>
      </c>
      <c r="Q2556" s="11" t="s">
        <v>67</v>
      </c>
      <c r="R2556" s="11" t="s">
        <v>67</v>
      </c>
      <c r="S2556" s="11" t="s">
        <v>101</v>
      </c>
      <c r="T2556" s="29">
        <v>45572.59477364583</v>
      </c>
      <c r="U2556" s="29">
        <v>45572.608328738424</v>
      </c>
      <c r="V2556" s="29">
        <v>45580.42508103009</v>
      </c>
      <c r="W2556" s="30"/>
      <c r="X2556" s="30"/>
      <c r="Y2556" s="31"/>
      <c r="Z2556" s="31"/>
      <c r="AA2556" s="31" t="s">
        <v>102</v>
      </c>
      <c r="AB2556" s="31" t="s">
        <v>10075</v>
      </c>
      <c r="AC2556" s="31"/>
    </row>
    <row r="2557" ht="18.75" customHeight="1">
      <c r="A2557" s="142" t="s">
        <v>10076</v>
      </c>
      <c r="B2557" s="19" t="s">
        <v>1299</v>
      </c>
      <c r="C2557" s="20">
        <v>0.0</v>
      </c>
      <c r="D2557" s="135" t="s">
        <v>298</v>
      </c>
      <c r="E2557" s="22" t="s">
        <v>804</v>
      </c>
      <c r="F2557" s="18" t="s">
        <v>244</v>
      </c>
      <c r="G2557" s="32" t="s">
        <v>35</v>
      </c>
      <c r="H2557" s="23" t="s">
        <v>35</v>
      </c>
      <c r="I2557" s="37" t="s">
        <v>36</v>
      </c>
      <c r="J2557" s="25" t="s">
        <v>92</v>
      </c>
      <c r="K2557" s="26" t="s">
        <v>38</v>
      </c>
      <c r="L2557" s="25">
        <v>11695.0</v>
      </c>
      <c r="M2557" s="27" t="s">
        <v>50</v>
      </c>
      <c r="N2557" s="26" t="s">
        <v>4767</v>
      </c>
      <c r="O2557" s="28">
        <v>45576.361347638885</v>
      </c>
      <c r="P2557" s="26" t="s">
        <v>10077</v>
      </c>
      <c r="Q2557" s="11" t="s">
        <v>67</v>
      </c>
      <c r="R2557" s="11" t="s">
        <v>67</v>
      </c>
      <c r="S2557" s="11"/>
      <c r="T2557" s="29">
        <v>45573.377791481485</v>
      </c>
      <c r="U2557" s="29">
        <v>45573.44521348379</v>
      </c>
      <c r="V2557" s="29"/>
      <c r="W2557" s="30"/>
      <c r="X2557" s="30"/>
      <c r="Y2557" s="31"/>
      <c r="Z2557" s="31"/>
      <c r="AA2557" s="31" t="s">
        <v>120</v>
      </c>
      <c r="AB2557" s="31" t="s">
        <v>10078</v>
      </c>
      <c r="AC2557" s="31"/>
    </row>
    <row r="2558" ht="18.75" customHeight="1">
      <c r="A2558" s="142" t="s">
        <v>10079</v>
      </c>
      <c r="B2558" s="19" t="s">
        <v>10080</v>
      </c>
      <c r="C2558" s="20">
        <v>0.0</v>
      </c>
      <c r="D2558" s="21"/>
      <c r="E2558" s="27" t="s">
        <v>213</v>
      </c>
      <c r="F2558" s="18" t="s">
        <v>33</v>
      </c>
      <c r="G2558" s="32" t="s">
        <v>35</v>
      </c>
      <c r="H2558" s="23" t="s">
        <v>35</v>
      </c>
      <c r="I2558" s="24" t="s">
        <v>665</v>
      </c>
      <c r="J2558" s="25" t="s">
        <v>92</v>
      </c>
      <c r="K2558" s="26" t="s">
        <v>38</v>
      </c>
      <c r="L2558" s="25">
        <v>2.0</v>
      </c>
      <c r="M2558" s="27" t="s">
        <v>50</v>
      </c>
      <c r="N2558" s="26" t="s">
        <v>10081</v>
      </c>
      <c r="O2558" s="28">
        <v>45588.575715127314</v>
      </c>
      <c r="P2558" s="153" t="s">
        <v>10082</v>
      </c>
      <c r="Q2558" s="11" t="s">
        <v>67</v>
      </c>
      <c r="R2558" s="11" t="s">
        <v>67</v>
      </c>
      <c r="S2558" s="11" t="s">
        <v>101</v>
      </c>
      <c r="T2558" s="29">
        <v>45573.44363739583</v>
      </c>
      <c r="U2558" s="29">
        <v>45573.44486600695</v>
      </c>
      <c r="V2558" s="29">
        <v>45583.422907835644</v>
      </c>
      <c r="W2558" s="30"/>
      <c r="X2558" s="30"/>
      <c r="Y2558" s="31"/>
      <c r="Z2558" s="31"/>
      <c r="AA2558" s="31"/>
      <c r="AB2558" s="31" t="s">
        <v>10083</v>
      </c>
      <c r="AC2558" s="31"/>
    </row>
    <row r="2559" ht="18.75" customHeight="1">
      <c r="A2559" s="142" t="s">
        <v>10084</v>
      </c>
      <c r="B2559" s="19" t="s">
        <v>8611</v>
      </c>
      <c r="C2559" s="20">
        <v>0.0</v>
      </c>
      <c r="D2559" s="21" t="s">
        <v>10085</v>
      </c>
      <c r="E2559" s="27" t="s">
        <v>10086</v>
      </c>
      <c r="F2559" s="18" t="s">
        <v>48</v>
      </c>
      <c r="G2559" s="32" t="s">
        <v>35</v>
      </c>
      <c r="H2559" s="23" t="s">
        <v>35</v>
      </c>
      <c r="I2559" s="37" t="s">
        <v>36</v>
      </c>
      <c r="J2559" s="25" t="s">
        <v>92</v>
      </c>
      <c r="K2559" s="26" t="s">
        <v>38</v>
      </c>
      <c r="L2559" s="25">
        <v>2045.0</v>
      </c>
      <c r="M2559" s="27" t="s">
        <v>50</v>
      </c>
      <c r="N2559" s="26" t="s">
        <v>10087</v>
      </c>
      <c r="O2559" s="28">
        <v>45581.62159708333</v>
      </c>
      <c r="P2559" s="26" t="s">
        <v>10088</v>
      </c>
      <c r="Q2559" s="11"/>
      <c r="R2559" s="11" t="s">
        <v>67</v>
      </c>
      <c r="S2559" s="11"/>
      <c r="T2559" s="29">
        <v>45573.42173940972</v>
      </c>
      <c r="U2559" s="29">
        <v>45575.37198787037</v>
      </c>
      <c r="V2559" s="29"/>
      <c r="W2559" s="30"/>
      <c r="X2559" s="30"/>
      <c r="Y2559" s="31"/>
      <c r="Z2559" s="31"/>
      <c r="AA2559" s="31"/>
      <c r="AB2559" s="31" t="s">
        <v>10089</v>
      </c>
      <c r="AC2559" s="31"/>
    </row>
    <row r="2560" ht="18.75" customHeight="1">
      <c r="A2560" s="142" t="s">
        <v>10090</v>
      </c>
      <c r="B2560" s="19" t="s">
        <v>9895</v>
      </c>
      <c r="C2560" s="20">
        <v>27.0</v>
      </c>
      <c r="D2560" s="39" t="s">
        <v>10091</v>
      </c>
      <c r="E2560" s="27" t="s">
        <v>72</v>
      </c>
      <c r="F2560" s="18" t="s">
        <v>48</v>
      </c>
      <c r="G2560" s="32" t="s">
        <v>35</v>
      </c>
      <c r="H2560" s="23" t="s">
        <v>35</v>
      </c>
      <c r="I2560" s="37" t="s">
        <v>36</v>
      </c>
      <c r="J2560" s="25" t="s">
        <v>49</v>
      </c>
      <c r="K2560" s="26" t="s">
        <v>38</v>
      </c>
      <c r="L2560" s="25">
        <v>11691.0</v>
      </c>
      <c r="M2560" s="27" t="s">
        <v>50</v>
      </c>
      <c r="N2560" s="26" t="s">
        <v>99</v>
      </c>
      <c r="O2560" s="28">
        <v>45575.583493750004</v>
      </c>
      <c r="P2560" s="26" t="s">
        <v>10092</v>
      </c>
      <c r="Q2560" s="11" t="s">
        <v>67</v>
      </c>
      <c r="R2560" s="11" t="s">
        <v>67</v>
      </c>
      <c r="S2560" s="11" t="s">
        <v>50</v>
      </c>
      <c r="T2560" s="29">
        <v>45573.38268034722</v>
      </c>
      <c r="U2560" s="29">
        <v>45573.718843993054</v>
      </c>
      <c r="V2560" s="29">
        <v>45575.45352171296</v>
      </c>
      <c r="W2560" s="30"/>
      <c r="X2560" s="30"/>
      <c r="Y2560" s="31"/>
      <c r="Z2560" s="31"/>
      <c r="AA2560" s="31" t="s">
        <v>127</v>
      </c>
      <c r="AB2560" s="31" t="s">
        <v>10093</v>
      </c>
      <c r="AC2560" s="31"/>
    </row>
    <row r="2561" ht="18.75" customHeight="1">
      <c r="A2561" s="142" t="s">
        <v>10094</v>
      </c>
      <c r="B2561" s="19" t="s">
        <v>140</v>
      </c>
      <c r="C2561" s="20">
        <v>90.0</v>
      </c>
      <c r="D2561" s="21" t="s">
        <v>10095</v>
      </c>
      <c r="E2561" s="27" t="s">
        <v>91</v>
      </c>
      <c r="F2561" s="18" t="s">
        <v>48</v>
      </c>
      <c r="G2561" s="32" t="s">
        <v>35</v>
      </c>
      <c r="H2561" s="23" t="s">
        <v>35</v>
      </c>
      <c r="I2561" s="37" t="s">
        <v>36</v>
      </c>
      <c r="J2561" s="25" t="s">
        <v>49</v>
      </c>
      <c r="K2561" s="26" t="s">
        <v>142</v>
      </c>
      <c r="L2561" s="25">
        <v>11799.0</v>
      </c>
      <c r="M2561" s="27" t="s">
        <v>50</v>
      </c>
      <c r="N2561" s="26" t="s">
        <v>99</v>
      </c>
      <c r="O2561" s="28">
        <v>45590.68860871528</v>
      </c>
      <c r="P2561" s="26" t="s">
        <v>10096</v>
      </c>
      <c r="Q2561" s="11" t="s">
        <v>67</v>
      </c>
      <c r="R2561" s="11" t="s">
        <v>67</v>
      </c>
      <c r="S2561" s="11" t="s">
        <v>73</v>
      </c>
      <c r="T2561" s="29">
        <v>45573.387503460646</v>
      </c>
      <c r="U2561" s="29">
        <v>45579.58673649306</v>
      </c>
      <c r="V2561" s="29">
        <v>45589.78626126157</v>
      </c>
      <c r="W2561" s="30"/>
      <c r="X2561" s="30"/>
      <c r="Y2561" s="31"/>
      <c r="Z2561" s="31"/>
      <c r="AA2561" s="31" t="s">
        <v>145</v>
      </c>
      <c r="AB2561" s="31" t="s">
        <v>10097</v>
      </c>
      <c r="AC2561" s="31"/>
    </row>
    <row r="2562" ht="18.75" customHeight="1">
      <c r="A2562" s="142" t="s">
        <v>10098</v>
      </c>
      <c r="B2562" s="19" t="s">
        <v>10099</v>
      </c>
      <c r="C2562" s="20">
        <v>90.0</v>
      </c>
      <c r="D2562" s="21" t="s">
        <v>10100</v>
      </c>
      <c r="E2562" s="27" t="s">
        <v>91</v>
      </c>
      <c r="F2562" s="18" t="s">
        <v>48</v>
      </c>
      <c r="G2562" s="32" t="s">
        <v>35</v>
      </c>
      <c r="H2562" s="23" t="s">
        <v>35</v>
      </c>
      <c r="I2562" s="37" t="s">
        <v>36</v>
      </c>
      <c r="J2562" s="25" t="s">
        <v>49</v>
      </c>
      <c r="K2562" s="26" t="s">
        <v>238</v>
      </c>
      <c r="L2562" s="25">
        <v>11800.0</v>
      </c>
      <c r="M2562" s="27" t="s">
        <v>50</v>
      </c>
      <c r="N2562" s="26" t="s">
        <v>99</v>
      </c>
      <c r="O2562" s="28">
        <v>45590.68875606482</v>
      </c>
      <c r="P2562" s="26" t="s">
        <v>10101</v>
      </c>
      <c r="Q2562" s="11" t="s">
        <v>67</v>
      </c>
      <c r="R2562" s="11" t="s">
        <v>67</v>
      </c>
      <c r="S2562" s="11" t="s">
        <v>73</v>
      </c>
      <c r="T2562" s="29">
        <v>45573.39259574074</v>
      </c>
      <c r="U2562" s="29">
        <v>45574.71658162037</v>
      </c>
      <c r="V2562" s="29">
        <v>45589.78609637731</v>
      </c>
      <c r="W2562" s="30"/>
      <c r="X2562" s="30"/>
      <c r="Y2562" s="31"/>
      <c r="Z2562" s="31"/>
      <c r="AA2562" s="31" t="s">
        <v>3808</v>
      </c>
      <c r="AB2562" s="31" t="s">
        <v>10102</v>
      </c>
      <c r="AC2562" s="31"/>
    </row>
    <row r="2563" ht="18.75" customHeight="1">
      <c r="A2563" s="142" t="s">
        <v>10103</v>
      </c>
      <c r="B2563" s="19" t="s">
        <v>10104</v>
      </c>
      <c r="C2563" s="20">
        <v>0.0</v>
      </c>
      <c r="D2563" s="21" t="s">
        <v>10105</v>
      </c>
      <c r="E2563" s="27" t="s">
        <v>3441</v>
      </c>
      <c r="F2563" s="18" t="s">
        <v>48</v>
      </c>
      <c r="G2563" s="32" t="s">
        <v>35</v>
      </c>
      <c r="H2563" s="23" t="s">
        <v>35</v>
      </c>
      <c r="I2563" s="37" t="s">
        <v>36</v>
      </c>
      <c r="J2563" s="34" t="s">
        <v>65</v>
      </c>
      <c r="K2563" s="26" t="s">
        <v>38</v>
      </c>
      <c r="L2563" s="72">
        <v>11627.0</v>
      </c>
      <c r="M2563" s="27" t="s">
        <v>50</v>
      </c>
      <c r="N2563" s="26" t="s">
        <v>5279</v>
      </c>
      <c r="O2563" s="28">
        <v>45575.66508008102</v>
      </c>
      <c r="P2563" s="26" t="s">
        <v>10106</v>
      </c>
      <c r="Q2563" s="11" t="s">
        <v>67</v>
      </c>
      <c r="R2563" s="11" t="s">
        <v>67</v>
      </c>
      <c r="S2563" s="11" t="s">
        <v>50</v>
      </c>
      <c r="T2563" s="29">
        <v>45573.42767959491</v>
      </c>
      <c r="U2563" s="29">
        <v>45573.48537539352</v>
      </c>
      <c r="V2563" s="29">
        <v>45575.56964740741</v>
      </c>
      <c r="W2563" s="30"/>
      <c r="X2563" s="30"/>
      <c r="Y2563" s="31"/>
      <c r="Z2563" s="31"/>
      <c r="AA2563" s="31" t="s">
        <v>3059</v>
      </c>
      <c r="AB2563" s="31" t="s">
        <v>10107</v>
      </c>
      <c r="AC2563" s="31"/>
    </row>
    <row r="2564" ht="18.75" customHeight="1">
      <c r="A2564" s="32" t="s">
        <v>10108</v>
      </c>
      <c r="B2564" s="19" t="s">
        <v>7202</v>
      </c>
      <c r="C2564" s="20">
        <v>27.0</v>
      </c>
      <c r="D2564" s="39" t="s">
        <v>10109</v>
      </c>
      <c r="E2564" s="27" t="s">
        <v>72</v>
      </c>
      <c r="F2564" s="18" t="s">
        <v>48</v>
      </c>
      <c r="G2564" s="32" t="s">
        <v>35</v>
      </c>
      <c r="H2564" s="23" t="s">
        <v>35</v>
      </c>
      <c r="I2564" s="24" t="s">
        <v>36</v>
      </c>
      <c r="J2564" s="25" t="s">
        <v>49</v>
      </c>
      <c r="K2564" s="26" t="s">
        <v>38</v>
      </c>
      <c r="L2564" s="25">
        <v>11664.0</v>
      </c>
      <c r="M2564" s="22" t="s">
        <v>50</v>
      </c>
      <c r="N2564" s="35" t="s">
        <v>8199</v>
      </c>
      <c r="O2564" s="28">
        <v>45573.64878472222</v>
      </c>
      <c r="P2564" s="26" t="s">
        <v>10110</v>
      </c>
      <c r="Q2564" s="11" t="s">
        <v>67</v>
      </c>
      <c r="R2564" s="11" t="s">
        <v>67</v>
      </c>
      <c r="S2564" s="11" t="s">
        <v>50</v>
      </c>
      <c r="T2564" s="29">
        <v>45559.69356274305</v>
      </c>
      <c r="U2564" s="29">
        <v>45559.72388709491</v>
      </c>
      <c r="V2564" s="29">
        <v>45573.3562175</v>
      </c>
      <c r="W2564" s="30"/>
      <c r="X2564" s="30"/>
      <c r="Y2564" s="31"/>
      <c r="Z2564" s="31"/>
      <c r="AA2564" s="31" t="s">
        <v>127</v>
      </c>
      <c r="AB2564" s="31" t="s">
        <v>10111</v>
      </c>
      <c r="AC2564" s="31"/>
    </row>
    <row r="2565" ht="18.75" customHeight="1">
      <c r="A2565" s="32" t="s">
        <v>10112</v>
      </c>
      <c r="B2565" s="19" t="s">
        <v>7202</v>
      </c>
      <c r="C2565" s="20">
        <v>137.0</v>
      </c>
      <c r="D2565" s="21" t="s">
        <v>10113</v>
      </c>
      <c r="E2565" s="27" t="s">
        <v>85</v>
      </c>
      <c r="F2565" s="18" t="s">
        <v>48</v>
      </c>
      <c r="G2565" s="32" t="s">
        <v>35</v>
      </c>
      <c r="H2565" s="23" t="s">
        <v>35</v>
      </c>
      <c r="I2565" s="24" t="s">
        <v>36</v>
      </c>
      <c r="J2565" s="25" t="s">
        <v>49</v>
      </c>
      <c r="K2565" s="26" t="s">
        <v>38</v>
      </c>
      <c r="L2565" s="25">
        <v>11664.0</v>
      </c>
      <c r="M2565" s="22" t="s">
        <v>50</v>
      </c>
      <c r="N2565" s="35" t="s">
        <v>8199</v>
      </c>
      <c r="O2565" s="28">
        <v>45573.64878472222</v>
      </c>
      <c r="P2565" s="26" t="s">
        <v>10110</v>
      </c>
      <c r="Q2565" s="11" t="s">
        <v>67</v>
      </c>
      <c r="R2565" s="11" t="s">
        <v>67</v>
      </c>
      <c r="S2565" s="11"/>
      <c r="T2565" s="29">
        <v>45559.69375331019</v>
      </c>
      <c r="U2565" s="29">
        <v>45559.7238794213</v>
      </c>
      <c r="V2565" s="29"/>
      <c r="W2565" s="30"/>
      <c r="X2565" s="30"/>
      <c r="Y2565" s="31"/>
      <c r="Z2565" s="31"/>
      <c r="AA2565" s="31" t="s">
        <v>127</v>
      </c>
      <c r="AB2565" s="31" t="s">
        <v>10114</v>
      </c>
      <c r="AC2565" s="31"/>
    </row>
    <row r="2566" ht="18.75" customHeight="1">
      <c r="A2566" s="32" t="s">
        <v>10115</v>
      </c>
      <c r="B2566" s="19" t="s">
        <v>7202</v>
      </c>
      <c r="C2566" s="20">
        <v>137.0</v>
      </c>
      <c r="D2566" s="21" t="s">
        <v>10116</v>
      </c>
      <c r="E2566" s="27" t="s">
        <v>85</v>
      </c>
      <c r="F2566" s="18" t="s">
        <v>48</v>
      </c>
      <c r="G2566" s="32" t="s">
        <v>35</v>
      </c>
      <c r="H2566" s="23" t="s">
        <v>35</v>
      </c>
      <c r="I2566" s="24" t="s">
        <v>36</v>
      </c>
      <c r="J2566" s="25" t="s">
        <v>49</v>
      </c>
      <c r="K2566" s="26" t="s">
        <v>38</v>
      </c>
      <c r="L2566" s="25">
        <v>11664.0</v>
      </c>
      <c r="M2566" s="22" t="s">
        <v>50</v>
      </c>
      <c r="N2566" s="35" t="s">
        <v>8199</v>
      </c>
      <c r="O2566" s="28">
        <v>45573.64878472222</v>
      </c>
      <c r="P2566" s="26" t="s">
        <v>10110</v>
      </c>
      <c r="Q2566" s="11" t="s">
        <v>67</v>
      </c>
      <c r="R2566" s="11" t="s">
        <v>67</v>
      </c>
      <c r="S2566" s="11" t="s">
        <v>50</v>
      </c>
      <c r="T2566" s="29">
        <v>45559.693879618055</v>
      </c>
      <c r="U2566" s="29">
        <v>45559.72385502315</v>
      </c>
      <c r="V2566" s="29">
        <v>45573.63384469907</v>
      </c>
      <c r="W2566" s="30"/>
      <c r="X2566" s="30"/>
      <c r="Y2566" s="31"/>
      <c r="Z2566" s="31"/>
      <c r="AA2566" s="31" t="s">
        <v>127</v>
      </c>
      <c r="AB2566" s="31" t="s">
        <v>10117</v>
      </c>
      <c r="AC2566" s="31"/>
    </row>
    <row r="2567" ht="18.75" customHeight="1">
      <c r="A2567" s="142" t="s">
        <v>10118</v>
      </c>
      <c r="B2567" s="19" t="s">
        <v>4352</v>
      </c>
      <c r="C2567" s="20">
        <v>137.0</v>
      </c>
      <c r="D2567" s="21" t="s">
        <v>9547</v>
      </c>
      <c r="E2567" s="27" t="s">
        <v>85</v>
      </c>
      <c r="F2567" s="18" t="s">
        <v>48</v>
      </c>
      <c r="G2567" s="32" t="s">
        <v>35</v>
      </c>
      <c r="H2567" s="23" t="s">
        <v>35</v>
      </c>
      <c r="I2567" s="37" t="s">
        <v>36</v>
      </c>
      <c r="J2567" s="25" t="s">
        <v>49</v>
      </c>
      <c r="K2567" s="26" t="s">
        <v>38</v>
      </c>
      <c r="L2567" s="25">
        <v>11780.0</v>
      </c>
      <c r="M2567" s="27" t="s">
        <v>50</v>
      </c>
      <c r="N2567" s="26" t="s">
        <v>99</v>
      </c>
      <c r="O2567" s="28">
        <v>45588.69257039352</v>
      </c>
      <c r="P2567" s="26" t="s">
        <v>10119</v>
      </c>
      <c r="Q2567" s="11" t="s">
        <v>67</v>
      </c>
      <c r="R2567" s="11" t="s">
        <v>67</v>
      </c>
      <c r="S2567" s="11" t="s">
        <v>50</v>
      </c>
      <c r="T2567" s="29">
        <v>45573.6745187037</v>
      </c>
      <c r="U2567" s="29">
        <v>45574.65763731481</v>
      </c>
      <c r="V2567" s="29">
        <v>45588.423784375</v>
      </c>
      <c r="W2567" s="30"/>
      <c r="X2567" s="30"/>
      <c r="Y2567" s="31"/>
      <c r="Z2567" s="31"/>
      <c r="AA2567" s="31" t="s">
        <v>127</v>
      </c>
      <c r="AB2567" s="31" t="s">
        <v>10120</v>
      </c>
      <c r="AC2567" s="31"/>
    </row>
    <row r="2568" ht="18.75" customHeight="1">
      <c r="A2568" s="142" t="s">
        <v>10121</v>
      </c>
      <c r="B2568" s="19" t="s">
        <v>4352</v>
      </c>
      <c r="C2568" s="20">
        <v>90.0</v>
      </c>
      <c r="D2568" s="21" t="s">
        <v>10122</v>
      </c>
      <c r="E2568" s="27" t="s">
        <v>91</v>
      </c>
      <c r="F2568" s="18" t="s">
        <v>48</v>
      </c>
      <c r="G2568" s="32" t="s">
        <v>35</v>
      </c>
      <c r="H2568" s="23" t="s">
        <v>35</v>
      </c>
      <c r="I2568" s="37" t="s">
        <v>36</v>
      </c>
      <c r="J2568" s="25" t="s">
        <v>49</v>
      </c>
      <c r="K2568" s="26" t="s">
        <v>38</v>
      </c>
      <c r="L2568" s="25">
        <v>11801.0</v>
      </c>
      <c r="M2568" s="27" t="s">
        <v>50</v>
      </c>
      <c r="N2568" s="26" t="s">
        <v>99</v>
      </c>
      <c r="O2568" s="28">
        <v>45590.68886255787</v>
      </c>
      <c r="P2568" s="26" t="s">
        <v>10123</v>
      </c>
      <c r="Q2568" s="11" t="s">
        <v>67</v>
      </c>
      <c r="R2568" s="11" t="s">
        <v>67</v>
      </c>
      <c r="S2568" s="11" t="s">
        <v>73</v>
      </c>
      <c r="T2568" s="29">
        <v>45573.62789229167</v>
      </c>
      <c r="U2568" s="29">
        <v>45574.65810049769</v>
      </c>
      <c r="V2568" s="29">
        <v>45589.7860815162</v>
      </c>
      <c r="W2568" s="30"/>
      <c r="X2568" s="30"/>
      <c r="Y2568" s="31"/>
      <c r="Z2568" s="31"/>
      <c r="AA2568" s="31" t="s">
        <v>127</v>
      </c>
      <c r="AB2568" s="31" t="s">
        <v>10124</v>
      </c>
      <c r="AC2568" s="31"/>
    </row>
    <row r="2569" ht="18.75" customHeight="1">
      <c r="A2569" s="18" t="s">
        <v>10125</v>
      </c>
      <c r="B2569" s="19" t="s">
        <v>5185</v>
      </c>
      <c r="C2569" s="20">
        <v>11.0</v>
      </c>
      <c r="D2569" s="21" t="s">
        <v>10126</v>
      </c>
      <c r="E2569" s="27" t="s">
        <v>112</v>
      </c>
      <c r="F2569" s="18" t="s">
        <v>48</v>
      </c>
      <c r="G2569" s="32" t="s">
        <v>35</v>
      </c>
      <c r="H2569" s="23" t="s">
        <v>35</v>
      </c>
      <c r="I2569" s="37" t="s">
        <v>36</v>
      </c>
      <c r="J2569" s="25" t="s">
        <v>49</v>
      </c>
      <c r="K2569" s="26" t="s">
        <v>38</v>
      </c>
      <c r="L2569" s="25">
        <v>11709.0</v>
      </c>
      <c r="M2569" s="27" t="s">
        <v>50</v>
      </c>
      <c r="N2569" s="26" t="s">
        <v>4183</v>
      </c>
      <c r="O2569" s="28">
        <v>45579.59642422454</v>
      </c>
      <c r="P2569" s="26" t="s">
        <v>10127</v>
      </c>
      <c r="Q2569" s="11"/>
      <c r="R2569" s="11" t="s">
        <v>67</v>
      </c>
      <c r="S2569" s="11" t="s">
        <v>50</v>
      </c>
      <c r="T2569" s="29">
        <v>45573.63190951389</v>
      </c>
      <c r="U2569" s="29">
        <v>45579.35983758102</v>
      </c>
      <c r="V2569" s="29">
        <v>45579.41951474537</v>
      </c>
      <c r="W2569" s="30"/>
      <c r="X2569" s="30"/>
      <c r="Y2569" s="31"/>
      <c r="Z2569" s="31"/>
      <c r="AA2569" s="31" t="s">
        <v>127</v>
      </c>
      <c r="AB2569" s="31" t="s">
        <v>10128</v>
      </c>
      <c r="AC2569" s="31"/>
    </row>
    <row r="2570" ht="18.75" customHeight="1">
      <c r="A2570" s="18" t="s">
        <v>10129</v>
      </c>
      <c r="B2570" s="19" t="s">
        <v>5185</v>
      </c>
      <c r="C2570" s="20">
        <v>34.0</v>
      </c>
      <c r="D2570" s="21" t="s">
        <v>10130</v>
      </c>
      <c r="E2570" s="27" t="s">
        <v>47</v>
      </c>
      <c r="F2570" s="18" t="s">
        <v>48</v>
      </c>
      <c r="G2570" s="32" t="s">
        <v>35</v>
      </c>
      <c r="H2570" s="23" t="s">
        <v>35</v>
      </c>
      <c r="I2570" s="37" t="s">
        <v>36</v>
      </c>
      <c r="J2570" s="25" t="s">
        <v>49</v>
      </c>
      <c r="K2570" s="26" t="s">
        <v>38</v>
      </c>
      <c r="L2570" s="25">
        <v>11709.0</v>
      </c>
      <c r="M2570" s="27" t="s">
        <v>50</v>
      </c>
      <c r="N2570" s="26" t="s">
        <v>4183</v>
      </c>
      <c r="O2570" s="28">
        <v>45579.59649534722</v>
      </c>
      <c r="P2570" s="26" t="s">
        <v>10127</v>
      </c>
      <c r="Q2570" s="11" t="s">
        <v>67</v>
      </c>
      <c r="R2570" s="11" t="s">
        <v>67</v>
      </c>
      <c r="S2570" s="11" t="s">
        <v>50</v>
      </c>
      <c r="T2570" s="29">
        <v>45573.63225380787</v>
      </c>
      <c r="U2570" s="29">
        <v>45579.359918483795</v>
      </c>
      <c r="V2570" s="29">
        <v>45579.41952328704</v>
      </c>
      <c r="W2570" s="30"/>
      <c r="X2570" s="30"/>
      <c r="Y2570" s="31"/>
      <c r="Z2570" s="31"/>
      <c r="AA2570" s="31" t="s">
        <v>127</v>
      </c>
      <c r="AB2570" s="31" t="s">
        <v>10131</v>
      </c>
      <c r="AC2570" s="31"/>
    </row>
    <row r="2571" ht="18.75" customHeight="1">
      <c r="A2571" s="18" t="s">
        <v>10132</v>
      </c>
      <c r="B2571" s="19" t="s">
        <v>5185</v>
      </c>
      <c r="C2571" s="20">
        <v>34.0</v>
      </c>
      <c r="D2571" s="21" t="s">
        <v>10133</v>
      </c>
      <c r="E2571" s="27" t="s">
        <v>47</v>
      </c>
      <c r="F2571" s="18" t="s">
        <v>48</v>
      </c>
      <c r="G2571" s="32" t="s">
        <v>35</v>
      </c>
      <c r="H2571" s="23" t="s">
        <v>35</v>
      </c>
      <c r="I2571" s="37" t="s">
        <v>36</v>
      </c>
      <c r="J2571" s="25" t="s">
        <v>49</v>
      </c>
      <c r="K2571" s="26" t="s">
        <v>38</v>
      </c>
      <c r="L2571" s="25">
        <v>11709.0</v>
      </c>
      <c r="M2571" s="27" t="s">
        <v>50</v>
      </c>
      <c r="N2571" s="26" t="s">
        <v>4183</v>
      </c>
      <c r="O2571" s="28">
        <v>45579.59663516204</v>
      </c>
      <c r="P2571" s="26" t="s">
        <v>10127</v>
      </c>
      <c r="Q2571" s="11" t="s">
        <v>67</v>
      </c>
      <c r="R2571" s="11" t="s">
        <v>67</v>
      </c>
      <c r="S2571" s="11" t="s">
        <v>50</v>
      </c>
      <c r="T2571" s="29">
        <v>45573.63237037037</v>
      </c>
      <c r="U2571" s="29">
        <v>45579.3599328125</v>
      </c>
      <c r="V2571" s="29">
        <v>45579.419530625004</v>
      </c>
      <c r="W2571" s="30"/>
      <c r="X2571" s="30"/>
      <c r="Y2571" s="31"/>
      <c r="Z2571" s="31"/>
      <c r="AA2571" s="31" t="s">
        <v>127</v>
      </c>
      <c r="AB2571" s="31" t="s">
        <v>10134</v>
      </c>
      <c r="AC2571" s="31"/>
    </row>
    <row r="2572" ht="18.75" customHeight="1">
      <c r="A2572" s="18" t="s">
        <v>10135</v>
      </c>
      <c r="B2572" s="19" t="s">
        <v>5185</v>
      </c>
      <c r="C2572" s="20">
        <v>90.0</v>
      </c>
      <c r="D2572" s="21" t="s">
        <v>10136</v>
      </c>
      <c r="E2572" s="27" t="s">
        <v>91</v>
      </c>
      <c r="F2572" s="18" t="s">
        <v>48</v>
      </c>
      <c r="G2572" s="32" t="s">
        <v>35</v>
      </c>
      <c r="H2572" s="23" t="s">
        <v>35</v>
      </c>
      <c r="I2572" s="37" t="s">
        <v>36</v>
      </c>
      <c r="J2572" s="25" t="s">
        <v>49</v>
      </c>
      <c r="K2572" s="26" t="s">
        <v>38</v>
      </c>
      <c r="L2572" s="25">
        <v>11802.0</v>
      </c>
      <c r="M2572" s="27" t="s">
        <v>50</v>
      </c>
      <c r="N2572" s="26" t="s">
        <v>99</v>
      </c>
      <c r="O2572" s="28">
        <v>45590.68930899305</v>
      </c>
      <c r="P2572" s="26" t="s">
        <v>10127</v>
      </c>
      <c r="Q2572" s="11" t="s">
        <v>67</v>
      </c>
      <c r="R2572" s="11" t="s">
        <v>67</v>
      </c>
      <c r="S2572" s="11" t="s">
        <v>73</v>
      </c>
      <c r="T2572" s="29">
        <v>45573.632596400465</v>
      </c>
      <c r="U2572" s="29">
        <v>45579.35992425926</v>
      </c>
      <c r="V2572" s="29">
        <v>45589.78621211805</v>
      </c>
      <c r="W2572" s="30"/>
      <c r="X2572" s="30"/>
      <c r="Y2572" s="31"/>
      <c r="Z2572" s="31"/>
      <c r="AA2572" s="31" t="s">
        <v>127</v>
      </c>
      <c r="AB2572" s="31" t="s">
        <v>10137</v>
      </c>
      <c r="AC2572" s="31"/>
    </row>
    <row r="2573" ht="18.75" customHeight="1">
      <c r="A2573" s="142" t="s">
        <v>10138</v>
      </c>
      <c r="B2573" s="19" t="s">
        <v>4587</v>
      </c>
      <c r="C2573" s="20">
        <v>90.0</v>
      </c>
      <c r="D2573" s="21" t="s">
        <v>10139</v>
      </c>
      <c r="E2573" s="27" t="s">
        <v>91</v>
      </c>
      <c r="F2573" s="18" t="s">
        <v>48</v>
      </c>
      <c r="G2573" s="32" t="s">
        <v>35</v>
      </c>
      <c r="H2573" s="23" t="s">
        <v>35</v>
      </c>
      <c r="I2573" s="37" t="s">
        <v>36</v>
      </c>
      <c r="J2573" s="34" t="s">
        <v>65</v>
      </c>
      <c r="K2573" s="26" t="s">
        <v>38</v>
      </c>
      <c r="L2573" s="25">
        <v>11803.0</v>
      </c>
      <c r="M2573" s="27" t="s">
        <v>50</v>
      </c>
      <c r="N2573" s="26" t="s">
        <v>9743</v>
      </c>
      <c r="O2573" s="28">
        <v>45590.66385224537</v>
      </c>
      <c r="P2573" s="26" t="s">
        <v>10140</v>
      </c>
      <c r="Q2573" s="11" t="s">
        <v>67</v>
      </c>
      <c r="R2573" s="11" t="s">
        <v>67</v>
      </c>
      <c r="S2573" s="11" t="s">
        <v>73</v>
      </c>
      <c r="T2573" s="29">
        <v>45573.6977334375</v>
      </c>
      <c r="U2573" s="29">
        <v>45575.37566910879</v>
      </c>
      <c r="V2573" s="29">
        <v>45589.78612497685</v>
      </c>
      <c r="W2573" s="30"/>
      <c r="X2573" s="30"/>
      <c r="Y2573" s="31"/>
      <c r="Z2573" s="31"/>
      <c r="AA2573" s="31" t="s">
        <v>3059</v>
      </c>
      <c r="AB2573" s="31" t="s">
        <v>10141</v>
      </c>
      <c r="AC2573" s="31"/>
    </row>
    <row r="2574" ht="18.75" customHeight="1">
      <c r="A2574" s="142" t="s">
        <v>10142</v>
      </c>
      <c r="B2574" s="19" t="s">
        <v>7703</v>
      </c>
      <c r="C2574" s="20">
        <v>11.0</v>
      </c>
      <c r="D2574" s="21" t="s">
        <v>10143</v>
      </c>
      <c r="E2574" s="27" t="s">
        <v>112</v>
      </c>
      <c r="F2574" s="18" t="s">
        <v>48</v>
      </c>
      <c r="G2574" s="32" t="s">
        <v>35</v>
      </c>
      <c r="H2574" s="23" t="s">
        <v>35</v>
      </c>
      <c r="I2574" s="37" t="s">
        <v>36</v>
      </c>
      <c r="J2574" s="34" t="s">
        <v>65</v>
      </c>
      <c r="K2574" s="26" t="s">
        <v>38</v>
      </c>
      <c r="L2574" s="25">
        <v>11700.0</v>
      </c>
      <c r="M2574" s="27" t="s">
        <v>50</v>
      </c>
      <c r="N2574" s="26" t="s">
        <v>149</v>
      </c>
      <c r="O2574" s="28">
        <v>45576.625709305554</v>
      </c>
      <c r="P2574" s="26" t="s">
        <v>10144</v>
      </c>
      <c r="Q2574" s="11" t="s">
        <v>67</v>
      </c>
      <c r="R2574" s="11" t="s">
        <v>67</v>
      </c>
      <c r="S2574" s="11" t="s">
        <v>50</v>
      </c>
      <c r="T2574" s="29">
        <v>45573.71353716435</v>
      </c>
      <c r="U2574" s="29">
        <v>45575.37514184028</v>
      </c>
      <c r="V2574" s="29">
        <v>45576.370376875</v>
      </c>
      <c r="W2574" s="30"/>
      <c r="X2574" s="30"/>
      <c r="Y2574" s="31"/>
      <c r="Z2574" s="31"/>
      <c r="AA2574" s="31" t="s">
        <v>3059</v>
      </c>
      <c r="AB2574" s="31" t="s">
        <v>10145</v>
      </c>
      <c r="AC2574" s="31"/>
    </row>
    <row r="2575" ht="18.75" customHeight="1">
      <c r="A2575" s="18" t="s">
        <v>10146</v>
      </c>
      <c r="B2575" s="19" t="s">
        <v>3121</v>
      </c>
      <c r="C2575" s="20">
        <v>1.0</v>
      </c>
      <c r="D2575" s="21" t="s">
        <v>10147</v>
      </c>
      <c r="E2575" s="27" t="s">
        <v>3395</v>
      </c>
      <c r="F2575" s="18" t="s">
        <v>48</v>
      </c>
      <c r="G2575" s="32" t="s">
        <v>35</v>
      </c>
      <c r="H2575" s="23" t="s">
        <v>35</v>
      </c>
      <c r="I2575" s="66" t="s">
        <v>36</v>
      </c>
      <c r="J2575" s="34" t="s">
        <v>92</v>
      </c>
      <c r="K2575" s="26" t="s">
        <v>38</v>
      </c>
      <c r="L2575" s="25">
        <v>11776.0</v>
      </c>
      <c r="M2575" s="27" t="s">
        <v>50</v>
      </c>
      <c r="N2575" s="26" t="s">
        <v>136</v>
      </c>
      <c r="O2575" s="28">
        <v>45587.4791346412</v>
      </c>
      <c r="P2575" s="26" t="s">
        <v>10148</v>
      </c>
      <c r="Q2575" s="11" t="s">
        <v>67</v>
      </c>
      <c r="R2575" s="11" t="s">
        <v>67</v>
      </c>
      <c r="S2575" s="11" t="s">
        <v>50</v>
      </c>
      <c r="T2575" s="29">
        <v>45573.71551246528</v>
      </c>
      <c r="U2575" s="29">
        <v>45579.357209803245</v>
      </c>
      <c r="V2575" s="29">
        <v>45587.43458133102</v>
      </c>
      <c r="W2575" s="30"/>
      <c r="X2575" s="30"/>
      <c r="Y2575" s="31"/>
      <c r="Z2575" s="31"/>
      <c r="AA2575" s="31"/>
      <c r="AB2575" s="31" t="s">
        <v>10149</v>
      </c>
      <c r="AC2575" s="31"/>
    </row>
    <row r="2576" ht="18.75" customHeight="1">
      <c r="A2576" s="18" t="s">
        <v>10150</v>
      </c>
      <c r="B2576" s="19" t="s">
        <v>3121</v>
      </c>
      <c r="C2576" s="20">
        <v>1.0</v>
      </c>
      <c r="D2576" s="21" t="s">
        <v>10151</v>
      </c>
      <c r="E2576" s="27" t="s">
        <v>3395</v>
      </c>
      <c r="F2576" s="18" t="s">
        <v>48</v>
      </c>
      <c r="G2576" s="32" t="s">
        <v>35</v>
      </c>
      <c r="H2576" s="23" t="s">
        <v>35</v>
      </c>
      <c r="I2576" s="37" t="s">
        <v>36</v>
      </c>
      <c r="J2576" s="25" t="s">
        <v>92</v>
      </c>
      <c r="K2576" s="26" t="s">
        <v>38</v>
      </c>
      <c r="L2576" s="34">
        <v>11914.0</v>
      </c>
      <c r="M2576" s="27" t="s">
        <v>50</v>
      </c>
      <c r="N2576" s="26" t="s">
        <v>7077</v>
      </c>
      <c r="O2576" s="28">
        <v>45601.429281006946</v>
      </c>
      <c r="P2576" s="26" t="s">
        <v>10148</v>
      </c>
      <c r="Q2576" s="11" t="s">
        <v>67</v>
      </c>
      <c r="R2576" s="11" t="s">
        <v>67</v>
      </c>
      <c r="S2576" s="11" t="s">
        <v>73</v>
      </c>
      <c r="T2576" s="29">
        <v>45573.71565067129</v>
      </c>
      <c r="U2576" s="29">
        <v>45579.357235324074</v>
      </c>
      <c r="V2576" s="29">
        <v>45589.786171921296</v>
      </c>
      <c r="W2576" s="30"/>
      <c r="X2576" s="30"/>
      <c r="Y2576" s="31"/>
      <c r="Z2576" s="31"/>
      <c r="AA2576" s="31"/>
      <c r="AB2576" s="31" t="s">
        <v>10152</v>
      </c>
      <c r="AC2576" s="31"/>
    </row>
    <row r="2577" ht="18.75" customHeight="1">
      <c r="A2577" s="18" t="s">
        <v>10153</v>
      </c>
      <c r="B2577" s="19" t="s">
        <v>3121</v>
      </c>
      <c r="C2577" s="20">
        <v>1.0</v>
      </c>
      <c r="D2577" s="21" t="s">
        <v>10154</v>
      </c>
      <c r="E2577" s="27" t="s">
        <v>3395</v>
      </c>
      <c r="F2577" s="18" t="s">
        <v>48</v>
      </c>
      <c r="G2577" s="32" t="s">
        <v>35</v>
      </c>
      <c r="H2577" s="23" t="s">
        <v>35</v>
      </c>
      <c r="I2577" s="37" t="s">
        <v>36</v>
      </c>
      <c r="J2577" s="25" t="s">
        <v>92</v>
      </c>
      <c r="K2577" s="26" t="s">
        <v>38</v>
      </c>
      <c r="L2577" s="34">
        <v>11914.0</v>
      </c>
      <c r="M2577" s="27" t="s">
        <v>50</v>
      </c>
      <c r="N2577" s="26" t="s">
        <v>7077</v>
      </c>
      <c r="O2577" s="28">
        <v>45601.429223530096</v>
      </c>
      <c r="P2577" s="26" t="s">
        <v>10148</v>
      </c>
      <c r="Q2577" s="11" t="s">
        <v>67</v>
      </c>
      <c r="R2577" s="11" t="s">
        <v>67</v>
      </c>
      <c r="S2577" s="11" t="s">
        <v>50</v>
      </c>
      <c r="T2577" s="29">
        <v>45573.71571135416</v>
      </c>
      <c r="U2577" s="29">
        <v>45579.357240972226</v>
      </c>
      <c r="V2577" s="29">
        <v>45601.41017725694</v>
      </c>
      <c r="W2577" s="38"/>
      <c r="X2577" s="30"/>
      <c r="Y2577" s="31"/>
      <c r="Z2577" s="31"/>
      <c r="AA2577" s="31"/>
      <c r="AB2577" s="31" t="s">
        <v>10155</v>
      </c>
      <c r="AC2577" s="31"/>
    </row>
    <row r="2578" ht="18.75" customHeight="1">
      <c r="A2578" s="18" t="s">
        <v>10156</v>
      </c>
      <c r="B2578" s="19" t="s">
        <v>3121</v>
      </c>
      <c r="C2578" s="20">
        <v>27.0</v>
      </c>
      <c r="D2578" s="39" t="s">
        <v>10157</v>
      </c>
      <c r="E2578" s="27" t="s">
        <v>72</v>
      </c>
      <c r="F2578" s="18" t="s">
        <v>48</v>
      </c>
      <c r="G2578" s="32" t="s">
        <v>35</v>
      </c>
      <c r="H2578" s="23" t="s">
        <v>35</v>
      </c>
      <c r="I2578" s="37" t="s">
        <v>36</v>
      </c>
      <c r="J2578" s="25" t="s">
        <v>92</v>
      </c>
      <c r="K2578" s="26" t="s">
        <v>38</v>
      </c>
      <c r="L2578" s="25">
        <v>11718.0</v>
      </c>
      <c r="M2578" s="27" t="s">
        <v>50</v>
      </c>
      <c r="N2578" s="26" t="s">
        <v>136</v>
      </c>
      <c r="O2578" s="28">
        <v>45579.64583333333</v>
      </c>
      <c r="P2578" s="26" t="s">
        <v>10148</v>
      </c>
      <c r="Q2578" s="11" t="s">
        <v>67</v>
      </c>
      <c r="R2578" s="11" t="s">
        <v>67</v>
      </c>
      <c r="S2578" s="11" t="s">
        <v>50</v>
      </c>
      <c r="T2578" s="29">
        <v>45573.71587398148</v>
      </c>
      <c r="U2578" s="29">
        <v>45579.35724670139</v>
      </c>
      <c r="V2578" s="29">
        <v>45579.60327850694</v>
      </c>
      <c r="W2578" s="30"/>
      <c r="X2578" s="30"/>
      <c r="Y2578" s="31"/>
      <c r="Z2578" s="31"/>
      <c r="AA2578" s="31"/>
      <c r="AB2578" s="31" t="s">
        <v>10158</v>
      </c>
      <c r="AC2578" s="31"/>
    </row>
    <row r="2579" ht="18.75" customHeight="1">
      <c r="A2579" s="18" t="s">
        <v>10159</v>
      </c>
      <c r="B2579" s="19" t="s">
        <v>3121</v>
      </c>
      <c r="C2579" s="20">
        <v>27.0</v>
      </c>
      <c r="D2579" s="39" t="s">
        <v>10160</v>
      </c>
      <c r="E2579" s="27" t="s">
        <v>72</v>
      </c>
      <c r="F2579" s="18" t="s">
        <v>48</v>
      </c>
      <c r="G2579" s="32" t="s">
        <v>35</v>
      </c>
      <c r="H2579" s="23" t="s">
        <v>35</v>
      </c>
      <c r="I2579" s="37" t="s">
        <v>36</v>
      </c>
      <c r="J2579" s="25" t="s">
        <v>92</v>
      </c>
      <c r="K2579" s="26" t="s">
        <v>38</v>
      </c>
      <c r="L2579" s="25">
        <v>11718.0</v>
      </c>
      <c r="M2579" s="27" t="s">
        <v>50</v>
      </c>
      <c r="N2579" s="26" t="s">
        <v>136</v>
      </c>
      <c r="O2579" s="28">
        <v>45579.64583333333</v>
      </c>
      <c r="P2579" s="26" t="s">
        <v>10148</v>
      </c>
      <c r="Q2579" s="11" t="s">
        <v>67</v>
      </c>
      <c r="R2579" s="11" t="s">
        <v>67</v>
      </c>
      <c r="S2579" s="11" t="s">
        <v>50</v>
      </c>
      <c r="T2579" s="29">
        <v>45573.716011956014</v>
      </c>
      <c r="U2579" s="29">
        <v>45579.35725721065</v>
      </c>
      <c r="V2579" s="29">
        <v>45579.60329653935</v>
      </c>
      <c r="W2579" s="30"/>
      <c r="X2579" s="30"/>
      <c r="Y2579" s="31"/>
      <c r="Z2579" s="31"/>
      <c r="AA2579" s="31"/>
      <c r="AB2579" s="31" t="s">
        <v>10161</v>
      </c>
      <c r="AC2579" s="31"/>
    </row>
    <row r="2580" ht="18.75" customHeight="1">
      <c r="A2580" s="18" t="s">
        <v>10162</v>
      </c>
      <c r="B2580" s="19" t="s">
        <v>3121</v>
      </c>
      <c r="C2580" s="20">
        <v>27.0</v>
      </c>
      <c r="D2580" s="39" t="s">
        <v>10163</v>
      </c>
      <c r="E2580" s="27" t="s">
        <v>72</v>
      </c>
      <c r="F2580" s="18" t="s">
        <v>48</v>
      </c>
      <c r="G2580" s="32" t="s">
        <v>35</v>
      </c>
      <c r="H2580" s="23" t="s">
        <v>35</v>
      </c>
      <c r="I2580" s="37" t="s">
        <v>36</v>
      </c>
      <c r="J2580" s="25" t="s">
        <v>92</v>
      </c>
      <c r="K2580" s="26" t="s">
        <v>38</v>
      </c>
      <c r="L2580" s="25">
        <v>11718.0</v>
      </c>
      <c r="M2580" s="27" t="s">
        <v>50</v>
      </c>
      <c r="N2580" s="26" t="s">
        <v>136</v>
      </c>
      <c r="O2580" s="28">
        <v>45579.64583333333</v>
      </c>
      <c r="P2580" s="26" t="s">
        <v>10148</v>
      </c>
      <c r="Q2580" s="11" t="s">
        <v>67</v>
      </c>
      <c r="R2580" s="11" t="s">
        <v>67</v>
      </c>
      <c r="S2580" s="11" t="s">
        <v>50</v>
      </c>
      <c r="T2580" s="29">
        <v>45573.716064328706</v>
      </c>
      <c r="U2580" s="29">
        <v>45579.357251608795</v>
      </c>
      <c r="V2580" s="29">
        <v>45579.60328822916</v>
      </c>
      <c r="W2580" s="30"/>
      <c r="X2580" s="30"/>
      <c r="Y2580" s="31"/>
      <c r="Z2580" s="31"/>
      <c r="AA2580" s="31"/>
      <c r="AB2580" s="31" t="s">
        <v>10164</v>
      </c>
      <c r="AC2580" s="31"/>
    </row>
    <row r="2581" ht="18.75" customHeight="1">
      <c r="A2581" s="142" t="s">
        <v>10165</v>
      </c>
      <c r="B2581" s="19" t="s">
        <v>911</v>
      </c>
      <c r="C2581" s="20">
        <v>0.0</v>
      </c>
      <c r="D2581" s="21" t="s">
        <v>10166</v>
      </c>
      <c r="E2581" s="27" t="s">
        <v>511</v>
      </c>
      <c r="F2581" s="18" t="s">
        <v>33</v>
      </c>
      <c r="G2581" s="32" t="s">
        <v>35</v>
      </c>
      <c r="H2581" s="23" t="s">
        <v>35</v>
      </c>
      <c r="I2581" s="37" t="s">
        <v>36</v>
      </c>
      <c r="J2581" s="25" t="s">
        <v>49</v>
      </c>
      <c r="K2581" s="26" t="s">
        <v>38</v>
      </c>
      <c r="L2581" s="25">
        <v>11748.0</v>
      </c>
      <c r="M2581" s="27" t="s">
        <v>50</v>
      </c>
      <c r="N2581" s="26" t="s">
        <v>99</v>
      </c>
      <c r="O2581" s="28">
        <v>45582.581141793984</v>
      </c>
      <c r="P2581" s="26" t="s">
        <v>10167</v>
      </c>
      <c r="Q2581" s="11" t="s">
        <v>67</v>
      </c>
      <c r="R2581" s="11" t="s">
        <v>67</v>
      </c>
      <c r="S2581" s="11" t="s">
        <v>101</v>
      </c>
      <c r="T2581" s="29">
        <v>45574.37356846065</v>
      </c>
      <c r="U2581" s="29">
        <v>45574.47846918981</v>
      </c>
      <c r="V2581" s="29">
        <v>45582.37480925926</v>
      </c>
      <c r="W2581" s="30"/>
      <c r="X2581" s="30"/>
      <c r="Y2581" s="31"/>
      <c r="Z2581" s="31"/>
      <c r="AA2581" s="31" t="s">
        <v>3053</v>
      </c>
      <c r="AB2581" s="31" t="s">
        <v>10168</v>
      </c>
      <c r="AC2581" s="31"/>
    </row>
    <row r="2582" ht="18.75" customHeight="1">
      <c r="A2582" s="142" t="s">
        <v>10169</v>
      </c>
      <c r="B2582" s="19" t="s">
        <v>10170</v>
      </c>
      <c r="C2582" s="20">
        <v>11.0</v>
      </c>
      <c r="D2582" s="21" t="s">
        <v>10171</v>
      </c>
      <c r="E2582" s="27" t="s">
        <v>112</v>
      </c>
      <c r="F2582" s="18" t="s">
        <v>48</v>
      </c>
      <c r="G2582" s="32" t="s">
        <v>35</v>
      </c>
      <c r="H2582" s="23" t="s">
        <v>35</v>
      </c>
      <c r="I2582" s="37" t="s">
        <v>36</v>
      </c>
      <c r="J2582" s="25" t="s">
        <v>49</v>
      </c>
      <c r="K2582" s="26" t="s">
        <v>38</v>
      </c>
      <c r="L2582" s="25">
        <v>11760.0</v>
      </c>
      <c r="M2582" s="27" t="s">
        <v>50</v>
      </c>
      <c r="N2582" s="26" t="s">
        <v>106</v>
      </c>
      <c r="O2582" s="28">
        <v>45586.58115331018</v>
      </c>
      <c r="P2582" s="26" t="s">
        <v>10172</v>
      </c>
      <c r="Q2582" s="11" t="s">
        <v>67</v>
      </c>
      <c r="R2582" s="11" t="s">
        <v>67</v>
      </c>
      <c r="S2582" s="11" t="s">
        <v>50</v>
      </c>
      <c r="T2582" s="29">
        <v>45574.6643596875</v>
      </c>
      <c r="U2582" s="29">
        <v>45586.38130046296</v>
      </c>
      <c r="V2582" s="29">
        <v>45586.426228020835</v>
      </c>
      <c r="W2582" s="30"/>
      <c r="X2582" s="30"/>
      <c r="Y2582" s="31"/>
      <c r="Z2582" s="31"/>
      <c r="AA2582" s="31" t="s">
        <v>3059</v>
      </c>
      <c r="AB2582" s="31" t="s">
        <v>10173</v>
      </c>
      <c r="AC2582" s="31"/>
    </row>
    <row r="2583" ht="18.75" customHeight="1">
      <c r="A2583" s="142" t="s">
        <v>10174</v>
      </c>
      <c r="B2583" s="19" t="s">
        <v>115</v>
      </c>
      <c r="C2583" s="20">
        <v>34.0</v>
      </c>
      <c r="D2583" s="21" t="s">
        <v>10175</v>
      </c>
      <c r="E2583" s="27" t="s">
        <v>47</v>
      </c>
      <c r="F2583" s="18" t="s">
        <v>48</v>
      </c>
      <c r="G2583" s="32" t="s">
        <v>35</v>
      </c>
      <c r="H2583" s="23" t="s">
        <v>35</v>
      </c>
      <c r="I2583" s="37" t="s">
        <v>36</v>
      </c>
      <c r="J2583" s="25" t="s">
        <v>92</v>
      </c>
      <c r="K2583" s="26" t="s">
        <v>38</v>
      </c>
      <c r="L2583" s="25">
        <v>12447.0</v>
      </c>
      <c r="M2583" s="27" t="s">
        <v>50</v>
      </c>
      <c r="N2583" s="26" t="s">
        <v>10176</v>
      </c>
      <c r="O2583" s="28">
        <v>45677.632638888885</v>
      </c>
      <c r="P2583" s="26" t="s">
        <v>10177</v>
      </c>
      <c r="Q2583" s="11" t="s">
        <v>67</v>
      </c>
      <c r="R2583" s="11" t="s">
        <v>67</v>
      </c>
      <c r="S2583" s="11"/>
      <c r="T2583" s="29">
        <v>45574.583206145835</v>
      </c>
      <c r="U2583" s="29">
        <v>45582.47713135417</v>
      </c>
      <c r="V2583" s="29">
        <v>45582.47713135417</v>
      </c>
      <c r="W2583" s="30"/>
      <c r="X2583" s="30"/>
      <c r="Y2583" s="31"/>
      <c r="Z2583" s="31"/>
      <c r="AA2583" s="31"/>
      <c r="AB2583" s="31" t="s">
        <v>10178</v>
      </c>
      <c r="AC2583" s="31"/>
    </row>
    <row r="2584" ht="18.75" customHeight="1">
      <c r="A2584" s="18" t="s">
        <v>10179</v>
      </c>
      <c r="B2584" s="19" t="s">
        <v>115</v>
      </c>
      <c r="C2584" s="20">
        <v>34.0</v>
      </c>
      <c r="D2584" s="21" t="s">
        <v>10180</v>
      </c>
      <c r="E2584" s="27" t="s">
        <v>47</v>
      </c>
      <c r="F2584" s="18" t="s">
        <v>48</v>
      </c>
      <c r="G2584" s="32" t="s">
        <v>35</v>
      </c>
      <c r="H2584" s="23" t="s">
        <v>35</v>
      </c>
      <c r="I2584" s="37" t="s">
        <v>36</v>
      </c>
      <c r="J2584" s="25" t="s">
        <v>92</v>
      </c>
      <c r="K2584" s="26" t="s">
        <v>38</v>
      </c>
      <c r="L2584" s="25">
        <v>11702.0</v>
      </c>
      <c r="M2584" s="27" t="s">
        <v>73</v>
      </c>
      <c r="N2584" s="26" t="s">
        <v>10181</v>
      </c>
      <c r="O2584" s="28">
        <v>45586.5730775463</v>
      </c>
      <c r="P2584" s="26" t="s">
        <v>10182</v>
      </c>
      <c r="Q2584" s="11" t="s">
        <v>67</v>
      </c>
      <c r="R2584" s="11" t="s">
        <v>67</v>
      </c>
      <c r="S2584" s="11" t="s">
        <v>9620</v>
      </c>
      <c r="T2584" s="29">
        <v>45574.584964375</v>
      </c>
      <c r="U2584" s="29">
        <v>45575.36296010417</v>
      </c>
      <c r="V2584" s="29">
        <v>45576.63067491898</v>
      </c>
      <c r="W2584" s="30"/>
      <c r="X2584" s="30"/>
      <c r="Y2584" s="31"/>
      <c r="Z2584" s="31"/>
      <c r="AA2584" s="31" t="s">
        <v>120</v>
      </c>
      <c r="AB2584" s="31" t="s">
        <v>10183</v>
      </c>
      <c r="AC2584" s="31"/>
    </row>
    <row r="2585" ht="18.75" customHeight="1">
      <c r="A2585" s="18" t="s">
        <v>10184</v>
      </c>
      <c r="B2585" s="19" t="s">
        <v>115</v>
      </c>
      <c r="C2585" s="20">
        <v>34.0</v>
      </c>
      <c r="D2585" s="21" t="s">
        <v>10185</v>
      </c>
      <c r="E2585" s="27" t="s">
        <v>47</v>
      </c>
      <c r="F2585" s="18" t="s">
        <v>48</v>
      </c>
      <c r="G2585" s="32" t="s">
        <v>35</v>
      </c>
      <c r="H2585" s="23" t="s">
        <v>35</v>
      </c>
      <c r="I2585" s="37" t="s">
        <v>36</v>
      </c>
      <c r="J2585" s="25" t="s">
        <v>92</v>
      </c>
      <c r="K2585" s="26" t="s">
        <v>38</v>
      </c>
      <c r="L2585" s="25">
        <v>11702.0</v>
      </c>
      <c r="M2585" s="27" t="s">
        <v>73</v>
      </c>
      <c r="N2585" s="26" t="s">
        <v>10181</v>
      </c>
      <c r="O2585" s="28">
        <v>45586.5731318287</v>
      </c>
      <c r="P2585" s="26" t="s">
        <v>10182</v>
      </c>
      <c r="Q2585" s="11" t="s">
        <v>67</v>
      </c>
      <c r="R2585" s="11" t="s">
        <v>67</v>
      </c>
      <c r="S2585" s="11" t="s">
        <v>9620</v>
      </c>
      <c r="T2585" s="29">
        <v>45574.58506158565</v>
      </c>
      <c r="U2585" s="29">
        <v>45575.362987395834</v>
      </c>
      <c r="V2585" s="29">
        <v>45576.63068832176</v>
      </c>
      <c r="W2585" s="30"/>
      <c r="X2585" s="30"/>
      <c r="Y2585" s="31"/>
      <c r="Z2585" s="31"/>
      <c r="AA2585" s="31" t="s">
        <v>120</v>
      </c>
      <c r="AB2585" s="31" t="s">
        <v>10186</v>
      </c>
      <c r="AC2585" s="31"/>
    </row>
    <row r="2586" ht="18.75" customHeight="1">
      <c r="A2586" s="151" t="s">
        <v>10187</v>
      </c>
      <c r="B2586" s="19" t="s">
        <v>115</v>
      </c>
      <c r="C2586" s="20">
        <v>27.0</v>
      </c>
      <c r="D2586" s="39" t="s">
        <v>10188</v>
      </c>
      <c r="E2586" s="27" t="s">
        <v>72</v>
      </c>
      <c r="F2586" s="18" t="s">
        <v>48</v>
      </c>
      <c r="G2586" s="32" t="s">
        <v>35</v>
      </c>
      <c r="H2586" s="23" t="s">
        <v>35</v>
      </c>
      <c r="I2586" s="37" t="s">
        <v>36</v>
      </c>
      <c r="J2586" s="25" t="s">
        <v>92</v>
      </c>
      <c r="K2586" s="26" t="s">
        <v>38</v>
      </c>
      <c r="L2586" s="25">
        <v>11864.0</v>
      </c>
      <c r="M2586" s="27" t="s">
        <v>50</v>
      </c>
      <c r="N2586" s="26" t="s">
        <v>118</v>
      </c>
      <c r="O2586" s="28">
        <v>45594.66121010417</v>
      </c>
      <c r="P2586" s="26" t="s">
        <v>10189</v>
      </c>
      <c r="Q2586" s="11" t="s">
        <v>67</v>
      </c>
      <c r="R2586" s="11" t="s">
        <v>67</v>
      </c>
      <c r="S2586" s="11" t="s">
        <v>50</v>
      </c>
      <c r="T2586" s="29">
        <v>45594.61827194445</v>
      </c>
      <c r="U2586" s="29">
        <v>45594.61978530092</v>
      </c>
      <c r="V2586" s="29">
        <v>45594.62171681713</v>
      </c>
      <c r="W2586" s="38"/>
      <c r="X2586" s="30"/>
      <c r="Y2586" s="31"/>
      <c r="Z2586" s="31"/>
      <c r="AA2586" s="31"/>
      <c r="AB2586" s="31" t="s">
        <v>10190</v>
      </c>
      <c r="AC2586" s="31"/>
    </row>
    <row r="2587" ht="18.75" customHeight="1">
      <c r="A2587" s="142" t="s">
        <v>10191</v>
      </c>
      <c r="B2587" s="19" t="s">
        <v>10192</v>
      </c>
      <c r="C2587" s="20">
        <v>0.0</v>
      </c>
      <c r="D2587" s="21" t="s">
        <v>330</v>
      </c>
      <c r="E2587" s="27" t="s">
        <v>243</v>
      </c>
      <c r="F2587" s="18" t="s">
        <v>244</v>
      </c>
      <c r="G2587" s="32" t="s">
        <v>35</v>
      </c>
      <c r="H2587" s="23" t="s">
        <v>35</v>
      </c>
      <c r="I2587" s="37" t="s">
        <v>36</v>
      </c>
      <c r="J2587" s="25" t="s">
        <v>49</v>
      </c>
      <c r="K2587" s="26" t="s">
        <v>10193</v>
      </c>
      <c r="L2587" s="25">
        <v>11733.0</v>
      </c>
      <c r="M2587" s="27" t="s">
        <v>50</v>
      </c>
      <c r="N2587" s="26" t="s">
        <v>4183</v>
      </c>
      <c r="O2587" s="28">
        <v>45581.69617113426</v>
      </c>
      <c r="P2587" s="26" t="s">
        <v>10194</v>
      </c>
      <c r="Q2587" s="11" t="s">
        <v>67</v>
      </c>
      <c r="R2587" s="11" t="s">
        <v>67</v>
      </c>
      <c r="S2587" s="11" t="s">
        <v>101</v>
      </c>
      <c r="T2587" s="29">
        <v>45574.5903903125</v>
      </c>
      <c r="U2587" s="29">
        <v>45575.450739259264</v>
      </c>
      <c r="V2587" s="29">
        <v>45581.43325894676</v>
      </c>
      <c r="W2587" s="30"/>
      <c r="X2587" s="30"/>
      <c r="Y2587" s="31"/>
      <c r="Z2587" s="31"/>
      <c r="AA2587" s="31" t="s">
        <v>145</v>
      </c>
      <c r="AB2587" s="31" t="s">
        <v>10195</v>
      </c>
      <c r="AC2587" s="31"/>
    </row>
    <row r="2588" ht="18.75" customHeight="1">
      <c r="A2588" s="142" t="s">
        <v>10196</v>
      </c>
      <c r="B2588" s="19" t="s">
        <v>4313</v>
      </c>
      <c r="C2588" s="20">
        <v>27.0</v>
      </c>
      <c r="D2588" s="39" t="s">
        <v>10197</v>
      </c>
      <c r="E2588" s="27" t="s">
        <v>72</v>
      </c>
      <c r="F2588" s="18" t="s">
        <v>48</v>
      </c>
      <c r="G2588" s="32" t="s">
        <v>35</v>
      </c>
      <c r="H2588" s="23" t="s">
        <v>35</v>
      </c>
      <c r="I2588" s="37" t="s">
        <v>36</v>
      </c>
      <c r="J2588" s="25" t="s">
        <v>92</v>
      </c>
      <c r="K2588" s="26" t="s">
        <v>38</v>
      </c>
      <c r="L2588" s="25">
        <v>11703.0</v>
      </c>
      <c r="M2588" s="27" t="s">
        <v>73</v>
      </c>
      <c r="N2588" s="26" t="s">
        <v>10181</v>
      </c>
      <c r="O2588" s="28">
        <v>45586.57277118055</v>
      </c>
      <c r="P2588" s="26" t="s">
        <v>10198</v>
      </c>
      <c r="Q2588" s="11" t="s">
        <v>67</v>
      </c>
      <c r="R2588" s="11" t="s">
        <v>67</v>
      </c>
      <c r="S2588" s="11" t="s">
        <v>9620</v>
      </c>
      <c r="T2588" s="29">
        <v>45574.60045834491</v>
      </c>
      <c r="U2588" s="29">
        <v>45575.362150092595</v>
      </c>
      <c r="V2588" s="29">
        <v>45576.63066072916</v>
      </c>
      <c r="W2588" s="30"/>
      <c r="X2588" s="30"/>
      <c r="Y2588" s="31"/>
      <c r="Z2588" s="31"/>
      <c r="AA2588" s="31" t="s">
        <v>120</v>
      </c>
      <c r="AB2588" s="31" t="s">
        <v>10199</v>
      </c>
      <c r="AC2588" s="31"/>
    </row>
    <row r="2589" ht="18.75" customHeight="1">
      <c r="A2589" s="142" t="s">
        <v>10200</v>
      </c>
      <c r="B2589" s="19" t="s">
        <v>4313</v>
      </c>
      <c r="C2589" s="20">
        <v>0.0</v>
      </c>
      <c r="D2589" s="21" t="s">
        <v>10201</v>
      </c>
      <c r="E2589" s="27" t="s">
        <v>664</v>
      </c>
      <c r="F2589" s="18" t="s">
        <v>48</v>
      </c>
      <c r="G2589" s="32" t="s">
        <v>35</v>
      </c>
      <c r="H2589" s="23" t="s">
        <v>35</v>
      </c>
      <c r="I2589" s="37" t="s">
        <v>36</v>
      </c>
      <c r="J2589" s="25" t="s">
        <v>92</v>
      </c>
      <c r="K2589" s="26" t="s">
        <v>38</v>
      </c>
      <c r="L2589" s="25">
        <v>11704.0</v>
      </c>
      <c r="M2589" s="27" t="s">
        <v>73</v>
      </c>
      <c r="N2589" s="26" t="s">
        <v>10181</v>
      </c>
      <c r="O2589" s="28">
        <v>45586.572814618055</v>
      </c>
      <c r="P2589" s="26" t="s">
        <v>10202</v>
      </c>
      <c r="Q2589" s="11" t="s">
        <v>67</v>
      </c>
      <c r="R2589" s="11" t="s">
        <v>67</v>
      </c>
      <c r="S2589" s="11" t="s">
        <v>9620</v>
      </c>
      <c r="T2589" s="29">
        <v>45574.601627627315</v>
      </c>
      <c r="U2589" s="29">
        <v>45575.36191850694</v>
      </c>
      <c r="V2589" s="29">
        <v>45576.630646840276</v>
      </c>
      <c r="W2589" s="30"/>
      <c r="X2589" s="30"/>
      <c r="Y2589" s="31"/>
      <c r="Z2589" s="31"/>
      <c r="AA2589" s="31" t="s">
        <v>120</v>
      </c>
      <c r="AB2589" s="31" t="s">
        <v>10203</v>
      </c>
      <c r="AC2589" s="31"/>
    </row>
    <row r="2590" ht="18.75" customHeight="1">
      <c r="A2590" s="142" t="s">
        <v>10204</v>
      </c>
      <c r="B2590" s="19" t="s">
        <v>7442</v>
      </c>
      <c r="C2590" s="20">
        <v>27.0</v>
      </c>
      <c r="D2590" s="39" t="s">
        <v>10205</v>
      </c>
      <c r="E2590" s="27" t="s">
        <v>72</v>
      </c>
      <c r="F2590" s="18" t="s">
        <v>48</v>
      </c>
      <c r="G2590" s="32" t="s">
        <v>35</v>
      </c>
      <c r="H2590" s="23" t="s">
        <v>35</v>
      </c>
      <c r="I2590" s="37" t="s">
        <v>36</v>
      </c>
      <c r="J2590" s="34" t="s">
        <v>65</v>
      </c>
      <c r="K2590" s="26" t="s">
        <v>38</v>
      </c>
      <c r="L2590" s="25">
        <v>11699.0</v>
      </c>
      <c r="M2590" s="27" t="s">
        <v>50</v>
      </c>
      <c r="N2590" s="26" t="s">
        <v>149</v>
      </c>
      <c r="O2590" s="28">
        <v>45576.62588046296</v>
      </c>
      <c r="P2590" s="26" t="s">
        <v>10206</v>
      </c>
      <c r="Q2590" s="11" t="s">
        <v>67</v>
      </c>
      <c r="R2590" s="11" t="s">
        <v>67</v>
      </c>
      <c r="S2590" s="11" t="s">
        <v>50</v>
      </c>
      <c r="T2590" s="29">
        <v>45574.603089675926</v>
      </c>
      <c r="U2590" s="29">
        <v>45574.66527643519</v>
      </c>
      <c r="V2590" s="29">
        <v>45576.36911366898</v>
      </c>
      <c r="W2590" s="30"/>
      <c r="X2590" s="30"/>
      <c r="Y2590" s="31"/>
      <c r="Z2590" s="31"/>
      <c r="AA2590" s="31" t="s">
        <v>94</v>
      </c>
      <c r="AB2590" s="31" t="s">
        <v>10207</v>
      </c>
      <c r="AC2590" s="31"/>
    </row>
    <row r="2591" ht="18.75" customHeight="1">
      <c r="A2591" s="18" t="s">
        <v>10208</v>
      </c>
      <c r="B2591" s="19" t="s">
        <v>4313</v>
      </c>
      <c r="C2591" s="20">
        <v>0.0</v>
      </c>
      <c r="D2591" s="21" t="s">
        <v>10209</v>
      </c>
      <c r="E2591" s="27" t="s">
        <v>4430</v>
      </c>
      <c r="F2591" s="18" t="s">
        <v>48</v>
      </c>
      <c r="G2591" s="32" t="s">
        <v>35</v>
      </c>
      <c r="H2591" s="23" t="s">
        <v>35</v>
      </c>
      <c r="I2591" s="37" t="s">
        <v>36</v>
      </c>
      <c r="J2591" s="25" t="s">
        <v>92</v>
      </c>
      <c r="K2591" s="26" t="s">
        <v>38</v>
      </c>
      <c r="L2591" s="25">
        <v>12402.0</v>
      </c>
      <c r="M2591" s="27" t="s">
        <v>50</v>
      </c>
      <c r="N2591" s="26" t="s">
        <v>7077</v>
      </c>
      <c r="O2591" s="28">
        <v>45666.69027777778</v>
      </c>
      <c r="P2591" s="26" t="s">
        <v>10210</v>
      </c>
      <c r="Q2591" s="11" t="s">
        <v>67</v>
      </c>
      <c r="R2591" s="11" t="s">
        <v>67</v>
      </c>
      <c r="S2591" s="11" t="s">
        <v>50</v>
      </c>
      <c r="T2591" s="29">
        <v>45665.42348372685</v>
      </c>
      <c r="U2591" s="29">
        <v>45665.42370082176</v>
      </c>
      <c r="V2591" s="29">
        <v>45665.43057946759</v>
      </c>
      <c r="W2591" s="30"/>
      <c r="X2591" s="30">
        <v>45641.0</v>
      </c>
      <c r="Y2591" s="31"/>
      <c r="Z2591" s="31"/>
      <c r="AA2591" s="31"/>
      <c r="AB2591" s="31" t="s">
        <v>10211</v>
      </c>
      <c r="AC2591" s="31"/>
    </row>
    <row r="2592" ht="18.75" customHeight="1">
      <c r="A2592" s="18" t="s">
        <v>10212</v>
      </c>
      <c r="B2592" s="19" t="s">
        <v>4313</v>
      </c>
      <c r="C2592" s="20">
        <v>90.0</v>
      </c>
      <c r="D2592" s="21" t="s">
        <v>10213</v>
      </c>
      <c r="E2592" s="27" t="s">
        <v>91</v>
      </c>
      <c r="F2592" s="18" t="s">
        <v>48</v>
      </c>
      <c r="G2592" s="32" t="s">
        <v>35</v>
      </c>
      <c r="H2592" s="23" t="s">
        <v>35</v>
      </c>
      <c r="I2592" s="37" t="s">
        <v>36</v>
      </c>
      <c r="J2592" s="25" t="s">
        <v>92</v>
      </c>
      <c r="K2592" s="26" t="s">
        <v>38</v>
      </c>
      <c r="L2592" s="25">
        <v>12402.0</v>
      </c>
      <c r="M2592" s="27" t="s">
        <v>50</v>
      </c>
      <c r="N2592" s="26" t="s">
        <v>7077</v>
      </c>
      <c r="O2592" s="28">
        <v>45667.649221203705</v>
      </c>
      <c r="P2592" s="26" t="s">
        <v>10210</v>
      </c>
      <c r="Q2592" s="11" t="s">
        <v>67</v>
      </c>
      <c r="R2592" s="11" t="s">
        <v>67</v>
      </c>
      <c r="S2592" s="11" t="s">
        <v>50</v>
      </c>
      <c r="T2592" s="29">
        <v>45665.42353313658</v>
      </c>
      <c r="U2592" s="29">
        <v>45665.42370322917</v>
      </c>
      <c r="V2592" s="29">
        <v>45665.43058717593</v>
      </c>
      <c r="W2592" s="30"/>
      <c r="X2592" s="30">
        <v>45641.0</v>
      </c>
      <c r="Y2592" s="31"/>
      <c r="Z2592" s="31"/>
      <c r="AA2592" s="31"/>
      <c r="AB2592" s="31" t="s">
        <v>10214</v>
      </c>
      <c r="AC2592" s="31"/>
    </row>
    <row r="2593" ht="18.75" customHeight="1">
      <c r="A2593" s="18" t="s">
        <v>10215</v>
      </c>
      <c r="B2593" s="19" t="s">
        <v>4313</v>
      </c>
      <c r="C2593" s="20">
        <v>90.0</v>
      </c>
      <c r="D2593" s="21" t="s">
        <v>10216</v>
      </c>
      <c r="E2593" s="27" t="s">
        <v>91</v>
      </c>
      <c r="F2593" s="18" t="s">
        <v>48</v>
      </c>
      <c r="G2593" s="32" t="s">
        <v>35</v>
      </c>
      <c r="H2593" s="23" t="s">
        <v>35</v>
      </c>
      <c r="I2593" s="37" t="s">
        <v>36</v>
      </c>
      <c r="J2593" s="25" t="s">
        <v>92</v>
      </c>
      <c r="K2593" s="26" t="s">
        <v>38</v>
      </c>
      <c r="L2593" s="25">
        <v>12402.0</v>
      </c>
      <c r="M2593" s="27" t="s">
        <v>50</v>
      </c>
      <c r="N2593" s="26" t="s">
        <v>7077</v>
      </c>
      <c r="O2593" s="28">
        <v>45666.648611111115</v>
      </c>
      <c r="P2593" s="26" t="s">
        <v>10210</v>
      </c>
      <c r="Q2593" s="11" t="s">
        <v>67</v>
      </c>
      <c r="R2593" s="11" t="s">
        <v>67</v>
      </c>
      <c r="S2593" s="11" t="s">
        <v>50</v>
      </c>
      <c r="T2593" s="29">
        <v>45665.42357824074</v>
      </c>
      <c r="U2593" s="29">
        <v>45665.423707326394</v>
      </c>
      <c r="V2593" s="29">
        <v>45665.43059480324</v>
      </c>
      <c r="W2593" s="30"/>
      <c r="X2593" s="30">
        <v>45641.0</v>
      </c>
      <c r="Y2593" s="31"/>
      <c r="Z2593" s="31"/>
      <c r="AA2593" s="31"/>
      <c r="AB2593" s="31" t="s">
        <v>10217</v>
      </c>
      <c r="AC2593" s="31"/>
    </row>
    <row r="2594" ht="18.75" customHeight="1">
      <c r="A2594" s="142" t="s">
        <v>10218</v>
      </c>
      <c r="B2594" s="119" t="s">
        <v>110</v>
      </c>
      <c r="C2594" s="54">
        <v>0.0</v>
      </c>
      <c r="D2594" s="21" t="s">
        <v>10219</v>
      </c>
      <c r="E2594" s="55" t="s">
        <v>3441</v>
      </c>
      <c r="F2594" s="32" t="s">
        <v>48</v>
      </c>
      <c r="G2594" s="32" t="s">
        <v>35</v>
      </c>
      <c r="H2594" s="23" t="s">
        <v>35</v>
      </c>
      <c r="I2594" s="66" t="s">
        <v>36</v>
      </c>
      <c r="J2594" s="34" t="s">
        <v>65</v>
      </c>
      <c r="K2594" s="57" t="s">
        <v>38</v>
      </c>
      <c r="L2594" s="156">
        <v>11792.0</v>
      </c>
      <c r="M2594" s="22"/>
      <c r="N2594" s="26" t="s">
        <v>86</v>
      </c>
      <c r="O2594" s="28">
        <v>45589.59741101852</v>
      </c>
      <c r="P2594" s="35" t="s">
        <v>10220</v>
      </c>
      <c r="Q2594" s="11" t="s">
        <v>67</v>
      </c>
      <c r="R2594" s="11" t="s">
        <v>67</v>
      </c>
      <c r="S2594" s="60"/>
      <c r="T2594" s="29">
        <v>45589.59741101852</v>
      </c>
      <c r="U2594" s="29">
        <v>45589.59741101852</v>
      </c>
      <c r="V2594" s="29">
        <v>45589.59741101852</v>
      </c>
      <c r="W2594" s="30"/>
      <c r="X2594" s="30"/>
      <c r="Y2594" s="31"/>
      <c r="Z2594" s="31"/>
      <c r="AA2594" s="31"/>
      <c r="AB2594" s="31" t="s">
        <v>10221</v>
      </c>
      <c r="AC2594" s="31"/>
    </row>
    <row r="2595" ht="18.75" customHeight="1">
      <c r="A2595" s="18" t="s">
        <v>10222</v>
      </c>
      <c r="B2595" s="19" t="s">
        <v>4313</v>
      </c>
      <c r="C2595" s="20">
        <v>1.0</v>
      </c>
      <c r="D2595" s="21" t="s">
        <v>10223</v>
      </c>
      <c r="E2595" s="27" t="s">
        <v>3395</v>
      </c>
      <c r="F2595" s="18" t="s">
        <v>48</v>
      </c>
      <c r="G2595" s="32" t="s">
        <v>35</v>
      </c>
      <c r="H2595" s="23" t="s">
        <v>35</v>
      </c>
      <c r="I2595" s="37" t="s">
        <v>36</v>
      </c>
      <c r="J2595" s="25" t="s">
        <v>92</v>
      </c>
      <c r="K2595" s="26" t="s">
        <v>38</v>
      </c>
      <c r="L2595" s="25">
        <v>11705.0</v>
      </c>
      <c r="M2595" s="27" t="s">
        <v>73</v>
      </c>
      <c r="N2595" s="26" t="s">
        <v>10181</v>
      </c>
      <c r="O2595" s="28">
        <v>45586.57285324074</v>
      </c>
      <c r="P2595" s="26" t="s">
        <v>10224</v>
      </c>
      <c r="Q2595" s="11" t="s">
        <v>67</v>
      </c>
      <c r="R2595" s="11" t="s">
        <v>67</v>
      </c>
      <c r="S2595" s="11" t="s">
        <v>9620</v>
      </c>
      <c r="T2595" s="29">
        <v>45574.617686365746</v>
      </c>
      <c r="U2595" s="29">
        <v>45575.361571354166</v>
      </c>
      <c r="V2595" s="29">
        <v>45576.63132392361</v>
      </c>
      <c r="W2595" s="30"/>
      <c r="X2595" s="30"/>
      <c r="Y2595" s="31"/>
      <c r="Z2595" s="31"/>
      <c r="AA2595" s="31" t="s">
        <v>120</v>
      </c>
      <c r="AB2595" s="31" t="s">
        <v>10225</v>
      </c>
      <c r="AC2595" s="31"/>
    </row>
    <row r="2596" ht="18.75" customHeight="1">
      <c r="A2596" s="18" t="s">
        <v>10226</v>
      </c>
      <c r="B2596" s="19" t="s">
        <v>4313</v>
      </c>
      <c r="C2596" s="20">
        <v>1.0</v>
      </c>
      <c r="D2596" s="21" t="s">
        <v>10227</v>
      </c>
      <c r="E2596" s="27" t="s">
        <v>3395</v>
      </c>
      <c r="F2596" s="18" t="s">
        <v>48</v>
      </c>
      <c r="G2596" s="32" t="s">
        <v>35</v>
      </c>
      <c r="H2596" s="23" t="s">
        <v>35</v>
      </c>
      <c r="I2596" s="37" t="s">
        <v>36</v>
      </c>
      <c r="J2596" s="25" t="s">
        <v>92</v>
      </c>
      <c r="K2596" s="26" t="s">
        <v>38</v>
      </c>
      <c r="L2596" s="25">
        <v>11705.0</v>
      </c>
      <c r="M2596" s="27" t="s">
        <v>73</v>
      </c>
      <c r="N2596" s="26" t="s">
        <v>10181</v>
      </c>
      <c r="O2596" s="28">
        <v>45586.57290517361</v>
      </c>
      <c r="P2596" s="26" t="s">
        <v>10224</v>
      </c>
      <c r="Q2596" s="11" t="s">
        <v>67</v>
      </c>
      <c r="R2596" s="11" t="s">
        <v>67</v>
      </c>
      <c r="S2596" s="11" t="s">
        <v>9620</v>
      </c>
      <c r="T2596" s="29">
        <v>45574.61781434028</v>
      </c>
      <c r="U2596" s="29">
        <v>45575.361632858796</v>
      </c>
      <c r="V2596" s="29">
        <v>45576.63146314815</v>
      </c>
      <c r="W2596" s="30"/>
      <c r="X2596" s="30"/>
      <c r="Y2596" s="31"/>
      <c r="Z2596" s="31"/>
      <c r="AA2596" s="31" t="s">
        <v>120</v>
      </c>
      <c r="AB2596" s="31" t="s">
        <v>10228</v>
      </c>
      <c r="AC2596" s="31"/>
    </row>
    <row r="2597" ht="18.75" customHeight="1">
      <c r="A2597" s="142" t="s">
        <v>10229</v>
      </c>
      <c r="B2597" s="19" t="s">
        <v>5507</v>
      </c>
      <c r="C2597" s="20">
        <v>0.0</v>
      </c>
      <c r="D2597" s="21" t="s">
        <v>10230</v>
      </c>
      <c r="E2597" s="22" t="s">
        <v>3863</v>
      </c>
      <c r="F2597" s="18" t="s">
        <v>244</v>
      </c>
      <c r="G2597" s="32" t="s">
        <v>35</v>
      </c>
      <c r="H2597" s="23" t="s">
        <v>35</v>
      </c>
      <c r="I2597" s="37" t="s">
        <v>36</v>
      </c>
      <c r="J2597" s="25" t="s">
        <v>49</v>
      </c>
      <c r="K2597" s="26" t="s">
        <v>38</v>
      </c>
      <c r="L2597" s="25">
        <v>11779.0</v>
      </c>
      <c r="M2597" s="27" t="s">
        <v>50</v>
      </c>
      <c r="N2597" s="26" t="s">
        <v>99</v>
      </c>
      <c r="O2597" s="28">
        <v>45588.69264228009</v>
      </c>
      <c r="P2597" s="26" t="s">
        <v>10231</v>
      </c>
      <c r="Q2597" s="11" t="s">
        <v>67</v>
      </c>
      <c r="R2597" s="11" t="s">
        <v>67</v>
      </c>
      <c r="S2597" s="11" t="s">
        <v>101</v>
      </c>
      <c r="T2597" s="29">
        <v>45574.61953252315</v>
      </c>
      <c r="U2597" s="29">
        <v>45579.358911724536</v>
      </c>
      <c r="V2597" s="29">
        <v>45587.475024328705</v>
      </c>
      <c r="W2597" s="30"/>
      <c r="X2597" s="30"/>
      <c r="Y2597" s="31"/>
      <c r="Z2597" s="31"/>
      <c r="AA2597" s="31" t="s">
        <v>127</v>
      </c>
      <c r="AB2597" s="31" t="s">
        <v>10232</v>
      </c>
      <c r="AC2597" s="31"/>
    </row>
    <row r="2598" ht="18.75" customHeight="1">
      <c r="A2598" s="142" t="s">
        <v>10233</v>
      </c>
      <c r="B2598" s="19" t="s">
        <v>1811</v>
      </c>
      <c r="C2598" s="20">
        <v>0.0</v>
      </c>
      <c r="D2598" s="21" t="s">
        <v>10234</v>
      </c>
      <c r="E2598" s="27" t="s">
        <v>664</v>
      </c>
      <c r="F2598" s="18" t="s">
        <v>48</v>
      </c>
      <c r="G2598" s="32" t="s">
        <v>35</v>
      </c>
      <c r="H2598" s="23" t="s">
        <v>35</v>
      </c>
      <c r="I2598" s="37" t="s">
        <v>36</v>
      </c>
      <c r="J2598" s="25" t="s">
        <v>49</v>
      </c>
      <c r="K2598" s="26" t="s">
        <v>1506</v>
      </c>
      <c r="L2598" s="25">
        <v>11728.0</v>
      </c>
      <c r="M2598" s="27" t="s">
        <v>50</v>
      </c>
      <c r="N2598" s="26" t="s">
        <v>4183</v>
      </c>
      <c r="O2598" s="28">
        <v>45580.58780984954</v>
      </c>
      <c r="P2598" s="26" t="s">
        <v>10235</v>
      </c>
      <c r="Q2598" s="11" t="s">
        <v>67</v>
      </c>
      <c r="R2598" s="11" t="s">
        <v>67</v>
      </c>
      <c r="S2598" s="11" t="s">
        <v>50</v>
      </c>
      <c r="T2598" s="29">
        <v>45574.621431631946</v>
      </c>
      <c r="U2598" s="29">
        <v>45579.452430034726</v>
      </c>
      <c r="V2598" s="29">
        <v>45580.45730589121</v>
      </c>
      <c r="W2598" s="30"/>
      <c r="X2598" s="30"/>
      <c r="Y2598" s="31"/>
      <c r="Z2598" s="31"/>
      <c r="AA2598" s="31" t="s">
        <v>3053</v>
      </c>
      <c r="AB2598" s="31" t="s">
        <v>10236</v>
      </c>
      <c r="AC2598" s="31"/>
    </row>
    <row r="2599" ht="18.75" customHeight="1">
      <c r="A2599" s="18" t="s">
        <v>10237</v>
      </c>
      <c r="B2599" s="19" t="s">
        <v>4313</v>
      </c>
      <c r="C2599" s="20">
        <v>33.0</v>
      </c>
      <c r="D2599" s="21" t="s">
        <v>10238</v>
      </c>
      <c r="E2599" s="27" t="s">
        <v>6133</v>
      </c>
      <c r="F2599" s="18" t="s">
        <v>48</v>
      </c>
      <c r="G2599" s="32" t="s">
        <v>35</v>
      </c>
      <c r="H2599" s="23" t="s">
        <v>35</v>
      </c>
      <c r="I2599" s="37" t="s">
        <v>36</v>
      </c>
      <c r="J2599" s="25" t="s">
        <v>92</v>
      </c>
      <c r="K2599" s="26" t="s">
        <v>38</v>
      </c>
      <c r="L2599" s="25">
        <v>-11752.0</v>
      </c>
      <c r="M2599" s="27" t="s">
        <v>9620</v>
      </c>
      <c r="N2599" s="26" t="s">
        <v>10176</v>
      </c>
      <c r="O2599" s="140">
        <v>45743.473008113426</v>
      </c>
      <c r="P2599" s="26" t="s">
        <v>10239</v>
      </c>
      <c r="Q2599" s="11" t="s">
        <v>67</v>
      </c>
      <c r="R2599" s="11" t="s">
        <v>10240</v>
      </c>
      <c r="S2599" s="11" t="s">
        <v>73</v>
      </c>
      <c r="T2599" s="29">
        <v>45574.62314347222</v>
      </c>
      <c r="U2599" s="29">
        <v>45625.559111828705</v>
      </c>
      <c r="V2599" s="141">
        <v>45742.60627200232</v>
      </c>
      <c r="W2599" s="30"/>
      <c r="X2599" s="157">
        <v>45717.0</v>
      </c>
      <c r="Y2599" s="31"/>
      <c r="Z2599" s="31"/>
      <c r="AA2599" s="31"/>
      <c r="AB2599" s="31" t="s">
        <v>10241</v>
      </c>
      <c r="AC2599" s="31"/>
    </row>
    <row r="2600" ht="18.75" customHeight="1">
      <c r="A2600" s="18" t="s">
        <v>10242</v>
      </c>
      <c r="B2600" s="19" t="s">
        <v>4313</v>
      </c>
      <c r="C2600" s="20">
        <v>0.0</v>
      </c>
      <c r="D2600" s="21" t="s">
        <v>10243</v>
      </c>
      <c r="E2600" s="27" t="s">
        <v>4430</v>
      </c>
      <c r="F2600" s="18" t="s">
        <v>48</v>
      </c>
      <c r="G2600" s="32" t="s">
        <v>35</v>
      </c>
      <c r="H2600" s="23" t="s">
        <v>35</v>
      </c>
      <c r="I2600" s="37" t="s">
        <v>36</v>
      </c>
      <c r="J2600" s="25" t="s">
        <v>92</v>
      </c>
      <c r="K2600" s="26" t="s">
        <v>38</v>
      </c>
      <c r="L2600" s="25">
        <v>-11752.0</v>
      </c>
      <c r="M2600" s="27" t="s">
        <v>50</v>
      </c>
      <c r="N2600" s="26" t="s">
        <v>10176</v>
      </c>
      <c r="O2600" s="140">
        <v>45744.458587500005</v>
      </c>
      <c r="P2600" s="26" t="s">
        <v>10239</v>
      </c>
      <c r="Q2600" s="11" t="s">
        <v>67</v>
      </c>
      <c r="R2600" s="11" t="s">
        <v>10240</v>
      </c>
      <c r="S2600" s="11"/>
      <c r="T2600" s="29">
        <v>45574.623443275465</v>
      </c>
      <c r="U2600" s="29">
        <v>45625.55872483796</v>
      </c>
      <c r="V2600" s="29"/>
      <c r="W2600" s="30"/>
      <c r="X2600" s="157">
        <v>45717.0</v>
      </c>
      <c r="Y2600" s="31"/>
      <c r="Z2600" s="31"/>
      <c r="AA2600" s="31"/>
      <c r="AB2600" s="31" t="s">
        <v>10244</v>
      </c>
      <c r="AC2600" s="31"/>
    </row>
    <row r="2601" ht="18.75" customHeight="1">
      <c r="A2601" s="18" t="s">
        <v>10245</v>
      </c>
      <c r="B2601" s="19" t="s">
        <v>4313</v>
      </c>
      <c r="C2601" s="20">
        <v>0.0</v>
      </c>
      <c r="D2601" s="21" t="s">
        <v>10246</v>
      </c>
      <c r="E2601" s="27" t="s">
        <v>4430</v>
      </c>
      <c r="F2601" s="18" t="s">
        <v>48</v>
      </c>
      <c r="G2601" s="32" t="s">
        <v>35</v>
      </c>
      <c r="H2601" s="23" t="s">
        <v>35</v>
      </c>
      <c r="I2601" s="37" t="s">
        <v>36</v>
      </c>
      <c r="J2601" s="25" t="s">
        <v>92</v>
      </c>
      <c r="K2601" s="26" t="s">
        <v>38</v>
      </c>
      <c r="L2601" s="25">
        <v>-11752.0</v>
      </c>
      <c r="M2601" s="27" t="s">
        <v>50</v>
      </c>
      <c r="N2601" s="26" t="s">
        <v>10176</v>
      </c>
      <c r="O2601" s="140">
        <v>45744.45867270834</v>
      </c>
      <c r="P2601" s="26" t="s">
        <v>10239</v>
      </c>
      <c r="Q2601" s="11" t="s">
        <v>67</v>
      </c>
      <c r="R2601" s="11" t="s">
        <v>10240</v>
      </c>
      <c r="S2601" s="11"/>
      <c r="T2601" s="29">
        <v>45574.62369541667</v>
      </c>
      <c r="U2601" s="29">
        <v>45625.55842825232</v>
      </c>
      <c r="V2601" s="29"/>
      <c r="W2601" s="30"/>
      <c r="X2601" s="157">
        <v>45717.0</v>
      </c>
      <c r="Y2601" s="31"/>
      <c r="Z2601" s="31"/>
      <c r="AA2601" s="31"/>
      <c r="AB2601" s="31" t="s">
        <v>10247</v>
      </c>
      <c r="AC2601" s="31"/>
    </row>
    <row r="2602" ht="18.75" customHeight="1">
      <c r="A2602" s="142" t="s">
        <v>10248</v>
      </c>
      <c r="B2602" s="19" t="s">
        <v>4313</v>
      </c>
      <c r="C2602" s="20">
        <v>137.0</v>
      </c>
      <c r="D2602" s="21" t="s">
        <v>10249</v>
      </c>
      <c r="E2602" s="27" t="s">
        <v>85</v>
      </c>
      <c r="F2602" s="18" t="s">
        <v>48</v>
      </c>
      <c r="G2602" s="32" t="s">
        <v>35</v>
      </c>
      <c r="H2602" s="23" t="s">
        <v>35</v>
      </c>
      <c r="I2602" s="37" t="s">
        <v>36</v>
      </c>
      <c r="J2602" s="25" t="s">
        <v>92</v>
      </c>
      <c r="K2602" s="26" t="s">
        <v>38</v>
      </c>
      <c r="L2602" s="25">
        <v>12393.0</v>
      </c>
      <c r="M2602" s="27" t="s">
        <v>50</v>
      </c>
      <c r="N2602" s="26" t="s">
        <v>7077</v>
      </c>
      <c r="O2602" s="28">
        <v>45664.64722222222</v>
      </c>
      <c r="P2602" s="26" t="s">
        <v>10250</v>
      </c>
      <c r="Q2602" s="11" t="s">
        <v>67</v>
      </c>
      <c r="R2602" s="11" t="s">
        <v>67</v>
      </c>
      <c r="S2602" s="11" t="s">
        <v>50</v>
      </c>
      <c r="T2602" s="29">
        <v>45664.3604322801</v>
      </c>
      <c r="U2602" s="29">
        <v>45664.3604743287</v>
      </c>
      <c r="V2602" s="29">
        <v>45664.363482569446</v>
      </c>
      <c r="W2602" s="30"/>
      <c r="X2602" s="148">
        <v>45641.0</v>
      </c>
      <c r="Y2602" s="31"/>
      <c r="Z2602" s="31"/>
      <c r="AA2602" s="31"/>
      <c r="AB2602" s="31" t="s">
        <v>10251</v>
      </c>
      <c r="AC2602" s="31"/>
    </row>
    <row r="2603" ht="18.75" customHeight="1">
      <c r="A2603" s="142" t="s">
        <v>10252</v>
      </c>
      <c r="B2603" s="19" t="s">
        <v>4313</v>
      </c>
      <c r="C2603" s="20">
        <v>1.0</v>
      </c>
      <c r="D2603" s="21" t="s">
        <v>10253</v>
      </c>
      <c r="E2603" s="27" t="s">
        <v>3395</v>
      </c>
      <c r="F2603" s="18" t="s">
        <v>48</v>
      </c>
      <c r="G2603" s="32" t="s">
        <v>35</v>
      </c>
      <c r="H2603" s="23" t="s">
        <v>35</v>
      </c>
      <c r="I2603" s="37" t="s">
        <v>36</v>
      </c>
      <c r="J2603" s="25" t="s">
        <v>92</v>
      </c>
      <c r="K2603" s="26" t="s">
        <v>38</v>
      </c>
      <c r="L2603" s="34">
        <v>11830.0</v>
      </c>
      <c r="M2603" s="27" t="s">
        <v>50</v>
      </c>
      <c r="N2603" s="26" t="s">
        <v>7077</v>
      </c>
      <c r="O2603" s="28">
        <v>45601.632983993055</v>
      </c>
      <c r="P2603" s="26" t="s">
        <v>10254</v>
      </c>
      <c r="Q2603" s="11" t="s">
        <v>67</v>
      </c>
      <c r="R2603" s="11" t="s">
        <v>67</v>
      </c>
      <c r="S2603" s="11" t="s">
        <v>73</v>
      </c>
      <c r="T2603" s="29">
        <v>45574.62876013889</v>
      </c>
      <c r="U2603" s="29">
        <v>45575.36087693287</v>
      </c>
      <c r="V2603" s="29">
        <v>45589.78610875</v>
      </c>
      <c r="W2603" s="30"/>
      <c r="X2603" s="30"/>
      <c r="Y2603" s="31"/>
      <c r="Z2603" s="31"/>
      <c r="AA2603" s="31" t="s">
        <v>120</v>
      </c>
      <c r="AB2603" s="31" t="s">
        <v>10255</v>
      </c>
      <c r="AC2603" s="31"/>
    </row>
    <row r="2604" ht="18.75" customHeight="1">
      <c r="A2604" s="142" t="s">
        <v>10256</v>
      </c>
      <c r="B2604" s="19" t="s">
        <v>4313</v>
      </c>
      <c r="C2604" s="20">
        <v>90.0</v>
      </c>
      <c r="D2604" s="158" t="s">
        <v>10257</v>
      </c>
      <c r="E2604" s="27" t="s">
        <v>91</v>
      </c>
      <c r="F2604" s="18" t="s">
        <v>48</v>
      </c>
      <c r="G2604" s="32" t="s">
        <v>35</v>
      </c>
      <c r="H2604" s="23" t="s">
        <v>35</v>
      </c>
      <c r="I2604" s="37" t="s">
        <v>36</v>
      </c>
      <c r="J2604" s="25" t="s">
        <v>92</v>
      </c>
      <c r="K2604" s="26" t="s">
        <v>38</v>
      </c>
      <c r="L2604" s="25">
        <v>14111.0</v>
      </c>
      <c r="M2604" s="27" t="s">
        <v>50</v>
      </c>
      <c r="N2604" s="26" t="s">
        <v>10176</v>
      </c>
      <c r="O2604" s="140">
        <v>45940.60745880787</v>
      </c>
      <c r="P2604" s="26" t="s">
        <v>10258</v>
      </c>
      <c r="Q2604" s="11" t="s">
        <v>67</v>
      </c>
      <c r="R2604" s="11" t="s">
        <v>73</v>
      </c>
      <c r="S2604" s="11" t="s">
        <v>73</v>
      </c>
      <c r="T2604" s="29">
        <v>45574.63107171297</v>
      </c>
      <c r="U2604" s="141">
        <v>45938.56964767361</v>
      </c>
      <c r="V2604" s="141">
        <v>45939.44149615741</v>
      </c>
      <c r="W2604" s="30"/>
      <c r="X2604" s="159">
        <v>45931.0</v>
      </c>
      <c r="Y2604" s="31">
        <v>302.0</v>
      </c>
      <c r="Z2604" s="31" t="s">
        <v>10259</v>
      </c>
      <c r="AA2604" s="31"/>
      <c r="AB2604" s="160" t="s">
        <v>10260</v>
      </c>
      <c r="AC2604" s="31"/>
    </row>
    <row r="2605" ht="18.75" customHeight="1">
      <c r="A2605" s="18" t="s">
        <v>10261</v>
      </c>
      <c r="B2605" s="19" t="s">
        <v>7442</v>
      </c>
      <c r="C2605" s="20">
        <v>1.0</v>
      </c>
      <c r="D2605" s="21" t="s">
        <v>10262</v>
      </c>
      <c r="E2605" s="27" t="s">
        <v>3395</v>
      </c>
      <c r="F2605" s="18" t="s">
        <v>48</v>
      </c>
      <c r="G2605" s="32" t="s">
        <v>35</v>
      </c>
      <c r="H2605" s="23" t="s">
        <v>35</v>
      </c>
      <c r="I2605" s="37" t="s">
        <v>36</v>
      </c>
      <c r="J2605" s="34" t="s">
        <v>65</v>
      </c>
      <c r="K2605" s="26" t="s">
        <v>38</v>
      </c>
      <c r="L2605" s="25">
        <v>11692.0</v>
      </c>
      <c r="M2605" s="27" t="s">
        <v>50</v>
      </c>
      <c r="N2605" s="26" t="s">
        <v>149</v>
      </c>
      <c r="O2605" s="28">
        <v>45576.625124363425</v>
      </c>
      <c r="P2605" s="26" t="s">
        <v>10263</v>
      </c>
      <c r="Q2605" s="11" t="s">
        <v>67</v>
      </c>
      <c r="R2605" s="11" t="s">
        <v>67</v>
      </c>
      <c r="S2605" s="11" t="s">
        <v>50</v>
      </c>
      <c r="T2605" s="29">
        <v>45575.46016804398</v>
      </c>
      <c r="U2605" s="29">
        <v>45574.66492917824</v>
      </c>
      <c r="V2605" s="29">
        <v>45575.49778012732</v>
      </c>
      <c r="W2605" s="30"/>
      <c r="X2605" s="30"/>
      <c r="Y2605" s="31"/>
      <c r="Z2605" s="31"/>
      <c r="AA2605" s="31" t="s">
        <v>94</v>
      </c>
      <c r="AB2605" s="31" t="s">
        <v>10264</v>
      </c>
      <c r="AC2605" s="31"/>
    </row>
    <row r="2606" ht="18.75" customHeight="1">
      <c r="A2606" s="18" t="s">
        <v>10265</v>
      </c>
      <c r="B2606" s="19" t="s">
        <v>7442</v>
      </c>
      <c r="C2606" s="20">
        <v>1.0</v>
      </c>
      <c r="D2606" s="21" t="s">
        <v>10266</v>
      </c>
      <c r="E2606" s="27" t="s">
        <v>3395</v>
      </c>
      <c r="F2606" s="18" t="s">
        <v>48</v>
      </c>
      <c r="G2606" s="32" t="s">
        <v>35</v>
      </c>
      <c r="H2606" s="23" t="s">
        <v>35</v>
      </c>
      <c r="I2606" s="37" t="s">
        <v>36</v>
      </c>
      <c r="J2606" s="34" t="s">
        <v>65</v>
      </c>
      <c r="K2606" s="26" t="s">
        <v>38</v>
      </c>
      <c r="L2606" s="25">
        <v>11692.0</v>
      </c>
      <c r="M2606" s="27" t="s">
        <v>50</v>
      </c>
      <c r="N2606" s="26" t="s">
        <v>149</v>
      </c>
      <c r="O2606" s="28">
        <v>45576.62596709491</v>
      </c>
      <c r="P2606" s="26" t="s">
        <v>10263</v>
      </c>
      <c r="Q2606" s="11" t="s">
        <v>67</v>
      </c>
      <c r="R2606" s="11"/>
      <c r="S2606" s="11" t="s">
        <v>50</v>
      </c>
      <c r="T2606" s="29">
        <v>45575.46024707176</v>
      </c>
      <c r="U2606" s="29"/>
      <c r="V2606" s="29">
        <v>45575.497766597226</v>
      </c>
      <c r="W2606" s="30"/>
      <c r="X2606" s="30"/>
      <c r="Y2606" s="31"/>
      <c r="Z2606" s="31"/>
      <c r="AA2606" s="31" t="s">
        <v>94</v>
      </c>
      <c r="AB2606" s="31" t="s">
        <v>10267</v>
      </c>
      <c r="AC2606" s="31"/>
    </row>
    <row r="2607" ht="18.75" customHeight="1">
      <c r="A2607" s="142" t="s">
        <v>10268</v>
      </c>
      <c r="B2607" s="19" t="s">
        <v>5346</v>
      </c>
      <c r="C2607" s="20">
        <v>11.0</v>
      </c>
      <c r="D2607" s="21" t="s">
        <v>10269</v>
      </c>
      <c r="E2607" s="27" t="s">
        <v>112</v>
      </c>
      <c r="F2607" s="18" t="s">
        <v>48</v>
      </c>
      <c r="G2607" s="32" t="s">
        <v>35</v>
      </c>
      <c r="H2607" s="23" t="s">
        <v>35</v>
      </c>
      <c r="I2607" s="37" t="s">
        <v>36</v>
      </c>
      <c r="J2607" s="25" t="s">
        <v>49</v>
      </c>
      <c r="K2607" s="26" t="s">
        <v>38</v>
      </c>
      <c r="L2607" s="25">
        <v>11698.0</v>
      </c>
      <c r="M2607" s="27" t="s">
        <v>50</v>
      </c>
      <c r="N2607" s="26" t="s">
        <v>99</v>
      </c>
      <c r="O2607" s="28">
        <v>45576.592021261575</v>
      </c>
      <c r="P2607" s="26" t="s">
        <v>10270</v>
      </c>
      <c r="Q2607" s="11" t="s">
        <v>67</v>
      </c>
      <c r="R2607" s="11" t="s">
        <v>67</v>
      </c>
      <c r="S2607" s="11" t="s">
        <v>50</v>
      </c>
      <c r="T2607" s="29">
        <v>45574.63417186342</v>
      </c>
      <c r="U2607" s="29">
        <v>45574.70219762731</v>
      </c>
      <c r="V2607" s="29">
        <v>45576.369612662034</v>
      </c>
      <c r="W2607" s="30"/>
      <c r="X2607" s="30"/>
      <c r="Y2607" s="31"/>
      <c r="Z2607" s="31"/>
      <c r="AA2607" s="31" t="s">
        <v>127</v>
      </c>
      <c r="AB2607" s="31" t="s">
        <v>10271</v>
      </c>
      <c r="AC2607" s="31"/>
    </row>
    <row r="2608" ht="18.75" customHeight="1">
      <c r="A2608" s="18" t="s">
        <v>10272</v>
      </c>
      <c r="B2608" s="19" t="s">
        <v>4716</v>
      </c>
      <c r="C2608" s="20">
        <v>11.0</v>
      </c>
      <c r="D2608" s="21" t="s">
        <v>10273</v>
      </c>
      <c r="E2608" s="27" t="s">
        <v>112</v>
      </c>
      <c r="F2608" s="18" t="s">
        <v>48</v>
      </c>
      <c r="G2608" s="32" t="s">
        <v>35</v>
      </c>
      <c r="H2608" s="23" t="s">
        <v>35</v>
      </c>
      <c r="I2608" s="37" t="s">
        <v>36</v>
      </c>
      <c r="J2608" s="25" t="s">
        <v>420</v>
      </c>
      <c r="K2608" s="26" t="s">
        <v>38</v>
      </c>
      <c r="L2608" s="25">
        <v>11710.0</v>
      </c>
      <c r="M2608" s="27" t="s">
        <v>50</v>
      </c>
      <c r="N2608" s="26" t="s">
        <v>4031</v>
      </c>
      <c r="O2608" s="28">
        <v>45579.58070181713</v>
      </c>
      <c r="P2608" s="26" t="s">
        <v>10274</v>
      </c>
      <c r="Q2608" s="11" t="s">
        <v>67</v>
      </c>
      <c r="R2608" s="11" t="s">
        <v>67</v>
      </c>
      <c r="S2608" s="11" t="s">
        <v>50</v>
      </c>
      <c r="T2608" s="29">
        <v>45574.63535357639</v>
      </c>
      <c r="U2608" s="29">
        <v>45575.66142949074</v>
      </c>
      <c r="V2608" s="29">
        <v>45579.41243152777</v>
      </c>
      <c r="W2608" s="30"/>
      <c r="X2608" s="30"/>
      <c r="Y2608" s="31"/>
      <c r="Z2608" s="31"/>
      <c r="AA2608" s="31" t="s">
        <v>120</v>
      </c>
      <c r="AB2608" s="31" t="s">
        <v>10275</v>
      </c>
      <c r="AC2608" s="31"/>
    </row>
    <row r="2609" ht="18.75" customHeight="1">
      <c r="A2609" s="18" t="s">
        <v>10276</v>
      </c>
      <c r="B2609" s="19" t="s">
        <v>4716</v>
      </c>
      <c r="C2609" s="20">
        <v>11.0</v>
      </c>
      <c r="D2609" s="21" t="s">
        <v>10277</v>
      </c>
      <c r="E2609" s="27" t="s">
        <v>112</v>
      </c>
      <c r="F2609" s="18" t="s">
        <v>48</v>
      </c>
      <c r="G2609" s="32" t="s">
        <v>35</v>
      </c>
      <c r="H2609" s="23" t="s">
        <v>35</v>
      </c>
      <c r="I2609" s="37" t="s">
        <v>36</v>
      </c>
      <c r="J2609" s="25" t="s">
        <v>420</v>
      </c>
      <c r="K2609" s="26" t="s">
        <v>38</v>
      </c>
      <c r="L2609" s="25">
        <v>11710.0</v>
      </c>
      <c r="M2609" s="27" t="s">
        <v>50</v>
      </c>
      <c r="N2609" s="26" t="s">
        <v>4031</v>
      </c>
      <c r="O2609" s="28">
        <v>45579.580604664356</v>
      </c>
      <c r="P2609" s="26" t="s">
        <v>10274</v>
      </c>
      <c r="Q2609" s="11" t="s">
        <v>67</v>
      </c>
      <c r="R2609" s="11" t="s">
        <v>67</v>
      </c>
      <c r="S2609" s="11" t="s">
        <v>50</v>
      </c>
      <c r="T2609" s="29">
        <v>45574.63546769676</v>
      </c>
      <c r="U2609" s="29">
        <v>45575.661322002314</v>
      </c>
      <c r="V2609" s="29">
        <v>45579.415658067126</v>
      </c>
      <c r="W2609" s="30"/>
      <c r="X2609" s="30"/>
      <c r="Y2609" s="31"/>
      <c r="Z2609" s="31"/>
      <c r="AA2609" s="31" t="s">
        <v>120</v>
      </c>
      <c r="AB2609" s="31" t="s">
        <v>10278</v>
      </c>
      <c r="AC2609" s="31"/>
    </row>
    <row r="2610" ht="18.75" customHeight="1">
      <c r="A2610" s="18" t="s">
        <v>10279</v>
      </c>
      <c r="B2610" s="19" t="s">
        <v>4313</v>
      </c>
      <c r="C2610" s="20">
        <v>34.0</v>
      </c>
      <c r="D2610" s="21" t="s">
        <v>10280</v>
      </c>
      <c r="E2610" s="27" t="s">
        <v>47</v>
      </c>
      <c r="F2610" s="18" t="s">
        <v>48</v>
      </c>
      <c r="G2610" s="32" t="s">
        <v>35</v>
      </c>
      <c r="H2610" s="23" t="s">
        <v>35</v>
      </c>
      <c r="I2610" s="37" t="s">
        <v>36</v>
      </c>
      <c r="J2610" s="25" t="s">
        <v>92</v>
      </c>
      <c r="K2610" s="26" t="s">
        <v>38</v>
      </c>
      <c r="L2610" s="25">
        <v>11732.0</v>
      </c>
      <c r="M2610" s="27" t="s">
        <v>73</v>
      </c>
      <c r="N2610" s="26" t="s">
        <v>10181</v>
      </c>
      <c r="O2610" s="28">
        <v>45586.5729830787</v>
      </c>
      <c r="P2610" s="26" t="s">
        <v>10281</v>
      </c>
      <c r="Q2610" s="11" t="s">
        <v>67</v>
      </c>
      <c r="R2610" s="11" t="s">
        <v>67</v>
      </c>
      <c r="S2610" s="11" t="s">
        <v>50</v>
      </c>
      <c r="T2610" s="29">
        <v>45574.64014497685</v>
      </c>
      <c r="U2610" s="29">
        <v>45580.71931417824</v>
      </c>
      <c r="V2610" s="29">
        <v>45581.36059872685</v>
      </c>
      <c r="W2610" s="30"/>
      <c r="X2610" s="30"/>
      <c r="Y2610" s="31"/>
      <c r="Z2610" s="31"/>
      <c r="AA2610" s="31"/>
      <c r="AB2610" s="31" t="s">
        <v>10282</v>
      </c>
      <c r="AC2610" s="31"/>
    </row>
    <row r="2611" ht="18.75" customHeight="1">
      <c r="A2611" s="18" t="s">
        <v>10283</v>
      </c>
      <c r="B2611" s="19" t="s">
        <v>4313</v>
      </c>
      <c r="C2611" s="20">
        <v>34.0</v>
      </c>
      <c r="D2611" s="21" t="s">
        <v>10284</v>
      </c>
      <c r="E2611" s="27" t="s">
        <v>47</v>
      </c>
      <c r="F2611" s="18" t="s">
        <v>48</v>
      </c>
      <c r="G2611" s="32" t="s">
        <v>35</v>
      </c>
      <c r="H2611" s="23" t="s">
        <v>35</v>
      </c>
      <c r="I2611" s="37" t="s">
        <v>36</v>
      </c>
      <c r="J2611" s="25" t="s">
        <v>92</v>
      </c>
      <c r="K2611" s="26" t="s">
        <v>38</v>
      </c>
      <c r="L2611" s="25">
        <v>11732.0</v>
      </c>
      <c r="M2611" s="27" t="s">
        <v>73</v>
      </c>
      <c r="N2611" s="26" t="s">
        <v>10181</v>
      </c>
      <c r="O2611" s="28">
        <v>45586.57294653935</v>
      </c>
      <c r="P2611" s="26" t="s">
        <v>10281</v>
      </c>
      <c r="Q2611" s="11" t="s">
        <v>67</v>
      </c>
      <c r="R2611" s="11" t="s">
        <v>67</v>
      </c>
      <c r="S2611" s="11" t="s">
        <v>50</v>
      </c>
      <c r="T2611" s="29">
        <v>45574.640290208336</v>
      </c>
      <c r="U2611" s="29">
        <v>45580.71928762732</v>
      </c>
      <c r="V2611" s="29">
        <v>45581.360586215276</v>
      </c>
      <c r="W2611" s="30"/>
      <c r="X2611" s="30"/>
      <c r="Y2611" s="31"/>
      <c r="Z2611" s="31"/>
      <c r="AA2611" s="31"/>
      <c r="AB2611" s="31" t="s">
        <v>10285</v>
      </c>
      <c r="AC2611" s="31"/>
    </row>
    <row r="2612" ht="18.75" customHeight="1">
      <c r="A2612" s="32" t="s">
        <v>10286</v>
      </c>
      <c r="B2612" s="19" t="s">
        <v>4313</v>
      </c>
      <c r="C2612" s="20">
        <v>0.0</v>
      </c>
      <c r="D2612" s="21" t="s">
        <v>10287</v>
      </c>
      <c r="E2612" s="22" t="s">
        <v>4430</v>
      </c>
      <c r="F2612" s="18" t="s">
        <v>48</v>
      </c>
      <c r="G2612" s="32" t="s">
        <v>35</v>
      </c>
      <c r="H2612" s="23" t="s">
        <v>35</v>
      </c>
      <c r="I2612" s="37" t="s">
        <v>36</v>
      </c>
      <c r="J2612" s="25" t="s">
        <v>92</v>
      </c>
      <c r="K2612" s="26" t="s">
        <v>38</v>
      </c>
      <c r="L2612" s="34">
        <v>11919.0</v>
      </c>
      <c r="M2612" s="27" t="s">
        <v>50</v>
      </c>
      <c r="N2612" s="26" t="s">
        <v>7077</v>
      </c>
      <c r="O2612" s="28">
        <v>45601.63305748843</v>
      </c>
      <c r="P2612" s="26" t="s">
        <v>10281</v>
      </c>
      <c r="Q2612" s="11" t="s">
        <v>67</v>
      </c>
      <c r="R2612" s="11" t="s">
        <v>67</v>
      </c>
      <c r="S2612" s="11" t="s">
        <v>73</v>
      </c>
      <c r="T2612" s="29">
        <v>45574.640514259256</v>
      </c>
      <c r="U2612" s="29">
        <v>45580.7193196875</v>
      </c>
      <c r="V2612" s="29">
        <v>45589.7863178588</v>
      </c>
      <c r="W2612" s="30"/>
      <c r="X2612" s="30"/>
      <c r="Y2612" s="31"/>
      <c r="Z2612" s="31"/>
      <c r="AA2612" s="31"/>
      <c r="AB2612" s="31" t="s">
        <v>10288</v>
      </c>
      <c r="AC2612" s="31"/>
    </row>
    <row r="2613" ht="18.75" customHeight="1">
      <c r="A2613" s="32" t="s">
        <v>10289</v>
      </c>
      <c r="B2613" s="19" t="s">
        <v>4313</v>
      </c>
      <c r="C2613" s="20">
        <v>0.0</v>
      </c>
      <c r="D2613" s="21" t="s">
        <v>10290</v>
      </c>
      <c r="E2613" s="22" t="s">
        <v>4430</v>
      </c>
      <c r="F2613" s="18" t="s">
        <v>48</v>
      </c>
      <c r="G2613" s="32" t="s">
        <v>35</v>
      </c>
      <c r="H2613" s="23" t="s">
        <v>35</v>
      </c>
      <c r="I2613" s="37" t="s">
        <v>36</v>
      </c>
      <c r="J2613" s="25" t="s">
        <v>92</v>
      </c>
      <c r="K2613" s="26" t="s">
        <v>38</v>
      </c>
      <c r="L2613" s="34">
        <v>11919.0</v>
      </c>
      <c r="M2613" s="27" t="s">
        <v>50</v>
      </c>
      <c r="N2613" s="26" t="s">
        <v>7077</v>
      </c>
      <c r="O2613" s="28">
        <v>45601.63311888889</v>
      </c>
      <c r="P2613" s="26" t="s">
        <v>10281</v>
      </c>
      <c r="Q2613" s="11" t="s">
        <v>67</v>
      </c>
      <c r="R2613" s="11" t="s">
        <v>67</v>
      </c>
      <c r="S2613" s="11" t="s">
        <v>73</v>
      </c>
      <c r="T2613" s="29">
        <v>45574.64064802083</v>
      </c>
      <c r="U2613" s="29">
        <v>45580.71932618055</v>
      </c>
      <c r="V2613" s="29">
        <v>45589.78633491899</v>
      </c>
      <c r="W2613" s="30"/>
      <c r="X2613" s="30"/>
      <c r="Y2613" s="31"/>
      <c r="Z2613" s="31"/>
      <c r="AA2613" s="31"/>
      <c r="AB2613" s="31" t="s">
        <v>10291</v>
      </c>
      <c r="AC2613" s="31"/>
    </row>
    <row r="2614" ht="18.75" customHeight="1">
      <c r="A2614" s="32" t="s">
        <v>10292</v>
      </c>
      <c r="B2614" s="19" t="s">
        <v>4313</v>
      </c>
      <c r="C2614" s="20">
        <v>1.0</v>
      </c>
      <c r="D2614" s="21" t="s">
        <v>10293</v>
      </c>
      <c r="E2614" s="27" t="s">
        <v>3395</v>
      </c>
      <c r="F2614" s="18" t="s">
        <v>48</v>
      </c>
      <c r="G2614" s="32" t="s">
        <v>35</v>
      </c>
      <c r="H2614" s="23" t="s">
        <v>35</v>
      </c>
      <c r="I2614" s="37" t="s">
        <v>36</v>
      </c>
      <c r="J2614" s="25" t="s">
        <v>92</v>
      </c>
      <c r="K2614" s="26" t="s">
        <v>38</v>
      </c>
      <c r="L2614" s="34">
        <v>11919.0</v>
      </c>
      <c r="M2614" s="27" t="s">
        <v>50</v>
      </c>
      <c r="N2614" s="26" t="s">
        <v>7077</v>
      </c>
      <c r="O2614" s="28">
        <v>45601.633168726854</v>
      </c>
      <c r="P2614" s="26" t="s">
        <v>10281</v>
      </c>
      <c r="Q2614" s="11" t="s">
        <v>67</v>
      </c>
      <c r="R2614" s="11" t="s">
        <v>67</v>
      </c>
      <c r="S2614" s="11" t="s">
        <v>73</v>
      </c>
      <c r="T2614" s="29">
        <v>45574.64094159722</v>
      </c>
      <c r="U2614" s="29">
        <v>45580.71932993055</v>
      </c>
      <c r="V2614" s="29">
        <v>45589.78635055556</v>
      </c>
      <c r="W2614" s="30"/>
      <c r="X2614" s="30"/>
      <c r="Y2614" s="31"/>
      <c r="Z2614" s="31"/>
      <c r="AA2614" s="31"/>
      <c r="AB2614" s="31" t="s">
        <v>10294</v>
      </c>
      <c r="AC2614" s="31"/>
    </row>
    <row r="2615" ht="18.75" customHeight="1">
      <c r="A2615" s="32" t="s">
        <v>10295</v>
      </c>
      <c r="B2615" s="19" t="s">
        <v>4313</v>
      </c>
      <c r="C2615" s="20">
        <v>90.0</v>
      </c>
      <c r="D2615" s="21" t="s">
        <v>10296</v>
      </c>
      <c r="E2615" s="27" t="s">
        <v>91</v>
      </c>
      <c r="F2615" s="18" t="s">
        <v>48</v>
      </c>
      <c r="G2615" s="32" t="s">
        <v>35</v>
      </c>
      <c r="H2615" s="23" t="s">
        <v>35</v>
      </c>
      <c r="I2615" s="37" t="s">
        <v>36</v>
      </c>
      <c r="J2615" s="25" t="s">
        <v>92</v>
      </c>
      <c r="K2615" s="26" t="s">
        <v>38</v>
      </c>
      <c r="L2615" s="34">
        <v>11919.0</v>
      </c>
      <c r="M2615" s="27" t="s">
        <v>50</v>
      </c>
      <c r="N2615" s="26" t="s">
        <v>7077</v>
      </c>
      <c r="O2615" s="28">
        <v>45601.63322516203</v>
      </c>
      <c r="P2615" s="26" t="s">
        <v>10281</v>
      </c>
      <c r="Q2615" s="11" t="s">
        <v>67</v>
      </c>
      <c r="R2615" s="11" t="s">
        <v>67</v>
      </c>
      <c r="S2615" s="11" t="s">
        <v>73</v>
      </c>
      <c r="T2615" s="29">
        <v>45574.641540798606</v>
      </c>
      <c r="U2615" s="29">
        <v>45580.71933951389</v>
      </c>
      <c r="V2615" s="29">
        <v>45589.78636513889</v>
      </c>
      <c r="W2615" s="30"/>
      <c r="X2615" s="30"/>
      <c r="Y2615" s="31"/>
      <c r="Z2615" s="31"/>
      <c r="AA2615" s="31"/>
      <c r="AB2615" s="31" t="s">
        <v>10297</v>
      </c>
      <c r="AC2615" s="31"/>
    </row>
    <row r="2616" ht="18.75" customHeight="1">
      <c r="A2616" s="18" t="s">
        <v>10298</v>
      </c>
      <c r="B2616" s="19" t="s">
        <v>4313</v>
      </c>
      <c r="C2616" s="20">
        <v>34.0</v>
      </c>
      <c r="D2616" s="21" t="s">
        <v>10299</v>
      </c>
      <c r="E2616" s="27" t="s">
        <v>47</v>
      </c>
      <c r="F2616" s="18" t="s">
        <v>48</v>
      </c>
      <c r="G2616" s="32" t="s">
        <v>35</v>
      </c>
      <c r="H2616" s="23" t="s">
        <v>35</v>
      </c>
      <c r="I2616" s="37" t="s">
        <v>36</v>
      </c>
      <c r="J2616" s="25" t="s">
        <v>92</v>
      </c>
      <c r="K2616" s="26" t="s">
        <v>38</v>
      </c>
      <c r="L2616" s="34">
        <v>13376.0</v>
      </c>
      <c r="M2616" s="27" t="s">
        <v>73</v>
      </c>
      <c r="N2616" s="26" t="s">
        <v>10176</v>
      </c>
      <c r="O2616" s="140">
        <v>45847.67434903936</v>
      </c>
      <c r="P2616" s="26" t="s">
        <v>10300</v>
      </c>
      <c r="Q2616" s="11" t="s">
        <v>67</v>
      </c>
      <c r="R2616" s="11" t="s">
        <v>10240</v>
      </c>
      <c r="S2616" s="11"/>
      <c r="T2616" s="29">
        <v>45574.64290106481</v>
      </c>
      <c r="U2616" s="29">
        <v>45625.55936775463</v>
      </c>
      <c r="V2616" s="29">
        <v>45625.55936775463</v>
      </c>
      <c r="W2616" s="30"/>
      <c r="X2616" s="159">
        <v>45809.0</v>
      </c>
      <c r="Y2616" s="31"/>
      <c r="Z2616" s="31"/>
      <c r="AA2616" s="31"/>
      <c r="AB2616" s="31" t="s">
        <v>10301</v>
      </c>
      <c r="AC2616" s="31"/>
    </row>
    <row r="2617" ht="18.75" customHeight="1">
      <c r="A2617" s="18" t="s">
        <v>10302</v>
      </c>
      <c r="B2617" s="19" t="s">
        <v>4313</v>
      </c>
      <c r="C2617" s="20">
        <v>34.0</v>
      </c>
      <c r="D2617" s="21" t="s">
        <v>10303</v>
      </c>
      <c r="E2617" s="27" t="s">
        <v>47</v>
      </c>
      <c r="F2617" s="18" t="s">
        <v>48</v>
      </c>
      <c r="G2617" s="32" t="s">
        <v>35</v>
      </c>
      <c r="H2617" s="23" t="s">
        <v>35</v>
      </c>
      <c r="I2617" s="37" t="s">
        <v>36</v>
      </c>
      <c r="J2617" s="25" t="s">
        <v>92</v>
      </c>
      <c r="K2617" s="26" t="s">
        <v>38</v>
      </c>
      <c r="L2617" s="34">
        <v>13376.0</v>
      </c>
      <c r="M2617" s="27" t="s">
        <v>73</v>
      </c>
      <c r="N2617" s="26" t="s">
        <v>10176</v>
      </c>
      <c r="O2617" s="140">
        <v>45847.67442434028</v>
      </c>
      <c r="P2617" s="26" t="s">
        <v>10300</v>
      </c>
      <c r="Q2617" s="11" t="s">
        <v>67</v>
      </c>
      <c r="R2617" s="11" t="s">
        <v>10240</v>
      </c>
      <c r="S2617" s="11"/>
      <c r="T2617" s="29">
        <v>45574.643014155095</v>
      </c>
      <c r="U2617" s="29">
        <v>45625.55927885417</v>
      </c>
      <c r="V2617" s="29">
        <v>45625.55927885417</v>
      </c>
      <c r="W2617" s="30"/>
      <c r="X2617" s="159">
        <v>45809.0</v>
      </c>
      <c r="Y2617" s="31"/>
      <c r="Z2617" s="31"/>
      <c r="AA2617" s="31"/>
      <c r="AB2617" s="31" t="s">
        <v>10304</v>
      </c>
      <c r="AC2617" s="31"/>
    </row>
    <row r="2618" ht="18.75" customHeight="1">
      <c r="A2618" s="18" t="s">
        <v>10305</v>
      </c>
      <c r="B2618" s="19" t="s">
        <v>4313</v>
      </c>
      <c r="C2618" s="20">
        <v>0.0</v>
      </c>
      <c r="D2618" s="21" t="s">
        <v>10306</v>
      </c>
      <c r="E2618" s="27" t="s">
        <v>4430</v>
      </c>
      <c r="F2618" s="18" t="s">
        <v>48</v>
      </c>
      <c r="G2618" s="32" t="s">
        <v>35</v>
      </c>
      <c r="H2618" s="23" t="s">
        <v>35</v>
      </c>
      <c r="I2618" s="37" t="s">
        <v>36</v>
      </c>
      <c r="J2618" s="25" t="s">
        <v>92</v>
      </c>
      <c r="K2618" s="26" t="s">
        <v>38</v>
      </c>
      <c r="L2618" s="25">
        <v>12635.0</v>
      </c>
      <c r="M2618" s="27" t="s">
        <v>73</v>
      </c>
      <c r="N2618" s="26" t="s">
        <v>7145</v>
      </c>
      <c r="O2618" s="140">
        <v>45707.36994064815</v>
      </c>
      <c r="P2618" s="26" t="s">
        <v>10307</v>
      </c>
      <c r="Q2618" s="11" t="s">
        <v>75</v>
      </c>
      <c r="R2618" s="11" t="s">
        <v>75</v>
      </c>
      <c r="S2618" s="11" t="s">
        <v>50</v>
      </c>
      <c r="T2618" s="29">
        <v>45680.61658648148</v>
      </c>
      <c r="U2618" s="29">
        <v>45680.61656026621</v>
      </c>
      <c r="V2618" s="141">
        <v>45706.659241354166</v>
      </c>
      <c r="W2618" s="30"/>
      <c r="X2618" s="157">
        <v>45688.0</v>
      </c>
      <c r="Y2618" s="31"/>
      <c r="Z2618" s="31"/>
      <c r="AA2618" s="31"/>
      <c r="AB2618" s="31" t="s">
        <v>10308</v>
      </c>
      <c r="AC2618" s="31"/>
    </row>
    <row r="2619" ht="18.75" customHeight="1">
      <c r="A2619" s="18" t="s">
        <v>10309</v>
      </c>
      <c r="B2619" s="19" t="s">
        <v>4313</v>
      </c>
      <c r="C2619" s="20">
        <v>90.0</v>
      </c>
      <c r="D2619" s="21" t="s">
        <v>10310</v>
      </c>
      <c r="E2619" s="27" t="s">
        <v>91</v>
      </c>
      <c r="F2619" s="18" t="s">
        <v>48</v>
      </c>
      <c r="G2619" s="32" t="s">
        <v>35</v>
      </c>
      <c r="H2619" s="23" t="s">
        <v>35</v>
      </c>
      <c r="I2619" s="37" t="s">
        <v>36</v>
      </c>
      <c r="J2619" s="25" t="s">
        <v>92</v>
      </c>
      <c r="K2619" s="26" t="s">
        <v>38</v>
      </c>
      <c r="L2619" s="25">
        <v>12635.0</v>
      </c>
      <c r="M2619" s="27" t="s">
        <v>73</v>
      </c>
      <c r="N2619" s="26" t="s">
        <v>7145</v>
      </c>
      <c r="O2619" s="140">
        <v>45707.36986359954</v>
      </c>
      <c r="P2619" s="26" t="s">
        <v>10307</v>
      </c>
      <c r="Q2619" s="11" t="s">
        <v>75</v>
      </c>
      <c r="R2619" s="11" t="s">
        <v>75</v>
      </c>
      <c r="S2619" s="11" t="s">
        <v>50</v>
      </c>
      <c r="T2619" s="29">
        <v>45680.61653921296</v>
      </c>
      <c r="U2619" s="29">
        <v>45680.616475312505</v>
      </c>
      <c r="V2619" s="141">
        <v>45706.65922939815</v>
      </c>
      <c r="W2619" s="30"/>
      <c r="X2619" s="157">
        <v>45688.0</v>
      </c>
      <c r="Y2619" s="31"/>
      <c r="Z2619" s="31"/>
      <c r="AA2619" s="31"/>
      <c r="AB2619" s="31" t="s">
        <v>10311</v>
      </c>
      <c r="AC2619" s="31"/>
    </row>
    <row r="2620" ht="21.0" customHeight="1">
      <c r="A2620" s="142" t="s">
        <v>10312</v>
      </c>
      <c r="B2620" s="19" t="s">
        <v>10313</v>
      </c>
      <c r="C2620" s="20">
        <v>0.0</v>
      </c>
      <c r="D2620" s="161" t="s">
        <v>335</v>
      </c>
      <c r="E2620" s="22" t="s">
        <v>2167</v>
      </c>
      <c r="F2620" s="18" t="s">
        <v>33</v>
      </c>
      <c r="G2620" s="32" t="s">
        <v>35</v>
      </c>
      <c r="H2620" s="23" t="s">
        <v>35</v>
      </c>
      <c r="I2620" s="37" t="s">
        <v>36</v>
      </c>
      <c r="J2620" s="25" t="s">
        <v>49</v>
      </c>
      <c r="K2620" s="26" t="s">
        <v>38</v>
      </c>
      <c r="L2620" s="25">
        <v>11747.0</v>
      </c>
      <c r="M2620" s="27" t="s">
        <v>50</v>
      </c>
      <c r="N2620" s="26" t="s">
        <v>99</v>
      </c>
      <c r="O2620" s="28">
        <v>45582.58099430555</v>
      </c>
      <c r="P2620" s="26" t="s">
        <v>10314</v>
      </c>
      <c r="Q2620" s="11" t="s">
        <v>67</v>
      </c>
      <c r="R2620" s="11" t="s">
        <v>67</v>
      </c>
      <c r="S2620" s="11" t="s">
        <v>101</v>
      </c>
      <c r="T2620" s="29">
        <v>45574.648277395834</v>
      </c>
      <c r="U2620" s="29">
        <v>45579.45520793981</v>
      </c>
      <c r="V2620" s="29">
        <v>45582.34572914352</v>
      </c>
      <c r="W2620" s="30"/>
      <c r="X2620" s="30"/>
      <c r="Y2620" s="31"/>
      <c r="Z2620" s="31"/>
      <c r="AA2620" s="31" t="s">
        <v>127</v>
      </c>
      <c r="AB2620" s="31" t="s">
        <v>10315</v>
      </c>
      <c r="AC2620" s="31"/>
    </row>
    <row r="2621" ht="18.75" customHeight="1">
      <c r="A2621" s="18" t="s">
        <v>10316</v>
      </c>
      <c r="B2621" s="19" t="s">
        <v>4313</v>
      </c>
      <c r="C2621" s="20">
        <v>0.0</v>
      </c>
      <c r="D2621" s="21" t="s">
        <v>10317</v>
      </c>
      <c r="E2621" s="27" t="s">
        <v>4430</v>
      </c>
      <c r="F2621" s="18" t="s">
        <v>48</v>
      </c>
      <c r="G2621" s="32" t="s">
        <v>35</v>
      </c>
      <c r="H2621" s="23" t="s">
        <v>35</v>
      </c>
      <c r="I2621" s="37" t="s">
        <v>36</v>
      </c>
      <c r="J2621" s="25" t="s">
        <v>92</v>
      </c>
      <c r="K2621" s="26" t="s">
        <v>38</v>
      </c>
      <c r="L2621" s="25">
        <v>-11745.0</v>
      </c>
      <c r="M2621" s="27" t="s">
        <v>73</v>
      </c>
      <c r="N2621" s="26" t="s">
        <v>10176</v>
      </c>
      <c r="O2621" s="140">
        <v>45740.68511892361</v>
      </c>
      <c r="P2621" s="26" t="s">
        <v>10318</v>
      </c>
      <c r="Q2621" s="11" t="s">
        <v>67</v>
      </c>
      <c r="R2621" s="11" t="s">
        <v>10240</v>
      </c>
      <c r="S2621" s="11"/>
      <c r="T2621" s="29">
        <v>45574.653107754624</v>
      </c>
      <c r="U2621" s="29">
        <v>45625.559960196755</v>
      </c>
      <c r="V2621" s="29"/>
      <c r="W2621" s="30"/>
      <c r="X2621" s="157">
        <v>45717.0</v>
      </c>
      <c r="Y2621" s="31"/>
      <c r="Z2621" s="31"/>
      <c r="AA2621" s="31"/>
      <c r="AB2621" s="31" t="s">
        <v>10319</v>
      </c>
      <c r="AC2621" s="31"/>
    </row>
    <row r="2622" ht="18.75" customHeight="1">
      <c r="A2622" s="18" t="s">
        <v>10320</v>
      </c>
      <c r="B2622" s="19" t="s">
        <v>4313</v>
      </c>
      <c r="C2622" s="20">
        <v>0.0</v>
      </c>
      <c r="D2622" s="21" t="s">
        <v>10321</v>
      </c>
      <c r="E2622" s="27" t="s">
        <v>4430</v>
      </c>
      <c r="F2622" s="18" t="s">
        <v>48</v>
      </c>
      <c r="G2622" s="32" t="s">
        <v>35</v>
      </c>
      <c r="H2622" s="23" t="s">
        <v>35</v>
      </c>
      <c r="I2622" s="37" t="s">
        <v>36</v>
      </c>
      <c r="J2622" s="25" t="s">
        <v>92</v>
      </c>
      <c r="K2622" s="26" t="s">
        <v>38</v>
      </c>
      <c r="L2622" s="25">
        <v>-11745.0</v>
      </c>
      <c r="M2622" s="27" t="s">
        <v>73</v>
      </c>
      <c r="N2622" s="26" t="s">
        <v>10176</v>
      </c>
      <c r="O2622" s="140">
        <v>45740.68536210648</v>
      </c>
      <c r="P2622" s="26" t="s">
        <v>10318</v>
      </c>
      <c r="Q2622" s="11" t="s">
        <v>67</v>
      </c>
      <c r="R2622" s="11" t="s">
        <v>10240</v>
      </c>
      <c r="S2622" s="11"/>
      <c r="T2622" s="29">
        <v>45574.653216782404</v>
      </c>
      <c r="U2622" s="29">
        <v>45625.56002784723</v>
      </c>
      <c r="V2622" s="29"/>
      <c r="W2622" s="30"/>
      <c r="X2622" s="157">
        <v>45717.0</v>
      </c>
      <c r="Y2622" s="31"/>
      <c r="Z2622" s="31"/>
      <c r="AA2622" s="31"/>
      <c r="AB2622" s="31" t="s">
        <v>10322</v>
      </c>
      <c r="AC2622" s="31"/>
    </row>
    <row r="2623" ht="18.75" customHeight="1">
      <c r="A2623" s="18" t="s">
        <v>10323</v>
      </c>
      <c r="B2623" s="19" t="s">
        <v>4313</v>
      </c>
      <c r="C2623" s="20">
        <v>137.0</v>
      </c>
      <c r="D2623" s="21" t="s">
        <v>10324</v>
      </c>
      <c r="E2623" s="27" t="s">
        <v>85</v>
      </c>
      <c r="F2623" s="18" t="s">
        <v>48</v>
      </c>
      <c r="G2623" s="32" t="s">
        <v>35</v>
      </c>
      <c r="H2623" s="23" t="s">
        <v>35</v>
      </c>
      <c r="I2623" s="37" t="s">
        <v>36</v>
      </c>
      <c r="J2623" s="25" t="s">
        <v>92</v>
      </c>
      <c r="K2623" s="26" t="s">
        <v>38</v>
      </c>
      <c r="L2623" s="25">
        <v>-11745.0</v>
      </c>
      <c r="M2623" s="27" t="s">
        <v>50</v>
      </c>
      <c r="N2623" s="26" t="s">
        <v>10176</v>
      </c>
      <c r="O2623" s="140">
        <v>45734.65549334491</v>
      </c>
      <c r="P2623" s="26" t="s">
        <v>10318</v>
      </c>
      <c r="Q2623" s="11" t="s">
        <v>67</v>
      </c>
      <c r="R2623" s="11" t="s">
        <v>10240</v>
      </c>
      <c r="S2623" s="11" t="s">
        <v>50</v>
      </c>
      <c r="T2623" s="29">
        <v>45574.653466331016</v>
      </c>
      <c r="U2623" s="29">
        <v>45625.56009828704</v>
      </c>
      <c r="V2623" s="141">
        <v>45734.65498856481</v>
      </c>
      <c r="W2623" s="30"/>
      <c r="X2623" s="157">
        <v>45717.0</v>
      </c>
      <c r="Y2623" s="31"/>
      <c r="Z2623" s="31"/>
      <c r="AA2623" s="31"/>
      <c r="AB2623" s="31" t="s">
        <v>10325</v>
      </c>
      <c r="AC2623" s="31"/>
    </row>
    <row r="2624" ht="18.75" customHeight="1">
      <c r="A2624" s="142" t="s">
        <v>10326</v>
      </c>
      <c r="B2624" s="19" t="s">
        <v>4313</v>
      </c>
      <c r="C2624" s="20">
        <v>11.0</v>
      </c>
      <c r="D2624" s="21" t="s">
        <v>10327</v>
      </c>
      <c r="E2624" s="27" t="s">
        <v>112</v>
      </c>
      <c r="F2624" s="18" t="s">
        <v>48</v>
      </c>
      <c r="G2624" s="32" t="s">
        <v>35</v>
      </c>
      <c r="H2624" s="23" t="s">
        <v>35</v>
      </c>
      <c r="I2624" s="37" t="s">
        <v>36</v>
      </c>
      <c r="J2624" s="25" t="s">
        <v>92</v>
      </c>
      <c r="K2624" s="26" t="s">
        <v>38</v>
      </c>
      <c r="L2624" s="25">
        <v>11706.0</v>
      </c>
      <c r="M2624" s="27" t="s">
        <v>73</v>
      </c>
      <c r="N2624" s="26" t="s">
        <v>10181</v>
      </c>
      <c r="O2624" s="28">
        <v>45586.57301673611</v>
      </c>
      <c r="P2624" s="26" t="s">
        <v>10328</v>
      </c>
      <c r="Q2624" s="11" t="s">
        <v>67</v>
      </c>
      <c r="R2624" s="11" t="s">
        <v>67</v>
      </c>
      <c r="S2624" s="11" t="s">
        <v>9620</v>
      </c>
      <c r="T2624" s="29">
        <v>45574.65495349537</v>
      </c>
      <c r="U2624" s="29">
        <v>45575.35925688657</v>
      </c>
      <c r="V2624" s="29">
        <v>45576.63059840278</v>
      </c>
      <c r="W2624" s="30"/>
      <c r="X2624" s="30"/>
      <c r="Y2624" s="31"/>
      <c r="Z2624" s="31"/>
      <c r="AA2624" s="31" t="s">
        <v>120</v>
      </c>
      <c r="AB2624" s="31" t="s">
        <v>10329</v>
      </c>
      <c r="AC2624" s="31"/>
    </row>
    <row r="2625" ht="18.75" customHeight="1">
      <c r="A2625" s="142" t="s">
        <v>10330</v>
      </c>
      <c r="B2625" s="19" t="s">
        <v>110</v>
      </c>
      <c r="C2625" s="20">
        <v>0.0</v>
      </c>
      <c r="D2625" s="80" t="s">
        <v>10331</v>
      </c>
      <c r="E2625" s="27" t="s">
        <v>8868</v>
      </c>
      <c r="F2625" s="18" t="s">
        <v>48</v>
      </c>
      <c r="G2625" s="32" t="s">
        <v>35</v>
      </c>
      <c r="H2625" s="23" t="s">
        <v>35</v>
      </c>
      <c r="I2625" s="37" t="s">
        <v>36</v>
      </c>
      <c r="J2625" s="34" t="s">
        <v>65</v>
      </c>
      <c r="K2625" s="26" t="s">
        <v>38</v>
      </c>
      <c r="L2625" s="72">
        <v>11772.0</v>
      </c>
      <c r="M2625" s="27" t="s">
        <v>50</v>
      </c>
      <c r="N2625" s="26" t="s">
        <v>5279</v>
      </c>
      <c r="O2625" s="28">
        <v>45587.67158361111</v>
      </c>
      <c r="P2625" s="26" t="s">
        <v>10332</v>
      </c>
      <c r="Q2625" s="11" t="s">
        <v>67</v>
      </c>
      <c r="R2625" s="11" t="s">
        <v>67</v>
      </c>
      <c r="S2625" s="11"/>
      <c r="T2625" s="29">
        <v>45580.4775344213</v>
      </c>
      <c r="U2625" s="29">
        <v>45582.49037611111</v>
      </c>
      <c r="V2625" s="29"/>
      <c r="W2625" s="30"/>
      <c r="X2625" s="30"/>
      <c r="Y2625" s="31"/>
      <c r="Z2625" s="31"/>
      <c r="AA2625" s="31" t="s">
        <v>94</v>
      </c>
      <c r="AB2625" s="31" t="s">
        <v>10333</v>
      </c>
      <c r="AC2625" s="31"/>
    </row>
    <row r="2626" ht="18.75" customHeight="1">
      <c r="A2626" s="142" t="s">
        <v>10334</v>
      </c>
      <c r="B2626" s="19" t="s">
        <v>4716</v>
      </c>
      <c r="C2626" s="20">
        <v>34.0</v>
      </c>
      <c r="D2626" s="21" t="s">
        <v>10335</v>
      </c>
      <c r="E2626" s="27" t="s">
        <v>47</v>
      </c>
      <c r="F2626" s="18" t="s">
        <v>48</v>
      </c>
      <c r="G2626" s="32" t="s">
        <v>35</v>
      </c>
      <c r="H2626" s="23" t="s">
        <v>35</v>
      </c>
      <c r="I2626" s="37" t="s">
        <v>36</v>
      </c>
      <c r="J2626" s="25" t="s">
        <v>420</v>
      </c>
      <c r="K2626" s="26" t="s">
        <v>38</v>
      </c>
      <c r="L2626" s="25">
        <v>11697.0</v>
      </c>
      <c r="M2626" s="27" t="s">
        <v>50</v>
      </c>
      <c r="N2626" s="26" t="s">
        <v>4031</v>
      </c>
      <c r="O2626" s="28">
        <v>45576.596693217594</v>
      </c>
      <c r="P2626" s="26" t="s">
        <v>10336</v>
      </c>
      <c r="Q2626" s="11" t="s">
        <v>67</v>
      </c>
      <c r="R2626" s="11" t="s">
        <v>67</v>
      </c>
      <c r="S2626" s="11" t="s">
        <v>50</v>
      </c>
      <c r="T2626" s="29">
        <v>45575.43404611111</v>
      </c>
      <c r="U2626" s="29">
        <v>45575.66109065972</v>
      </c>
      <c r="V2626" s="29">
        <v>45576.37274283565</v>
      </c>
      <c r="W2626" s="30"/>
      <c r="X2626" s="30"/>
      <c r="Y2626" s="31"/>
      <c r="Z2626" s="31"/>
      <c r="AA2626" s="31" t="s">
        <v>120</v>
      </c>
      <c r="AB2626" s="31" t="s">
        <v>10337</v>
      </c>
      <c r="AC2626" s="31"/>
    </row>
    <row r="2627" ht="18.75" customHeight="1">
      <c r="A2627" s="142" t="s">
        <v>10338</v>
      </c>
      <c r="B2627" s="19" t="s">
        <v>5686</v>
      </c>
      <c r="C2627" s="20">
        <v>1.0</v>
      </c>
      <c r="D2627" s="21" t="s">
        <v>10339</v>
      </c>
      <c r="E2627" s="27" t="s">
        <v>3395</v>
      </c>
      <c r="F2627" s="18" t="s">
        <v>48</v>
      </c>
      <c r="G2627" s="32" t="s">
        <v>35</v>
      </c>
      <c r="H2627" s="23" t="s">
        <v>35</v>
      </c>
      <c r="I2627" s="37" t="s">
        <v>36</v>
      </c>
      <c r="J2627" s="25" t="s">
        <v>92</v>
      </c>
      <c r="K2627" s="26" t="s">
        <v>38</v>
      </c>
      <c r="L2627" s="25">
        <v>11804.0</v>
      </c>
      <c r="M2627" s="27" t="s">
        <v>50</v>
      </c>
      <c r="N2627" s="26" t="s">
        <v>10340</v>
      </c>
      <c r="O2627" s="28">
        <v>45593.460275150464</v>
      </c>
      <c r="P2627" s="26" t="s">
        <v>10341</v>
      </c>
      <c r="Q2627" s="11" t="s">
        <v>67</v>
      </c>
      <c r="R2627" s="11" t="s">
        <v>67</v>
      </c>
      <c r="S2627" s="11" t="s">
        <v>73</v>
      </c>
      <c r="T2627" s="29">
        <v>45575.438359479165</v>
      </c>
      <c r="U2627" s="29">
        <v>45575.66091721065</v>
      </c>
      <c r="V2627" s="29">
        <v>45589.786132511574</v>
      </c>
      <c r="W2627" s="30"/>
      <c r="X2627" s="30"/>
      <c r="Y2627" s="31"/>
      <c r="Z2627" s="31"/>
      <c r="AA2627" s="31" t="s">
        <v>120</v>
      </c>
      <c r="AB2627" s="31" t="s">
        <v>10342</v>
      </c>
      <c r="AC2627" s="31"/>
    </row>
    <row r="2628" ht="18.75" customHeight="1">
      <c r="A2628" s="142" t="s">
        <v>10343</v>
      </c>
      <c r="B2628" s="19" t="s">
        <v>3832</v>
      </c>
      <c r="C2628" s="20">
        <v>11.0</v>
      </c>
      <c r="D2628" s="21" t="s">
        <v>10344</v>
      </c>
      <c r="E2628" s="27" t="s">
        <v>112</v>
      </c>
      <c r="F2628" s="18" t="s">
        <v>48</v>
      </c>
      <c r="G2628" s="32" t="s">
        <v>35</v>
      </c>
      <c r="H2628" s="23" t="s">
        <v>35</v>
      </c>
      <c r="I2628" s="37" t="s">
        <v>36</v>
      </c>
      <c r="J2628" s="25" t="s">
        <v>49</v>
      </c>
      <c r="K2628" s="26" t="s">
        <v>38</v>
      </c>
      <c r="L2628" s="25">
        <v>11696.0</v>
      </c>
      <c r="M2628" s="27" t="s">
        <v>50</v>
      </c>
      <c r="N2628" s="26" t="s">
        <v>99</v>
      </c>
      <c r="O2628" s="28">
        <v>45576.59218237268</v>
      </c>
      <c r="P2628" s="26" t="s">
        <v>10345</v>
      </c>
      <c r="Q2628" s="11"/>
      <c r="R2628" s="11" t="s">
        <v>67</v>
      </c>
      <c r="S2628" s="11" t="s">
        <v>50</v>
      </c>
      <c r="T2628" s="29">
        <v>45575.569468194444</v>
      </c>
      <c r="U2628" s="29">
        <v>45575.56961289352</v>
      </c>
      <c r="V2628" s="29">
        <v>45576.3708480787</v>
      </c>
      <c r="W2628" s="30"/>
      <c r="X2628" s="30"/>
      <c r="Y2628" s="31"/>
      <c r="Z2628" s="31"/>
      <c r="AA2628" s="31" t="s">
        <v>108</v>
      </c>
      <c r="AB2628" s="31" t="s">
        <v>10346</v>
      </c>
      <c r="AC2628" s="31"/>
    </row>
    <row r="2629" ht="18.75" customHeight="1">
      <c r="A2629" s="18" t="s">
        <v>10347</v>
      </c>
      <c r="B2629" s="19" t="s">
        <v>115</v>
      </c>
      <c r="C2629" s="20">
        <v>34.0</v>
      </c>
      <c r="D2629" s="21" t="s">
        <v>10348</v>
      </c>
      <c r="E2629" s="27" t="s">
        <v>47</v>
      </c>
      <c r="F2629" s="18" t="s">
        <v>48</v>
      </c>
      <c r="G2629" s="32" t="s">
        <v>35</v>
      </c>
      <c r="H2629" s="23" t="s">
        <v>35</v>
      </c>
      <c r="I2629" s="37" t="s">
        <v>36</v>
      </c>
      <c r="J2629" s="25" t="s">
        <v>92</v>
      </c>
      <c r="K2629" s="26" t="s">
        <v>38</v>
      </c>
      <c r="L2629" s="25">
        <v>11716.0</v>
      </c>
      <c r="M2629" s="27" t="s">
        <v>73</v>
      </c>
      <c r="N2629" s="26" t="s">
        <v>118</v>
      </c>
      <c r="O2629" s="28">
        <v>45586.4089312963</v>
      </c>
      <c r="P2629" s="26" t="s">
        <v>10349</v>
      </c>
      <c r="Q2629" s="11" t="s">
        <v>67</v>
      </c>
      <c r="R2629" s="11" t="s">
        <v>67</v>
      </c>
      <c r="S2629" s="11"/>
      <c r="T2629" s="29">
        <v>45575.446285972226</v>
      </c>
      <c r="U2629" s="29">
        <v>45575.0</v>
      </c>
      <c r="V2629" s="29">
        <v>45575.0</v>
      </c>
      <c r="W2629" s="30"/>
      <c r="X2629" s="30"/>
      <c r="Y2629" s="31"/>
      <c r="Z2629" s="31"/>
      <c r="AA2629" s="31" t="s">
        <v>120</v>
      </c>
      <c r="AB2629" s="31" t="s">
        <v>10350</v>
      </c>
      <c r="AC2629" s="31"/>
    </row>
    <row r="2630" ht="18.75" customHeight="1">
      <c r="A2630" s="18" t="s">
        <v>10351</v>
      </c>
      <c r="B2630" s="19" t="s">
        <v>115</v>
      </c>
      <c r="C2630" s="20">
        <v>34.0</v>
      </c>
      <c r="D2630" s="21" t="s">
        <v>10352</v>
      </c>
      <c r="E2630" s="27" t="s">
        <v>47</v>
      </c>
      <c r="F2630" s="18" t="s">
        <v>48</v>
      </c>
      <c r="G2630" s="32" t="s">
        <v>35</v>
      </c>
      <c r="H2630" s="23" t="s">
        <v>35</v>
      </c>
      <c r="I2630" s="37" t="s">
        <v>36</v>
      </c>
      <c r="J2630" s="25" t="s">
        <v>92</v>
      </c>
      <c r="K2630" s="26" t="s">
        <v>38</v>
      </c>
      <c r="L2630" s="25">
        <v>11716.0</v>
      </c>
      <c r="M2630" s="27" t="s">
        <v>73</v>
      </c>
      <c r="N2630" s="26" t="s">
        <v>118</v>
      </c>
      <c r="O2630" s="28">
        <v>45586.408981319444</v>
      </c>
      <c r="P2630" s="26" t="s">
        <v>10349</v>
      </c>
      <c r="Q2630" s="11" t="s">
        <v>67</v>
      </c>
      <c r="R2630" s="11"/>
      <c r="S2630" s="11"/>
      <c r="T2630" s="29">
        <v>45575.44636164352</v>
      </c>
      <c r="U2630" s="29">
        <v>45575.0</v>
      </c>
      <c r="V2630" s="29">
        <v>45575.0</v>
      </c>
      <c r="W2630" s="30"/>
      <c r="X2630" s="30"/>
      <c r="Y2630" s="31"/>
      <c r="Z2630" s="31"/>
      <c r="AA2630" s="31" t="s">
        <v>120</v>
      </c>
      <c r="AB2630" s="31" t="s">
        <v>10353</v>
      </c>
      <c r="AC2630" s="31"/>
    </row>
    <row r="2631" ht="18.75" customHeight="1">
      <c r="A2631" s="142" t="s">
        <v>10354</v>
      </c>
      <c r="B2631" s="19" t="s">
        <v>8426</v>
      </c>
      <c r="C2631" s="20">
        <v>0.0</v>
      </c>
      <c r="D2631" s="21" t="s">
        <v>365</v>
      </c>
      <c r="E2631" s="27" t="s">
        <v>251</v>
      </c>
      <c r="F2631" s="18" t="s">
        <v>33</v>
      </c>
      <c r="G2631" s="18" t="s">
        <v>34</v>
      </c>
      <c r="H2631" s="23" t="s">
        <v>35</v>
      </c>
      <c r="I2631" s="37" t="s">
        <v>36</v>
      </c>
      <c r="J2631" s="25" t="s">
        <v>49</v>
      </c>
      <c r="K2631" s="26" t="s">
        <v>38</v>
      </c>
      <c r="L2631" s="25">
        <v>11743.0</v>
      </c>
      <c r="M2631" s="27" t="s">
        <v>50</v>
      </c>
      <c r="N2631" s="26" t="s">
        <v>99</v>
      </c>
      <c r="O2631" s="28">
        <v>45582.581069340275</v>
      </c>
      <c r="P2631" s="26" t="s">
        <v>10355</v>
      </c>
      <c r="Q2631" s="11" t="s">
        <v>67</v>
      </c>
      <c r="R2631" s="11" t="s">
        <v>67</v>
      </c>
      <c r="S2631" s="11" t="s">
        <v>50</v>
      </c>
      <c r="T2631" s="29">
        <v>45575.690541284726</v>
      </c>
      <c r="U2631" s="29">
        <v>45576.374806782405</v>
      </c>
      <c r="V2631" s="29">
        <v>45582.37541479166</v>
      </c>
      <c r="W2631" s="30"/>
      <c r="X2631" s="30"/>
      <c r="Y2631" s="31"/>
      <c r="Z2631" s="31"/>
      <c r="AA2631" s="31" t="s">
        <v>102</v>
      </c>
      <c r="AB2631" s="31" t="s">
        <v>10356</v>
      </c>
      <c r="AC2631" s="31"/>
    </row>
    <row r="2632" ht="18.75" customHeight="1">
      <c r="A2632" s="142" t="s">
        <v>10357</v>
      </c>
      <c r="B2632" s="19" t="s">
        <v>110</v>
      </c>
      <c r="C2632" s="20">
        <v>90.0</v>
      </c>
      <c r="D2632" s="21" t="s">
        <v>10358</v>
      </c>
      <c r="E2632" s="27" t="s">
        <v>91</v>
      </c>
      <c r="F2632" s="18" t="s">
        <v>48</v>
      </c>
      <c r="G2632" s="32" t="s">
        <v>35</v>
      </c>
      <c r="H2632" s="23" t="s">
        <v>35</v>
      </c>
      <c r="I2632" s="37" t="s">
        <v>36</v>
      </c>
      <c r="J2632" s="34" t="s">
        <v>65</v>
      </c>
      <c r="K2632" s="26" t="s">
        <v>38</v>
      </c>
      <c r="L2632" s="25">
        <v>11805.0</v>
      </c>
      <c r="M2632" s="27" t="s">
        <v>50</v>
      </c>
      <c r="N2632" s="26" t="s">
        <v>9743</v>
      </c>
      <c r="O2632" s="28">
        <v>45590.66416677083</v>
      </c>
      <c r="P2632" s="26" t="s">
        <v>10359</v>
      </c>
      <c r="Q2632" s="11" t="s">
        <v>67</v>
      </c>
      <c r="R2632" s="11" t="s">
        <v>67</v>
      </c>
      <c r="S2632" s="11" t="s">
        <v>73</v>
      </c>
      <c r="T2632" s="29">
        <v>45575.69270166667</v>
      </c>
      <c r="U2632" s="29">
        <v>45579.36087934028</v>
      </c>
      <c r="V2632" s="29">
        <v>45589.78624064814</v>
      </c>
      <c r="W2632" s="30"/>
      <c r="X2632" s="30"/>
      <c r="Y2632" s="31"/>
      <c r="Z2632" s="31"/>
      <c r="AA2632" s="31" t="s">
        <v>94</v>
      </c>
      <c r="AB2632" s="31" t="s">
        <v>10360</v>
      </c>
      <c r="AC2632" s="31"/>
    </row>
    <row r="2633" ht="18.75" customHeight="1">
      <c r="A2633" s="142" t="s">
        <v>10361</v>
      </c>
      <c r="B2633" s="19" t="s">
        <v>1373</v>
      </c>
      <c r="C2633" s="20">
        <v>90.0</v>
      </c>
      <c r="D2633" s="21" t="s">
        <v>10362</v>
      </c>
      <c r="E2633" s="27" t="s">
        <v>91</v>
      </c>
      <c r="F2633" s="18" t="s">
        <v>48</v>
      </c>
      <c r="G2633" s="32" t="s">
        <v>35</v>
      </c>
      <c r="H2633" s="23" t="s">
        <v>35</v>
      </c>
      <c r="I2633" s="37" t="s">
        <v>36</v>
      </c>
      <c r="J2633" s="34" t="s">
        <v>65</v>
      </c>
      <c r="K2633" s="26" t="s">
        <v>38</v>
      </c>
      <c r="L2633" s="25">
        <v>11806.0</v>
      </c>
      <c r="M2633" s="27" t="s">
        <v>50</v>
      </c>
      <c r="N2633" s="26" t="s">
        <v>9743</v>
      </c>
      <c r="O2633" s="28">
        <v>45590.66453761574</v>
      </c>
      <c r="P2633" s="26" t="s">
        <v>10363</v>
      </c>
      <c r="Q2633" s="11" t="s">
        <v>67</v>
      </c>
      <c r="R2633" s="11" t="s">
        <v>67</v>
      </c>
      <c r="S2633" s="11" t="s">
        <v>73</v>
      </c>
      <c r="T2633" s="29">
        <v>45575.69507880787</v>
      </c>
      <c r="U2633" s="29">
        <v>45576.47654293981</v>
      </c>
      <c r="V2633" s="29">
        <v>45589.786157106486</v>
      </c>
      <c r="W2633" s="30"/>
      <c r="X2633" s="30"/>
      <c r="Y2633" s="31"/>
      <c r="Z2633" s="31"/>
      <c r="AA2633" s="31" t="s">
        <v>94</v>
      </c>
      <c r="AB2633" s="31" t="s">
        <v>10364</v>
      </c>
      <c r="AC2633" s="31"/>
    </row>
    <row r="2634" ht="18.75" customHeight="1">
      <c r="A2634" s="142" t="s">
        <v>10365</v>
      </c>
      <c r="B2634" s="19" t="s">
        <v>10366</v>
      </c>
      <c r="C2634" s="20">
        <v>0.0</v>
      </c>
      <c r="D2634" s="21" t="s">
        <v>10367</v>
      </c>
      <c r="E2634" s="27" t="s">
        <v>79</v>
      </c>
      <c r="F2634" s="18" t="s">
        <v>33</v>
      </c>
      <c r="G2634" s="32" t="s">
        <v>35</v>
      </c>
      <c r="H2634" s="23" t="s">
        <v>35</v>
      </c>
      <c r="I2634" s="37" t="s">
        <v>36</v>
      </c>
      <c r="J2634" s="25" t="s">
        <v>49</v>
      </c>
      <c r="K2634" s="26" t="s">
        <v>447</v>
      </c>
      <c r="L2634" s="25">
        <v>11701.0</v>
      </c>
      <c r="M2634" s="27" t="s">
        <v>50</v>
      </c>
      <c r="N2634" s="26" t="s">
        <v>99</v>
      </c>
      <c r="O2634" s="28">
        <v>45576.59210430556</v>
      </c>
      <c r="P2634" s="26" t="s">
        <v>10368</v>
      </c>
      <c r="Q2634" s="11" t="s">
        <v>67</v>
      </c>
      <c r="R2634" s="11" t="s">
        <v>67</v>
      </c>
      <c r="S2634" s="11" t="s">
        <v>50</v>
      </c>
      <c r="T2634" s="29">
        <v>45576.411476747686</v>
      </c>
      <c r="U2634" s="29">
        <v>45576.41288541666</v>
      </c>
      <c r="V2634" s="29">
        <v>45576.418652754626</v>
      </c>
      <c r="W2634" s="30"/>
      <c r="X2634" s="30"/>
      <c r="Y2634" s="31"/>
      <c r="Z2634" s="31"/>
      <c r="AA2634" s="31" t="s">
        <v>108</v>
      </c>
      <c r="AB2634" s="31" t="s">
        <v>10369</v>
      </c>
      <c r="AC2634" s="31"/>
    </row>
    <row r="2635" ht="18.75" customHeight="1">
      <c r="A2635" s="18" t="s">
        <v>10370</v>
      </c>
      <c r="B2635" s="19" t="s">
        <v>4587</v>
      </c>
      <c r="C2635" s="20">
        <v>0.0</v>
      </c>
      <c r="D2635" s="21" t="s">
        <v>10371</v>
      </c>
      <c r="E2635" s="27" t="s">
        <v>117</v>
      </c>
      <c r="F2635" s="32" t="s">
        <v>33</v>
      </c>
      <c r="G2635" s="32" t="s">
        <v>35</v>
      </c>
      <c r="H2635" s="23" t="s">
        <v>35</v>
      </c>
      <c r="I2635" s="37" t="s">
        <v>36</v>
      </c>
      <c r="J2635" s="34" t="s">
        <v>9338</v>
      </c>
      <c r="K2635" s="26" t="s">
        <v>38</v>
      </c>
      <c r="L2635" s="25">
        <v>11769.0</v>
      </c>
      <c r="M2635" s="27" t="s">
        <v>50</v>
      </c>
      <c r="N2635" s="26" t="s">
        <v>9389</v>
      </c>
      <c r="O2635" s="28">
        <v>45587.59089331019</v>
      </c>
      <c r="P2635" s="26" t="s">
        <v>10372</v>
      </c>
      <c r="Q2635" s="11" t="s">
        <v>67</v>
      </c>
      <c r="R2635" s="11" t="s">
        <v>67</v>
      </c>
      <c r="S2635" s="11" t="s">
        <v>101</v>
      </c>
      <c r="T2635" s="29">
        <v>45579.376035625</v>
      </c>
      <c r="U2635" s="29">
        <v>45579.457059699074</v>
      </c>
      <c r="V2635" s="29">
        <v>45583.36169726852</v>
      </c>
      <c r="W2635" s="30"/>
      <c r="X2635" s="30"/>
      <c r="Y2635" s="31"/>
      <c r="Z2635" s="31"/>
      <c r="AA2635" s="31" t="s">
        <v>3059</v>
      </c>
      <c r="AB2635" s="31" t="s">
        <v>10373</v>
      </c>
      <c r="AC2635" s="31"/>
    </row>
    <row r="2636" ht="18.75" customHeight="1">
      <c r="A2636" s="142" t="s">
        <v>10374</v>
      </c>
      <c r="B2636" s="19" t="s">
        <v>10375</v>
      </c>
      <c r="C2636" s="20">
        <v>0.0</v>
      </c>
      <c r="D2636" s="21" t="s">
        <v>387</v>
      </c>
      <c r="E2636" s="27" t="s">
        <v>8868</v>
      </c>
      <c r="F2636" s="18" t="s">
        <v>48</v>
      </c>
      <c r="G2636" s="32" t="s">
        <v>35</v>
      </c>
      <c r="H2636" s="23" t="s">
        <v>35</v>
      </c>
      <c r="I2636" s="37" t="s">
        <v>36</v>
      </c>
      <c r="J2636" s="25" t="s">
        <v>518</v>
      </c>
      <c r="K2636" s="26" t="s">
        <v>38</v>
      </c>
      <c r="L2636" s="25">
        <v>11768.0</v>
      </c>
      <c r="M2636" s="27" t="s">
        <v>50</v>
      </c>
      <c r="N2636" s="26" t="s">
        <v>4616</v>
      </c>
      <c r="O2636" s="28">
        <v>45595.57732548611</v>
      </c>
      <c r="P2636" s="26" t="s">
        <v>10376</v>
      </c>
      <c r="Q2636" s="11" t="s">
        <v>67</v>
      </c>
      <c r="R2636" s="11" t="s">
        <v>67</v>
      </c>
      <c r="S2636" s="11" t="s">
        <v>50</v>
      </c>
      <c r="T2636" s="29">
        <v>45579.48670775463</v>
      </c>
      <c r="U2636" s="29">
        <v>45579.486805127315</v>
      </c>
      <c r="V2636" s="29">
        <v>45589.60774959491</v>
      </c>
      <c r="W2636" s="30"/>
      <c r="X2636" s="30"/>
      <c r="Y2636" s="31"/>
      <c r="Z2636" s="31"/>
      <c r="AA2636" s="31" t="s">
        <v>108</v>
      </c>
      <c r="AB2636" s="31" t="s">
        <v>10377</v>
      </c>
      <c r="AC2636" s="31"/>
    </row>
    <row r="2637" ht="18.75" customHeight="1">
      <c r="A2637" s="142" t="s">
        <v>10378</v>
      </c>
      <c r="B2637" s="19" t="s">
        <v>8675</v>
      </c>
      <c r="C2637" s="20">
        <v>90.0</v>
      </c>
      <c r="D2637" s="21" t="s">
        <v>10379</v>
      </c>
      <c r="E2637" s="27" t="s">
        <v>91</v>
      </c>
      <c r="F2637" s="18" t="s">
        <v>48</v>
      </c>
      <c r="G2637" s="32" t="s">
        <v>35</v>
      </c>
      <c r="H2637" s="23" t="s">
        <v>35</v>
      </c>
      <c r="I2637" s="37" t="s">
        <v>36</v>
      </c>
      <c r="J2637" s="25" t="s">
        <v>49</v>
      </c>
      <c r="K2637" s="26" t="s">
        <v>10380</v>
      </c>
      <c r="L2637" s="25">
        <v>11807.0</v>
      </c>
      <c r="M2637" s="27" t="s">
        <v>50</v>
      </c>
      <c r="N2637" s="26" t="s">
        <v>99</v>
      </c>
      <c r="O2637" s="28">
        <v>45590.68942207176</v>
      </c>
      <c r="P2637" s="26" t="s">
        <v>10381</v>
      </c>
      <c r="Q2637" s="11" t="s">
        <v>67</v>
      </c>
      <c r="R2637" s="11" t="s">
        <v>67</v>
      </c>
      <c r="S2637" s="11" t="s">
        <v>73</v>
      </c>
      <c r="T2637" s="29">
        <v>45579.38401634259</v>
      </c>
      <c r="U2637" s="29">
        <v>45579.480787152774</v>
      </c>
      <c r="V2637" s="29">
        <v>45589.78624804398</v>
      </c>
      <c r="W2637" s="30"/>
      <c r="X2637" s="30"/>
      <c r="Y2637" s="31"/>
      <c r="Z2637" s="31"/>
      <c r="AA2637" s="31" t="s">
        <v>5290</v>
      </c>
      <c r="AB2637" s="31" t="s">
        <v>10382</v>
      </c>
      <c r="AC2637" s="31"/>
    </row>
    <row r="2638" ht="18.75" customHeight="1">
      <c r="A2638" s="142" t="s">
        <v>10383</v>
      </c>
      <c r="B2638" s="19" t="s">
        <v>4215</v>
      </c>
      <c r="C2638" s="20">
        <v>90.0</v>
      </c>
      <c r="D2638" s="21" t="s">
        <v>10384</v>
      </c>
      <c r="E2638" s="27" t="s">
        <v>91</v>
      </c>
      <c r="F2638" s="18" t="s">
        <v>48</v>
      </c>
      <c r="G2638" s="32" t="s">
        <v>35</v>
      </c>
      <c r="H2638" s="23" t="s">
        <v>35</v>
      </c>
      <c r="I2638" s="37" t="s">
        <v>36</v>
      </c>
      <c r="J2638" s="25" t="s">
        <v>420</v>
      </c>
      <c r="K2638" s="26" t="s">
        <v>38</v>
      </c>
      <c r="L2638" s="25">
        <v>11857.0</v>
      </c>
      <c r="M2638" s="27" t="s">
        <v>50</v>
      </c>
      <c r="N2638" s="26" t="s">
        <v>4031</v>
      </c>
      <c r="O2638" s="28">
        <v>45594.56842221065</v>
      </c>
      <c r="P2638" s="26" t="s">
        <v>10385</v>
      </c>
      <c r="Q2638" s="11" t="s">
        <v>67</v>
      </c>
      <c r="R2638" s="11" t="s">
        <v>67</v>
      </c>
      <c r="S2638" s="11" t="s">
        <v>50</v>
      </c>
      <c r="T2638" s="29">
        <v>45579.38688081018</v>
      </c>
      <c r="U2638" s="29">
        <v>45594.42282302083</v>
      </c>
      <c r="V2638" s="29">
        <v>45594.43454887731</v>
      </c>
      <c r="W2638" s="38"/>
      <c r="X2638" s="30"/>
      <c r="Y2638" s="31"/>
      <c r="Z2638" s="31"/>
      <c r="AA2638" s="31" t="s">
        <v>120</v>
      </c>
      <c r="AB2638" s="31" t="s">
        <v>10386</v>
      </c>
      <c r="AC2638" s="31"/>
    </row>
    <row r="2639" ht="18.75" customHeight="1">
      <c r="A2639" s="142" t="s">
        <v>10387</v>
      </c>
      <c r="B2639" s="19" t="s">
        <v>5004</v>
      </c>
      <c r="C2639" s="20">
        <v>27.0</v>
      </c>
      <c r="D2639" s="39" t="s">
        <v>10388</v>
      </c>
      <c r="E2639" s="27" t="s">
        <v>72</v>
      </c>
      <c r="F2639" s="18" t="s">
        <v>48</v>
      </c>
      <c r="G2639" s="32" t="s">
        <v>35</v>
      </c>
      <c r="H2639" s="23" t="s">
        <v>35</v>
      </c>
      <c r="I2639" s="37" t="s">
        <v>36</v>
      </c>
      <c r="J2639" s="25" t="s">
        <v>420</v>
      </c>
      <c r="K2639" s="26" t="s">
        <v>38</v>
      </c>
      <c r="L2639" s="25">
        <v>11934.0</v>
      </c>
      <c r="M2639" s="27" t="s">
        <v>50</v>
      </c>
      <c r="N2639" s="26" t="s">
        <v>4031</v>
      </c>
      <c r="O2639" s="28">
        <v>45603.64261876157</v>
      </c>
      <c r="P2639" s="26" t="s">
        <v>10389</v>
      </c>
      <c r="Q2639" s="11" t="s">
        <v>67</v>
      </c>
      <c r="R2639" s="11" t="s">
        <v>67</v>
      </c>
      <c r="S2639" s="11" t="s">
        <v>50</v>
      </c>
      <c r="T2639" s="29">
        <v>45579.38798936343</v>
      </c>
      <c r="U2639" s="29">
        <v>45602.633047627314</v>
      </c>
      <c r="V2639" s="29">
        <v>45603.33146726852</v>
      </c>
      <c r="W2639" s="38"/>
      <c r="X2639" s="30"/>
      <c r="Y2639" s="31"/>
      <c r="Z2639" s="31"/>
      <c r="AA2639" s="31" t="s">
        <v>120</v>
      </c>
      <c r="AB2639" s="31" t="s">
        <v>10390</v>
      </c>
      <c r="AC2639" s="31"/>
    </row>
    <row r="2640" ht="18.75" customHeight="1">
      <c r="A2640" s="142" t="s">
        <v>10391</v>
      </c>
      <c r="B2640" s="19" t="s">
        <v>477</v>
      </c>
      <c r="C2640" s="20">
        <v>0.0</v>
      </c>
      <c r="D2640" s="21" t="s">
        <v>10392</v>
      </c>
      <c r="E2640" s="27" t="s">
        <v>79</v>
      </c>
      <c r="F2640" s="18" t="s">
        <v>33</v>
      </c>
      <c r="G2640" s="32" t="s">
        <v>35</v>
      </c>
      <c r="H2640" s="23" t="s">
        <v>35</v>
      </c>
      <c r="I2640" s="37" t="s">
        <v>36</v>
      </c>
      <c r="J2640" s="34" t="s">
        <v>65</v>
      </c>
      <c r="K2640" s="26" t="s">
        <v>38</v>
      </c>
      <c r="L2640" s="25">
        <v>11774.0</v>
      </c>
      <c r="M2640" s="27" t="s">
        <v>50</v>
      </c>
      <c r="N2640" s="26" t="s">
        <v>5279</v>
      </c>
      <c r="O2640" s="28">
        <v>45587.67164314815</v>
      </c>
      <c r="P2640" s="26" t="s">
        <v>10393</v>
      </c>
      <c r="Q2640" s="11" t="s">
        <v>67</v>
      </c>
      <c r="R2640" s="11" t="s">
        <v>67</v>
      </c>
      <c r="S2640" s="11" t="s">
        <v>101</v>
      </c>
      <c r="T2640" s="29">
        <v>45579.38893378472</v>
      </c>
      <c r="U2640" s="29">
        <v>45579.589119930555</v>
      </c>
      <c r="V2640" s="29">
        <v>45587.34658532408</v>
      </c>
      <c r="W2640" s="30"/>
      <c r="X2640" s="30"/>
      <c r="Y2640" s="31"/>
      <c r="Z2640" s="31"/>
      <c r="AA2640" s="31" t="s">
        <v>94</v>
      </c>
      <c r="AB2640" s="31" t="s">
        <v>10394</v>
      </c>
      <c r="AC2640" s="31"/>
    </row>
    <row r="2641" ht="18.75" customHeight="1">
      <c r="A2641" s="142" t="s">
        <v>10395</v>
      </c>
      <c r="B2641" s="19" t="s">
        <v>10396</v>
      </c>
      <c r="C2641" s="20">
        <v>27.0</v>
      </c>
      <c r="D2641" s="39" t="s">
        <v>10397</v>
      </c>
      <c r="E2641" s="27" t="s">
        <v>72</v>
      </c>
      <c r="F2641" s="18" t="s">
        <v>48</v>
      </c>
      <c r="G2641" s="32" t="s">
        <v>35</v>
      </c>
      <c r="H2641" s="23" t="s">
        <v>35</v>
      </c>
      <c r="I2641" s="37" t="s">
        <v>36</v>
      </c>
      <c r="J2641" s="25" t="s">
        <v>339</v>
      </c>
      <c r="K2641" s="26" t="s">
        <v>38</v>
      </c>
      <c r="L2641" s="25">
        <v>11841.0</v>
      </c>
      <c r="M2641" s="27" t="s">
        <v>50</v>
      </c>
      <c r="N2641" s="26" t="s">
        <v>2147</v>
      </c>
      <c r="O2641" s="28">
        <v>45595.65420895834</v>
      </c>
      <c r="P2641" s="26" t="s">
        <v>10398</v>
      </c>
      <c r="Q2641" s="11" t="s">
        <v>67</v>
      </c>
      <c r="R2641" s="11" t="s">
        <v>67</v>
      </c>
      <c r="S2641" s="11" t="s">
        <v>50</v>
      </c>
      <c r="T2641" s="29">
        <v>45593.361282303245</v>
      </c>
      <c r="U2641" s="29">
        <v>45593.362065497684</v>
      </c>
      <c r="V2641" s="29">
        <v>45593.4264114699</v>
      </c>
      <c r="W2641" s="38"/>
      <c r="X2641" s="30"/>
      <c r="Y2641" s="31"/>
      <c r="Z2641" s="31"/>
      <c r="AA2641" s="31" t="s">
        <v>94</v>
      </c>
      <c r="AB2641" s="31" t="s">
        <v>10399</v>
      </c>
      <c r="AC2641" s="31"/>
    </row>
    <row r="2642" ht="18.75" customHeight="1">
      <c r="A2642" s="151" t="s">
        <v>10400</v>
      </c>
      <c r="B2642" s="19" t="s">
        <v>10401</v>
      </c>
      <c r="C2642" s="20">
        <v>0.0</v>
      </c>
      <c r="D2642" s="21" t="s">
        <v>10402</v>
      </c>
      <c r="E2642" s="27" t="s">
        <v>3441</v>
      </c>
      <c r="F2642" s="18" t="s">
        <v>48</v>
      </c>
      <c r="G2642" s="32" t="s">
        <v>35</v>
      </c>
      <c r="H2642" s="23" t="s">
        <v>35</v>
      </c>
      <c r="I2642" s="24" t="s">
        <v>36</v>
      </c>
      <c r="J2642" s="25" t="s">
        <v>49</v>
      </c>
      <c r="K2642" s="26" t="s">
        <v>447</v>
      </c>
      <c r="L2642" s="64" t="s">
        <v>2570</v>
      </c>
      <c r="M2642" s="22" t="s">
        <v>50</v>
      </c>
      <c r="N2642" s="65" t="s">
        <v>125</v>
      </c>
      <c r="O2642" s="28">
        <v>45645.73094907407</v>
      </c>
      <c r="P2642" s="26" t="s">
        <v>10403</v>
      </c>
      <c r="Q2642" s="11" t="s">
        <v>67</v>
      </c>
      <c r="R2642" s="11" t="s">
        <v>67</v>
      </c>
      <c r="S2642" s="11" t="s">
        <v>73</v>
      </c>
      <c r="T2642" s="29">
        <v>45594.464783738425</v>
      </c>
      <c r="U2642" s="29">
        <v>45594.46480833333</v>
      </c>
      <c r="V2642" s="29">
        <v>45643.753665682874</v>
      </c>
      <c r="W2642" s="30"/>
      <c r="X2642" s="30"/>
      <c r="Y2642" s="66">
        <v>-11899.0</v>
      </c>
      <c r="Z2642" s="31"/>
      <c r="AA2642" s="31" t="s">
        <v>108</v>
      </c>
      <c r="AB2642" s="31" t="s">
        <v>10404</v>
      </c>
      <c r="AC2642" s="31"/>
    </row>
    <row r="2643" ht="18.75" customHeight="1">
      <c r="A2643" s="142" t="s">
        <v>10405</v>
      </c>
      <c r="B2643" s="19" t="s">
        <v>4147</v>
      </c>
      <c r="C2643" s="20">
        <v>27.0</v>
      </c>
      <c r="D2643" s="39" t="s">
        <v>10406</v>
      </c>
      <c r="E2643" s="27" t="s">
        <v>72</v>
      </c>
      <c r="F2643" s="18" t="s">
        <v>48</v>
      </c>
      <c r="G2643" s="32" t="s">
        <v>35</v>
      </c>
      <c r="H2643" s="23" t="s">
        <v>35</v>
      </c>
      <c r="I2643" s="37" t="s">
        <v>36</v>
      </c>
      <c r="J2643" s="25" t="s">
        <v>49</v>
      </c>
      <c r="K2643" s="26" t="s">
        <v>38</v>
      </c>
      <c r="L2643" s="25">
        <v>11727.0</v>
      </c>
      <c r="M2643" s="27" t="s">
        <v>50</v>
      </c>
      <c r="N2643" s="26" t="s">
        <v>4183</v>
      </c>
      <c r="O2643" s="28">
        <v>45580.58787657408</v>
      </c>
      <c r="P2643" s="26" t="s">
        <v>10407</v>
      </c>
      <c r="Q2643" s="11" t="s">
        <v>67</v>
      </c>
      <c r="R2643" s="11" t="s">
        <v>67</v>
      </c>
      <c r="S2643" s="11" t="s">
        <v>50</v>
      </c>
      <c r="T2643" s="29">
        <v>45579.46420962963</v>
      </c>
      <c r="U2643" s="29">
        <v>45579.71504758102</v>
      </c>
      <c r="V2643" s="29">
        <v>45580.45794390046</v>
      </c>
      <c r="W2643" s="30"/>
      <c r="X2643" s="30"/>
      <c r="Y2643" s="31"/>
      <c r="Z2643" s="31"/>
      <c r="AA2643" s="31" t="s">
        <v>127</v>
      </c>
      <c r="AB2643" s="31" t="s">
        <v>10408</v>
      </c>
      <c r="AC2643" s="31"/>
    </row>
    <row r="2644" ht="18.75" customHeight="1">
      <c r="A2644" s="142" t="s">
        <v>10409</v>
      </c>
      <c r="B2644" s="19" t="s">
        <v>10410</v>
      </c>
      <c r="C2644" s="20">
        <v>11.0</v>
      </c>
      <c r="D2644" s="21" t="s">
        <v>10411</v>
      </c>
      <c r="E2644" s="27" t="s">
        <v>112</v>
      </c>
      <c r="F2644" s="18" t="s">
        <v>48</v>
      </c>
      <c r="G2644" s="32" t="s">
        <v>35</v>
      </c>
      <c r="H2644" s="23" t="s">
        <v>35</v>
      </c>
      <c r="I2644" s="37" t="s">
        <v>36</v>
      </c>
      <c r="J2644" s="34" t="s">
        <v>65</v>
      </c>
      <c r="K2644" s="26" t="s">
        <v>38</v>
      </c>
      <c r="L2644" s="72">
        <v>11711.0</v>
      </c>
      <c r="M2644" s="27" t="s">
        <v>50</v>
      </c>
      <c r="N2644" s="26" t="s">
        <v>51</v>
      </c>
      <c r="O2644" s="28">
        <v>45579.44665253472</v>
      </c>
      <c r="P2644" s="26" t="s">
        <v>10412</v>
      </c>
      <c r="Q2644" s="11" t="s">
        <v>67</v>
      </c>
      <c r="R2644" s="11" t="s">
        <v>67</v>
      </c>
      <c r="S2644" s="11"/>
      <c r="T2644" s="29">
        <v>45579.44665253472</v>
      </c>
      <c r="U2644" s="29">
        <v>45579.44665253472</v>
      </c>
      <c r="V2644" s="29">
        <v>45579.44665253472</v>
      </c>
      <c r="W2644" s="30"/>
      <c r="X2644" s="30"/>
      <c r="Y2644" s="31"/>
      <c r="Z2644" s="31"/>
      <c r="AA2644" s="31" t="s">
        <v>94</v>
      </c>
      <c r="AB2644" s="31" t="s">
        <v>10413</v>
      </c>
      <c r="AC2644" s="31"/>
    </row>
    <row r="2645" ht="18.75" customHeight="1">
      <c r="A2645" s="142" t="s">
        <v>10414</v>
      </c>
      <c r="B2645" s="19" t="s">
        <v>10415</v>
      </c>
      <c r="C2645" s="20">
        <v>27.0</v>
      </c>
      <c r="D2645" s="39"/>
      <c r="E2645" s="27" t="s">
        <v>72</v>
      </c>
      <c r="F2645" s="18" t="s">
        <v>48</v>
      </c>
      <c r="G2645" s="32" t="s">
        <v>35</v>
      </c>
      <c r="H2645" s="23" t="s">
        <v>35</v>
      </c>
      <c r="I2645" s="24" t="s">
        <v>665</v>
      </c>
      <c r="J2645" s="34" t="s">
        <v>65</v>
      </c>
      <c r="K2645" s="26" t="s">
        <v>38</v>
      </c>
      <c r="L2645" s="72">
        <v>11735.0</v>
      </c>
      <c r="M2645" s="27" t="s">
        <v>50</v>
      </c>
      <c r="N2645" s="26" t="s">
        <v>5279</v>
      </c>
      <c r="O2645" s="28">
        <v>45581.639688807874</v>
      </c>
      <c r="P2645" s="35" t="s">
        <v>10416</v>
      </c>
      <c r="Q2645" s="11" t="s">
        <v>67</v>
      </c>
      <c r="R2645" s="11" t="s">
        <v>67</v>
      </c>
      <c r="S2645" s="11" t="s">
        <v>50</v>
      </c>
      <c r="T2645" s="29">
        <v>45579.62588070602</v>
      </c>
      <c r="U2645" s="29">
        <v>45580.72090789352</v>
      </c>
      <c r="V2645" s="29">
        <v>45581.381529039354</v>
      </c>
      <c r="W2645" s="30"/>
      <c r="X2645" s="30"/>
      <c r="Y2645" s="31"/>
      <c r="Z2645" s="31"/>
      <c r="AA2645" s="31"/>
      <c r="AB2645" s="31" t="s">
        <v>10417</v>
      </c>
      <c r="AC2645" s="31"/>
    </row>
    <row r="2646" ht="18.75" customHeight="1">
      <c r="A2646" s="142" t="s">
        <v>10418</v>
      </c>
      <c r="B2646" s="19" t="s">
        <v>10419</v>
      </c>
      <c r="C2646" s="20">
        <v>27.0</v>
      </c>
      <c r="D2646" s="39" t="s">
        <v>10420</v>
      </c>
      <c r="E2646" s="27" t="s">
        <v>72</v>
      </c>
      <c r="F2646" s="18" t="s">
        <v>48</v>
      </c>
      <c r="G2646" s="32" t="s">
        <v>35</v>
      </c>
      <c r="H2646" s="23" t="s">
        <v>35</v>
      </c>
      <c r="I2646" s="37" t="s">
        <v>36</v>
      </c>
      <c r="J2646" s="34" t="s">
        <v>65</v>
      </c>
      <c r="K2646" s="26" t="s">
        <v>38</v>
      </c>
      <c r="L2646" s="72">
        <v>11736.0</v>
      </c>
      <c r="M2646" s="27" t="s">
        <v>50</v>
      </c>
      <c r="N2646" s="26" t="s">
        <v>5279</v>
      </c>
      <c r="O2646" s="28">
        <v>45581.639762708335</v>
      </c>
      <c r="P2646" s="26" t="s">
        <v>10421</v>
      </c>
      <c r="Q2646" s="11"/>
      <c r="R2646" s="11" t="s">
        <v>67</v>
      </c>
      <c r="S2646" s="11" t="s">
        <v>50</v>
      </c>
      <c r="T2646" s="29">
        <v>45579.629888958334</v>
      </c>
      <c r="U2646" s="29">
        <v>45580.72107534722</v>
      </c>
      <c r="V2646" s="29">
        <v>45581.381538877315</v>
      </c>
      <c r="W2646" s="30"/>
      <c r="X2646" s="30"/>
      <c r="Y2646" s="31"/>
      <c r="Z2646" s="31"/>
      <c r="AA2646" s="31" t="s">
        <v>3059</v>
      </c>
      <c r="AB2646" s="31" t="s">
        <v>10422</v>
      </c>
      <c r="AC2646" s="31"/>
    </row>
    <row r="2647" ht="18.75" customHeight="1">
      <c r="A2647" s="18" t="s">
        <v>10423</v>
      </c>
      <c r="B2647" s="19" t="s">
        <v>122</v>
      </c>
      <c r="C2647" s="20">
        <v>90.0</v>
      </c>
      <c r="D2647" s="21" t="s">
        <v>10424</v>
      </c>
      <c r="E2647" s="27" t="s">
        <v>91</v>
      </c>
      <c r="F2647" s="18" t="s">
        <v>48</v>
      </c>
      <c r="G2647" s="32" t="s">
        <v>35</v>
      </c>
      <c r="H2647" s="23" t="s">
        <v>35</v>
      </c>
      <c r="I2647" s="37" t="s">
        <v>36</v>
      </c>
      <c r="J2647" s="25" t="s">
        <v>49</v>
      </c>
      <c r="K2647" s="26" t="s">
        <v>38</v>
      </c>
      <c r="L2647" s="25">
        <v>11808.0</v>
      </c>
      <c r="M2647" s="27" t="s">
        <v>50</v>
      </c>
      <c r="N2647" s="26" t="s">
        <v>99</v>
      </c>
      <c r="O2647" s="28">
        <v>45590.689500127315</v>
      </c>
      <c r="P2647" s="26" t="s">
        <v>10425</v>
      </c>
      <c r="Q2647" s="11" t="s">
        <v>67</v>
      </c>
      <c r="R2647" s="11" t="s">
        <v>67</v>
      </c>
      <c r="S2647" s="11" t="s">
        <v>73</v>
      </c>
      <c r="T2647" s="29">
        <v>45579.637657314815</v>
      </c>
      <c r="U2647" s="29">
        <v>45579.71400400463</v>
      </c>
      <c r="V2647" s="29">
        <v>45589.78628696759</v>
      </c>
      <c r="W2647" s="30"/>
      <c r="X2647" s="30"/>
      <c r="Y2647" s="31"/>
      <c r="Z2647" s="31"/>
      <c r="AA2647" s="31" t="s">
        <v>127</v>
      </c>
      <c r="AB2647" s="31" t="s">
        <v>10426</v>
      </c>
      <c r="AC2647" s="31"/>
    </row>
    <row r="2648" ht="18.75" customHeight="1">
      <c r="A2648" s="18" t="s">
        <v>10427</v>
      </c>
      <c r="B2648" s="19" t="s">
        <v>122</v>
      </c>
      <c r="C2648" s="20">
        <v>90.0</v>
      </c>
      <c r="D2648" s="21" t="s">
        <v>10428</v>
      </c>
      <c r="E2648" s="27" t="s">
        <v>91</v>
      </c>
      <c r="F2648" s="18" t="s">
        <v>48</v>
      </c>
      <c r="G2648" s="32" t="s">
        <v>35</v>
      </c>
      <c r="H2648" s="23" t="s">
        <v>35</v>
      </c>
      <c r="I2648" s="37" t="s">
        <v>36</v>
      </c>
      <c r="J2648" s="25" t="s">
        <v>49</v>
      </c>
      <c r="K2648" s="26" t="s">
        <v>38</v>
      </c>
      <c r="L2648" s="25">
        <v>11808.0</v>
      </c>
      <c r="M2648" s="27" t="s">
        <v>50</v>
      </c>
      <c r="N2648" s="26" t="s">
        <v>99</v>
      </c>
      <c r="O2648" s="28">
        <v>45590.68954951389</v>
      </c>
      <c r="P2648" s="26" t="s">
        <v>10425</v>
      </c>
      <c r="Q2648" s="11" t="s">
        <v>67</v>
      </c>
      <c r="R2648" s="11" t="s">
        <v>67</v>
      </c>
      <c r="S2648" s="11" t="s">
        <v>73</v>
      </c>
      <c r="T2648" s="29">
        <v>45579.6378180787</v>
      </c>
      <c r="U2648" s="29">
        <v>45579.71406215278</v>
      </c>
      <c r="V2648" s="29">
        <v>45589.7862940625</v>
      </c>
      <c r="W2648" s="30"/>
      <c r="X2648" s="30"/>
      <c r="Y2648" s="31"/>
      <c r="Z2648" s="31"/>
      <c r="AA2648" s="31" t="s">
        <v>127</v>
      </c>
      <c r="AB2648" s="31" t="s">
        <v>10429</v>
      </c>
      <c r="AC2648" s="31"/>
    </row>
    <row r="2649" ht="18.75" customHeight="1">
      <c r="A2649" s="32" t="s">
        <v>10430</v>
      </c>
      <c r="B2649" s="19" t="s">
        <v>122</v>
      </c>
      <c r="C2649" s="20">
        <v>0.0</v>
      </c>
      <c r="D2649" s="21" t="s">
        <v>10431</v>
      </c>
      <c r="E2649" s="27" t="s">
        <v>3441</v>
      </c>
      <c r="F2649" s="18" t="s">
        <v>48</v>
      </c>
      <c r="G2649" s="32" t="s">
        <v>35</v>
      </c>
      <c r="H2649" s="23" t="s">
        <v>35</v>
      </c>
      <c r="I2649" s="24" t="s">
        <v>36</v>
      </c>
      <c r="J2649" s="25" t="s">
        <v>49</v>
      </c>
      <c r="K2649" s="26" t="s">
        <v>38</v>
      </c>
      <c r="L2649" s="64" t="s">
        <v>2573</v>
      </c>
      <c r="M2649" s="22" t="s">
        <v>50</v>
      </c>
      <c r="N2649" s="65" t="s">
        <v>125</v>
      </c>
      <c r="O2649" s="28">
        <v>45645.73094907407</v>
      </c>
      <c r="P2649" s="26" t="s">
        <v>10425</v>
      </c>
      <c r="Q2649" s="11" t="s">
        <v>67</v>
      </c>
      <c r="R2649" s="11" t="s">
        <v>67</v>
      </c>
      <c r="S2649" s="11" t="s">
        <v>73</v>
      </c>
      <c r="T2649" s="29">
        <v>45579.63804248843</v>
      </c>
      <c r="U2649" s="29">
        <v>45579.71406810185</v>
      </c>
      <c r="V2649" s="29">
        <v>45643.753653402775</v>
      </c>
      <c r="W2649" s="30"/>
      <c r="X2649" s="30"/>
      <c r="Y2649" s="66">
        <v>-11900.0</v>
      </c>
      <c r="Z2649" s="31"/>
      <c r="AA2649" s="31" t="s">
        <v>127</v>
      </c>
      <c r="AB2649" s="31" t="s">
        <v>10432</v>
      </c>
      <c r="AC2649" s="31"/>
    </row>
    <row r="2650" ht="18.75" customHeight="1">
      <c r="A2650" s="142" t="s">
        <v>10433</v>
      </c>
      <c r="B2650" s="19" t="s">
        <v>10434</v>
      </c>
      <c r="C2650" s="20">
        <v>34.0</v>
      </c>
      <c r="D2650" s="21" t="s">
        <v>10435</v>
      </c>
      <c r="E2650" s="27" t="s">
        <v>47</v>
      </c>
      <c r="F2650" s="18" t="s">
        <v>48</v>
      </c>
      <c r="G2650" s="32" t="s">
        <v>35</v>
      </c>
      <c r="H2650" s="23" t="s">
        <v>35</v>
      </c>
      <c r="I2650" s="37" t="s">
        <v>36</v>
      </c>
      <c r="J2650" s="34" t="s">
        <v>65</v>
      </c>
      <c r="K2650" s="26" t="s">
        <v>38</v>
      </c>
      <c r="L2650" s="25">
        <v>11726.0</v>
      </c>
      <c r="M2650" s="27" t="s">
        <v>50</v>
      </c>
      <c r="N2650" s="26" t="s">
        <v>149</v>
      </c>
      <c r="O2650" s="28">
        <v>45580.63282986111</v>
      </c>
      <c r="P2650" s="26" t="s">
        <v>10436</v>
      </c>
      <c r="Q2650" s="11" t="s">
        <v>67</v>
      </c>
      <c r="R2650" s="11" t="s">
        <v>67</v>
      </c>
      <c r="S2650" s="11" t="s">
        <v>50</v>
      </c>
      <c r="T2650" s="29">
        <v>45579.653945150465</v>
      </c>
      <c r="U2650" s="29">
        <v>45579.715801238424</v>
      </c>
      <c r="V2650" s="29">
        <v>45580.45864976852</v>
      </c>
      <c r="W2650" s="30"/>
      <c r="X2650" s="30"/>
      <c r="Y2650" s="31"/>
      <c r="Z2650" s="31"/>
      <c r="AA2650" s="31" t="s">
        <v>3059</v>
      </c>
      <c r="AB2650" s="31" t="s">
        <v>10437</v>
      </c>
      <c r="AC2650" s="31"/>
    </row>
    <row r="2651" ht="18.75" customHeight="1">
      <c r="A2651" s="142" t="s">
        <v>10438</v>
      </c>
      <c r="B2651" s="19" t="s">
        <v>122</v>
      </c>
      <c r="C2651" s="20">
        <v>1.0</v>
      </c>
      <c r="D2651" s="21" t="s">
        <v>10439</v>
      </c>
      <c r="E2651" s="27" t="s">
        <v>3395</v>
      </c>
      <c r="F2651" s="18" t="s">
        <v>48</v>
      </c>
      <c r="G2651" s="32" t="s">
        <v>35</v>
      </c>
      <c r="H2651" s="23" t="s">
        <v>35</v>
      </c>
      <c r="I2651" s="37" t="s">
        <v>36</v>
      </c>
      <c r="J2651" s="25" t="s">
        <v>49</v>
      </c>
      <c r="K2651" s="26" t="s">
        <v>38</v>
      </c>
      <c r="L2651" s="25">
        <v>11809.0</v>
      </c>
      <c r="M2651" s="27" t="s">
        <v>50</v>
      </c>
      <c r="N2651" s="26" t="s">
        <v>99</v>
      </c>
      <c r="O2651" s="28">
        <v>45590.68966488426</v>
      </c>
      <c r="P2651" s="26" t="s">
        <v>10440</v>
      </c>
      <c r="Q2651" s="11" t="s">
        <v>67</v>
      </c>
      <c r="R2651" s="11" t="s">
        <v>67</v>
      </c>
      <c r="S2651" s="11" t="s">
        <v>73</v>
      </c>
      <c r="T2651" s="29">
        <v>45579.65691480324</v>
      </c>
      <c r="U2651" s="29">
        <v>45579.71469879629</v>
      </c>
      <c r="V2651" s="29">
        <v>45589.786301053246</v>
      </c>
      <c r="W2651" s="30"/>
      <c r="X2651" s="30"/>
      <c r="Y2651" s="31"/>
      <c r="Z2651" s="31"/>
      <c r="AA2651" s="31" t="s">
        <v>127</v>
      </c>
      <c r="AB2651" s="31" t="s">
        <v>10441</v>
      </c>
      <c r="AC2651" s="31"/>
    </row>
    <row r="2652" ht="18.75" customHeight="1">
      <c r="A2652" s="142" t="s">
        <v>10442</v>
      </c>
      <c r="B2652" s="19" t="s">
        <v>9895</v>
      </c>
      <c r="C2652" s="20">
        <v>27.0</v>
      </c>
      <c r="D2652" s="39" t="s">
        <v>10443</v>
      </c>
      <c r="E2652" s="27" t="s">
        <v>72</v>
      </c>
      <c r="F2652" s="18" t="s">
        <v>48</v>
      </c>
      <c r="G2652" s="32" t="s">
        <v>35</v>
      </c>
      <c r="H2652" s="23" t="s">
        <v>35</v>
      </c>
      <c r="I2652" s="37" t="s">
        <v>36</v>
      </c>
      <c r="J2652" s="25" t="s">
        <v>49</v>
      </c>
      <c r="K2652" s="26" t="s">
        <v>38</v>
      </c>
      <c r="L2652" s="25">
        <v>11734.0</v>
      </c>
      <c r="M2652" s="27" t="s">
        <v>50</v>
      </c>
      <c r="N2652" s="26" t="s">
        <v>4183</v>
      </c>
      <c r="O2652" s="28">
        <v>45581.6962421412</v>
      </c>
      <c r="P2652" s="26" t="s">
        <v>10444</v>
      </c>
      <c r="Q2652" s="11" t="s">
        <v>67</v>
      </c>
      <c r="R2652" s="11" t="s">
        <v>67</v>
      </c>
      <c r="S2652" s="11" t="s">
        <v>50</v>
      </c>
      <c r="T2652" s="29">
        <v>45579.66603658565</v>
      </c>
      <c r="U2652" s="29">
        <v>45579.71493001157</v>
      </c>
      <c r="V2652" s="29">
        <v>45581.381047118055</v>
      </c>
      <c r="W2652" s="30"/>
      <c r="X2652" s="30"/>
      <c r="Y2652" s="31"/>
      <c r="Z2652" s="31"/>
      <c r="AA2652" s="31" t="s">
        <v>127</v>
      </c>
      <c r="AB2652" s="31" t="s">
        <v>10445</v>
      </c>
      <c r="AC2652" s="31"/>
    </row>
    <row r="2653" ht="18.75" customHeight="1">
      <c r="A2653" s="142" t="s">
        <v>10446</v>
      </c>
      <c r="B2653" s="19" t="s">
        <v>10447</v>
      </c>
      <c r="C2653" s="20">
        <v>1.0</v>
      </c>
      <c r="D2653" s="21" t="s">
        <v>10448</v>
      </c>
      <c r="E2653" s="27" t="s">
        <v>3395</v>
      </c>
      <c r="F2653" s="18" t="s">
        <v>48</v>
      </c>
      <c r="G2653" s="32" t="s">
        <v>35</v>
      </c>
      <c r="H2653" s="23" t="s">
        <v>35</v>
      </c>
      <c r="I2653" s="37" t="s">
        <v>36</v>
      </c>
      <c r="J2653" s="34" t="s">
        <v>65</v>
      </c>
      <c r="K2653" s="26" t="s">
        <v>38</v>
      </c>
      <c r="L2653" s="25">
        <v>11935.0</v>
      </c>
      <c r="M2653" s="27" t="s">
        <v>50</v>
      </c>
      <c r="N2653" s="26" t="s">
        <v>149</v>
      </c>
      <c r="O2653" s="28">
        <v>45603.64239709491</v>
      </c>
      <c r="P2653" s="26" t="s">
        <v>10449</v>
      </c>
      <c r="Q2653" s="11" t="s">
        <v>67</v>
      </c>
      <c r="R2653" s="11" t="s">
        <v>67</v>
      </c>
      <c r="S2653" s="11" t="s">
        <v>50</v>
      </c>
      <c r="T2653" s="29">
        <v>45581.35688196759</v>
      </c>
      <c r="U2653" s="29">
        <v>45602.63281579861</v>
      </c>
      <c r="V2653" s="29">
        <v>45603.33145719908</v>
      </c>
      <c r="W2653" s="38"/>
      <c r="X2653" s="30"/>
      <c r="Y2653" s="31"/>
      <c r="Z2653" s="31"/>
      <c r="AA2653" s="31" t="s">
        <v>120</v>
      </c>
      <c r="AB2653" s="31" t="s">
        <v>10450</v>
      </c>
      <c r="AC2653" s="31"/>
    </row>
    <row r="2654" ht="18.75" customHeight="1">
      <c r="A2654" s="18" t="s">
        <v>10451</v>
      </c>
      <c r="B2654" s="19" t="s">
        <v>110</v>
      </c>
      <c r="C2654" s="20">
        <v>0.0</v>
      </c>
      <c r="D2654" s="21" t="s">
        <v>10452</v>
      </c>
      <c r="E2654" s="27" t="s">
        <v>8868</v>
      </c>
      <c r="F2654" s="18" t="s">
        <v>48</v>
      </c>
      <c r="G2654" s="32" t="s">
        <v>35</v>
      </c>
      <c r="H2654" s="23" t="s">
        <v>35</v>
      </c>
      <c r="I2654" s="37" t="s">
        <v>36</v>
      </c>
      <c r="J2654" s="34" t="s">
        <v>65</v>
      </c>
      <c r="K2654" s="26" t="s">
        <v>38</v>
      </c>
      <c r="L2654" s="25">
        <v>11942.0</v>
      </c>
      <c r="M2654" s="27" t="s">
        <v>50</v>
      </c>
      <c r="N2654" s="26" t="s">
        <v>5897</v>
      </c>
      <c r="O2654" s="28">
        <v>45604.69805394676</v>
      </c>
      <c r="P2654" s="26" t="s">
        <v>10453</v>
      </c>
      <c r="Q2654" s="11" t="s">
        <v>67</v>
      </c>
      <c r="R2654" s="11" t="s">
        <v>67</v>
      </c>
      <c r="S2654" s="11" t="s">
        <v>73</v>
      </c>
      <c r="T2654" s="29">
        <v>45596.36399482639</v>
      </c>
      <c r="U2654" s="29">
        <v>45596.36403211806</v>
      </c>
      <c r="V2654" s="29">
        <v>45603.49386539352</v>
      </c>
      <c r="W2654" s="38"/>
      <c r="X2654" s="30"/>
      <c r="Y2654" s="31"/>
      <c r="Z2654" s="31"/>
      <c r="AA2654" s="31"/>
      <c r="AB2654" s="31" t="s">
        <v>10454</v>
      </c>
      <c r="AC2654" s="31"/>
    </row>
    <row r="2655" ht="18.75" customHeight="1">
      <c r="A2655" s="142" t="s">
        <v>10455</v>
      </c>
      <c r="B2655" s="19" t="s">
        <v>10456</v>
      </c>
      <c r="C2655" s="20">
        <v>0.0</v>
      </c>
      <c r="D2655" s="21"/>
      <c r="E2655" s="27" t="s">
        <v>453</v>
      </c>
      <c r="F2655" s="18" t="s">
        <v>244</v>
      </c>
      <c r="G2655" s="32" t="s">
        <v>35</v>
      </c>
      <c r="H2655" s="23" t="s">
        <v>35</v>
      </c>
      <c r="I2655" s="24" t="s">
        <v>665</v>
      </c>
      <c r="J2655" s="34" t="s">
        <v>65</v>
      </c>
      <c r="K2655" s="26" t="s">
        <v>38</v>
      </c>
      <c r="L2655" s="25">
        <v>12066.0</v>
      </c>
      <c r="M2655" s="27" t="s">
        <v>50</v>
      </c>
      <c r="N2655" s="26" t="s">
        <v>149</v>
      </c>
      <c r="O2655" s="28">
        <v>45622.70367497685</v>
      </c>
      <c r="P2655" s="26" t="s">
        <v>10457</v>
      </c>
      <c r="Q2655" s="11" t="s">
        <v>67</v>
      </c>
      <c r="R2655" s="11" t="s">
        <v>67</v>
      </c>
      <c r="S2655" s="11" t="s">
        <v>101</v>
      </c>
      <c r="T2655" s="29">
        <v>45581.36353731481</v>
      </c>
      <c r="U2655" s="29">
        <v>45608.66722195601</v>
      </c>
      <c r="V2655" s="29">
        <v>45621.36673700232</v>
      </c>
      <c r="W2655" s="38"/>
      <c r="X2655" s="30"/>
      <c r="Y2655" s="31"/>
      <c r="Z2655" s="31"/>
      <c r="AA2655" s="31"/>
      <c r="AB2655" s="31" t="s">
        <v>10458</v>
      </c>
      <c r="AC2655" s="31"/>
    </row>
    <row r="2656" ht="18.75" customHeight="1">
      <c r="A2656" s="142" t="s">
        <v>10459</v>
      </c>
      <c r="B2656" s="19" t="s">
        <v>9750</v>
      </c>
      <c r="C2656" s="20">
        <v>1.0</v>
      </c>
      <c r="D2656" s="21" t="s">
        <v>10460</v>
      </c>
      <c r="E2656" s="27" t="s">
        <v>3395</v>
      </c>
      <c r="F2656" s="18" t="s">
        <v>48</v>
      </c>
      <c r="G2656" s="32" t="s">
        <v>35</v>
      </c>
      <c r="H2656" s="23" t="s">
        <v>35</v>
      </c>
      <c r="I2656" s="37" t="s">
        <v>36</v>
      </c>
      <c r="J2656" s="34" t="s">
        <v>9338</v>
      </c>
      <c r="K2656" s="26" t="s">
        <v>38</v>
      </c>
      <c r="L2656" s="25">
        <v>11810.0</v>
      </c>
      <c r="M2656" s="27" t="s">
        <v>50</v>
      </c>
      <c r="N2656" s="26" t="s">
        <v>9389</v>
      </c>
      <c r="O2656" s="28">
        <v>45593.63652197916</v>
      </c>
      <c r="P2656" s="26" t="s">
        <v>10461</v>
      </c>
      <c r="Q2656" s="11" t="s">
        <v>67</v>
      </c>
      <c r="R2656" s="11" t="s">
        <v>67</v>
      </c>
      <c r="S2656" s="11" t="s">
        <v>73</v>
      </c>
      <c r="T2656" s="29">
        <v>45581.37009019676</v>
      </c>
      <c r="U2656" s="29">
        <v>45581.66466780093</v>
      </c>
      <c r="V2656" s="29">
        <v>45589.78640802084</v>
      </c>
      <c r="W2656" s="30"/>
      <c r="X2656" s="30"/>
      <c r="Y2656" s="31"/>
      <c r="Z2656" s="31"/>
      <c r="AA2656" s="31" t="s">
        <v>3059</v>
      </c>
      <c r="AB2656" s="31" t="s">
        <v>10462</v>
      </c>
      <c r="AC2656" s="31"/>
    </row>
    <row r="2657" ht="18.75" customHeight="1">
      <c r="A2657" s="142" t="s">
        <v>10463</v>
      </c>
      <c r="B2657" s="19" t="s">
        <v>3289</v>
      </c>
      <c r="C2657" s="20">
        <v>90.0</v>
      </c>
      <c r="D2657" s="21" t="s">
        <v>10464</v>
      </c>
      <c r="E2657" s="27" t="s">
        <v>91</v>
      </c>
      <c r="F2657" s="18" t="s">
        <v>48</v>
      </c>
      <c r="G2657" s="32" t="s">
        <v>35</v>
      </c>
      <c r="H2657" s="23" t="s">
        <v>35</v>
      </c>
      <c r="I2657" s="37" t="s">
        <v>36</v>
      </c>
      <c r="J2657" s="25" t="s">
        <v>92</v>
      </c>
      <c r="K2657" s="26" t="s">
        <v>38</v>
      </c>
      <c r="L2657" s="25">
        <v>11811.0</v>
      </c>
      <c r="M2657" s="27" t="s">
        <v>50</v>
      </c>
      <c r="N2657" s="26" t="s">
        <v>4362</v>
      </c>
      <c r="O2657" s="28">
        <v>45594.38448113426</v>
      </c>
      <c r="P2657" s="26" t="s">
        <v>10465</v>
      </c>
      <c r="Q2657" s="11" t="s">
        <v>67</v>
      </c>
      <c r="R2657" s="11" t="s">
        <v>67</v>
      </c>
      <c r="S2657" s="11" t="s">
        <v>73</v>
      </c>
      <c r="T2657" s="29">
        <v>45581.37710052083</v>
      </c>
      <c r="U2657" s="29">
        <v>45581.43702763889</v>
      </c>
      <c r="V2657" s="29">
        <v>45589.78637957176</v>
      </c>
      <c r="W2657" s="30"/>
      <c r="X2657" s="30"/>
      <c r="Y2657" s="31"/>
      <c r="Z2657" s="31"/>
      <c r="AA2657" s="31" t="s">
        <v>120</v>
      </c>
      <c r="AB2657" s="31" t="s">
        <v>10466</v>
      </c>
      <c r="AC2657" s="31"/>
    </row>
    <row r="2658" ht="18.75" customHeight="1">
      <c r="A2658" s="18" t="s">
        <v>10467</v>
      </c>
      <c r="B2658" s="19" t="s">
        <v>4716</v>
      </c>
      <c r="C2658" s="20">
        <v>0.0</v>
      </c>
      <c r="D2658" s="21" t="s">
        <v>10468</v>
      </c>
      <c r="E2658" s="27" t="s">
        <v>4430</v>
      </c>
      <c r="F2658" s="18" t="s">
        <v>48</v>
      </c>
      <c r="G2658" s="32" t="s">
        <v>35</v>
      </c>
      <c r="H2658" s="23" t="s">
        <v>35</v>
      </c>
      <c r="I2658" s="37" t="s">
        <v>36</v>
      </c>
      <c r="J2658" s="25" t="s">
        <v>420</v>
      </c>
      <c r="K2658" s="26" t="s">
        <v>38</v>
      </c>
      <c r="L2658" s="25">
        <v>11812.0</v>
      </c>
      <c r="M2658" s="27" t="s">
        <v>50</v>
      </c>
      <c r="N2658" s="26" t="s">
        <v>4031</v>
      </c>
      <c r="O2658" s="28">
        <v>45593.57338273148</v>
      </c>
      <c r="P2658" s="26" t="s">
        <v>10469</v>
      </c>
      <c r="Q2658" s="11" t="s">
        <v>67</v>
      </c>
      <c r="R2658" s="11" t="s">
        <v>67</v>
      </c>
      <c r="S2658" s="11" t="s">
        <v>73</v>
      </c>
      <c r="T2658" s="29">
        <v>45586.64551986111</v>
      </c>
      <c r="U2658" s="29">
        <v>45586.645554409726</v>
      </c>
      <c r="V2658" s="29">
        <v>45589.786501979164</v>
      </c>
      <c r="W2658" s="30"/>
      <c r="X2658" s="30"/>
      <c r="Y2658" s="31"/>
      <c r="Z2658" s="31"/>
      <c r="AA2658" s="31" t="s">
        <v>120</v>
      </c>
      <c r="AB2658" s="31" t="s">
        <v>10470</v>
      </c>
      <c r="AC2658" s="31"/>
    </row>
    <row r="2659" ht="18.75" customHeight="1">
      <c r="A2659" s="18" t="s">
        <v>10471</v>
      </c>
      <c r="B2659" s="19" t="s">
        <v>4716</v>
      </c>
      <c r="C2659" s="20">
        <v>0.0</v>
      </c>
      <c r="D2659" s="21" t="s">
        <v>10472</v>
      </c>
      <c r="E2659" s="27" t="s">
        <v>4430</v>
      </c>
      <c r="F2659" s="18" t="s">
        <v>48</v>
      </c>
      <c r="G2659" s="32" t="s">
        <v>35</v>
      </c>
      <c r="H2659" s="23" t="s">
        <v>35</v>
      </c>
      <c r="I2659" s="37" t="s">
        <v>36</v>
      </c>
      <c r="J2659" s="25" t="s">
        <v>420</v>
      </c>
      <c r="K2659" s="26" t="s">
        <v>38</v>
      </c>
      <c r="L2659" s="25">
        <v>11812.0</v>
      </c>
      <c r="M2659" s="27" t="s">
        <v>50</v>
      </c>
      <c r="N2659" s="26" t="s">
        <v>4031</v>
      </c>
      <c r="O2659" s="28">
        <v>45593.57353521991</v>
      </c>
      <c r="P2659" s="26" t="s">
        <v>10469</v>
      </c>
      <c r="Q2659" s="11" t="s">
        <v>67</v>
      </c>
      <c r="R2659" s="11" t="s">
        <v>67</v>
      </c>
      <c r="S2659" s="11" t="s">
        <v>73</v>
      </c>
      <c r="T2659" s="29">
        <v>45586.64535711806</v>
      </c>
      <c r="U2659" s="29">
        <v>45586.64552289352</v>
      </c>
      <c r="V2659" s="29">
        <v>45589.78649607638</v>
      </c>
      <c r="W2659" s="30"/>
      <c r="X2659" s="30"/>
      <c r="Y2659" s="31"/>
      <c r="Z2659" s="31"/>
      <c r="AA2659" s="31" t="s">
        <v>120</v>
      </c>
      <c r="AB2659" s="31" t="s">
        <v>10473</v>
      </c>
      <c r="AC2659" s="31"/>
    </row>
    <row r="2660" ht="18.75" customHeight="1">
      <c r="A2660" s="142" t="s">
        <v>10474</v>
      </c>
      <c r="B2660" s="19" t="s">
        <v>1359</v>
      </c>
      <c r="C2660" s="20">
        <v>0.0</v>
      </c>
      <c r="D2660" s="162" t="s">
        <v>10475</v>
      </c>
      <c r="E2660" s="27" t="s">
        <v>301</v>
      </c>
      <c r="F2660" s="18" t="s">
        <v>33</v>
      </c>
      <c r="G2660" s="32" t="s">
        <v>35</v>
      </c>
      <c r="H2660" s="23" t="s">
        <v>35</v>
      </c>
      <c r="I2660" s="37" t="s">
        <v>36</v>
      </c>
      <c r="J2660" s="25" t="s">
        <v>420</v>
      </c>
      <c r="K2660" s="26" t="s">
        <v>38</v>
      </c>
      <c r="L2660" s="25">
        <v>11756.0</v>
      </c>
      <c r="M2660" s="27" t="s">
        <v>50</v>
      </c>
      <c r="N2660" s="26" t="s">
        <v>4031</v>
      </c>
      <c r="O2660" s="28">
        <v>45586.6883049537</v>
      </c>
      <c r="P2660" s="26" t="s">
        <v>10476</v>
      </c>
      <c r="Q2660" s="11"/>
      <c r="R2660" s="11" t="s">
        <v>67</v>
      </c>
      <c r="S2660" s="11" t="s">
        <v>101</v>
      </c>
      <c r="T2660" s="29">
        <v>45581.38840623843</v>
      </c>
      <c r="U2660" s="29">
        <v>45581.43517585648</v>
      </c>
      <c r="V2660" s="29">
        <v>45582.718131851856</v>
      </c>
      <c r="W2660" s="30"/>
      <c r="X2660" s="30"/>
      <c r="Y2660" s="31"/>
      <c r="Z2660" s="31"/>
      <c r="AA2660" s="31" t="s">
        <v>120</v>
      </c>
      <c r="AB2660" s="31" t="s">
        <v>10477</v>
      </c>
      <c r="AC2660" s="31"/>
    </row>
    <row r="2661" ht="18.75" customHeight="1">
      <c r="A2661" s="32" t="s">
        <v>10478</v>
      </c>
      <c r="B2661" s="19" t="s">
        <v>4206</v>
      </c>
      <c r="C2661" s="20">
        <v>137.0</v>
      </c>
      <c r="D2661" s="21" t="s">
        <v>10479</v>
      </c>
      <c r="E2661" s="27" t="s">
        <v>85</v>
      </c>
      <c r="F2661" s="18" t="s">
        <v>48</v>
      </c>
      <c r="G2661" s="32" t="s">
        <v>35</v>
      </c>
      <c r="H2661" s="23" t="s">
        <v>35</v>
      </c>
      <c r="I2661" s="37" t="s">
        <v>36</v>
      </c>
      <c r="J2661" s="25" t="s">
        <v>92</v>
      </c>
      <c r="K2661" s="26" t="s">
        <v>38</v>
      </c>
      <c r="L2661" s="163">
        <v>12303.0</v>
      </c>
      <c r="M2661" s="62" t="s">
        <v>50</v>
      </c>
      <c r="N2661" s="26" t="s">
        <v>5893</v>
      </c>
      <c r="O2661" s="28">
        <v>45687.686411574075</v>
      </c>
      <c r="P2661" s="26" t="s">
        <v>10480</v>
      </c>
      <c r="Q2661" s="11" t="s">
        <v>67</v>
      </c>
      <c r="R2661" s="11" t="s">
        <v>67</v>
      </c>
      <c r="S2661" s="11" t="s">
        <v>50</v>
      </c>
      <c r="T2661" s="29">
        <v>45645.43485462963</v>
      </c>
      <c r="U2661" s="29">
        <v>45645.43573078704</v>
      </c>
      <c r="V2661" s="29">
        <v>45687.682498055554</v>
      </c>
      <c r="W2661" s="30"/>
      <c r="X2661" s="30"/>
      <c r="Y2661" s="66">
        <v>-11741.0</v>
      </c>
      <c r="Z2661" s="78"/>
      <c r="AA2661" s="31" t="s">
        <v>3059</v>
      </c>
      <c r="AB2661" s="31" t="s">
        <v>10481</v>
      </c>
      <c r="AC2661" s="31"/>
    </row>
    <row r="2662" ht="18.75" customHeight="1">
      <c r="A2662" s="18" t="s">
        <v>10482</v>
      </c>
      <c r="B2662" s="19" t="s">
        <v>4206</v>
      </c>
      <c r="C2662" s="20">
        <v>27.0</v>
      </c>
      <c r="D2662" s="39" t="s">
        <v>10483</v>
      </c>
      <c r="E2662" s="27" t="s">
        <v>72</v>
      </c>
      <c r="F2662" s="18" t="s">
        <v>48</v>
      </c>
      <c r="G2662" s="32" t="s">
        <v>35</v>
      </c>
      <c r="H2662" s="23" t="s">
        <v>35</v>
      </c>
      <c r="I2662" s="37" t="s">
        <v>36</v>
      </c>
      <c r="J2662" s="34" t="s">
        <v>65</v>
      </c>
      <c r="K2662" s="26" t="s">
        <v>38</v>
      </c>
      <c r="L2662" s="25">
        <v>11741.0</v>
      </c>
      <c r="M2662" s="27" t="s">
        <v>50</v>
      </c>
      <c r="N2662" s="26" t="s">
        <v>5279</v>
      </c>
      <c r="O2662" s="28">
        <v>45582.645991655096</v>
      </c>
      <c r="P2662" s="26" t="s">
        <v>10480</v>
      </c>
      <c r="Q2662" s="11" t="s">
        <v>67</v>
      </c>
      <c r="R2662" s="11" t="s">
        <v>67</v>
      </c>
      <c r="S2662" s="11" t="s">
        <v>50</v>
      </c>
      <c r="T2662" s="29">
        <v>45581.6260894213</v>
      </c>
      <c r="U2662" s="29">
        <v>45581.638955312505</v>
      </c>
      <c r="V2662" s="29">
        <v>45582.37285134259</v>
      </c>
      <c r="W2662" s="30"/>
      <c r="X2662" s="30"/>
      <c r="Y2662" s="31"/>
      <c r="Z2662" s="31"/>
      <c r="AA2662" s="31" t="s">
        <v>3059</v>
      </c>
      <c r="AB2662" s="31" t="s">
        <v>10484</v>
      </c>
      <c r="AC2662" s="31"/>
    </row>
    <row r="2663" ht="18.75" customHeight="1">
      <c r="A2663" s="142" t="s">
        <v>10485</v>
      </c>
      <c r="B2663" s="19" t="s">
        <v>115</v>
      </c>
      <c r="C2663" s="20">
        <v>90.0</v>
      </c>
      <c r="D2663" s="21" t="s">
        <v>10486</v>
      </c>
      <c r="E2663" s="27" t="s">
        <v>91</v>
      </c>
      <c r="F2663" s="18" t="s">
        <v>48</v>
      </c>
      <c r="G2663" s="32" t="s">
        <v>35</v>
      </c>
      <c r="H2663" s="23" t="s">
        <v>35</v>
      </c>
      <c r="I2663" s="37" t="s">
        <v>36</v>
      </c>
      <c r="J2663" s="25" t="s">
        <v>92</v>
      </c>
      <c r="K2663" s="26" t="s">
        <v>38</v>
      </c>
      <c r="L2663" s="25">
        <v>11813.0</v>
      </c>
      <c r="M2663" s="27" t="s">
        <v>50</v>
      </c>
      <c r="N2663" s="26" t="s">
        <v>7077</v>
      </c>
      <c r="O2663" s="28">
        <v>45601.63341210649</v>
      </c>
      <c r="P2663" s="26" t="s">
        <v>10487</v>
      </c>
      <c r="Q2663" s="11" t="s">
        <v>67</v>
      </c>
      <c r="R2663" s="11" t="s">
        <v>67</v>
      </c>
      <c r="S2663" s="11" t="s">
        <v>73</v>
      </c>
      <c r="T2663" s="29">
        <v>45581.65078960649</v>
      </c>
      <c r="U2663" s="29">
        <v>45581.6650153125</v>
      </c>
      <c r="V2663" s="29">
        <v>45589.78641502315</v>
      </c>
      <c r="W2663" s="30"/>
      <c r="X2663" s="30"/>
      <c r="Y2663" s="31"/>
      <c r="Z2663" s="31"/>
      <c r="AA2663" s="31" t="s">
        <v>120</v>
      </c>
      <c r="AB2663" s="31" t="s">
        <v>10488</v>
      </c>
      <c r="AC2663" s="31"/>
    </row>
    <row r="2664" ht="18.75" customHeight="1">
      <c r="A2664" s="142" t="s">
        <v>10489</v>
      </c>
      <c r="B2664" s="19" t="s">
        <v>5686</v>
      </c>
      <c r="C2664" s="20">
        <v>90.0</v>
      </c>
      <c r="D2664" s="21" t="s">
        <v>10490</v>
      </c>
      <c r="E2664" s="27" t="s">
        <v>91</v>
      </c>
      <c r="F2664" s="18" t="s">
        <v>48</v>
      </c>
      <c r="G2664" s="32" t="s">
        <v>35</v>
      </c>
      <c r="H2664" s="23" t="s">
        <v>35</v>
      </c>
      <c r="I2664" s="37" t="s">
        <v>36</v>
      </c>
      <c r="J2664" s="25" t="s">
        <v>92</v>
      </c>
      <c r="K2664" s="26" t="s">
        <v>38</v>
      </c>
      <c r="L2664" s="25">
        <v>11814.0</v>
      </c>
      <c r="M2664" s="27" t="s">
        <v>50</v>
      </c>
      <c r="N2664" s="26" t="s">
        <v>10340</v>
      </c>
      <c r="O2664" s="28">
        <v>45593.46037361111</v>
      </c>
      <c r="P2664" s="26" t="s">
        <v>10491</v>
      </c>
      <c r="Q2664" s="11" t="s">
        <v>67</v>
      </c>
      <c r="R2664" s="11" t="s">
        <v>67</v>
      </c>
      <c r="S2664" s="11" t="s">
        <v>73</v>
      </c>
      <c r="T2664" s="29">
        <v>45581.643601874996</v>
      </c>
      <c r="U2664" s="29">
        <v>45581.64459708333</v>
      </c>
      <c r="V2664" s="29">
        <v>45589.78639724537</v>
      </c>
      <c r="W2664" s="30"/>
      <c r="X2664" s="30"/>
      <c r="Y2664" s="31"/>
      <c r="Z2664" s="31"/>
      <c r="AA2664" s="31" t="s">
        <v>120</v>
      </c>
      <c r="AB2664" s="31" t="s">
        <v>10492</v>
      </c>
      <c r="AC2664" s="31"/>
    </row>
    <row r="2665" ht="18.75" customHeight="1">
      <c r="A2665" s="142" t="s">
        <v>10493</v>
      </c>
      <c r="B2665" s="19" t="s">
        <v>4313</v>
      </c>
      <c r="C2665" s="20">
        <v>0.0</v>
      </c>
      <c r="D2665" s="21" t="s">
        <v>10494</v>
      </c>
      <c r="E2665" s="27" t="s">
        <v>4430</v>
      </c>
      <c r="F2665" s="18" t="s">
        <v>48</v>
      </c>
      <c r="G2665" s="32" t="s">
        <v>35</v>
      </c>
      <c r="H2665" s="23" t="s">
        <v>35</v>
      </c>
      <c r="I2665" s="37" t="s">
        <v>36</v>
      </c>
      <c r="J2665" s="25" t="s">
        <v>92</v>
      </c>
      <c r="K2665" s="26" t="s">
        <v>38</v>
      </c>
      <c r="L2665" s="25">
        <v>-11744.0</v>
      </c>
      <c r="M2665" s="27" t="s">
        <v>73</v>
      </c>
      <c r="N2665" s="26" t="s">
        <v>10176</v>
      </c>
      <c r="O2665" s="140">
        <v>45887.62459373842</v>
      </c>
      <c r="P2665" s="26" t="s">
        <v>10495</v>
      </c>
      <c r="Q2665" s="11" t="s">
        <v>75</v>
      </c>
      <c r="R2665" s="11" t="s">
        <v>75</v>
      </c>
      <c r="S2665" s="11" t="s">
        <v>73</v>
      </c>
      <c r="T2665" s="141">
        <v>45887.60796472222</v>
      </c>
      <c r="U2665" s="141">
        <v>45887.608002106484</v>
      </c>
      <c r="V2665" s="141">
        <v>45887.613184131944</v>
      </c>
      <c r="W2665" s="30"/>
      <c r="X2665" s="159">
        <v>45870.0</v>
      </c>
      <c r="Y2665" s="31">
        <v>302.0</v>
      </c>
      <c r="Z2665" s="31" t="s">
        <v>10496</v>
      </c>
      <c r="AA2665" s="31"/>
      <c r="AB2665" s="31" t="s">
        <v>10497</v>
      </c>
      <c r="AC2665" s="31"/>
    </row>
    <row r="2666" ht="18.75" customHeight="1">
      <c r="A2666" s="142" t="s">
        <v>10498</v>
      </c>
      <c r="B2666" s="19" t="s">
        <v>8071</v>
      </c>
      <c r="C2666" s="20">
        <v>27.0</v>
      </c>
      <c r="D2666" s="39" t="s">
        <v>10499</v>
      </c>
      <c r="E2666" s="27" t="s">
        <v>72</v>
      </c>
      <c r="F2666" s="18" t="s">
        <v>48</v>
      </c>
      <c r="G2666" s="32" t="s">
        <v>35</v>
      </c>
      <c r="H2666" s="23" t="s">
        <v>35</v>
      </c>
      <c r="I2666" s="37" t="s">
        <v>36</v>
      </c>
      <c r="J2666" s="25" t="s">
        <v>49</v>
      </c>
      <c r="K2666" s="26" t="s">
        <v>38</v>
      </c>
      <c r="L2666" s="25">
        <v>11757.0</v>
      </c>
      <c r="M2666" s="27" t="s">
        <v>50</v>
      </c>
      <c r="N2666" s="26" t="s">
        <v>99</v>
      </c>
      <c r="O2666" s="28">
        <v>45583.565180034726</v>
      </c>
      <c r="P2666" s="26" t="s">
        <v>10500</v>
      </c>
      <c r="Q2666" s="11" t="s">
        <v>67</v>
      </c>
      <c r="R2666" s="11" t="s">
        <v>67</v>
      </c>
      <c r="S2666" s="11" t="s">
        <v>50</v>
      </c>
      <c r="T2666" s="29">
        <v>45582.36578278935</v>
      </c>
      <c r="U2666" s="29">
        <v>45583.42119444444</v>
      </c>
      <c r="V2666" s="29">
        <v>45583.56122790509</v>
      </c>
      <c r="W2666" s="30"/>
      <c r="X2666" s="30"/>
      <c r="Y2666" s="31"/>
      <c r="Z2666" s="31"/>
      <c r="AA2666" s="31" t="s">
        <v>127</v>
      </c>
      <c r="AB2666" s="31" t="s">
        <v>10501</v>
      </c>
      <c r="AC2666" s="31"/>
    </row>
    <row r="2667" ht="18.75" customHeight="1">
      <c r="A2667" s="142" t="s">
        <v>10502</v>
      </c>
      <c r="B2667" s="19" t="s">
        <v>4308</v>
      </c>
      <c r="C2667" s="20">
        <v>34.0</v>
      </c>
      <c r="D2667" s="21" t="s">
        <v>10503</v>
      </c>
      <c r="E2667" s="27" t="s">
        <v>47</v>
      </c>
      <c r="F2667" s="18" t="s">
        <v>48</v>
      </c>
      <c r="G2667" s="32" t="s">
        <v>35</v>
      </c>
      <c r="H2667" s="23" t="s">
        <v>35</v>
      </c>
      <c r="I2667" s="37" t="s">
        <v>36</v>
      </c>
      <c r="J2667" s="25" t="s">
        <v>92</v>
      </c>
      <c r="K2667" s="26" t="s">
        <v>38</v>
      </c>
      <c r="L2667" s="25">
        <v>11770.0</v>
      </c>
      <c r="M2667" s="27" t="s">
        <v>50</v>
      </c>
      <c r="N2667" s="26" t="s">
        <v>7638</v>
      </c>
      <c r="O2667" s="28">
        <v>45600.64392646991</v>
      </c>
      <c r="P2667" s="26" t="s">
        <v>10504</v>
      </c>
      <c r="Q2667" s="11" t="s">
        <v>67</v>
      </c>
      <c r="R2667" s="11" t="s">
        <v>67</v>
      </c>
      <c r="S2667" s="11" t="s">
        <v>50</v>
      </c>
      <c r="T2667" s="29">
        <v>45582.36733515046</v>
      </c>
      <c r="U2667" s="29">
        <v>45586.63908840278</v>
      </c>
      <c r="V2667" s="29">
        <v>45587.34198246528</v>
      </c>
      <c r="W2667" s="30"/>
      <c r="X2667" s="30"/>
      <c r="Y2667" s="31"/>
      <c r="Z2667" s="31"/>
      <c r="AA2667" s="31" t="s">
        <v>120</v>
      </c>
      <c r="AB2667" s="31" t="s">
        <v>10505</v>
      </c>
      <c r="AC2667" s="31"/>
    </row>
    <row r="2668" ht="18.75" customHeight="1">
      <c r="A2668" s="142" t="s">
        <v>10506</v>
      </c>
      <c r="B2668" s="19" t="s">
        <v>3289</v>
      </c>
      <c r="C2668" s="20">
        <v>11.0</v>
      </c>
      <c r="D2668" s="21" t="s">
        <v>10507</v>
      </c>
      <c r="E2668" s="27" t="s">
        <v>112</v>
      </c>
      <c r="F2668" s="18" t="s">
        <v>48</v>
      </c>
      <c r="G2668" s="32" t="s">
        <v>35</v>
      </c>
      <c r="H2668" s="23" t="s">
        <v>35</v>
      </c>
      <c r="I2668" s="37" t="s">
        <v>36</v>
      </c>
      <c r="J2668" s="25" t="s">
        <v>92</v>
      </c>
      <c r="K2668" s="26" t="s">
        <v>38</v>
      </c>
      <c r="L2668" s="25">
        <v>11766.0</v>
      </c>
      <c r="M2668" s="27" t="s">
        <v>50</v>
      </c>
      <c r="N2668" s="26" t="s">
        <v>4362</v>
      </c>
      <c r="O2668" s="28">
        <v>45586.63904592593</v>
      </c>
      <c r="P2668" s="26" t="s">
        <v>10508</v>
      </c>
      <c r="Q2668" s="11" t="s">
        <v>67</v>
      </c>
      <c r="R2668" s="11" t="s">
        <v>67</v>
      </c>
      <c r="S2668" s="11" t="s">
        <v>50</v>
      </c>
      <c r="T2668" s="29">
        <v>45582.38765186342</v>
      </c>
      <c r="U2668" s="29">
        <v>45583.353486064814</v>
      </c>
      <c r="V2668" s="29">
        <v>45586.59149012731</v>
      </c>
      <c r="W2668" s="30"/>
      <c r="X2668" s="30"/>
      <c r="Y2668" s="31"/>
      <c r="Z2668" s="31"/>
      <c r="AA2668" s="31" t="s">
        <v>120</v>
      </c>
      <c r="AB2668" s="31" t="s">
        <v>10509</v>
      </c>
      <c r="AC2668" s="31"/>
    </row>
    <row r="2669" ht="18.75" customHeight="1">
      <c r="A2669" s="151" t="s">
        <v>10510</v>
      </c>
      <c r="B2669" s="19" t="s">
        <v>10511</v>
      </c>
      <c r="C2669" s="20">
        <v>137.0</v>
      </c>
      <c r="D2669" s="21" t="s">
        <v>10512</v>
      </c>
      <c r="E2669" s="27" t="s">
        <v>85</v>
      </c>
      <c r="F2669" s="18" t="s">
        <v>48</v>
      </c>
      <c r="G2669" s="32" t="s">
        <v>35</v>
      </c>
      <c r="H2669" s="23" t="s">
        <v>35</v>
      </c>
      <c r="I2669" s="24" t="s">
        <v>36</v>
      </c>
      <c r="J2669" s="25" t="s">
        <v>49</v>
      </c>
      <c r="K2669" s="26" t="s">
        <v>238</v>
      </c>
      <c r="L2669" s="34">
        <v>2066.0</v>
      </c>
      <c r="M2669" s="22" t="s">
        <v>50</v>
      </c>
      <c r="N2669" s="65" t="s">
        <v>125</v>
      </c>
      <c r="O2669" s="28">
        <v>45645.73094907407</v>
      </c>
      <c r="P2669" s="26" t="s">
        <v>10513</v>
      </c>
      <c r="Q2669" s="11" t="s">
        <v>67</v>
      </c>
      <c r="R2669" s="11" t="s">
        <v>67</v>
      </c>
      <c r="S2669" s="11" t="s">
        <v>73</v>
      </c>
      <c r="T2669" s="29">
        <v>45602.40386346065</v>
      </c>
      <c r="U2669" s="29">
        <v>45602.40388052083</v>
      </c>
      <c r="V2669" s="29">
        <v>45643.75368828703</v>
      </c>
      <c r="W2669" s="30"/>
      <c r="X2669" s="30"/>
      <c r="Y2669" s="66"/>
      <c r="Z2669" s="31"/>
      <c r="AA2669" s="31" t="s">
        <v>3808</v>
      </c>
      <c r="AB2669" s="31" t="s">
        <v>10514</v>
      </c>
      <c r="AC2669" s="31"/>
    </row>
    <row r="2670" ht="18.75" customHeight="1">
      <c r="A2670" s="18" t="s">
        <v>10515</v>
      </c>
      <c r="B2670" s="19" t="s">
        <v>5432</v>
      </c>
      <c r="C2670" s="20">
        <v>0.0</v>
      </c>
      <c r="D2670" s="61" t="s">
        <v>10516</v>
      </c>
      <c r="E2670" s="27" t="s">
        <v>8868</v>
      </c>
      <c r="F2670" s="18" t="s">
        <v>48</v>
      </c>
      <c r="G2670" s="32" t="s">
        <v>35</v>
      </c>
      <c r="H2670" s="23" t="s">
        <v>35</v>
      </c>
      <c r="I2670" s="37" t="s">
        <v>36</v>
      </c>
      <c r="J2670" s="25" t="s">
        <v>49</v>
      </c>
      <c r="K2670" s="26" t="s">
        <v>38</v>
      </c>
      <c r="L2670" s="25">
        <v>12197.0</v>
      </c>
      <c r="M2670" s="27" t="s">
        <v>50</v>
      </c>
      <c r="N2670" s="26" t="s">
        <v>99</v>
      </c>
      <c r="O2670" s="28">
        <v>45638.672073657406</v>
      </c>
      <c r="P2670" s="26" t="s">
        <v>10517</v>
      </c>
      <c r="Q2670" s="11" t="s">
        <v>67</v>
      </c>
      <c r="R2670" s="11" t="s">
        <v>67</v>
      </c>
      <c r="S2670" s="11" t="s">
        <v>101</v>
      </c>
      <c r="T2670" s="29">
        <v>45583.483659722224</v>
      </c>
      <c r="U2670" s="29">
        <v>45624.45624678241</v>
      </c>
      <c r="V2670" s="29">
        <v>45638.359499363425</v>
      </c>
      <c r="W2670" s="30"/>
      <c r="X2670" s="30"/>
      <c r="Y2670" s="31"/>
      <c r="Z2670" s="31"/>
      <c r="AA2670" s="31" t="s">
        <v>127</v>
      </c>
      <c r="AB2670" s="31" t="s">
        <v>10518</v>
      </c>
      <c r="AC2670" s="31"/>
    </row>
    <row r="2671" ht="18.75" customHeight="1">
      <c r="A2671" s="18" t="s">
        <v>10519</v>
      </c>
      <c r="B2671" s="19" t="s">
        <v>5432</v>
      </c>
      <c r="C2671" s="20">
        <v>0.0</v>
      </c>
      <c r="D2671" s="21" t="s">
        <v>10520</v>
      </c>
      <c r="E2671" s="27" t="s">
        <v>8868</v>
      </c>
      <c r="F2671" s="18" t="s">
        <v>48</v>
      </c>
      <c r="G2671" s="32" t="s">
        <v>35</v>
      </c>
      <c r="H2671" s="23" t="s">
        <v>35</v>
      </c>
      <c r="I2671" s="37" t="s">
        <v>36</v>
      </c>
      <c r="J2671" s="25" t="s">
        <v>49</v>
      </c>
      <c r="K2671" s="26" t="s">
        <v>38</v>
      </c>
      <c r="L2671" s="25">
        <v>12197.0</v>
      </c>
      <c r="M2671" s="27" t="s">
        <v>50</v>
      </c>
      <c r="N2671" s="26" t="s">
        <v>99</v>
      </c>
      <c r="O2671" s="28">
        <v>45638.672142361116</v>
      </c>
      <c r="P2671" s="26" t="s">
        <v>10517</v>
      </c>
      <c r="Q2671" s="11" t="s">
        <v>67</v>
      </c>
      <c r="R2671" s="11" t="s">
        <v>67</v>
      </c>
      <c r="S2671" s="11" t="s">
        <v>101</v>
      </c>
      <c r="T2671" s="29">
        <v>45583.48392950231</v>
      </c>
      <c r="U2671" s="29">
        <v>45624.456255983794</v>
      </c>
      <c r="V2671" s="29">
        <v>45638.371523449074</v>
      </c>
      <c r="W2671" s="30"/>
      <c r="X2671" s="30"/>
      <c r="Y2671" s="31"/>
      <c r="Z2671" s="31"/>
      <c r="AA2671" s="31" t="s">
        <v>127</v>
      </c>
      <c r="AB2671" s="31" t="s">
        <v>10521</v>
      </c>
      <c r="AC2671" s="31"/>
    </row>
    <row r="2672" ht="18.75" customHeight="1">
      <c r="A2672" s="18" t="s">
        <v>10522</v>
      </c>
      <c r="B2672" s="19" t="s">
        <v>5432</v>
      </c>
      <c r="C2672" s="20">
        <v>0.0</v>
      </c>
      <c r="D2672" s="21" t="s">
        <v>10523</v>
      </c>
      <c r="E2672" s="27" t="s">
        <v>8868</v>
      </c>
      <c r="F2672" s="18" t="s">
        <v>48</v>
      </c>
      <c r="G2672" s="32" t="s">
        <v>35</v>
      </c>
      <c r="H2672" s="23" t="s">
        <v>35</v>
      </c>
      <c r="I2672" s="40" t="s">
        <v>36</v>
      </c>
      <c r="J2672" s="25" t="s">
        <v>49</v>
      </c>
      <c r="K2672" s="26" t="s">
        <v>38</v>
      </c>
      <c r="L2672" s="25">
        <v>12197.0</v>
      </c>
      <c r="M2672" s="27" t="s">
        <v>50</v>
      </c>
      <c r="N2672" s="26" t="s">
        <v>99</v>
      </c>
      <c r="O2672" s="28">
        <v>45638.67219386574</v>
      </c>
      <c r="P2672" s="26" t="s">
        <v>10517</v>
      </c>
      <c r="Q2672" s="11" t="s">
        <v>67</v>
      </c>
      <c r="R2672" s="11" t="s">
        <v>67</v>
      </c>
      <c r="S2672" s="11" t="s">
        <v>101</v>
      </c>
      <c r="T2672" s="29">
        <v>45583.48398679398</v>
      </c>
      <c r="U2672" s="29">
        <v>45624.456221643515</v>
      </c>
      <c r="V2672" s="29">
        <v>45638.359531643524</v>
      </c>
      <c r="W2672" s="30"/>
      <c r="X2672" s="30"/>
      <c r="Y2672" s="31"/>
      <c r="Z2672" s="31"/>
      <c r="AA2672" s="31" t="s">
        <v>127</v>
      </c>
      <c r="AB2672" s="31" t="s">
        <v>10524</v>
      </c>
      <c r="AC2672" s="31"/>
    </row>
    <row r="2673" ht="18.75" customHeight="1">
      <c r="A2673" s="18" t="s">
        <v>10525</v>
      </c>
      <c r="B2673" s="19" t="s">
        <v>5432</v>
      </c>
      <c r="C2673" s="20">
        <v>0.0</v>
      </c>
      <c r="D2673" s="61" t="s">
        <v>10526</v>
      </c>
      <c r="E2673" s="27" t="s">
        <v>8868</v>
      </c>
      <c r="F2673" s="18" t="s">
        <v>48</v>
      </c>
      <c r="G2673" s="32" t="s">
        <v>35</v>
      </c>
      <c r="H2673" s="23" t="s">
        <v>35</v>
      </c>
      <c r="I2673" s="37" t="s">
        <v>36</v>
      </c>
      <c r="J2673" s="25" t="s">
        <v>49</v>
      </c>
      <c r="K2673" s="26" t="s">
        <v>38</v>
      </c>
      <c r="L2673" s="25">
        <v>12197.0</v>
      </c>
      <c r="M2673" s="27" t="s">
        <v>50</v>
      </c>
      <c r="N2673" s="26" t="s">
        <v>99</v>
      </c>
      <c r="O2673" s="28">
        <v>45638.67186445602</v>
      </c>
      <c r="P2673" s="26" t="s">
        <v>10517</v>
      </c>
      <c r="Q2673" s="11" t="s">
        <v>67</v>
      </c>
      <c r="R2673" s="11" t="s">
        <v>67</v>
      </c>
      <c r="S2673" s="11" t="s">
        <v>101</v>
      </c>
      <c r="T2673" s="29">
        <v>45583.484056562505</v>
      </c>
      <c r="U2673" s="29">
        <v>45624.45626150463</v>
      </c>
      <c r="V2673" s="29">
        <v>45638.35949116898</v>
      </c>
      <c r="W2673" s="30"/>
      <c r="X2673" s="30"/>
      <c r="Y2673" s="31"/>
      <c r="Z2673" s="31"/>
      <c r="AA2673" s="31" t="s">
        <v>127</v>
      </c>
      <c r="AB2673" s="31" t="s">
        <v>10527</v>
      </c>
      <c r="AC2673" s="31"/>
    </row>
    <row r="2674" ht="18.75" customHeight="1">
      <c r="A2674" s="142" t="s">
        <v>10528</v>
      </c>
      <c r="B2674" s="19" t="s">
        <v>10529</v>
      </c>
      <c r="C2674" s="20">
        <v>90.0</v>
      </c>
      <c r="D2674" s="21" t="s">
        <v>10530</v>
      </c>
      <c r="E2674" s="27" t="s">
        <v>91</v>
      </c>
      <c r="F2674" s="18" t="s">
        <v>48</v>
      </c>
      <c r="G2674" s="32" t="s">
        <v>35</v>
      </c>
      <c r="H2674" s="23" t="s">
        <v>35</v>
      </c>
      <c r="I2674" s="37" t="s">
        <v>36</v>
      </c>
      <c r="J2674" s="25" t="s">
        <v>92</v>
      </c>
      <c r="K2674" s="26" t="s">
        <v>38</v>
      </c>
      <c r="L2674" s="25">
        <v>11821.0</v>
      </c>
      <c r="M2674" s="27" t="s">
        <v>50</v>
      </c>
      <c r="N2674" s="26" t="s">
        <v>10531</v>
      </c>
      <c r="O2674" s="28">
        <v>45601.49264087963</v>
      </c>
      <c r="P2674" s="26" t="s">
        <v>10532</v>
      </c>
      <c r="Q2674" s="11" t="s">
        <v>67</v>
      </c>
      <c r="R2674" s="11" t="s">
        <v>67</v>
      </c>
      <c r="S2674" s="11" t="s">
        <v>73</v>
      </c>
      <c r="T2674" s="29">
        <v>45583.4863003125</v>
      </c>
      <c r="U2674" s="29">
        <v>45586.637827858794</v>
      </c>
      <c r="V2674" s="29">
        <v>45589.78647709491</v>
      </c>
      <c r="W2674" s="30"/>
      <c r="X2674" s="30"/>
      <c r="Y2674" s="31"/>
      <c r="Z2674" s="31"/>
      <c r="AA2674" s="31" t="s">
        <v>120</v>
      </c>
      <c r="AB2674" s="31" t="s">
        <v>10533</v>
      </c>
      <c r="AC2674" s="31"/>
    </row>
    <row r="2675" ht="18.75" customHeight="1">
      <c r="A2675" s="142" t="s">
        <v>10534</v>
      </c>
      <c r="B2675" s="19" t="s">
        <v>3289</v>
      </c>
      <c r="C2675" s="20">
        <v>0.0</v>
      </c>
      <c r="D2675" s="21" t="s">
        <v>10535</v>
      </c>
      <c r="E2675" s="27" t="s">
        <v>1693</v>
      </c>
      <c r="F2675" s="18" t="s">
        <v>48</v>
      </c>
      <c r="G2675" s="32" t="s">
        <v>35</v>
      </c>
      <c r="H2675" s="23" t="s">
        <v>35</v>
      </c>
      <c r="I2675" s="37" t="s">
        <v>36</v>
      </c>
      <c r="J2675" s="25" t="s">
        <v>92</v>
      </c>
      <c r="K2675" s="26" t="s">
        <v>38</v>
      </c>
      <c r="L2675" s="25">
        <v>11767.0</v>
      </c>
      <c r="M2675" s="27" t="s">
        <v>50</v>
      </c>
      <c r="N2675" s="26" t="s">
        <v>4362</v>
      </c>
      <c r="O2675" s="28">
        <v>45586.639130682874</v>
      </c>
      <c r="P2675" s="26" t="s">
        <v>10536</v>
      </c>
      <c r="Q2675" s="11" t="s">
        <v>67</v>
      </c>
      <c r="R2675" s="11" t="s">
        <v>67</v>
      </c>
      <c r="S2675" s="11" t="s">
        <v>50</v>
      </c>
      <c r="T2675" s="29">
        <v>45586.46840240741</v>
      </c>
      <c r="U2675" s="29">
        <v>45586.477845138885</v>
      </c>
      <c r="V2675" s="29">
        <v>45586.591479317125</v>
      </c>
      <c r="W2675" s="30"/>
      <c r="X2675" s="30"/>
      <c r="Y2675" s="31"/>
      <c r="Z2675" s="31"/>
      <c r="AA2675" s="31" t="s">
        <v>120</v>
      </c>
      <c r="AB2675" s="31" t="s">
        <v>10537</v>
      </c>
      <c r="AC2675" s="31"/>
    </row>
    <row r="2676" ht="18.75" customHeight="1">
      <c r="A2676" s="142" t="s">
        <v>10538</v>
      </c>
      <c r="B2676" s="19" t="s">
        <v>7703</v>
      </c>
      <c r="C2676" s="20">
        <v>90.0</v>
      </c>
      <c r="D2676" s="21" t="s">
        <v>10539</v>
      </c>
      <c r="E2676" s="27" t="s">
        <v>91</v>
      </c>
      <c r="F2676" s="18" t="s">
        <v>48</v>
      </c>
      <c r="G2676" s="32" t="s">
        <v>35</v>
      </c>
      <c r="H2676" s="23" t="s">
        <v>35</v>
      </c>
      <c r="I2676" s="37" t="s">
        <v>36</v>
      </c>
      <c r="J2676" s="34" t="s">
        <v>9338</v>
      </c>
      <c r="K2676" s="26" t="s">
        <v>38</v>
      </c>
      <c r="L2676" s="25">
        <v>11822.0</v>
      </c>
      <c r="M2676" s="27" t="s">
        <v>50</v>
      </c>
      <c r="N2676" s="26" t="s">
        <v>9389</v>
      </c>
      <c r="O2676" s="28">
        <v>45596.65987724537</v>
      </c>
      <c r="P2676" s="26" t="s">
        <v>10540</v>
      </c>
      <c r="Q2676" s="11" t="s">
        <v>67</v>
      </c>
      <c r="R2676" s="11" t="s">
        <v>67</v>
      </c>
      <c r="S2676" s="11" t="s">
        <v>73</v>
      </c>
      <c r="T2676" s="29">
        <v>45583.495442569445</v>
      </c>
      <c r="U2676" s="29">
        <v>45586.399487627314</v>
      </c>
      <c r="V2676" s="29">
        <v>45589.78645181713</v>
      </c>
      <c r="W2676" s="30"/>
      <c r="X2676" s="30"/>
      <c r="Y2676" s="31"/>
      <c r="Z2676" s="31"/>
      <c r="AA2676" s="31" t="s">
        <v>3059</v>
      </c>
      <c r="AB2676" s="31" t="s">
        <v>10541</v>
      </c>
      <c r="AC2676" s="31"/>
    </row>
    <row r="2677" ht="18.75" customHeight="1">
      <c r="A2677" s="142" t="s">
        <v>10542</v>
      </c>
      <c r="B2677" s="19" t="s">
        <v>115</v>
      </c>
      <c r="C2677" s="20">
        <v>1.0</v>
      </c>
      <c r="D2677" s="21" t="s">
        <v>10543</v>
      </c>
      <c r="E2677" s="27" t="s">
        <v>3395</v>
      </c>
      <c r="F2677" s="18" t="s">
        <v>48</v>
      </c>
      <c r="G2677" s="32" t="s">
        <v>35</v>
      </c>
      <c r="H2677" s="23" t="s">
        <v>35</v>
      </c>
      <c r="I2677" s="37" t="s">
        <v>36</v>
      </c>
      <c r="J2677" s="25" t="s">
        <v>92</v>
      </c>
      <c r="K2677" s="26" t="s">
        <v>38</v>
      </c>
      <c r="L2677" s="25">
        <v>11823.0</v>
      </c>
      <c r="M2677" s="27" t="s">
        <v>50</v>
      </c>
      <c r="N2677" s="26" t="s">
        <v>7077</v>
      </c>
      <c r="O2677" s="28">
        <v>45601.633461631944</v>
      </c>
      <c r="P2677" s="26" t="s">
        <v>10544</v>
      </c>
      <c r="Q2677" s="11" t="s">
        <v>67</v>
      </c>
      <c r="R2677" s="11" t="s">
        <v>67</v>
      </c>
      <c r="S2677" s="11" t="s">
        <v>73</v>
      </c>
      <c r="T2677" s="29">
        <v>45583.49704732639</v>
      </c>
      <c r="U2677" s="29">
        <v>45586.39925614583</v>
      </c>
      <c r="V2677" s="29">
        <v>45589.78644546296</v>
      </c>
      <c r="W2677" s="30"/>
      <c r="X2677" s="30"/>
      <c r="Y2677" s="31"/>
      <c r="Z2677" s="31"/>
      <c r="AA2677" s="31" t="s">
        <v>120</v>
      </c>
      <c r="AB2677" s="31" t="s">
        <v>10545</v>
      </c>
      <c r="AC2677" s="31"/>
    </row>
    <row r="2678" ht="18.75" customHeight="1">
      <c r="A2678" s="142" t="s">
        <v>10546</v>
      </c>
      <c r="B2678" s="19" t="s">
        <v>115</v>
      </c>
      <c r="C2678" s="20">
        <v>34.0</v>
      </c>
      <c r="D2678" s="21" t="s">
        <v>10547</v>
      </c>
      <c r="E2678" s="27" t="s">
        <v>47</v>
      </c>
      <c r="F2678" s="18" t="s">
        <v>48</v>
      </c>
      <c r="G2678" s="32" t="s">
        <v>35</v>
      </c>
      <c r="H2678" s="23" t="s">
        <v>35</v>
      </c>
      <c r="I2678" s="37" t="s">
        <v>36</v>
      </c>
      <c r="J2678" s="25" t="s">
        <v>92</v>
      </c>
      <c r="K2678" s="26" t="s">
        <v>38</v>
      </c>
      <c r="L2678" s="25">
        <v>11765.0</v>
      </c>
      <c r="M2678" s="27" t="s">
        <v>50</v>
      </c>
      <c r="N2678" s="26" t="s">
        <v>10181</v>
      </c>
      <c r="O2678" s="28">
        <v>45586.59336612269</v>
      </c>
      <c r="P2678" s="26" t="s">
        <v>10548</v>
      </c>
      <c r="Q2678" s="11" t="s">
        <v>67</v>
      </c>
      <c r="R2678" s="11" t="s">
        <v>67</v>
      </c>
      <c r="S2678" s="11" t="s">
        <v>50</v>
      </c>
      <c r="T2678" s="29">
        <v>45583.498301238425</v>
      </c>
      <c r="U2678" s="29">
        <v>45586.398908449075</v>
      </c>
      <c r="V2678" s="29">
        <v>45586.58452923611</v>
      </c>
      <c r="W2678" s="30"/>
      <c r="X2678" s="30"/>
      <c r="Y2678" s="31"/>
      <c r="Z2678" s="31"/>
      <c r="AA2678" s="31" t="s">
        <v>120</v>
      </c>
      <c r="AB2678" s="31" t="s">
        <v>10549</v>
      </c>
      <c r="AC2678" s="31"/>
    </row>
    <row r="2679" ht="18.75" customHeight="1">
      <c r="A2679" s="142" t="s">
        <v>10550</v>
      </c>
      <c r="B2679" s="19" t="s">
        <v>8893</v>
      </c>
      <c r="C2679" s="20">
        <v>34.0</v>
      </c>
      <c r="D2679" s="21" t="s">
        <v>10551</v>
      </c>
      <c r="E2679" s="27" t="s">
        <v>47</v>
      </c>
      <c r="F2679" s="18" t="s">
        <v>48</v>
      </c>
      <c r="G2679" s="32" t="s">
        <v>35</v>
      </c>
      <c r="H2679" s="23" t="s">
        <v>35</v>
      </c>
      <c r="I2679" s="37" t="s">
        <v>36</v>
      </c>
      <c r="J2679" s="25" t="s">
        <v>49</v>
      </c>
      <c r="K2679" s="26" t="s">
        <v>38</v>
      </c>
      <c r="L2679" s="25">
        <v>11762.0</v>
      </c>
      <c r="M2679" s="27" t="s">
        <v>50</v>
      </c>
      <c r="N2679" s="26" t="s">
        <v>106</v>
      </c>
      <c r="O2679" s="28">
        <v>45586.5812261574</v>
      </c>
      <c r="P2679" s="26" t="s">
        <v>10552</v>
      </c>
      <c r="Q2679" s="11" t="s">
        <v>67</v>
      </c>
      <c r="R2679" s="11" t="s">
        <v>67</v>
      </c>
      <c r="S2679" s="11" t="s">
        <v>50</v>
      </c>
      <c r="T2679" s="29">
        <v>45586.371350497684</v>
      </c>
      <c r="U2679" s="29">
        <v>45586.40041307871</v>
      </c>
      <c r="V2679" s="29">
        <v>45586.448740567124</v>
      </c>
      <c r="W2679" s="30"/>
      <c r="X2679" s="30"/>
      <c r="Y2679" s="31"/>
      <c r="Z2679" s="31"/>
      <c r="AA2679" s="31" t="s">
        <v>5199</v>
      </c>
      <c r="AB2679" s="31" t="s">
        <v>10553</v>
      </c>
      <c r="AC2679" s="31"/>
    </row>
    <row r="2680" ht="18.75" customHeight="1">
      <c r="A2680" s="142" t="s">
        <v>10554</v>
      </c>
      <c r="B2680" s="19" t="s">
        <v>115</v>
      </c>
      <c r="C2680" s="20">
        <v>11.0</v>
      </c>
      <c r="D2680" s="21" t="s">
        <v>10555</v>
      </c>
      <c r="E2680" s="27" t="s">
        <v>112</v>
      </c>
      <c r="F2680" s="18" t="s">
        <v>48</v>
      </c>
      <c r="G2680" s="32" t="s">
        <v>35</v>
      </c>
      <c r="H2680" s="23" t="s">
        <v>35</v>
      </c>
      <c r="I2680" s="37" t="s">
        <v>36</v>
      </c>
      <c r="J2680" s="25" t="s">
        <v>92</v>
      </c>
      <c r="K2680" s="26" t="s">
        <v>38</v>
      </c>
      <c r="L2680" s="25">
        <v>11764.0</v>
      </c>
      <c r="M2680" s="27" t="s">
        <v>50</v>
      </c>
      <c r="N2680" s="26" t="s">
        <v>10181</v>
      </c>
      <c r="O2680" s="28">
        <v>45586.59346736111</v>
      </c>
      <c r="P2680" s="26" t="s">
        <v>10556</v>
      </c>
      <c r="Q2680" s="11" t="s">
        <v>67</v>
      </c>
      <c r="R2680" s="11" t="s">
        <v>67</v>
      </c>
      <c r="S2680" s="11" t="s">
        <v>50</v>
      </c>
      <c r="T2680" s="29">
        <v>45586.374272581015</v>
      </c>
      <c r="U2680" s="29">
        <v>45586.45678039352</v>
      </c>
      <c r="V2680" s="29">
        <v>45586.584541828706</v>
      </c>
      <c r="W2680" s="30"/>
      <c r="X2680" s="30"/>
      <c r="Y2680" s="31"/>
      <c r="Z2680" s="31"/>
      <c r="AA2680" s="31" t="s">
        <v>120</v>
      </c>
      <c r="AB2680" s="31" t="s">
        <v>10557</v>
      </c>
      <c r="AC2680" s="31"/>
    </row>
    <row r="2681" ht="18.75" customHeight="1">
      <c r="A2681" s="142" t="s">
        <v>10558</v>
      </c>
      <c r="B2681" s="19" t="s">
        <v>7703</v>
      </c>
      <c r="C2681" s="20">
        <v>1.0</v>
      </c>
      <c r="D2681" s="21" t="s">
        <v>10559</v>
      </c>
      <c r="E2681" s="27" t="s">
        <v>3395</v>
      </c>
      <c r="F2681" s="18" t="s">
        <v>48</v>
      </c>
      <c r="G2681" s="32" t="s">
        <v>35</v>
      </c>
      <c r="H2681" s="23" t="s">
        <v>35</v>
      </c>
      <c r="I2681" s="37" t="s">
        <v>36</v>
      </c>
      <c r="J2681" s="34" t="s">
        <v>65</v>
      </c>
      <c r="K2681" s="26" t="s">
        <v>38</v>
      </c>
      <c r="L2681" s="25">
        <v>11777.0</v>
      </c>
      <c r="M2681" s="27" t="s">
        <v>50</v>
      </c>
      <c r="N2681" s="26" t="s">
        <v>5279</v>
      </c>
      <c r="O2681" s="28">
        <v>45587.671711944444</v>
      </c>
      <c r="P2681" s="26" t="s">
        <v>10560</v>
      </c>
      <c r="Q2681" s="11" t="s">
        <v>67</v>
      </c>
      <c r="R2681" s="11" t="s">
        <v>67</v>
      </c>
      <c r="S2681" s="11" t="s">
        <v>50</v>
      </c>
      <c r="T2681" s="29">
        <v>45586.38288961806</v>
      </c>
      <c r="U2681" s="29">
        <v>45586.64823199074</v>
      </c>
      <c r="V2681" s="29">
        <v>45587.55703225694</v>
      </c>
      <c r="W2681" s="30"/>
      <c r="X2681" s="30"/>
      <c r="Y2681" s="31"/>
      <c r="Z2681" s="31"/>
      <c r="AA2681" s="31" t="s">
        <v>3059</v>
      </c>
      <c r="AB2681" s="31" t="s">
        <v>10561</v>
      </c>
      <c r="AC2681" s="31"/>
    </row>
    <row r="2682" ht="18.75" customHeight="1">
      <c r="A2682" s="142" t="s">
        <v>10562</v>
      </c>
      <c r="B2682" s="19" t="s">
        <v>10563</v>
      </c>
      <c r="C2682" s="20">
        <v>0.0</v>
      </c>
      <c r="D2682" s="80" t="s">
        <v>391</v>
      </c>
      <c r="E2682" s="22" t="s">
        <v>1119</v>
      </c>
      <c r="F2682" s="18" t="s">
        <v>33</v>
      </c>
      <c r="G2682" s="32" t="s">
        <v>35</v>
      </c>
      <c r="H2682" s="23" t="s">
        <v>35</v>
      </c>
      <c r="I2682" s="37" t="s">
        <v>36</v>
      </c>
      <c r="J2682" s="25" t="s">
        <v>49</v>
      </c>
      <c r="K2682" s="26" t="s">
        <v>9556</v>
      </c>
      <c r="L2682" s="25">
        <v>11831.0</v>
      </c>
      <c r="M2682" s="27" t="s">
        <v>50</v>
      </c>
      <c r="N2682" s="26" t="s">
        <v>99</v>
      </c>
      <c r="O2682" s="28">
        <v>45590.69017079861</v>
      </c>
      <c r="P2682" s="26" t="s">
        <v>10564</v>
      </c>
      <c r="Q2682" s="11" t="s">
        <v>67</v>
      </c>
      <c r="R2682" s="11" t="s">
        <v>67</v>
      </c>
      <c r="S2682" s="11" t="s">
        <v>101</v>
      </c>
      <c r="T2682" s="29">
        <v>45586.38758974537</v>
      </c>
      <c r="U2682" s="29">
        <v>45586.406084560185</v>
      </c>
      <c r="V2682" s="29">
        <v>45589.44532868055</v>
      </c>
      <c r="W2682" s="30"/>
      <c r="X2682" s="30"/>
      <c r="Y2682" s="31"/>
      <c r="Z2682" s="31"/>
      <c r="AA2682" s="31" t="s">
        <v>3053</v>
      </c>
      <c r="AB2682" s="31" t="s">
        <v>10565</v>
      </c>
      <c r="AC2682" s="31"/>
    </row>
    <row r="2683" ht="18.75" customHeight="1">
      <c r="A2683" s="142" t="s">
        <v>10566</v>
      </c>
      <c r="B2683" s="19" t="s">
        <v>3266</v>
      </c>
      <c r="C2683" s="20">
        <v>90.0</v>
      </c>
      <c r="D2683" s="21" t="s">
        <v>10567</v>
      </c>
      <c r="E2683" s="27" t="s">
        <v>91</v>
      </c>
      <c r="F2683" s="18" t="s">
        <v>48</v>
      </c>
      <c r="G2683" s="32" t="s">
        <v>35</v>
      </c>
      <c r="H2683" s="23" t="s">
        <v>35</v>
      </c>
      <c r="I2683" s="37" t="s">
        <v>36</v>
      </c>
      <c r="J2683" s="34" t="s">
        <v>65</v>
      </c>
      <c r="K2683" s="26" t="s">
        <v>38</v>
      </c>
      <c r="L2683" s="25">
        <v>11824.0</v>
      </c>
      <c r="M2683" s="27" t="s">
        <v>50</v>
      </c>
      <c r="N2683" s="26" t="s">
        <v>9743</v>
      </c>
      <c r="O2683" s="28">
        <v>45590.664671875</v>
      </c>
      <c r="P2683" s="26" t="s">
        <v>10568</v>
      </c>
      <c r="Q2683" s="11" t="s">
        <v>67</v>
      </c>
      <c r="R2683" s="11" t="s">
        <v>67</v>
      </c>
      <c r="S2683" s="11" t="s">
        <v>73</v>
      </c>
      <c r="T2683" s="29">
        <v>45586.39140260417</v>
      </c>
      <c r="U2683" s="29">
        <v>45586.45724318287</v>
      </c>
      <c r="V2683" s="29">
        <v>45589.78645681713</v>
      </c>
      <c r="W2683" s="30"/>
      <c r="X2683" s="30"/>
      <c r="Y2683" s="31"/>
      <c r="Z2683" s="31"/>
      <c r="AA2683" s="31" t="s">
        <v>94</v>
      </c>
      <c r="AB2683" s="31" t="s">
        <v>10569</v>
      </c>
      <c r="AC2683" s="31"/>
    </row>
    <row r="2684" ht="18.75" customHeight="1">
      <c r="A2684" s="18" t="s">
        <v>10570</v>
      </c>
      <c r="B2684" s="19" t="s">
        <v>8299</v>
      </c>
      <c r="C2684" s="20">
        <v>27.0</v>
      </c>
      <c r="D2684" s="39" t="s">
        <v>10571</v>
      </c>
      <c r="E2684" s="27" t="s">
        <v>72</v>
      </c>
      <c r="F2684" s="18" t="s">
        <v>48</v>
      </c>
      <c r="G2684" s="32" t="s">
        <v>35</v>
      </c>
      <c r="H2684" s="23" t="s">
        <v>35</v>
      </c>
      <c r="I2684" s="37" t="s">
        <v>36</v>
      </c>
      <c r="J2684" s="34" t="s">
        <v>65</v>
      </c>
      <c r="K2684" s="26" t="s">
        <v>38</v>
      </c>
      <c r="L2684" s="25">
        <v>11771.0</v>
      </c>
      <c r="M2684" s="27" t="s">
        <v>50</v>
      </c>
      <c r="N2684" s="26" t="s">
        <v>5279</v>
      </c>
      <c r="O2684" s="28">
        <v>45587.67179974537</v>
      </c>
      <c r="P2684" s="26" t="s">
        <v>10572</v>
      </c>
      <c r="Q2684" s="11" t="s">
        <v>67</v>
      </c>
      <c r="R2684" s="11" t="s">
        <v>67</v>
      </c>
      <c r="S2684" s="11" t="s">
        <v>50</v>
      </c>
      <c r="T2684" s="29">
        <v>45586.3926500463</v>
      </c>
      <c r="U2684" s="29">
        <v>45586.45747461806</v>
      </c>
      <c r="V2684" s="29">
        <v>45587.46802784722</v>
      </c>
      <c r="W2684" s="30"/>
      <c r="X2684" s="30"/>
      <c r="Y2684" s="31"/>
      <c r="Z2684" s="31"/>
      <c r="AA2684" s="31" t="s">
        <v>94</v>
      </c>
      <c r="AB2684" s="31" t="s">
        <v>10573</v>
      </c>
      <c r="AC2684" s="31"/>
    </row>
    <row r="2685" ht="18.75" customHeight="1">
      <c r="A2685" s="18" t="s">
        <v>10574</v>
      </c>
      <c r="B2685" s="19" t="s">
        <v>8299</v>
      </c>
      <c r="C2685" s="20">
        <v>90.0</v>
      </c>
      <c r="D2685" s="21" t="s">
        <v>10575</v>
      </c>
      <c r="E2685" s="27" t="s">
        <v>91</v>
      </c>
      <c r="F2685" s="18" t="s">
        <v>48</v>
      </c>
      <c r="G2685" s="32" t="s">
        <v>35</v>
      </c>
      <c r="H2685" s="23" t="s">
        <v>35</v>
      </c>
      <c r="I2685" s="37" t="s">
        <v>36</v>
      </c>
      <c r="J2685" s="34" t="s">
        <v>65</v>
      </c>
      <c r="K2685" s="26" t="s">
        <v>38</v>
      </c>
      <c r="L2685" s="25">
        <v>11825.0</v>
      </c>
      <c r="M2685" s="27" t="s">
        <v>50</v>
      </c>
      <c r="N2685" s="26" t="s">
        <v>9743</v>
      </c>
      <c r="O2685" s="28">
        <v>45590.66480817129</v>
      </c>
      <c r="P2685" s="26" t="s">
        <v>10572</v>
      </c>
      <c r="Q2685" s="11" t="s">
        <v>67</v>
      </c>
      <c r="R2685" s="11" t="s">
        <v>67</v>
      </c>
      <c r="S2685" s="11" t="s">
        <v>73</v>
      </c>
      <c r="T2685" s="29">
        <v>45586.39306795139</v>
      </c>
      <c r="U2685" s="29">
        <v>45586.45759313657</v>
      </c>
      <c r="V2685" s="29">
        <v>45589.78646188657</v>
      </c>
      <c r="W2685" s="30"/>
      <c r="X2685" s="30"/>
      <c r="Y2685" s="31"/>
      <c r="Z2685" s="31"/>
      <c r="AA2685" s="31" t="s">
        <v>94</v>
      </c>
      <c r="AB2685" s="31" t="s">
        <v>10576</v>
      </c>
      <c r="AC2685" s="31"/>
    </row>
    <row r="2686" ht="18.75" customHeight="1">
      <c r="A2686" s="142" t="s">
        <v>10577</v>
      </c>
      <c r="B2686" s="19" t="s">
        <v>147</v>
      </c>
      <c r="C2686" s="20">
        <v>27.0</v>
      </c>
      <c r="D2686" s="39" t="s">
        <v>10578</v>
      </c>
      <c r="E2686" s="27" t="s">
        <v>72</v>
      </c>
      <c r="F2686" s="18" t="s">
        <v>48</v>
      </c>
      <c r="G2686" s="32" t="s">
        <v>35</v>
      </c>
      <c r="H2686" s="23" t="s">
        <v>35</v>
      </c>
      <c r="I2686" s="37" t="s">
        <v>36</v>
      </c>
      <c r="J2686" s="34" t="s">
        <v>65</v>
      </c>
      <c r="K2686" s="26" t="s">
        <v>38</v>
      </c>
      <c r="L2686" s="25">
        <v>11787.0</v>
      </c>
      <c r="M2686" s="27" t="s">
        <v>50</v>
      </c>
      <c r="N2686" s="26" t="s">
        <v>149</v>
      </c>
      <c r="O2686" s="28">
        <v>45588.64456914352</v>
      </c>
      <c r="P2686" s="26" t="s">
        <v>10579</v>
      </c>
      <c r="Q2686" s="11" t="s">
        <v>67</v>
      </c>
      <c r="R2686" s="11" t="s">
        <v>67</v>
      </c>
      <c r="S2686" s="11" t="s">
        <v>50</v>
      </c>
      <c r="T2686" s="29">
        <v>45586.48127939815</v>
      </c>
      <c r="U2686" s="29">
        <v>45588.395546898144</v>
      </c>
      <c r="V2686" s="29">
        <v>45588.58425792824</v>
      </c>
      <c r="W2686" s="30"/>
      <c r="X2686" s="30"/>
      <c r="Y2686" s="31"/>
      <c r="Z2686" s="31"/>
      <c r="AA2686" s="31" t="s">
        <v>94</v>
      </c>
      <c r="AB2686" s="31" t="s">
        <v>10580</v>
      </c>
      <c r="AC2686" s="31"/>
    </row>
    <row r="2687" ht="18.75" customHeight="1">
      <c r="A2687" s="142" t="s">
        <v>10581</v>
      </c>
      <c r="B2687" s="19" t="s">
        <v>5313</v>
      </c>
      <c r="C2687" s="20">
        <v>90.0</v>
      </c>
      <c r="D2687" s="21" t="s">
        <v>10582</v>
      </c>
      <c r="E2687" s="27" t="s">
        <v>91</v>
      </c>
      <c r="F2687" s="18" t="s">
        <v>48</v>
      </c>
      <c r="G2687" s="32" t="s">
        <v>35</v>
      </c>
      <c r="H2687" s="23" t="s">
        <v>35</v>
      </c>
      <c r="I2687" s="37" t="s">
        <v>36</v>
      </c>
      <c r="J2687" s="34" t="s">
        <v>65</v>
      </c>
      <c r="K2687" s="26" t="s">
        <v>38</v>
      </c>
      <c r="L2687" s="25">
        <v>11826.0</v>
      </c>
      <c r="M2687" s="27" t="s">
        <v>50</v>
      </c>
      <c r="N2687" s="26" t="s">
        <v>9743</v>
      </c>
      <c r="O2687" s="28">
        <v>45590.66402210648</v>
      </c>
      <c r="P2687" s="26" t="s">
        <v>10583</v>
      </c>
      <c r="Q2687" s="11" t="s">
        <v>67</v>
      </c>
      <c r="R2687" s="11" t="s">
        <v>67</v>
      </c>
      <c r="S2687" s="11" t="s">
        <v>73</v>
      </c>
      <c r="T2687" s="29">
        <v>45586.48492170139</v>
      </c>
      <c r="U2687" s="29">
        <v>45586.56141009259</v>
      </c>
      <c r="V2687" s="29">
        <v>45589.786466770835</v>
      </c>
      <c r="W2687" s="30"/>
      <c r="X2687" s="30"/>
      <c r="Y2687" s="31"/>
      <c r="Z2687" s="31"/>
      <c r="AA2687" s="31" t="s">
        <v>94</v>
      </c>
      <c r="AB2687" s="31" t="s">
        <v>10584</v>
      </c>
      <c r="AC2687" s="31"/>
    </row>
    <row r="2688" ht="18.75" customHeight="1">
      <c r="A2688" s="142" t="s">
        <v>10585</v>
      </c>
      <c r="B2688" s="19" t="s">
        <v>9801</v>
      </c>
      <c r="C2688" s="20">
        <v>1.0</v>
      </c>
      <c r="D2688" s="21" t="s">
        <v>10586</v>
      </c>
      <c r="E2688" s="27" t="s">
        <v>3395</v>
      </c>
      <c r="F2688" s="18" t="s">
        <v>48</v>
      </c>
      <c r="G2688" s="32" t="s">
        <v>35</v>
      </c>
      <c r="H2688" s="23" t="s">
        <v>35</v>
      </c>
      <c r="I2688" s="37" t="s">
        <v>36</v>
      </c>
      <c r="J2688" s="34" t="s">
        <v>65</v>
      </c>
      <c r="K2688" s="26" t="s">
        <v>38</v>
      </c>
      <c r="L2688" s="25">
        <v>11827.0</v>
      </c>
      <c r="M2688" s="27" t="s">
        <v>50</v>
      </c>
      <c r="N2688" s="26" t="s">
        <v>9743</v>
      </c>
      <c r="O2688" s="28">
        <v>45590.664935127315</v>
      </c>
      <c r="P2688" s="26" t="s">
        <v>10587</v>
      </c>
      <c r="Q2688" s="11" t="s">
        <v>67</v>
      </c>
      <c r="R2688" s="11" t="s">
        <v>67</v>
      </c>
      <c r="S2688" s="11" t="s">
        <v>73</v>
      </c>
      <c r="T2688" s="29">
        <v>45586.48685559028</v>
      </c>
      <c r="U2688" s="29">
        <v>45586.56175765046</v>
      </c>
      <c r="V2688" s="29">
        <v>45589.78647203704</v>
      </c>
      <c r="W2688" s="30"/>
      <c r="X2688" s="30"/>
      <c r="Y2688" s="31"/>
      <c r="Z2688" s="31"/>
      <c r="AA2688" s="31" t="s">
        <v>94</v>
      </c>
      <c r="AB2688" s="31" t="s">
        <v>10588</v>
      </c>
      <c r="AC2688" s="31"/>
    </row>
    <row r="2689" ht="18.75" customHeight="1">
      <c r="A2689" s="142" t="s">
        <v>10589</v>
      </c>
      <c r="B2689" s="19" t="s">
        <v>4352</v>
      </c>
      <c r="C2689" s="20">
        <v>1.0</v>
      </c>
      <c r="D2689" s="21" t="s">
        <v>10590</v>
      </c>
      <c r="E2689" s="27" t="s">
        <v>3395</v>
      </c>
      <c r="F2689" s="18" t="s">
        <v>48</v>
      </c>
      <c r="G2689" s="32" t="s">
        <v>35</v>
      </c>
      <c r="H2689" s="23" t="s">
        <v>35</v>
      </c>
      <c r="I2689" s="37" t="s">
        <v>36</v>
      </c>
      <c r="J2689" s="25" t="s">
        <v>49</v>
      </c>
      <c r="K2689" s="26" t="s">
        <v>38</v>
      </c>
      <c r="L2689" s="25">
        <v>11828.0</v>
      </c>
      <c r="M2689" s="27" t="s">
        <v>50</v>
      </c>
      <c r="N2689" s="26" t="s">
        <v>99</v>
      </c>
      <c r="O2689" s="28">
        <v>45590.68921152777</v>
      </c>
      <c r="P2689" s="26" t="s">
        <v>10591</v>
      </c>
      <c r="Q2689" s="11" t="s">
        <v>67</v>
      </c>
      <c r="R2689" s="11" t="s">
        <v>67</v>
      </c>
      <c r="S2689" s="11" t="s">
        <v>73</v>
      </c>
      <c r="T2689" s="29">
        <v>45586.491280601855</v>
      </c>
      <c r="U2689" s="29">
        <v>45588.41991402778</v>
      </c>
      <c r="V2689" s="29">
        <v>45589.78655505787</v>
      </c>
      <c r="W2689" s="30"/>
      <c r="X2689" s="30"/>
      <c r="Y2689" s="31"/>
      <c r="Z2689" s="31"/>
      <c r="AA2689" s="31" t="s">
        <v>127</v>
      </c>
      <c r="AB2689" s="31" t="s">
        <v>10592</v>
      </c>
      <c r="AC2689" s="31"/>
    </row>
    <row r="2690" ht="18.75" customHeight="1">
      <c r="A2690" s="142" t="s">
        <v>10593</v>
      </c>
      <c r="B2690" s="19" t="s">
        <v>4352</v>
      </c>
      <c r="C2690" s="20">
        <v>90.0</v>
      </c>
      <c r="D2690" s="21" t="s">
        <v>10594</v>
      </c>
      <c r="E2690" s="27" t="s">
        <v>91</v>
      </c>
      <c r="F2690" s="18" t="s">
        <v>48</v>
      </c>
      <c r="G2690" s="32" t="s">
        <v>35</v>
      </c>
      <c r="H2690" s="23" t="s">
        <v>35</v>
      </c>
      <c r="I2690" s="37" t="s">
        <v>36</v>
      </c>
      <c r="J2690" s="25" t="s">
        <v>49</v>
      </c>
      <c r="K2690" s="26" t="s">
        <v>38</v>
      </c>
      <c r="L2690" s="25">
        <v>11829.0</v>
      </c>
      <c r="M2690" s="27" t="s">
        <v>50</v>
      </c>
      <c r="N2690" s="26" t="s">
        <v>99</v>
      </c>
      <c r="O2690" s="28">
        <v>45590.6900084375</v>
      </c>
      <c r="P2690" s="26" t="s">
        <v>10595</v>
      </c>
      <c r="Q2690" s="11" t="s">
        <v>67</v>
      </c>
      <c r="R2690" s="11" t="s">
        <v>67</v>
      </c>
      <c r="S2690" s="11" t="s">
        <v>73</v>
      </c>
      <c r="T2690" s="29">
        <v>45586.49250871528</v>
      </c>
      <c r="U2690" s="29">
        <v>45588.41962153935</v>
      </c>
      <c r="V2690" s="29">
        <v>45589.78654194444</v>
      </c>
      <c r="W2690" s="30"/>
      <c r="X2690" s="30"/>
      <c r="Y2690" s="31"/>
      <c r="Z2690" s="31"/>
      <c r="AA2690" s="31" t="s">
        <v>127</v>
      </c>
      <c r="AB2690" s="31" t="s">
        <v>10596</v>
      </c>
      <c r="AC2690" s="31"/>
    </row>
    <row r="2691" ht="18.75" customHeight="1">
      <c r="A2691" s="142" t="s">
        <v>10597</v>
      </c>
      <c r="B2691" s="19" t="s">
        <v>4352</v>
      </c>
      <c r="C2691" s="20">
        <v>11.0</v>
      </c>
      <c r="D2691" s="21" t="s">
        <v>10598</v>
      </c>
      <c r="E2691" s="27" t="s">
        <v>112</v>
      </c>
      <c r="F2691" s="18" t="s">
        <v>48</v>
      </c>
      <c r="G2691" s="32" t="s">
        <v>35</v>
      </c>
      <c r="H2691" s="23" t="s">
        <v>35</v>
      </c>
      <c r="I2691" s="37" t="s">
        <v>36</v>
      </c>
      <c r="J2691" s="25" t="s">
        <v>49</v>
      </c>
      <c r="K2691" s="26" t="s">
        <v>38</v>
      </c>
      <c r="L2691" s="25">
        <v>11789.0</v>
      </c>
      <c r="M2691" s="27" t="s">
        <v>50</v>
      </c>
      <c r="N2691" s="26" t="s">
        <v>99</v>
      </c>
      <c r="O2691" s="28">
        <v>45588.69281511574</v>
      </c>
      <c r="P2691" s="26" t="s">
        <v>10599</v>
      </c>
      <c r="Q2691" s="11" t="s">
        <v>67</v>
      </c>
      <c r="R2691" s="11" t="s">
        <v>67</v>
      </c>
      <c r="S2691" s="11" t="s">
        <v>50</v>
      </c>
      <c r="T2691" s="29">
        <v>45586.4946346875</v>
      </c>
      <c r="U2691" s="29">
        <v>45588.419041967594</v>
      </c>
      <c r="V2691" s="29">
        <v>45588.60101570602</v>
      </c>
      <c r="W2691" s="30"/>
      <c r="X2691" s="30"/>
      <c r="Y2691" s="31"/>
      <c r="Z2691" s="31"/>
      <c r="AA2691" s="31" t="s">
        <v>127</v>
      </c>
      <c r="AB2691" s="31" t="s">
        <v>10600</v>
      </c>
      <c r="AC2691" s="31"/>
    </row>
    <row r="2692" ht="18.75" customHeight="1">
      <c r="A2692" s="142" t="s">
        <v>10601</v>
      </c>
      <c r="B2692" s="19" t="s">
        <v>5185</v>
      </c>
      <c r="C2692" s="20">
        <v>90.0</v>
      </c>
      <c r="D2692" s="21" t="s">
        <v>10602</v>
      </c>
      <c r="E2692" s="27" t="s">
        <v>91</v>
      </c>
      <c r="F2692" s="18" t="s">
        <v>48</v>
      </c>
      <c r="G2692" s="32" t="s">
        <v>35</v>
      </c>
      <c r="H2692" s="23" t="s">
        <v>35</v>
      </c>
      <c r="I2692" s="37" t="s">
        <v>36</v>
      </c>
      <c r="J2692" s="25" t="s">
        <v>49</v>
      </c>
      <c r="K2692" s="26" t="s">
        <v>38</v>
      </c>
      <c r="L2692" s="25">
        <v>11815.0</v>
      </c>
      <c r="M2692" s="27" t="s">
        <v>50</v>
      </c>
      <c r="N2692" s="26" t="s">
        <v>99</v>
      </c>
      <c r="O2692" s="28">
        <v>45590.688992361116</v>
      </c>
      <c r="P2692" s="26" t="s">
        <v>10603</v>
      </c>
      <c r="Q2692" s="11" t="s">
        <v>67</v>
      </c>
      <c r="R2692" s="11" t="s">
        <v>67</v>
      </c>
      <c r="S2692" s="11" t="s">
        <v>73</v>
      </c>
      <c r="T2692" s="29">
        <v>45587.353440983796</v>
      </c>
      <c r="U2692" s="29">
        <v>45588.41071015046</v>
      </c>
      <c r="V2692" s="29">
        <v>45589.78653498842</v>
      </c>
      <c r="W2692" s="30"/>
      <c r="X2692" s="30"/>
      <c r="Y2692" s="31"/>
      <c r="Z2692" s="31"/>
      <c r="AA2692" s="31" t="s">
        <v>127</v>
      </c>
      <c r="AB2692" s="31" t="s">
        <v>10604</v>
      </c>
      <c r="AC2692" s="31"/>
    </row>
    <row r="2693" ht="18.75" customHeight="1">
      <c r="A2693" s="142" t="s">
        <v>10605</v>
      </c>
      <c r="B2693" s="19" t="s">
        <v>10606</v>
      </c>
      <c r="C2693" s="20">
        <v>90.0</v>
      </c>
      <c r="D2693" s="21" t="s">
        <v>10607</v>
      </c>
      <c r="E2693" s="27" t="s">
        <v>91</v>
      </c>
      <c r="F2693" s="18" t="s">
        <v>48</v>
      </c>
      <c r="G2693" s="32" t="s">
        <v>35</v>
      </c>
      <c r="H2693" s="23" t="s">
        <v>35</v>
      </c>
      <c r="I2693" s="37" t="s">
        <v>36</v>
      </c>
      <c r="J2693" s="25" t="s">
        <v>49</v>
      </c>
      <c r="K2693" s="26" t="s">
        <v>238</v>
      </c>
      <c r="L2693" s="25">
        <v>11816.0</v>
      </c>
      <c r="M2693" s="27" t="s">
        <v>50</v>
      </c>
      <c r="N2693" s="26" t="s">
        <v>99</v>
      </c>
      <c r="O2693" s="28">
        <v>45590.68908991898</v>
      </c>
      <c r="P2693" s="26" t="s">
        <v>10608</v>
      </c>
      <c r="Q2693" s="11" t="s">
        <v>67</v>
      </c>
      <c r="R2693" s="11" t="s">
        <v>67</v>
      </c>
      <c r="S2693" s="11" t="s">
        <v>73</v>
      </c>
      <c r="T2693" s="29">
        <v>45587.50591569445</v>
      </c>
      <c r="U2693" s="29">
        <v>45587.59630800926</v>
      </c>
      <c r="V2693" s="29">
        <v>45589.78651578704</v>
      </c>
      <c r="W2693" s="30"/>
      <c r="X2693" s="30"/>
      <c r="Y2693" s="31"/>
      <c r="Z2693" s="31"/>
      <c r="AA2693" s="31" t="s">
        <v>3808</v>
      </c>
      <c r="AB2693" s="31" t="s">
        <v>10609</v>
      </c>
      <c r="AC2693" s="31"/>
    </row>
    <row r="2694" ht="18.75" customHeight="1">
      <c r="A2694" s="142" t="s">
        <v>10610</v>
      </c>
      <c r="B2694" s="19" t="s">
        <v>4587</v>
      </c>
      <c r="C2694" s="20">
        <v>34.0</v>
      </c>
      <c r="D2694" s="21" t="s">
        <v>10611</v>
      </c>
      <c r="E2694" s="27" t="s">
        <v>47</v>
      </c>
      <c r="F2694" s="18" t="s">
        <v>48</v>
      </c>
      <c r="G2694" s="32" t="s">
        <v>35</v>
      </c>
      <c r="H2694" s="23" t="s">
        <v>35</v>
      </c>
      <c r="I2694" s="37" t="s">
        <v>36</v>
      </c>
      <c r="J2694" s="34" t="s">
        <v>9338</v>
      </c>
      <c r="K2694" s="26" t="s">
        <v>38</v>
      </c>
      <c r="L2694" s="25">
        <v>11773.0</v>
      </c>
      <c r="M2694" s="27" t="s">
        <v>50</v>
      </c>
      <c r="N2694" s="26" t="s">
        <v>9389</v>
      </c>
      <c r="O2694" s="28">
        <v>45596.66028402778</v>
      </c>
      <c r="P2694" s="26" t="s">
        <v>10612</v>
      </c>
      <c r="Q2694" s="11" t="s">
        <v>67</v>
      </c>
      <c r="R2694" s="11" t="s">
        <v>67</v>
      </c>
      <c r="S2694" s="11" t="s">
        <v>50</v>
      </c>
      <c r="T2694" s="29">
        <v>45587.35887965278</v>
      </c>
      <c r="U2694" s="29">
        <v>45587.37582152778</v>
      </c>
      <c r="V2694" s="29">
        <v>45587.41524325231</v>
      </c>
      <c r="W2694" s="30"/>
      <c r="X2694" s="30"/>
      <c r="Y2694" s="31"/>
      <c r="Z2694" s="31"/>
      <c r="AA2694" s="31" t="s">
        <v>3059</v>
      </c>
      <c r="AB2694" s="31" t="s">
        <v>10613</v>
      </c>
      <c r="AC2694" s="31"/>
    </row>
    <row r="2695" ht="18.75" customHeight="1">
      <c r="A2695" s="142" t="s">
        <v>10614</v>
      </c>
      <c r="B2695" s="19" t="s">
        <v>4711</v>
      </c>
      <c r="C2695" s="20">
        <v>27.0</v>
      </c>
      <c r="D2695" s="39" t="s">
        <v>10615</v>
      </c>
      <c r="E2695" s="27" t="s">
        <v>72</v>
      </c>
      <c r="F2695" s="18" t="s">
        <v>48</v>
      </c>
      <c r="G2695" s="32" t="s">
        <v>35</v>
      </c>
      <c r="H2695" s="23" t="s">
        <v>35</v>
      </c>
      <c r="I2695" s="37" t="s">
        <v>36</v>
      </c>
      <c r="J2695" s="34" t="s">
        <v>65</v>
      </c>
      <c r="K2695" s="26" t="s">
        <v>38</v>
      </c>
      <c r="L2695" s="25">
        <v>11786.0</v>
      </c>
      <c r="M2695" s="27" t="s">
        <v>50</v>
      </c>
      <c r="N2695" s="26" t="s">
        <v>149</v>
      </c>
      <c r="O2695" s="28">
        <v>45588.644647696754</v>
      </c>
      <c r="P2695" s="26" t="s">
        <v>10616</v>
      </c>
      <c r="Q2695" s="11" t="s">
        <v>67</v>
      </c>
      <c r="R2695" s="11" t="s">
        <v>67</v>
      </c>
      <c r="S2695" s="11" t="s">
        <v>50</v>
      </c>
      <c r="T2695" s="29">
        <v>45587.36151798611</v>
      </c>
      <c r="U2695" s="29">
        <v>45588.396009895834</v>
      </c>
      <c r="V2695" s="29">
        <v>45588.58426752315</v>
      </c>
      <c r="W2695" s="30"/>
      <c r="X2695" s="30"/>
      <c r="Y2695" s="31"/>
      <c r="Z2695" s="31"/>
      <c r="AA2695" s="31" t="s">
        <v>94</v>
      </c>
      <c r="AB2695" s="31" t="s">
        <v>10617</v>
      </c>
      <c r="AC2695" s="31"/>
    </row>
    <row r="2696" ht="18.75" customHeight="1">
      <c r="A2696" s="18" t="s">
        <v>10618</v>
      </c>
      <c r="B2696" s="19" t="s">
        <v>3323</v>
      </c>
      <c r="C2696" s="20">
        <v>27.0</v>
      </c>
      <c r="D2696" s="39" t="s">
        <v>10619</v>
      </c>
      <c r="E2696" s="27" t="s">
        <v>72</v>
      </c>
      <c r="F2696" s="18" t="s">
        <v>48</v>
      </c>
      <c r="G2696" s="32" t="s">
        <v>35</v>
      </c>
      <c r="H2696" s="23" t="s">
        <v>35</v>
      </c>
      <c r="I2696" s="37" t="s">
        <v>36</v>
      </c>
      <c r="J2696" s="34" t="s">
        <v>65</v>
      </c>
      <c r="K2696" s="26" t="s">
        <v>38</v>
      </c>
      <c r="L2696" s="25">
        <v>12079.0</v>
      </c>
      <c r="M2696" s="27" t="s">
        <v>50</v>
      </c>
      <c r="N2696" s="26" t="s">
        <v>8104</v>
      </c>
      <c r="O2696" s="28">
        <v>45623.705555555556</v>
      </c>
      <c r="P2696" s="26" t="s">
        <v>10620</v>
      </c>
      <c r="Q2696" s="11" t="s">
        <v>67</v>
      </c>
      <c r="R2696" s="11" t="s">
        <v>67</v>
      </c>
      <c r="S2696" s="11" t="s">
        <v>50</v>
      </c>
      <c r="T2696" s="29">
        <v>45587.365880046294</v>
      </c>
      <c r="U2696" s="29">
        <v>45622.3586779051</v>
      </c>
      <c r="V2696" s="29">
        <v>45623.35019627315</v>
      </c>
      <c r="W2696" s="38"/>
      <c r="X2696" s="30"/>
      <c r="Y2696" s="31"/>
      <c r="Z2696" s="31"/>
      <c r="AA2696" s="31" t="s">
        <v>94</v>
      </c>
      <c r="AB2696" s="31" t="s">
        <v>10621</v>
      </c>
      <c r="AC2696" s="31"/>
    </row>
    <row r="2697" ht="18.75" customHeight="1">
      <c r="A2697" s="18" t="s">
        <v>10622</v>
      </c>
      <c r="B2697" s="19" t="s">
        <v>3323</v>
      </c>
      <c r="C2697" s="20">
        <v>27.0</v>
      </c>
      <c r="D2697" s="39" t="s">
        <v>10623</v>
      </c>
      <c r="E2697" s="27" t="s">
        <v>72</v>
      </c>
      <c r="F2697" s="18" t="s">
        <v>48</v>
      </c>
      <c r="G2697" s="32" t="s">
        <v>35</v>
      </c>
      <c r="H2697" s="23" t="s">
        <v>35</v>
      </c>
      <c r="I2697" s="37" t="s">
        <v>36</v>
      </c>
      <c r="J2697" s="34" t="s">
        <v>65</v>
      </c>
      <c r="K2697" s="26" t="s">
        <v>38</v>
      </c>
      <c r="L2697" s="25">
        <v>12079.0</v>
      </c>
      <c r="M2697" s="27" t="s">
        <v>50</v>
      </c>
      <c r="N2697" s="26" t="s">
        <v>8104</v>
      </c>
      <c r="O2697" s="28">
        <v>45623.705555555556</v>
      </c>
      <c r="P2697" s="26" t="s">
        <v>10620</v>
      </c>
      <c r="Q2697" s="11" t="s">
        <v>67</v>
      </c>
      <c r="R2697" s="11" t="s">
        <v>67</v>
      </c>
      <c r="S2697" s="11" t="s">
        <v>50</v>
      </c>
      <c r="T2697" s="29">
        <v>45587.366007453704</v>
      </c>
      <c r="U2697" s="29">
        <v>45622.35861756944</v>
      </c>
      <c r="V2697" s="29">
        <v>45623.35018405093</v>
      </c>
      <c r="W2697" s="38"/>
      <c r="X2697" s="30"/>
      <c r="Y2697" s="31"/>
      <c r="Z2697" s="31"/>
      <c r="AA2697" s="31" t="s">
        <v>94</v>
      </c>
      <c r="AB2697" s="31" t="s">
        <v>10624</v>
      </c>
      <c r="AC2697" s="31"/>
    </row>
    <row r="2698" ht="18.75" customHeight="1">
      <c r="A2698" s="18" t="s">
        <v>10625</v>
      </c>
      <c r="B2698" s="19" t="s">
        <v>3323</v>
      </c>
      <c r="C2698" s="20">
        <v>27.0</v>
      </c>
      <c r="D2698" s="39" t="s">
        <v>10626</v>
      </c>
      <c r="E2698" s="27" t="s">
        <v>72</v>
      </c>
      <c r="F2698" s="18" t="s">
        <v>48</v>
      </c>
      <c r="G2698" s="32" t="s">
        <v>35</v>
      </c>
      <c r="H2698" s="23" t="s">
        <v>35</v>
      </c>
      <c r="I2698" s="37" t="s">
        <v>36</v>
      </c>
      <c r="J2698" s="34" t="s">
        <v>65</v>
      </c>
      <c r="K2698" s="26" t="s">
        <v>38</v>
      </c>
      <c r="L2698" s="25">
        <v>12079.0</v>
      </c>
      <c r="M2698" s="27" t="s">
        <v>50</v>
      </c>
      <c r="N2698" s="26" t="s">
        <v>8104</v>
      </c>
      <c r="O2698" s="28">
        <v>45623.705555555556</v>
      </c>
      <c r="P2698" s="26" t="s">
        <v>10620</v>
      </c>
      <c r="Q2698" s="11" t="s">
        <v>67</v>
      </c>
      <c r="R2698" s="11" t="s">
        <v>67</v>
      </c>
      <c r="S2698" s="11" t="s">
        <v>50</v>
      </c>
      <c r="T2698" s="29">
        <v>45587.3660653125</v>
      </c>
      <c r="U2698" s="29">
        <v>45622.358683680555</v>
      </c>
      <c r="V2698" s="29">
        <v>45623.35020642361</v>
      </c>
      <c r="W2698" s="38"/>
      <c r="X2698" s="30"/>
      <c r="Y2698" s="31"/>
      <c r="Z2698" s="31"/>
      <c r="AA2698" s="31" t="s">
        <v>94</v>
      </c>
      <c r="AB2698" s="31" t="s">
        <v>10627</v>
      </c>
      <c r="AC2698" s="31"/>
    </row>
    <row r="2699" ht="18.75" customHeight="1">
      <c r="A2699" s="32" t="s">
        <v>10628</v>
      </c>
      <c r="B2699" s="19" t="s">
        <v>3323</v>
      </c>
      <c r="C2699" s="20">
        <v>90.0</v>
      </c>
      <c r="D2699" s="21" t="s">
        <v>10629</v>
      </c>
      <c r="E2699" s="27" t="s">
        <v>91</v>
      </c>
      <c r="F2699" s="18" t="s">
        <v>48</v>
      </c>
      <c r="G2699" s="32" t="s">
        <v>35</v>
      </c>
      <c r="H2699" s="23" t="s">
        <v>35</v>
      </c>
      <c r="I2699" s="24" t="s">
        <v>36</v>
      </c>
      <c r="J2699" s="34" t="s">
        <v>65</v>
      </c>
      <c r="K2699" s="26" t="s">
        <v>38</v>
      </c>
      <c r="L2699" s="64" t="s">
        <v>2851</v>
      </c>
      <c r="M2699" s="152" t="str">
        <f t="shared" ref="M2699:M2710" si="13">VLOOKUP(D2699,'Página111'!E:E,1,0)</f>
        <v>#REF!</v>
      </c>
      <c r="N2699" s="26"/>
      <c r="O2699" s="50">
        <v>45646.0</v>
      </c>
      <c r="P2699" s="26" t="s">
        <v>10620</v>
      </c>
      <c r="Q2699" s="11" t="s">
        <v>67</v>
      </c>
      <c r="R2699" s="11" t="s">
        <v>67</v>
      </c>
      <c r="S2699" s="11" t="s">
        <v>73</v>
      </c>
      <c r="T2699" s="29">
        <v>45587.36655542824</v>
      </c>
      <c r="U2699" s="29">
        <v>45622.358689444445</v>
      </c>
      <c r="V2699" s="29">
        <v>45644.776030567125</v>
      </c>
      <c r="W2699" s="30"/>
      <c r="X2699" s="30"/>
      <c r="Y2699" s="66">
        <v>-12078.0</v>
      </c>
      <c r="Z2699" s="31"/>
      <c r="AA2699" s="31" t="s">
        <v>94</v>
      </c>
      <c r="AB2699" s="31" t="s">
        <v>10630</v>
      </c>
      <c r="AC2699" s="31"/>
    </row>
    <row r="2700" ht="18.75" customHeight="1">
      <c r="A2700" s="32" t="s">
        <v>10631</v>
      </c>
      <c r="B2700" s="19" t="s">
        <v>3323</v>
      </c>
      <c r="C2700" s="20">
        <v>90.0</v>
      </c>
      <c r="D2700" s="21" t="s">
        <v>10632</v>
      </c>
      <c r="E2700" s="27" t="s">
        <v>91</v>
      </c>
      <c r="F2700" s="18" t="s">
        <v>48</v>
      </c>
      <c r="G2700" s="32" t="s">
        <v>35</v>
      </c>
      <c r="H2700" s="23" t="s">
        <v>35</v>
      </c>
      <c r="I2700" s="24" t="s">
        <v>36</v>
      </c>
      <c r="J2700" s="34" t="s">
        <v>65</v>
      </c>
      <c r="K2700" s="26" t="s">
        <v>38</v>
      </c>
      <c r="L2700" s="64" t="s">
        <v>2851</v>
      </c>
      <c r="M2700" s="152" t="str">
        <f t="shared" si="13"/>
        <v>#REF!</v>
      </c>
      <c r="N2700" s="26"/>
      <c r="O2700" s="50">
        <v>45646.0</v>
      </c>
      <c r="P2700" s="26" t="s">
        <v>10620</v>
      </c>
      <c r="Q2700" s="11" t="s">
        <v>67</v>
      </c>
      <c r="R2700" s="11" t="s">
        <v>67</v>
      </c>
      <c r="S2700" s="11" t="s">
        <v>73</v>
      </c>
      <c r="T2700" s="29">
        <v>45587.36666664352</v>
      </c>
      <c r="U2700" s="29">
        <v>45622.358697118056</v>
      </c>
      <c r="V2700" s="29">
        <v>45644.776043460646</v>
      </c>
      <c r="W2700" s="30"/>
      <c r="X2700" s="30"/>
      <c r="Y2700" s="66">
        <v>-12078.0</v>
      </c>
      <c r="Z2700" s="31"/>
      <c r="AA2700" s="31" t="s">
        <v>94</v>
      </c>
      <c r="AB2700" s="31" t="s">
        <v>10633</v>
      </c>
      <c r="AC2700" s="31"/>
    </row>
    <row r="2701" ht="18.75" customHeight="1">
      <c r="A2701" s="32" t="s">
        <v>10634</v>
      </c>
      <c r="B2701" s="19" t="s">
        <v>3323</v>
      </c>
      <c r="C2701" s="20">
        <v>90.0</v>
      </c>
      <c r="D2701" s="21" t="s">
        <v>10635</v>
      </c>
      <c r="E2701" s="27" t="s">
        <v>91</v>
      </c>
      <c r="F2701" s="18" t="s">
        <v>48</v>
      </c>
      <c r="G2701" s="32" t="s">
        <v>35</v>
      </c>
      <c r="H2701" s="23" t="s">
        <v>35</v>
      </c>
      <c r="I2701" s="24" t="s">
        <v>36</v>
      </c>
      <c r="J2701" s="34" t="s">
        <v>65</v>
      </c>
      <c r="K2701" s="26" t="s">
        <v>38</v>
      </c>
      <c r="L2701" s="64" t="s">
        <v>2851</v>
      </c>
      <c r="M2701" s="152" t="str">
        <f t="shared" si="13"/>
        <v>#REF!</v>
      </c>
      <c r="N2701" s="26"/>
      <c r="O2701" s="50">
        <v>45646.0</v>
      </c>
      <c r="P2701" s="26" t="s">
        <v>10620</v>
      </c>
      <c r="Q2701" s="11" t="s">
        <v>67</v>
      </c>
      <c r="R2701" s="11" t="s">
        <v>67</v>
      </c>
      <c r="S2701" s="11" t="s">
        <v>73</v>
      </c>
      <c r="T2701" s="29">
        <v>45587.36671666667</v>
      </c>
      <c r="U2701" s="29">
        <v>45622.35870322917</v>
      </c>
      <c r="V2701" s="29">
        <v>45644.77605530093</v>
      </c>
      <c r="W2701" s="30"/>
      <c r="X2701" s="30"/>
      <c r="Y2701" s="66">
        <v>-12078.0</v>
      </c>
      <c r="Z2701" s="31"/>
      <c r="AA2701" s="31" t="s">
        <v>94</v>
      </c>
      <c r="AB2701" s="31" t="s">
        <v>10636</v>
      </c>
      <c r="AC2701" s="31"/>
    </row>
    <row r="2702" ht="18.75" customHeight="1">
      <c r="A2702" s="18" t="s">
        <v>10637</v>
      </c>
      <c r="B2702" s="19" t="s">
        <v>3323</v>
      </c>
      <c r="C2702" s="20">
        <v>1.0</v>
      </c>
      <c r="D2702" s="21" t="s">
        <v>10638</v>
      </c>
      <c r="E2702" s="27" t="s">
        <v>3395</v>
      </c>
      <c r="F2702" s="18" t="s">
        <v>48</v>
      </c>
      <c r="G2702" s="32" t="s">
        <v>35</v>
      </c>
      <c r="H2702" s="23" t="s">
        <v>35</v>
      </c>
      <c r="I2702" s="24" t="s">
        <v>36</v>
      </c>
      <c r="J2702" s="34" t="s">
        <v>65</v>
      </c>
      <c r="K2702" s="26" t="s">
        <v>38</v>
      </c>
      <c r="L2702" s="64" t="s">
        <v>1277</v>
      </c>
      <c r="M2702" s="152" t="str">
        <f t="shared" si="13"/>
        <v>#REF!</v>
      </c>
      <c r="N2702" s="26"/>
      <c r="O2702" s="50">
        <v>45646.0</v>
      </c>
      <c r="P2702" s="26" t="s">
        <v>10639</v>
      </c>
      <c r="Q2702" s="11" t="s">
        <v>67</v>
      </c>
      <c r="R2702" s="11" t="s">
        <v>67</v>
      </c>
      <c r="S2702" s="11" t="s">
        <v>73</v>
      </c>
      <c r="T2702" s="29">
        <v>45587.36867268519</v>
      </c>
      <c r="U2702" s="29">
        <v>45637.6742631713</v>
      </c>
      <c r="V2702" s="29">
        <v>45644.776270636576</v>
      </c>
      <c r="W2702" s="30"/>
      <c r="X2702" s="30"/>
      <c r="Y2702" s="66"/>
      <c r="Z2702" s="31"/>
      <c r="AA2702" s="31" t="s">
        <v>94</v>
      </c>
      <c r="AB2702" s="31" t="s">
        <v>10640</v>
      </c>
      <c r="AC2702" s="31"/>
    </row>
    <row r="2703" ht="18.75" customHeight="1">
      <c r="A2703" s="18" t="s">
        <v>10641</v>
      </c>
      <c r="B2703" s="19" t="s">
        <v>3323</v>
      </c>
      <c r="C2703" s="20">
        <v>1.0</v>
      </c>
      <c r="D2703" s="21" t="s">
        <v>10642</v>
      </c>
      <c r="E2703" s="27" t="s">
        <v>3395</v>
      </c>
      <c r="F2703" s="18" t="s">
        <v>48</v>
      </c>
      <c r="G2703" s="32" t="s">
        <v>35</v>
      </c>
      <c r="H2703" s="23" t="s">
        <v>35</v>
      </c>
      <c r="I2703" s="24" t="s">
        <v>36</v>
      </c>
      <c r="J2703" s="34" t="s">
        <v>65</v>
      </c>
      <c r="K2703" s="26" t="s">
        <v>38</v>
      </c>
      <c r="L2703" s="64" t="s">
        <v>1277</v>
      </c>
      <c r="M2703" s="152" t="str">
        <f t="shared" si="13"/>
        <v>#REF!</v>
      </c>
      <c r="N2703" s="26"/>
      <c r="O2703" s="50">
        <v>45646.0</v>
      </c>
      <c r="P2703" s="26" t="s">
        <v>10639</v>
      </c>
      <c r="Q2703" s="11" t="s">
        <v>67</v>
      </c>
      <c r="R2703" s="11" t="s">
        <v>67</v>
      </c>
      <c r="S2703" s="11" t="s">
        <v>73</v>
      </c>
      <c r="T2703" s="29">
        <v>45587.36880684028</v>
      </c>
      <c r="U2703" s="29">
        <v>45637.67426695602</v>
      </c>
      <c r="V2703" s="29">
        <v>45644.7762821875</v>
      </c>
      <c r="W2703" s="30"/>
      <c r="X2703" s="30"/>
      <c r="Y2703" s="66"/>
      <c r="Z2703" s="31"/>
      <c r="AA2703" s="31" t="s">
        <v>94</v>
      </c>
      <c r="AB2703" s="31" t="s">
        <v>10643</v>
      </c>
      <c r="AC2703" s="31"/>
    </row>
    <row r="2704" ht="18.75" customHeight="1">
      <c r="A2704" s="18" t="s">
        <v>10644</v>
      </c>
      <c r="B2704" s="19" t="s">
        <v>3323</v>
      </c>
      <c r="C2704" s="20">
        <v>1.0</v>
      </c>
      <c r="D2704" s="21" t="s">
        <v>10645</v>
      </c>
      <c r="E2704" s="27" t="s">
        <v>3395</v>
      </c>
      <c r="F2704" s="18" t="s">
        <v>48</v>
      </c>
      <c r="G2704" s="32" t="s">
        <v>35</v>
      </c>
      <c r="H2704" s="23" t="s">
        <v>35</v>
      </c>
      <c r="I2704" s="24" t="s">
        <v>36</v>
      </c>
      <c r="J2704" s="34" t="s">
        <v>65</v>
      </c>
      <c r="K2704" s="26" t="s">
        <v>38</v>
      </c>
      <c r="L2704" s="64" t="s">
        <v>1277</v>
      </c>
      <c r="M2704" s="152" t="str">
        <f t="shared" si="13"/>
        <v>#REF!</v>
      </c>
      <c r="N2704" s="26"/>
      <c r="O2704" s="50">
        <v>45646.0</v>
      </c>
      <c r="P2704" s="26" t="s">
        <v>10639</v>
      </c>
      <c r="Q2704" s="11" t="s">
        <v>67</v>
      </c>
      <c r="R2704" s="11" t="s">
        <v>67</v>
      </c>
      <c r="S2704" s="11" t="s">
        <v>73</v>
      </c>
      <c r="T2704" s="29">
        <v>45587.36886018519</v>
      </c>
      <c r="U2704" s="29">
        <v>45637.67425247685</v>
      </c>
      <c r="V2704" s="29">
        <v>45644.77625747686</v>
      </c>
      <c r="W2704" s="30"/>
      <c r="X2704" s="30"/>
      <c r="Y2704" s="66"/>
      <c r="Z2704" s="31"/>
      <c r="AA2704" s="31" t="s">
        <v>94</v>
      </c>
      <c r="AB2704" s="31" t="s">
        <v>10646</v>
      </c>
      <c r="AC2704" s="31"/>
    </row>
    <row r="2705" ht="18.75" customHeight="1">
      <c r="A2705" s="18" t="s">
        <v>10647</v>
      </c>
      <c r="B2705" s="19" t="s">
        <v>3323</v>
      </c>
      <c r="C2705" s="20">
        <v>0.0</v>
      </c>
      <c r="D2705" s="21" t="s">
        <v>10648</v>
      </c>
      <c r="E2705" s="27" t="s">
        <v>3441</v>
      </c>
      <c r="F2705" s="18" t="s">
        <v>48</v>
      </c>
      <c r="G2705" s="32" t="s">
        <v>35</v>
      </c>
      <c r="H2705" s="23" t="s">
        <v>35</v>
      </c>
      <c r="I2705" s="24" t="s">
        <v>36</v>
      </c>
      <c r="J2705" s="34" t="s">
        <v>65</v>
      </c>
      <c r="K2705" s="26" t="s">
        <v>38</v>
      </c>
      <c r="L2705" s="64" t="s">
        <v>1277</v>
      </c>
      <c r="M2705" s="152" t="str">
        <f t="shared" si="13"/>
        <v>#REF!</v>
      </c>
      <c r="N2705" s="26"/>
      <c r="O2705" s="50">
        <v>45646.0</v>
      </c>
      <c r="P2705" s="26" t="s">
        <v>10639</v>
      </c>
      <c r="Q2705" s="11" t="s">
        <v>67</v>
      </c>
      <c r="R2705" s="11" t="s">
        <v>67</v>
      </c>
      <c r="S2705" s="11" t="s">
        <v>73</v>
      </c>
      <c r="T2705" s="29">
        <v>45587.369019328704</v>
      </c>
      <c r="U2705" s="29">
        <v>45637.67427318287</v>
      </c>
      <c r="V2705" s="29">
        <v>45644.77629519676</v>
      </c>
      <c r="W2705" s="30"/>
      <c r="X2705" s="30"/>
      <c r="Y2705" s="66"/>
      <c r="Z2705" s="31"/>
      <c r="AA2705" s="31" t="s">
        <v>94</v>
      </c>
      <c r="AB2705" s="31" t="s">
        <v>10649</v>
      </c>
      <c r="AC2705" s="31"/>
    </row>
    <row r="2706" ht="18.75" customHeight="1">
      <c r="A2706" s="18" t="s">
        <v>10650</v>
      </c>
      <c r="B2706" s="19" t="s">
        <v>3323</v>
      </c>
      <c r="C2706" s="20">
        <v>0.0</v>
      </c>
      <c r="D2706" s="21" t="s">
        <v>10651</v>
      </c>
      <c r="E2706" s="27" t="s">
        <v>3441</v>
      </c>
      <c r="F2706" s="18" t="s">
        <v>48</v>
      </c>
      <c r="G2706" s="32" t="s">
        <v>35</v>
      </c>
      <c r="H2706" s="23" t="s">
        <v>35</v>
      </c>
      <c r="I2706" s="24" t="s">
        <v>36</v>
      </c>
      <c r="J2706" s="34" t="s">
        <v>65</v>
      </c>
      <c r="K2706" s="26" t="s">
        <v>38</v>
      </c>
      <c r="L2706" s="64" t="s">
        <v>1277</v>
      </c>
      <c r="M2706" s="152" t="str">
        <f t="shared" si="13"/>
        <v>#REF!</v>
      </c>
      <c r="N2706" s="26"/>
      <c r="O2706" s="50">
        <v>45646.0</v>
      </c>
      <c r="P2706" s="26" t="s">
        <v>10639</v>
      </c>
      <c r="Q2706" s="11" t="s">
        <v>67</v>
      </c>
      <c r="R2706" s="11" t="s">
        <v>67</v>
      </c>
      <c r="S2706" s="11" t="s">
        <v>73</v>
      </c>
      <c r="T2706" s="29">
        <v>45587.36914121528</v>
      </c>
      <c r="U2706" s="29">
        <v>45637.67431123843</v>
      </c>
      <c r="V2706" s="29">
        <v>45644.77631832176</v>
      </c>
      <c r="W2706" s="30"/>
      <c r="X2706" s="30"/>
      <c r="Y2706" s="66"/>
      <c r="Z2706" s="31"/>
      <c r="AA2706" s="31" t="s">
        <v>94</v>
      </c>
      <c r="AB2706" s="31" t="s">
        <v>10652</v>
      </c>
      <c r="AC2706" s="31"/>
    </row>
    <row r="2707" ht="18.75" customHeight="1">
      <c r="A2707" s="18" t="s">
        <v>10653</v>
      </c>
      <c r="B2707" s="19" t="s">
        <v>3323</v>
      </c>
      <c r="C2707" s="20">
        <v>0.0</v>
      </c>
      <c r="D2707" s="21" t="s">
        <v>10654</v>
      </c>
      <c r="E2707" s="27" t="s">
        <v>3441</v>
      </c>
      <c r="F2707" s="18" t="s">
        <v>48</v>
      </c>
      <c r="G2707" s="32" t="s">
        <v>35</v>
      </c>
      <c r="H2707" s="23" t="s">
        <v>35</v>
      </c>
      <c r="I2707" s="24" t="s">
        <v>36</v>
      </c>
      <c r="J2707" s="34" t="s">
        <v>65</v>
      </c>
      <c r="K2707" s="26" t="s">
        <v>38</v>
      </c>
      <c r="L2707" s="64" t="s">
        <v>1277</v>
      </c>
      <c r="M2707" s="152" t="str">
        <f t="shared" si="13"/>
        <v>#REF!</v>
      </c>
      <c r="N2707" s="26"/>
      <c r="O2707" s="50">
        <v>45646.0</v>
      </c>
      <c r="P2707" s="26" t="s">
        <v>10639</v>
      </c>
      <c r="Q2707" s="11" t="s">
        <v>67</v>
      </c>
      <c r="R2707" s="11" t="s">
        <v>67</v>
      </c>
      <c r="S2707" s="11" t="s">
        <v>73</v>
      </c>
      <c r="T2707" s="29">
        <v>45587.36918929398</v>
      </c>
      <c r="U2707" s="29">
        <v>45637.674315717595</v>
      </c>
      <c r="V2707" s="29">
        <v>45644.77632954861</v>
      </c>
      <c r="W2707" s="30"/>
      <c r="X2707" s="30"/>
      <c r="Y2707" s="66"/>
      <c r="Z2707" s="31"/>
      <c r="AA2707" s="31" t="s">
        <v>94</v>
      </c>
      <c r="AB2707" s="31" t="s">
        <v>10655</v>
      </c>
      <c r="AC2707" s="31"/>
    </row>
    <row r="2708" ht="18.75" customHeight="1">
      <c r="A2708" s="18" t="s">
        <v>10656</v>
      </c>
      <c r="B2708" s="19" t="s">
        <v>3323</v>
      </c>
      <c r="C2708" s="20">
        <v>137.0</v>
      </c>
      <c r="D2708" s="21" t="s">
        <v>10657</v>
      </c>
      <c r="E2708" s="27" t="s">
        <v>85</v>
      </c>
      <c r="F2708" s="18" t="s">
        <v>48</v>
      </c>
      <c r="G2708" s="32" t="s">
        <v>35</v>
      </c>
      <c r="H2708" s="23" t="s">
        <v>35</v>
      </c>
      <c r="I2708" s="24" t="s">
        <v>36</v>
      </c>
      <c r="J2708" s="34" t="s">
        <v>65</v>
      </c>
      <c r="K2708" s="26" t="s">
        <v>38</v>
      </c>
      <c r="L2708" s="64" t="s">
        <v>1277</v>
      </c>
      <c r="M2708" s="152" t="str">
        <f t="shared" si="13"/>
        <v>#REF!</v>
      </c>
      <c r="N2708" s="26"/>
      <c r="O2708" s="50">
        <v>45646.0</v>
      </c>
      <c r="P2708" s="26" t="s">
        <v>10639</v>
      </c>
      <c r="Q2708" s="11" t="s">
        <v>67</v>
      </c>
      <c r="R2708" s="11" t="s">
        <v>67</v>
      </c>
      <c r="S2708" s="11" t="s">
        <v>73</v>
      </c>
      <c r="T2708" s="29">
        <v>45587.36938674768</v>
      </c>
      <c r="U2708" s="29">
        <v>45637.674286608795</v>
      </c>
      <c r="V2708" s="29">
        <v>45644.77630704861</v>
      </c>
      <c r="W2708" s="30"/>
      <c r="X2708" s="30"/>
      <c r="Y2708" s="66"/>
      <c r="Z2708" s="31"/>
      <c r="AA2708" s="31" t="s">
        <v>94</v>
      </c>
      <c r="AB2708" s="31" t="s">
        <v>10658</v>
      </c>
      <c r="AC2708" s="31"/>
    </row>
    <row r="2709" ht="18.75" customHeight="1">
      <c r="A2709" s="18" t="s">
        <v>10659</v>
      </c>
      <c r="B2709" s="19" t="s">
        <v>3323</v>
      </c>
      <c r="C2709" s="20">
        <v>137.0</v>
      </c>
      <c r="D2709" s="21" t="s">
        <v>10660</v>
      </c>
      <c r="E2709" s="27" t="s">
        <v>85</v>
      </c>
      <c r="F2709" s="18" t="s">
        <v>48</v>
      </c>
      <c r="G2709" s="32" t="s">
        <v>35</v>
      </c>
      <c r="H2709" s="23" t="s">
        <v>35</v>
      </c>
      <c r="I2709" s="24" t="s">
        <v>36</v>
      </c>
      <c r="J2709" s="34" t="s">
        <v>65</v>
      </c>
      <c r="K2709" s="26" t="s">
        <v>38</v>
      </c>
      <c r="L2709" s="64" t="s">
        <v>1277</v>
      </c>
      <c r="M2709" s="152" t="str">
        <f t="shared" si="13"/>
        <v>#REF!</v>
      </c>
      <c r="N2709" s="26"/>
      <c r="O2709" s="50">
        <v>45646.0</v>
      </c>
      <c r="P2709" s="26" t="s">
        <v>10639</v>
      </c>
      <c r="Q2709" s="11" t="s">
        <v>67</v>
      </c>
      <c r="R2709" s="11" t="s">
        <v>67</v>
      </c>
      <c r="S2709" s="11" t="s">
        <v>73</v>
      </c>
      <c r="T2709" s="29">
        <v>45587.37076210648</v>
      </c>
      <c r="U2709" s="29">
        <v>45637.674324837964</v>
      </c>
      <c r="V2709" s="29">
        <v>45644.77635447917</v>
      </c>
      <c r="W2709" s="30"/>
      <c r="X2709" s="30"/>
      <c r="Y2709" s="66"/>
      <c r="Z2709" s="31"/>
      <c r="AA2709" s="31" t="s">
        <v>94</v>
      </c>
      <c r="AB2709" s="31" t="s">
        <v>10661</v>
      </c>
      <c r="AC2709" s="31"/>
    </row>
    <row r="2710" ht="18.75" customHeight="1">
      <c r="A2710" s="18" t="s">
        <v>10662</v>
      </c>
      <c r="B2710" s="19" t="s">
        <v>3323</v>
      </c>
      <c r="C2710" s="20">
        <v>137.0</v>
      </c>
      <c r="D2710" s="21" t="s">
        <v>10663</v>
      </c>
      <c r="E2710" s="27" t="s">
        <v>85</v>
      </c>
      <c r="F2710" s="18" t="s">
        <v>48</v>
      </c>
      <c r="G2710" s="32" t="s">
        <v>35</v>
      </c>
      <c r="H2710" s="23" t="s">
        <v>35</v>
      </c>
      <c r="I2710" s="24" t="s">
        <v>36</v>
      </c>
      <c r="J2710" s="34" t="s">
        <v>65</v>
      </c>
      <c r="K2710" s="26" t="s">
        <v>38</v>
      </c>
      <c r="L2710" s="64" t="s">
        <v>1277</v>
      </c>
      <c r="M2710" s="152" t="str">
        <f t="shared" si="13"/>
        <v>#REF!</v>
      </c>
      <c r="N2710" s="26"/>
      <c r="O2710" s="50">
        <v>45646.0</v>
      </c>
      <c r="P2710" s="26" t="s">
        <v>10639</v>
      </c>
      <c r="Q2710" s="11" t="s">
        <v>67</v>
      </c>
      <c r="R2710" s="11" t="s">
        <v>67</v>
      </c>
      <c r="S2710" s="11" t="s">
        <v>73</v>
      </c>
      <c r="T2710" s="29">
        <v>45587.370818194446</v>
      </c>
      <c r="U2710" s="29">
        <v>45637.674320185186</v>
      </c>
      <c r="V2710" s="29">
        <v>45644.77634418981</v>
      </c>
      <c r="W2710" s="30"/>
      <c r="X2710" s="30"/>
      <c r="Y2710" s="66"/>
      <c r="Z2710" s="31"/>
      <c r="AA2710" s="31" t="s">
        <v>94</v>
      </c>
      <c r="AB2710" s="31" t="s">
        <v>10664</v>
      </c>
      <c r="AC2710" s="31"/>
    </row>
    <row r="2711" ht="18.75" customHeight="1">
      <c r="A2711" s="142" t="s">
        <v>10665</v>
      </c>
      <c r="B2711" s="19" t="s">
        <v>10666</v>
      </c>
      <c r="C2711" s="20">
        <v>27.0</v>
      </c>
      <c r="D2711" s="39" t="s">
        <v>10667</v>
      </c>
      <c r="E2711" s="27" t="s">
        <v>72</v>
      </c>
      <c r="F2711" s="18" t="s">
        <v>48</v>
      </c>
      <c r="G2711" s="32" t="s">
        <v>35</v>
      </c>
      <c r="H2711" s="23" t="s">
        <v>35</v>
      </c>
      <c r="I2711" s="37" t="s">
        <v>36</v>
      </c>
      <c r="J2711" s="34" t="s">
        <v>65</v>
      </c>
      <c r="K2711" s="26" t="s">
        <v>38</v>
      </c>
      <c r="L2711" s="25">
        <v>11785.0</v>
      </c>
      <c r="M2711" s="27" t="s">
        <v>50</v>
      </c>
      <c r="N2711" s="26" t="s">
        <v>149</v>
      </c>
      <c r="O2711" s="28">
        <v>45588.64472315973</v>
      </c>
      <c r="P2711" s="26" t="s">
        <v>10668</v>
      </c>
      <c r="Q2711" s="11" t="s">
        <v>67</v>
      </c>
      <c r="R2711" s="11" t="s">
        <v>67</v>
      </c>
      <c r="S2711" s="11" t="s">
        <v>50</v>
      </c>
      <c r="T2711" s="29">
        <v>45588.35736043981</v>
      </c>
      <c r="U2711" s="29">
        <v>45588.39496820602</v>
      </c>
      <c r="V2711" s="29">
        <v>45588.584245046295</v>
      </c>
      <c r="W2711" s="30"/>
      <c r="X2711" s="30"/>
      <c r="Y2711" s="31"/>
      <c r="Z2711" s="31"/>
      <c r="AA2711" s="31" t="s">
        <v>3059</v>
      </c>
      <c r="AB2711" s="31" t="s">
        <v>10669</v>
      </c>
      <c r="AC2711" s="31"/>
    </row>
    <row r="2712" ht="18.75" customHeight="1">
      <c r="A2712" s="142" t="s">
        <v>10670</v>
      </c>
      <c r="B2712" s="19" t="s">
        <v>3498</v>
      </c>
      <c r="C2712" s="20">
        <v>90.0</v>
      </c>
      <c r="D2712" s="21" t="s">
        <v>10671</v>
      </c>
      <c r="E2712" s="27" t="s">
        <v>91</v>
      </c>
      <c r="F2712" s="18" t="s">
        <v>48</v>
      </c>
      <c r="G2712" s="32" t="s">
        <v>35</v>
      </c>
      <c r="H2712" s="23" t="s">
        <v>35</v>
      </c>
      <c r="I2712" s="37" t="s">
        <v>36</v>
      </c>
      <c r="J2712" s="34" t="s">
        <v>9338</v>
      </c>
      <c r="K2712" s="26" t="s">
        <v>38</v>
      </c>
      <c r="L2712" s="25">
        <v>11856.0</v>
      </c>
      <c r="M2712" s="27" t="s">
        <v>50</v>
      </c>
      <c r="N2712" s="26" t="s">
        <v>9389</v>
      </c>
      <c r="O2712" s="28">
        <v>45596.659711562505</v>
      </c>
      <c r="P2712" s="26" t="s">
        <v>10672</v>
      </c>
      <c r="Q2712" s="11" t="s">
        <v>67</v>
      </c>
      <c r="R2712" s="11" t="s">
        <v>67</v>
      </c>
      <c r="S2712" s="11" t="s">
        <v>50</v>
      </c>
      <c r="T2712" s="29">
        <v>45588.35983065973</v>
      </c>
      <c r="U2712" s="29">
        <v>45590.378948240745</v>
      </c>
      <c r="V2712" s="29">
        <v>45594.421766898144</v>
      </c>
      <c r="W2712" s="38"/>
      <c r="X2712" s="30"/>
      <c r="Y2712" s="31"/>
      <c r="Z2712" s="31"/>
      <c r="AA2712" s="31" t="s">
        <v>3059</v>
      </c>
      <c r="AB2712" s="31" t="s">
        <v>10673</v>
      </c>
      <c r="AC2712" s="31"/>
    </row>
    <row r="2713" ht="18.75" customHeight="1">
      <c r="A2713" s="142" t="s">
        <v>10674</v>
      </c>
      <c r="B2713" s="19" t="s">
        <v>4147</v>
      </c>
      <c r="C2713" s="20">
        <v>90.0</v>
      </c>
      <c r="D2713" s="21" t="s">
        <v>10675</v>
      </c>
      <c r="E2713" s="27" t="s">
        <v>91</v>
      </c>
      <c r="F2713" s="18" t="s">
        <v>48</v>
      </c>
      <c r="G2713" s="32" t="s">
        <v>35</v>
      </c>
      <c r="H2713" s="23" t="s">
        <v>35</v>
      </c>
      <c r="I2713" s="37" t="s">
        <v>36</v>
      </c>
      <c r="J2713" s="25" t="s">
        <v>49</v>
      </c>
      <c r="K2713" s="26" t="s">
        <v>38</v>
      </c>
      <c r="L2713" s="25">
        <v>11817.0</v>
      </c>
      <c r="M2713" s="27" t="s">
        <v>50</v>
      </c>
      <c r="N2713" s="26" t="s">
        <v>99</v>
      </c>
      <c r="O2713" s="28">
        <v>45590.68976959491</v>
      </c>
      <c r="P2713" s="26" t="s">
        <v>10676</v>
      </c>
      <c r="Q2713" s="11" t="s">
        <v>67</v>
      </c>
      <c r="R2713" s="11" t="s">
        <v>67</v>
      </c>
      <c r="S2713" s="11" t="s">
        <v>73</v>
      </c>
      <c r="T2713" s="29">
        <v>45588.36582953704</v>
      </c>
      <c r="U2713" s="29">
        <v>45588.40249112269</v>
      </c>
      <c r="V2713" s="29">
        <v>45589.786526655094</v>
      </c>
      <c r="W2713" s="30"/>
      <c r="X2713" s="30"/>
      <c r="Y2713" s="31"/>
      <c r="Z2713" s="31"/>
      <c r="AA2713" s="31" t="s">
        <v>127</v>
      </c>
      <c r="AB2713" s="31" t="s">
        <v>10677</v>
      </c>
      <c r="AC2713" s="31"/>
    </row>
    <row r="2714" ht="18.75" customHeight="1">
      <c r="A2714" s="142" t="s">
        <v>10678</v>
      </c>
      <c r="B2714" s="19" t="s">
        <v>122</v>
      </c>
      <c r="C2714" s="20">
        <v>90.0</v>
      </c>
      <c r="D2714" s="21" t="s">
        <v>10679</v>
      </c>
      <c r="E2714" s="27" t="s">
        <v>91</v>
      </c>
      <c r="F2714" s="18" t="s">
        <v>48</v>
      </c>
      <c r="G2714" s="32" t="s">
        <v>35</v>
      </c>
      <c r="H2714" s="23" t="s">
        <v>35</v>
      </c>
      <c r="I2714" s="37" t="s">
        <v>36</v>
      </c>
      <c r="J2714" s="25" t="s">
        <v>49</v>
      </c>
      <c r="K2714" s="26" t="s">
        <v>38</v>
      </c>
      <c r="L2714" s="25">
        <v>11818.0</v>
      </c>
      <c r="M2714" s="27" t="s">
        <v>50</v>
      </c>
      <c r="N2714" s="26" t="s">
        <v>99</v>
      </c>
      <c r="O2714" s="28">
        <v>45590.689883796294</v>
      </c>
      <c r="P2714" s="26" t="s">
        <v>10680</v>
      </c>
      <c r="Q2714" s="11" t="s">
        <v>67</v>
      </c>
      <c r="R2714" s="11" t="s">
        <v>67</v>
      </c>
      <c r="S2714" s="11" t="s">
        <v>73</v>
      </c>
      <c r="T2714" s="29">
        <v>45588.369632118054</v>
      </c>
      <c r="U2714" s="29">
        <v>45588.43663462963</v>
      </c>
      <c r="V2714" s="29">
        <v>45589.78656429399</v>
      </c>
      <c r="W2714" s="30"/>
      <c r="X2714" s="30"/>
      <c r="Y2714" s="31"/>
      <c r="Z2714" s="31"/>
      <c r="AA2714" s="31" t="s">
        <v>127</v>
      </c>
      <c r="AB2714" s="31" t="s">
        <v>10681</v>
      </c>
      <c r="AC2714" s="31"/>
    </row>
    <row r="2715" ht="18.75" customHeight="1">
      <c r="A2715" s="142" t="s">
        <v>10682</v>
      </c>
      <c r="B2715" s="19" t="s">
        <v>7885</v>
      </c>
      <c r="C2715" s="20">
        <v>90.0</v>
      </c>
      <c r="D2715" s="21" t="s">
        <v>10683</v>
      </c>
      <c r="E2715" s="27" t="s">
        <v>91</v>
      </c>
      <c r="F2715" s="18" t="s">
        <v>48</v>
      </c>
      <c r="G2715" s="32" t="s">
        <v>35</v>
      </c>
      <c r="H2715" s="23" t="s">
        <v>35</v>
      </c>
      <c r="I2715" s="37" t="s">
        <v>36</v>
      </c>
      <c r="J2715" s="25" t="s">
        <v>49</v>
      </c>
      <c r="K2715" s="26" t="s">
        <v>38</v>
      </c>
      <c r="L2715" s="25">
        <v>11851.0</v>
      </c>
      <c r="M2715" s="27" t="s">
        <v>50</v>
      </c>
      <c r="N2715" s="26" t="s">
        <v>99</v>
      </c>
      <c r="O2715" s="28">
        <v>45594.59756003472</v>
      </c>
      <c r="P2715" s="26" t="s">
        <v>10684</v>
      </c>
      <c r="Q2715" s="11" t="s">
        <v>67</v>
      </c>
      <c r="R2715" s="11" t="s">
        <v>67</v>
      </c>
      <c r="S2715" s="11" t="s">
        <v>50</v>
      </c>
      <c r="T2715" s="29">
        <v>45590.512548125</v>
      </c>
      <c r="U2715" s="29">
        <v>45593.41092376158</v>
      </c>
      <c r="V2715" s="29">
        <v>45594.417445914354</v>
      </c>
      <c r="W2715" s="38"/>
      <c r="X2715" s="30"/>
      <c r="Y2715" s="31"/>
      <c r="Z2715" s="31"/>
      <c r="AA2715" s="31" t="s">
        <v>127</v>
      </c>
      <c r="AB2715" s="31" t="s">
        <v>10685</v>
      </c>
      <c r="AC2715" s="31"/>
    </row>
    <row r="2716" ht="18.75" customHeight="1">
      <c r="A2716" s="18" t="s">
        <v>10686</v>
      </c>
      <c r="B2716" s="19" t="s">
        <v>10687</v>
      </c>
      <c r="C2716" s="20">
        <v>11.0</v>
      </c>
      <c r="D2716" s="21" t="s">
        <v>10688</v>
      </c>
      <c r="E2716" s="27" t="s">
        <v>112</v>
      </c>
      <c r="F2716" s="18" t="s">
        <v>48</v>
      </c>
      <c r="G2716" s="32" t="s">
        <v>35</v>
      </c>
      <c r="H2716" s="23" t="s">
        <v>35</v>
      </c>
      <c r="I2716" s="37" t="s">
        <v>36</v>
      </c>
      <c r="J2716" s="25" t="s">
        <v>49</v>
      </c>
      <c r="K2716" s="26" t="s">
        <v>447</v>
      </c>
      <c r="L2716" s="25">
        <v>11788.0</v>
      </c>
      <c r="M2716" s="27" t="s">
        <v>50</v>
      </c>
      <c r="N2716" s="26" t="s">
        <v>99</v>
      </c>
      <c r="O2716" s="28">
        <v>45588.692882812495</v>
      </c>
      <c r="P2716" s="26" t="s">
        <v>10689</v>
      </c>
      <c r="Q2716" s="11" t="s">
        <v>67</v>
      </c>
      <c r="R2716" s="11" t="s">
        <v>67</v>
      </c>
      <c r="S2716" s="11" t="s">
        <v>50</v>
      </c>
      <c r="T2716" s="29">
        <v>45588.37630534722</v>
      </c>
      <c r="U2716" s="29">
        <v>45588.40306991898</v>
      </c>
      <c r="V2716" s="29">
        <v>45588.59863611111</v>
      </c>
      <c r="W2716" s="30"/>
      <c r="X2716" s="30"/>
      <c r="Y2716" s="31"/>
      <c r="Z2716" s="31"/>
      <c r="AA2716" s="31" t="s">
        <v>108</v>
      </c>
      <c r="AB2716" s="31" t="s">
        <v>10690</v>
      </c>
      <c r="AC2716" s="31"/>
    </row>
    <row r="2717" ht="18.75" customHeight="1">
      <c r="A2717" s="18" t="s">
        <v>10691</v>
      </c>
      <c r="B2717" s="19" t="s">
        <v>10687</v>
      </c>
      <c r="C2717" s="20">
        <v>11.0</v>
      </c>
      <c r="D2717" s="21" t="s">
        <v>10692</v>
      </c>
      <c r="E2717" s="27" t="s">
        <v>112</v>
      </c>
      <c r="F2717" s="18" t="s">
        <v>48</v>
      </c>
      <c r="G2717" s="32" t="s">
        <v>35</v>
      </c>
      <c r="H2717" s="23" t="s">
        <v>35</v>
      </c>
      <c r="I2717" s="37" t="s">
        <v>36</v>
      </c>
      <c r="J2717" s="25" t="s">
        <v>49</v>
      </c>
      <c r="K2717" s="26" t="s">
        <v>447</v>
      </c>
      <c r="L2717" s="25">
        <v>11788.0</v>
      </c>
      <c r="M2717" s="27" t="s">
        <v>50</v>
      </c>
      <c r="N2717" s="26" t="s">
        <v>99</v>
      </c>
      <c r="O2717" s="28">
        <v>45588.69295574074</v>
      </c>
      <c r="P2717" s="26" t="s">
        <v>10689</v>
      </c>
      <c r="Q2717" s="11" t="s">
        <v>67</v>
      </c>
      <c r="R2717" s="11" t="s">
        <v>67</v>
      </c>
      <c r="S2717" s="11" t="s">
        <v>50</v>
      </c>
      <c r="T2717" s="29">
        <v>45588.376461493055</v>
      </c>
      <c r="U2717" s="29">
        <v>45588.40316297454</v>
      </c>
      <c r="V2717" s="29">
        <v>45588.598648784726</v>
      </c>
      <c r="W2717" s="30"/>
      <c r="X2717" s="30"/>
      <c r="Y2717" s="31"/>
      <c r="Z2717" s="31"/>
      <c r="AA2717" s="31" t="s">
        <v>108</v>
      </c>
      <c r="AB2717" s="31" t="s">
        <v>10693</v>
      </c>
      <c r="AC2717" s="31"/>
    </row>
    <row r="2718" ht="18.75" customHeight="1">
      <c r="A2718" s="18" t="s">
        <v>10694</v>
      </c>
      <c r="B2718" s="19" t="s">
        <v>8652</v>
      </c>
      <c r="C2718" s="20">
        <v>0.0</v>
      </c>
      <c r="D2718" s="21" t="s">
        <v>10695</v>
      </c>
      <c r="E2718" s="22" t="s">
        <v>2167</v>
      </c>
      <c r="F2718" s="18" t="s">
        <v>33</v>
      </c>
      <c r="G2718" s="32" t="s">
        <v>35</v>
      </c>
      <c r="H2718" s="23" t="s">
        <v>35</v>
      </c>
      <c r="I2718" s="37" t="s">
        <v>36</v>
      </c>
      <c r="J2718" s="34" t="s">
        <v>65</v>
      </c>
      <c r="K2718" s="26" t="s">
        <v>38</v>
      </c>
      <c r="L2718" s="25">
        <v>11928.0</v>
      </c>
      <c r="M2718" s="27" t="s">
        <v>50</v>
      </c>
      <c r="N2718" s="26" t="s">
        <v>8469</v>
      </c>
      <c r="O2718" s="28">
        <v>45602.69028995371</v>
      </c>
      <c r="P2718" s="26" t="s">
        <v>10696</v>
      </c>
      <c r="Q2718" s="11" t="s">
        <v>67</v>
      </c>
      <c r="R2718" s="11" t="s">
        <v>67</v>
      </c>
      <c r="S2718" s="11" t="s">
        <v>101</v>
      </c>
      <c r="T2718" s="29">
        <v>45588.38590159723</v>
      </c>
      <c r="U2718" s="29">
        <v>45595.492323576385</v>
      </c>
      <c r="V2718" s="29">
        <v>45597.59186255787</v>
      </c>
      <c r="W2718" s="38"/>
      <c r="X2718" s="30"/>
      <c r="Y2718" s="31"/>
      <c r="Z2718" s="31"/>
      <c r="AA2718" s="31" t="s">
        <v>3059</v>
      </c>
      <c r="AB2718" s="31" t="s">
        <v>10697</v>
      </c>
      <c r="AC2718" s="31"/>
    </row>
    <row r="2719" ht="18.75" customHeight="1">
      <c r="A2719" s="18" t="s">
        <v>10698</v>
      </c>
      <c r="B2719" s="19" t="s">
        <v>8652</v>
      </c>
      <c r="C2719" s="20">
        <v>0.0</v>
      </c>
      <c r="D2719" s="21" t="s">
        <v>10699</v>
      </c>
      <c r="E2719" s="22" t="s">
        <v>2167</v>
      </c>
      <c r="F2719" s="18" t="s">
        <v>33</v>
      </c>
      <c r="G2719" s="32" t="s">
        <v>35</v>
      </c>
      <c r="H2719" s="23" t="s">
        <v>35</v>
      </c>
      <c r="I2719" s="37" t="s">
        <v>36</v>
      </c>
      <c r="J2719" s="34" t="s">
        <v>65</v>
      </c>
      <c r="K2719" s="26" t="s">
        <v>38</v>
      </c>
      <c r="L2719" s="25">
        <v>11928.0</v>
      </c>
      <c r="M2719" s="27" t="s">
        <v>50</v>
      </c>
      <c r="N2719" s="26" t="s">
        <v>8469</v>
      </c>
      <c r="O2719" s="28">
        <v>45602.69014704861</v>
      </c>
      <c r="P2719" s="26" t="s">
        <v>10696</v>
      </c>
      <c r="Q2719" s="11" t="s">
        <v>67</v>
      </c>
      <c r="R2719" s="11" t="s">
        <v>67</v>
      </c>
      <c r="S2719" s="11" t="s">
        <v>101</v>
      </c>
      <c r="T2719" s="29">
        <v>45588.38599166667</v>
      </c>
      <c r="U2719" s="29">
        <v>45595.49232060185</v>
      </c>
      <c r="V2719" s="29">
        <v>45597.35451238426</v>
      </c>
      <c r="W2719" s="38"/>
      <c r="X2719" s="30"/>
      <c r="Y2719" s="31"/>
      <c r="Z2719" s="31"/>
      <c r="AA2719" s="31" t="s">
        <v>3059</v>
      </c>
      <c r="AB2719" s="31" t="s">
        <v>10700</v>
      </c>
      <c r="AC2719" s="31"/>
    </row>
    <row r="2720" ht="18.75" customHeight="1">
      <c r="A2720" s="18" t="s">
        <v>10701</v>
      </c>
      <c r="B2720" s="19" t="s">
        <v>8652</v>
      </c>
      <c r="C2720" s="20">
        <v>0.0</v>
      </c>
      <c r="D2720" s="21" t="s">
        <v>10702</v>
      </c>
      <c r="E2720" s="22" t="s">
        <v>713</v>
      </c>
      <c r="F2720" s="18" t="s">
        <v>33</v>
      </c>
      <c r="G2720" s="32" t="s">
        <v>35</v>
      </c>
      <c r="H2720" s="23" t="s">
        <v>35</v>
      </c>
      <c r="I2720" s="37" t="s">
        <v>36</v>
      </c>
      <c r="J2720" s="34" t="s">
        <v>65</v>
      </c>
      <c r="K2720" s="26" t="s">
        <v>38</v>
      </c>
      <c r="L2720" s="25">
        <v>12735.0</v>
      </c>
      <c r="M2720" s="27" t="s">
        <v>50</v>
      </c>
      <c r="N2720" s="26" t="s">
        <v>10703</v>
      </c>
      <c r="O2720" s="140">
        <v>45734.449603877314</v>
      </c>
      <c r="P2720" s="26" t="s">
        <v>10696</v>
      </c>
      <c r="Q2720" s="11" t="s">
        <v>67</v>
      </c>
      <c r="R2720" s="11" t="s">
        <v>67</v>
      </c>
      <c r="S2720" s="11" t="s">
        <v>101</v>
      </c>
      <c r="T2720" s="29">
        <v>45588.386322962964</v>
      </c>
      <c r="U2720" s="29">
        <v>45595.49232902778</v>
      </c>
      <c r="V2720" s="29">
        <v>45596.571940381946</v>
      </c>
      <c r="W2720" s="38"/>
      <c r="X2720" s="30"/>
      <c r="Y2720" s="31"/>
      <c r="Z2720" s="31"/>
      <c r="AA2720" s="31" t="s">
        <v>3059</v>
      </c>
      <c r="AB2720" s="31" t="s">
        <v>10704</v>
      </c>
      <c r="AC2720" s="31"/>
    </row>
    <row r="2721" ht="18.75" customHeight="1">
      <c r="A2721" s="18" t="s">
        <v>10705</v>
      </c>
      <c r="B2721" s="19" t="s">
        <v>8652</v>
      </c>
      <c r="C2721" s="20">
        <v>0.0</v>
      </c>
      <c r="D2721" s="21" t="s">
        <v>10706</v>
      </c>
      <c r="E2721" s="22" t="s">
        <v>713</v>
      </c>
      <c r="F2721" s="18" t="s">
        <v>33</v>
      </c>
      <c r="G2721" s="32" t="s">
        <v>35</v>
      </c>
      <c r="H2721" s="23" t="s">
        <v>35</v>
      </c>
      <c r="I2721" s="37" t="s">
        <v>36</v>
      </c>
      <c r="J2721" s="34" t="s">
        <v>65</v>
      </c>
      <c r="K2721" s="26" t="s">
        <v>38</v>
      </c>
      <c r="L2721" s="25">
        <v>12735.0</v>
      </c>
      <c r="M2721" s="27" t="s">
        <v>50</v>
      </c>
      <c r="N2721" s="26" t="s">
        <v>10703</v>
      </c>
      <c r="O2721" s="140">
        <v>45734.44974298611</v>
      </c>
      <c r="P2721" s="26" t="s">
        <v>10696</v>
      </c>
      <c r="Q2721" s="11" t="s">
        <v>67</v>
      </c>
      <c r="R2721" s="11" t="s">
        <v>67</v>
      </c>
      <c r="S2721" s="11" t="s">
        <v>101</v>
      </c>
      <c r="T2721" s="29">
        <v>45588.38646545139</v>
      </c>
      <c r="U2721" s="29">
        <v>45595.49233988426</v>
      </c>
      <c r="V2721" s="29">
        <v>45596.454862569444</v>
      </c>
      <c r="W2721" s="38"/>
      <c r="X2721" s="30"/>
      <c r="Y2721" s="31"/>
      <c r="Z2721" s="31"/>
      <c r="AA2721" s="31" t="s">
        <v>3059</v>
      </c>
      <c r="AB2721" s="31" t="s">
        <v>10707</v>
      </c>
      <c r="AC2721" s="31"/>
    </row>
    <row r="2722" ht="18.75" customHeight="1">
      <c r="A2722" s="18" t="s">
        <v>10708</v>
      </c>
      <c r="B2722" s="19" t="s">
        <v>8652</v>
      </c>
      <c r="C2722" s="20">
        <v>0.0</v>
      </c>
      <c r="D2722" s="21" t="s">
        <v>410</v>
      </c>
      <c r="E2722" s="22" t="s">
        <v>713</v>
      </c>
      <c r="F2722" s="18" t="s">
        <v>33</v>
      </c>
      <c r="G2722" s="32" t="s">
        <v>35</v>
      </c>
      <c r="H2722" s="23" t="s">
        <v>35</v>
      </c>
      <c r="I2722" s="37" t="s">
        <v>36</v>
      </c>
      <c r="J2722" s="34" t="s">
        <v>65</v>
      </c>
      <c r="K2722" s="26" t="s">
        <v>38</v>
      </c>
      <c r="L2722" s="25">
        <v>12735.0</v>
      </c>
      <c r="M2722" s="27" t="s">
        <v>50</v>
      </c>
      <c r="N2722" s="26" t="s">
        <v>10703</v>
      </c>
      <c r="O2722" s="140">
        <v>45734.449685914355</v>
      </c>
      <c r="P2722" s="26" t="s">
        <v>10696</v>
      </c>
      <c r="Q2722" s="11" t="s">
        <v>67</v>
      </c>
      <c r="R2722" s="11" t="s">
        <v>67</v>
      </c>
      <c r="S2722" s="11" t="s">
        <v>101</v>
      </c>
      <c r="T2722" s="29">
        <v>45588.38652230324</v>
      </c>
      <c r="U2722" s="29">
        <v>45595.492336875</v>
      </c>
      <c r="V2722" s="29">
        <v>45597.59184814815</v>
      </c>
      <c r="W2722" s="38"/>
      <c r="X2722" s="30"/>
      <c r="Y2722" s="31"/>
      <c r="Z2722" s="31"/>
      <c r="AA2722" s="31" t="s">
        <v>3059</v>
      </c>
      <c r="AB2722" s="31" t="s">
        <v>10709</v>
      </c>
      <c r="AC2722" s="31"/>
    </row>
    <row r="2723" ht="18.75" customHeight="1">
      <c r="A2723" s="18" t="s">
        <v>10710</v>
      </c>
      <c r="B2723" s="19" t="s">
        <v>8652</v>
      </c>
      <c r="C2723" s="20">
        <v>0.0</v>
      </c>
      <c r="D2723" s="21" t="s">
        <v>10711</v>
      </c>
      <c r="E2723" s="22" t="s">
        <v>713</v>
      </c>
      <c r="F2723" s="18" t="s">
        <v>33</v>
      </c>
      <c r="G2723" s="32" t="s">
        <v>35</v>
      </c>
      <c r="H2723" s="23" t="s">
        <v>35</v>
      </c>
      <c r="I2723" s="37" t="s">
        <v>36</v>
      </c>
      <c r="J2723" s="34" t="s">
        <v>65</v>
      </c>
      <c r="K2723" s="26" t="s">
        <v>38</v>
      </c>
      <c r="L2723" s="25">
        <v>12735.0</v>
      </c>
      <c r="M2723" s="27" t="s">
        <v>50</v>
      </c>
      <c r="N2723" s="26" t="s">
        <v>10703</v>
      </c>
      <c r="O2723" s="140">
        <v>45734.44986116898</v>
      </c>
      <c r="P2723" s="26" t="s">
        <v>10696</v>
      </c>
      <c r="Q2723" s="11" t="s">
        <v>67</v>
      </c>
      <c r="R2723" s="11" t="s">
        <v>67</v>
      </c>
      <c r="S2723" s="11" t="s">
        <v>101</v>
      </c>
      <c r="T2723" s="29">
        <v>45588.38657405092</v>
      </c>
      <c r="U2723" s="29">
        <v>45595.49234619213</v>
      </c>
      <c r="V2723" s="29">
        <v>45597.354421655094</v>
      </c>
      <c r="W2723" s="38"/>
      <c r="X2723" s="30"/>
      <c r="Y2723" s="31"/>
      <c r="Z2723" s="31"/>
      <c r="AA2723" s="31" t="s">
        <v>3059</v>
      </c>
      <c r="AB2723" s="31" t="s">
        <v>10712</v>
      </c>
      <c r="AC2723" s="31"/>
    </row>
    <row r="2724" ht="18.75" customHeight="1">
      <c r="A2724" s="18" t="s">
        <v>10713</v>
      </c>
      <c r="B2724" s="19" t="s">
        <v>8652</v>
      </c>
      <c r="C2724" s="20">
        <v>0.0</v>
      </c>
      <c r="D2724" s="21" t="s">
        <v>10714</v>
      </c>
      <c r="E2724" s="22" t="s">
        <v>913</v>
      </c>
      <c r="F2724" s="18" t="s">
        <v>33</v>
      </c>
      <c r="G2724" s="32" t="s">
        <v>35</v>
      </c>
      <c r="H2724" s="23" t="s">
        <v>35</v>
      </c>
      <c r="I2724" s="37" t="s">
        <v>36</v>
      </c>
      <c r="J2724" s="34" t="s">
        <v>65</v>
      </c>
      <c r="K2724" s="26" t="s">
        <v>38</v>
      </c>
      <c r="L2724" s="25">
        <v>11928.0</v>
      </c>
      <c r="M2724" s="27" t="s">
        <v>50</v>
      </c>
      <c r="N2724" s="26" t="s">
        <v>8469</v>
      </c>
      <c r="O2724" s="28">
        <v>45602.690065856485</v>
      </c>
      <c r="P2724" s="26" t="s">
        <v>10696</v>
      </c>
      <c r="Q2724" s="11" t="s">
        <v>67</v>
      </c>
      <c r="R2724" s="11" t="s">
        <v>67</v>
      </c>
      <c r="S2724" s="11" t="s">
        <v>101</v>
      </c>
      <c r="T2724" s="29">
        <v>45588.386837881946</v>
      </c>
      <c r="U2724" s="29">
        <v>45595.49230520833</v>
      </c>
      <c r="V2724" s="29">
        <v>45602.37293462963</v>
      </c>
      <c r="W2724" s="38"/>
      <c r="X2724" s="30"/>
      <c r="Y2724" s="31"/>
      <c r="Z2724" s="31"/>
      <c r="AA2724" s="31" t="s">
        <v>3059</v>
      </c>
      <c r="AB2724" s="31" t="s">
        <v>10715</v>
      </c>
      <c r="AC2724" s="31"/>
    </row>
    <row r="2725" ht="18.75" customHeight="1">
      <c r="A2725" s="18" t="s">
        <v>10716</v>
      </c>
      <c r="B2725" s="19" t="s">
        <v>8652</v>
      </c>
      <c r="C2725" s="20">
        <v>0.0</v>
      </c>
      <c r="D2725" s="21" t="s">
        <v>431</v>
      </c>
      <c r="E2725" s="22" t="s">
        <v>913</v>
      </c>
      <c r="F2725" s="18" t="s">
        <v>33</v>
      </c>
      <c r="G2725" s="32" t="s">
        <v>35</v>
      </c>
      <c r="H2725" s="23" t="s">
        <v>35</v>
      </c>
      <c r="I2725" s="37" t="s">
        <v>36</v>
      </c>
      <c r="J2725" s="34" t="s">
        <v>65</v>
      </c>
      <c r="K2725" s="26" t="s">
        <v>38</v>
      </c>
      <c r="L2725" s="25">
        <v>11928.0</v>
      </c>
      <c r="M2725" s="27" t="s">
        <v>50</v>
      </c>
      <c r="N2725" s="26" t="s">
        <v>8469</v>
      </c>
      <c r="O2725" s="28">
        <v>45602.689757395834</v>
      </c>
      <c r="P2725" s="26" t="s">
        <v>10696</v>
      </c>
      <c r="Q2725" s="11" t="s">
        <v>67</v>
      </c>
      <c r="R2725" s="11" t="s">
        <v>67</v>
      </c>
      <c r="S2725" s="11" t="s">
        <v>101</v>
      </c>
      <c r="T2725" s="29">
        <v>45588.38732545139</v>
      </c>
      <c r="U2725" s="29">
        <v>45595.49222060185</v>
      </c>
      <c r="V2725" s="29">
        <v>45602.37289650463</v>
      </c>
      <c r="W2725" s="38"/>
      <c r="X2725" s="30"/>
      <c r="Y2725" s="31"/>
      <c r="Z2725" s="31"/>
      <c r="AA2725" s="31" t="s">
        <v>3059</v>
      </c>
      <c r="AB2725" s="31" t="s">
        <v>10717</v>
      </c>
      <c r="AC2725" s="31"/>
    </row>
    <row r="2726" ht="18.75" customHeight="1">
      <c r="A2726" s="18" t="s">
        <v>10718</v>
      </c>
      <c r="B2726" s="19" t="s">
        <v>8652</v>
      </c>
      <c r="C2726" s="20">
        <v>0.0</v>
      </c>
      <c r="D2726" s="21" t="s">
        <v>437</v>
      </c>
      <c r="E2726" s="22" t="s">
        <v>913</v>
      </c>
      <c r="F2726" s="18" t="s">
        <v>33</v>
      </c>
      <c r="G2726" s="32" t="s">
        <v>35</v>
      </c>
      <c r="H2726" s="23" t="s">
        <v>35</v>
      </c>
      <c r="I2726" s="37" t="s">
        <v>36</v>
      </c>
      <c r="J2726" s="34" t="s">
        <v>65</v>
      </c>
      <c r="K2726" s="26" t="s">
        <v>38</v>
      </c>
      <c r="L2726" s="25">
        <v>11928.0</v>
      </c>
      <c r="M2726" s="27" t="s">
        <v>50</v>
      </c>
      <c r="N2726" s="26" t="s">
        <v>8469</v>
      </c>
      <c r="O2726" s="28">
        <v>45602.690564097225</v>
      </c>
      <c r="P2726" s="26" t="s">
        <v>10696</v>
      </c>
      <c r="Q2726" s="11" t="s">
        <v>67</v>
      </c>
      <c r="R2726" s="11" t="s">
        <v>67</v>
      </c>
      <c r="S2726" s="11" t="s">
        <v>101</v>
      </c>
      <c r="T2726" s="29">
        <v>45588.38751868055</v>
      </c>
      <c r="U2726" s="29">
        <v>45595.49235185185</v>
      </c>
      <c r="V2726" s="29">
        <v>45602.42834158565</v>
      </c>
      <c r="W2726" s="38"/>
      <c r="X2726" s="30"/>
      <c r="Y2726" s="31"/>
      <c r="Z2726" s="31"/>
      <c r="AA2726" s="31" t="s">
        <v>3059</v>
      </c>
      <c r="AB2726" s="31" t="s">
        <v>10719</v>
      </c>
      <c r="AC2726" s="31"/>
    </row>
    <row r="2727" ht="18.75" customHeight="1">
      <c r="A2727" s="18" t="s">
        <v>10720</v>
      </c>
      <c r="B2727" s="19" t="s">
        <v>8652</v>
      </c>
      <c r="C2727" s="20">
        <v>0.0</v>
      </c>
      <c r="D2727" s="21" t="s">
        <v>10721</v>
      </c>
      <c r="E2727" s="22" t="s">
        <v>913</v>
      </c>
      <c r="F2727" s="18" t="s">
        <v>33</v>
      </c>
      <c r="G2727" s="32" t="s">
        <v>35</v>
      </c>
      <c r="H2727" s="23" t="s">
        <v>35</v>
      </c>
      <c r="I2727" s="37" t="s">
        <v>36</v>
      </c>
      <c r="J2727" s="34" t="s">
        <v>65</v>
      </c>
      <c r="K2727" s="26" t="s">
        <v>38</v>
      </c>
      <c r="L2727" s="25">
        <v>11928.0</v>
      </c>
      <c r="M2727" s="27" t="s">
        <v>50</v>
      </c>
      <c r="N2727" s="26" t="s">
        <v>8469</v>
      </c>
      <c r="O2727" s="28">
        <v>45602.69072780093</v>
      </c>
      <c r="P2727" s="26" t="s">
        <v>10696</v>
      </c>
      <c r="Q2727" s="11" t="s">
        <v>67</v>
      </c>
      <c r="R2727" s="11" t="s">
        <v>67</v>
      </c>
      <c r="S2727" s="11" t="s">
        <v>101</v>
      </c>
      <c r="T2727" s="29">
        <v>45588.38762981481</v>
      </c>
      <c r="U2727" s="29">
        <v>45595.49237299769</v>
      </c>
      <c r="V2727" s="29">
        <v>45602.42835070602</v>
      </c>
      <c r="W2727" s="38"/>
      <c r="X2727" s="30"/>
      <c r="Y2727" s="31"/>
      <c r="Z2727" s="31"/>
      <c r="AA2727" s="31" t="s">
        <v>3059</v>
      </c>
      <c r="AB2727" s="31" t="s">
        <v>10722</v>
      </c>
      <c r="AC2727" s="31"/>
    </row>
    <row r="2728" ht="18.75" customHeight="1">
      <c r="A2728" s="18" t="s">
        <v>10723</v>
      </c>
      <c r="B2728" s="19" t="s">
        <v>8652</v>
      </c>
      <c r="C2728" s="20">
        <v>0.0</v>
      </c>
      <c r="D2728" s="21" t="s">
        <v>10724</v>
      </c>
      <c r="E2728" s="27" t="s">
        <v>1530</v>
      </c>
      <c r="F2728" s="18" t="s">
        <v>33</v>
      </c>
      <c r="G2728" s="32" t="s">
        <v>35</v>
      </c>
      <c r="H2728" s="23" t="s">
        <v>35</v>
      </c>
      <c r="I2728" s="37" t="s">
        <v>36</v>
      </c>
      <c r="J2728" s="34" t="s">
        <v>65</v>
      </c>
      <c r="K2728" s="26" t="s">
        <v>38</v>
      </c>
      <c r="L2728" s="25">
        <v>11928.0</v>
      </c>
      <c r="M2728" s="27" t="s">
        <v>50</v>
      </c>
      <c r="N2728" s="26" t="s">
        <v>8469</v>
      </c>
      <c r="O2728" s="28">
        <v>45602.6907758912</v>
      </c>
      <c r="P2728" s="26" t="s">
        <v>10696</v>
      </c>
      <c r="Q2728" s="11" t="s">
        <v>67</v>
      </c>
      <c r="R2728" s="11" t="s">
        <v>67</v>
      </c>
      <c r="S2728" s="11" t="s">
        <v>101</v>
      </c>
      <c r="T2728" s="29">
        <v>45588.38799746528</v>
      </c>
      <c r="U2728" s="29">
        <v>45595.49237890047</v>
      </c>
      <c r="V2728" s="29">
        <v>45600.46418711805</v>
      </c>
      <c r="W2728" s="38"/>
      <c r="X2728" s="30"/>
      <c r="Y2728" s="31"/>
      <c r="Z2728" s="31"/>
      <c r="AA2728" s="31" t="s">
        <v>3059</v>
      </c>
      <c r="AB2728" s="31" t="s">
        <v>10725</v>
      </c>
      <c r="AC2728" s="31"/>
    </row>
    <row r="2729" ht="18.75" customHeight="1">
      <c r="A2729" s="18" t="s">
        <v>10726</v>
      </c>
      <c r="B2729" s="19" t="s">
        <v>8652</v>
      </c>
      <c r="C2729" s="20">
        <v>0.0</v>
      </c>
      <c r="D2729" s="21" t="s">
        <v>10727</v>
      </c>
      <c r="E2729" s="27" t="s">
        <v>1530</v>
      </c>
      <c r="F2729" s="18" t="s">
        <v>33</v>
      </c>
      <c r="G2729" s="32" t="s">
        <v>35</v>
      </c>
      <c r="H2729" s="23" t="s">
        <v>35</v>
      </c>
      <c r="I2729" s="37" t="s">
        <v>36</v>
      </c>
      <c r="J2729" s="34" t="s">
        <v>65</v>
      </c>
      <c r="K2729" s="26" t="s">
        <v>38</v>
      </c>
      <c r="L2729" s="25">
        <v>11928.0</v>
      </c>
      <c r="M2729" s="27" t="s">
        <v>50</v>
      </c>
      <c r="N2729" s="26" t="s">
        <v>8469</v>
      </c>
      <c r="O2729" s="28">
        <v>45602.690617534725</v>
      </c>
      <c r="P2729" s="26" t="s">
        <v>10696</v>
      </c>
      <c r="Q2729" s="11" t="s">
        <v>67</v>
      </c>
      <c r="R2729" s="11" t="s">
        <v>67</v>
      </c>
      <c r="S2729" s="11" t="s">
        <v>101</v>
      </c>
      <c r="T2729" s="29">
        <v>45588.38817333333</v>
      </c>
      <c r="U2729" s="29">
        <v>45595.49235828704</v>
      </c>
      <c r="V2729" s="29">
        <v>45600.41190554398</v>
      </c>
      <c r="W2729" s="38"/>
      <c r="X2729" s="30"/>
      <c r="Y2729" s="31"/>
      <c r="Z2729" s="31"/>
      <c r="AA2729" s="31" t="s">
        <v>3059</v>
      </c>
      <c r="AB2729" s="31" t="s">
        <v>10728</v>
      </c>
      <c r="AC2729" s="31"/>
    </row>
    <row r="2730" ht="18.75" customHeight="1">
      <c r="A2730" s="18" t="s">
        <v>10729</v>
      </c>
      <c r="B2730" s="19" t="s">
        <v>8652</v>
      </c>
      <c r="C2730" s="20">
        <v>0.0</v>
      </c>
      <c r="D2730" s="21" t="s">
        <v>426</v>
      </c>
      <c r="E2730" s="27" t="s">
        <v>1530</v>
      </c>
      <c r="F2730" s="18" t="s">
        <v>33</v>
      </c>
      <c r="G2730" s="32" t="s">
        <v>35</v>
      </c>
      <c r="H2730" s="23" t="s">
        <v>35</v>
      </c>
      <c r="I2730" s="37" t="s">
        <v>36</v>
      </c>
      <c r="J2730" s="34" t="s">
        <v>65</v>
      </c>
      <c r="K2730" s="26" t="s">
        <v>38</v>
      </c>
      <c r="L2730" s="25">
        <v>11928.0</v>
      </c>
      <c r="M2730" s="27" t="s">
        <v>50</v>
      </c>
      <c r="N2730" s="26" t="s">
        <v>8469</v>
      </c>
      <c r="O2730" s="28">
        <v>45602.69067502314</v>
      </c>
      <c r="P2730" s="26" t="s">
        <v>10696</v>
      </c>
      <c r="Q2730" s="11" t="s">
        <v>67</v>
      </c>
      <c r="R2730" s="11" t="s">
        <v>67</v>
      </c>
      <c r="S2730" s="11" t="s">
        <v>101</v>
      </c>
      <c r="T2730" s="29">
        <v>45588.388227268515</v>
      </c>
      <c r="U2730" s="29">
        <v>45595.49236689815</v>
      </c>
      <c r="V2730" s="29">
        <v>45600.38716675926</v>
      </c>
      <c r="W2730" s="38"/>
      <c r="X2730" s="30"/>
      <c r="Y2730" s="31"/>
      <c r="Z2730" s="31"/>
      <c r="AA2730" s="31" t="s">
        <v>3059</v>
      </c>
      <c r="AB2730" s="31" t="s">
        <v>10730</v>
      </c>
      <c r="AC2730" s="31"/>
    </row>
    <row r="2731" ht="18.75" customHeight="1">
      <c r="A2731" s="142" t="s">
        <v>10731</v>
      </c>
      <c r="B2731" s="19" t="s">
        <v>10732</v>
      </c>
      <c r="C2731" s="20">
        <v>1.0</v>
      </c>
      <c r="D2731" s="21" t="s">
        <v>10733</v>
      </c>
      <c r="E2731" s="27" t="s">
        <v>3395</v>
      </c>
      <c r="F2731" s="18" t="s">
        <v>48</v>
      </c>
      <c r="G2731" s="32" t="s">
        <v>35</v>
      </c>
      <c r="H2731" s="23" t="s">
        <v>35</v>
      </c>
      <c r="I2731" s="37" t="s">
        <v>36</v>
      </c>
      <c r="J2731" s="34" t="s">
        <v>9338</v>
      </c>
      <c r="K2731" s="26" t="s">
        <v>38</v>
      </c>
      <c r="L2731" s="25">
        <v>11819.0</v>
      </c>
      <c r="M2731" s="27" t="s">
        <v>50</v>
      </c>
      <c r="N2731" s="26" t="s">
        <v>9389</v>
      </c>
      <c r="O2731" s="28">
        <v>45596.66019127315</v>
      </c>
      <c r="P2731" s="26" t="s">
        <v>10734</v>
      </c>
      <c r="Q2731" s="11" t="s">
        <v>67</v>
      </c>
      <c r="R2731" s="11" t="s">
        <v>67</v>
      </c>
      <c r="S2731" s="11" t="s">
        <v>50</v>
      </c>
      <c r="T2731" s="29">
        <v>45589.35423082176</v>
      </c>
      <c r="U2731" s="29">
        <v>45589.69257396991</v>
      </c>
      <c r="V2731" s="29">
        <v>45594.61623903935</v>
      </c>
      <c r="W2731" s="38"/>
      <c r="X2731" s="30"/>
      <c r="Y2731" s="31"/>
      <c r="Z2731" s="31"/>
      <c r="AA2731" s="31" t="s">
        <v>3059</v>
      </c>
      <c r="AB2731" s="31" t="s">
        <v>10735</v>
      </c>
      <c r="AC2731" s="31"/>
    </row>
    <row r="2732" ht="18.75" customHeight="1">
      <c r="A2732" s="142" t="s">
        <v>10736</v>
      </c>
      <c r="B2732" s="19" t="s">
        <v>4587</v>
      </c>
      <c r="C2732" s="20">
        <v>27.0</v>
      </c>
      <c r="D2732" s="39" t="s">
        <v>10737</v>
      </c>
      <c r="E2732" s="22" t="s">
        <v>72</v>
      </c>
      <c r="F2732" s="18" t="s">
        <v>48</v>
      </c>
      <c r="G2732" s="32" t="s">
        <v>35</v>
      </c>
      <c r="H2732" s="23" t="s">
        <v>35</v>
      </c>
      <c r="I2732" s="37" t="s">
        <v>36</v>
      </c>
      <c r="J2732" s="34" t="s">
        <v>9338</v>
      </c>
      <c r="K2732" s="26" t="s">
        <v>38</v>
      </c>
      <c r="L2732" s="25">
        <v>11820.0</v>
      </c>
      <c r="M2732" s="27" t="s">
        <v>50</v>
      </c>
      <c r="N2732" s="26" t="s">
        <v>9389</v>
      </c>
      <c r="O2732" s="28">
        <v>45596.65962803241</v>
      </c>
      <c r="P2732" s="26" t="s">
        <v>10738</v>
      </c>
      <c r="Q2732" s="11" t="s">
        <v>67</v>
      </c>
      <c r="R2732" s="11" t="s">
        <v>67</v>
      </c>
      <c r="S2732" s="11" t="s">
        <v>50</v>
      </c>
      <c r="T2732" s="29">
        <v>45589.3610533912</v>
      </c>
      <c r="U2732" s="29">
        <v>45589.69228795139</v>
      </c>
      <c r="V2732" s="29">
        <v>45589.789277442134</v>
      </c>
      <c r="W2732" s="30"/>
      <c r="X2732" s="30"/>
      <c r="Y2732" s="31"/>
      <c r="Z2732" s="31"/>
      <c r="AA2732" s="31" t="s">
        <v>3059</v>
      </c>
      <c r="AB2732" s="31" t="s">
        <v>10739</v>
      </c>
      <c r="AC2732" s="31"/>
    </row>
    <row r="2733" ht="18.75" customHeight="1">
      <c r="A2733" s="142" t="s">
        <v>10740</v>
      </c>
      <c r="B2733" s="19" t="s">
        <v>8916</v>
      </c>
      <c r="C2733" s="20">
        <v>27.0</v>
      </c>
      <c r="D2733" s="39" t="s">
        <v>10741</v>
      </c>
      <c r="E2733" s="27" t="s">
        <v>72</v>
      </c>
      <c r="F2733" s="18" t="s">
        <v>48</v>
      </c>
      <c r="G2733" s="32" t="s">
        <v>35</v>
      </c>
      <c r="H2733" s="23" t="s">
        <v>35</v>
      </c>
      <c r="I2733" s="37" t="s">
        <v>36</v>
      </c>
      <c r="J2733" s="25" t="s">
        <v>49</v>
      </c>
      <c r="K2733" s="26" t="s">
        <v>38</v>
      </c>
      <c r="L2733" s="25">
        <v>11840.0</v>
      </c>
      <c r="M2733" s="27" t="s">
        <v>50</v>
      </c>
      <c r="N2733" s="26" t="s">
        <v>106</v>
      </c>
      <c r="O2733" s="28">
        <v>45593.65102959491</v>
      </c>
      <c r="P2733" s="26" t="s">
        <v>10742</v>
      </c>
      <c r="Q2733" s="11" t="s">
        <v>67</v>
      </c>
      <c r="R2733" s="11" t="s">
        <v>67</v>
      </c>
      <c r="S2733" s="11" t="s">
        <v>50</v>
      </c>
      <c r="T2733" s="29">
        <v>45589.36929434028</v>
      </c>
      <c r="U2733" s="29">
        <v>45590.37941173611</v>
      </c>
      <c r="V2733" s="29">
        <v>45593.4263603125</v>
      </c>
      <c r="W2733" s="38"/>
      <c r="X2733" s="30"/>
      <c r="Y2733" s="31"/>
      <c r="Z2733" s="31"/>
      <c r="AA2733" s="31" t="s">
        <v>127</v>
      </c>
      <c r="AB2733" s="31" t="s">
        <v>10743</v>
      </c>
      <c r="AC2733" s="31"/>
    </row>
    <row r="2734" ht="18.75" customHeight="1">
      <c r="A2734" s="151" t="s">
        <v>10744</v>
      </c>
      <c r="B2734" s="19" t="s">
        <v>10745</v>
      </c>
      <c r="C2734" s="20">
        <v>0.0</v>
      </c>
      <c r="D2734" s="135" t="s">
        <v>10746</v>
      </c>
      <c r="E2734" s="27" t="s">
        <v>338</v>
      </c>
      <c r="F2734" s="18" t="s">
        <v>33</v>
      </c>
      <c r="G2734" s="32" t="s">
        <v>35</v>
      </c>
      <c r="H2734" s="23" t="s">
        <v>35</v>
      </c>
      <c r="I2734" s="37" t="s">
        <v>36</v>
      </c>
      <c r="J2734" s="25" t="s">
        <v>49</v>
      </c>
      <c r="K2734" s="26" t="s">
        <v>38</v>
      </c>
      <c r="L2734" s="25">
        <v>11889.0</v>
      </c>
      <c r="M2734" s="27" t="s">
        <v>50</v>
      </c>
      <c r="N2734" s="26" t="s">
        <v>5936</v>
      </c>
      <c r="O2734" s="28">
        <v>45602.704133182866</v>
      </c>
      <c r="P2734" s="35" t="s">
        <v>10747</v>
      </c>
      <c r="Q2734" s="11" t="s">
        <v>67</v>
      </c>
      <c r="R2734" s="11" t="s">
        <v>67</v>
      </c>
      <c r="S2734" s="11"/>
      <c r="T2734" s="29">
        <v>45589.37239603009</v>
      </c>
      <c r="U2734" s="29">
        <v>45590.45591609954</v>
      </c>
      <c r="V2734" s="29"/>
      <c r="W2734" s="30"/>
      <c r="X2734" s="30"/>
      <c r="Y2734" s="31"/>
      <c r="Z2734" s="31"/>
      <c r="AA2734" s="31" t="s">
        <v>108</v>
      </c>
      <c r="AB2734" s="31" t="s">
        <v>10748</v>
      </c>
      <c r="AC2734" s="31"/>
    </row>
    <row r="2735" ht="18.75" customHeight="1">
      <c r="A2735" s="142" t="s">
        <v>10749</v>
      </c>
      <c r="B2735" s="19" t="s">
        <v>1345</v>
      </c>
      <c r="C2735" s="20">
        <v>11.0</v>
      </c>
      <c r="D2735" s="21" t="s">
        <v>10750</v>
      </c>
      <c r="E2735" s="27" t="s">
        <v>112</v>
      </c>
      <c r="F2735" s="18" t="s">
        <v>48</v>
      </c>
      <c r="G2735" s="32" t="s">
        <v>35</v>
      </c>
      <c r="H2735" s="23" t="s">
        <v>35</v>
      </c>
      <c r="I2735" s="37" t="s">
        <v>36</v>
      </c>
      <c r="J2735" s="25" t="s">
        <v>420</v>
      </c>
      <c r="K2735" s="26" t="s">
        <v>38</v>
      </c>
      <c r="L2735" s="25">
        <v>11793.0</v>
      </c>
      <c r="M2735" s="27" t="s">
        <v>50</v>
      </c>
      <c r="N2735" s="26" t="s">
        <v>51</v>
      </c>
      <c r="O2735" s="28">
        <v>45589.68361101852</v>
      </c>
      <c r="P2735" s="26" t="s">
        <v>10751</v>
      </c>
      <c r="Q2735" s="11" t="s">
        <v>67</v>
      </c>
      <c r="R2735" s="11" t="s">
        <v>67</v>
      </c>
      <c r="S2735" s="11"/>
      <c r="T2735" s="29">
        <v>45589.68361101852</v>
      </c>
      <c r="U2735" s="29">
        <v>45589.68361101852</v>
      </c>
      <c r="V2735" s="29">
        <v>45589.68361101852</v>
      </c>
      <c r="W2735" s="30"/>
      <c r="X2735" s="30"/>
      <c r="Y2735" s="31"/>
      <c r="Z2735" s="31"/>
      <c r="AA2735" s="31" t="s">
        <v>94</v>
      </c>
      <c r="AB2735" s="31" t="s">
        <v>10752</v>
      </c>
      <c r="AC2735" s="31"/>
    </row>
    <row r="2736" ht="18.75" customHeight="1">
      <c r="A2736" s="142" t="s">
        <v>10753</v>
      </c>
      <c r="B2736" s="19" t="s">
        <v>10396</v>
      </c>
      <c r="C2736" s="20">
        <v>27.0</v>
      </c>
      <c r="D2736" s="39" t="s">
        <v>10754</v>
      </c>
      <c r="E2736" s="27" t="s">
        <v>72</v>
      </c>
      <c r="F2736" s="18" t="s">
        <v>48</v>
      </c>
      <c r="G2736" s="32" t="s">
        <v>35</v>
      </c>
      <c r="H2736" s="23" t="s">
        <v>35</v>
      </c>
      <c r="I2736" s="37" t="s">
        <v>36</v>
      </c>
      <c r="J2736" s="25" t="s">
        <v>339</v>
      </c>
      <c r="K2736" s="26" t="s">
        <v>38</v>
      </c>
      <c r="L2736" s="25">
        <v>11855.0</v>
      </c>
      <c r="M2736" s="27" t="s">
        <v>50</v>
      </c>
      <c r="N2736" s="26" t="s">
        <v>2147</v>
      </c>
      <c r="O2736" s="28">
        <v>45595.65428916666</v>
      </c>
      <c r="P2736" s="26" t="s">
        <v>10755</v>
      </c>
      <c r="Q2736" s="11" t="s">
        <v>67</v>
      </c>
      <c r="R2736" s="11" t="s">
        <v>67</v>
      </c>
      <c r="S2736" s="11" t="s">
        <v>50</v>
      </c>
      <c r="T2736" s="29">
        <v>45593.36119895833</v>
      </c>
      <c r="U2736" s="29">
        <v>45593.65707505787</v>
      </c>
      <c r="V2736" s="29">
        <v>45594.425800937504</v>
      </c>
      <c r="W2736" s="38"/>
      <c r="X2736" s="30"/>
      <c r="Y2736" s="31"/>
      <c r="Z2736" s="31"/>
      <c r="AA2736" s="31" t="s">
        <v>94</v>
      </c>
      <c r="AB2736" s="31" t="s">
        <v>10756</v>
      </c>
      <c r="AC2736" s="31"/>
    </row>
    <row r="2737" ht="18.75" customHeight="1">
      <c r="A2737" s="142" t="s">
        <v>10757</v>
      </c>
      <c r="B2737" s="19" t="s">
        <v>5625</v>
      </c>
      <c r="C2737" s="20">
        <v>0.0</v>
      </c>
      <c r="D2737" s="21" t="s">
        <v>396</v>
      </c>
      <c r="E2737" s="22" t="s">
        <v>98</v>
      </c>
      <c r="F2737" s="18" t="s">
        <v>33</v>
      </c>
      <c r="G2737" s="32" t="s">
        <v>35</v>
      </c>
      <c r="H2737" s="23" t="s">
        <v>35</v>
      </c>
      <c r="I2737" s="37" t="s">
        <v>36</v>
      </c>
      <c r="J2737" s="25" t="s">
        <v>49</v>
      </c>
      <c r="K2737" s="26" t="s">
        <v>447</v>
      </c>
      <c r="L2737" s="25">
        <v>11876.0</v>
      </c>
      <c r="M2737" s="27" t="s">
        <v>50</v>
      </c>
      <c r="N2737" s="26" t="s">
        <v>5936</v>
      </c>
      <c r="O2737" s="28">
        <v>45596.57791309028</v>
      </c>
      <c r="P2737" s="26" t="s">
        <v>10758</v>
      </c>
      <c r="Q2737" s="11" t="s">
        <v>67</v>
      </c>
      <c r="R2737" s="11" t="s">
        <v>67</v>
      </c>
      <c r="S2737" s="11" t="s">
        <v>101</v>
      </c>
      <c r="T2737" s="29">
        <v>45590.3675544213</v>
      </c>
      <c r="U2737" s="29">
        <v>45590.39376314815</v>
      </c>
      <c r="V2737" s="29">
        <v>45594.573051203704</v>
      </c>
      <c r="W2737" s="38"/>
      <c r="X2737" s="30"/>
      <c r="Y2737" s="31"/>
      <c r="Z2737" s="31"/>
      <c r="AA2737" s="31" t="s">
        <v>108</v>
      </c>
      <c r="AB2737" s="31" t="s">
        <v>10759</v>
      </c>
      <c r="AC2737" s="31"/>
    </row>
    <row r="2738" ht="18.75" customHeight="1">
      <c r="A2738" s="142" t="s">
        <v>10760</v>
      </c>
      <c r="B2738" s="19" t="s">
        <v>10396</v>
      </c>
      <c r="C2738" s="20">
        <v>90.0</v>
      </c>
      <c r="D2738" s="21" t="s">
        <v>10761</v>
      </c>
      <c r="E2738" s="27" t="s">
        <v>91</v>
      </c>
      <c r="F2738" s="18" t="s">
        <v>48</v>
      </c>
      <c r="G2738" s="32" t="s">
        <v>35</v>
      </c>
      <c r="H2738" s="23" t="s">
        <v>35</v>
      </c>
      <c r="I2738" s="37" t="s">
        <v>36</v>
      </c>
      <c r="J2738" s="25" t="s">
        <v>339</v>
      </c>
      <c r="K2738" s="26" t="s">
        <v>38</v>
      </c>
      <c r="L2738" s="25">
        <v>11854.0</v>
      </c>
      <c r="M2738" s="27" t="s">
        <v>50</v>
      </c>
      <c r="N2738" s="26" t="s">
        <v>2147</v>
      </c>
      <c r="O2738" s="28">
        <v>45595.65438761574</v>
      </c>
      <c r="P2738" s="26" t="s">
        <v>10762</v>
      </c>
      <c r="Q2738" s="11" t="s">
        <v>67</v>
      </c>
      <c r="R2738" s="11" t="s">
        <v>67</v>
      </c>
      <c r="S2738" s="11" t="s">
        <v>50</v>
      </c>
      <c r="T2738" s="29">
        <v>45593.36111706018</v>
      </c>
      <c r="U2738" s="29">
        <v>45593.36171841435</v>
      </c>
      <c r="V2738" s="29">
        <v>45594.42126739583</v>
      </c>
      <c r="W2738" s="38"/>
      <c r="X2738" s="30"/>
      <c r="Y2738" s="31"/>
      <c r="Z2738" s="31"/>
      <c r="AA2738" s="31" t="s">
        <v>94</v>
      </c>
      <c r="AB2738" s="31" t="s">
        <v>10763</v>
      </c>
      <c r="AC2738" s="31"/>
    </row>
    <row r="2739" ht="18.75" customHeight="1">
      <c r="A2739" s="18" t="s">
        <v>10764</v>
      </c>
      <c r="B2739" s="19" t="s">
        <v>8426</v>
      </c>
      <c r="C2739" s="20">
        <v>0.0</v>
      </c>
      <c r="D2739" s="21" t="s">
        <v>10765</v>
      </c>
      <c r="E2739" s="27" t="s">
        <v>506</v>
      </c>
      <c r="F2739" s="18" t="s">
        <v>33</v>
      </c>
      <c r="G2739" s="18" t="s">
        <v>34</v>
      </c>
      <c r="H2739" s="23" t="s">
        <v>35</v>
      </c>
      <c r="I2739" s="37" t="s">
        <v>36</v>
      </c>
      <c r="J2739" s="25" t="s">
        <v>49</v>
      </c>
      <c r="K2739" s="26" t="s">
        <v>38</v>
      </c>
      <c r="L2739" s="25">
        <v>11885.0</v>
      </c>
      <c r="M2739" s="27" t="s">
        <v>50</v>
      </c>
      <c r="N2739" s="26" t="s">
        <v>99</v>
      </c>
      <c r="O2739" s="28">
        <v>45597.61411033565</v>
      </c>
      <c r="P2739" s="26" t="s">
        <v>10766</v>
      </c>
      <c r="Q2739" s="11" t="s">
        <v>67</v>
      </c>
      <c r="R2739" s="11" t="s">
        <v>67</v>
      </c>
      <c r="S2739" s="11" t="s">
        <v>101</v>
      </c>
      <c r="T2739" s="29">
        <v>45590.369785682866</v>
      </c>
      <c r="U2739" s="29">
        <v>45590.39144827546</v>
      </c>
      <c r="V2739" s="29">
        <v>45596.45466903935</v>
      </c>
      <c r="W2739" s="38"/>
      <c r="X2739" s="30"/>
      <c r="Y2739" s="31"/>
      <c r="Z2739" s="31"/>
      <c r="AA2739" s="31" t="s">
        <v>102</v>
      </c>
      <c r="AB2739" s="31" t="s">
        <v>10767</v>
      </c>
      <c r="AC2739" s="31"/>
    </row>
    <row r="2740" ht="18.75" customHeight="1">
      <c r="A2740" s="18" t="s">
        <v>10768</v>
      </c>
      <c r="B2740" s="19" t="s">
        <v>8426</v>
      </c>
      <c r="C2740" s="20">
        <v>0.0</v>
      </c>
      <c r="D2740" s="21" t="s">
        <v>10769</v>
      </c>
      <c r="E2740" s="27" t="s">
        <v>165</v>
      </c>
      <c r="F2740" s="18" t="s">
        <v>33</v>
      </c>
      <c r="G2740" s="18" t="s">
        <v>34</v>
      </c>
      <c r="H2740" s="23" t="s">
        <v>35</v>
      </c>
      <c r="I2740" s="37" t="s">
        <v>36</v>
      </c>
      <c r="J2740" s="25" t="s">
        <v>49</v>
      </c>
      <c r="K2740" s="26" t="s">
        <v>38</v>
      </c>
      <c r="L2740" s="25">
        <v>11885.0</v>
      </c>
      <c r="M2740" s="27" t="s">
        <v>50</v>
      </c>
      <c r="N2740" s="26" t="s">
        <v>99</v>
      </c>
      <c r="O2740" s="28">
        <v>45597.614180370365</v>
      </c>
      <c r="P2740" s="26" t="s">
        <v>10766</v>
      </c>
      <c r="Q2740" s="11" t="s">
        <v>67</v>
      </c>
      <c r="R2740" s="11" t="s">
        <v>67</v>
      </c>
      <c r="S2740" s="11" t="s">
        <v>101</v>
      </c>
      <c r="T2740" s="29">
        <v>45590.369983321754</v>
      </c>
      <c r="U2740" s="29">
        <v>45590.391483009254</v>
      </c>
      <c r="V2740" s="29">
        <v>45596.45471881944</v>
      </c>
      <c r="W2740" s="38"/>
      <c r="X2740" s="30"/>
      <c r="Y2740" s="31"/>
      <c r="Z2740" s="31"/>
      <c r="AA2740" s="31" t="s">
        <v>102</v>
      </c>
      <c r="AB2740" s="31" t="s">
        <v>10770</v>
      </c>
      <c r="AC2740" s="31"/>
    </row>
    <row r="2741" ht="18.75" customHeight="1">
      <c r="A2741" s="18" t="s">
        <v>10771</v>
      </c>
      <c r="B2741" s="19" t="s">
        <v>8426</v>
      </c>
      <c r="C2741" s="20">
        <v>0.0</v>
      </c>
      <c r="D2741" s="21" t="s">
        <v>10772</v>
      </c>
      <c r="E2741" s="27" t="s">
        <v>165</v>
      </c>
      <c r="F2741" s="18" t="s">
        <v>33</v>
      </c>
      <c r="G2741" s="18" t="s">
        <v>34</v>
      </c>
      <c r="H2741" s="23" t="s">
        <v>35</v>
      </c>
      <c r="I2741" s="37" t="s">
        <v>36</v>
      </c>
      <c r="J2741" s="25" t="s">
        <v>49</v>
      </c>
      <c r="K2741" s="26" t="s">
        <v>38</v>
      </c>
      <c r="L2741" s="25">
        <v>11885.0</v>
      </c>
      <c r="M2741" s="27" t="s">
        <v>50</v>
      </c>
      <c r="N2741" s="26" t="s">
        <v>99</v>
      </c>
      <c r="O2741" s="28">
        <v>45597.61425262732</v>
      </c>
      <c r="P2741" s="26" t="s">
        <v>10766</v>
      </c>
      <c r="Q2741" s="11" t="s">
        <v>67</v>
      </c>
      <c r="R2741" s="11" t="s">
        <v>67</v>
      </c>
      <c r="S2741" s="11" t="s">
        <v>101</v>
      </c>
      <c r="T2741" s="29">
        <v>45590.3701222338</v>
      </c>
      <c r="U2741" s="29">
        <v>45590.391487430556</v>
      </c>
      <c r="V2741" s="29">
        <v>45596.45465346065</v>
      </c>
      <c r="W2741" s="38"/>
      <c r="X2741" s="30"/>
      <c r="Y2741" s="31"/>
      <c r="Z2741" s="31"/>
      <c r="AA2741" s="31" t="s">
        <v>102</v>
      </c>
      <c r="AB2741" s="31" t="s">
        <v>10773</v>
      </c>
      <c r="AC2741" s="31"/>
    </row>
    <row r="2742" ht="18.75" customHeight="1">
      <c r="A2742" s="142" t="s">
        <v>10774</v>
      </c>
      <c r="B2742" s="19" t="s">
        <v>7945</v>
      </c>
      <c r="C2742" s="20">
        <v>0.0</v>
      </c>
      <c r="D2742" s="21" t="s">
        <v>405</v>
      </c>
      <c r="E2742" s="27" t="s">
        <v>79</v>
      </c>
      <c r="F2742" s="18" t="s">
        <v>33</v>
      </c>
      <c r="G2742" s="32" t="s">
        <v>35</v>
      </c>
      <c r="H2742" s="23" t="s">
        <v>35</v>
      </c>
      <c r="I2742" s="37" t="s">
        <v>36</v>
      </c>
      <c r="J2742" s="25" t="s">
        <v>49</v>
      </c>
      <c r="K2742" s="26" t="s">
        <v>447</v>
      </c>
      <c r="L2742" s="25">
        <v>11859.0</v>
      </c>
      <c r="M2742" s="27" t="s">
        <v>50</v>
      </c>
      <c r="N2742" s="26" t="s">
        <v>99</v>
      </c>
      <c r="O2742" s="28">
        <v>45594.59774511574</v>
      </c>
      <c r="P2742" s="26" t="s">
        <v>10775</v>
      </c>
      <c r="Q2742" s="11" t="s">
        <v>67</v>
      </c>
      <c r="R2742" s="11" t="s">
        <v>67</v>
      </c>
      <c r="S2742" s="11"/>
      <c r="T2742" s="29">
        <v>45590.37138490741</v>
      </c>
      <c r="U2742" s="29">
        <v>45590.580916493054</v>
      </c>
      <c r="V2742" s="29"/>
      <c r="W2742" s="30"/>
      <c r="X2742" s="30"/>
      <c r="Y2742" s="31"/>
      <c r="Z2742" s="31"/>
      <c r="AA2742" s="31" t="s">
        <v>108</v>
      </c>
      <c r="AB2742" s="31" t="s">
        <v>10776</v>
      </c>
      <c r="AC2742" s="31"/>
    </row>
    <row r="2743" ht="18.75" customHeight="1">
      <c r="A2743" s="18" t="s">
        <v>10777</v>
      </c>
      <c r="B2743" s="19" t="s">
        <v>9101</v>
      </c>
      <c r="C2743" s="20">
        <v>1.0</v>
      </c>
      <c r="D2743" s="21" t="s">
        <v>10778</v>
      </c>
      <c r="E2743" s="27" t="s">
        <v>3395</v>
      </c>
      <c r="F2743" s="18" t="s">
        <v>48</v>
      </c>
      <c r="G2743" s="32" t="s">
        <v>35</v>
      </c>
      <c r="H2743" s="23" t="s">
        <v>35</v>
      </c>
      <c r="I2743" s="37" t="s">
        <v>36</v>
      </c>
      <c r="J2743" s="34" t="s">
        <v>65</v>
      </c>
      <c r="K2743" s="26" t="s">
        <v>38</v>
      </c>
      <c r="L2743" s="25">
        <v>11839.0</v>
      </c>
      <c r="M2743" s="27" t="s">
        <v>50</v>
      </c>
      <c r="N2743" s="26" t="s">
        <v>5279</v>
      </c>
      <c r="O2743" s="28">
        <v>45593.62534501158</v>
      </c>
      <c r="P2743" s="26" t="s">
        <v>10779</v>
      </c>
      <c r="Q2743" s="11" t="s">
        <v>67</v>
      </c>
      <c r="R2743" s="11" t="s">
        <v>67</v>
      </c>
      <c r="S2743" s="11" t="s">
        <v>50</v>
      </c>
      <c r="T2743" s="29">
        <v>45590.3729305787</v>
      </c>
      <c r="U2743" s="29">
        <v>45590.457536539354</v>
      </c>
      <c r="V2743" s="29">
        <v>45593.426372291666</v>
      </c>
      <c r="W2743" s="38"/>
      <c r="X2743" s="30"/>
      <c r="Y2743" s="31"/>
      <c r="Z2743" s="31"/>
      <c r="AA2743" s="31" t="s">
        <v>94</v>
      </c>
      <c r="AB2743" s="31" t="s">
        <v>10780</v>
      </c>
      <c r="AC2743" s="31"/>
    </row>
    <row r="2744" ht="18.75" customHeight="1">
      <c r="A2744" s="18" t="s">
        <v>10781</v>
      </c>
      <c r="B2744" s="19" t="s">
        <v>9101</v>
      </c>
      <c r="C2744" s="20">
        <v>11.0</v>
      </c>
      <c r="D2744" s="21" t="s">
        <v>10782</v>
      </c>
      <c r="E2744" s="27" t="s">
        <v>112</v>
      </c>
      <c r="F2744" s="18" t="s">
        <v>48</v>
      </c>
      <c r="G2744" s="32" t="s">
        <v>35</v>
      </c>
      <c r="H2744" s="23" t="s">
        <v>35</v>
      </c>
      <c r="I2744" s="37" t="s">
        <v>36</v>
      </c>
      <c r="J2744" s="34" t="s">
        <v>65</v>
      </c>
      <c r="K2744" s="26" t="s">
        <v>38</v>
      </c>
      <c r="L2744" s="25">
        <v>11839.0</v>
      </c>
      <c r="M2744" s="27" t="s">
        <v>50</v>
      </c>
      <c r="N2744" s="26" t="s">
        <v>5279</v>
      </c>
      <c r="O2744" s="28">
        <v>45593.6254314699</v>
      </c>
      <c r="P2744" s="26" t="s">
        <v>10779</v>
      </c>
      <c r="Q2744" s="11" t="s">
        <v>67</v>
      </c>
      <c r="R2744" s="11" t="s">
        <v>67</v>
      </c>
      <c r="S2744" s="11" t="s">
        <v>50</v>
      </c>
      <c r="T2744" s="29">
        <v>45590.3731518287</v>
      </c>
      <c r="U2744" s="29">
        <v>45590.45761136574</v>
      </c>
      <c r="V2744" s="29">
        <v>45593.42638806713</v>
      </c>
      <c r="W2744" s="38"/>
      <c r="X2744" s="30"/>
      <c r="Y2744" s="31"/>
      <c r="Z2744" s="31"/>
      <c r="AA2744" s="31" t="s">
        <v>94</v>
      </c>
      <c r="AB2744" s="31" t="s">
        <v>10783</v>
      </c>
      <c r="AC2744" s="31"/>
    </row>
    <row r="2745" ht="18.75" customHeight="1">
      <c r="A2745" s="18" t="s">
        <v>10784</v>
      </c>
      <c r="B2745" s="19" t="s">
        <v>10785</v>
      </c>
      <c r="C2745" s="20">
        <v>0.0</v>
      </c>
      <c r="D2745" s="21" t="s">
        <v>10786</v>
      </c>
      <c r="E2745" s="27" t="s">
        <v>713</v>
      </c>
      <c r="F2745" s="18" t="s">
        <v>33</v>
      </c>
      <c r="G2745" s="32" t="s">
        <v>35</v>
      </c>
      <c r="H2745" s="23" t="s">
        <v>35</v>
      </c>
      <c r="I2745" s="37" t="s">
        <v>36</v>
      </c>
      <c r="J2745" s="25" t="s">
        <v>92</v>
      </c>
      <c r="K2745" s="26" t="s">
        <v>38</v>
      </c>
      <c r="L2745" s="25">
        <v>11883.0</v>
      </c>
      <c r="M2745" s="27" t="s">
        <v>50</v>
      </c>
      <c r="N2745" s="26" t="s">
        <v>10787</v>
      </c>
      <c r="O2745" s="28">
        <v>45631.364659108796</v>
      </c>
      <c r="P2745" s="26" t="s">
        <v>10788</v>
      </c>
      <c r="Q2745" s="11" t="s">
        <v>67</v>
      </c>
      <c r="R2745" s="11" t="s">
        <v>67</v>
      </c>
      <c r="S2745" s="11" t="s">
        <v>101</v>
      </c>
      <c r="T2745" s="29">
        <v>45590.375153807865</v>
      </c>
      <c r="U2745" s="29">
        <v>45590.45799953704</v>
      </c>
      <c r="V2745" s="29">
        <v>45596.49566178241</v>
      </c>
      <c r="W2745" s="38"/>
      <c r="X2745" s="30"/>
      <c r="Y2745" s="31"/>
      <c r="Z2745" s="31"/>
      <c r="AA2745" s="31" t="s">
        <v>120</v>
      </c>
      <c r="AB2745" s="31" t="s">
        <v>10789</v>
      </c>
      <c r="AC2745" s="31"/>
    </row>
    <row r="2746" ht="19.5" customHeight="1">
      <c r="A2746" s="18" t="s">
        <v>10790</v>
      </c>
      <c r="B2746" s="19" t="s">
        <v>10785</v>
      </c>
      <c r="C2746" s="20">
        <v>0.0</v>
      </c>
      <c r="D2746" s="21" t="s">
        <v>400</v>
      </c>
      <c r="E2746" s="27" t="s">
        <v>713</v>
      </c>
      <c r="F2746" s="18" t="s">
        <v>33</v>
      </c>
      <c r="G2746" s="32" t="s">
        <v>35</v>
      </c>
      <c r="H2746" s="23" t="s">
        <v>35</v>
      </c>
      <c r="I2746" s="37" t="s">
        <v>36</v>
      </c>
      <c r="J2746" s="25" t="s">
        <v>92</v>
      </c>
      <c r="K2746" s="26" t="s">
        <v>38</v>
      </c>
      <c r="L2746" s="25">
        <v>11883.0</v>
      </c>
      <c r="M2746" s="27" t="s">
        <v>50</v>
      </c>
      <c r="N2746" s="26" t="s">
        <v>10787</v>
      </c>
      <c r="O2746" s="28">
        <v>45631.364745</v>
      </c>
      <c r="P2746" s="26" t="s">
        <v>10788</v>
      </c>
      <c r="Q2746" s="11" t="s">
        <v>67</v>
      </c>
      <c r="R2746" s="11" t="s">
        <v>67</v>
      </c>
      <c r="S2746" s="11" t="s">
        <v>101</v>
      </c>
      <c r="T2746" s="29">
        <v>45590.37526931713</v>
      </c>
      <c r="U2746" s="29">
        <v>45590.458042858794</v>
      </c>
      <c r="V2746" s="29">
        <v>45596.56144133102</v>
      </c>
      <c r="W2746" s="38"/>
      <c r="X2746" s="30"/>
      <c r="Y2746" s="31"/>
      <c r="Z2746" s="31"/>
      <c r="AA2746" s="31" t="s">
        <v>120</v>
      </c>
      <c r="AB2746" s="31" t="s">
        <v>10791</v>
      </c>
      <c r="AC2746" s="31"/>
    </row>
    <row r="2747" ht="18.75" customHeight="1">
      <c r="A2747" s="142" t="s">
        <v>10792</v>
      </c>
      <c r="B2747" s="19" t="s">
        <v>4352</v>
      </c>
      <c r="C2747" s="20">
        <v>11.0</v>
      </c>
      <c r="D2747" s="21" t="s">
        <v>10793</v>
      </c>
      <c r="E2747" s="27" t="s">
        <v>112</v>
      </c>
      <c r="F2747" s="18" t="s">
        <v>48</v>
      </c>
      <c r="G2747" s="32" t="s">
        <v>35</v>
      </c>
      <c r="H2747" s="23" t="s">
        <v>35</v>
      </c>
      <c r="I2747" s="37" t="s">
        <v>36</v>
      </c>
      <c r="J2747" s="25" t="s">
        <v>49</v>
      </c>
      <c r="K2747" s="26" t="s">
        <v>38</v>
      </c>
      <c r="L2747" s="25">
        <v>11838.0</v>
      </c>
      <c r="M2747" s="27" t="s">
        <v>50</v>
      </c>
      <c r="N2747" s="26" t="s">
        <v>106</v>
      </c>
      <c r="O2747" s="28">
        <v>45593.65095252315</v>
      </c>
      <c r="P2747" s="26" t="s">
        <v>10794</v>
      </c>
      <c r="Q2747" s="11" t="s">
        <v>67</v>
      </c>
      <c r="R2747" s="11" t="s">
        <v>67</v>
      </c>
      <c r="S2747" s="11" t="s">
        <v>50</v>
      </c>
      <c r="T2747" s="29">
        <v>45590.71851561342</v>
      </c>
      <c r="U2747" s="29">
        <v>45590.71852023149</v>
      </c>
      <c r="V2747" s="29">
        <v>45593.42678135417</v>
      </c>
      <c r="W2747" s="38"/>
      <c r="X2747" s="30"/>
      <c r="Y2747" s="31"/>
      <c r="Z2747" s="31"/>
      <c r="AA2747" s="31" t="s">
        <v>127</v>
      </c>
      <c r="AB2747" s="31" t="s">
        <v>10795</v>
      </c>
      <c r="AC2747" s="31"/>
    </row>
    <row r="2748" ht="18.75" customHeight="1">
      <c r="A2748" s="18" t="s">
        <v>10796</v>
      </c>
      <c r="B2748" s="19" t="s">
        <v>5047</v>
      </c>
      <c r="C2748" s="20">
        <v>27.0</v>
      </c>
      <c r="D2748" s="39" t="s">
        <v>10797</v>
      </c>
      <c r="E2748" s="27" t="s">
        <v>72</v>
      </c>
      <c r="F2748" s="18" t="s">
        <v>48</v>
      </c>
      <c r="G2748" s="32" t="s">
        <v>35</v>
      </c>
      <c r="H2748" s="23" t="s">
        <v>35</v>
      </c>
      <c r="I2748" s="37" t="s">
        <v>36</v>
      </c>
      <c r="J2748" s="25" t="s">
        <v>37</v>
      </c>
      <c r="K2748" s="26" t="s">
        <v>38</v>
      </c>
      <c r="L2748" s="25">
        <v>11853.0</v>
      </c>
      <c r="M2748" s="27" t="s">
        <v>50</v>
      </c>
      <c r="N2748" s="26" t="s">
        <v>41</v>
      </c>
      <c r="O2748" s="28">
        <v>45594.60969510417</v>
      </c>
      <c r="P2748" s="26" t="s">
        <v>10798</v>
      </c>
      <c r="Q2748" s="11" t="s">
        <v>67</v>
      </c>
      <c r="R2748" s="11" t="s">
        <v>67</v>
      </c>
      <c r="S2748" s="11" t="s">
        <v>50</v>
      </c>
      <c r="T2748" s="29">
        <v>45590.694969178236</v>
      </c>
      <c r="U2748" s="29">
        <v>45593.4000442824</v>
      </c>
      <c r="V2748" s="29">
        <v>45594.42543349537</v>
      </c>
      <c r="W2748" s="38"/>
      <c r="X2748" s="30"/>
      <c r="Y2748" s="31"/>
      <c r="Z2748" s="31"/>
      <c r="AA2748" s="31" t="s">
        <v>120</v>
      </c>
      <c r="AB2748" s="31" t="s">
        <v>10799</v>
      </c>
      <c r="AC2748" s="31"/>
    </row>
    <row r="2749" ht="18.75" customHeight="1">
      <c r="A2749" s="18" t="s">
        <v>10800</v>
      </c>
      <c r="B2749" s="19" t="s">
        <v>5047</v>
      </c>
      <c r="C2749" s="20">
        <v>27.0</v>
      </c>
      <c r="D2749" s="39" t="s">
        <v>10801</v>
      </c>
      <c r="E2749" s="27" t="s">
        <v>72</v>
      </c>
      <c r="F2749" s="18" t="s">
        <v>48</v>
      </c>
      <c r="G2749" s="32" t="s">
        <v>35</v>
      </c>
      <c r="H2749" s="23" t="s">
        <v>35</v>
      </c>
      <c r="I2749" s="37" t="s">
        <v>36</v>
      </c>
      <c r="J2749" s="25" t="s">
        <v>37</v>
      </c>
      <c r="K2749" s="26" t="s">
        <v>38</v>
      </c>
      <c r="L2749" s="25">
        <v>11853.0</v>
      </c>
      <c r="M2749" s="27" t="s">
        <v>50</v>
      </c>
      <c r="N2749" s="26" t="s">
        <v>41</v>
      </c>
      <c r="O2749" s="28">
        <v>45594.609780520834</v>
      </c>
      <c r="P2749" s="26" t="s">
        <v>10798</v>
      </c>
      <c r="Q2749" s="11" t="s">
        <v>67</v>
      </c>
      <c r="R2749" s="11" t="s">
        <v>67</v>
      </c>
      <c r="S2749" s="11" t="s">
        <v>50</v>
      </c>
      <c r="T2749" s="29">
        <v>45590.69508880787</v>
      </c>
      <c r="U2749" s="29">
        <v>45593.40007708334</v>
      </c>
      <c r="V2749" s="29">
        <v>45594.42544284722</v>
      </c>
      <c r="W2749" s="38"/>
      <c r="X2749" s="30"/>
      <c r="Y2749" s="31"/>
      <c r="Z2749" s="31"/>
      <c r="AA2749" s="31" t="s">
        <v>120</v>
      </c>
      <c r="AB2749" s="31" t="s">
        <v>10802</v>
      </c>
      <c r="AC2749" s="31"/>
    </row>
    <row r="2750" ht="18.75" customHeight="1">
      <c r="A2750" s="18" t="s">
        <v>10803</v>
      </c>
      <c r="B2750" s="19" t="s">
        <v>5047</v>
      </c>
      <c r="C2750" s="20">
        <v>90.0</v>
      </c>
      <c r="D2750" s="21" t="s">
        <v>10804</v>
      </c>
      <c r="E2750" s="27" t="s">
        <v>91</v>
      </c>
      <c r="F2750" s="18" t="s">
        <v>48</v>
      </c>
      <c r="G2750" s="32" t="s">
        <v>35</v>
      </c>
      <c r="H2750" s="23" t="s">
        <v>35</v>
      </c>
      <c r="I2750" s="37" t="s">
        <v>36</v>
      </c>
      <c r="J2750" s="25" t="s">
        <v>37</v>
      </c>
      <c r="K2750" s="26" t="s">
        <v>38</v>
      </c>
      <c r="L2750" s="25">
        <v>11853.0</v>
      </c>
      <c r="M2750" s="27" t="s">
        <v>50</v>
      </c>
      <c r="N2750" s="26" t="s">
        <v>41</v>
      </c>
      <c r="O2750" s="28">
        <v>45594.60988502315</v>
      </c>
      <c r="P2750" s="26" t="s">
        <v>10798</v>
      </c>
      <c r="Q2750" s="11" t="s">
        <v>67</v>
      </c>
      <c r="R2750" s="11" t="s">
        <v>67</v>
      </c>
      <c r="S2750" s="11" t="s">
        <v>50</v>
      </c>
      <c r="T2750" s="29">
        <v>45590.69523865741</v>
      </c>
      <c r="U2750" s="29">
        <v>45593.40008190973</v>
      </c>
      <c r="V2750" s="29">
        <v>45594.41799775463</v>
      </c>
      <c r="W2750" s="38"/>
      <c r="X2750" s="30"/>
      <c r="Y2750" s="31"/>
      <c r="Z2750" s="31"/>
      <c r="AA2750" s="31" t="s">
        <v>120</v>
      </c>
      <c r="AB2750" s="31" t="s">
        <v>10805</v>
      </c>
      <c r="AC2750" s="31"/>
    </row>
    <row r="2751" ht="18.75" customHeight="1">
      <c r="A2751" s="32" t="s">
        <v>10806</v>
      </c>
      <c r="B2751" s="19" t="s">
        <v>8743</v>
      </c>
      <c r="C2751" s="20">
        <v>90.0</v>
      </c>
      <c r="D2751" s="21" t="s">
        <v>10807</v>
      </c>
      <c r="E2751" s="27" t="s">
        <v>91</v>
      </c>
      <c r="F2751" s="18" t="s">
        <v>48</v>
      </c>
      <c r="G2751" s="32" t="s">
        <v>35</v>
      </c>
      <c r="H2751" s="23" t="s">
        <v>35</v>
      </c>
      <c r="I2751" s="37" t="s">
        <v>36</v>
      </c>
      <c r="J2751" s="34" t="s">
        <v>9338</v>
      </c>
      <c r="K2751" s="26" t="s">
        <v>38</v>
      </c>
      <c r="L2751" s="25">
        <v>11860.0</v>
      </c>
      <c r="M2751" s="27" t="s">
        <v>50</v>
      </c>
      <c r="N2751" s="26" t="s">
        <v>9389</v>
      </c>
      <c r="O2751" s="28">
        <v>45596.65998081019</v>
      </c>
      <c r="P2751" s="26" t="s">
        <v>10808</v>
      </c>
      <c r="Q2751" s="11" t="s">
        <v>67</v>
      </c>
      <c r="R2751" s="11" t="s">
        <v>67</v>
      </c>
      <c r="S2751" s="11" t="s">
        <v>50</v>
      </c>
      <c r="T2751" s="29">
        <v>45594.570068217596</v>
      </c>
      <c r="U2751" s="29">
        <v>45594.57018895833</v>
      </c>
      <c r="V2751" s="29">
        <v>45594.580128078705</v>
      </c>
      <c r="W2751" s="38"/>
      <c r="X2751" s="30"/>
      <c r="Y2751" s="31"/>
      <c r="Z2751" s="31"/>
      <c r="AA2751" s="31" t="s">
        <v>3059</v>
      </c>
      <c r="AB2751" s="31" t="s">
        <v>10809</v>
      </c>
      <c r="AC2751" s="31"/>
    </row>
    <row r="2752" ht="18.75" customHeight="1">
      <c r="A2752" s="32" t="s">
        <v>10810</v>
      </c>
      <c r="B2752" s="19" t="s">
        <v>8743</v>
      </c>
      <c r="C2752" s="20">
        <v>90.0</v>
      </c>
      <c r="D2752" s="21" t="s">
        <v>10811</v>
      </c>
      <c r="E2752" s="27" t="s">
        <v>91</v>
      </c>
      <c r="F2752" s="18" t="s">
        <v>48</v>
      </c>
      <c r="G2752" s="32" t="s">
        <v>35</v>
      </c>
      <c r="H2752" s="23" t="s">
        <v>35</v>
      </c>
      <c r="I2752" s="37" t="s">
        <v>36</v>
      </c>
      <c r="J2752" s="34" t="s">
        <v>9338</v>
      </c>
      <c r="K2752" s="26" t="s">
        <v>38</v>
      </c>
      <c r="L2752" s="25">
        <v>11860.0</v>
      </c>
      <c r="M2752" s="27" t="s">
        <v>50</v>
      </c>
      <c r="N2752" s="26" t="s">
        <v>9389</v>
      </c>
      <c r="O2752" s="28">
        <v>45596.66007518518</v>
      </c>
      <c r="P2752" s="26" t="s">
        <v>10812</v>
      </c>
      <c r="Q2752" s="11" t="s">
        <v>67</v>
      </c>
      <c r="R2752" s="11" t="s">
        <v>67</v>
      </c>
      <c r="S2752" s="11" t="s">
        <v>50</v>
      </c>
      <c r="T2752" s="29">
        <v>45594.57012831018</v>
      </c>
      <c r="U2752" s="29">
        <v>45594.57022471065</v>
      </c>
      <c r="V2752" s="29">
        <v>45594.580139618054</v>
      </c>
      <c r="W2752" s="38"/>
      <c r="X2752" s="30"/>
      <c r="Y2752" s="31"/>
      <c r="Z2752" s="31"/>
      <c r="AA2752" s="31" t="s">
        <v>3059</v>
      </c>
      <c r="AB2752" s="31" t="s">
        <v>10813</v>
      </c>
      <c r="AC2752" s="31"/>
    </row>
    <row r="2753" ht="18.75" customHeight="1">
      <c r="A2753" s="32" t="s">
        <v>10814</v>
      </c>
      <c r="B2753" s="19" t="s">
        <v>8743</v>
      </c>
      <c r="C2753" s="20">
        <v>34.0</v>
      </c>
      <c r="D2753" s="21" t="s">
        <v>10815</v>
      </c>
      <c r="E2753" s="27" t="s">
        <v>47</v>
      </c>
      <c r="F2753" s="18" t="s">
        <v>48</v>
      </c>
      <c r="G2753" s="32" t="s">
        <v>35</v>
      </c>
      <c r="H2753" s="23" t="s">
        <v>35</v>
      </c>
      <c r="I2753" s="37" t="s">
        <v>36</v>
      </c>
      <c r="J2753" s="34" t="s">
        <v>9338</v>
      </c>
      <c r="K2753" s="26" t="s">
        <v>38</v>
      </c>
      <c r="L2753" s="25">
        <v>11860.0</v>
      </c>
      <c r="M2753" s="27" t="s">
        <v>50</v>
      </c>
      <c r="N2753" s="26" t="s">
        <v>9389</v>
      </c>
      <c r="O2753" s="28">
        <v>45596.65952314815</v>
      </c>
      <c r="P2753" s="26" t="s">
        <v>10812</v>
      </c>
      <c r="Q2753" s="11" t="s">
        <v>67</v>
      </c>
      <c r="R2753" s="11" t="s">
        <v>67</v>
      </c>
      <c r="S2753" s="11" t="s">
        <v>50</v>
      </c>
      <c r="T2753" s="29">
        <v>45594.57018614584</v>
      </c>
      <c r="U2753" s="29">
        <v>45594.570230729165</v>
      </c>
      <c r="V2753" s="29">
        <v>45594.58373615741</v>
      </c>
      <c r="W2753" s="38"/>
      <c r="X2753" s="30"/>
      <c r="Y2753" s="31"/>
      <c r="Z2753" s="31"/>
      <c r="AA2753" s="31" t="s">
        <v>3059</v>
      </c>
      <c r="AB2753" s="31" t="s">
        <v>10816</v>
      </c>
      <c r="AC2753" s="31"/>
    </row>
    <row r="2754" ht="18.75" customHeight="1">
      <c r="A2754" s="18" t="s">
        <v>10817</v>
      </c>
      <c r="B2754" s="19" t="s">
        <v>3323</v>
      </c>
      <c r="C2754" s="20">
        <v>34.0</v>
      </c>
      <c r="D2754" s="21" t="s">
        <v>10818</v>
      </c>
      <c r="E2754" s="27" t="s">
        <v>47</v>
      </c>
      <c r="F2754" s="18" t="s">
        <v>48</v>
      </c>
      <c r="G2754" s="32" t="s">
        <v>35</v>
      </c>
      <c r="H2754" s="23" t="s">
        <v>35</v>
      </c>
      <c r="I2754" s="37" t="s">
        <v>36</v>
      </c>
      <c r="J2754" s="34" t="s">
        <v>65</v>
      </c>
      <c r="K2754" s="26" t="s">
        <v>38</v>
      </c>
      <c r="L2754" s="25">
        <v>11837.0</v>
      </c>
      <c r="M2754" s="27" t="s">
        <v>50</v>
      </c>
      <c r="N2754" s="26" t="s">
        <v>51</v>
      </c>
      <c r="O2754" s="28">
        <v>45593.403899108795</v>
      </c>
      <c r="P2754" s="26" t="s">
        <v>10819</v>
      </c>
      <c r="Q2754" s="11" t="s">
        <v>67</v>
      </c>
      <c r="R2754" s="11" t="s">
        <v>67</v>
      </c>
      <c r="S2754" s="11"/>
      <c r="T2754" s="29">
        <v>45593.403899108795</v>
      </c>
      <c r="U2754" s="29">
        <v>45593.403899108795</v>
      </c>
      <c r="V2754" s="29">
        <v>45593.403899108795</v>
      </c>
      <c r="W2754" s="38"/>
      <c r="X2754" s="30"/>
      <c r="Y2754" s="31"/>
      <c r="Z2754" s="31"/>
      <c r="AA2754" s="31" t="s">
        <v>94</v>
      </c>
      <c r="AB2754" s="31" t="s">
        <v>10820</v>
      </c>
      <c r="AC2754" s="31"/>
    </row>
    <row r="2755" ht="18.75" customHeight="1">
      <c r="A2755" s="18" t="s">
        <v>10821</v>
      </c>
      <c r="B2755" s="19" t="s">
        <v>3323</v>
      </c>
      <c r="C2755" s="20">
        <v>34.0</v>
      </c>
      <c r="D2755" s="21" t="s">
        <v>10822</v>
      </c>
      <c r="E2755" s="27" t="s">
        <v>47</v>
      </c>
      <c r="F2755" s="18" t="s">
        <v>48</v>
      </c>
      <c r="G2755" s="32" t="s">
        <v>35</v>
      </c>
      <c r="H2755" s="23" t="s">
        <v>35</v>
      </c>
      <c r="I2755" s="37" t="s">
        <v>36</v>
      </c>
      <c r="J2755" s="34" t="s">
        <v>65</v>
      </c>
      <c r="K2755" s="26" t="s">
        <v>38</v>
      </c>
      <c r="L2755" s="25">
        <v>11837.0</v>
      </c>
      <c r="M2755" s="27" t="s">
        <v>50</v>
      </c>
      <c r="N2755" s="26" t="s">
        <v>51</v>
      </c>
      <c r="O2755" s="28">
        <v>45593.40445819445</v>
      </c>
      <c r="P2755" s="26" t="s">
        <v>10819</v>
      </c>
      <c r="Q2755" s="11" t="s">
        <v>67</v>
      </c>
      <c r="R2755" s="11" t="s">
        <v>67</v>
      </c>
      <c r="S2755" s="11"/>
      <c r="T2755" s="29">
        <v>45593.40445819445</v>
      </c>
      <c r="U2755" s="29">
        <v>45593.40445819445</v>
      </c>
      <c r="V2755" s="29">
        <v>45593.40445819445</v>
      </c>
      <c r="W2755" s="38"/>
      <c r="X2755" s="30"/>
      <c r="Y2755" s="31"/>
      <c r="Z2755" s="31"/>
      <c r="AA2755" s="31" t="s">
        <v>94</v>
      </c>
      <c r="AB2755" s="31" t="s">
        <v>10823</v>
      </c>
      <c r="AC2755" s="31"/>
    </row>
    <row r="2756" ht="18.75" customHeight="1">
      <c r="A2756" s="18" t="s">
        <v>10824</v>
      </c>
      <c r="B2756" s="19" t="s">
        <v>3323</v>
      </c>
      <c r="C2756" s="20">
        <v>34.0</v>
      </c>
      <c r="D2756" s="21" t="s">
        <v>10825</v>
      </c>
      <c r="E2756" s="27" t="s">
        <v>47</v>
      </c>
      <c r="F2756" s="18" t="s">
        <v>48</v>
      </c>
      <c r="G2756" s="32" t="s">
        <v>35</v>
      </c>
      <c r="H2756" s="23" t="s">
        <v>35</v>
      </c>
      <c r="I2756" s="37" t="s">
        <v>36</v>
      </c>
      <c r="J2756" s="34" t="s">
        <v>65</v>
      </c>
      <c r="K2756" s="26" t="s">
        <v>38</v>
      </c>
      <c r="L2756" s="25">
        <v>11837.0</v>
      </c>
      <c r="M2756" s="27" t="s">
        <v>50</v>
      </c>
      <c r="N2756" s="26" t="s">
        <v>51</v>
      </c>
      <c r="O2756" s="28">
        <v>45593.4068245949</v>
      </c>
      <c r="P2756" s="26" t="s">
        <v>10819</v>
      </c>
      <c r="Q2756" s="11" t="s">
        <v>67</v>
      </c>
      <c r="R2756" s="11" t="s">
        <v>67</v>
      </c>
      <c r="S2756" s="11"/>
      <c r="T2756" s="29">
        <v>45593.4068245949</v>
      </c>
      <c r="U2756" s="29">
        <v>45593.4068245949</v>
      </c>
      <c r="V2756" s="29">
        <v>45593.4068245949</v>
      </c>
      <c r="W2756" s="38"/>
      <c r="X2756" s="30"/>
      <c r="Y2756" s="31"/>
      <c r="Z2756" s="31"/>
      <c r="AA2756" s="31" t="s">
        <v>94</v>
      </c>
      <c r="AB2756" s="31" t="s">
        <v>10826</v>
      </c>
      <c r="AC2756" s="31"/>
    </row>
    <row r="2757" ht="18.75" customHeight="1">
      <c r="A2757" s="18" t="s">
        <v>10827</v>
      </c>
      <c r="B2757" s="19" t="s">
        <v>3323</v>
      </c>
      <c r="C2757" s="20">
        <v>34.0</v>
      </c>
      <c r="D2757" s="21" t="s">
        <v>10828</v>
      </c>
      <c r="E2757" s="27" t="s">
        <v>47</v>
      </c>
      <c r="F2757" s="18" t="s">
        <v>48</v>
      </c>
      <c r="G2757" s="32" t="s">
        <v>35</v>
      </c>
      <c r="H2757" s="23" t="s">
        <v>35</v>
      </c>
      <c r="I2757" s="37" t="s">
        <v>36</v>
      </c>
      <c r="J2757" s="34" t="s">
        <v>65</v>
      </c>
      <c r="K2757" s="26" t="s">
        <v>38</v>
      </c>
      <c r="L2757" s="25">
        <v>11837.0</v>
      </c>
      <c r="M2757" s="27" t="s">
        <v>50</v>
      </c>
      <c r="N2757" s="26" t="s">
        <v>51</v>
      </c>
      <c r="O2757" s="28">
        <v>45593.407266967595</v>
      </c>
      <c r="P2757" s="26" t="s">
        <v>10819</v>
      </c>
      <c r="Q2757" s="11" t="s">
        <v>67</v>
      </c>
      <c r="R2757" s="11" t="s">
        <v>67</v>
      </c>
      <c r="S2757" s="11"/>
      <c r="T2757" s="29">
        <v>45593.407266967595</v>
      </c>
      <c r="U2757" s="29">
        <v>45593.407266967595</v>
      </c>
      <c r="V2757" s="29">
        <v>45593.407266967595</v>
      </c>
      <c r="W2757" s="38"/>
      <c r="X2757" s="30"/>
      <c r="Y2757" s="31"/>
      <c r="Z2757" s="31"/>
      <c r="AA2757" s="31" t="s">
        <v>94</v>
      </c>
      <c r="AB2757" s="31" t="s">
        <v>10829</v>
      </c>
      <c r="AC2757" s="31"/>
    </row>
    <row r="2758" ht="18.75" customHeight="1">
      <c r="A2758" s="142" t="s">
        <v>10830</v>
      </c>
      <c r="B2758" s="19" t="s">
        <v>10831</v>
      </c>
      <c r="C2758" s="20">
        <v>1.0</v>
      </c>
      <c r="D2758" s="21" t="s">
        <v>10832</v>
      </c>
      <c r="E2758" s="27" t="s">
        <v>3395</v>
      </c>
      <c r="F2758" s="18" t="s">
        <v>48</v>
      </c>
      <c r="G2758" s="32" t="s">
        <v>35</v>
      </c>
      <c r="H2758" s="23" t="s">
        <v>35</v>
      </c>
      <c r="I2758" s="37" t="s">
        <v>36</v>
      </c>
      <c r="J2758" s="34" t="s">
        <v>37</v>
      </c>
      <c r="K2758" s="26" t="s">
        <v>38</v>
      </c>
      <c r="L2758" s="34">
        <v>12841.0</v>
      </c>
      <c r="M2758" s="27" t="s">
        <v>50</v>
      </c>
      <c r="N2758" s="26" t="s">
        <v>10833</v>
      </c>
      <c r="O2758" s="140">
        <v>45754.63125</v>
      </c>
      <c r="P2758" s="26" t="s">
        <v>10834</v>
      </c>
      <c r="Q2758" s="11" t="s">
        <v>67</v>
      </c>
      <c r="R2758" s="11" t="s">
        <v>67</v>
      </c>
      <c r="S2758" s="11" t="s">
        <v>50</v>
      </c>
      <c r="T2758" s="29">
        <v>45590.704056180555</v>
      </c>
      <c r="U2758" s="29">
        <v>45593.39969710648</v>
      </c>
      <c r="V2758" s="29">
        <v>45594.422772708334</v>
      </c>
      <c r="W2758" s="38"/>
      <c r="X2758" s="30"/>
      <c r="Y2758" s="31"/>
      <c r="Z2758" s="78"/>
      <c r="AA2758" s="31"/>
      <c r="AB2758" s="31" t="s">
        <v>10835</v>
      </c>
      <c r="AC2758" s="31"/>
    </row>
    <row r="2759" ht="18.75" customHeight="1">
      <c r="A2759" s="142" t="s">
        <v>10836</v>
      </c>
      <c r="B2759" s="19" t="s">
        <v>3611</v>
      </c>
      <c r="C2759" s="20">
        <v>90.0</v>
      </c>
      <c r="D2759" s="21" t="s">
        <v>10837</v>
      </c>
      <c r="E2759" s="27" t="s">
        <v>91</v>
      </c>
      <c r="F2759" s="18" t="s">
        <v>48</v>
      </c>
      <c r="G2759" s="32" t="s">
        <v>35</v>
      </c>
      <c r="H2759" s="23" t="s">
        <v>35</v>
      </c>
      <c r="I2759" s="37" t="s">
        <v>36</v>
      </c>
      <c r="J2759" s="34" t="s">
        <v>65</v>
      </c>
      <c r="K2759" s="26" t="s">
        <v>38</v>
      </c>
      <c r="L2759" s="25">
        <v>11852.0</v>
      </c>
      <c r="M2759" s="27" t="s">
        <v>50</v>
      </c>
      <c r="N2759" s="26" t="s">
        <v>8104</v>
      </c>
      <c r="O2759" s="28">
        <v>45594.63564313657</v>
      </c>
      <c r="P2759" s="26" t="s">
        <v>10838</v>
      </c>
      <c r="Q2759" s="11" t="s">
        <v>67</v>
      </c>
      <c r="R2759" s="11" t="s">
        <v>67</v>
      </c>
      <c r="S2759" s="11" t="s">
        <v>50</v>
      </c>
      <c r="T2759" s="29">
        <v>45590.70497665509</v>
      </c>
      <c r="U2759" s="29">
        <v>45593.57469649306</v>
      </c>
      <c r="V2759" s="29">
        <v>45594.4185606713</v>
      </c>
      <c r="W2759" s="38"/>
      <c r="X2759" s="30"/>
      <c r="Y2759" s="31"/>
      <c r="Z2759" s="31"/>
      <c r="AA2759" s="31" t="s">
        <v>94</v>
      </c>
      <c r="AB2759" s="31" t="s">
        <v>10839</v>
      </c>
      <c r="AC2759" s="31"/>
    </row>
    <row r="2760" ht="18.75" customHeight="1">
      <c r="A2760" s="142" t="s">
        <v>10840</v>
      </c>
      <c r="B2760" s="19" t="s">
        <v>10841</v>
      </c>
      <c r="C2760" s="20">
        <v>90.0</v>
      </c>
      <c r="D2760" s="21" t="s">
        <v>10842</v>
      </c>
      <c r="E2760" s="27" t="s">
        <v>91</v>
      </c>
      <c r="F2760" s="18" t="s">
        <v>48</v>
      </c>
      <c r="G2760" s="32" t="s">
        <v>35</v>
      </c>
      <c r="H2760" s="23" t="s">
        <v>35</v>
      </c>
      <c r="I2760" s="37" t="s">
        <v>36</v>
      </c>
      <c r="J2760" s="25" t="s">
        <v>49</v>
      </c>
      <c r="K2760" s="26" t="s">
        <v>38</v>
      </c>
      <c r="L2760" s="25">
        <v>11850.0</v>
      </c>
      <c r="M2760" s="27" t="s">
        <v>50</v>
      </c>
      <c r="N2760" s="26" t="s">
        <v>99</v>
      </c>
      <c r="O2760" s="28">
        <v>45594.59785078704</v>
      </c>
      <c r="P2760" s="26" t="s">
        <v>10843</v>
      </c>
      <c r="Q2760" s="11" t="s">
        <v>67</v>
      </c>
      <c r="R2760" s="11" t="s">
        <v>67</v>
      </c>
      <c r="S2760" s="11" t="s">
        <v>50</v>
      </c>
      <c r="T2760" s="29">
        <v>45590.70743243056</v>
      </c>
      <c r="U2760" s="29">
        <v>45593.49147907407</v>
      </c>
      <c r="V2760" s="29">
        <v>45594.41696221065</v>
      </c>
      <c r="W2760" s="38"/>
      <c r="X2760" s="30"/>
      <c r="Y2760" s="31"/>
      <c r="Z2760" s="31"/>
      <c r="AA2760" s="31" t="s">
        <v>3059</v>
      </c>
      <c r="AB2760" s="31" t="s">
        <v>10844</v>
      </c>
      <c r="AC2760" s="31"/>
    </row>
    <row r="2761" ht="18.75" customHeight="1">
      <c r="A2761" s="142" t="s">
        <v>10845</v>
      </c>
      <c r="B2761" s="19" t="s">
        <v>10846</v>
      </c>
      <c r="C2761" s="20">
        <v>90.0</v>
      </c>
      <c r="D2761" s="21" t="s">
        <v>10847</v>
      </c>
      <c r="E2761" s="27" t="s">
        <v>91</v>
      </c>
      <c r="F2761" s="18" t="s">
        <v>48</v>
      </c>
      <c r="G2761" s="32" t="s">
        <v>35</v>
      </c>
      <c r="H2761" s="23" t="s">
        <v>35</v>
      </c>
      <c r="I2761" s="37" t="s">
        <v>36</v>
      </c>
      <c r="J2761" s="25" t="s">
        <v>49</v>
      </c>
      <c r="K2761" s="26" t="s">
        <v>10848</v>
      </c>
      <c r="L2761" s="25">
        <v>11849.0</v>
      </c>
      <c r="M2761" s="27" t="s">
        <v>50</v>
      </c>
      <c r="N2761" s="26" t="s">
        <v>99</v>
      </c>
      <c r="O2761" s="28">
        <v>45594.597643217596</v>
      </c>
      <c r="P2761" s="26" t="s">
        <v>10849</v>
      </c>
      <c r="Q2761" s="11" t="s">
        <v>67</v>
      </c>
      <c r="R2761" s="11" t="s">
        <v>67</v>
      </c>
      <c r="S2761" s="11" t="s">
        <v>50</v>
      </c>
      <c r="T2761" s="29">
        <v>45590.71220297454</v>
      </c>
      <c r="U2761" s="29">
        <v>45593.38116266204</v>
      </c>
      <c r="V2761" s="29">
        <v>45594.41629453703</v>
      </c>
      <c r="W2761" s="38"/>
      <c r="X2761" s="30"/>
      <c r="Y2761" s="31"/>
      <c r="Z2761" s="31"/>
      <c r="AA2761" s="31" t="s">
        <v>108</v>
      </c>
      <c r="AB2761" s="31" t="s">
        <v>10850</v>
      </c>
      <c r="AC2761" s="31"/>
    </row>
    <row r="2762" ht="18.75" customHeight="1">
      <c r="A2762" s="18" t="s">
        <v>10851</v>
      </c>
      <c r="B2762" s="19" t="s">
        <v>10852</v>
      </c>
      <c r="C2762" s="20">
        <v>34.0</v>
      </c>
      <c r="D2762" s="21" t="s">
        <v>10853</v>
      </c>
      <c r="E2762" s="27" t="s">
        <v>47</v>
      </c>
      <c r="F2762" s="18" t="s">
        <v>48</v>
      </c>
      <c r="G2762" s="32" t="s">
        <v>35</v>
      </c>
      <c r="H2762" s="23" t="s">
        <v>35</v>
      </c>
      <c r="I2762" s="37" t="s">
        <v>36</v>
      </c>
      <c r="J2762" s="25" t="s">
        <v>49</v>
      </c>
      <c r="K2762" s="26" t="s">
        <v>384</v>
      </c>
      <c r="L2762" s="25">
        <v>11848.0</v>
      </c>
      <c r="M2762" s="27" t="s">
        <v>50</v>
      </c>
      <c r="N2762" s="26" t="s">
        <v>99</v>
      </c>
      <c r="O2762" s="28">
        <v>45594.597934756945</v>
      </c>
      <c r="P2762" s="26" t="s">
        <v>10854</v>
      </c>
      <c r="Q2762" s="11" t="s">
        <v>67</v>
      </c>
      <c r="R2762" s="11" t="s">
        <v>67</v>
      </c>
      <c r="S2762" s="11" t="s">
        <v>50</v>
      </c>
      <c r="T2762" s="29">
        <v>45590.71377563657</v>
      </c>
      <c r="U2762" s="29">
        <v>45593.38428784722</v>
      </c>
      <c r="V2762" s="29">
        <v>45594.44207761574</v>
      </c>
      <c r="W2762" s="38"/>
      <c r="X2762" s="30"/>
      <c r="Y2762" s="31"/>
      <c r="Z2762" s="31"/>
      <c r="AA2762" s="31" t="s">
        <v>108</v>
      </c>
      <c r="AB2762" s="31" t="s">
        <v>10855</v>
      </c>
      <c r="AC2762" s="31"/>
    </row>
    <row r="2763" ht="18.75" customHeight="1">
      <c r="A2763" s="18" t="s">
        <v>10856</v>
      </c>
      <c r="B2763" s="19" t="s">
        <v>10852</v>
      </c>
      <c r="C2763" s="20">
        <v>34.0</v>
      </c>
      <c r="D2763" s="21" t="s">
        <v>10857</v>
      </c>
      <c r="E2763" s="27" t="s">
        <v>47</v>
      </c>
      <c r="F2763" s="18" t="s">
        <v>48</v>
      </c>
      <c r="G2763" s="32" t="s">
        <v>35</v>
      </c>
      <c r="H2763" s="23" t="s">
        <v>35</v>
      </c>
      <c r="I2763" s="37" t="s">
        <v>36</v>
      </c>
      <c r="J2763" s="25" t="s">
        <v>49</v>
      </c>
      <c r="K2763" s="26" t="s">
        <v>384</v>
      </c>
      <c r="L2763" s="25">
        <v>11848.0</v>
      </c>
      <c r="M2763" s="27" t="s">
        <v>50</v>
      </c>
      <c r="N2763" s="26" t="s">
        <v>99</v>
      </c>
      <c r="O2763" s="28">
        <v>45594.59801850695</v>
      </c>
      <c r="P2763" s="26" t="s">
        <v>10854</v>
      </c>
      <c r="Q2763" s="11" t="s">
        <v>67</v>
      </c>
      <c r="R2763" s="11" t="s">
        <v>67</v>
      </c>
      <c r="S2763" s="11" t="s">
        <v>50</v>
      </c>
      <c r="T2763" s="29">
        <v>45590.71389991898</v>
      </c>
      <c r="U2763" s="29">
        <v>45593.38432322917</v>
      </c>
      <c r="V2763" s="29">
        <v>45594.44209157408</v>
      </c>
      <c r="W2763" s="38"/>
      <c r="X2763" s="30"/>
      <c r="Y2763" s="31"/>
      <c r="Z2763" s="31"/>
      <c r="AA2763" s="31" t="s">
        <v>108</v>
      </c>
      <c r="AB2763" s="31" t="s">
        <v>10858</v>
      </c>
      <c r="AC2763" s="31"/>
    </row>
    <row r="2764" ht="18.75" customHeight="1">
      <c r="A2764" s="142" t="s">
        <v>10859</v>
      </c>
      <c r="B2764" s="19" t="s">
        <v>8426</v>
      </c>
      <c r="C2764" s="20">
        <v>0.0</v>
      </c>
      <c r="D2764" s="135" t="s">
        <v>10860</v>
      </c>
      <c r="E2764" s="27" t="s">
        <v>701</v>
      </c>
      <c r="F2764" s="18" t="s">
        <v>33</v>
      </c>
      <c r="G2764" s="18" t="s">
        <v>34</v>
      </c>
      <c r="H2764" s="23" t="s">
        <v>35</v>
      </c>
      <c r="I2764" s="37" t="s">
        <v>36</v>
      </c>
      <c r="J2764" s="25" t="s">
        <v>49</v>
      </c>
      <c r="K2764" s="26" t="s">
        <v>38</v>
      </c>
      <c r="L2764" s="25">
        <v>11865.0</v>
      </c>
      <c r="M2764" s="27" t="s">
        <v>50</v>
      </c>
      <c r="N2764" s="26" t="s">
        <v>99</v>
      </c>
      <c r="O2764" s="28">
        <v>45595.60145170139</v>
      </c>
      <c r="P2764" s="26" t="s">
        <v>10861</v>
      </c>
      <c r="Q2764" s="11" t="s">
        <v>67</v>
      </c>
      <c r="R2764" s="11" t="s">
        <v>67</v>
      </c>
      <c r="S2764" s="11"/>
      <c r="T2764" s="29">
        <v>45593.387062141206</v>
      </c>
      <c r="U2764" s="29">
        <v>45593.38719708333</v>
      </c>
      <c r="V2764" s="29"/>
      <c r="W2764" s="11"/>
      <c r="X2764" s="30"/>
      <c r="Y2764" s="31"/>
      <c r="Z2764" s="31"/>
      <c r="AA2764" s="31" t="s">
        <v>102</v>
      </c>
      <c r="AB2764" s="31" t="s">
        <v>10862</v>
      </c>
      <c r="AC2764" s="31"/>
    </row>
    <row r="2765" ht="18.75" customHeight="1">
      <c r="A2765" s="142" t="s">
        <v>10863</v>
      </c>
      <c r="B2765" s="19" t="s">
        <v>115</v>
      </c>
      <c r="C2765" s="20">
        <v>90.0</v>
      </c>
      <c r="D2765" s="21" t="s">
        <v>10864</v>
      </c>
      <c r="E2765" s="27" t="s">
        <v>91</v>
      </c>
      <c r="F2765" s="18" t="s">
        <v>48</v>
      </c>
      <c r="G2765" s="32" t="s">
        <v>35</v>
      </c>
      <c r="H2765" s="23" t="s">
        <v>35</v>
      </c>
      <c r="I2765" s="37" t="s">
        <v>36</v>
      </c>
      <c r="J2765" s="25" t="s">
        <v>92</v>
      </c>
      <c r="K2765" s="26" t="s">
        <v>38</v>
      </c>
      <c r="L2765" s="25">
        <v>11847.0</v>
      </c>
      <c r="M2765" s="27" t="s">
        <v>50</v>
      </c>
      <c r="N2765" s="26" t="s">
        <v>7077</v>
      </c>
      <c r="O2765" s="28">
        <v>45601.633520393516</v>
      </c>
      <c r="P2765" s="26" t="s">
        <v>10865</v>
      </c>
      <c r="Q2765" s="11" t="s">
        <v>67</v>
      </c>
      <c r="R2765" s="11" t="s">
        <v>67</v>
      </c>
      <c r="S2765" s="11" t="s">
        <v>50</v>
      </c>
      <c r="T2765" s="29">
        <v>45590.72535299769</v>
      </c>
      <c r="U2765" s="29">
        <v>45593.39923402778</v>
      </c>
      <c r="V2765" s="29">
        <v>45594.42230585648</v>
      </c>
      <c r="W2765" s="38"/>
      <c r="X2765" s="30"/>
      <c r="Y2765" s="31"/>
      <c r="Z2765" s="31"/>
      <c r="AA2765" s="31" t="s">
        <v>120</v>
      </c>
      <c r="AB2765" s="31" t="s">
        <v>10866</v>
      </c>
      <c r="AC2765" s="31"/>
    </row>
    <row r="2766" ht="18.75" customHeight="1">
      <c r="A2766" s="151" t="s">
        <v>10867</v>
      </c>
      <c r="B2766" s="19" t="s">
        <v>9922</v>
      </c>
      <c r="C2766" s="20">
        <v>0.0</v>
      </c>
      <c r="D2766" s="21" t="s">
        <v>444</v>
      </c>
      <c r="E2766" s="27" t="s">
        <v>9782</v>
      </c>
      <c r="F2766" s="18" t="s">
        <v>244</v>
      </c>
      <c r="G2766" s="32" t="s">
        <v>35</v>
      </c>
      <c r="H2766" s="23" t="s">
        <v>35</v>
      </c>
      <c r="I2766" s="37" t="s">
        <v>36</v>
      </c>
      <c r="J2766" s="25" t="s">
        <v>49</v>
      </c>
      <c r="K2766" s="26" t="s">
        <v>9924</v>
      </c>
      <c r="L2766" s="25">
        <v>11939.0</v>
      </c>
      <c r="M2766" s="27" t="s">
        <v>50</v>
      </c>
      <c r="N2766" s="26" t="s">
        <v>5936</v>
      </c>
      <c r="O2766" s="28">
        <v>45603.68704846065</v>
      </c>
      <c r="P2766" s="26" t="s">
        <v>10868</v>
      </c>
      <c r="Q2766" s="11" t="s">
        <v>67</v>
      </c>
      <c r="R2766" s="11" t="s">
        <v>67</v>
      </c>
      <c r="S2766" s="11" t="s">
        <v>50</v>
      </c>
      <c r="T2766" s="29">
        <v>45596.61895099537</v>
      </c>
      <c r="U2766" s="29">
        <v>45596.61895421296</v>
      </c>
      <c r="V2766" s="29">
        <v>45603.45400372685</v>
      </c>
      <c r="W2766" s="38"/>
      <c r="X2766" s="30"/>
      <c r="Y2766" s="31"/>
      <c r="Z2766" s="31"/>
      <c r="AA2766" s="31" t="s">
        <v>145</v>
      </c>
      <c r="AB2766" s="31" t="s">
        <v>10869</v>
      </c>
      <c r="AC2766" s="31"/>
    </row>
    <row r="2767" ht="18.75" customHeight="1">
      <c r="A2767" s="18" t="s">
        <v>10870</v>
      </c>
      <c r="B2767" s="19" t="s">
        <v>147</v>
      </c>
      <c r="C2767" s="20">
        <v>1.0</v>
      </c>
      <c r="D2767" s="21" t="s">
        <v>10871</v>
      </c>
      <c r="E2767" s="27" t="s">
        <v>3395</v>
      </c>
      <c r="F2767" s="18" t="s">
        <v>48</v>
      </c>
      <c r="G2767" s="32" t="s">
        <v>35</v>
      </c>
      <c r="H2767" s="23" t="s">
        <v>35</v>
      </c>
      <c r="I2767" s="37" t="s">
        <v>36</v>
      </c>
      <c r="J2767" s="34" t="s">
        <v>65</v>
      </c>
      <c r="K2767" s="26" t="s">
        <v>38</v>
      </c>
      <c r="L2767" s="25">
        <v>11877.0</v>
      </c>
      <c r="M2767" s="27" t="s">
        <v>50</v>
      </c>
      <c r="N2767" s="26" t="s">
        <v>5279</v>
      </c>
      <c r="O2767" s="28">
        <v>45596.664087997684</v>
      </c>
      <c r="P2767" s="26" t="s">
        <v>10872</v>
      </c>
      <c r="Q2767" s="11" t="s">
        <v>67</v>
      </c>
      <c r="R2767" s="11" t="s">
        <v>67</v>
      </c>
      <c r="S2767" s="11" t="s">
        <v>50</v>
      </c>
      <c r="T2767" s="29">
        <v>45595.37183158565</v>
      </c>
      <c r="U2767" s="29">
        <v>45595.65971733796</v>
      </c>
      <c r="V2767" s="29">
        <v>45596.36648819444</v>
      </c>
      <c r="W2767" s="38"/>
      <c r="X2767" s="30"/>
      <c r="Y2767" s="31"/>
      <c r="Z2767" s="31"/>
      <c r="AA2767" s="31" t="s">
        <v>94</v>
      </c>
      <c r="AB2767" s="31" t="s">
        <v>10873</v>
      </c>
      <c r="AC2767" s="31"/>
    </row>
    <row r="2768" ht="18.75" customHeight="1">
      <c r="A2768" s="18" t="s">
        <v>10874</v>
      </c>
      <c r="B2768" s="19" t="s">
        <v>147</v>
      </c>
      <c r="C2768" s="20">
        <v>27.0</v>
      </c>
      <c r="D2768" s="39" t="s">
        <v>10875</v>
      </c>
      <c r="E2768" s="27" t="s">
        <v>72</v>
      </c>
      <c r="F2768" s="18" t="s">
        <v>48</v>
      </c>
      <c r="G2768" s="32" t="s">
        <v>35</v>
      </c>
      <c r="H2768" s="23" t="s">
        <v>35</v>
      </c>
      <c r="I2768" s="37" t="s">
        <v>36</v>
      </c>
      <c r="J2768" s="34" t="s">
        <v>65</v>
      </c>
      <c r="K2768" s="26" t="s">
        <v>38</v>
      </c>
      <c r="L2768" s="25">
        <v>11877.0</v>
      </c>
      <c r="M2768" s="27" t="s">
        <v>50</v>
      </c>
      <c r="N2768" s="26" t="s">
        <v>5279</v>
      </c>
      <c r="O2768" s="28">
        <v>45596.66415182871</v>
      </c>
      <c r="P2768" s="26" t="s">
        <v>10872</v>
      </c>
      <c r="Q2768" s="11" t="s">
        <v>67</v>
      </c>
      <c r="R2768" s="11" t="s">
        <v>67</v>
      </c>
      <c r="S2768" s="11" t="s">
        <v>50</v>
      </c>
      <c r="T2768" s="29">
        <v>45595.37209608796</v>
      </c>
      <c r="U2768" s="29">
        <v>45595.659827696756</v>
      </c>
      <c r="V2768" s="29">
        <v>45596.36650017361</v>
      </c>
      <c r="W2768" s="38"/>
      <c r="X2768" s="30"/>
      <c r="Y2768" s="31"/>
      <c r="Z2768" s="31"/>
      <c r="AA2768" s="31" t="s">
        <v>94</v>
      </c>
      <c r="AB2768" s="31" t="s">
        <v>10876</v>
      </c>
      <c r="AC2768" s="31"/>
    </row>
    <row r="2769" ht="18.75" customHeight="1">
      <c r="A2769" s="142" t="s">
        <v>10877</v>
      </c>
      <c r="B2769" s="19" t="s">
        <v>3289</v>
      </c>
      <c r="C2769" s="20">
        <v>90.0</v>
      </c>
      <c r="D2769" s="21" t="s">
        <v>10878</v>
      </c>
      <c r="E2769" s="27" t="s">
        <v>91</v>
      </c>
      <c r="F2769" s="18" t="s">
        <v>48</v>
      </c>
      <c r="G2769" s="32" t="s">
        <v>35</v>
      </c>
      <c r="H2769" s="23" t="s">
        <v>35</v>
      </c>
      <c r="I2769" s="37" t="s">
        <v>36</v>
      </c>
      <c r="J2769" s="25" t="s">
        <v>92</v>
      </c>
      <c r="K2769" s="26" t="s">
        <v>38</v>
      </c>
      <c r="L2769" s="25">
        <v>11845.0</v>
      </c>
      <c r="M2769" s="27" t="s">
        <v>50</v>
      </c>
      <c r="N2769" s="26" t="s">
        <v>4362</v>
      </c>
      <c r="O2769" s="28">
        <v>45594.38458003472</v>
      </c>
      <c r="P2769" s="26" t="s">
        <v>10879</v>
      </c>
      <c r="Q2769" s="11" t="s">
        <v>67</v>
      </c>
      <c r="R2769" s="11" t="s">
        <v>67</v>
      </c>
      <c r="S2769" s="11" t="s">
        <v>50</v>
      </c>
      <c r="T2769" s="29">
        <v>45593.60546730324</v>
      </c>
      <c r="U2769" s="29">
        <v>45593.61561140046</v>
      </c>
      <c r="V2769" s="29">
        <v>45594.37908108796</v>
      </c>
      <c r="W2769" s="38"/>
      <c r="X2769" s="30"/>
      <c r="Y2769" s="31"/>
      <c r="Z2769" s="31"/>
      <c r="AA2769" s="31" t="s">
        <v>120</v>
      </c>
      <c r="AB2769" s="31" t="s">
        <v>10880</v>
      </c>
      <c r="AC2769" s="31"/>
    </row>
    <row r="2770" ht="18.75" customHeight="1">
      <c r="A2770" s="142" t="s">
        <v>10881</v>
      </c>
      <c r="B2770" s="19" t="s">
        <v>4352</v>
      </c>
      <c r="C2770" s="20">
        <v>11.0</v>
      </c>
      <c r="D2770" s="21" t="s">
        <v>10882</v>
      </c>
      <c r="E2770" s="27" t="s">
        <v>112</v>
      </c>
      <c r="F2770" s="18" t="s">
        <v>48</v>
      </c>
      <c r="G2770" s="32" t="s">
        <v>35</v>
      </c>
      <c r="H2770" s="23" t="s">
        <v>35</v>
      </c>
      <c r="I2770" s="37" t="s">
        <v>36</v>
      </c>
      <c r="J2770" s="25" t="s">
        <v>49</v>
      </c>
      <c r="K2770" s="26" t="s">
        <v>38</v>
      </c>
      <c r="L2770" s="25">
        <v>11843.0</v>
      </c>
      <c r="M2770" s="27" t="s">
        <v>50</v>
      </c>
      <c r="N2770" s="26" t="s">
        <v>106</v>
      </c>
      <c r="O2770" s="28">
        <v>45593.65110444445</v>
      </c>
      <c r="P2770" s="26" t="s">
        <v>10883</v>
      </c>
      <c r="Q2770" s="11" t="s">
        <v>67</v>
      </c>
      <c r="R2770" s="11" t="s">
        <v>67</v>
      </c>
      <c r="S2770" s="11" t="s">
        <v>50</v>
      </c>
      <c r="T2770" s="29">
        <v>45593.570689942135</v>
      </c>
      <c r="U2770" s="29">
        <v>45593.570760717594</v>
      </c>
      <c r="V2770" s="29">
        <v>45593.574925231485</v>
      </c>
      <c r="W2770" s="38"/>
      <c r="X2770" s="30"/>
      <c r="Y2770" s="31"/>
      <c r="Z2770" s="31"/>
      <c r="AA2770" s="31" t="s">
        <v>127</v>
      </c>
      <c r="AB2770" s="31" t="s">
        <v>10884</v>
      </c>
      <c r="AC2770" s="31"/>
    </row>
    <row r="2771" ht="18.75" customHeight="1">
      <c r="A2771" s="142" t="s">
        <v>10885</v>
      </c>
      <c r="B2771" s="19" t="s">
        <v>3645</v>
      </c>
      <c r="C2771" s="20">
        <v>11.0</v>
      </c>
      <c r="D2771" s="21" t="s">
        <v>10886</v>
      </c>
      <c r="E2771" s="27" t="s">
        <v>112</v>
      </c>
      <c r="F2771" s="18" t="s">
        <v>48</v>
      </c>
      <c r="G2771" s="32" t="s">
        <v>35</v>
      </c>
      <c r="H2771" s="23" t="s">
        <v>35</v>
      </c>
      <c r="I2771" s="37" t="s">
        <v>36</v>
      </c>
      <c r="J2771" s="25" t="s">
        <v>49</v>
      </c>
      <c r="K2771" s="26" t="s">
        <v>38</v>
      </c>
      <c r="L2771" s="25">
        <v>11866.0</v>
      </c>
      <c r="M2771" s="27" t="s">
        <v>50</v>
      </c>
      <c r="N2771" s="26" t="s">
        <v>99</v>
      </c>
      <c r="O2771" s="28">
        <v>45595.60167429398</v>
      </c>
      <c r="P2771" s="26" t="s">
        <v>10887</v>
      </c>
      <c r="Q2771" s="11" t="s">
        <v>67</v>
      </c>
      <c r="R2771" s="11" t="s">
        <v>67</v>
      </c>
      <c r="S2771" s="11" t="s">
        <v>50</v>
      </c>
      <c r="T2771" s="29">
        <v>45593.607866307866</v>
      </c>
      <c r="U2771" s="29">
        <v>45594.59490109954</v>
      </c>
      <c r="V2771" s="29">
        <v>45595.365343935184</v>
      </c>
      <c r="W2771" s="38"/>
      <c r="X2771" s="30"/>
      <c r="Y2771" s="31"/>
      <c r="Z2771" s="31"/>
      <c r="AA2771" s="31" t="s">
        <v>127</v>
      </c>
      <c r="AB2771" s="31" t="s">
        <v>10888</v>
      </c>
      <c r="AC2771" s="31"/>
    </row>
    <row r="2772" ht="18.75" customHeight="1">
      <c r="A2772" s="142" t="s">
        <v>10889</v>
      </c>
      <c r="B2772" s="19" t="s">
        <v>2104</v>
      </c>
      <c r="C2772" s="20">
        <v>0.0</v>
      </c>
      <c r="D2772" s="80" t="s">
        <v>10890</v>
      </c>
      <c r="E2772" s="27" t="s">
        <v>453</v>
      </c>
      <c r="F2772" s="18" t="s">
        <v>244</v>
      </c>
      <c r="G2772" s="32" t="s">
        <v>35</v>
      </c>
      <c r="H2772" s="23" t="s">
        <v>35</v>
      </c>
      <c r="I2772" s="37" t="s">
        <v>36</v>
      </c>
      <c r="J2772" s="25" t="s">
        <v>49</v>
      </c>
      <c r="K2772" s="26" t="s">
        <v>38</v>
      </c>
      <c r="L2772" s="25">
        <v>11965.0</v>
      </c>
      <c r="M2772" s="27" t="s">
        <v>50</v>
      </c>
      <c r="N2772" s="26" t="s">
        <v>99</v>
      </c>
      <c r="O2772" s="28">
        <v>45609.48377298611</v>
      </c>
      <c r="P2772" s="26" t="s">
        <v>10891</v>
      </c>
      <c r="Q2772" s="11" t="s">
        <v>67</v>
      </c>
      <c r="R2772" s="11" t="s">
        <v>67</v>
      </c>
      <c r="S2772" s="11"/>
      <c r="T2772" s="29">
        <v>45593.613195439815</v>
      </c>
      <c r="U2772" s="29">
        <v>45594.67335170139</v>
      </c>
      <c r="V2772" s="29"/>
      <c r="W2772" s="11"/>
      <c r="X2772" s="30"/>
      <c r="Y2772" s="31"/>
      <c r="Z2772" s="31"/>
      <c r="AA2772" s="31" t="s">
        <v>127</v>
      </c>
      <c r="AB2772" s="31" t="s">
        <v>10892</v>
      </c>
      <c r="AC2772" s="31"/>
    </row>
    <row r="2773" ht="18.75" customHeight="1">
      <c r="A2773" s="142" t="s">
        <v>10893</v>
      </c>
      <c r="B2773" s="19" t="s">
        <v>3289</v>
      </c>
      <c r="C2773" s="20">
        <v>90.0</v>
      </c>
      <c r="D2773" s="21" t="s">
        <v>10894</v>
      </c>
      <c r="E2773" s="27" t="s">
        <v>91</v>
      </c>
      <c r="F2773" s="18" t="s">
        <v>48</v>
      </c>
      <c r="G2773" s="32" t="s">
        <v>35</v>
      </c>
      <c r="H2773" s="23" t="s">
        <v>35</v>
      </c>
      <c r="I2773" s="37" t="s">
        <v>36</v>
      </c>
      <c r="J2773" s="25" t="s">
        <v>92</v>
      </c>
      <c r="K2773" s="26" t="s">
        <v>38</v>
      </c>
      <c r="L2773" s="25">
        <v>11844.0</v>
      </c>
      <c r="M2773" s="27" t="s">
        <v>50</v>
      </c>
      <c r="N2773" s="26" t="s">
        <v>4362</v>
      </c>
      <c r="O2773" s="28">
        <v>45594.38465709491</v>
      </c>
      <c r="P2773" s="26" t="s">
        <v>10895</v>
      </c>
      <c r="Q2773" s="11" t="s">
        <v>73</v>
      </c>
      <c r="R2773" s="11" t="s">
        <v>73</v>
      </c>
      <c r="S2773" s="11" t="s">
        <v>50</v>
      </c>
      <c r="T2773" s="29">
        <v>45594.3736759375</v>
      </c>
      <c r="U2773" s="29">
        <v>45594.37367702546</v>
      </c>
      <c r="V2773" s="29">
        <v>45594.37869196759</v>
      </c>
      <c r="W2773" s="38"/>
      <c r="X2773" s="30"/>
      <c r="Y2773" s="31"/>
      <c r="Z2773" s="31"/>
      <c r="AA2773" s="31" t="s">
        <v>120</v>
      </c>
      <c r="AB2773" s="31" t="s">
        <v>10896</v>
      </c>
      <c r="AC2773" s="31"/>
    </row>
    <row r="2774" ht="18.75" customHeight="1">
      <c r="A2774" s="18" t="s">
        <v>10897</v>
      </c>
      <c r="B2774" s="19" t="s">
        <v>10898</v>
      </c>
      <c r="C2774" s="20">
        <v>0.0</v>
      </c>
      <c r="D2774" s="21" t="s">
        <v>1450</v>
      </c>
      <c r="E2774" s="22" t="s">
        <v>98</v>
      </c>
      <c r="F2774" s="18" t="s">
        <v>33</v>
      </c>
      <c r="G2774" s="32" t="s">
        <v>35</v>
      </c>
      <c r="H2774" s="23" t="s">
        <v>35</v>
      </c>
      <c r="I2774" s="37" t="s">
        <v>36</v>
      </c>
      <c r="J2774" s="25" t="s">
        <v>49</v>
      </c>
      <c r="K2774" s="26" t="s">
        <v>38</v>
      </c>
      <c r="L2774" s="34">
        <v>12760.0</v>
      </c>
      <c r="M2774" s="27" t="s">
        <v>50</v>
      </c>
      <c r="N2774" s="26" t="s">
        <v>9953</v>
      </c>
      <c r="O2774" s="140">
        <v>45737.71183532407</v>
      </c>
      <c r="P2774" s="26" t="s">
        <v>10899</v>
      </c>
      <c r="Q2774" s="11" t="s">
        <v>75</v>
      </c>
      <c r="R2774" s="11" t="s">
        <v>75</v>
      </c>
      <c r="S2774" s="11"/>
      <c r="T2774" s="141">
        <v>45730.383259803246</v>
      </c>
      <c r="U2774" s="141">
        <v>45730.3837743287</v>
      </c>
      <c r="V2774" s="29"/>
      <c r="W2774" s="11"/>
      <c r="X2774" s="30"/>
      <c r="Y2774" s="31"/>
      <c r="Z2774" s="31"/>
      <c r="AA2774" s="31" t="s">
        <v>102</v>
      </c>
      <c r="AB2774" s="31" t="s">
        <v>10900</v>
      </c>
      <c r="AC2774" s="31"/>
    </row>
    <row r="2775" ht="18.75" customHeight="1">
      <c r="A2775" s="18" t="s">
        <v>10901</v>
      </c>
      <c r="B2775" s="19" t="s">
        <v>10898</v>
      </c>
      <c r="C2775" s="20">
        <v>0.0</v>
      </c>
      <c r="D2775" s="21" t="s">
        <v>1454</v>
      </c>
      <c r="E2775" s="22" t="s">
        <v>98</v>
      </c>
      <c r="F2775" s="18" t="s">
        <v>33</v>
      </c>
      <c r="G2775" s="32" t="s">
        <v>35</v>
      </c>
      <c r="H2775" s="23" t="s">
        <v>35</v>
      </c>
      <c r="I2775" s="37" t="s">
        <v>36</v>
      </c>
      <c r="J2775" s="25" t="s">
        <v>49</v>
      </c>
      <c r="K2775" s="26" t="s">
        <v>38</v>
      </c>
      <c r="L2775" s="34">
        <v>12760.0</v>
      </c>
      <c r="M2775" s="27" t="s">
        <v>50</v>
      </c>
      <c r="N2775" s="26" t="s">
        <v>9953</v>
      </c>
      <c r="O2775" s="140">
        <v>45737.71203072916</v>
      </c>
      <c r="P2775" s="26" t="s">
        <v>10899</v>
      </c>
      <c r="Q2775" s="11" t="s">
        <v>75</v>
      </c>
      <c r="R2775" s="11" t="s">
        <v>75</v>
      </c>
      <c r="S2775" s="11"/>
      <c r="T2775" s="141">
        <v>45730.38342513889</v>
      </c>
      <c r="U2775" s="141">
        <v>45730.38379633102</v>
      </c>
      <c r="V2775" s="29"/>
      <c r="W2775" s="11"/>
      <c r="X2775" s="30"/>
      <c r="Y2775" s="31"/>
      <c r="Z2775" s="31"/>
      <c r="AA2775" s="31" t="s">
        <v>102</v>
      </c>
      <c r="AB2775" s="31" t="s">
        <v>10902</v>
      </c>
      <c r="AC2775" s="31"/>
    </row>
    <row r="2776" ht="18.75" customHeight="1">
      <c r="A2776" s="18" t="s">
        <v>10903</v>
      </c>
      <c r="B2776" s="19" t="s">
        <v>10898</v>
      </c>
      <c r="C2776" s="20">
        <v>0.0</v>
      </c>
      <c r="D2776" s="21" t="s">
        <v>10904</v>
      </c>
      <c r="E2776" s="22" t="s">
        <v>98</v>
      </c>
      <c r="F2776" s="18" t="s">
        <v>33</v>
      </c>
      <c r="G2776" s="32" t="s">
        <v>35</v>
      </c>
      <c r="H2776" s="23" t="s">
        <v>35</v>
      </c>
      <c r="I2776" s="37" t="s">
        <v>36</v>
      </c>
      <c r="J2776" s="25" t="s">
        <v>49</v>
      </c>
      <c r="K2776" s="26" t="s">
        <v>38</v>
      </c>
      <c r="L2776" s="34">
        <v>12760.0</v>
      </c>
      <c r="M2776" s="27" t="s">
        <v>50</v>
      </c>
      <c r="N2776" s="26" t="s">
        <v>9953</v>
      </c>
      <c r="O2776" s="140">
        <v>45737.71230092592</v>
      </c>
      <c r="P2776" s="26" t="s">
        <v>10899</v>
      </c>
      <c r="Q2776" s="11" t="s">
        <v>75</v>
      </c>
      <c r="R2776" s="11" t="s">
        <v>75</v>
      </c>
      <c r="S2776" s="11"/>
      <c r="T2776" s="141">
        <v>45730.38364393519</v>
      </c>
      <c r="U2776" s="141">
        <v>45730.38381881945</v>
      </c>
      <c r="V2776" s="29"/>
      <c r="W2776" s="11"/>
      <c r="X2776" s="30"/>
      <c r="Y2776" s="31"/>
      <c r="Z2776" s="31"/>
      <c r="AA2776" s="31" t="s">
        <v>102</v>
      </c>
      <c r="AB2776" s="31" t="s">
        <v>10905</v>
      </c>
      <c r="AC2776" s="31"/>
    </row>
    <row r="2777" ht="18.75" customHeight="1">
      <c r="A2777" s="18" t="s">
        <v>10906</v>
      </c>
      <c r="B2777" s="19" t="s">
        <v>10898</v>
      </c>
      <c r="C2777" s="20">
        <v>0.0</v>
      </c>
      <c r="D2777" s="21" t="s">
        <v>10907</v>
      </c>
      <c r="E2777" s="22" t="s">
        <v>98</v>
      </c>
      <c r="F2777" s="18" t="s">
        <v>33</v>
      </c>
      <c r="G2777" s="32" t="s">
        <v>35</v>
      </c>
      <c r="H2777" s="23" t="s">
        <v>35</v>
      </c>
      <c r="I2777" s="37" t="s">
        <v>36</v>
      </c>
      <c r="J2777" s="25" t="s">
        <v>49</v>
      </c>
      <c r="K2777" s="26" t="s">
        <v>38</v>
      </c>
      <c r="L2777" s="34">
        <v>12760.0</v>
      </c>
      <c r="M2777" s="27" t="s">
        <v>50</v>
      </c>
      <c r="N2777" s="26" t="s">
        <v>9953</v>
      </c>
      <c r="O2777" s="140">
        <v>45737.712365671294</v>
      </c>
      <c r="P2777" s="26" t="s">
        <v>10899</v>
      </c>
      <c r="Q2777" s="11" t="s">
        <v>75</v>
      </c>
      <c r="R2777" s="11" t="s">
        <v>75</v>
      </c>
      <c r="S2777" s="11"/>
      <c r="T2777" s="141">
        <v>45730.383605625</v>
      </c>
      <c r="U2777" s="141">
        <v>45730.3838262037</v>
      </c>
      <c r="V2777" s="29"/>
      <c r="W2777" s="11"/>
      <c r="X2777" s="30"/>
      <c r="Y2777" s="31"/>
      <c r="Z2777" s="31"/>
      <c r="AA2777" s="31" t="s">
        <v>102</v>
      </c>
      <c r="AB2777" s="31" t="s">
        <v>10908</v>
      </c>
      <c r="AC2777" s="31"/>
    </row>
    <row r="2778" ht="18.75" customHeight="1">
      <c r="A2778" s="18" t="s">
        <v>10909</v>
      </c>
      <c r="B2778" s="19" t="s">
        <v>10898</v>
      </c>
      <c r="C2778" s="20">
        <v>0.0</v>
      </c>
      <c r="D2778" s="21" t="s">
        <v>10910</v>
      </c>
      <c r="E2778" s="22" t="s">
        <v>98</v>
      </c>
      <c r="F2778" s="18" t="s">
        <v>33</v>
      </c>
      <c r="G2778" s="32" t="s">
        <v>35</v>
      </c>
      <c r="H2778" s="23" t="s">
        <v>35</v>
      </c>
      <c r="I2778" s="37" t="s">
        <v>36</v>
      </c>
      <c r="J2778" s="25" t="s">
        <v>49</v>
      </c>
      <c r="K2778" s="26" t="s">
        <v>38</v>
      </c>
      <c r="L2778" s="34">
        <v>12760.0</v>
      </c>
      <c r="M2778" s="27" t="s">
        <v>50</v>
      </c>
      <c r="N2778" s="26" t="s">
        <v>9953</v>
      </c>
      <c r="O2778" s="140">
        <v>45737.71242753472</v>
      </c>
      <c r="P2778" s="26" t="s">
        <v>10899</v>
      </c>
      <c r="Q2778" s="11" t="s">
        <v>75</v>
      </c>
      <c r="R2778" s="11" t="s">
        <v>75</v>
      </c>
      <c r="S2778" s="11"/>
      <c r="T2778" s="141">
        <v>45730.38368530093</v>
      </c>
      <c r="U2778" s="141">
        <v>45730.38383011574</v>
      </c>
      <c r="V2778" s="29"/>
      <c r="W2778" s="11"/>
      <c r="X2778" s="30"/>
      <c r="Y2778" s="31"/>
      <c r="Z2778" s="31"/>
      <c r="AA2778" s="31" t="s">
        <v>102</v>
      </c>
      <c r="AB2778" s="31" t="s">
        <v>10911</v>
      </c>
      <c r="AC2778" s="31"/>
    </row>
    <row r="2779" ht="18.75" customHeight="1">
      <c r="A2779" s="18" t="s">
        <v>10912</v>
      </c>
      <c r="B2779" s="19" t="s">
        <v>10898</v>
      </c>
      <c r="C2779" s="20">
        <v>0.0</v>
      </c>
      <c r="D2779" s="21" t="s">
        <v>10913</v>
      </c>
      <c r="E2779" s="22" t="s">
        <v>98</v>
      </c>
      <c r="F2779" s="18" t="s">
        <v>33</v>
      </c>
      <c r="G2779" s="32" t="s">
        <v>35</v>
      </c>
      <c r="H2779" s="23" t="s">
        <v>35</v>
      </c>
      <c r="I2779" s="37" t="s">
        <v>36</v>
      </c>
      <c r="J2779" s="25" t="s">
        <v>49</v>
      </c>
      <c r="K2779" s="26" t="s">
        <v>38</v>
      </c>
      <c r="L2779" s="34">
        <v>12760.0</v>
      </c>
      <c r="M2779" s="27" t="s">
        <v>50</v>
      </c>
      <c r="N2779" s="26" t="s">
        <v>9953</v>
      </c>
      <c r="O2779" s="140">
        <v>45737.71209641204</v>
      </c>
      <c r="P2779" s="26" t="s">
        <v>10899</v>
      </c>
      <c r="Q2779" s="11" t="s">
        <v>75</v>
      </c>
      <c r="R2779" s="11" t="s">
        <v>75</v>
      </c>
      <c r="S2779" s="11"/>
      <c r="T2779" s="141">
        <v>45730.38347053241</v>
      </c>
      <c r="U2779" s="141">
        <v>45730.383804074074</v>
      </c>
      <c r="V2779" s="29"/>
      <c r="W2779" s="11"/>
      <c r="X2779" s="30"/>
      <c r="Y2779" s="31"/>
      <c r="Z2779" s="31"/>
      <c r="AA2779" s="31" t="s">
        <v>102</v>
      </c>
      <c r="AB2779" s="31" t="s">
        <v>10914</v>
      </c>
      <c r="AC2779" s="31"/>
    </row>
    <row r="2780" ht="18.75" customHeight="1">
      <c r="A2780" s="18" t="s">
        <v>10915</v>
      </c>
      <c r="B2780" s="19" t="s">
        <v>10898</v>
      </c>
      <c r="C2780" s="20">
        <v>0.0</v>
      </c>
      <c r="D2780" s="21" t="s">
        <v>10916</v>
      </c>
      <c r="E2780" s="22" t="s">
        <v>98</v>
      </c>
      <c r="F2780" s="18" t="s">
        <v>33</v>
      </c>
      <c r="G2780" s="32" t="s">
        <v>35</v>
      </c>
      <c r="H2780" s="23" t="s">
        <v>35</v>
      </c>
      <c r="I2780" s="37" t="s">
        <v>36</v>
      </c>
      <c r="J2780" s="25" t="s">
        <v>49</v>
      </c>
      <c r="K2780" s="26" t="s">
        <v>38</v>
      </c>
      <c r="L2780" s="34">
        <v>12760.0</v>
      </c>
      <c r="M2780" s="27" t="s">
        <v>50</v>
      </c>
      <c r="N2780" s="26" t="s">
        <v>9953</v>
      </c>
      <c r="O2780" s="140">
        <v>45737.71222912037</v>
      </c>
      <c r="P2780" s="26" t="s">
        <v>10899</v>
      </c>
      <c r="Q2780" s="11" t="s">
        <v>75</v>
      </c>
      <c r="R2780" s="11" t="s">
        <v>75</v>
      </c>
      <c r="S2780" s="11"/>
      <c r="T2780" s="141">
        <v>45730.38356188657</v>
      </c>
      <c r="U2780" s="141">
        <v>45730.38381471064</v>
      </c>
      <c r="V2780" s="29"/>
      <c r="W2780" s="11"/>
      <c r="X2780" s="30"/>
      <c r="Y2780" s="31"/>
      <c r="Z2780" s="31"/>
      <c r="AA2780" s="31" t="s">
        <v>102</v>
      </c>
      <c r="AB2780" s="31" t="s">
        <v>10917</v>
      </c>
      <c r="AC2780" s="31"/>
    </row>
    <row r="2781" ht="18.75" customHeight="1">
      <c r="A2781" s="18" t="s">
        <v>10918</v>
      </c>
      <c r="B2781" s="19" t="s">
        <v>10898</v>
      </c>
      <c r="C2781" s="20">
        <v>0.0</v>
      </c>
      <c r="D2781" s="21" t="s">
        <v>1460</v>
      </c>
      <c r="E2781" s="22" t="s">
        <v>98</v>
      </c>
      <c r="F2781" s="18" t="s">
        <v>33</v>
      </c>
      <c r="G2781" s="32" t="s">
        <v>35</v>
      </c>
      <c r="H2781" s="23" t="s">
        <v>35</v>
      </c>
      <c r="I2781" s="37" t="s">
        <v>36</v>
      </c>
      <c r="J2781" s="25" t="s">
        <v>49</v>
      </c>
      <c r="K2781" s="26" t="s">
        <v>38</v>
      </c>
      <c r="L2781" s="34">
        <v>12760.0</v>
      </c>
      <c r="M2781" s="27" t="s">
        <v>50</v>
      </c>
      <c r="N2781" s="26" t="s">
        <v>9953</v>
      </c>
      <c r="O2781" s="140">
        <v>45737.71216476852</v>
      </c>
      <c r="P2781" s="26" t="s">
        <v>10899</v>
      </c>
      <c r="Q2781" s="11" t="s">
        <v>75</v>
      </c>
      <c r="R2781" s="11" t="s">
        <v>75</v>
      </c>
      <c r="S2781" s="11"/>
      <c r="T2781" s="141">
        <v>45730.38351209491</v>
      </c>
      <c r="U2781" s="141">
        <v>45730.383809837964</v>
      </c>
      <c r="V2781" s="29"/>
      <c r="W2781" s="11"/>
      <c r="X2781" s="30"/>
      <c r="Y2781" s="31"/>
      <c r="Z2781" s="31"/>
      <c r="AA2781" s="31" t="s">
        <v>102</v>
      </c>
      <c r="AB2781" s="31" t="s">
        <v>10919</v>
      </c>
      <c r="AC2781" s="31"/>
    </row>
    <row r="2782" ht="18.75" customHeight="1">
      <c r="A2782" s="18" t="s">
        <v>10920</v>
      </c>
      <c r="B2782" s="19" t="s">
        <v>10898</v>
      </c>
      <c r="C2782" s="20">
        <v>0.0</v>
      </c>
      <c r="D2782" s="21" t="s">
        <v>10921</v>
      </c>
      <c r="E2782" s="22" t="s">
        <v>98</v>
      </c>
      <c r="F2782" s="18" t="s">
        <v>33</v>
      </c>
      <c r="G2782" s="32" t="s">
        <v>35</v>
      </c>
      <c r="H2782" s="23" t="s">
        <v>35</v>
      </c>
      <c r="I2782" s="37" t="s">
        <v>36</v>
      </c>
      <c r="J2782" s="25" t="s">
        <v>49</v>
      </c>
      <c r="K2782" s="26" t="s">
        <v>38</v>
      </c>
      <c r="L2782" s="34">
        <v>12760.0</v>
      </c>
      <c r="M2782" s="27" t="s">
        <v>50</v>
      </c>
      <c r="N2782" s="26" t="s">
        <v>9953</v>
      </c>
      <c r="O2782" s="140">
        <v>45737.71195023148</v>
      </c>
      <c r="P2782" s="26" t="s">
        <v>10899</v>
      </c>
      <c r="Q2782" s="11" t="s">
        <v>75</v>
      </c>
      <c r="R2782" s="11" t="s">
        <v>75</v>
      </c>
      <c r="S2782" s="11"/>
      <c r="T2782" s="141">
        <v>45730.383375729165</v>
      </c>
      <c r="U2782" s="141">
        <v>45730.38379011574</v>
      </c>
      <c r="V2782" s="29"/>
      <c r="W2782" s="11"/>
      <c r="X2782" s="30"/>
      <c r="Y2782" s="31"/>
      <c r="Z2782" s="31"/>
      <c r="AA2782" s="31" t="s">
        <v>102</v>
      </c>
      <c r="AB2782" s="31" t="s">
        <v>10922</v>
      </c>
      <c r="AC2782" s="31"/>
    </row>
    <row r="2783" ht="18.75" customHeight="1">
      <c r="A2783" s="18" t="s">
        <v>10923</v>
      </c>
      <c r="B2783" s="19" t="s">
        <v>10898</v>
      </c>
      <c r="C2783" s="20">
        <v>0.0</v>
      </c>
      <c r="D2783" s="21" t="s">
        <v>1483</v>
      </c>
      <c r="E2783" s="22" t="s">
        <v>98</v>
      </c>
      <c r="F2783" s="18" t="s">
        <v>33</v>
      </c>
      <c r="G2783" s="32" t="s">
        <v>35</v>
      </c>
      <c r="H2783" s="23" t="s">
        <v>35</v>
      </c>
      <c r="I2783" s="37" t="s">
        <v>36</v>
      </c>
      <c r="J2783" s="25" t="s">
        <v>49</v>
      </c>
      <c r="K2783" s="26" t="s">
        <v>38</v>
      </c>
      <c r="L2783" s="34">
        <v>12760.0</v>
      </c>
      <c r="M2783" s="27" t="s">
        <v>50</v>
      </c>
      <c r="N2783" s="26" t="s">
        <v>9953</v>
      </c>
      <c r="O2783" s="140">
        <v>45737.71249815972</v>
      </c>
      <c r="P2783" s="26" t="s">
        <v>10899</v>
      </c>
      <c r="Q2783" s="11" t="s">
        <v>75</v>
      </c>
      <c r="R2783" s="11" t="s">
        <v>75</v>
      </c>
      <c r="S2783" s="11"/>
      <c r="T2783" s="141">
        <v>45730.383734664356</v>
      </c>
      <c r="U2783" s="141">
        <v>45730.38383490741</v>
      </c>
      <c r="V2783" s="29"/>
      <c r="W2783" s="11"/>
      <c r="X2783" s="30"/>
      <c r="Y2783" s="31"/>
      <c r="Z2783" s="31"/>
      <c r="AA2783" s="31" t="s">
        <v>102</v>
      </c>
      <c r="AB2783" s="31" t="s">
        <v>10924</v>
      </c>
      <c r="AC2783" s="31"/>
    </row>
    <row r="2784" ht="18.75" customHeight="1">
      <c r="A2784" s="18" t="s">
        <v>10925</v>
      </c>
      <c r="B2784" s="19" t="s">
        <v>10898</v>
      </c>
      <c r="C2784" s="20">
        <v>0.0</v>
      </c>
      <c r="D2784" s="21" t="s">
        <v>10926</v>
      </c>
      <c r="E2784" s="22" t="s">
        <v>98</v>
      </c>
      <c r="F2784" s="18" t="s">
        <v>33</v>
      </c>
      <c r="G2784" s="32" t="s">
        <v>35</v>
      </c>
      <c r="H2784" s="23" t="s">
        <v>35</v>
      </c>
      <c r="I2784" s="37" t="s">
        <v>36</v>
      </c>
      <c r="J2784" s="25" t="s">
        <v>49</v>
      </c>
      <c r="K2784" s="26" t="s">
        <v>38</v>
      </c>
      <c r="L2784" s="34">
        <v>12760.0</v>
      </c>
      <c r="M2784" s="27" t="s">
        <v>50</v>
      </c>
      <c r="N2784" s="26" t="s">
        <v>9953</v>
      </c>
      <c r="O2784" s="140">
        <v>45737.712605162036</v>
      </c>
      <c r="P2784" s="26" t="s">
        <v>10899</v>
      </c>
      <c r="Q2784" s="11" t="s">
        <v>75</v>
      </c>
      <c r="R2784" s="11" t="s">
        <v>75</v>
      </c>
      <c r="S2784" s="11"/>
      <c r="T2784" s="141">
        <v>45730.3837721875</v>
      </c>
      <c r="U2784" s="141">
        <v>45730.383839780094</v>
      </c>
      <c r="V2784" s="29"/>
      <c r="W2784" s="11"/>
      <c r="X2784" s="30"/>
      <c r="Y2784" s="31"/>
      <c r="Z2784" s="31"/>
      <c r="AA2784" s="31" t="s">
        <v>102</v>
      </c>
      <c r="AB2784" s="31" t="s">
        <v>10927</v>
      </c>
      <c r="AC2784" s="31"/>
    </row>
    <row r="2785" ht="18.75" customHeight="1">
      <c r="A2785" s="142" t="s">
        <v>10928</v>
      </c>
      <c r="B2785" s="19" t="s">
        <v>4313</v>
      </c>
      <c r="C2785" s="20">
        <v>27.0</v>
      </c>
      <c r="D2785" s="39" t="s">
        <v>10929</v>
      </c>
      <c r="E2785" s="27" t="s">
        <v>72</v>
      </c>
      <c r="F2785" s="18" t="s">
        <v>48</v>
      </c>
      <c r="G2785" s="32" t="s">
        <v>35</v>
      </c>
      <c r="H2785" s="23" t="s">
        <v>35</v>
      </c>
      <c r="I2785" s="37" t="s">
        <v>36</v>
      </c>
      <c r="J2785" s="25" t="s">
        <v>92</v>
      </c>
      <c r="K2785" s="26" t="s">
        <v>38</v>
      </c>
      <c r="L2785" s="25">
        <v>11867.0</v>
      </c>
      <c r="M2785" s="27" t="s">
        <v>50</v>
      </c>
      <c r="N2785" s="26" t="s">
        <v>7077</v>
      </c>
      <c r="O2785" s="28">
        <v>45601.633279131944</v>
      </c>
      <c r="P2785" s="26" t="s">
        <v>10930</v>
      </c>
      <c r="Q2785" s="11" t="s">
        <v>67</v>
      </c>
      <c r="R2785" s="11" t="s">
        <v>67</v>
      </c>
      <c r="S2785" s="11" t="s">
        <v>50</v>
      </c>
      <c r="T2785" s="29">
        <v>45594.692012060186</v>
      </c>
      <c r="U2785" s="29">
        <v>45595.43863269676</v>
      </c>
      <c r="V2785" s="29">
        <v>45595.44882011574</v>
      </c>
      <c r="W2785" s="38"/>
      <c r="X2785" s="30"/>
      <c r="Y2785" s="31"/>
      <c r="Z2785" s="31"/>
      <c r="AA2785" s="31" t="s">
        <v>120</v>
      </c>
      <c r="AB2785" s="31" t="s">
        <v>10931</v>
      </c>
      <c r="AC2785" s="31"/>
    </row>
    <row r="2786" ht="18.75" customHeight="1">
      <c r="A2786" s="142" t="s">
        <v>10932</v>
      </c>
      <c r="B2786" s="19" t="s">
        <v>5004</v>
      </c>
      <c r="C2786" s="20">
        <v>27.0</v>
      </c>
      <c r="D2786" s="39" t="s">
        <v>10933</v>
      </c>
      <c r="E2786" s="27" t="s">
        <v>72</v>
      </c>
      <c r="F2786" s="18" t="s">
        <v>48</v>
      </c>
      <c r="G2786" s="32" t="s">
        <v>35</v>
      </c>
      <c r="H2786" s="23" t="s">
        <v>35</v>
      </c>
      <c r="I2786" s="37" t="s">
        <v>36</v>
      </c>
      <c r="J2786" s="25" t="s">
        <v>420</v>
      </c>
      <c r="K2786" s="26" t="s">
        <v>38</v>
      </c>
      <c r="L2786" s="25">
        <v>11868.0</v>
      </c>
      <c r="M2786" s="27" t="s">
        <v>50</v>
      </c>
      <c r="N2786" s="26" t="s">
        <v>4031</v>
      </c>
      <c r="O2786" s="28">
        <v>45595.56298663194</v>
      </c>
      <c r="P2786" s="26" t="s">
        <v>10934</v>
      </c>
      <c r="Q2786" s="11" t="s">
        <v>67</v>
      </c>
      <c r="R2786" s="11" t="s">
        <v>67</v>
      </c>
      <c r="S2786" s="11" t="s">
        <v>50</v>
      </c>
      <c r="T2786" s="29">
        <v>45594.70076420139</v>
      </c>
      <c r="U2786" s="29">
        <v>45595.43828523148</v>
      </c>
      <c r="V2786" s="29">
        <v>45595.445037592595</v>
      </c>
      <c r="W2786" s="38"/>
      <c r="X2786" s="30"/>
      <c r="Y2786" s="31"/>
      <c r="Z2786" s="31"/>
      <c r="AA2786" s="31" t="s">
        <v>120</v>
      </c>
      <c r="AB2786" s="160" t="s">
        <v>10935</v>
      </c>
      <c r="AC2786" s="31"/>
    </row>
    <row r="2787" ht="18.75" customHeight="1">
      <c r="A2787" s="142" t="s">
        <v>10936</v>
      </c>
      <c r="B2787" s="19" t="s">
        <v>10937</v>
      </c>
      <c r="C2787" s="20">
        <v>1.0</v>
      </c>
      <c r="D2787" s="21" t="s">
        <v>10938</v>
      </c>
      <c r="E2787" s="27" t="s">
        <v>3395</v>
      </c>
      <c r="F2787" s="18" t="s">
        <v>48</v>
      </c>
      <c r="G2787" s="32" t="s">
        <v>35</v>
      </c>
      <c r="H2787" s="23" t="s">
        <v>35</v>
      </c>
      <c r="I2787" s="37" t="s">
        <v>36</v>
      </c>
      <c r="J2787" s="25" t="s">
        <v>92</v>
      </c>
      <c r="K2787" s="26" t="s">
        <v>38</v>
      </c>
      <c r="L2787" s="25">
        <v>11874.0</v>
      </c>
      <c r="M2787" s="27" t="s">
        <v>50</v>
      </c>
      <c r="N2787" s="26" t="s">
        <v>10939</v>
      </c>
      <c r="O2787" s="28">
        <v>45595.494340150464</v>
      </c>
      <c r="P2787" s="26" t="s">
        <v>10940</v>
      </c>
      <c r="Q2787" s="11" t="s">
        <v>67</v>
      </c>
      <c r="R2787" s="11" t="s">
        <v>67</v>
      </c>
      <c r="S2787" s="11" t="s">
        <v>50</v>
      </c>
      <c r="T2787" s="29">
        <v>45594.7022788426</v>
      </c>
      <c r="U2787" s="29">
        <v>45595.49003703704</v>
      </c>
      <c r="V2787" s="29">
        <v>45595.49196275463</v>
      </c>
      <c r="W2787" s="38"/>
      <c r="X2787" s="30"/>
      <c r="Y2787" s="31"/>
      <c r="Z2787" s="31"/>
      <c r="AA2787" s="31" t="s">
        <v>120</v>
      </c>
      <c r="AB2787" s="31" t="s">
        <v>10941</v>
      </c>
      <c r="AC2787" s="31"/>
    </row>
    <row r="2788" ht="18.75" customHeight="1">
      <c r="A2788" s="142" t="s">
        <v>10942</v>
      </c>
      <c r="B2788" s="19" t="s">
        <v>8933</v>
      </c>
      <c r="C2788" s="20">
        <v>27.0</v>
      </c>
      <c r="D2788" s="39" t="s">
        <v>10943</v>
      </c>
      <c r="E2788" s="27" t="s">
        <v>72</v>
      </c>
      <c r="F2788" s="18" t="s">
        <v>48</v>
      </c>
      <c r="G2788" s="32" t="s">
        <v>35</v>
      </c>
      <c r="H2788" s="23" t="s">
        <v>35</v>
      </c>
      <c r="I2788" s="37" t="s">
        <v>36</v>
      </c>
      <c r="J2788" s="34" t="s">
        <v>65</v>
      </c>
      <c r="K2788" s="26" t="s">
        <v>38</v>
      </c>
      <c r="L2788" s="25">
        <v>11869.0</v>
      </c>
      <c r="M2788" s="27" t="s">
        <v>50</v>
      </c>
      <c r="N2788" s="26" t="s">
        <v>5279</v>
      </c>
      <c r="O2788" s="28">
        <v>45595.61971090278</v>
      </c>
      <c r="P2788" s="26" t="s">
        <v>10944</v>
      </c>
      <c r="Q2788" s="11" t="s">
        <v>67</v>
      </c>
      <c r="R2788" s="11" t="s">
        <v>67</v>
      </c>
      <c r="S2788" s="11" t="s">
        <v>50</v>
      </c>
      <c r="T2788" s="29">
        <v>45594.70431930556</v>
      </c>
      <c r="U2788" s="29">
        <v>45595.44060004629</v>
      </c>
      <c r="V2788" s="29">
        <v>45595.44536655092</v>
      </c>
      <c r="W2788" s="38"/>
      <c r="X2788" s="30"/>
      <c r="Y2788" s="31"/>
      <c r="Z2788" s="31"/>
      <c r="AA2788" s="31" t="s">
        <v>94</v>
      </c>
      <c r="AB2788" s="31" t="s">
        <v>10945</v>
      </c>
      <c r="AC2788" s="31"/>
    </row>
    <row r="2789" ht="18.75" customHeight="1">
      <c r="A2789" s="142" t="s">
        <v>10946</v>
      </c>
      <c r="B2789" s="19" t="s">
        <v>5313</v>
      </c>
      <c r="C2789" s="20">
        <v>11.0</v>
      </c>
      <c r="D2789" s="21" t="s">
        <v>10947</v>
      </c>
      <c r="E2789" s="27" t="s">
        <v>112</v>
      </c>
      <c r="F2789" s="18" t="s">
        <v>48</v>
      </c>
      <c r="G2789" s="32" t="s">
        <v>35</v>
      </c>
      <c r="H2789" s="23" t="s">
        <v>35</v>
      </c>
      <c r="I2789" s="37" t="s">
        <v>36</v>
      </c>
      <c r="J2789" s="34" t="s">
        <v>65</v>
      </c>
      <c r="K2789" s="26" t="s">
        <v>38</v>
      </c>
      <c r="L2789" s="25">
        <v>11870.0</v>
      </c>
      <c r="M2789" s="27" t="s">
        <v>50</v>
      </c>
      <c r="N2789" s="26" t="s">
        <v>5279</v>
      </c>
      <c r="O2789" s="28">
        <v>45595.619799340275</v>
      </c>
      <c r="P2789" s="26" t="s">
        <v>10948</v>
      </c>
      <c r="Q2789" s="11" t="s">
        <v>67</v>
      </c>
      <c r="R2789" s="11" t="s">
        <v>67</v>
      </c>
      <c r="S2789" s="11" t="s">
        <v>50</v>
      </c>
      <c r="T2789" s="29">
        <v>45594.70698671296</v>
      </c>
      <c r="U2789" s="29">
        <v>45595.44291511574</v>
      </c>
      <c r="V2789" s="29">
        <v>45595.44748833333</v>
      </c>
      <c r="W2789" s="38"/>
      <c r="X2789" s="30"/>
      <c r="Y2789" s="31"/>
      <c r="Z2789" s="31"/>
      <c r="AA2789" s="31" t="s">
        <v>94</v>
      </c>
      <c r="AB2789" s="31" t="s">
        <v>10949</v>
      </c>
      <c r="AC2789" s="31"/>
    </row>
    <row r="2790" ht="18.75" customHeight="1">
      <c r="A2790" s="142" t="s">
        <v>10950</v>
      </c>
      <c r="B2790" s="19" t="s">
        <v>115</v>
      </c>
      <c r="C2790" s="20">
        <v>27.0</v>
      </c>
      <c r="D2790" s="39" t="s">
        <v>10951</v>
      </c>
      <c r="E2790" s="27" t="s">
        <v>72</v>
      </c>
      <c r="F2790" s="18" t="s">
        <v>48</v>
      </c>
      <c r="G2790" s="32" t="s">
        <v>35</v>
      </c>
      <c r="H2790" s="23" t="s">
        <v>35</v>
      </c>
      <c r="I2790" s="37" t="s">
        <v>36</v>
      </c>
      <c r="J2790" s="25" t="s">
        <v>92</v>
      </c>
      <c r="K2790" s="26" t="s">
        <v>38</v>
      </c>
      <c r="L2790" s="25">
        <v>11872.0</v>
      </c>
      <c r="M2790" s="27" t="s">
        <v>50</v>
      </c>
      <c r="N2790" s="26" t="s">
        <v>7077</v>
      </c>
      <c r="O2790" s="28">
        <v>45601.6335718287</v>
      </c>
      <c r="P2790" s="26" t="s">
        <v>10952</v>
      </c>
      <c r="Q2790" s="11" t="s">
        <v>67</v>
      </c>
      <c r="R2790" s="11" t="s">
        <v>67</v>
      </c>
      <c r="S2790" s="11" t="s">
        <v>50</v>
      </c>
      <c r="T2790" s="29">
        <v>45595.386024479165</v>
      </c>
      <c r="U2790" s="29">
        <v>45595.44152599537</v>
      </c>
      <c r="V2790" s="29">
        <v>45595.448830636575</v>
      </c>
      <c r="W2790" s="38"/>
      <c r="X2790" s="30"/>
      <c r="Y2790" s="31"/>
      <c r="Z2790" s="31"/>
      <c r="AA2790" s="31" t="s">
        <v>120</v>
      </c>
      <c r="AB2790" s="31" t="s">
        <v>10953</v>
      </c>
      <c r="AC2790" s="31"/>
    </row>
    <row r="2791" ht="18.75" customHeight="1">
      <c r="A2791" s="142" t="s">
        <v>10954</v>
      </c>
      <c r="B2791" s="19" t="s">
        <v>115</v>
      </c>
      <c r="C2791" s="20">
        <v>1.0</v>
      </c>
      <c r="D2791" s="21" t="s">
        <v>10955</v>
      </c>
      <c r="E2791" s="27" t="s">
        <v>3395</v>
      </c>
      <c r="F2791" s="18" t="s">
        <v>48</v>
      </c>
      <c r="G2791" s="32" t="s">
        <v>35</v>
      </c>
      <c r="H2791" s="23" t="s">
        <v>35</v>
      </c>
      <c r="I2791" s="37" t="s">
        <v>36</v>
      </c>
      <c r="J2791" s="25" t="s">
        <v>92</v>
      </c>
      <c r="K2791" s="26" t="s">
        <v>38</v>
      </c>
      <c r="L2791" s="25">
        <v>11875.0</v>
      </c>
      <c r="M2791" s="27" t="s">
        <v>50</v>
      </c>
      <c r="N2791" s="26" t="s">
        <v>7077</v>
      </c>
      <c r="O2791" s="28">
        <v>45601.63362421296</v>
      </c>
      <c r="P2791" s="26" t="s">
        <v>10956</v>
      </c>
      <c r="Q2791" s="11" t="s">
        <v>67</v>
      </c>
      <c r="R2791" s="11" t="s">
        <v>67</v>
      </c>
      <c r="S2791" s="11" t="s">
        <v>50</v>
      </c>
      <c r="T2791" s="29">
        <v>45595.3903050463</v>
      </c>
      <c r="U2791" s="29">
        <v>45595.49870189815</v>
      </c>
      <c r="V2791" s="29">
        <v>45595.62227802083</v>
      </c>
      <c r="W2791" s="38"/>
      <c r="X2791" s="30"/>
      <c r="Y2791" s="31"/>
      <c r="Z2791" s="31"/>
      <c r="AA2791" s="31" t="s">
        <v>120</v>
      </c>
      <c r="AB2791" s="31" t="s">
        <v>10957</v>
      </c>
      <c r="AC2791" s="31"/>
    </row>
    <row r="2792" ht="18.75" customHeight="1">
      <c r="A2792" s="151" t="s">
        <v>10958</v>
      </c>
      <c r="B2792" s="19" t="s">
        <v>4215</v>
      </c>
      <c r="C2792" s="20">
        <v>137.0</v>
      </c>
      <c r="D2792" s="61" t="s">
        <v>10959</v>
      </c>
      <c r="E2792" s="27" t="s">
        <v>85</v>
      </c>
      <c r="F2792" s="18" t="s">
        <v>48</v>
      </c>
      <c r="G2792" s="32" t="s">
        <v>35</v>
      </c>
      <c r="H2792" s="23" t="s">
        <v>35</v>
      </c>
      <c r="I2792" s="37" t="s">
        <v>36</v>
      </c>
      <c r="J2792" s="25" t="s">
        <v>420</v>
      </c>
      <c r="K2792" s="26" t="s">
        <v>38</v>
      </c>
      <c r="L2792" s="64" t="s">
        <v>2250</v>
      </c>
      <c r="M2792" s="27" t="s">
        <v>50</v>
      </c>
      <c r="N2792" s="26" t="s">
        <v>4031</v>
      </c>
      <c r="O2792" s="28">
        <v>45649.594609629625</v>
      </c>
      <c r="P2792" s="26" t="s">
        <v>10960</v>
      </c>
      <c r="Q2792" s="11" t="s">
        <v>67</v>
      </c>
      <c r="R2792" s="11" t="s">
        <v>67</v>
      </c>
      <c r="S2792" s="11" t="s">
        <v>73</v>
      </c>
      <c r="T2792" s="29">
        <v>45595.39231996528</v>
      </c>
      <c r="U2792" s="29">
        <v>45595.49835483797</v>
      </c>
      <c r="V2792" s="29">
        <v>45644.77584347222</v>
      </c>
      <c r="W2792" s="11"/>
      <c r="X2792" s="30"/>
      <c r="Y2792" s="66">
        <v>-11980.0</v>
      </c>
      <c r="Z2792" s="31"/>
      <c r="AA2792" s="31"/>
      <c r="AB2792" s="31" t="s">
        <v>10961</v>
      </c>
      <c r="AC2792" s="31"/>
    </row>
    <row r="2793" ht="18.75" customHeight="1">
      <c r="A2793" s="142" t="s">
        <v>10962</v>
      </c>
      <c r="B2793" s="19" t="s">
        <v>8743</v>
      </c>
      <c r="C2793" s="20">
        <v>34.0</v>
      </c>
      <c r="D2793" s="21" t="s">
        <v>10963</v>
      </c>
      <c r="E2793" s="27" t="s">
        <v>47</v>
      </c>
      <c r="F2793" s="18" t="s">
        <v>48</v>
      </c>
      <c r="G2793" s="32" t="s">
        <v>35</v>
      </c>
      <c r="H2793" s="23" t="s">
        <v>35</v>
      </c>
      <c r="I2793" s="37" t="s">
        <v>36</v>
      </c>
      <c r="J2793" s="34" t="s">
        <v>9338</v>
      </c>
      <c r="K2793" s="26" t="s">
        <v>38</v>
      </c>
      <c r="L2793" s="25">
        <v>11947.0</v>
      </c>
      <c r="M2793" s="27" t="s">
        <v>50</v>
      </c>
      <c r="N2793" s="26" t="s">
        <v>9389</v>
      </c>
      <c r="O2793" s="28">
        <v>45604.5751581713</v>
      </c>
      <c r="P2793" s="26" t="s">
        <v>10964</v>
      </c>
      <c r="Q2793" s="11" t="s">
        <v>67</v>
      </c>
      <c r="R2793" s="11" t="s">
        <v>67</v>
      </c>
      <c r="S2793" s="11" t="s">
        <v>50</v>
      </c>
      <c r="T2793" s="29">
        <v>45595.39551107639</v>
      </c>
      <c r="U2793" s="29">
        <v>45603.60756891203</v>
      </c>
      <c r="V2793" s="29">
        <v>45604.35777148148</v>
      </c>
      <c r="W2793" s="38"/>
      <c r="X2793" s="30"/>
      <c r="Y2793" s="31"/>
      <c r="Z2793" s="31"/>
      <c r="AA2793" s="31" t="s">
        <v>3059</v>
      </c>
      <c r="AB2793" s="31" t="s">
        <v>10965</v>
      </c>
      <c r="AC2793" s="31"/>
    </row>
    <row r="2794" ht="18.75" customHeight="1">
      <c r="A2794" s="142" t="s">
        <v>10966</v>
      </c>
      <c r="B2794" s="19" t="s">
        <v>10967</v>
      </c>
      <c r="C2794" s="20">
        <v>0.0</v>
      </c>
      <c r="D2794" s="21" t="s">
        <v>10968</v>
      </c>
      <c r="E2794" s="27" t="s">
        <v>338</v>
      </c>
      <c r="F2794" s="18" t="s">
        <v>33</v>
      </c>
      <c r="G2794" s="32" t="s">
        <v>35</v>
      </c>
      <c r="H2794" s="23" t="s">
        <v>35</v>
      </c>
      <c r="I2794" s="37" t="s">
        <v>36</v>
      </c>
      <c r="J2794" s="25" t="s">
        <v>420</v>
      </c>
      <c r="K2794" s="26" t="s">
        <v>38</v>
      </c>
      <c r="L2794" s="25">
        <v>11891.0</v>
      </c>
      <c r="M2794" s="27" t="s">
        <v>50</v>
      </c>
      <c r="N2794" s="26" t="s">
        <v>4031</v>
      </c>
      <c r="O2794" s="28">
        <v>45597.56390228009</v>
      </c>
      <c r="P2794" s="26" t="s">
        <v>10969</v>
      </c>
      <c r="Q2794" s="11" t="s">
        <v>67</v>
      </c>
      <c r="R2794" s="11" t="s">
        <v>67</v>
      </c>
      <c r="S2794" s="11"/>
      <c r="T2794" s="29">
        <v>45596.438443657404</v>
      </c>
      <c r="U2794" s="29">
        <v>45596.43844875</v>
      </c>
      <c r="V2794" s="29"/>
      <c r="W2794" s="11"/>
      <c r="X2794" s="30"/>
      <c r="Y2794" s="31"/>
      <c r="Z2794" s="31"/>
      <c r="AA2794" s="31" t="s">
        <v>120</v>
      </c>
      <c r="AB2794" s="31" t="s">
        <v>10970</v>
      </c>
      <c r="AC2794" s="31"/>
    </row>
    <row r="2795" ht="18.75" customHeight="1">
      <c r="A2795" s="142" t="s">
        <v>10971</v>
      </c>
      <c r="B2795" s="19" t="s">
        <v>10080</v>
      </c>
      <c r="C2795" s="20">
        <v>27.0</v>
      </c>
      <c r="D2795" s="39" t="s">
        <v>10972</v>
      </c>
      <c r="E2795" s="27" t="s">
        <v>72</v>
      </c>
      <c r="F2795" s="18" t="s">
        <v>48</v>
      </c>
      <c r="G2795" s="32" t="s">
        <v>35</v>
      </c>
      <c r="H2795" s="23" t="s">
        <v>35</v>
      </c>
      <c r="I2795" s="37" t="s">
        <v>36</v>
      </c>
      <c r="J2795" s="25" t="s">
        <v>92</v>
      </c>
      <c r="K2795" s="26" t="s">
        <v>38</v>
      </c>
      <c r="L2795" s="25">
        <v>3.0</v>
      </c>
      <c r="M2795" s="27" t="s">
        <v>50</v>
      </c>
      <c r="N2795" s="26" t="s">
        <v>10081</v>
      </c>
      <c r="O2795" s="28">
        <v>45595.44210943287</v>
      </c>
      <c r="P2795" s="26" t="s">
        <v>10973</v>
      </c>
      <c r="Q2795" s="11" t="s">
        <v>67</v>
      </c>
      <c r="R2795" s="11" t="s">
        <v>67</v>
      </c>
      <c r="S2795" s="11" t="s">
        <v>50</v>
      </c>
      <c r="T2795" s="29">
        <v>45595.378946689816</v>
      </c>
      <c r="U2795" s="29">
        <v>45595.379026215276</v>
      </c>
      <c r="V2795" s="29">
        <v>45595.430932222225</v>
      </c>
      <c r="W2795" s="38"/>
      <c r="X2795" s="30"/>
      <c r="Y2795" s="31"/>
      <c r="Z2795" s="31"/>
      <c r="AA2795" s="31"/>
      <c r="AB2795" s="31" t="s">
        <v>10974</v>
      </c>
      <c r="AC2795" s="31"/>
    </row>
    <row r="2796" ht="18.75" customHeight="1">
      <c r="A2796" s="18" t="s">
        <v>10975</v>
      </c>
      <c r="B2796" s="19" t="s">
        <v>8943</v>
      </c>
      <c r="C2796" s="20">
        <v>27.0</v>
      </c>
      <c r="D2796" s="39" t="s">
        <v>10976</v>
      </c>
      <c r="E2796" s="27" t="s">
        <v>72</v>
      </c>
      <c r="F2796" s="18" t="s">
        <v>48</v>
      </c>
      <c r="G2796" s="32" t="s">
        <v>35</v>
      </c>
      <c r="H2796" s="23" t="s">
        <v>35</v>
      </c>
      <c r="I2796" s="37" t="s">
        <v>36</v>
      </c>
      <c r="J2796" s="25" t="s">
        <v>49</v>
      </c>
      <c r="K2796" s="26" t="s">
        <v>10977</v>
      </c>
      <c r="L2796" s="25">
        <v>11873.0</v>
      </c>
      <c r="M2796" s="27" t="s">
        <v>50</v>
      </c>
      <c r="N2796" s="26" t="s">
        <v>99</v>
      </c>
      <c r="O2796" s="28">
        <v>45595.6017612963</v>
      </c>
      <c r="P2796" s="26" t="s">
        <v>10978</v>
      </c>
      <c r="Q2796" s="11" t="s">
        <v>67</v>
      </c>
      <c r="R2796" s="11" t="s">
        <v>67</v>
      </c>
      <c r="S2796" s="11" t="s">
        <v>50</v>
      </c>
      <c r="T2796" s="29">
        <v>45595.40948152778</v>
      </c>
      <c r="U2796" s="29">
        <v>45595.41131761574</v>
      </c>
      <c r="V2796" s="29">
        <v>45595.4359803125</v>
      </c>
      <c r="W2796" s="38"/>
      <c r="X2796" s="30"/>
      <c r="Y2796" s="31"/>
      <c r="Z2796" s="31"/>
      <c r="AA2796" s="31" t="s">
        <v>3385</v>
      </c>
      <c r="AB2796" s="31" t="s">
        <v>10979</v>
      </c>
      <c r="AC2796" s="31"/>
    </row>
    <row r="2797" ht="18.75" customHeight="1">
      <c r="A2797" s="18" t="s">
        <v>10980</v>
      </c>
      <c r="B2797" s="19" t="s">
        <v>8943</v>
      </c>
      <c r="C2797" s="47">
        <v>27.0</v>
      </c>
      <c r="D2797" s="39" t="s">
        <v>10981</v>
      </c>
      <c r="E2797" s="27" t="s">
        <v>72</v>
      </c>
      <c r="F2797" s="18" t="s">
        <v>48</v>
      </c>
      <c r="G2797" s="32" t="s">
        <v>35</v>
      </c>
      <c r="H2797" s="23" t="s">
        <v>35</v>
      </c>
      <c r="I2797" s="37" t="s">
        <v>36</v>
      </c>
      <c r="J2797" s="25" t="s">
        <v>49</v>
      </c>
      <c r="K2797" s="26" t="s">
        <v>10977</v>
      </c>
      <c r="L2797" s="25">
        <v>11873.0</v>
      </c>
      <c r="M2797" s="27" t="s">
        <v>50</v>
      </c>
      <c r="N2797" s="26" t="s">
        <v>99</v>
      </c>
      <c r="O2797" s="28">
        <v>45595.60153351852</v>
      </c>
      <c r="P2797" s="26" t="s">
        <v>10978</v>
      </c>
      <c r="Q2797" s="11" t="s">
        <v>67</v>
      </c>
      <c r="R2797" s="11" t="s">
        <v>67</v>
      </c>
      <c r="S2797" s="11" t="s">
        <v>50</v>
      </c>
      <c r="T2797" s="29">
        <v>45595.40957372685</v>
      </c>
      <c r="U2797" s="29">
        <v>45595.41138252315</v>
      </c>
      <c r="V2797" s="29">
        <v>45595.435989375</v>
      </c>
      <c r="W2797" s="38"/>
      <c r="X2797" s="30"/>
      <c r="Y2797" s="31"/>
      <c r="Z2797" s="31"/>
      <c r="AA2797" s="31" t="s">
        <v>3385</v>
      </c>
      <c r="AB2797" s="31" t="s">
        <v>10982</v>
      </c>
      <c r="AC2797" s="31"/>
    </row>
    <row r="2798" ht="18.75" customHeight="1">
      <c r="A2798" s="142" t="s">
        <v>10983</v>
      </c>
      <c r="B2798" s="19" t="s">
        <v>10984</v>
      </c>
      <c r="C2798" s="20">
        <v>11.0</v>
      </c>
      <c r="D2798" s="21" t="s">
        <v>10985</v>
      </c>
      <c r="E2798" s="27" t="s">
        <v>112</v>
      </c>
      <c r="F2798" s="18" t="s">
        <v>48</v>
      </c>
      <c r="G2798" s="32" t="s">
        <v>35</v>
      </c>
      <c r="H2798" s="23" t="s">
        <v>35</v>
      </c>
      <c r="I2798" s="37" t="s">
        <v>36</v>
      </c>
      <c r="J2798" s="34" t="s">
        <v>65</v>
      </c>
      <c r="K2798" s="26" t="s">
        <v>38</v>
      </c>
      <c r="L2798" s="25">
        <v>11963.0</v>
      </c>
      <c r="M2798" s="27" t="s">
        <v>50</v>
      </c>
      <c r="N2798" s="26" t="s">
        <v>8104</v>
      </c>
      <c r="O2798" s="28">
        <v>45607.63615320602</v>
      </c>
      <c r="P2798" s="26" t="s">
        <v>10986</v>
      </c>
      <c r="Q2798" s="11" t="s">
        <v>67</v>
      </c>
      <c r="R2798" s="11" t="s">
        <v>67</v>
      </c>
      <c r="S2798" s="11" t="s">
        <v>50</v>
      </c>
      <c r="T2798" s="29">
        <v>45595.43315759259</v>
      </c>
      <c r="U2798" s="29">
        <v>45607.59465679398</v>
      </c>
      <c r="V2798" s="29">
        <v>45607.60936086805</v>
      </c>
      <c r="W2798" s="38"/>
      <c r="X2798" s="30"/>
      <c r="Y2798" s="31"/>
      <c r="Z2798" s="31"/>
      <c r="AA2798" s="31" t="s">
        <v>94</v>
      </c>
      <c r="AB2798" s="31" t="s">
        <v>10987</v>
      </c>
      <c r="AC2798" s="31"/>
    </row>
    <row r="2799" ht="18.75" customHeight="1">
      <c r="A2799" s="142" t="s">
        <v>10988</v>
      </c>
      <c r="B2799" s="19" t="s">
        <v>10989</v>
      </c>
      <c r="C2799" s="20">
        <v>90.0</v>
      </c>
      <c r="D2799" s="21" t="s">
        <v>10990</v>
      </c>
      <c r="E2799" s="27" t="s">
        <v>91</v>
      </c>
      <c r="F2799" s="18" t="s">
        <v>48</v>
      </c>
      <c r="G2799" s="32" t="s">
        <v>35</v>
      </c>
      <c r="H2799" s="23" t="s">
        <v>35</v>
      </c>
      <c r="I2799" s="37" t="s">
        <v>36</v>
      </c>
      <c r="J2799" s="34" t="s">
        <v>65</v>
      </c>
      <c r="K2799" s="26" t="s">
        <v>38</v>
      </c>
      <c r="L2799" s="25">
        <v>12366.0</v>
      </c>
      <c r="M2799" s="27" t="s">
        <v>50</v>
      </c>
      <c r="N2799" s="26" t="s">
        <v>10991</v>
      </c>
      <c r="O2799" s="28">
        <v>45653.44421599537</v>
      </c>
      <c r="P2799" s="26" t="s">
        <v>10992</v>
      </c>
      <c r="Q2799" s="11" t="s">
        <v>67</v>
      </c>
      <c r="R2799" s="11" t="s">
        <v>67</v>
      </c>
      <c r="S2799" s="11" t="s">
        <v>50</v>
      </c>
      <c r="T2799" s="29">
        <v>45595.43414633102</v>
      </c>
      <c r="U2799" s="29">
        <v>45652.4673665625</v>
      </c>
      <c r="V2799" s="29">
        <v>45652.64652863426</v>
      </c>
      <c r="W2799" s="11"/>
      <c r="X2799" s="30"/>
      <c r="Y2799" s="31"/>
      <c r="Z2799" s="31"/>
      <c r="AA2799" s="31" t="s">
        <v>94</v>
      </c>
      <c r="AB2799" s="31" t="s">
        <v>10993</v>
      </c>
      <c r="AC2799" s="31"/>
    </row>
    <row r="2800" ht="18.75" customHeight="1">
      <c r="A2800" s="142" t="s">
        <v>10994</v>
      </c>
      <c r="B2800" s="19" t="s">
        <v>6153</v>
      </c>
      <c r="C2800" s="20">
        <v>27.0</v>
      </c>
      <c r="D2800" s="39" t="s">
        <v>10995</v>
      </c>
      <c r="E2800" s="27" t="s">
        <v>72</v>
      </c>
      <c r="F2800" s="18" t="s">
        <v>48</v>
      </c>
      <c r="G2800" s="32" t="s">
        <v>35</v>
      </c>
      <c r="H2800" s="23" t="s">
        <v>35</v>
      </c>
      <c r="I2800" s="37" t="s">
        <v>36</v>
      </c>
      <c r="J2800" s="34" t="s">
        <v>65</v>
      </c>
      <c r="K2800" s="26" t="s">
        <v>38</v>
      </c>
      <c r="L2800" s="25">
        <v>11878.0</v>
      </c>
      <c r="M2800" s="27" t="s">
        <v>50</v>
      </c>
      <c r="N2800" s="26" t="s">
        <v>5279</v>
      </c>
      <c r="O2800" s="28">
        <v>45596.664223078704</v>
      </c>
      <c r="P2800" s="26" t="s">
        <v>10996</v>
      </c>
      <c r="Q2800" s="11" t="s">
        <v>67</v>
      </c>
      <c r="R2800" s="11" t="s">
        <v>67</v>
      </c>
      <c r="S2800" s="11" t="s">
        <v>50</v>
      </c>
      <c r="T2800" s="29">
        <v>45595.45173865741</v>
      </c>
      <c r="U2800" s="29">
        <v>45595.57140797454</v>
      </c>
      <c r="V2800" s="29">
        <v>45596.3691684838</v>
      </c>
      <c r="W2800" s="38"/>
      <c r="X2800" s="30"/>
      <c r="Y2800" s="31"/>
      <c r="Z2800" s="31"/>
      <c r="AA2800" s="31" t="s">
        <v>94</v>
      </c>
      <c r="AB2800" s="31" t="s">
        <v>10997</v>
      </c>
      <c r="AC2800" s="31"/>
    </row>
    <row r="2801" ht="18.75" customHeight="1">
      <c r="A2801" s="142" t="s">
        <v>10998</v>
      </c>
      <c r="B2801" s="19" t="s">
        <v>725</v>
      </c>
      <c r="C2801" s="20">
        <v>11.0</v>
      </c>
      <c r="D2801" s="21" t="s">
        <v>10999</v>
      </c>
      <c r="E2801" s="27" t="s">
        <v>112</v>
      </c>
      <c r="F2801" s="18" t="s">
        <v>48</v>
      </c>
      <c r="G2801" s="32" t="s">
        <v>35</v>
      </c>
      <c r="H2801" s="23" t="s">
        <v>35</v>
      </c>
      <c r="I2801" s="37" t="s">
        <v>36</v>
      </c>
      <c r="J2801" s="25" t="s">
        <v>49</v>
      </c>
      <c r="K2801" s="26" t="s">
        <v>38</v>
      </c>
      <c r="L2801" s="25">
        <v>11879.0</v>
      </c>
      <c r="M2801" s="27" t="s">
        <v>50</v>
      </c>
      <c r="N2801" s="26" t="s">
        <v>5936</v>
      </c>
      <c r="O2801" s="28">
        <v>45596.57799844907</v>
      </c>
      <c r="P2801" s="26" t="s">
        <v>11000</v>
      </c>
      <c r="Q2801" s="11" t="s">
        <v>67</v>
      </c>
      <c r="R2801" s="11" t="s">
        <v>67</v>
      </c>
      <c r="S2801" s="11" t="s">
        <v>50</v>
      </c>
      <c r="T2801" s="29">
        <v>45595.50151292824</v>
      </c>
      <c r="U2801" s="29">
        <v>45595.55448907407</v>
      </c>
      <c r="V2801" s="29">
        <v>45596.36719127315</v>
      </c>
      <c r="W2801" s="38"/>
      <c r="X2801" s="30"/>
      <c r="Y2801" s="31"/>
      <c r="Z2801" s="31"/>
      <c r="AA2801" s="31" t="s">
        <v>102</v>
      </c>
      <c r="AB2801" s="31" t="s">
        <v>11001</v>
      </c>
      <c r="AC2801" s="31"/>
    </row>
    <row r="2802" ht="18.75" customHeight="1">
      <c r="A2802" s="18" t="s">
        <v>11002</v>
      </c>
      <c r="B2802" s="19" t="s">
        <v>11003</v>
      </c>
      <c r="C2802" s="20">
        <v>0.0</v>
      </c>
      <c r="D2802" s="21" t="s">
        <v>525</v>
      </c>
      <c r="E2802" s="22" t="s">
        <v>882</v>
      </c>
      <c r="F2802" s="18" t="s">
        <v>33</v>
      </c>
      <c r="G2802" s="32" t="s">
        <v>35</v>
      </c>
      <c r="H2802" s="23" t="s">
        <v>35</v>
      </c>
      <c r="I2802" s="37" t="s">
        <v>36</v>
      </c>
      <c r="J2802" s="34" t="s">
        <v>11004</v>
      </c>
      <c r="K2802" s="26" t="s">
        <v>38</v>
      </c>
      <c r="L2802" s="25">
        <v>12042.0</v>
      </c>
      <c r="M2802" s="27" t="s">
        <v>50</v>
      </c>
      <c r="N2802" s="26" t="s">
        <v>11005</v>
      </c>
      <c r="O2802" s="28">
        <v>45617.76626042824</v>
      </c>
      <c r="P2802" s="35" t="s">
        <v>11006</v>
      </c>
      <c r="Q2802" s="11" t="s">
        <v>67</v>
      </c>
      <c r="R2802" s="11" t="s">
        <v>67</v>
      </c>
      <c r="S2802" s="11" t="s">
        <v>101</v>
      </c>
      <c r="T2802" s="29">
        <v>45595.6973269213</v>
      </c>
      <c r="U2802" s="29">
        <v>45617.56128032407</v>
      </c>
      <c r="V2802" s="29">
        <v>45617.0</v>
      </c>
      <c r="W2802" s="60"/>
      <c r="X2802" s="30"/>
      <c r="Y2802" s="31"/>
      <c r="Z2802" s="31"/>
      <c r="AA2802" s="31" t="s">
        <v>127</v>
      </c>
      <c r="AB2802" s="31" t="s">
        <v>11007</v>
      </c>
      <c r="AC2802" s="31"/>
    </row>
    <row r="2803" ht="18.75" customHeight="1">
      <c r="A2803" s="18" t="s">
        <v>11008</v>
      </c>
      <c r="B2803" s="19" t="s">
        <v>11003</v>
      </c>
      <c r="C2803" s="20">
        <v>0.0</v>
      </c>
      <c r="D2803" s="21" t="s">
        <v>11009</v>
      </c>
      <c r="E2803" s="22" t="s">
        <v>882</v>
      </c>
      <c r="F2803" s="18" t="s">
        <v>33</v>
      </c>
      <c r="G2803" s="32" t="s">
        <v>35</v>
      </c>
      <c r="H2803" s="23" t="s">
        <v>35</v>
      </c>
      <c r="I2803" s="37" t="s">
        <v>36</v>
      </c>
      <c r="J2803" s="34" t="s">
        <v>11004</v>
      </c>
      <c r="K2803" s="26" t="s">
        <v>38</v>
      </c>
      <c r="L2803" s="25">
        <v>12042.0</v>
      </c>
      <c r="M2803" s="27" t="s">
        <v>50</v>
      </c>
      <c r="N2803" s="26" t="s">
        <v>11005</v>
      </c>
      <c r="O2803" s="28">
        <v>45617.765527881944</v>
      </c>
      <c r="P2803" s="35" t="s">
        <v>11006</v>
      </c>
      <c r="Q2803" s="11" t="s">
        <v>67</v>
      </c>
      <c r="R2803" s="11" t="s">
        <v>67</v>
      </c>
      <c r="S2803" s="11" t="s">
        <v>101</v>
      </c>
      <c r="T2803" s="29">
        <v>45595.697726875005</v>
      </c>
      <c r="U2803" s="29">
        <v>45617.56126306713</v>
      </c>
      <c r="V2803" s="29">
        <v>45617.0</v>
      </c>
      <c r="W2803" s="60"/>
      <c r="X2803" s="30"/>
      <c r="Y2803" s="31"/>
      <c r="Z2803" s="31"/>
      <c r="AA2803" s="31" t="s">
        <v>127</v>
      </c>
      <c r="AB2803" s="31" t="s">
        <v>11010</v>
      </c>
      <c r="AC2803" s="31"/>
    </row>
    <row r="2804" ht="18.75" customHeight="1">
      <c r="A2804" s="18" t="s">
        <v>11011</v>
      </c>
      <c r="B2804" s="19" t="s">
        <v>11003</v>
      </c>
      <c r="C2804" s="20">
        <v>0.0</v>
      </c>
      <c r="D2804" s="21" t="s">
        <v>11012</v>
      </c>
      <c r="E2804" s="22" t="s">
        <v>882</v>
      </c>
      <c r="F2804" s="18" t="s">
        <v>33</v>
      </c>
      <c r="G2804" s="32" t="s">
        <v>35</v>
      </c>
      <c r="H2804" s="23" t="s">
        <v>35</v>
      </c>
      <c r="I2804" s="37" t="s">
        <v>36</v>
      </c>
      <c r="J2804" s="34" t="s">
        <v>11004</v>
      </c>
      <c r="K2804" s="26" t="s">
        <v>38</v>
      </c>
      <c r="L2804" s="25">
        <v>12042.0</v>
      </c>
      <c r="M2804" s="27" t="s">
        <v>50</v>
      </c>
      <c r="N2804" s="26" t="s">
        <v>11005</v>
      </c>
      <c r="O2804" s="28">
        <v>45617.76592619213</v>
      </c>
      <c r="P2804" s="35" t="s">
        <v>11006</v>
      </c>
      <c r="Q2804" s="11" t="s">
        <v>67</v>
      </c>
      <c r="R2804" s="11" t="s">
        <v>67</v>
      </c>
      <c r="S2804" s="11" t="s">
        <v>101</v>
      </c>
      <c r="T2804" s="29">
        <v>45595.69778238426</v>
      </c>
      <c r="U2804" s="29">
        <v>45617.56127543982</v>
      </c>
      <c r="V2804" s="29">
        <v>45617.0</v>
      </c>
      <c r="W2804" s="60"/>
      <c r="X2804" s="30"/>
      <c r="Y2804" s="31"/>
      <c r="Z2804" s="31"/>
      <c r="AA2804" s="31" t="s">
        <v>127</v>
      </c>
      <c r="AB2804" s="31" t="s">
        <v>11013</v>
      </c>
      <c r="AC2804" s="31"/>
    </row>
    <row r="2805" ht="18.75" customHeight="1">
      <c r="A2805" s="18" t="s">
        <v>11014</v>
      </c>
      <c r="B2805" s="19" t="s">
        <v>11003</v>
      </c>
      <c r="C2805" s="20">
        <v>0.0</v>
      </c>
      <c r="D2805" s="21" t="s">
        <v>542</v>
      </c>
      <c r="E2805" s="22" t="s">
        <v>882</v>
      </c>
      <c r="F2805" s="18" t="s">
        <v>33</v>
      </c>
      <c r="G2805" s="32" t="s">
        <v>35</v>
      </c>
      <c r="H2805" s="23" t="s">
        <v>35</v>
      </c>
      <c r="I2805" s="37" t="s">
        <v>36</v>
      </c>
      <c r="J2805" s="34" t="s">
        <v>11004</v>
      </c>
      <c r="K2805" s="26" t="s">
        <v>38</v>
      </c>
      <c r="L2805" s="25">
        <v>12042.0</v>
      </c>
      <c r="M2805" s="27" t="s">
        <v>50</v>
      </c>
      <c r="N2805" s="26" t="s">
        <v>11005</v>
      </c>
      <c r="O2805" s="28">
        <v>45617.765456493056</v>
      </c>
      <c r="P2805" s="35" t="s">
        <v>11006</v>
      </c>
      <c r="Q2805" s="11" t="s">
        <v>67</v>
      </c>
      <c r="R2805" s="11" t="s">
        <v>67</v>
      </c>
      <c r="S2805" s="11" t="s">
        <v>101</v>
      </c>
      <c r="T2805" s="29">
        <v>45595.69783837963</v>
      </c>
      <c r="U2805" s="29">
        <v>45617.56126497685</v>
      </c>
      <c r="V2805" s="29">
        <v>45617.0</v>
      </c>
      <c r="W2805" s="60"/>
      <c r="X2805" s="30"/>
      <c r="Y2805" s="31"/>
      <c r="Z2805" s="31"/>
      <c r="AA2805" s="31" t="s">
        <v>127</v>
      </c>
      <c r="AB2805" s="31" t="s">
        <v>11015</v>
      </c>
      <c r="AC2805" s="31"/>
    </row>
    <row r="2806" ht="18.75" customHeight="1">
      <c r="A2806" s="18" t="s">
        <v>11016</v>
      </c>
      <c r="B2806" s="19" t="s">
        <v>11003</v>
      </c>
      <c r="C2806" s="20">
        <v>0.0</v>
      </c>
      <c r="D2806" s="21" t="s">
        <v>11017</v>
      </c>
      <c r="E2806" s="22" t="s">
        <v>882</v>
      </c>
      <c r="F2806" s="18" t="s">
        <v>33</v>
      </c>
      <c r="G2806" s="32" t="s">
        <v>35</v>
      </c>
      <c r="H2806" s="23" t="s">
        <v>35</v>
      </c>
      <c r="I2806" s="37" t="s">
        <v>36</v>
      </c>
      <c r="J2806" s="34" t="s">
        <v>11004</v>
      </c>
      <c r="K2806" s="26" t="s">
        <v>38</v>
      </c>
      <c r="L2806" s="25">
        <v>12042.0</v>
      </c>
      <c r="M2806" s="27" t="s">
        <v>50</v>
      </c>
      <c r="N2806" s="26" t="s">
        <v>11005</v>
      </c>
      <c r="O2806" s="28">
        <v>45617.76568030093</v>
      </c>
      <c r="P2806" s="35" t="s">
        <v>11006</v>
      </c>
      <c r="Q2806" s="11" t="s">
        <v>67</v>
      </c>
      <c r="R2806" s="11" t="s">
        <v>67</v>
      </c>
      <c r="S2806" s="11" t="s">
        <v>101</v>
      </c>
      <c r="T2806" s="29">
        <v>45595.697891909724</v>
      </c>
      <c r="U2806" s="29">
        <v>45617.56126015046</v>
      </c>
      <c r="V2806" s="29">
        <v>45617.0</v>
      </c>
      <c r="W2806" s="60"/>
      <c r="X2806" s="30"/>
      <c r="Y2806" s="31"/>
      <c r="Z2806" s="31"/>
      <c r="AA2806" s="31" t="s">
        <v>127</v>
      </c>
      <c r="AB2806" s="31" t="s">
        <v>11018</v>
      </c>
      <c r="AC2806" s="31"/>
    </row>
    <row r="2807" ht="18.75" customHeight="1">
      <c r="A2807" s="18" t="s">
        <v>11019</v>
      </c>
      <c r="B2807" s="19" t="s">
        <v>11003</v>
      </c>
      <c r="C2807" s="20">
        <v>0.0</v>
      </c>
      <c r="D2807" s="21" t="s">
        <v>556</v>
      </c>
      <c r="E2807" s="22" t="s">
        <v>882</v>
      </c>
      <c r="F2807" s="18" t="s">
        <v>33</v>
      </c>
      <c r="G2807" s="32" t="s">
        <v>35</v>
      </c>
      <c r="H2807" s="23" t="s">
        <v>35</v>
      </c>
      <c r="I2807" s="37" t="s">
        <v>36</v>
      </c>
      <c r="J2807" s="34" t="s">
        <v>11004</v>
      </c>
      <c r="K2807" s="26" t="s">
        <v>38</v>
      </c>
      <c r="L2807" s="25">
        <v>12042.0</v>
      </c>
      <c r="M2807" s="27" t="s">
        <v>50</v>
      </c>
      <c r="N2807" s="26" t="s">
        <v>11005</v>
      </c>
      <c r="O2807" s="28">
        <v>45617.76606137732</v>
      </c>
      <c r="P2807" s="35" t="s">
        <v>11006</v>
      </c>
      <c r="Q2807" s="11" t="s">
        <v>67</v>
      </c>
      <c r="R2807" s="11" t="s">
        <v>67</v>
      </c>
      <c r="S2807" s="11" t="s">
        <v>101</v>
      </c>
      <c r="T2807" s="29">
        <v>45595.69794738426</v>
      </c>
      <c r="U2807" s="29">
        <v>45617.561244490746</v>
      </c>
      <c r="V2807" s="29">
        <v>45617.0</v>
      </c>
      <c r="W2807" s="60"/>
      <c r="X2807" s="30"/>
      <c r="Y2807" s="31"/>
      <c r="Z2807" s="31"/>
      <c r="AA2807" s="31" t="s">
        <v>127</v>
      </c>
      <c r="AB2807" s="31" t="s">
        <v>11020</v>
      </c>
      <c r="AC2807" s="31"/>
    </row>
    <row r="2808" ht="18.75" customHeight="1">
      <c r="A2808" s="18" t="s">
        <v>11021</v>
      </c>
      <c r="B2808" s="19" t="s">
        <v>11003</v>
      </c>
      <c r="C2808" s="20">
        <v>0.0</v>
      </c>
      <c r="D2808" s="21" t="s">
        <v>11022</v>
      </c>
      <c r="E2808" s="22" t="s">
        <v>882</v>
      </c>
      <c r="F2808" s="18" t="s">
        <v>33</v>
      </c>
      <c r="G2808" s="32" t="s">
        <v>35</v>
      </c>
      <c r="H2808" s="23" t="s">
        <v>35</v>
      </c>
      <c r="I2808" s="37" t="s">
        <v>36</v>
      </c>
      <c r="J2808" s="34" t="s">
        <v>11004</v>
      </c>
      <c r="K2808" s="26" t="s">
        <v>38</v>
      </c>
      <c r="L2808" s="25">
        <v>12042.0</v>
      </c>
      <c r="M2808" s="27" t="s">
        <v>50</v>
      </c>
      <c r="N2808" s="26" t="s">
        <v>11005</v>
      </c>
      <c r="O2808" s="28">
        <v>45617.76619267361</v>
      </c>
      <c r="P2808" s="35" t="s">
        <v>11006</v>
      </c>
      <c r="Q2808" s="11" t="s">
        <v>67</v>
      </c>
      <c r="R2808" s="11" t="s">
        <v>67</v>
      </c>
      <c r="S2808" s="11" t="s">
        <v>101</v>
      </c>
      <c r="T2808" s="29">
        <v>45595.69800892361</v>
      </c>
      <c r="U2808" s="29">
        <v>45617.561256307876</v>
      </c>
      <c r="V2808" s="29">
        <v>45617.0</v>
      </c>
      <c r="W2808" s="60"/>
      <c r="X2808" s="30"/>
      <c r="Y2808" s="31"/>
      <c r="Z2808" s="31"/>
      <c r="AA2808" s="31" t="s">
        <v>127</v>
      </c>
      <c r="AB2808" s="31" t="s">
        <v>11023</v>
      </c>
      <c r="AC2808" s="31"/>
    </row>
    <row r="2809" ht="18.75" customHeight="1">
      <c r="A2809" s="18" t="s">
        <v>11024</v>
      </c>
      <c r="B2809" s="19" t="s">
        <v>11003</v>
      </c>
      <c r="C2809" s="20">
        <v>0.0</v>
      </c>
      <c r="D2809" s="21" t="s">
        <v>11025</v>
      </c>
      <c r="E2809" s="22" t="s">
        <v>882</v>
      </c>
      <c r="F2809" s="18" t="s">
        <v>33</v>
      </c>
      <c r="G2809" s="32" t="s">
        <v>35</v>
      </c>
      <c r="H2809" s="23" t="s">
        <v>35</v>
      </c>
      <c r="I2809" s="37" t="s">
        <v>36</v>
      </c>
      <c r="J2809" s="34" t="s">
        <v>11004</v>
      </c>
      <c r="K2809" s="26" t="s">
        <v>38</v>
      </c>
      <c r="L2809" s="25">
        <v>12042.0</v>
      </c>
      <c r="M2809" s="27" t="s">
        <v>50</v>
      </c>
      <c r="N2809" s="26" t="s">
        <v>11005</v>
      </c>
      <c r="O2809" s="28">
        <v>45617.76599677083</v>
      </c>
      <c r="P2809" s="35" t="s">
        <v>11006</v>
      </c>
      <c r="Q2809" s="11" t="s">
        <v>67</v>
      </c>
      <c r="R2809" s="11" t="s">
        <v>67</v>
      </c>
      <c r="S2809" s="11" t="s">
        <v>101</v>
      </c>
      <c r="T2809" s="29">
        <v>45595.69806652778</v>
      </c>
      <c r="U2809" s="29">
        <v>45617.56127719907</v>
      </c>
      <c r="V2809" s="29">
        <v>45617.0</v>
      </c>
      <c r="W2809" s="60"/>
      <c r="X2809" s="30"/>
      <c r="Y2809" s="31"/>
      <c r="Z2809" s="31"/>
      <c r="AA2809" s="31" t="s">
        <v>127</v>
      </c>
      <c r="AB2809" s="31" t="s">
        <v>11026</v>
      </c>
      <c r="AC2809" s="31"/>
    </row>
    <row r="2810" ht="18.75" customHeight="1">
      <c r="A2810" s="18" t="s">
        <v>11027</v>
      </c>
      <c r="B2810" s="19" t="s">
        <v>11003</v>
      </c>
      <c r="C2810" s="20">
        <v>0.0</v>
      </c>
      <c r="D2810" s="21" t="s">
        <v>11028</v>
      </c>
      <c r="E2810" s="22" t="s">
        <v>882</v>
      </c>
      <c r="F2810" s="18" t="s">
        <v>33</v>
      </c>
      <c r="G2810" s="32" t="s">
        <v>35</v>
      </c>
      <c r="H2810" s="23" t="s">
        <v>35</v>
      </c>
      <c r="I2810" s="37" t="s">
        <v>36</v>
      </c>
      <c r="J2810" s="34" t="s">
        <v>11004</v>
      </c>
      <c r="K2810" s="26" t="s">
        <v>38</v>
      </c>
      <c r="L2810" s="25">
        <v>12042.0</v>
      </c>
      <c r="M2810" s="27" t="s">
        <v>50</v>
      </c>
      <c r="N2810" s="26" t="s">
        <v>11005</v>
      </c>
      <c r="O2810" s="28">
        <v>45617.76612894676</v>
      </c>
      <c r="P2810" s="35" t="s">
        <v>11006</v>
      </c>
      <c r="Q2810" s="11" t="s">
        <v>67</v>
      </c>
      <c r="R2810" s="11" t="s">
        <v>67</v>
      </c>
      <c r="S2810" s="11" t="s">
        <v>101</v>
      </c>
      <c r="T2810" s="29">
        <v>45595.69811953703</v>
      </c>
      <c r="U2810" s="29">
        <v>45617.56125114583</v>
      </c>
      <c r="V2810" s="29">
        <v>45617.0</v>
      </c>
      <c r="W2810" s="60"/>
      <c r="X2810" s="30"/>
      <c r="Y2810" s="31"/>
      <c r="Z2810" s="31"/>
      <c r="AA2810" s="31" t="s">
        <v>127</v>
      </c>
      <c r="AB2810" s="31" t="s">
        <v>11029</v>
      </c>
      <c r="AC2810" s="31"/>
    </row>
    <row r="2811" ht="18.75" customHeight="1">
      <c r="A2811" s="18" t="s">
        <v>11030</v>
      </c>
      <c r="B2811" s="19" t="s">
        <v>11003</v>
      </c>
      <c r="C2811" s="20">
        <v>0.0</v>
      </c>
      <c r="D2811" s="21" t="s">
        <v>11031</v>
      </c>
      <c r="E2811" s="22" t="s">
        <v>882</v>
      </c>
      <c r="F2811" s="18" t="s">
        <v>33</v>
      </c>
      <c r="G2811" s="32" t="s">
        <v>35</v>
      </c>
      <c r="H2811" s="23" t="s">
        <v>35</v>
      </c>
      <c r="I2811" s="37" t="s">
        <v>36</v>
      </c>
      <c r="J2811" s="34" t="s">
        <v>11004</v>
      </c>
      <c r="K2811" s="26" t="s">
        <v>38</v>
      </c>
      <c r="L2811" s="25">
        <v>12042.0</v>
      </c>
      <c r="M2811" s="27" t="s">
        <v>50</v>
      </c>
      <c r="N2811" s="26" t="s">
        <v>11005</v>
      </c>
      <c r="O2811" s="28">
        <v>45617.76584960648</v>
      </c>
      <c r="P2811" s="35" t="s">
        <v>11006</v>
      </c>
      <c r="Q2811" s="11" t="s">
        <v>67</v>
      </c>
      <c r="R2811" s="11" t="s">
        <v>67</v>
      </c>
      <c r="S2811" s="11" t="s">
        <v>101</v>
      </c>
      <c r="T2811" s="29">
        <v>45595.69817148148</v>
      </c>
      <c r="U2811" s="29">
        <v>45617.56120730324</v>
      </c>
      <c r="V2811" s="29">
        <v>45617.0</v>
      </c>
      <c r="W2811" s="60"/>
      <c r="X2811" s="30"/>
      <c r="Y2811" s="31"/>
      <c r="Z2811" s="31"/>
      <c r="AA2811" s="31" t="s">
        <v>127</v>
      </c>
      <c r="AB2811" s="31" t="s">
        <v>11032</v>
      </c>
      <c r="AC2811" s="31"/>
    </row>
    <row r="2812" ht="18.75" customHeight="1">
      <c r="A2812" s="18" t="s">
        <v>11033</v>
      </c>
      <c r="B2812" s="19" t="s">
        <v>11003</v>
      </c>
      <c r="C2812" s="20">
        <v>0.0</v>
      </c>
      <c r="D2812" s="21" t="s">
        <v>11034</v>
      </c>
      <c r="E2812" s="22" t="s">
        <v>882</v>
      </c>
      <c r="F2812" s="18" t="s">
        <v>33</v>
      </c>
      <c r="G2812" s="32" t="s">
        <v>35</v>
      </c>
      <c r="H2812" s="23" t="s">
        <v>35</v>
      </c>
      <c r="I2812" s="37" t="s">
        <v>36</v>
      </c>
      <c r="J2812" s="34" t="s">
        <v>11004</v>
      </c>
      <c r="K2812" s="26" t="s">
        <v>38</v>
      </c>
      <c r="L2812" s="25">
        <v>12042.0</v>
      </c>
      <c r="M2812" s="27" t="s">
        <v>50</v>
      </c>
      <c r="N2812" s="26" t="s">
        <v>11005</v>
      </c>
      <c r="O2812" s="28">
        <v>45617.76536572917</v>
      </c>
      <c r="P2812" s="35" t="s">
        <v>11006</v>
      </c>
      <c r="Q2812" s="11" t="s">
        <v>67</v>
      </c>
      <c r="R2812" s="11" t="s">
        <v>67</v>
      </c>
      <c r="S2812" s="11" t="s">
        <v>101</v>
      </c>
      <c r="T2812" s="29">
        <v>45595.6982216551</v>
      </c>
      <c r="U2812" s="29">
        <v>45617.56127381945</v>
      </c>
      <c r="V2812" s="29">
        <v>45617.0</v>
      </c>
      <c r="W2812" s="60"/>
      <c r="X2812" s="30"/>
      <c r="Y2812" s="31"/>
      <c r="Z2812" s="31"/>
      <c r="AA2812" s="31" t="s">
        <v>127</v>
      </c>
      <c r="AB2812" s="31" t="s">
        <v>11035</v>
      </c>
      <c r="AC2812" s="31"/>
    </row>
    <row r="2813" ht="18.75" customHeight="1">
      <c r="A2813" s="18" t="s">
        <v>11036</v>
      </c>
      <c r="B2813" s="19" t="s">
        <v>11003</v>
      </c>
      <c r="C2813" s="20">
        <v>0.0</v>
      </c>
      <c r="D2813" s="21" t="s">
        <v>11037</v>
      </c>
      <c r="E2813" s="22" t="s">
        <v>882</v>
      </c>
      <c r="F2813" s="18" t="s">
        <v>33</v>
      </c>
      <c r="G2813" s="32" t="s">
        <v>35</v>
      </c>
      <c r="H2813" s="23" t="s">
        <v>35</v>
      </c>
      <c r="I2813" s="37" t="s">
        <v>36</v>
      </c>
      <c r="J2813" s="34" t="s">
        <v>11004</v>
      </c>
      <c r="K2813" s="26" t="s">
        <v>38</v>
      </c>
      <c r="L2813" s="25">
        <v>12042.0</v>
      </c>
      <c r="M2813" s="27" t="s">
        <v>50</v>
      </c>
      <c r="N2813" s="26" t="s">
        <v>11005</v>
      </c>
      <c r="O2813" s="28">
        <v>45617.76576055556</v>
      </c>
      <c r="P2813" s="35" t="s">
        <v>11006</v>
      </c>
      <c r="Q2813" s="11" t="s">
        <v>67</v>
      </c>
      <c r="R2813" s="11" t="s">
        <v>67</v>
      </c>
      <c r="S2813" s="11" t="s">
        <v>101</v>
      </c>
      <c r="T2813" s="29">
        <v>45595.698282916666</v>
      </c>
      <c r="U2813" s="29">
        <v>45617.56126821759</v>
      </c>
      <c r="V2813" s="29">
        <v>45617.0</v>
      </c>
      <c r="W2813" s="60"/>
      <c r="X2813" s="30"/>
      <c r="Y2813" s="31"/>
      <c r="Z2813" s="31"/>
      <c r="AA2813" s="31" t="s">
        <v>127</v>
      </c>
      <c r="AB2813" s="31" t="s">
        <v>11038</v>
      </c>
      <c r="AC2813" s="31"/>
    </row>
    <row r="2814" ht="18.75" customHeight="1">
      <c r="A2814" s="18" t="s">
        <v>11039</v>
      </c>
      <c r="B2814" s="19" t="s">
        <v>11003</v>
      </c>
      <c r="C2814" s="20">
        <v>0.0</v>
      </c>
      <c r="D2814" s="21" t="s">
        <v>537</v>
      </c>
      <c r="E2814" s="22" t="s">
        <v>882</v>
      </c>
      <c r="F2814" s="18" t="s">
        <v>33</v>
      </c>
      <c r="G2814" s="32" t="s">
        <v>35</v>
      </c>
      <c r="H2814" s="23" t="s">
        <v>35</v>
      </c>
      <c r="I2814" s="37" t="s">
        <v>36</v>
      </c>
      <c r="J2814" s="34" t="s">
        <v>11004</v>
      </c>
      <c r="K2814" s="26" t="s">
        <v>38</v>
      </c>
      <c r="L2814" s="25">
        <v>12042.0</v>
      </c>
      <c r="M2814" s="27" t="s">
        <v>50</v>
      </c>
      <c r="N2814" s="26" t="s">
        <v>11005</v>
      </c>
      <c r="O2814" s="28">
        <v>45617.76527895834</v>
      </c>
      <c r="P2814" s="35" t="s">
        <v>11006</v>
      </c>
      <c r="Q2814" s="11" t="s">
        <v>67</v>
      </c>
      <c r="R2814" s="11" t="s">
        <v>67</v>
      </c>
      <c r="S2814" s="11" t="s">
        <v>101</v>
      </c>
      <c r="T2814" s="29">
        <v>45595.69833756944</v>
      </c>
      <c r="U2814" s="29">
        <v>45617.561271875005</v>
      </c>
      <c r="V2814" s="29">
        <v>45617.0</v>
      </c>
      <c r="W2814" s="60"/>
      <c r="X2814" s="30"/>
      <c r="Y2814" s="31"/>
      <c r="Z2814" s="31"/>
      <c r="AA2814" s="31" t="s">
        <v>127</v>
      </c>
      <c r="AB2814" s="31" t="s">
        <v>11040</v>
      </c>
      <c r="AC2814" s="31"/>
    </row>
    <row r="2815" ht="18.75" customHeight="1">
      <c r="A2815" s="142" t="s">
        <v>11041</v>
      </c>
      <c r="B2815" s="19" t="s">
        <v>911</v>
      </c>
      <c r="C2815" s="20">
        <v>0.0</v>
      </c>
      <c r="D2815" s="21" t="s">
        <v>11042</v>
      </c>
      <c r="E2815" s="27" t="s">
        <v>511</v>
      </c>
      <c r="F2815" s="18" t="s">
        <v>33</v>
      </c>
      <c r="G2815" s="32" t="s">
        <v>35</v>
      </c>
      <c r="H2815" s="23" t="s">
        <v>35</v>
      </c>
      <c r="I2815" s="37" t="s">
        <v>36</v>
      </c>
      <c r="J2815" s="25" t="s">
        <v>49</v>
      </c>
      <c r="K2815" s="26" t="s">
        <v>38</v>
      </c>
      <c r="L2815" s="25">
        <v>11920.0</v>
      </c>
      <c r="M2815" s="27" t="s">
        <v>50</v>
      </c>
      <c r="N2815" s="26" t="s">
        <v>5936</v>
      </c>
      <c r="O2815" s="28">
        <v>45601.72311</v>
      </c>
      <c r="P2815" s="26" t="s">
        <v>11043</v>
      </c>
      <c r="Q2815" s="11" t="s">
        <v>67</v>
      </c>
      <c r="R2815" s="11" t="s">
        <v>67</v>
      </c>
      <c r="S2815" s="11" t="s">
        <v>101</v>
      </c>
      <c r="T2815" s="29">
        <v>45595.71772188657</v>
      </c>
      <c r="U2815" s="29">
        <v>45596.355949247685</v>
      </c>
      <c r="V2815" s="29">
        <v>45600.56779359953</v>
      </c>
      <c r="W2815" s="38"/>
      <c r="X2815" s="30"/>
      <c r="Y2815" s="31"/>
      <c r="Z2815" s="31"/>
      <c r="AA2815" s="31" t="s">
        <v>3053</v>
      </c>
      <c r="AB2815" s="31" t="s">
        <v>11044</v>
      </c>
      <c r="AC2815" s="31"/>
    </row>
    <row r="2816" ht="18.75" customHeight="1">
      <c r="A2816" s="18" t="s">
        <v>11045</v>
      </c>
      <c r="B2816" s="19" t="s">
        <v>11046</v>
      </c>
      <c r="C2816" s="20">
        <v>27.0</v>
      </c>
      <c r="D2816" s="39" t="s">
        <v>11047</v>
      </c>
      <c r="E2816" s="27" t="s">
        <v>72</v>
      </c>
      <c r="F2816" s="18" t="s">
        <v>48</v>
      </c>
      <c r="G2816" s="32" t="s">
        <v>35</v>
      </c>
      <c r="H2816" s="23" t="s">
        <v>35</v>
      </c>
      <c r="I2816" s="37" t="s">
        <v>36</v>
      </c>
      <c r="J2816" s="25" t="s">
        <v>420</v>
      </c>
      <c r="K2816" s="26" t="s">
        <v>38</v>
      </c>
      <c r="L2816" s="25">
        <v>11881.0</v>
      </c>
      <c r="M2816" s="27" t="s">
        <v>50</v>
      </c>
      <c r="N2816" s="26" t="s">
        <v>4031</v>
      </c>
      <c r="O2816" s="28">
        <v>45596.614668738424</v>
      </c>
      <c r="P2816" s="26" t="s">
        <v>11048</v>
      </c>
      <c r="Q2816" s="11" t="s">
        <v>67</v>
      </c>
      <c r="R2816" s="11" t="s">
        <v>67</v>
      </c>
      <c r="S2816" s="11" t="s">
        <v>50</v>
      </c>
      <c r="T2816" s="29">
        <v>45596.36488725695</v>
      </c>
      <c r="U2816" s="29">
        <v>45596.39678226852</v>
      </c>
      <c r="V2816" s="29">
        <v>45596.486085682875</v>
      </c>
      <c r="W2816" s="38"/>
      <c r="X2816" s="30"/>
      <c r="Y2816" s="31"/>
      <c r="Z2816" s="31"/>
      <c r="AA2816" s="31" t="s">
        <v>120</v>
      </c>
      <c r="AB2816" s="31" t="s">
        <v>11049</v>
      </c>
      <c r="AC2816" s="31"/>
    </row>
    <row r="2817" ht="18.75" customHeight="1">
      <c r="A2817" s="18" t="s">
        <v>11050</v>
      </c>
      <c r="B2817" s="19" t="s">
        <v>11046</v>
      </c>
      <c r="C2817" s="20">
        <v>27.0</v>
      </c>
      <c r="D2817" s="39" t="s">
        <v>11051</v>
      </c>
      <c r="E2817" s="27" t="s">
        <v>72</v>
      </c>
      <c r="F2817" s="18" t="s">
        <v>48</v>
      </c>
      <c r="G2817" s="32" t="s">
        <v>35</v>
      </c>
      <c r="H2817" s="23" t="s">
        <v>35</v>
      </c>
      <c r="I2817" s="37" t="s">
        <v>36</v>
      </c>
      <c r="J2817" s="25" t="s">
        <v>420</v>
      </c>
      <c r="K2817" s="26" t="s">
        <v>38</v>
      </c>
      <c r="L2817" s="25">
        <v>11881.0</v>
      </c>
      <c r="M2817" s="27" t="s">
        <v>50</v>
      </c>
      <c r="N2817" s="26" t="s">
        <v>4031</v>
      </c>
      <c r="O2817" s="28">
        <v>45596.61480214121</v>
      </c>
      <c r="P2817" s="26" t="s">
        <v>11048</v>
      </c>
      <c r="Q2817" s="11" t="s">
        <v>67</v>
      </c>
      <c r="R2817" s="11" t="s">
        <v>67</v>
      </c>
      <c r="S2817" s="11" t="s">
        <v>50</v>
      </c>
      <c r="T2817" s="29">
        <v>45596.36864606482</v>
      </c>
      <c r="U2817" s="29">
        <v>45596.396795381945</v>
      </c>
      <c r="V2817" s="29">
        <v>45596.48609770833</v>
      </c>
      <c r="W2817" s="38"/>
      <c r="X2817" s="30"/>
      <c r="Y2817" s="31"/>
      <c r="Z2817" s="31"/>
      <c r="AA2817" s="31" t="s">
        <v>120</v>
      </c>
      <c r="AB2817" s="31" t="s">
        <v>11052</v>
      </c>
      <c r="AC2817" s="31"/>
    </row>
    <row r="2818" ht="18.75" customHeight="1">
      <c r="A2818" s="18" t="s">
        <v>11053</v>
      </c>
      <c r="B2818" s="19" t="s">
        <v>4313</v>
      </c>
      <c r="C2818" s="20">
        <v>11.0</v>
      </c>
      <c r="D2818" s="21" t="s">
        <v>11054</v>
      </c>
      <c r="E2818" s="27" t="s">
        <v>112</v>
      </c>
      <c r="F2818" s="18" t="s">
        <v>48</v>
      </c>
      <c r="G2818" s="32" t="s">
        <v>35</v>
      </c>
      <c r="H2818" s="23" t="s">
        <v>35</v>
      </c>
      <c r="I2818" s="37" t="s">
        <v>36</v>
      </c>
      <c r="J2818" s="25" t="s">
        <v>92</v>
      </c>
      <c r="K2818" s="26" t="s">
        <v>38</v>
      </c>
      <c r="L2818" s="25">
        <v>11953.0</v>
      </c>
      <c r="M2818" s="27" t="s">
        <v>50</v>
      </c>
      <c r="N2818" s="26" t="s">
        <v>118</v>
      </c>
      <c r="O2818" s="28">
        <v>45608.65412245371</v>
      </c>
      <c r="P2818" s="26" t="s">
        <v>11055</v>
      </c>
      <c r="Q2818" s="11" t="s">
        <v>67</v>
      </c>
      <c r="R2818" s="11" t="s">
        <v>67</v>
      </c>
      <c r="S2818" s="11" t="s">
        <v>50</v>
      </c>
      <c r="T2818" s="29">
        <v>45596.37226969907</v>
      </c>
      <c r="U2818" s="29">
        <v>45607.38635296296</v>
      </c>
      <c r="V2818" s="29">
        <v>45607.458246979164</v>
      </c>
      <c r="W2818" s="38"/>
      <c r="X2818" s="30"/>
      <c r="Y2818" s="31"/>
      <c r="Z2818" s="31"/>
      <c r="AA2818" s="31" t="s">
        <v>120</v>
      </c>
      <c r="AB2818" s="31" t="s">
        <v>11056</v>
      </c>
      <c r="AC2818" s="31"/>
    </row>
    <row r="2819" ht="18.75" customHeight="1">
      <c r="A2819" s="18" t="s">
        <v>11057</v>
      </c>
      <c r="B2819" s="19" t="s">
        <v>4313</v>
      </c>
      <c r="C2819" s="20">
        <v>11.0</v>
      </c>
      <c r="D2819" s="21" t="s">
        <v>11058</v>
      </c>
      <c r="E2819" s="27" t="s">
        <v>112</v>
      </c>
      <c r="F2819" s="18" t="s">
        <v>48</v>
      </c>
      <c r="G2819" s="32" t="s">
        <v>35</v>
      </c>
      <c r="H2819" s="23" t="s">
        <v>35</v>
      </c>
      <c r="I2819" s="37" t="s">
        <v>36</v>
      </c>
      <c r="J2819" s="25" t="s">
        <v>92</v>
      </c>
      <c r="K2819" s="26" t="s">
        <v>38</v>
      </c>
      <c r="L2819" s="25">
        <v>11953.0</v>
      </c>
      <c r="M2819" s="27" t="s">
        <v>50</v>
      </c>
      <c r="N2819" s="26" t="s">
        <v>118</v>
      </c>
      <c r="O2819" s="28">
        <v>45608.65423039352</v>
      </c>
      <c r="P2819" s="26" t="s">
        <v>11055</v>
      </c>
      <c r="Q2819" s="11" t="s">
        <v>67</v>
      </c>
      <c r="R2819" s="11" t="s">
        <v>67</v>
      </c>
      <c r="S2819" s="11" t="s">
        <v>50</v>
      </c>
      <c r="T2819" s="29">
        <v>45596.372391516205</v>
      </c>
      <c r="U2819" s="29">
        <v>45607.386247118055</v>
      </c>
      <c r="V2819" s="29">
        <v>45607.4582371412</v>
      </c>
      <c r="W2819" s="38"/>
      <c r="X2819" s="30"/>
      <c r="Y2819" s="31"/>
      <c r="Z2819" s="31"/>
      <c r="AA2819" s="31" t="s">
        <v>120</v>
      </c>
      <c r="AB2819" s="31" t="s">
        <v>11059</v>
      </c>
      <c r="AC2819" s="31"/>
    </row>
    <row r="2820" ht="18.75" customHeight="1">
      <c r="A2820" s="142" t="s">
        <v>11060</v>
      </c>
      <c r="B2820" s="19" t="s">
        <v>11061</v>
      </c>
      <c r="C2820" s="20">
        <v>27.0</v>
      </c>
      <c r="D2820" s="39" t="s">
        <v>11062</v>
      </c>
      <c r="E2820" s="27" t="s">
        <v>72</v>
      </c>
      <c r="F2820" s="18" t="s">
        <v>48</v>
      </c>
      <c r="G2820" s="32" t="s">
        <v>35</v>
      </c>
      <c r="H2820" s="23" t="s">
        <v>35</v>
      </c>
      <c r="I2820" s="37" t="s">
        <v>36</v>
      </c>
      <c r="J2820" s="34" t="s">
        <v>9338</v>
      </c>
      <c r="K2820" s="26" t="s">
        <v>38</v>
      </c>
      <c r="L2820" s="25">
        <v>11929.0</v>
      </c>
      <c r="M2820" s="27" t="s">
        <v>50</v>
      </c>
      <c r="N2820" s="26" t="s">
        <v>11063</v>
      </c>
      <c r="O2820" s="28">
        <v>45602.695171666666</v>
      </c>
      <c r="P2820" s="26" t="s">
        <v>11064</v>
      </c>
      <c r="Q2820" s="11" t="s">
        <v>67</v>
      </c>
      <c r="R2820" s="11" t="s">
        <v>67</v>
      </c>
      <c r="S2820" s="11" t="s">
        <v>50</v>
      </c>
      <c r="T2820" s="29">
        <v>45596.57085023148</v>
      </c>
      <c r="U2820" s="29">
        <v>45602.393695694445</v>
      </c>
      <c r="V2820" s="29">
        <v>45602.46730105324</v>
      </c>
      <c r="W2820" s="38"/>
      <c r="X2820" s="30"/>
      <c r="Y2820" s="31"/>
      <c r="Z2820" s="31"/>
      <c r="AA2820" s="31" t="s">
        <v>3059</v>
      </c>
      <c r="AB2820" s="31" t="s">
        <v>11065</v>
      </c>
      <c r="AC2820" s="31"/>
    </row>
    <row r="2821" ht="18.75" customHeight="1">
      <c r="A2821" s="142" t="s">
        <v>11066</v>
      </c>
      <c r="B2821" s="19" t="s">
        <v>8228</v>
      </c>
      <c r="C2821" s="20">
        <v>0.0</v>
      </c>
      <c r="D2821" s="21" t="s">
        <v>440</v>
      </c>
      <c r="E2821" s="27" t="s">
        <v>2944</v>
      </c>
      <c r="F2821" s="18" t="s">
        <v>244</v>
      </c>
      <c r="G2821" s="32" t="s">
        <v>35</v>
      </c>
      <c r="H2821" s="23" t="s">
        <v>35</v>
      </c>
      <c r="I2821" s="37" t="s">
        <v>36</v>
      </c>
      <c r="J2821" s="25" t="s">
        <v>49</v>
      </c>
      <c r="K2821" s="26" t="s">
        <v>38</v>
      </c>
      <c r="L2821" s="25">
        <v>11940.0</v>
      </c>
      <c r="M2821" s="27" t="s">
        <v>50</v>
      </c>
      <c r="N2821" s="26" t="s">
        <v>5936</v>
      </c>
      <c r="O2821" s="28">
        <v>45603.68714466435</v>
      </c>
      <c r="P2821" s="26" t="s">
        <v>11067</v>
      </c>
      <c r="Q2821" s="11" t="s">
        <v>67</v>
      </c>
      <c r="R2821" s="11" t="s">
        <v>67</v>
      </c>
      <c r="S2821" s="11" t="s">
        <v>101</v>
      </c>
      <c r="T2821" s="29">
        <v>45596.63284127315</v>
      </c>
      <c r="U2821" s="29">
        <v>45596.685670983796</v>
      </c>
      <c r="V2821" s="29">
        <v>45602.60847384259</v>
      </c>
      <c r="W2821" s="38"/>
      <c r="X2821" s="30"/>
      <c r="Y2821" s="31"/>
      <c r="Z2821" s="31"/>
      <c r="AA2821" s="31" t="s">
        <v>127</v>
      </c>
      <c r="AB2821" s="31" t="s">
        <v>11068</v>
      </c>
      <c r="AC2821" s="31"/>
    </row>
    <row r="2822" ht="18.75" customHeight="1">
      <c r="A2822" s="142" t="s">
        <v>11069</v>
      </c>
      <c r="B2822" s="19" t="s">
        <v>4313</v>
      </c>
      <c r="C2822" s="20">
        <v>0.0</v>
      </c>
      <c r="D2822" s="21" t="s">
        <v>11070</v>
      </c>
      <c r="E2822" s="27" t="s">
        <v>511</v>
      </c>
      <c r="F2822" s="18" t="s">
        <v>33</v>
      </c>
      <c r="G2822" s="32" t="s">
        <v>35</v>
      </c>
      <c r="H2822" s="23" t="s">
        <v>35</v>
      </c>
      <c r="I2822" s="37" t="s">
        <v>36</v>
      </c>
      <c r="J2822" s="25" t="s">
        <v>92</v>
      </c>
      <c r="K2822" s="26" t="s">
        <v>38</v>
      </c>
      <c r="L2822" s="25">
        <v>11952.0</v>
      </c>
      <c r="M2822" s="27" t="s">
        <v>50</v>
      </c>
      <c r="N2822" s="26" t="s">
        <v>118</v>
      </c>
      <c r="O2822" s="28">
        <v>45607.40987221064</v>
      </c>
      <c r="P2822" s="26" t="s">
        <v>11071</v>
      </c>
      <c r="Q2822" s="11" t="s">
        <v>67</v>
      </c>
      <c r="R2822" s="11" t="s">
        <v>67</v>
      </c>
      <c r="S2822" s="11" t="s">
        <v>101</v>
      </c>
      <c r="T2822" s="29">
        <v>45596.58116202547</v>
      </c>
      <c r="U2822" s="29">
        <v>45604.67163939815</v>
      </c>
      <c r="V2822" s="29">
        <v>45604.72541443287</v>
      </c>
      <c r="W2822" s="38"/>
      <c r="X2822" s="30"/>
      <c r="Y2822" s="31"/>
      <c r="Z2822" s="31"/>
      <c r="AA2822" s="31" t="s">
        <v>120</v>
      </c>
      <c r="AB2822" s="31" t="s">
        <v>11072</v>
      </c>
      <c r="AC2822" s="31"/>
    </row>
    <row r="2823" ht="18.75" customHeight="1">
      <c r="A2823" s="142" t="s">
        <v>11073</v>
      </c>
      <c r="B2823" s="19" t="s">
        <v>3645</v>
      </c>
      <c r="C2823" s="20">
        <v>0.0</v>
      </c>
      <c r="D2823" s="164" t="s">
        <v>11074</v>
      </c>
      <c r="E2823" s="27" t="s">
        <v>383</v>
      </c>
      <c r="F2823" s="18" t="s">
        <v>33</v>
      </c>
      <c r="G2823" s="32" t="s">
        <v>35</v>
      </c>
      <c r="H2823" s="23" t="s">
        <v>35</v>
      </c>
      <c r="I2823" s="37" t="s">
        <v>36</v>
      </c>
      <c r="J2823" s="25" t="s">
        <v>49</v>
      </c>
      <c r="K2823" s="26" t="s">
        <v>38</v>
      </c>
      <c r="L2823" s="25">
        <v>11949.0</v>
      </c>
      <c r="M2823" s="27" t="s">
        <v>50</v>
      </c>
      <c r="N2823" s="26" t="s">
        <v>5936</v>
      </c>
      <c r="O2823" s="28">
        <v>45604.620085104165</v>
      </c>
      <c r="P2823" s="26" t="s">
        <v>11075</v>
      </c>
      <c r="Q2823" s="11" t="s">
        <v>67</v>
      </c>
      <c r="R2823" s="11" t="s">
        <v>67</v>
      </c>
      <c r="S2823" s="11" t="s">
        <v>50</v>
      </c>
      <c r="T2823" s="29">
        <v>45596.59143166667</v>
      </c>
      <c r="U2823" s="29">
        <v>45601.59217979167</v>
      </c>
      <c r="V2823" s="29">
        <v>45604.43514107639</v>
      </c>
      <c r="W2823" s="38"/>
      <c r="X2823" s="30"/>
      <c r="Y2823" s="31"/>
      <c r="Z2823" s="31"/>
      <c r="AA2823" s="31" t="s">
        <v>127</v>
      </c>
      <c r="AB2823" s="31" t="s">
        <v>11076</v>
      </c>
      <c r="AC2823" s="31"/>
    </row>
    <row r="2824" ht="18.75" customHeight="1">
      <c r="A2824" s="142" t="s">
        <v>11077</v>
      </c>
      <c r="B2824" s="19" t="s">
        <v>4681</v>
      </c>
      <c r="C2824" s="20">
        <v>27.0</v>
      </c>
      <c r="D2824" s="39" t="s">
        <v>11078</v>
      </c>
      <c r="E2824" s="27" t="s">
        <v>72</v>
      </c>
      <c r="F2824" s="18" t="s">
        <v>48</v>
      </c>
      <c r="G2824" s="32" t="s">
        <v>35</v>
      </c>
      <c r="H2824" s="23" t="s">
        <v>35</v>
      </c>
      <c r="I2824" s="37" t="s">
        <v>36</v>
      </c>
      <c r="J2824" s="25" t="s">
        <v>49</v>
      </c>
      <c r="K2824" s="26" t="s">
        <v>4683</v>
      </c>
      <c r="L2824" s="25">
        <v>11890.0</v>
      </c>
      <c r="M2824" s="27" t="s">
        <v>50</v>
      </c>
      <c r="N2824" s="26" t="s">
        <v>99</v>
      </c>
      <c r="O2824" s="28">
        <v>45597.61441172454</v>
      </c>
      <c r="P2824" s="26" t="s">
        <v>11079</v>
      </c>
      <c r="Q2824" s="11" t="s">
        <v>67</v>
      </c>
      <c r="R2824" s="11" t="s">
        <v>67</v>
      </c>
      <c r="S2824" s="11" t="s">
        <v>50</v>
      </c>
      <c r="T2824" s="29">
        <v>45596.637884282405</v>
      </c>
      <c r="U2824" s="29">
        <v>45597.46776814815</v>
      </c>
      <c r="V2824" s="29">
        <v>45597.47608158565</v>
      </c>
      <c r="W2824" s="38"/>
      <c r="X2824" s="30"/>
      <c r="Y2824" s="31"/>
      <c r="Z2824" s="31"/>
      <c r="AA2824" s="31" t="s">
        <v>127</v>
      </c>
      <c r="AB2824" s="31" t="s">
        <v>11080</v>
      </c>
      <c r="AC2824" s="31"/>
    </row>
    <row r="2825" ht="18.75" customHeight="1">
      <c r="A2825" s="142" t="s">
        <v>11081</v>
      </c>
      <c r="B2825" s="19" t="s">
        <v>8426</v>
      </c>
      <c r="C2825" s="20">
        <v>0.0</v>
      </c>
      <c r="D2825" s="21" t="s">
        <v>11082</v>
      </c>
      <c r="E2825" s="27" t="s">
        <v>165</v>
      </c>
      <c r="F2825" s="18" t="s">
        <v>33</v>
      </c>
      <c r="G2825" s="32" t="s">
        <v>35</v>
      </c>
      <c r="H2825" s="23" t="s">
        <v>35</v>
      </c>
      <c r="I2825" s="37" t="s">
        <v>36</v>
      </c>
      <c r="J2825" s="25" t="s">
        <v>49</v>
      </c>
      <c r="K2825" s="26" t="s">
        <v>38</v>
      </c>
      <c r="L2825" s="25">
        <v>11938.0</v>
      </c>
      <c r="M2825" s="27" t="s">
        <v>50</v>
      </c>
      <c r="N2825" s="26" t="s">
        <v>5936</v>
      </c>
      <c r="O2825" s="28">
        <v>45603.68722195602</v>
      </c>
      <c r="P2825" s="26" t="s">
        <v>11083</v>
      </c>
      <c r="Q2825" s="11" t="s">
        <v>67</v>
      </c>
      <c r="R2825" s="11" t="s">
        <v>67</v>
      </c>
      <c r="S2825" s="11" t="s">
        <v>50</v>
      </c>
      <c r="T2825" s="29">
        <v>45596.649018275464</v>
      </c>
      <c r="U2825" s="29">
        <v>45596.67421266204</v>
      </c>
      <c r="V2825" s="29">
        <v>45603.407544120375</v>
      </c>
      <c r="W2825" s="38"/>
      <c r="X2825" s="30"/>
      <c r="Y2825" s="31"/>
      <c r="Z2825" s="31"/>
      <c r="AA2825" s="31" t="s">
        <v>102</v>
      </c>
      <c r="AB2825" s="31" t="s">
        <v>11084</v>
      </c>
      <c r="AC2825" s="31"/>
    </row>
    <row r="2826" ht="18.75" customHeight="1">
      <c r="A2826" s="142" t="s">
        <v>11085</v>
      </c>
      <c r="B2826" s="19" t="s">
        <v>5469</v>
      </c>
      <c r="C2826" s="20">
        <v>11.0</v>
      </c>
      <c r="D2826" s="21" t="s">
        <v>11086</v>
      </c>
      <c r="E2826" s="27" t="s">
        <v>112</v>
      </c>
      <c r="F2826" s="18" t="s">
        <v>48</v>
      </c>
      <c r="G2826" s="32" t="s">
        <v>35</v>
      </c>
      <c r="H2826" s="23" t="s">
        <v>35</v>
      </c>
      <c r="I2826" s="37" t="s">
        <v>36</v>
      </c>
      <c r="J2826" s="25" t="s">
        <v>49</v>
      </c>
      <c r="K2826" s="26" t="s">
        <v>38</v>
      </c>
      <c r="L2826" s="25">
        <v>11886.0</v>
      </c>
      <c r="M2826" s="27" t="s">
        <v>50</v>
      </c>
      <c r="N2826" s="26" t="s">
        <v>99</v>
      </c>
      <c r="O2826" s="28">
        <v>45597.61454206018</v>
      </c>
      <c r="P2826" s="26" t="s">
        <v>11087</v>
      </c>
      <c r="Q2826" s="11" t="s">
        <v>67</v>
      </c>
      <c r="R2826" s="11" t="s">
        <v>67</v>
      </c>
      <c r="S2826" s="11" t="s">
        <v>50</v>
      </c>
      <c r="T2826" s="29">
        <v>45596.650845185184</v>
      </c>
      <c r="U2826" s="29">
        <v>45596.674676180555</v>
      </c>
      <c r="V2826" s="29">
        <v>45597.42366730324</v>
      </c>
      <c r="W2826" s="38"/>
      <c r="X2826" s="30"/>
      <c r="Y2826" s="31"/>
      <c r="Z2826" s="31"/>
      <c r="AA2826" s="31" t="s">
        <v>102</v>
      </c>
      <c r="AB2826" s="31" t="s">
        <v>11088</v>
      </c>
      <c r="AC2826" s="31"/>
    </row>
    <row r="2827" ht="18.75" customHeight="1">
      <c r="A2827" s="142" t="s">
        <v>11089</v>
      </c>
      <c r="B2827" s="19" t="s">
        <v>122</v>
      </c>
      <c r="C2827" s="20">
        <v>34.0</v>
      </c>
      <c r="D2827" s="21" t="s">
        <v>11090</v>
      </c>
      <c r="E2827" s="27" t="s">
        <v>47</v>
      </c>
      <c r="F2827" s="18" t="s">
        <v>48</v>
      </c>
      <c r="G2827" s="32" t="s">
        <v>35</v>
      </c>
      <c r="H2827" s="23" t="s">
        <v>35</v>
      </c>
      <c r="I2827" s="37" t="s">
        <v>36</v>
      </c>
      <c r="J2827" s="25" t="s">
        <v>49</v>
      </c>
      <c r="K2827" s="26" t="s">
        <v>38</v>
      </c>
      <c r="L2827" s="25">
        <v>11888.0</v>
      </c>
      <c r="M2827" s="27" t="s">
        <v>50</v>
      </c>
      <c r="N2827" s="26" t="s">
        <v>99</v>
      </c>
      <c r="O2827" s="28">
        <v>45597.614335300925</v>
      </c>
      <c r="P2827" s="26" t="s">
        <v>11091</v>
      </c>
      <c r="Q2827" s="11" t="s">
        <v>67</v>
      </c>
      <c r="R2827" s="11" t="s">
        <v>67</v>
      </c>
      <c r="S2827" s="11" t="s">
        <v>50</v>
      </c>
      <c r="T2827" s="29">
        <v>45596.654277442125</v>
      </c>
      <c r="U2827" s="29">
        <v>45596.723634027774</v>
      </c>
      <c r="V2827" s="29">
        <v>45597.42419518519</v>
      </c>
      <c r="W2827" s="38"/>
      <c r="X2827" s="30"/>
      <c r="Y2827" s="31"/>
      <c r="Z2827" s="31"/>
      <c r="AA2827" s="31" t="s">
        <v>127</v>
      </c>
      <c r="AB2827" s="31" t="s">
        <v>11092</v>
      </c>
      <c r="AC2827" s="31"/>
    </row>
    <row r="2828" ht="18.75" customHeight="1">
      <c r="A2828" s="151" t="s">
        <v>11093</v>
      </c>
      <c r="B2828" s="19" t="s">
        <v>8197</v>
      </c>
      <c r="C2828" s="20">
        <v>137.0</v>
      </c>
      <c r="D2828" s="21" t="s">
        <v>11094</v>
      </c>
      <c r="E2828" s="27" t="s">
        <v>85</v>
      </c>
      <c r="F2828" s="18" t="s">
        <v>48</v>
      </c>
      <c r="G2828" s="32" t="s">
        <v>35</v>
      </c>
      <c r="H2828" s="23" t="s">
        <v>35</v>
      </c>
      <c r="I2828" s="24" t="s">
        <v>36</v>
      </c>
      <c r="J2828" s="25" t="s">
        <v>49</v>
      </c>
      <c r="K2828" s="26" t="s">
        <v>11095</v>
      </c>
      <c r="L2828" s="64" t="s">
        <v>2647</v>
      </c>
      <c r="M2828" s="22" t="s">
        <v>50</v>
      </c>
      <c r="N2828" s="65" t="s">
        <v>125</v>
      </c>
      <c r="O2828" s="28">
        <v>45645.73094907407</v>
      </c>
      <c r="P2828" s="26" t="s">
        <v>11096</v>
      </c>
      <c r="Q2828" s="11" t="s">
        <v>67</v>
      </c>
      <c r="R2828" s="11" t="s">
        <v>67</v>
      </c>
      <c r="S2828" s="11" t="s">
        <v>73</v>
      </c>
      <c r="T2828" s="29">
        <v>45596.72224256945</v>
      </c>
      <c r="U2828" s="29">
        <v>45597.465568935186</v>
      </c>
      <c r="V2828" s="29">
        <v>45643.75367820602</v>
      </c>
      <c r="W2828" s="11"/>
      <c r="X2828" s="30"/>
      <c r="Y2828" s="66">
        <v>-11901.0</v>
      </c>
      <c r="Z2828" s="31"/>
      <c r="AA2828" s="31" t="s">
        <v>5290</v>
      </c>
      <c r="AB2828" s="31" t="s">
        <v>11097</v>
      </c>
      <c r="AC2828" s="31"/>
    </row>
    <row r="2829" ht="18.75" customHeight="1">
      <c r="A2829" s="142" t="s">
        <v>11098</v>
      </c>
      <c r="B2829" s="19" t="s">
        <v>7307</v>
      </c>
      <c r="C2829" s="20">
        <v>1.0</v>
      </c>
      <c r="D2829" s="21" t="s">
        <v>11099</v>
      </c>
      <c r="E2829" s="27" t="s">
        <v>3395</v>
      </c>
      <c r="F2829" s="18" t="s">
        <v>48</v>
      </c>
      <c r="G2829" s="18" t="s">
        <v>35</v>
      </c>
      <c r="H2829" s="40" t="s">
        <v>35</v>
      </c>
      <c r="I2829" s="37" t="s">
        <v>36</v>
      </c>
      <c r="J2829" s="25" t="s">
        <v>65</v>
      </c>
      <c r="K2829" s="26" t="s">
        <v>38</v>
      </c>
      <c r="L2829" s="25">
        <v>11967.0</v>
      </c>
      <c r="M2829" s="27" t="s">
        <v>50</v>
      </c>
      <c r="N2829" s="26" t="s">
        <v>4698</v>
      </c>
      <c r="O2829" s="28">
        <v>45608.63846126157</v>
      </c>
      <c r="P2829" s="26" t="s">
        <v>11100</v>
      </c>
      <c r="Q2829" s="11" t="s">
        <v>67</v>
      </c>
      <c r="R2829" s="11" t="s">
        <v>67</v>
      </c>
      <c r="S2829" s="11" t="s">
        <v>50</v>
      </c>
      <c r="T2829" s="29">
        <v>45608.37516821759</v>
      </c>
      <c r="U2829" s="29">
        <v>45608.37664027778</v>
      </c>
      <c r="V2829" s="29">
        <v>45608.3780218287</v>
      </c>
      <c r="W2829" s="38"/>
      <c r="X2829" s="30"/>
      <c r="Y2829" s="31"/>
      <c r="Z2829" s="31"/>
      <c r="AA2829" s="31" t="s">
        <v>94</v>
      </c>
      <c r="AB2829" s="31" t="s">
        <v>11101</v>
      </c>
      <c r="AC2829" s="31"/>
    </row>
    <row r="2830" ht="18.75" customHeight="1">
      <c r="A2830" s="142" t="s">
        <v>11102</v>
      </c>
      <c r="B2830" s="19" t="s">
        <v>9293</v>
      </c>
      <c r="C2830" s="20">
        <v>27.0</v>
      </c>
      <c r="D2830" s="39" t="s">
        <v>11103</v>
      </c>
      <c r="E2830" s="27" t="s">
        <v>72</v>
      </c>
      <c r="F2830" s="18" t="s">
        <v>48</v>
      </c>
      <c r="G2830" s="32" t="s">
        <v>35</v>
      </c>
      <c r="H2830" s="23" t="s">
        <v>35</v>
      </c>
      <c r="I2830" s="37" t="s">
        <v>36</v>
      </c>
      <c r="J2830" s="25" t="s">
        <v>49</v>
      </c>
      <c r="K2830" s="26" t="s">
        <v>38</v>
      </c>
      <c r="L2830" s="25">
        <v>11905.0</v>
      </c>
      <c r="M2830" s="27" t="s">
        <v>50</v>
      </c>
      <c r="N2830" s="26" t="s">
        <v>5936</v>
      </c>
      <c r="O2830" s="28">
        <v>45600.68355199074</v>
      </c>
      <c r="P2830" s="26" t="s">
        <v>11104</v>
      </c>
      <c r="Q2830" s="11" t="s">
        <v>67</v>
      </c>
      <c r="R2830" s="11" t="s">
        <v>67</v>
      </c>
      <c r="S2830" s="11" t="s">
        <v>50</v>
      </c>
      <c r="T2830" s="29">
        <v>45597.511798900465</v>
      </c>
      <c r="U2830" s="29">
        <v>45597.64820766204</v>
      </c>
      <c r="V2830" s="29">
        <v>45600.46510753472</v>
      </c>
      <c r="W2830" s="38"/>
      <c r="X2830" s="30"/>
      <c r="Y2830" s="31"/>
      <c r="Z2830" s="31"/>
      <c r="AA2830" s="31" t="s">
        <v>102</v>
      </c>
      <c r="AB2830" s="31" t="s">
        <v>11105</v>
      </c>
      <c r="AC2830" s="31"/>
    </row>
    <row r="2831" ht="18.75" customHeight="1">
      <c r="A2831" s="142" t="s">
        <v>11106</v>
      </c>
      <c r="B2831" s="19" t="s">
        <v>3158</v>
      </c>
      <c r="C2831" s="20">
        <v>0.0</v>
      </c>
      <c r="D2831" s="21" t="s">
        <v>11107</v>
      </c>
      <c r="E2831" s="27" t="s">
        <v>383</v>
      </c>
      <c r="F2831" s="18" t="s">
        <v>33</v>
      </c>
      <c r="G2831" s="32" t="s">
        <v>35</v>
      </c>
      <c r="H2831" s="23" t="s">
        <v>35</v>
      </c>
      <c r="I2831" s="37" t="s">
        <v>36</v>
      </c>
      <c r="J2831" s="25" t="s">
        <v>2600</v>
      </c>
      <c r="K2831" s="26" t="s">
        <v>38</v>
      </c>
      <c r="L2831" s="25">
        <v>11948.0</v>
      </c>
      <c r="M2831" s="27" t="s">
        <v>50</v>
      </c>
      <c r="N2831" s="26" t="s">
        <v>11108</v>
      </c>
      <c r="O2831" s="28">
        <v>45604.651568402776</v>
      </c>
      <c r="P2831" s="26" t="s">
        <v>11109</v>
      </c>
      <c r="Q2831" s="11" t="s">
        <v>67</v>
      </c>
      <c r="R2831" s="11" t="s">
        <v>67</v>
      </c>
      <c r="S2831" s="11" t="s">
        <v>101</v>
      </c>
      <c r="T2831" s="29">
        <v>45597.5841971412</v>
      </c>
      <c r="U2831" s="29">
        <v>45597.648323692134</v>
      </c>
      <c r="V2831" s="29">
        <v>45603.46828716435</v>
      </c>
      <c r="W2831" s="38"/>
      <c r="X2831" s="30"/>
      <c r="Y2831" s="31"/>
      <c r="Z2831" s="31"/>
      <c r="AA2831" s="31" t="s">
        <v>3059</v>
      </c>
      <c r="AB2831" s="31" t="s">
        <v>11110</v>
      </c>
      <c r="AC2831" s="31"/>
    </row>
    <row r="2832" ht="18.75" customHeight="1">
      <c r="A2832" s="142" t="s">
        <v>11111</v>
      </c>
      <c r="B2832" s="19" t="s">
        <v>9766</v>
      </c>
      <c r="C2832" s="20">
        <v>34.0</v>
      </c>
      <c r="D2832" s="21" t="s">
        <v>11112</v>
      </c>
      <c r="E2832" s="27" t="s">
        <v>47</v>
      </c>
      <c r="F2832" s="18" t="s">
        <v>48</v>
      </c>
      <c r="G2832" s="32" t="s">
        <v>35</v>
      </c>
      <c r="H2832" s="23" t="s">
        <v>35</v>
      </c>
      <c r="I2832" s="37" t="s">
        <v>36</v>
      </c>
      <c r="J2832" s="25" t="s">
        <v>540</v>
      </c>
      <c r="K2832" s="26" t="s">
        <v>38</v>
      </c>
      <c r="L2832" s="25">
        <v>11902.0</v>
      </c>
      <c r="M2832" s="27" t="s">
        <v>50</v>
      </c>
      <c r="N2832" s="26" t="s">
        <v>51</v>
      </c>
      <c r="O2832" s="28">
        <v>45597.647278703706</v>
      </c>
      <c r="P2832" s="26" t="s">
        <v>11113</v>
      </c>
      <c r="Q2832" s="11" t="s">
        <v>67</v>
      </c>
      <c r="R2832" s="11" t="s">
        <v>67</v>
      </c>
      <c r="S2832" s="11"/>
      <c r="T2832" s="29">
        <v>45597.647278703706</v>
      </c>
      <c r="U2832" s="29">
        <v>45597.647278703706</v>
      </c>
      <c r="V2832" s="29">
        <v>45597.647278703706</v>
      </c>
      <c r="W2832" s="38"/>
      <c r="X2832" s="30"/>
      <c r="Y2832" s="31"/>
      <c r="Z2832" s="31"/>
      <c r="AA2832" s="31" t="s">
        <v>94</v>
      </c>
      <c r="AB2832" s="31" t="s">
        <v>11114</v>
      </c>
      <c r="AC2832" s="31"/>
    </row>
    <row r="2833" ht="18.75" customHeight="1">
      <c r="A2833" s="142" t="s">
        <v>11115</v>
      </c>
      <c r="B2833" s="19" t="s">
        <v>11116</v>
      </c>
      <c r="C2833" s="20">
        <v>27.0</v>
      </c>
      <c r="D2833" s="39" t="s">
        <v>11117</v>
      </c>
      <c r="E2833" s="27" t="s">
        <v>72</v>
      </c>
      <c r="F2833" s="18" t="s">
        <v>48</v>
      </c>
      <c r="G2833" s="32" t="s">
        <v>35</v>
      </c>
      <c r="H2833" s="23" t="s">
        <v>35</v>
      </c>
      <c r="I2833" s="37" t="s">
        <v>36</v>
      </c>
      <c r="J2833" s="25" t="s">
        <v>49</v>
      </c>
      <c r="K2833" s="26" t="s">
        <v>447</v>
      </c>
      <c r="L2833" s="25">
        <v>11892.0</v>
      </c>
      <c r="M2833" s="27" t="s">
        <v>50</v>
      </c>
      <c r="N2833" s="26" t="s">
        <v>99</v>
      </c>
      <c r="O2833" s="28">
        <v>45597.614642650464</v>
      </c>
      <c r="P2833" s="26" t="s">
        <v>11118</v>
      </c>
      <c r="Q2833" s="11" t="s">
        <v>67</v>
      </c>
      <c r="R2833" s="11" t="s">
        <v>73</v>
      </c>
      <c r="S2833" s="11" t="s">
        <v>50</v>
      </c>
      <c r="T2833" s="29">
        <v>45597.48679350695</v>
      </c>
      <c r="U2833" s="29">
        <v>45597.489150312496</v>
      </c>
      <c r="V2833" s="29">
        <v>45600.382771805555</v>
      </c>
      <c r="W2833" s="38"/>
      <c r="X2833" s="30"/>
      <c r="Y2833" s="31"/>
      <c r="Z2833" s="31"/>
      <c r="AA2833" s="31" t="s">
        <v>108</v>
      </c>
      <c r="AB2833" s="31" t="s">
        <v>11119</v>
      </c>
      <c r="AC2833" s="31"/>
    </row>
    <row r="2834" ht="18.75" customHeight="1">
      <c r="A2834" s="18" t="s">
        <v>11120</v>
      </c>
      <c r="B2834" s="19" t="s">
        <v>1069</v>
      </c>
      <c r="C2834" s="20">
        <v>0.0</v>
      </c>
      <c r="D2834" s="21" t="s">
        <v>504</v>
      </c>
      <c r="E2834" s="27" t="s">
        <v>8868</v>
      </c>
      <c r="F2834" s="18" t="s">
        <v>48</v>
      </c>
      <c r="G2834" s="32" t="s">
        <v>35</v>
      </c>
      <c r="H2834" s="23" t="s">
        <v>35</v>
      </c>
      <c r="I2834" s="37" t="s">
        <v>36</v>
      </c>
      <c r="J2834" s="34" t="s">
        <v>65</v>
      </c>
      <c r="K2834" s="26" t="s">
        <v>38</v>
      </c>
      <c r="L2834" s="25">
        <v>11989.0</v>
      </c>
      <c r="M2834" s="27" t="s">
        <v>50</v>
      </c>
      <c r="N2834" s="26" t="s">
        <v>149</v>
      </c>
      <c r="O2834" s="28">
        <v>45610.61592571759</v>
      </c>
      <c r="P2834" s="26" t="s">
        <v>11121</v>
      </c>
      <c r="Q2834" s="11" t="s">
        <v>67</v>
      </c>
      <c r="R2834" s="11" t="s">
        <v>67</v>
      </c>
      <c r="S2834" s="11" t="s">
        <v>101</v>
      </c>
      <c r="T2834" s="29">
        <v>45600.35638070602</v>
      </c>
      <c r="U2834" s="29">
        <v>45600.4131797338</v>
      </c>
      <c r="V2834" s="29">
        <v>45609.7240525</v>
      </c>
      <c r="W2834" s="38"/>
      <c r="X2834" s="30"/>
      <c r="Y2834" s="31"/>
      <c r="Z2834" s="31"/>
      <c r="AA2834" s="31" t="s">
        <v>94</v>
      </c>
      <c r="AB2834" s="31" t="s">
        <v>11122</v>
      </c>
      <c r="AC2834" s="31"/>
    </row>
    <row r="2835" ht="18.75" customHeight="1">
      <c r="A2835" s="32" t="s">
        <v>11123</v>
      </c>
      <c r="B2835" s="19" t="s">
        <v>1069</v>
      </c>
      <c r="C2835" s="20">
        <v>0.0</v>
      </c>
      <c r="D2835" s="21" t="s">
        <v>11124</v>
      </c>
      <c r="E2835" s="27" t="s">
        <v>3441</v>
      </c>
      <c r="F2835" s="18" t="s">
        <v>48</v>
      </c>
      <c r="G2835" s="32" t="s">
        <v>35</v>
      </c>
      <c r="H2835" s="23" t="s">
        <v>35</v>
      </c>
      <c r="I2835" s="24" t="s">
        <v>36</v>
      </c>
      <c r="J2835" s="34" t="s">
        <v>65</v>
      </c>
      <c r="K2835" s="26" t="s">
        <v>38</v>
      </c>
      <c r="L2835" s="64" t="s">
        <v>2887</v>
      </c>
      <c r="M2835" s="152" t="str">
        <f>VLOOKUP(D2835,'Página111'!E:E,1,0)</f>
        <v>#REF!</v>
      </c>
      <c r="N2835" s="26"/>
      <c r="O2835" s="50">
        <v>45646.0</v>
      </c>
      <c r="P2835" s="26" t="s">
        <v>11121</v>
      </c>
      <c r="Q2835" s="11" t="s">
        <v>67</v>
      </c>
      <c r="R2835" s="11" t="s">
        <v>67</v>
      </c>
      <c r="S2835" s="11" t="s">
        <v>73</v>
      </c>
      <c r="T2835" s="29">
        <v>45600.35670163194</v>
      </c>
      <c r="U2835" s="29">
        <v>45600.41325170139</v>
      </c>
      <c r="V2835" s="29">
        <v>45644.775855949076</v>
      </c>
      <c r="W2835" s="11"/>
      <c r="X2835" s="30"/>
      <c r="Y2835" s="66">
        <v>-11974.0</v>
      </c>
      <c r="Z2835" s="31"/>
      <c r="AA2835" s="31" t="s">
        <v>94</v>
      </c>
      <c r="AB2835" s="31" t="s">
        <v>11125</v>
      </c>
      <c r="AC2835" s="31"/>
    </row>
    <row r="2836" ht="18.75" customHeight="1">
      <c r="A2836" s="142" t="s">
        <v>11126</v>
      </c>
      <c r="B2836" s="19" t="s">
        <v>115</v>
      </c>
      <c r="C2836" s="20">
        <v>27.0</v>
      </c>
      <c r="D2836" s="39" t="s">
        <v>11127</v>
      </c>
      <c r="E2836" s="27" t="s">
        <v>72</v>
      </c>
      <c r="F2836" s="18" t="s">
        <v>48</v>
      </c>
      <c r="G2836" s="32" t="s">
        <v>35</v>
      </c>
      <c r="H2836" s="23" t="s">
        <v>35</v>
      </c>
      <c r="I2836" s="37" t="s">
        <v>36</v>
      </c>
      <c r="J2836" s="25" t="s">
        <v>92</v>
      </c>
      <c r="K2836" s="26" t="s">
        <v>38</v>
      </c>
      <c r="L2836" s="25">
        <v>11912.0</v>
      </c>
      <c r="M2836" s="27" t="s">
        <v>50</v>
      </c>
      <c r="N2836" s="26" t="s">
        <v>7077</v>
      </c>
      <c r="O2836" s="28">
        <v>45601.633670358795</v>
      </c>
      <c r="P2836" s="26" t="s">
        <v>11128</v>
      </c>
      <c r="Q2836" s="11" t="s">
        <v>67</v>
      </c>
      <c r="R2836" s="11" t="s">
        <v>67</v>
      </c>
      <c r="S2836" s="11" t="s">
        <v>50</v>
      </c>
      <c r="T2836" s="29">
        <v>45600.35750459491</v>
      </c>
      <c r="U2836" s="29">
        <v>45600.441188599536</v>
      </c>
      <c r="V2836" s="29">
        <v>45600.70427322917</v>
      </c>
      <c r="W2836" s="38"/>
      <c r="X2836" s="30"/>
      <c r="Y2836" s="31"/>
      <c r="Z2836" s="31"/>
      <c r="AA2836" s="31" t="s">
        <v>120</v>
      </c>
      <c r="AB2836" s="31" t="s">
        <v>11129</v>
      </c>
      <c r="AC2836" s="31"/>
    </row>
    <row r="2837" ht="18.75" customHeight="1">
      <c r="A2837" s="142" t="s">
        <v>11130</v>
      </c>
      <c r="B2837" s="19" t="s">
        <v>9236</v>
      </c>
      <c r="C2837" s="20">
        <v>1.0</v>
      </c>
      <c r="D2837" s="21" t="s">
        <v>11131</v>
      </c>
      <c r="E2837" s="27" t="s">
        <v>3395</v>
      </c>
      <c r="F2837" s="18" t="s">
        <v>48</v>
      </c>
      <c r="G2837" s="32" t="s">
        <v>35</v>
      </c>
      <c r="H2837" s="23" t="s">
        <v>35</v>
      </c>
      <c r="I2837" s="37" t="s">
        <v>36</v>
      </c>
      <c r="J2837" s="25" t="s">
        <v>49</v>
      </c>
      <c r="K2837" s="26" t="s">
        <v>518</v>
      </c>
      <c r="L2837" s="25">
        <v>11904.0</v>
      </c>
      <c r="M2837" s="27" t="s">
        <v>50</v>
      </c>
      <c r="N2837" s="26" t="s">
        <v>5936</v>
      </c>
      <c r="O2837" s="28">
        <v>45600.68362440972</v>
      </c>
      <c r="P2837" s="26" t="s">
        <v>11132</v>
      </c>
      <c r="Q2837" s="11" t="s">
        <v>67</v>
      </c>
      <c r="R2837" s="11" t="s">
        <v>67</v>
      </c>
      <c r="S2837" s="11" t="s">
        <v>50</v>
      </c>
      <c r="T2837" s="29">
        <v>45600.35988159722</v>
      </c>
      <c r="U2837" s="29">
        <v>45600.442114502315</v>
      </c>
      <c r="V2837" s="29">
        <v>45600.461441747684</v>
      </c>
      <c r="W2837" s="38"/>
      <c r="X2837" s="30"/>
      <c r="Y2837" s="31"/>
      <c r="Z2837" s="31"/>
      <c r="AA2837" s="31" t="s">
        <v>108</v>
      </c>
      <c r="AB2837" s="31" t="s">
        <v>11133</v>
      </c>
      <c r="AC2837" s="31"/>
    </row>
    <row r="2838" ht="18.75" customHeight="1">
      <c r="A2838" s="32" t="s">
        <v>11134</v>
      </c>
      <c r="B2838" s="19" t="s">
        <v>3709</v>
      </c>
      <c r="C2838" s="20">
        <v>90.0</v>
      </c>
      <c r="D2838" s="21" t="s">
        <v>11135</v>
      </c>
      <c r="E2838" s="27" t="s">
        <v>91</v>
      </c>
      <c r="F2838" s="18" t="s">
        <v>48</v>
      </c>
      <c r="G2838" s="32" t="s">
        <v>35</v>
      </c>
      <c r="H2838" s="23" t="s">
        <v>35</v>
      </c>
      <c r="I2838" s="37" t="s">
        <v>36</v>
      </c>
      <c r="J2838" s="25" t="s">
        <v>92</v>
      </c>
      <c r="K2838" s="26" t="s">
        <v>38</v>
      </c>
      <c r="L2838" s="163">
        <v>12306.0</v>
      </c>
      <c r="M2838" s="62" t="s">
        <v>50</v>
      </c>
      <c r="N2838" s="26" t="s">
        <v>10181</v>
      </c>
      <c r="O2838" s="28">
        <v>45667.648446666666</v>
      </c>
      <c r="P2838" s="26" t="s">
        <v>11136</v>
      </c>
      <c r="Q2838" s="11" t="s">
        <v>67</v>
      </c>
      <c r="R2838" s="11" t="s">
        <v>67</v>
      </c>
      <c r="S2838" s="11" t="s">
        <v>9620</v>
      </c>
      <c r="T2838" s="29">
        <v>45600.366894872684</v>
      </c>
      <c r="U2838" s="29">
        <v>45600.44142004629</v>
      </c>
      <c r="V2838" s="29">
        <v>45645.69336795139</v>
      </c>
      <c r="W2838" s="11"/>
      <c r="X2838" s="30"/>
      <c r="Y2838" s="66">
        <v>-11975.0</v>
      </c>
      <c r="Z2838" s="78"/>
      <c r="AA2838" s="31"/>
      <c r="AB2838" s="31" t="s">
        <v>11137</v>
      </c>
      <c r="AC2838" s="31"/>
    </row>
    <row r="2839" ht="18.75" customHeight="1">
      <c r="A2839" s="32" t="s">
        <v>11138</v>
      </c>
      <c r="B2839" s="19" t="s">
        <v>3709</v>
      </c>
      <c r="C2839" s="20">
        <v>90.0</v>
      </c>
      <c r="D2839" s="21" t="s">
        <v>11139</v>
      </c>
      <c r="E2839" s="27" t="s">
        <v>91</v>
      </c>
      <c r="F2839" s="18" t="s">
        <v>48</v>
      </c>
      <c r="G2839" s="32" t="s">
        <v>35</v>
      </c>
      <c r="H2839" s="23" t="s">
        <v>35</v>
      </c>
      <c r="I2839" s="37" t="s">
        <v>36</v>
      </c>
      <c r="J2839" s="25" t="s">
        <v>92</v>
      </c>
      <c r="K2839" s="26" t="s">
        <v>38</v>
      </c>
      <c r="L2839" s="163">
        <v>12306.0</v>
      </c>
      <c r="M2839" s="62" t="s">
        <v>50</v>
      </c>
      <c r="N2839" s="26" t="s">
        <v>10181</v>
      </c>
      <c r="O2839" s="28">
        <v>45667.648600092594</v>
      </c>
      <c r="P2839" s="26" t="s">
        <v>11136</v>
      </c>
      <c r="Q2839" s="11" t="s">
        <v>67</v>
      </c>
      <c r="R2839" s="11" t="s">
        <v>67</v>
      </c>
      <c r="S2839" s="11" t="s">
        <v>9620</v>
      </c>
      <c r="T2839" s="29">
        <v>45600.36702247685</v>
      </c>
      <c r="U2839" s="29">
        <v>45600.441504999995</v>
      </c>
      <c r="V2839" s="29">
        <v>45645.69354638889</v>
      </c>
      <c r="W2839" s="11"/>
      <c r="X2839" s="30"/>
      <c r="Y2839" s="66">
        <v>-11975.0</v>
      </c>
      <c r="Z2839" s="78"/>
      <c r="AA2839" s="31"/>
      <c r="AB2839" s="31" t="s">
        <v>11140</v>
      </c>
      <c r="AC2839" s="31"/>
    </row>
    <row r="2840" ht="18.75" customHeight="1">
      <c r="A2840" s="32" t="s">
        <v>11141</v>
      </c>
      <c r="B2840" s="19" t="s">
        <v>3709</v>
      </c>
      <c r="C2840" s="20">
        <v>90.0</v>
      </c>
      <c r="D2840" s="21" t="s">
        <v>11142</v>
      </c>
      <c r="E2840" s="27" t="s">
        <v>91</v>
      </c>
      <c r="F2840" s="18" t="s">
        <v>48</v>
      </c>
      <c r="G2840" s="32" t="s">
        <v>35</v>
      </c>
      <c r="H2840" s="23" t="s">
        <v>35</v>
      </c>
      <c r="I2840" s="37" t="s">
        <v>36</v>
      </c>
      <c r="J2840" s="25" t="s">
        <v>92</v>
      </c>
      <c r="K2840" s="26" t="s">
        <v>38</v>
      </c>
      <c r="L2840" s="163">
        <v>12306.0</v>
      </c>
      <c r="M2840" s="62" t="s">
        <v>50</v>
      </c>
      <c r="N2840" s="26" t="s">
        <v>10181</v>
      </c>
      <c r="O2840" s="28">
        <v>45667.64852578704</v>
      </c>
      <c r="P2840" s="26" t="s">
        <v>11136</v>
      </c>
      <c r="Q2840" s="11" t="s">
        <v>67</v>
      </c>
      <c r="R2840" s="11" t="s">
        <v>67</v>
      </c>
      <c r="S2840" s="11" t="s">
        <v>9620</v>
      </c>
      <c r="T2840" s="29">
        <v>45600.36707296297</v>
      </c>
      <c r="U2840" s="29">
        <v>45600.44149483796</v>
      </c>
      <c r="V2840" s="29">
        <v>45645.69347864583</v>
      </c>
      <c r="W2840" s="11"/>
      <c r="X2840" s="30"/>
      <c r="Y2840" s="66">
        <v>-11975.0</v>
      </c>
      <c r="Z2840" s="78"/>
      <c r="AA2840" s="31"/>
      <c r="AB2840" s="31" t="s">
        <v>11143</v>
      </c>
      <c r="AC2840" s="31"/>
    </row>
    <row r="2841" ht="18.75" customHeight="1">
      <c r="A2841" s="142" t="s">
        <v>11144</v>
      </c>
      <c r="B2841" s="19" t="s">
        <v>3289</v>
      </c>
      <c r="C2841" s="20">
        <v>0.0</v>
      </c>
      <c r="D2841" s="21" t="s">
        <v>11145</v>
      </c>
      <c r="E2841" s="27" t="s">
        <v>511</v>
      </c>
      <c r="F2841" s="18" t="s">
        <v>33</v>
      </c>
      <c r="G2841" s="32" t="s">
        <v>35</v>
      </c>
      <c r="H2841" s="23" t="s">
        <v>35</v>
      </c>
      <c r="I2841" s="37" t="s">
        <v>36</v>
      </c>
      <c r="J2841" s="25" t="s">
        <v>92</v>
      </c>
      <c r="K2841" s="26" t="s">
        <v>38</v>
      </c>
      <c r="L2841" s="25">
        <v>11913.0</v>
      </c>
      <c r="M2841" s="27" t="s">
        <v>50</v>
      </c>
      <c r="N2841" s="26" t="s">
        <v>4362</v>
      </c>
      <c r="O2841" s="28">
        <v>45622.656184444444</v>
      </c>
      <c r="P2841" s="26" t="s">
        <v>11146</v>
      </c>
      <c r="Q2841" s="11" t="s">
        <v>67</v>
      </c>
      <c r="R2841" s="11" t="s">
        <v>67</v>
      </c>
      <c r="S2841" s="11" t="s">
        <v>101</v>
      </c>
      <c r="T2841" s="29">
        <v>45600.37188928241</v>
      </c>
      <c r="U2841" s="29">
        <v>45600.44165129629</v>
      </c>
      <c r="V2841" s="29">
        <v>45600.69837893518</v>
      </c>
      <c r="W2841" s="38"/>
      <c r="X2841" s="30"/>
      <c r="Y2841" s="31"/>
      <c r="Z2841" s="31"/>
      <c r="AA2841" s="31" t="s">
        <v>120</v>
      </c>
      <c r="AB2841" s="31" t="s">
        <v>11147</v>
      </c>
      <c r="AC2841" s="31"/>
    </row>
    <row r="2842" ht="18.75" customHeight="1">
      <c r="A2842" s="142" t="s">
        <v>11148</v>
      </c>
      <c r="B2842" s="19" t="s">
        <v>3289</v>
      </c>
      <c r="C2842" s="20">
        <v>11.0</v>
      </c>
      <c r="D2842" s="21" t="s">
        <v>11149</v>
      </c>
      <c r="E2842" s="27" t="s">
        <v>112</v>
      </c>
      <c r="F2842" s="18" t="s">
        <v>48</v>
      </c>
      <c r="G2842" s="32" t="s">
        <v>35</v>
      </c>
      <c r="H2842" s="23" t="s">
        <v>35</v>
      </c>
      <c r="I2842" s="37" t="s">
        <v>36</v>
      </c>
      <c r="J2842" s="25" t="s">
        <v>92</v>
      </c>
      <c r="K2842" s="26" t="s">
        <v>38</v>
      </c>
      <c r="L2842" s="25">
        <v>11911.0</v>
      </c>
      <c r="M2842" s="27" t="s">
        <v>50</v>
      </c>
      <c r="N2842" s="26" t="s">
        <v>4362</v>
      </c>
      <c r="O2842" s="28">
        <v>45622.6562653125</v>
      </c>
      <c r="P2842" s="26" t="s">
        <v>11150</v>
      </c>
      <c r="Q2842" s="11" t="s">
        <v>67</v>
      </c>
      <c r="R2842" s="11" t="s">
        <v>67</v>
      </c>
      <c r="S2842" s="11" t="s">
        <v>50</v>
      </c>
      <c r="T2842" s="29">
        <v>45600.37310759259</v>
      </c>
      <c r="U2842" s="29">
        <v>45600.441783472226</v>
      </c>
      <c r="V2842" s="29">
        <v>45600.704284189815</v>
      </c>
      <c r="W2842" s="38"/>
      <c r="X2842" s="30"/>
      <c r="Y2842" s="31"/>
      <c r="Z2842" s="31"/>
      <c r="AA2842" s="31" t="s">
        <v>120</v>
      </c>
      <c r="AB2842" s="31" t="s">
        <v>11151</v>
      </c>
      <c r="AC2842" s="31"/>
    </row>
    <row r="2843" ht="18.75" customHeight="1">
      <c r="A2843" s="18" t="s">
        <v>11152</v>
      </c>
      <c r="B2843" s="19" t="s">
        <v>11153</v>
      </c>
      <c r="C2843" s="20">
        <v>11.0</v>
      </c>
      <c r="D2843" s="21" t="s">
        <v>11154</v>
      </c>
      <c r="E2843" s="27" t="s">
        <v>112</v>
      </c>
      <c r="F2843" s="18" t="s">
        <v>48</v>
      </c>
      <c r="G2843" s="32" t="s">
        <v>35</v>
      </c>
      <c r="H2843" s="23" t="s">
        <v>35</v>
      </c>
      <c r="I2843" s="37" t="s">
        <v>36</v>
      </c>
      <c r="J2843" s="25" t="s">
        <v>49</v>
      </c>
      <c r="K2843" s="26" t="s">
        <v>38</v>
      </c>
      <c r="L2843" s="25">
        <v>11910.0</v>
      </c>
      <c r="M2843" s="27" t="s">
        <v>50</v>
      </c>
      <c r="N2843" s="26" t="s">
        <v>5936</v>
      </c>
      <c r="O2843" s="28">
        <v>45601.72327484954</v>
      </c>
      <c r="P2843" s="26" t="s">
        <v>11155</v>
      </c>
      <c r="Q2843" s="11" t="s">
        <v>67</v>
      </c>
      <c r="R2843" s="11" t="s">
        <v>67</v>
      </c>
      <c r="S2843" s="11" t="s">
        <v>50</v>
      </c>
      <c r="T2843" s="29">
        <v>45600.38308767361</v>
      </c>
      <c r="U2843" s="29">
        <v>45600.6188359375</v>
      </c>
      <c r="V2843" s="29">
        <v>45600.700877800926</v>
      </c>
      <c r="W2843" s="38"/>
      <c r="X2843" s="30"/>
      <c r="Y2843" s="31"/>
      <c r="Z2843" s="31"/>
      <c r="AA2843" s="31" t="s">
        <v>5199</v>
      </c>
      <c r="AB2843" s="31" t="s">
        <v>11156</v>
      </c>
      <c r="AC2843" s="31"/>
    </row>
    <row r="2844" ht="18.75" customHeight="1">
      <c r="A2844" s="18" t="s">
        <v>11157</v>
      </c>
      <c r="B2844" s="19" t="s">
        <v>11153</v>
      </c>
      <c r="C2844" s="20">
        <v>1.0</v>
      </c>
      <c r="D2844" s="21" t="s">
        <v>11158</v>
      </c>
      <c r="E2844" s="27" t="s">
        <v>3395</v>
      </c>
      <c r="F2844" s="18" t="s">
        <v>48</v>
      </c>
      <c r="G2844" s="32" t="s">
        <v>35</v>
      </c>
      <c r="H2844" s="23" t="s">
        <v>35</v>
      </c>
      <c r="I2844" s="37" t="s">
        <v>36</v>
      </c>
      <c r="J2844" s="25" t="s">
        <v>49</v>
      </c>
      <c r="K2844" s="26" t="s">
        <v>38</v>
      </c>
      <c r="L2844" s="25">
        <v>11910.0</v>
      </c>
      <c r="M2844" s="27" t="s">
        <v>50</v>
      </c>
      <c r="N2844" s="26" t="s">
        <v>5936</v>
      </c>
      <c r="O2844" s="28">
        <v>45601.72320645834</v>
      </c>
      <c r="P2844" s="26" t="s">
        <v>11155</v>
      </c>
      <c r="Q2844" s="11" t="s">
        <v>67</v>
      </c>
      <c r="R2844" s="11" t="s">
        <v>67</v>
      </c>
      <c r="S2844" s="11" t="s">
        <v>50</v>
      </c>
      <c r="T2844" s="29">
        <v>45600.383307372686</v>
      </c>
      <c r="U2844" s="29">
        <v>45600.61872033565</v>
      </c>
      <c r="V2844" s="29">
        <v>45600.70086769676</v>
      </c>
      <c r="W2844" s="38"/>
      <c r="X2844" s="30"/>
      <c r="Y2844" s="31"/>
      <c r="Z2844" s="31"/>
      <c r="AA2844" s="31" t="s">
        <v>5199</v>
      </c>
      <c r="AB2844" s="31" t="s">
        <v>11159</v>
      </c>
      <c r="AC2844" s="31"/>
    </row>
    <row r="2845" ht="18.75" customHeight="1">
      <c r="A2845" s="151" t="s">
        <v>11160</v>
      </c>
      <c r="B2845" s="19" t="s">
        <v>9101</v>
      </c>
      <c r="C2845" s="20">
        <v>90.0</v>
      </c>
      <c r="D2845" s="21" t="s">
        <v>11161</v>
      </c>
      <c r="E2845" s="27" t="s">
        <v>91</v>
      </c>
      <c r="F2845" s="18" t="s">
        <v>48</v>
      </c>
      <c r="G2845" s="32" t="s">
        <v>35</v>
      </c>
      <c r="H2845" s="23" t="s">
        <v>35</v>
      </c>
      <c r="I2845" s="24" t="s">
        <v>36</v>
      </c>
      <c r="J2845" s="34" t="s">
        <v>65</v>
      </c>
      <c r="K2845" s="26" t="s">
        <v>38</v>
      </c>
      <c r="L2845" s="64" t="s">
        <v>11162</v>
      </c>
      <c r="M2845" s="152" t="str">
        <f t="shared" ref="M2845:M2846" si="14">VLOOKUP(D2845,'Página111'!E:E,1,0)</f>
        <v>#REF!</v>
      </c>
      <c r="N2845" s="26"/>
      <c r="O2845" s="50">
        <v>45646.0</v>
      </c>
      <c r="P2845" s="26" t="s">
        <v>11163</v>
      </c>
      <c r="Q2845" s="11" t="s">
        <v>67</v>
      </c>
      <c r="R2845" s="11" t="s">
        <v>67</v>
      </c>
      <c r="S2845" s="11" t="s">
        <v>73</v>
      </c>
      <c r="T2845" s="29">
        <v>45600.39002795139</v>
      </c>
      <c r="U2845" s="29">
        <v>45618.36601738426</v>
      </c>
      <c r="V2845" s="29">
        <v>45644.77599675926</v>
      </c>
      <c r="W2845" s="11"/>
      <c r="X2845" s="30"/>
      <c r="Y2845" s="66"/>
      <c r="Z2845" s="31"/>
      <c r="AA2845" s="31" t="s">
        <v>94</v>
      </c>
      <c r="AB2845" s="31" t="s">
        <v>11164</v>
      </c>
      <c r="AC2845" s="31"/>
    </row>
    <row r="2846" ht="18.75" customHeight="1">
      <c r="A2846" s="151" t="s">
        <v>11165</v>
      </c>
      <c r="B2846" s="19" t="s">
        <v>746</v>
      </c>
      <c r="C2846" s="20">
        <v>137.0</v>
      </c>
      <c r="D2846" s="21" t="s">
        <v>11166</v>
      </c>
      <c r="E2846" s="27" t="s">
        <v>85</v>
      </c>
      <c r="F2846" s="18" t="s">
        <v>48</v>
      </c>
      <c r="G2846" s="32" t="s">
        <v>35</v>
      </c>
      <c r="H2846" s="23" t="s">
        <v>35</v>
      </c>
      <c r="I2846" s="24" t="s">
        <v>36</v>
      </c>
      <c r="J2846" s="34" t="s">
        <v>65</v>
      </c>
      <c r="K2846" s="26" t="s">
        <v>38</v>
      </c>
      <c r="L2846" s="64" t="s">
        <v>11167</v>
      </c>
      <c r="M2846" s="152" t="str">
        <f t="shared" si="14"/>
        <v>#REF!</v>
      </c>
      <c r="N2846" s="26"/>
      <c r="O2846" s="50">
        <v>45646.0</v>
      </c>
      <c r="P2846" s="26" t="s">
        <v>11168</v>
      </c>
      <c r="Q2846" s="11" t="s">
        <v>67</v>
      </c>
      <c r="R2846" s="11" t="s">
        <v>67</v>
      </c>
      <c r="S2846" s="11" t="s">
        <v>73</v>
      </c>
      <c r="T2846" s="29">
        <v>45600.391359201385</v>
      </c>
      <c r="U2846" s="29">
        <v>45601.37285122686</v>
      </c>
      <c r="V2846" s="29">
        <v>45644.775878541666</v>
      </c>
      <c r="W2846" s="11"/>
      <c r="X2846" s="30"/>
      <c r="Y2846" s="66">
        <v>-11976.0</v>
      </c>
      <c r="Z2846" s="31"/>
      <c r="AA2846" s="31" t="s">
        <v>94</v>
      </c>
      <c r="AB2846" s="31" t="s">
        <v>11169</v>
      </c>
      <c r="AC2846" s="31"/>
    </row>
    <row r="2847" ht="18.75" customHeight="1">
      <c r="A2847" s="18" t="s">
        <v>11170</v>
      </c>
      <c r="B2847" s="19" t="s">
        <v>2138</v>
      </c>
      <c r="C2847" s="20">
        <v>27.0</v>
      </c>
      <c r="D2847" s="39" t="s">
        <v>11171</v>
      </c>
      <c r="E2847" s="27" t="s">
        <v>72</v>
      </c>
      <c r="F2847" s="18" t="s">
        <v>48</v>
      </c>
      <c r="G2847" s="32" t="s">
        <v>35</v>
      </c>
      <c r="H2847" s="23" t="s">
        <v>35</v>
      </c>
      <c r="I2847" s="37" t="s">
        <v>36</v>
      </c>
      <c r="J2847" s="34" t="s">
        <v>65</v>
      </c>
      <c r="K2847" s="26" t="s">
        <v>38</v>
      </c>
      <c r="L2847" s="25">
        <v>11916.0</v>
      </c>
      <c r="M2847" s="27" t="s">
        <v>50</v>
      </c>
      <c r="N2847" s="26" t="s">
        <v>5706</v>
      </c>
      <c r="O2847" s="28">
        <v>45601.718534942134</v>
      </c>
      <c r="P2847" s="26" t="s">
        <v>11172</v>
      </c>
      <c r="Q2847" s="11" t="s">
        <v>67</v>
      </c>
      <c r="R2847" s="11" t="s">
        <v>67</v>
      </c>
      <c r="S2847" s="11" t="s">
        <v>50</v>
      </c>
      <c r="T2847" s="29">
        <v>45600.393361608796</v>
      </c>
      <c r="U2847" s="29">
        <v>45600.44361913194</v>
      </c>
      <c r="V2847" s="29">
        <v>45600.70278054399</v>
      </c>
      <c r="W2847" s="38"/>
      <c r="X2847" s="30"/>
      <c r="Y2847" s="31"/>
      <c r="Z2847" s="31"/>
      <c r="AA2847" s="31" t="s">
        <v>94</v>
      </c>
      <c r="AB2847" s="31" t="s">
        <v>11173</v>
      </c>
      <c r="AC2847" s="31"/>
    </row>
    <row r="2848" ht="18.75" customHeight="1">
      <c r="A2848" s="18" t="s">
        <v>11174</v>
      </c>
      <c r="B2848" s="19" t="s">
        <v>2138</v>
      </c>
      <c r="C2848" s="20">
        <v>27.0</v>
      </c>
      <c r="D2848" s="39" t="s">
        <v>11175</v>
      </c>
      <c r="E2848" s="27" t="s">
        <v>72</v>
      </c>
      <c r="F2848" s="18" t="s">
        <v>48</v>
      </c>
      <c r="G2848" s="32" t="s">
        <v>35</v>
      </c>
      <c r="H2848" s="23" t="s">
        <v>35</v>
      </c>
      <c r="I2848" s="37" t="s">
        <v>36</v>
      </c>
      <c r="J2848" s="34" t="s">
        <v>65</v>
      </c>
      <c r="K2848" s="26" t="s">
        <v>38</v>
      </c>
      <c r="L2848" s="25">
        <v>11916.0</v>
      </c>
      <c r="M2848" s="27" t="s">
        <v>50</v>
      </c>
      <c r="N2848" s="26" t="s">
        <v>5706</v>
      </c>
      <c r="O2848" s="28">
        <v>45601.718613495366</v>
      </c>
      <c r="P2848" s="26" t="s">
        <v>11172</v>
      </c>
      <c r="Q2848" s="11" t="s">
        <v>67</v>
      </c>
      <c r="R2848" s="11" t="s">
        <v>67</v>
      </c>
      <c r="S2848" s="11" t="s">
        <v>50</v>
      </c>
      <c r="T2848" s="29">
        <v>45600.39353833333</v>
      </c>
      <c r="U2848" s="29">
        <v>45600.443668113425</v>
      </c>
      <c r="V2848" s="29">
        <v>45600.702793599536</v>
      </c>
      <c r="W2848" s="38"/>
      <c r="X2848" s="30"/>
      <c r="Y2848" s="31"/>
      <c r="Z2848" s="31"/>
      <c r="AA2848" s="31" t="s">
        <v>94</v>
      </c>
      <c r="AB2848" s="31" t="s">
        <v>11176</v>
      </c>
      <c r="AC2848" s="31"/>
    </row>
    <row r="2849" ht="18.75" customHeight="1">
      <c r="A2849" s="18" t="s">
        <v>11177</v>
      </c>
      <c r="B2849" s="19" t="s">
        <v>2138</v>
      </c>
      <c r="C2849" s="20">
        <v>27.0</v>
      </c>
      <c r="D2849" s="39" t="s">
        <v>11178</v>
      </c>
      <c r="E2849" s="27" t="s">
        <v>72</v>
      </c>
      <c r="F2849" s="18" t="s">
        <v>48</v>
      </c>
      <c r="G2849" s="32" t="s">
        <v>35</v>
      </c>
      <c r="H2849" s="23" t="s">
        <v>35</v>
      </c>
      <c r="I2849" s="37" t="s">
        <v>36</v>
      </c>
      <c r="J2849" s="34" t="s">
        <v>65</v>
      </c>
      <c r="K2849" s="26" t="s">
        <v>38</v>
      </c>
      <c r="L2849" s="25">
        <v>11916.0</v>
      </c>
      <c r="M2849" s="27" t="s">
        <v>50</v>
      </c>
      <c r="N2849" s="26" t="s">
        <v>5706</v>
      </c>
      <c r="O2849" s="28">
        <v>45601.71868439815</v>
      </c>
      <c r="P2849" s="26" t="s">
        <v>11172</v>
      </c>
      <c r="Q2849" s="11" t="s">
        <v>67</v>
      </c>
      <c r="R2849" s="11" t="s">
        <v>67</v>
      </c>
      <c r="S2849" s="11" t="s">
        <v>50</v>
      </c>
      <c r="T2849" s="29">
        <v>45600.39359851852</v>
      </c>
      <c r="U2849" s="29">
        <v>45600.443672685185</v>
      </c>
      <c r="V2849" s="29">
        <v>45600.70280304398</v>
      </c>
      <c r="W2849" s="38"/>
      <c r="X2849" s="30"/>
      <c r="Y2849" s="31"/>
      <c r="Z2849" s="31"/>
      <c r="AA2849" s="31" t="s">
        <v>94</v>
      </c>
      <c r="AB2849" s="31" t="s">
        <v>11179</v>
      </c>
      <c r="AC2849" s="31"/>
    </row>
    <row r="2850" ht="18.75" customHeight="1">
      <c r="A2850" s="32" t="s">
        <v>11180</v>
      </c>
      <c r="B2850" s="19" t="s">
        <v>2138</v>
      </c>
      <c r="C2850" s="20">
        <v>137.0</v>
      </c>
      <c r="D2850" s="21" t="s">
        <v>11181</v>
      </c>
      <c r="E2850" s="27" t="s">
        <v>85</v>
      </c>
      <c r="F2850" s="18" t="s">
        <v>48</v>
      </c>
      <c r="G2850" s="32" t="s">
        <v>35</v>
      </c>
      <c r="H2850" s="23" t="s">
        <v>35</v>
      </c>
      <c r="I2850" s="24" t="s">
        <v>36</v>
      </c>
      <c r="J2850" s="34" t="s">
        <v>65</v>
      </c>
      <c r="K2850" s="26" t="s">
        <v>38</v>
      </c>
      <c r="L2850" s="64" t="s">
        <v>11182</v>
      </c>
      <c r="M2850" s="152" t="str">
        <f>VLOOKUP(D2850,'Página111'!E:E,1,0)</f>
        <v>#REF!</v>
      </c>
      <c r="N2850" s="26"/>
      <c r="O2850" s="50">
        <v>45646.0</v>
      </c>
      <c r="P2850" s="26" t="s">
        <v>11172</v>
      </c>
      <c r="Q2850" s="11" t="s">
        <v>67</v>
      </c>
      <c r="R2850" s="11" t="s">
        <v>67</v>
      </c>
      <c r="S2850" s="11" t="s">
        <v>73</v>
      </c>
      <c r="T2850" s="29">
        <v>45600.39375782407</v>
      </c>
      <c r="U2850" s="29">
        <v>45600.443679131946</v>
      </c>
      <c r="V2850" s="29">
        <v>45644.77586739583</v>
      </c>
      <c r="W2850" s="11"/>
      <c r="X2850" s="30"/>
      <c r="Y2850" s="66">
        <v>-11915.0</v>
      </c>
      <c r="Z2850" s="31"/>
      <c r="AA2850" s="31" t="s">
        <v>94</v>
      </c>
      <c r="AB2850" s="31" t="s">
        <v>11183</v>
      </c>
      <c r="AC2850" s="31"/>
    </row>
    <row r="2851" ht="18.75" customHeight="1">
      <c r="A2851" s="18" t="s">
        <v>11184</v>
      </c>
      <c r="B2851" s="19" t="s">
        <v>2138</v>
      </c>
      <c r="C2851" s="20">
        <v>11.0</v>
      </c>
      <c r="D2851" s="21" t="s">
        <v>11185</v>
      </c>
      <c r="E2851" s="27" t="s">
        <v>112</v>
      </c>
      <c r="F2851" s="18" t="s">
        <v>48</v>
      </c>
      <c r="G2851" s="32" t="s">
        <v>35</v>
      </c>
      <c r="H2851" s="23" t="s">
        <v>35</v>
      </c>
      <c r="I2851" s="37" t="s">
        <v>36</v>
      </c>
      <c r="J2851" s="34" t="s">
        <v>65</v>
      </c>
      <c r="K2851" s="26" t="s">
        <v>38</v>
      </c>
      <c r="L2851" s="25">
        <v>11916.0</v>
      </c>
      <c r="M2851" s="27" t="s">
        <v>50</v>
      </c>
      <c r="N2851" s="26" t="s">
        <v>5706</v>
      </c>
      <c r="O2851" s="28">
        <v>45601.71875605324</v>
      </c>
      <c r="P2851" s="26" t="s">
        <v>11172</v>
      </c>
      <c r="Q2851" s="11" t="s">
        <v>67</v>
      </c>
      <c r="R2851" s="11" t="s">
        <v>67</v>
      </c>
      <c r="S2851" s="11" t="s">
        <v>50</v>
      </c>
      <c r="T2851" s="29">
        <v>45600.39395981481</v>
      </c>
      <c r="U2851" s="29">
        <v>45600.4436853125</v>
      </c>
      <c r="V2851" s="29">
        <v>45600.70177237269</v>
      </c>
      <c r="W2851" s="38"/>
      <c r="X2851" s="30"/>
      <c r="Y2851" s="31"/>
      <c r="Z2851" s="31"/>
      <c r="AA2851" s="31" t="s">
        <v>94</v>
      </c>
      <c r="AB2851" s="31" t="s">
        <v>11186</v>
      </c>
      <c r="AC2851" s="31"/>
    </row>
    <row r="2852" ht="18.75" customHeight="1">
      <c r="A2852" s="142" t="s">
        <v>11187</v>
      </c>
      <c r="B2852" s="19" t="s">
        <v>5277</v>
      </c>
      <c r="C2852" s="20">
        <v>0.0</v>
      </c>
      <c r="D2852" s="21" t="s">
        <v>11188</v>
      </c>
      <c r="E2852" s="27" t="s">
        <v>338</v>
      </c>
      <c r="F2852" s="18" t="s">
        <v>33</v>
      </c>
      <c r="G2852" s="18" t="s">
        <v>34</v>
      </c>
      <c r="H2852" s="23" t="s">
        <v>35</v>
      </c>
      <c r="I2852" s="37" t="s">
        <v>36</v>
      </c>
      <c r="J2852" s="34" t="s">
        <v>65</v>
      </c>
      <c r="K2852" s="26" t="s">
        <v>38</v>
      </c>
      <c r="L2852" s="25">
        <v>12046.0</v>
      </c>
      <c r="M2852" s="27" t="s">
        <v>50</v>
      </c>
      <c r="N2852" s="26" t="s">
        <v>11189</v>
      </c>
      <c r="O2852" s="28">
        <v>45618.70671157408</v>
      </c>
      <c r="P2852" s="26" t="s">
        <v>11190</v>
      </c>
      <c r="Q2852" s="11" t="s">
        <v>67</v>
      </c>
      <c r="R2852" s="11" t="s">
        <v>67</v>
      </c>
      <c r="S2852" s="11" t="s">
        <v>101</v>
      </c>
      <c r="T2852" s="29">
        <v>45600.39491300926</v>
      </c>
      <c r="U2852" s="29">
        <v>45601.630490069445</v>
      </c>
      <c r="V2852" s="29">
        <v>45617.47598425926</v>
      </c>
      <c r="W2852" s="38"/>
      <c r="X2852" s="30"/>
      <c r="Y2852" s="31"/>
      <c r="Z2852" s="31"/>
      <c r="AA2852" s="31" t="s">
        <v>94</v>
      </c>
      <c r="AB2852" s="31" t="s">
        <v>11191</v>
      </c>
      <c r="AC2852" s="31"/>
    </row>
    <row r="2853" ht="18.75" customHeight="1">
      <c r="A2853" s="142" t="s">
        <v>11192</v>
      </c>
      <c r="B2853" s="19" t="s">
        <v>8071</v>
      </c>
      <c r="C2853" s="20">
        <v>90.0</v>
      </c>
      <c r="D2853" s="21" t="s">
        <v>11193</v>
      </c>
      <c r="E2853" s="27" t="s">
        <v>91</v>
      </c>
      <c r="F2853" s="18" t="s">
        <v>48</v>
      </c>
      <c r="G2853" s="32" t="s">
        <v>35</v>
      </c>
      <c r="H2853" s="23" t="s">
        <v>35</v>
      </c>
      <c r="I2853" s="37" t="s">
        <v>36</v>
      </c>
      <c r="J2853" s="25" t="s">
        <v>49</v>
      </c>
      <c r="K2853" s="26" t="s">
        <v>38</v>
      </c>
      <c r="L2853" s="25">
        <v>11956.0</v>
      </c>
      <c r="M2853" s="27" t="s">
        <v>50</v>
      </c>
      <c r="N2853" s="26" t="s">
        <v>5936</v>
      </c>
      <c r="O2853" s="28">
        <v>45607.71320722222</v>
      </c>
      <c r="P2853" s="26" t="s">
        <v>11194</v>
      </c>
      <c r="Q2853" s="11" t="s">
        <v>67</v>
      </c>
      <c r="R2853" s="11" t="s">
        <v>67</v>
      </c>
      <c r="S2853" s="11" t="s">
        <v>50</v>
      </c>
      <c r="T2853" s="29">
        <v>45600.59661314815</v>
      </c>
      <c r="U2853" s="29">
        <v>45603.70355600695</v>
      </c>
      <c r="V2853" s="29">
        <v>45607.4558992824</v>
      </c>
      <c r="W2853" s="38"/>
      <c r="X2853" s="30"/>
      <c r="Y2853" s="31"/>
      <c r="Z2853" s="31"/>
      <c r="AA2853" s="31" t="s">
        <v>127</v>
      </c>
      <c r="AB2853" s="31" t="s">
        <v>11195</v>
      </c>
      <c r="AC2853" s="31"/>
    </row>
    <row r="2854" ht="18.75" customHeight="1">
      <c r="A2854" s="48" t="s">
        <v>11196</v>
      </c>
      <c r="B2854" s="53" t="s">
        <v>4293</v>
      </c>
      <c r="C2854" s="47">
        <v>34.0</v>
      </c>
      <c r="D2854" s="70" t="s">
        <v>11197</v>
      </c>
      <c r="E2854" s="55" t="s">
        <v>47</v>
      </c>
      <c r="F2854" s="32" t="s">
        <v>48</v>
      </c>
      <c r="G2854" s="32" t="s">
        <v>35</v>
      </c>
      <c r="H2854" s="71" t="s">
        <v>35</v>
      </c>
      <c r="I2854" s="71" t="s">
        <v>36</v>
      </c>
      <c r="J2854" s="34" t="s">
        <v>65</v>
      </c>
      <c r="K2854" s="57" t="s">
        <v>38</v>
      </c>
      <c r="L2854" s="72">
        <v>11907.0</v>
      </c>
      <c r="M2854" s="22"/>
      <c r="N2854" s="73"/>
      <c r="O2854" s="28">
        <v>45600.615625</v>
      </c>
      <c r="P2854" s="35" t="s">
        <v>11198</v>
      </c>
      <c r="Q2854" s="14" t="s">
        <v>67</v>
      </c>
      <c r="R2854" s="14" t="s">
        <v>67</v>
      </c>
      <c r="S2854" s="12"/>
      <c r="T2854" s="52">
        <v>45600.615625</v>
      </c>
      <c r="U2854" s="52">
        <v>45600.615625</v>
      </c>
      <c r="V2854" s="52">
        <v>45600.615625</v>
      </c>
      <c r="W2854" s="30"/>
      <c r="X2854" s="30"/>
      <c r="Y2854" s="31"/>
      <c r="Z2854" s="31"/>
      <c r="AA2854" s="78" t="s">
        <v>94</v>
      </c>
      <c r="AB2854" s="74" t="s">
        <v>11199</v>
      </c>
      <c r="AC2854" s="74"/>
    </row>
    <row r="2855" ht="18.75" customHeight="1">
      <c r="A2855" s="142" t="s">
        <v>11200</v>
      </c>
      <c r="B2855" s="19" t="s">
        <v>8046</v>
      </c>
      <c r="C2855" s="20">
        <v>11.0</v>
      </c>
      <c r="D2855" s="21" t="s">
        <v>11201</v>
      </c>
      <c r="E2855" s="27" t="s">
        <v>112</v>
      </c>
      <c r="F2855" s="18" t="s">
        <v>48</v>
      </c>
      <c r="G2855" s="32" t="s">
        <v>35</v>
      </c>
      <c r="H2855" s="23" t="s">
        <v>35</v>
      </c>
      <c r="I2855" s="37" t="s">
        <v>36</v>
      </c>
      <c r="J2855" s="34" t="s">
        <v>65</v>
      </c>
      <c r="K2855" s="26" t="s">
        <v>38</v>
      </c>
      <c r="L2855" s="25">
        <v>11930.0</v>
      </c>
      <c r="M2855" s="27" t="s">
        <v>50</v>
      </c>
      <c r="N2855" s="26" t="s">
        <v>8469</v>
      </c>
      <c r="O2855" s="28">
        <v>45602.69082487268</v>
      </c>
      <c r="P2855" s="26" t="s">
        <v>11202</v>
      </c>
      <c r="Q2855" s="11" t="s">
        <v>67</v>
      </c>
      <c r="R2855" s="11" t="s">
        <v>67</v>
      </c>
      <c r="S2855" s="11" t="s">
        <v>50</v>
      </c>
      <c r="T2855" s="29">
        <v>45601.61741239583</v>
      </c>
      <c r="U2855" s="29">
        <v>45601.61741547454</v>
      </c>
      <c r="V2855" s="29">
        <v>45602.467910625</v>
      </c>
      <c r="W2855" s="38"/>
      <c r="X2855" s="30"/>
      <c r="Y2855" s="31"/>
      <c r="Z2855" s="31"/>
      <c r="AA2855" s="31" t="s">
        <v>94</v>
      </c>
      <c r="AB2855" s="31" t="s">
        <v>11203</v>
      </c>
      <c r="AC2855" s="31"/>
    </row>
    <row r="2856" ht="18.75" customHeight="1">
      <c r="A2856" s="142" t="s">
        <v>11204</v>
      </c>
      <c r="B2856" s="19" t="s">
        <v>11205</v>
      </c>
      <c r="C2856" s="20">
        <v>27.0</v>
      </c>
      <c r="D2856" s="39" t="s">
        <v>11206</v>
      </c>
      <c r="E2856" s="27" t="s">
        <v>72</v>
      </c>
      <c r="F2856" s="18" t="s">
        <v>48</v>
      </c>
      <c r="G2856" s="32" t="s">
        <v>35</v>
      </c>
      <c r="H2856" s="23" t="s">
        <v>35</v>
      </c>
      <c r="I2856" s="37" t="s">
        <v>36</v>
      </c>
      <c r="J2856" s="34" t="s">
        <v>65</v>
      </c>
      <c r="K2856" s="26" t="s">
        <v>38</v>
      </c>
      <c r="L2856" s="72">
        <v>11909.0</v>
      </c>
      <c r="M2856" s="27" t="s">
        <v>50</v>
      </c>
      <c r="N2856" s="26" t="s">
        <v>5706</v>
      </c>
      <c r="O2856" s="28">
        <v>45601.71882836806</v>
      </c>
      <c r="P2856" s="26" t="s">
        <v>11207</v>
      </c>
      <c r="Q2856" s="11" t="s">
        <v>67</v>
      </c>
      <c r="R2856" s="11" t="s">
        <v>67</v>
      </c>
      <c r="S2856" s="11" t="s">
        <v>50</v>
      </c>
      <c r="T2856" s="29">
        <v>45600.669241655094</v>
      </c>
      <c r="U2856" s="29">
        <v>45600.67693771991</v>
      </c>
      <c r="V2856" s="29">
        <v>45600.69964818287</v>
      </c>
      <c r="W2856" s="38"/>
      <c r="X2856" s="30"/>
      <c r="Y2856" s="31"/>
      <c r="Z2856" s="31"/>
      <c r="AA2856" s="31" t="s">
        <v>3059</v>
      </c>
      <c r="AB2856" s="160" t="s">
        <v>11208</v>
      </c>
      <c r="AC2856" s="31"/>
    </row>
    <row r="2857" ht="18.75" customHeight="1">
      <c r="A2857" s="142" t="s">
        <v>11209</v>
      </c>
      <c r="B2857" s="19" t="s">
        <v>11210</v>
      </c>
      <c r="C2857" s="20">
        <v>27.0</v>
      </c>
      <c r="D2857" s="39" t="s">
        <v>11211</v>
      </c>
      <c r="E2857" s="27" t="s">
        <v>72</v>
      </c>
      <c r="F2857" s="18" t="s">
        <v>48</v>
      </c>
      <c r="G2857" s="32" t="s">
        <v>35</v>
      </c>
      <c r="H2857" s="23" t="s">
        <v>35</v>
      </c>
      <c r="I2857" s="37" t="s">
        <v>36</v>
      </c>
      <c r="J2857" s="34" t="s">
        <v>65</v>
      </c>
      <c r="K2857" s="26" t="s">
        <v>38</v>
      </c>
      <c r="L2857" s="25">
        <v>11932.0</v>
      </c>
      <c r="M2857" s="27" t="s">
        <v>50</v>
      </c>
      <c r="N2857" s="26" t="s">
        <v>8469</v>
      </c>
      <c r="O2857" s="28">
        <v>45602.69087508102</v>
      </c>
      <c r="P2857" s="26" t="s">
        <v>11212</v>
      </c>
      <c r="Q2857" s="11" t="s">
        <v>67</v>
      </c>
      <c r="R2857" s="11" t="s">
        <v>67</v>
      </c>
      <c r="S2857" s="11" t="s">
        <v>50</v>
      </c>
      <c r="T2857" s="29">
        <v>45601.490398553244</v>
      </c>
      <c r="U2857" s="29">
        <v>45601.49097371528</v>
      </c>
      <c r="V2857" s="29">
        <v>45602.467278807875</v>
      </c>
      <c r="W2857" s="38"/>
      <c r="X2857" s="30"/>
      <c r="Y2857" s="31"/>
      <c r="Z2857" s="31"/>
      <c r="AA2857" s="31" t="s">
        <v>3059</v>
      </c>
      <c r="AB2857" s="31" t="s">
        <v>11213</v>
      </c>
      <c r="AC2857" s="31"/>
    </row>
    <row r="2858" ht="18.75" customHeight="1">
      <c r="A2858" s="142" t="s">
        <v>11214</v>
      </c>
      <c r="B2858" s="19" t="s">
        <v>11215</v>
      </c>
      <c r="C2858" s="20">
        <v>27.0</v>
      </c>
      <c r="D2858" s="39" t="s">
        <v>11216</v>
      </c>
      <c r="E2858" s="27" t="s">
        <v>72</v>
      </c>
      <c r="F2858" s="18" t="s">
        <v>48</v>
      </c>
      <c r="G2858" s="32" t="s">
        <v>35</v>
      </c>
      <c r="H2858" s="23" t="s">
        <v>35</v>
      </c>
      <c r="I2858" s="37" t="s">
        <v>36</v>
      </c>
      <c r="J2858" s="25" t="s">
        <v>49</v>
      </c>
      <c r="K2858" s="26" t="s">
        <v>11217</v>
      </c>
      <c r="L2858" s="25">
        <v>11931.0</v>
      </c>
      <c r="M2858" s="27" t="s">
        <v>50</v>
      </c>
      <c r="N2858" s="26" t="s">
        <v>5936</v>
      </c>
      <c r="O2858" s="28">
        <v>45602.704223506946</v>
      </c>
      <c r="P2858" s="26" t="s">
        <v>11218</v>
      </c>
      <c r="Q2858" s="11" t="s">
        <v>67</v>
      </c>
      <c r="R2858" s="11" t="s">
        <v>67</v>
      </c>
      <c r="S2858" s="11" t="s">
        <v>50</v>
      </c>
      <c r="T2858" s="29">
        <v>45601.391427662034</v>
      </c>
      <c r="U2858" s="29">
        <v>45601.60398554398</v>
      </c>
      <c r="V2858" s="29">
        <v>45602.46729114583</v>
      </c>
      <c r="W2858" s="38"/>
      <c r="X2858" s="30"/>
      <c r="Y2858" s="31"/>
      <c r="Z2858" s="31"/>
      <c r="AA2858" s="31" t="s">
        <v>9317</v>
      </c>
      <c r="AB2858" s="31" t="s">
        <v>11219</v>
      </c>
      <c r="AC2858" s="31"/>
    </row>
    <row r="2859" ht="18.75" customHeight="1">
      <c r="A2859" s="142" t="s">
        <v>11220</v>
      </c>
      <c r="B2859" s="19" t="s">
        <v>3289</v>
      </c>
      <c r="C2859" s="20">
        <v>27.0</v>
      </c>
      <c r="D2859" s="39" t="s">
        <v>11221</v>
      </c>
      <c r="E2859" s="27" t="s">
        <v>72</v>
      </c>
      <c r="F2859" s="18" t="s">
        <v>48</v>
      </c>
      <c r="G2859" s="32" t="s">
        <v>35</v>
      </c>
      <c r="H2859" s="23" t="s">
        <v>35</v>
      </c>
      <c r="I2859" s="37" t="s">
        <v>36</v>
      </c>
      <c r="J2859" s="25" t="s">
        <v>92</v>
      </c>
      <c r="K2859" s="26" t="s">
        <v>38</v>
      </c>
      <c r="L2859" s="25">
        <v>11923.0</v>
      </c>
      <c r="M2859" s="27" t="s">
        <v>50</v>
      </c>
      <c r="N2859" s="26" t="s">
        <v>4362</v>
      </c>
      <c r="O2859" s="28">
        <v>45622.65633974537</v>
      </c>
      <c r="P2859" s="26" t="s">
        <v>11222</v>
      </c>
      <c r="Q2859" s="11" t="s">
        <v>67</v>
      </c>
      <c r="R2859" s="11" t="s">
        <v>67</v>
      </c>
      <c r="S2859" s="11" t="s">
        <v>50</v>
      </c>
      <c r="T2859" s="29">
        <v>45601.40006238426</v>
      </c>
      <c r="U2859" s="29">
        <v>45601.42963275463</v>
      </c>
      <c r="V2859" s="29">
        <v>45601.59509642361</v>
      </c>
      <c r="W2859" s="38"/>
      <c r="X2859" s="30"/>
      <c r="Y2859" s="31"/>
      <c r="Z2859" s="31"/>
      <c r="AA2859" s="31" t="s">
        <v>120</v>
      </c>
      <c r="AB2859" s="31" t="s">
        <v>11223</v>
      </c>
      <c r="AC2859" s="31"/>
    </row>
    <row r="2860" ht="18.75" customHeight="1">
      <c r="A2860" s="142" t="s">
        <v>11224</v>
      </c>
      <c r="B2860" s="19" t="s">
        <v>3289</v>
      </c>
      <c r="C2860" s="20">
        <v>90.0</v>
      </c>
      <c r="D2860" s="21" t="s">
        <v>11225</v>
      </c>
      <c r="E2860" s="27" t="s">
        <v>91</v>
      </c>
      <c r="F2860" s="18" t="s">
        <v>48</v>
      </c>
      <c r="G2860" s="32" t="s">
        <v>35</v>
      </c>
      <c r="H2860" s="23" t="s">
        <v>35</v>
      </c>
      <c r="I2860" s="37" t="s">
        <v>36</v>
      </c>
      <c r="J2860" s="25" t="s">
        <v>92</v>
      </c>
      <c r="K2860" s="26" t="s">
        <v>38</v>
      </c>
      <c r="L2860" s="25">
        <v>11924.0</v>
      </c>
      <c r="M2860" s="27" t="s">
        <v>50</v>
      </c>
      <c r="N2860" s="26" t="s">
        <v>4362</v>
      </c>
      <c r="O2860" s="28">
        <v>45622.65642850695</v>
      </c>
      <c r="P2860" s="26" t="s">
        <v>11226</v>
      </c>
      <c r="Q2860" s="11" t="s">
        <v>67</v>
      </c>
      <c r="R2860" s="11" t="s">
        <v>67</v>
      </c>
      <c r="S2860" s="11" t="s">
        <v>50</v>
      </c>
      <c r="T2860" s="29">
        <v>45601.40509598379</v>
      </c>
      <c r="U2860" s="29">
        <v>45601.43016081018</v>
      </c>
      <c r="V2860" s="29">
        <v>45601.58139317129</v>
      </c>
      <c r="W2860" s="38"/>
      <c r="X2860" s="30"/>
      <c r="Y2860" s="31"/>
      <c r="Z2860" s="31"/>
      <c r="AA2860" s="31" t="s">
        <v>120</v>
      </c>
      <c r="AB2860" s="31" t="s">
        <v>11227</v>
      </c>
      <c r="AC2860" s="31"/>
    </row>
    <row r="2861" ht="18.75" customHeight="1">
      <c r="A2861" s="18" t="s">
        <v>11228</v>
      </c>
      <c r="B2861" s="19" t="s">
        <v>115</v>
      </c>
      <c r="C2861" s="20">
        <v>90.0</v>
      </c>
      <c r="D2861" s="21" t="s">
        <v>11229</v>
      </c>
      <c r="E2861" s="27" t="s">
        <v>91</v>
      </c>
      <c r="F2861" s="18" t="s">
        <v>48</v>
      </c>
      <c r="G2861" s="32" t="s">
        <v>35</v>
      </c>
      <c r="H2861" s="23" t="s">
        <v>35</v>
      </c>
      <c r="I2861" s="37" t="s">
        <v>36</v>
      </c>
      <c r="J2861" s="25" t="s">
        <v>92</v>
      </c>
      <c r="K2861" s="26" t="s">
        <v>38</v>
      </c>
      <c r="L2861" s="25">
        <v>11922.0</v>
      </c>
      <c r="M2861" s="27" t="s">
        <v>50</v>
      </c>
      <c r="N2861" s="26" t="s">
        <v>7077</v>
      </c>
      <c r="O2861" s="28">
        <v>45601.63372003472</v>
      </c>
      <c r="P2861" s="26" t="s">
        <v>11230</v>
      </c>
      <c r="Q2861" s="11" t="s">
        <v>67</v>
      </c>
      <c r="R2861" s="11" t="s">
        <v>67</v>
      </c>
      <c r="S2861" s="11" t="s">
        <v>50</v>
      </c>
      <c r="T2861" s="29">
        <v>45601.410290196756</v>
      </c>
      <c r="U2861" s="29">
        <v>45601.47055576389</v>
      </c>
      <c r="V2861" s="29">
        <v>45601.54504788194</v>
      </c>
      <c r="W2861" s="38"/>
      <c r="X2861" s="30"/>
      <c r="Y2861" s="31"/>
      <c r="Z2861" s="31"/>
      <c r="AA2861" s="31" t="s">
        <v>120</v>
      </c>
      <c r="AB2861" s="31" t="s">
        <v>11231</v>
      </c>
      <c r="AC2861" s="31"/>
    </row>
    <row r="2862" ht="18.75" customHeight="1">
      <c r="A2862" s="18" t="s">
        <v>11232</v>
      </c>
      <c r="B2862" s="19" t="s">
        <v>115</v>
      </c>
      <c r="C2862" s="20">
        <v>90.0</v>
      </c>
      <c r="D2862" s="21" t="s">
        <v>11233</v>
      </c>
      <c r="E2862" s="27" t="s">
        <v>91</v>
      </c>
      <c r="F2862" s="18" t="s">
        <v>48</v>
      </c>
      <c r="G2862" s="32" t="s">
        <v>35</v>
      </c>
      <c r="H2862" s="23" t="s">
        <v>35</v>
      </c>
      <c r="I2862" s="37" t="s">
        <v>36</v>
      </c>
      <c r="J2862" s="25" t="s">
        <v>92</v>
      </c>
      <c r="K2862" s="26" t="s">
        <v>38</v>
      </c>
      <c r="L2862" s="25">
        <v>11922.0</v>
      </c>
      <c r="M2862" s="27" t="s">
        <v>50</v>
      </c>
      <c r="N2862" s="26" t="s">
        <v>7077</v>
      </c>
      <c r="O2862" s="28">
        <v>45601.633776296294</v>
      </c>
      <c r="P2862" s="26" t="s">
        <v>11230</v>
      </c>
      <c r="Q2862" s="11" t="s">
        <v>67</v>
      </c>
      <c r="R2862" s="11" t="s">
        <v>67</v>
      </c>
      <c r="S2862" s="11" t="s">
        <v>50</v>
      </c>
      <c r="T2862" s="29">
        <v>45601.412909375</v>
      </c>
      <c r="U2862" s="29">
        <v>45601.47064871527</v>
      </c>
      <c r="V2862" s="29">
        <v>45601.545056284725</v>
      </c>
      <c r="W2862" s="38"/>
      <c r="X2862" s="30"/>
      <c r="Y2862" s="31"/>
      <c r="Z2862" s="31"/>
      <c r="AA2862" s="31" t="s">
        <v>120</v>
      </c>
      <c r="AB2862" s="31" t="s">
        <v>11234</v>
      </c>
      <c r="AC2862" s="31"/>
    </row>
    <row r="2863" ht="18.75" customHeight="1">
      <c r="A2863" s="18" t="s">
        <v>11235</v>
      </c>
      <c r="B2863" s="19" t="s">
        <v>115</v>
      </c>
      <c r="C2863" s="20">
        <v>90.0</v>
      </c>
      <c r="D2863" s="21" t="s">
        <v>11236</v>
      </c>
      <c r="E2863" s="27" t="s">
        <v>91</v>
      </c>
      <c r="F2863" s="18" t="s">
        <v>48</v>
      </c>
      <c r="G2863" s="32" t="s">
        <v>35</v>
      </c>
      <c r="H2863" s="23" t="s">
        <v>35</v>
      </c>
      <c r="I2863" s="37" t="s">
        <v>36</v>
      </c>
      <c r="J2863" s="25" t="s">
        <v>92</v>
      </c>
      <c r="K2863" s="26" t="s">
        <v>38</v>
      </c>
      <c r="L2863" s="25">
        <v>11922.0</v>
      </c>
      <c r="M2863" s="27" t="s">
        <v>50</v>
      </c>
      <c r="N2863" s="26" t="s">
        <v>7077</v>
      </c>
      <c r="O2863" s="28">
        <v>45601.63382295139</v>
      </c>
      <c r="P2863" s="26" t="s">
        <v>11230</v>
      </c>
      <c r="Q2863" s="11" t="s">
        <v>67</v>
      </c>
      <c r="R2863" s="11" t="s">
        <v>67</v>
      </c>
      <c r="S2863" s="11" t="s">
        <v>50</v>
      </c>
      <c r="T2863" s="29">
        <v>45601.41298111111</v>
      </c>
      <c r="U2863" s="29">
        <v>45601.470654398145</v>
      </c>
      <c r="V2863" s="29">
        <v>45601.54506355324</v>
      </c>
      <c r="W2863" s="38"/>
      <c r="X2863" s="30"/>
      <c r="Y2863" s="31"/>
      <c r="Z2863" s="31"/>
      <c r="AA2863" s="31" t="s">
        <v>120</v>
      </c>
      <c r="AB2863" s="31" t="s">
        <v>11237</v>
      </c>
      <c r="AC2863" s="31"/>
    </row>
    <row r="2864" ht="18.75" customHeight="1">
      <c r="A2864" s="142" t="s">
        <v>11238</v>
      </c>
      <c r="B2864" s="19" t="s">
        <v>4313</v>
      </c>
      <c r="C2864" s="20">
        <v>34.0</v>
      </c>
      <c r="D2864" s="21" t="s">
        <v>11239</v>
      </c>
      <c r="E2864" s="27" t="s">
        <v>47</v>
      </c>
      <c r="F2864" s="18" t="s">
        <v>48</v>
      </c>
      <c r="G2864" s="32" t="s">
        <v>35</v>
      </c>
      <c r="H2864" s="23" t="s">
        <v>35</v>
      </c>
      <c r="I2864" s="37" t="s">
        <v>36</v>
      </c>
      <c r="J2864" s="25" t="s">
        <v>92</v>
      </c>
      <c r="K2864" s="26" t="s">
        <v>38</v>
      </c>
      <c r="L2864" s="25">
        <v>11921.0</v>
      </c>
      <c r="M2864" s="27" t="s">
        <v>50</v>
      </c>
      <c r="N2864" s="26" t="s">
        <v>7077</v>
      </c>
      <c r="O2864" s="28">
        <v>45601.63332501157</v>
      </c>
      <c r="P2864" s="26" t="s">
        <v>11240</v>
      </c>
      <c r="Q2864" s="11" t="s">
        <v>67</v>
      </c>
      <c r="R2864" s="11" t="s">
        <v>67</v>
      </c>
      <c r="S2864" s="11" t="s">
        <v>50</v>
      </c>
      <c r="T2864" s="29">
        <v>45601.41732357639</v>
      </c>
      <c r="U2864" s="29">
        <v>45601.470420694444</v>
      </c>
      <c r="V2864" s="29">
        <v>45601.54239113426</v>
      </c>
      <c r="W2864" s="38"/>
      <c r="X2864" s="30"/>
      <c r="Y2864" s="31"/>
      <c r="Z2864" s="31"/>
      <c r="AA2864" s="31" t="s">
        <v>120</v>
      </c>
      <c r="AB2864" s="31" t="s">
        <v>11241</v>
      </c>
      <c r="AC2864" s="31"/>
    </row>
    <row r="2865" ht="18.75" customHeight="1">
      <c r="A2865" s="142" t="s">
        <v>11242</v>
      </c>
      <c r="B2865" s="19" t="s">
        <v>11243</v>
      </c>
      <c r="C2865" s="20">
        <v>0.0</v>
      </c>
      <c r="D2865" s="21" t="s">
        <v>11244</v>
      </c>
      <c r="E2865" s="22" t="s">
        <v>98</v>
      </c>
      <c r="F2865" s="18" t="s">
        <v>33</v>
      </c>
      <c r="G2865" s="32" t="s">
        <v>35</v>
      </c>
      <c r="H2865" s="23" t="s">
        <v>35</v>
      </c>
      <c r="I2865" s="37" t="s">
        <v>36</v>
      </c>
      <c r="J2865" s="25" t="s">
        <v>49</v>
      </c>
      <c r="K2865" s="26" t="s">
        <v>38</v>
      </c>
      <c r="L2865" s="25">
        <v>11964.0</v>
      </c>
      <c r="M2865" s="27" t="s">
        <v>50</v>
      </c>
      <c r="N2865" s="26" t="s">
        <v>99</v>
      </c>
      <c r="O2865" s="28">
        <v>45609.48369849537</v>
      </c>
      <c r="P2865" s="26" t="s">
        <v>11245</v>
      </c>
      <c r="Q2865" s="11" t="s">
        <v>67</v>
      </c>
      <c r="R2865" s="11" t="s">
        <v>67</v>
      </c>
      <c r="S2865" s="11" t="s">
        <v>101</v>
      </c>
      <c r="T2865" s="29">
        <v>45602.39955265046</v>
      </c>
      <c r="U2865" s="29">
        <v>45603.34989848379</v>
      </c>
      <c r="V2865" s="29">
        <v>45607.50270297454</v>
      </c>
      <c r="W2865" s="38"/>
      <c r="X2865" s="30"/>
      <c r="Y2865" s="31"/>
      <c r="Z2865" s="31"/>
      <c r="AA2865" s="31" t="s">
        <v>5199</v>
      </c>
      <c r="AB2865" s="31" t="s">
        <v>11246</v>
      </c>
      <c r="AC2865" s="31"/>
    </row>
    <row r="2866" ht="18.75" customHeight="1">
      <c r="A2866" s="151" t="s">
        <v>11247</v>
      </c>
      <c r="B2866" s="19" t="s">
        <v>147</v>
      </c>
      <c r="C2866" s="20">
        <v>137.0</v>
      </c>
      <c r="D2866" s="21" t="s">
        <v>11248</v>
      </c>
      <c r="E2866" s="27" t="s">
        <v>85</v>
      </c>
      <c r="F2866" s="18" t="s">
        <v>48</v>
      </c>
      <c r="G2866" s="32" t="s">
        <v>35</v>
      </c>
      <c r="H2866" s="23" t="s">
        <v>35</v>
      </c>
      <c r="I2866" s="24" t="s">
        <v>36</v>
      </c>
      <c r="J2866" s="34" t="s">
        <v>65</v>
      </c>
      <c r="K2866" s="26" t="s">
        <v>38</v>
      </c>
      <c r="L2866" s="64" t="s">
        <v>11249</v>
      </c>
      <c r="M2866" s="152" t="str">
        <f>VLOOKUP(D2866,'Página111'!E:E,1,0)</f>
        <v>#REF!</v>
      </c>
      <c r="N2866" s="26"/>
      <c r="O2866" s="50">
        <v>45646.0</v>
      </c>
      <c r="P2866" s="26" t="s">
        <v>11250</v>
      </c>
      <c r="Q2866" s="11" t="s">
        <v>67</v>
      </c>
      <c r="R2866" s="11" t="s">
        <v>67</v>
      </c>
      <c r="S2866" s="11" t="s">
        <v>73</v>
      </c>
      <c r="T2866" s="29">
        <v>45602.71137769676</v>
      </c>
      <c r="U2866" s="29">
        <v>45603.36031553241</v>
      </c>
      <c r="V2866" s="29">
        <v>45644.775889895835</v>
      </c>
      <c r="W2866" s="11"/>
      <c r="X2866" s="30"/>
      <c r="Y2866" s="66">
        <v>-11977.0</v>
      </c>
      <c r="Z2866" s="31"/>
      <c r="AA2866" s="31" t="s">
        <v>94</v>
      </c>
      <c r="AB2866" s="31" t="s">
        <v>11251</v>
      </c>
      <c r="AC2866" s="31"/>
    </row>
    <row r="2867" ht="18.75" customHeight="1">
      <c r="A2867" s="142" t="s">
        <v>11252</v>
      </c>
      <c r="B2867" s="19" t="s">
        <v>4885</v>
      </c>
      <c r="C2867" s="20">
        <v>33.0</v>
      </c>
      <c r="D2867" s="21" t="s">
        <v>9000</v>
      </c>
      <c r="E2867" s="27" t="s">
        <v>6133</v>
      </c>
      <c r="F2867" s="18" t="s">
        <v>48</v>
      </c>
      <c r="G2867" s="32" t="s">
        <v>35</v>
      </c>
      <c r="H2867" s="23" t="s">
        <v>35</v>
      </c>
      <c r="I2867" s="37" t="s">
        <v>36</v>
      </c>
      <c r="J2867" s="25" t="s">
        <v>92</v>
      </c>
      <c r="K2867" s="26" t="s">
        <v>38</v>
      </c>
      <c r="L2867" s="25">
        <v>11937.0</v>
      </c>
      <c r="M2867" s="27" t="s">
        <v>50</v>
      </c>
      <c r="N2867" s="26" t="s">
        <v>7291</v>
      </c>
      <c r="O2867" s="28">
        <v>45607.557005462964</v>
      </c>
      <c r="P2867" s="26" t="s">
        <v>11253</v>
      </c>
      <c r="Q2867" s="11" t="s">
        <v>67</v>
      </c>
      <c r="R2867" s="11" t="s">
        <v>67</v>
      </c>
      <c r="S2867" s="11" t="s">
        <v>50</v>
      </c>
      <c r="T2867" s="29">
        <v>45602.712937233795</v>
      </c>
      <c r="U2867" s="29">
        <v>45602.72482993055</v>
      </c>
      <c r="V2867" s="29">
        <v>45603.35930353009</v>
      </c>
      <c r="W2867" s="38"/>
      <c r="X2867" s="30"/>
      <c r="Y2867" s="31"/>
      <c r="Z2867" s="31"/>
      <c r="AA2867" s="31" t="s">
        <v>120</v>
      </c>
      <c r="AB2867" s="31" t="s">
        <v>11254</v>
      </c>
      <c r="AC2867" s="31"/>
    </row>
    <row r="2868" ht="18.75" customHeight="1">
      <c r="A2868" s="142" t="s">
        <v>11255</v>
      </c>
      <c r="B2868" s="19" t="s">
        <v>4587</v>
      </c>
      <c r="C2868" s="20">
        <v>11.0</v>
      </c>
      <c r="D2868" s="21" t="s">
        <v>11256</v>
      </c>
      <c r="E2868" s="27" t="s">
        <v>112</v>
      </c>
      <c r="F2868" s="18" t="s">
        <v>48</v>
      </c>
      <c r="G2868" s="32" t="s">
        <v>35</v>
      </c>
      <c r="H2868" s="23" t="s">
        <v>35</v>
      </c>
      <c r="I2868" s="37" t="s">
        <v>36</v>
      </c>
      <c r="J2868" s="34" t="s">
        <v>9338</v>
      </c>
      <c r="K2868" s="26" t="s">
        <v>38</v>
      </c>
      <c r="L2868" s="25">
        <v>11936.0</v>
      </c>
      <c r="M2868" s="27" t="s">
        <v>50</v>
      </c>
      <c r="N2868" s="26" t="s">
        <v>9389</v>
      </c>
      <c r="O2868" s="28">
        <v>45603.68925181713</v>
      </c>
      <c r="P2868" s="26" t="s">
        <v>11257</v>
      </c>
      <c r="Q2868" s="11" t="s">
        <v>67</v>
      </c>
      <c r="R2868" s="11" t="s">
        <v>67</v>
      </c>
      <c r="S2868" s="11" t="s">
        <v>50</v>
      </c>
      <c r="T2868" s="29">
        <v>45602.72886861111</v>
      </c>
      <c r="U2868" s="29">
        <v>45603.350245671296</v>
      </c>
      <c r="V2868" s="29">
        <v>45603.35914335648</v>
      </c>
      <c r="W2868" s="38"/>
      <c r="X2868" s="30"/>
      <c r="Y2868" s="31"/>
      <c r="Z2868" s="31"/>
      <c r="AA2868" s="31" t="s">
        <v>3059</v>
      </c>
      <c r="AB2868" s="31" t="s">
        <v>11258</v>
      </c>
      <c r="AC2868" s="31"/>
    </row>
    <row r="2869" ht="18.75" customHeight="1">
      <c r="A2869" s="151" t="s">
        <v>11259</v>
      </c>
      <c r="B2869" s="19" t="s">
        <v>11260</v>
      </c>
      <c r="C2869" s="20">
        <v>1.0</v>
      </c>
      <c r="D2869" s="21" t="s">
        <v>11261</v>
      </c>
      <c r="E2869" s="27" t="s">
        <v>3395</v>
      </c>
      <c r="F2869" s="18" t="s">
        <v>48</v>
      </c>
      <c r="G2869" s="18" t="s">
        <v>35</v>
      </c>
      <c r="H2869" s="40" t="s">
        <v>35</v>
      </c>
      <c r="I2869" s="37" t="s">
        <v>36</v>
      </c>
      <c r="J2869" s="25" t="s">
        <v>65</v>
      </c>
      <c r="K2869" s="26" t="s">
        <v>38</v>
      </c>
      <c r="L2869" s="72">
        <v>12215.0</v>
      </c>
      <c r="M2869" s="27" t="s">
        <v>50</v>
      </c>
      <c r="N2869" s="26" t="s">
        <v>149</v>
      </c>
      <c r="O2869" s="63">
        <v>45642.62962354167</v>
      </c>
      <c r="P2869" s="26" t="s">
        <v>11262</v>
      </c>
      <c r="Q2869" s="11" t="s">
        <v>67</v>
      </c>
      <c r="R2869" s="11" t="s">
        <v>67</v>
      </c>
      <c r="S2869" s="11" t="s">
        <v>50</v>
      </c>
      <c r="T2869" s="29">
        <v>45609.65754010416</v>
      </c>
      <c r="U2869" s="29">
        <v>45610.402028819444</v>
      </c>
      <c r="V2869" s="29">
        <v>45642.55674056713</v>
      </c>
      <c r="W2869" s="11"/>
      <c r="X2869" s="30"/>
      <c r="Y2869" s="31"/>
      <c r="Z2869" s="31"/>
      <c r="AA2869" s="31" t="s">
        <v>94</v>
      </c>
      <c r="AB2869" s="31" t="s">
        <v>11263</v>
      </c>
      <c r="AC2869" s="31"/>
    </row>
    <row r="2870" ht="18.75" customHeight="1">
      <c r="A2870" s="142" t="s">
        <v>11264</v>
      </c>
      <c r="B2870" s="19" t="s">
        <v>7703</v>
      </c>
      <c r="C2870" s="20">
        <v>27.0</v>
      </c>
      <c r="D2870" s="39" t="s">
        <v>11265</v>
      </c>
      <c r="E2870" s="27" t="s">
        <v>72</v>
      </c>
      <c r="F2870" s="18" t="s">
        <v>48</v>
      </c>
      <c r="G2870" s="32" t="s">
        <v>35</v>
      </c>
      <c r="H2870" s="23" t="s">
        <v>35</v>
      </c>
      <c r="I2870" s="37" t="s">
        <v>36</v>
      </c>
      <c r="J2870" s="34" t="s">
        <v>9338</v>
      </c>
      <c r="K2870" s="26" t="s">
        <v>38</v>
      </c>
      <c r="L2870" s="25">
        <v>11966.0</v>
      </c>
      <c r="M2870" s="27" t="s">
        <v>50</v>
      </c>
      <c r="N2870" s="26" t="s">
        <v>9389</v>
      </c>
      <c r="O2870" s="28">
        <v>45608.57528234954</v>
      </c>
      <c r="P2870" s="26" t="s">
        <v>11266</v>
      </c>
      <c r="Q2870" s="11" t="s">
        <v>67</v>
      </c>
      <c r="R2870" s="11" t="s">
        <v>67</v>
      </c>
      <c r="S2870" s="11" t="s">
        <v>50</v>
      </c>
      <c r="T2870" s="29">
        <v>45607.56122434028</v>
      </c>
      <c r="U2870" s="29">
        <v>45607.56122740741</v>
      </c>
      <c r="V2870" s="29">
        <v>45608.35514638889</v>
      </c>
      <c r="W2870" s="38"/>
      <c r="X2870" s="30"/>
      <c r="Y2870" s="31"/>
      <c r="Z2870" s="31"/>
      <c r="AA2870" s="31" t="s">
        <v>3059</v>
      </c>
      <c r="AB2870" s="31" t="s">
        <v>11267</v>
      </c>
      <c r="AC2870" s="31"/>
    </row>
    <row r="2871" ht="18.75" customHeight="1">
      <c r="A2871" s="142" t="s">
        <v>11268</v>
      </c>
      <c r="B2871" s="19" t="s">
        <v>4711</v>
      </c>
      <c r="C2871" s="20">
        <v>27.0</v>
      </c>
      <c r="D2871" s="39" t="s">
        <v>11269</v>
      </c>
      <c r="E2871" s="27" t="s">
        <v>72</v>
      </c>
      <c r="F2871" s="18" t="s">
        <v>48</v>
      </c>
      <c r="G2871" s="32" t="s">
        <v>35</v>
      </c>
      <c r="H2871" s="23" t="s">
        <v>35</v>
      </c>
      <c r="I2871" s="37" t="s">
        <v>36</v>
      </c>
      <c r="J2871" s="25" t="s">
        <v>65</v>
      </c>
      <c r="K2871" s="26" t="s">
        <v>38</v>
      </c>
      <c r="L2871" s="25">
        <v>11962.0</v>
      </c>
      <c r="M2871" s="27" t="s">
        <v>50</v>
      </c>
      <c r="N2871" s="26" t="s">
        <v>8104</v>
      </c>
      <c r="O2871" s="28">
        <v>45607.63622393519</v>
      </c>
      <c r="P2871" s="26" t="s">
        <v>11270</v>
      </c>
      <c r="Q2871" s="11" t="s">
        <v>67</v>
      </c>
      <c r="R2871" s="11" t="s">
        <v>67</v>
      </c>
      <c r="S2871" s="11" t="s">
        <v>50</v>
      </c>
      <c r="T2871" s="29">
        <v>45607.4966158912</v>
      </c>
      <c r="U2871" s="29">
        <v>45607.49661893518</v>
      </c>
      <c r="V2871" s="29">
        <v>45607.56523512732</v>
      </c>
      <c r="W2871" s="38"/>
      <c r="X2871" s="30"/>
      <c r="Y2871" s="31"/>
      <c r="Z2871" s="31"/>
      <c r="AA2871" s="31" t="s">
        <v>94</v>
      </c>
      <c r="AB2871" s="31" t="s">
        <v>11271</v>
      </c>
      <c r="AC2871" s="31"/>
    </row>
    <row r="2872" ht="18.75" customHeight="1">
      <c r="A2872" s="142" t="s">
        <v>11272</v>
      </c>
      <c r="B2872" s="19" t="s">
        <v>3289</v>
      </c>
      <c r="C2872" s="20">
        <v>0.0</v>
      </c>
      <c r="D2872" s="21" t="s">
        <v>11273</v>
      </c>
      <c r="E2872" s="27" t="s">
        <v>301</v>
      </c>
      <c r="F2872" s="18" t="s">
        <v>33</v>
      </c>
      <c r="G2872" s="32" t="s">
        <v>35</v>
      </c>
      <c r="H2872" s="23" t="s">
        <v>35</v>
      </c>
      <c r="I2872" s="37" t="s">
        <v>36</v>
      </c>
      <c r="J2872" s="25" t="s">
        <v>92</v>
      </c>
      <c r="K2872" s="26" t="s">
        <v>38</v>
      </c>
      <c r="L2872" s="25">
        <v>11988.0</v>
      </c>
      <c r="M2872" s="27" t="s">
        <v>50</v>
      </c>
      <c r="N2872" s="26" t="s">
        <v>4362</v>
      </c>
      <c r="O2872" s="28">
        <v>45622.656655694445</v>
      </c>
      <c r="P2872" s="26" t="s">
        <v>11274</v>
      </c>
      <c r="Q2872" s="11" t="s">
        <v>67</v>
      </c>
      <c r="R2872" s="11" t="s">
        <v>67</v>
      </c>
      <c r="S2872" s="11" t="s">
        <v>101</v>
      </c>
      <c r="T2872" s="29">
        <v>45603.36629125</v>
      </c>
      <c r="U2872" s="29">
        <v>45604.379972361116</v>
      </c>
      <c r="V2872" s="29">
        <v>45610.421195937495</v>
      </c>
      <c r="W2872" s="38"/>
      <c r="X2872" s="30"/>
      <c r="Y2872" s="31"/>
      <c r="Z2872" s="31"/>
      <c r="AA2872" s="31" t="s">
        <v>120</v>
      </c>
      <c r="AB2872" s="31" t="s">
        <v>11275</v>
      </c>
      <c r="AC2872" s="31"/>
    </row>
    <row r="2873" ht="18.75" customHeight="1">
      <c r="A2873" s="18" t="s">
        <v>11276</v>
      </c>
      <c r="B2873" s="19" t="s">
        <v>8041</v>
      </c>
      <c r="C2873" s="20">
        <v>11.0</v>
      </c>
      <c r="D2873" s="21" t="s">
        <v>11277</v>
      </c>
      <c r="E2873" s="27" t="s">
        <v>112</v>
      </c>
      <c r="F2873" s="18" t="s">
        <v>48</v>
      </c>
      <c r="G2873" s="32" t="s">
        <v>35</v>
      </c>
      <c r="H2873" s="23" t="s">
        <v>35</v>
      </c>
      <c r="I2873" s="37" t="s">
        <v>36</v>
      </c>
      <c r="J2873" s="25" t="s">
        <v>49</v>
      </c>
      <c r="K2873" s="26" t="s">
        <v>38</v>
      </c>
      <c r="L2873" s="25">
        <v>11943.0</v>
      </c>
      <c r="M2873" s="27" t="s">
        <v>50</v>
      </c>
      <c r="N2873" s="26" t="s">
        <v>5936</v>
      </c>
      <c r="O2873" s="28">
        <v>45603.68730443287</v>
      </c>
      <c r="P2873" s="26" t="s">
        <v>11278</v>
      </c>
      <c r="Q2873" s="11" t="s">
        <v>67</v>
      </c>
      <c r="R2873" s="11" t="s">
        <v>67</v>
      </c>
      <c r="S2873" s="11" t="s">
        <v>50</v>
      </c>
      <c r="T2873" s="29">
        <v>45603.37595824074</v>
      </c>
      <c r="U2873" s="29">
        <v>45603.57188942129</v>
      </c>
      <c r="V2873" s="29">
        <v>45603.60663123842</v>
      </c>
      <c r="W2873" s="38"/>
      <c r="X2873" s="30"/>
      <c r="Y2873" s="31"/>
      <c r="Z2873" s="31"/>
      <c r="AA2873" s="31" t="s">
        <v>102</v>
      </c>
      <c r="AB2873" s="31" t="s">
        <v>11279</v>
      </c>
      <c r="AC2873" s="31"/>
    </row>
    <row r="2874" ht="18.75" customHeight="1">
      <c r="A2874" s="18" t="s">
        <v>11280</v>
      </c>
      <c r="B2874" s="19" t="s">
        <v>8041</v>
      </c>
      <c r="C2874" s="20">
        <v>27.0</v>
      </c>
      <c r="D2874" s="39" t="s">
        <v>11281</v>
      </c>
      <c r="E2874" s="27" t="s">
        <v>72</v>
      </c>
      <c r="F2874" s="18" t="s">
        <v>48</v>
      </c>
      <c r="G2874" s="32" t="s">
        <v>35</v>
      </c>
      <c r="H2874" s="23" t="s">
        <v>35</v>
      </c>
      <c r="I2874" s="37" t="s">
        <v>36</v>
      </c>
      <c r="J2874" s="25" t="s">
        <v>49</v>
      </c>
      <c r="K2874" s="26" t="s">
        <v>38</v>
      </c>
      <c r="L2874" s="25">
        <v>11943.0</v>
      </c>
      <c r="M2874" s="27" t="s">
        <v>50</v>
      </c>
      <c r="N2874" s="26" t="s">
        <v>5936</v>
      </c>
      <c r="O2874" s="28">
        <v>45603.68737800926</v>
      </c>
      <c r="P2874" s="26" t="s">
        <v>11278</v>
      </c>
      <c r="Q2874" s="11" t="s">
        <v>67</v>
      </c>
      <c r="R2874" s="11" t="s">
        <v>67</v>
      </c>
      <c r="S2874" s="11" t="s">
        <v>50</v>
      </c>
      <c r="T2874" s="29">
        <v>45603.37621815973</v>
      </c>
      <c r="U2874" s="29">
        <v>45603.57199790509</v>
      </c>
      <c r="V2874" s="29">
        <v>45603.60551231481</v>
      </c>
      <c r="W2874" s="38"/>
      <c r="X2874" s="30"/>
      <c r="Y2874" s="31"/>
      <c r="Z2874" s="31"/>
      <c r="AA2874" s="31" t="s">
        <v>102</v>
      </c>
      <c r="AB2874" s="31" t="s">
        <v>11282</v>
      </c>
      <c r="AC2874" s="31"/>
    </row>
    <row r="2875" ht="18.75" customHeight="1">
      <c r="A2875" s="142" t="s">
        <v>11283</v>
      </c>
      <c r="B2875" s="19" t="s">
        <v>3289</v>
      </c>
      <c r="C2875" s="20">
        <v>27.0</v>
      </c>
      <c r="D2875" s="39" t="s">
        <v>11284</v>
      </c>
      <c r="E2875" s="27" t="s">
        <v>72</v>
      </c>
      <c r="F2875" s="18" t="s">
        <v>48</v>
      </c>
      <c r="G2875" s="32" t="s">
        <v>35</v>
      </c>
      <c r="H2875" s="23" t="s">
        <v>35</v>
      </c>
      <c r="I2875" s="37" t="s">
        <v>36</v>
      </c>
      <c r="J2875" s="25" t="s">
        <v>92</v>
      </c>
      <c r="K2875" s="26" t="s">
        <v>38</v>
      </c>
      <c r="L2875" s="25">
        <v>11954.0</v>
      </c>
      <c r="M2875" s="27" t="s">
        <v>50</v>
      </c>
      <c r="N2875" s="26" t="s">
        <v>4362</v>
      </c>
      <c r="O2875" s="28">
        <v>45622.65657293981</v>
      </c>
      <c r="P2875" s="26" t="s">
        <v>11285</v>
      </c>
      <c r="Q2875" s="11" t="s">
        <v>67</v>
      </c>
      <c r="R2875" s="11" t="s">
        <v>67</v>
      </c>
      <c r="S2875" s="11" t="s">
        <v>50</v>
      </c>
      <c r="T2875" s="29">
        <v>45603.377983240745</v>
      </c>
      <c r="U2875" s="29">
        <v>45604.38020372685</v>
      </c>
      <c r="V2875" s="29">
        <v>45607.45628489583</v>
      </c>
      <c r="W2875" s="38"/>
      <c r="X2875" s="30"/>
      <c r="Y2875" s="31"/>
      <c r="Z2875" s="31"/>
      <c r="AA2875" s="31" t="s">
        <v>120</v>
      </c>
      <c r="AB2875" s="31" t="s">
        <v>11286</v>
      </c>
      <c r="AC2875" s="31"/>
    </row>
    <row r="2876" ht="18.75" customHeight="1">
      <c r="A2876" s="142" t="s">
        <v>11287</v>
      </c>
      <c r="B2876" s="19" t="s">
        <v>11288</v>
      </c>
      <c r="C2876" s="20">
        <v>0.0</v>
      </c>
      <c r="D2876" s="61" t="s">
        <v>11289</v>
      </c>
      <c r="E2876" s="27" t="s">
        <v>8868</v>
      </c>
      <c r="F2876" s="18" t="s">
        <v>48</v>
      </c>
      <c r="G2876" s="18" t="s">
        <v>35</v>
      </c>
      <c r="H2876" s="40" t="s">
        <v>35</v>
      </c>
      <c r="I2876" s="37" t="s">
        <v>36</v>
      </c>
      <c r="J2876" s="25" t="s">
        <v>49</v>
      </c>
      <c r="K2876" s="26" t="s">
        <v>38</v>
      </c>
      <c r="L2876" s="25">
        <v>12054.0</v>
      </c>
      <c r="M2876" s="62" t="s">
        <v>50</v>
      </c>
      <c r="N2876" s="42" t="s">
        <v>99</v>
      </c>
      <c r="O2876" s="63">
        <v>45621.56765136574</v>
      </c>
      <c r="P2876" s="26" t="s">
        <v>11290</v>
      </c>
      <c r="Q2876" s="11" t="s">
        <v>67</v>
      </c>
      <c r="R2876" s="11" t="s">
        <v>67</v>
      </c>
      <c r="S2876" s="11" t="s">
        <v>101</v>
      </c>
      <c r="T2876" s="29">
        <v>45615.418462800924</v>
      </c>
      <c r="U2876" s="29">
        <v>45615.41850048611</v>
      </c>
      <c r="V2876" s="29">
        <v>45621.366292164355</v>
      </c>
      <c r="W2876" s="38"/>
      <c r="X2876" s="30"/>
      <c r="Y2876" s="31"/>
      <c r="Z2876" s="31"/>
      <c r="AA2876" s="31" t="s">
        <v>102</v>
      </c>
      <c r="AB2876" s="31" t="s">
        <v>11291</v>
      </c>
      <c r="AC2876" s="31"/>
    </row>
    <row r="2877" ht="18.75" customHeight="1">
      <c r="A2877" s="18" t="s">
        <v>11292</v>
      </c>
      <c r="B2877" s="19" t="s">
        <v>7202</v>
      </c>
      <c r="C2877" s="20">
        <v>34.0</v>
      </c>
      <c r="D2877" s="21" t="s">
        <v>11293</v>
      </c>
      <c r="E2877" s="27" t="s">
        <v>47</v>
      </c>
      <c r="F2877" s="18" t="s">
        <v>48</v>
      </c>
      <c r="G2877" s="18" t="s">
        <v>35</v>
      </c>
      <c r="H2877" s="40" t="s">
        <v>35</v>
      </c>
      <c r="I2877" s="37" t="s">
        <v>36</v>
      </c>
      <c r="J2877" s="25" t="s">
        <v>49</v>
      </c>
      <c r="K2877" s="26" t="s">
        <v>38</v>
      </c>
      <c r="L2877" s="25">
        <v>11951.0</v>
      </c>
      <c r="M2877" s="27" t="s">
        <v>50</v>
      </c>
      <c r="N2877" s="26" t="s">
        <v>5936</v>
      </c>
      <c r="O2877" s="28">
        <v>45607.71327521991</v>
      </c>
      <c r="P2877" s="26" t="s">
        <v>11294</v>
      </c>
      <c r="Q2877" s="11" t="s">
        <v>67</v>
      </c>
      <c r="R2877" s="11" t="s">
        <v>67</v>
      </c>
      <c r="S2877" s="11" t="s">
        <v>50</v>
      </c>
      <c r="T2877" s="29">
        <v>45603.57815753472</v>
      </c>
      <c r="U2877" s="29">
        <v>45604.589163020835</v>
      </c>
      <c r="V2877" s="29">
        <v>45604.65403858796</v>
      </c>
      <c r="W2877" s="38"/>
      <c r="X2877" s="30"/>
      <c r="Y2877" s="31"/>
      <c r="Z2877" s="31"/>
      <c r="AA2877" s="31" t="s">
        <v>127</v>
      </c>
      <c r="AB2877" s="31" t="s">
        <v>11295</v>
      </c>
      <c r="AC2877" s="31"/>
    </row>
    <row r="2878" ht="18.75" customHeight="1">
      <c r="A2878" s="18" t="s">
        <v>11296</v>
      </c>
      <c r="B2878" s="19" t="s">
        <v>7202</v>
      </c>
      <c r="C2878" s="20">
        <v>34.0</v>
      </c>
      <c r="D2878" s="21" t="s">
        <v>11297</v>
      </c>
      <c r="E2878" s="27" t="s">
        <v>47</v>
      </c>
      <c r="F2878" s="18" t="s">
        <v>48</v>
      </c>
      <c r="G2878" s="18" t="s">
        <v>35</v>
      </c>
      <c r="H2878" s="40" t="s">
        <v>35</v>
      </c>
      <c r="I2878" s="37" t="s">
        <v>36</v>
      </c>
      <c r="J2878" s="25" t="s">
        <v>49</v>
      </c>
      <c r="K2878" s="26" t="s">
        <v>38</v>
      </c>
      <c r="L2878" s="25">
        <v>11951.0</v>
      </c>
      <c r="M2878" s="27" t="s">
        <v>50</v>
      </c>
      <c r="N2878" s="26" t="s">
        <v>5936</v>
      </c>
      <c r="O2878" s="28">
        <v>45607.71334265046</v>
      </c>
      <c r="P2878" s="26" t="s">
        <v>11294</v>
      </c>
      <c r="Q2878" s="11" t="s">
        <v>67</v>
      </c>
      <c r="R2878" s="11" t="s">
        <v>67</v>
      </c>
      <c r="S2878" s="11" t="s">
        <v>50</v>
      </c>
      <c r="T2878" s="29">
        <v>45603.57825869213</v>
      </c>
      <c r="U2878" s="29">
        <v>45604.58920116899</v>
      </c>
      <c r="V2878" s="29">
        <v>45604.65404863426</v>
      </c>
      <c r="W2878" s="38"/>
      <c r="X2878" s="30"/>
      <c r="Y2878" s="31"/>
      <c r="Z2878" s="31"/>
      <c r="AA2878" s="31" t="s">
        <v>127</v>
      </c>
      <c r="AB2878" s="31" t="s">
        <v>11298</v>
      </c>
      <c r="AC2878" s="31"/>
    </row>
    <row r="2879" ht="18.75" customHeight="1">
      <c r="A2879" s="142" t="s">
        <v>11299</v>
      </c>
      <c r="B2879" s="19" t="s">
        <v>122</v>
      </c>
      <c r="C2879" s="20">
        <v>0.0</v>
      </c>
      <c r="D2879" s="21" t="s">
        <v>11300</v>
      </c>
      <c r="E2879" s="27" t="s">
        <v>117</v>
      </c>
      <c r="F2879" s="18" t="s">
        <v>33</v>
      </c>
      <c r="G2879" s="18" t="s">
        <v>34</v>
      </c>
      <c r="H2879" s="40" t="s">
        <v>35</v>
      </c>
      <c r="I2879" s="37" t="s">
        <v>36</v>
      </c>
      <c r="J2879" s="25" t="s">
        <v>49</v>
      </c>
      <c r="K2879" s="26" t="s">
        <v>38</v>
      </c>
      <c r="L2879" s="25">
        <v>12137.0</v>
      </c>
      <c r="M2879" s="27" t="s">
        <v>50</v>
      </c>
      <c r="N2879" s="26" t="s">
        <v>99</v>
      </c>
      <c r="O2879" s="28">
        <v>45631.68865517361</v>
      </c>
      <c r="P2879" s="26" t="s">
        <v>11301</v>
      </c>
      <c r="Q2879" s="11" t="s">
        <v>67</v>
      </c>
      <c r="R2879" s="11" t="s">
        <v>67</v>
      </c>
      <c r="S2879" s="11" t="s">
        <v>101</v>
      </c>
      <c r="T2879" s="29">
        <v>45603.580020636575</v>
      </c>
      <c r="U2879" s="29">
        <v>45614.60065069444</v>
      </c>
      <c r="V2879" s="29">
        <v>45630.453927152776</v>
      </c>
      <c r="W2879" s="11"/>
      <c r="X2879" s="30"/>
      <c r="Y2879" s="31"/>
      <c r="Z2879" s="31"/>
      <c r="AA2879" s="31" t="s">
        <v>127</v>
      </c>
      <c r="AB2879" s="31" t="s">
        <v>11302</v>
      </c>
      <c r="AC2879" s="31"/>
    </row>
    <row r="2880" ht="18.75" customHeight="1">
      <c r="A2880" s="18" t="s">
        <v>11303</v>
      </c>
      <c r="B2880" s="19" t="s">
        <v>10989</v>
      </c>
      <c r="C2880" s="20">
        <v>34.0</v>
      </c>
      <c r="D2880" s="21" t="s">
        <v>11304</v>
      </c>
      <c r="E2880" s="27" t="s">
        <v>47</v>
      </c>
      <c r="F2880" s="18" t="s">
        <v>48</v>
      </c>
      <c r="G2880" s="18" t="s">
        <v>35</v>
      </c>
      <c r="H2880" s="40" t="s">
        <v>35</v>
      </c>
      <c r="I2880" s="37" t="s">
        <v>36</v>
      </c>
      <c r="J2880" s="34" t="s">
        <v>65</v>
      </c>
      <c r="K2880" s="26" t="s">
        <v>38</v>
      </c>
      <c r="L2880" s="25">
        <v>11946.0</v>
      </c>
      <c r="M2880" s="27" t="s">
        <v>50</v>
      </c>
      <c r="N2880" s="26" t="s">
        <v>5897</v>
      </c>
      <c r="O2880" s="28">
        <v>45604.69812784722</v>
      </c>
      <c r="P2880" s="26" t="s">
        <v>11305</v>
      </c>
      <c r="Q2880" s="11" t="s">
        <v>67</v>
      </c>
      <c r="R2880" s="11" t="s">
        <v>67</v>
      </c>
      <c r="S2880" s="11" t="s">
        <v>50</v>
      </c>
      <c r="T2880" s="29">
        <v>45603.585516701394</v>
      </c>
      <c r="U2880" s="29">
        <v>45603.70317094907</v>
      </c>
      <c r="V2880" s="29">
        <v>45604.35760142361</v>
      </c>
      <c r="W2880" s="38"/>
      <c r="X2880" s="30"/>
      <c r="Y2880" s="31"/>
      <c r="Z2880" s="31"/>
      <c r="AA2880" s="31" t="s">
        <v>94</v>
      </c>
      <c r="AB2880" s="31" t="s">
        <v>11306</v>
      </c>
      <c r="AC2880" s="31"/>
    </row>
    <row r="2881" ht="18.75" customHeight="1">
      <c r="A2881" s="18" t="s">
        <v>11307</v>
      </c>
      <c r="B2881" s="19" t="s">
        <v>10989</v>
      </c>
      <c r="C2881" s="20">
        <v>34.0</v>
      </c>
      <c r="D2881" s="21" t="s">
        <v>11308</v>
      </c>
      <c r="E2881" s="27" t="s">
        <v>47</v>
      </c>
      <c r="F2881" s="18" t="s">
        <v>48</v>
      </c>
      <c r="G2881" s="18" t="s">
        <v>35</v>
      </c>
      <c r="H2881" s="40" t="s">
        <v>35</v>
      </c>
      <c r="I2881" s="37" t="s">
        <v>36</v>
      </c>
      <c r="J2881" s="34" t="s">
        <v>65</v>
      </c>
      <c r="K2881" s="26" t="s">
        <v>38</v>
      </c>
      <c r="L2881" s="25">
        <v>11946.0</v>
      </c>
      <c r="M2881" s="27" t="s">
        <v>50</v>
      </c>
      <c r="N2881" s="26" t="s">
        <v>5897</v>
      </c>
      <c r="O2881" s="28">
        <v>45604.698223576386</v>
      </c>
      <c r="P2881" s="26" t="s">
        <v>11305</v>
      </c>
      <c r="Q2881" s="11" t="s">
        <v>67</v>
      </c>
      <c r="R2881" s="11" t="s">
        <v>67</v>
      </c>
      <c r="S2881" s="11" t="s">
        <v>50</v>
      </c>
      <c r="T2881" s="29">
        <v>45603.58565350695</v>
      </c>
      <c r="U2881" s="29">
        <v>45603.703241759256</v>
      </c>
      <c r="V2881" s="29">
        <v>45604.35761445602</v>
      </c>
      <c r="W2881" s="38"/>
      <c r="X2881" s="30"/>
      <c r="Y2881" s="31"/>
      <c r="Z2881" s="31"/>
      <c r="AA2881" s="31" t="s">
        <v>94</v>
      </c>
      <c r="AB2881" s="31" t="s">
        <v>11309</v>
      </c>
      <c r="AC2881" s="31"/>
    </row>
    <row r="2882" ht="18.75" customHeight="1">
      <c r="A2882" s="151" t="s">
        <v>11310</v>
      </c>
      <c r="B2882" s="19" t="s">
        <v>4313</v>
      </c>
      <c r="C2882" s="20">
        <v>90.0</v>
      </c>
      <c r="D2882" s="21" t="s">
        <v>11311</v>
      </c>
      <c r="E2882" s="27" t="s">
        <v>91</v>
      </c>
      <c r="F2882" s="18" t="s">
        <v>48</v>
      </c>
      <c r="G2882" s="18" t="s">
        <v>35</v>
      </c>
      <c r="H2882" s="40" t="s">
        <v>35</v>
      </c>
      <c r="I2882" s="37" t="s">
        <v>36</v>
      </c>
      <c r="J2882" s="25" t="s">
        <v>92</v>
      </c>
      <c r="K2882" s="26" t="s">
        <v>38</v>
      </c>
      <c r="L2882" s="163">
        <v>12307.0</v>
      </c>
      <c r="M2882" s="62" t="s">
        <v>50</v>
      </c>
      <c r="N2882" s="26" t="s">
        <v>7077</v>
      </c>
      <c r="O2882" s="28">
        <v>45664.64513888889</v>
      </c>
      <c r="P2882" s="26" t="s">
        <v>11312</v>
      </c>
      <c r="Q2882" s="11" t="s">
        <v>67</v>
      </c>
      <c r="R2882" s="11" t="s">
        <v>67</v>
      </c>
      <c r="S2882" s="11" t="s">
        <v>9620</v>
      </c>
      <c r="T2882" s="29">
        <v>45603.58780136574</v>
      </c>
      <c r="U2882" s="29">
        <v>45604.38055103009</v>
      </c>
      <c r="V2882" s="29">
        <v>45645.69363090278</v>
      </c>
      <c r="W2882" s="11"/>
      <c r="X2882" s="30"/>
      <c r="Y2882" s="66">
        <v>-11978.0</v>
      </c>
      <c r="Z2882" s="78"/>
      <c r="AA2882" s="31"/>
      <c r="AB2882" s="31" t="s">
        <v>11313</v>
      </c>
      <c r="AC2882" s="31"/>
    </row>
    <row r="2883" ht="18.75" customHeight="1">
      <c r="A2883" s="151" t="s">
        <v>11314</v>
      </c>
      <c r="B2883" s="19" t="s">
        <v>4313</v>
      </c>
      <c r="C2883" s="20">
        <v>137.0</v>
      </c>
      <c r="D2883" s="21" t="s">
        <v>11315</v>
      </c>
      <c r="E2883" s="27" t="s">
        <v>85</v>
      </c>
      <c r="F2883" s="18" t="s">
        <v>48</v>
      </c>
      <c r="G2883" s="18" t="s">
        <v>35</v>
      </c>
      <c r="H2883" s="40" t="s">
        <v>35</v>
      </c>
      <c r="I2883" s="37" t="s">
        <v>36</v>
      </c>
      <c r="J2883" s="25" t="s">
        <v>92</v>
      </c>
      <c r="K2883" s="26" t="s">
        <v>38</v>
      </c>
      <c r="L2883" s="163">
        <v>12308.0</v>
      </c>
      <c r="M2883" s="62" t="s">
        <v>50</v>
      </c>
      <c r="N2883" s="26" t="s">
        <v>7077</v>
      </c>
      <c r="O2883" s="28">
        <v>45664.646527777775</v>
      </c>
      <c r="P2883" s="26" t="s">
        <v>11316</v>
      </c>
      <c r="Q2883" s="11" t="s">
        <v>67</v>
      </c>
      <c r="R2883" s="11" t="s">
        <v>67</v>
      </c>
      <c r="S2883" s="11" t="s">
        <v>9620</v>
      </c>
      <c r="T2883" s="29">
        <v>45603.58922648148</v>
      </c>
      <c r="U2883" s="29">
        <v>45604.38078259259</v>
      </c>
      <c r="V2883" s="29">
        <v>45645.693928333334</v>
      </c>
      <c r="W2883" s="11"/>
      <c r="X2883" s="30"/>
      <c r="Y2883" s="66">
        <v>-11979.0</v>
      </c>
      <c r="Z2883" s="78"/>
      <c r="AA2883" s="31"/>
      <c r="AB2883" s="31" t="s">
        <v>11317</v>
      </c>
      <c r="AC2883" s="31"/>
    </row>
    <row r="2884" ht="18.75" customHeight="1">
      <c r="A2884" s="142" t="s">
        <v>11318</v>
      </c>
      <c r="B2884" s="19" t="s">
        <v>7303</v>
      </c>
      <c r="C2884" s="20">
        <v>27.0</v>
      </c>
      <c r="D2884" s="39" t="s">
        <v>11319</v>
      </c>
      <c r="E2884" s="27" t="s">
        <v>72</v>
      </c>
      <c r="F2884" s="18" t="s">
        <v>48</v>
      </c>
      <c r="G2884" s="18" t="s">
        <v>35</v>
      </c>
      <c r="H2884" s="40" t="s">
        <v>35</v>
      </c>
      <c r="I2884" s="37" t="s">
        <v>36</v>
      </c>
      <c r="J2884" s="25" t="s">
        <v>49</v>
      </c>
      <c r="K2884" s="26" t="s">
        <v>38</v>
      </c>
      <c r="L2884" s="25">
        <v>11945.0</v>
      </c>
      <c r="M2884" s="27" t="s">
        <v>50</v>
      </c>
      <c r="N2884" s="26" t="s">
        <v>5936</v>
      </c>
      <c r="O2884" s="28">
        <v>45604.62030731481</v>
      </c>
      <c r="P2884" s="26" t="s">
        <v>11320</v>
      </c>
      <c r="Q2884" s="11" t="s">
        <v>67</v>
      </c>
      <c r="R2884" s="11" t="s">
        <v>67</v>
      </c>
      <c r="S2884" s="11" t="s">
        <v>50</v>
      </c>
      <c r="T2884" s="29">
        <v>45603.69231413194</v>
      </c>
      <c r="U2884" s="29">
        <v>45603.70409699074</v>
      </c>
      <c r="V2884" s="29">
        <v>45604.35808814815</v>
      </c>
      <c r="W2884" s="38"/>
      <c r="X2884" s="30"/>
      <c r="Y2884" s="31"/>
      <c r="Z2884" s="31"/>
      <c r="AA2884" s="31" t="s">
        <v>102</v>
      </c>
      <c r="AB2884" s="31" t="s">
        <v>11321</v>
      </c>
      <c r="AC2884" s="31"/>
    </row>
    <row r="2885" ht="18.75" customHeight="1">
      <c r="A2885" s="18" t="s">
        <v>11322</v>
      </c>
      <c r="B2885" s="19" t="s">
        <v>8921</v>
      </c>
      <c r="C2885" s="20">
        <v>27.0</v>
      </c>
      <c r="D2885" s="39" t="s">
        <v>11323</v>
      </c>
      <c r="E2885" s="27" t="s">
        <v>72</v>
      </c>
      <c r="F2885" s="18" t="s">
        <v>48</v>
      </c>
      <c r="G2885" s="18" t="s">
        <v>35</v>
      </c>
      <c r="H2885" s="40" t="s">
        <v>35</v>
      </c>
      <c r="I2885" s="37" t="s">
        <v>36</v>
      </c>
      <c r="J2885" s="25" t="s">
        <v>49</v>
      </c>
      <c r="K2885" s="26" t="s">
        <v>1506</v>
      </c>
      <c r="L2885" s="25">
        <v>11944.0</v>
      </c>
      <c r="M2885" s="27" t="s">
        <v>50</v>
      </c>
      <c r="N2885" s="26" t="s">
        <v>5936</v>
      </c>
      <c r="O2885" s="28">
        <v>45604.62023501158</v>
      </c>
      <c r="P2885" s="26" t="s">
        <v>11324</v>
      </c>
      <c r="Q2885" s="11" t="s">
        <v>67</v>
      </c>
      <c r="R2885" s="11" t="s">
        <v>67</v>
      </c>
      <c r="S2885" s="11" t="s">
        <v>50</v>
      </c>
      <c r="T2885" s="29">
        <v>45603.694785706015</v>
      </c>
      <c r="U2885" s="29">
        <v>45603.7219210301</v>
      </c>
      <c r="V2885" s="29">
        <v>45604.3580994213</v>
      </c>
      <c r="W2885" s="38"/>
      <c r="X2885" s="30"/>
      <c r="Y2885" s="31"/>
      <c r="Z2885" s="31"/>
      <c r="AA2885" s="31" t="s">
        <v>3053</v>
      </c>
      <c r="AB2885" s="31" t="s">
        <v>11325</v>
      </c>
      <c r="AC2885" s="31"/>
    </row>
    <row r="2886" ht="18.75" customHeight="1">
      <c r="A2886" s="18" t="s">
        <v>11326</v>
      </c>
      <c r="B2886" s="19" t="s">
        <v>8921</v>
      </c>
      <c r="C2886" s="20">
        <v>27.0</v>
      </c>
      <c r="D2886" s="39" t="s">
        <v>11327</v>
      </c>
      <c r="E2886" s="27" t="s">
        <v>72</v>
      </c>
      <c r="F2886" s="18" t="s">
        <v>48</v>
      </c>
      <c r="G2886" s="18" t="s">
        <v>35</v>
      </c>
      <c r="H2886" s="40" t="s">
        <v>35</v>
      </c>
      <c r="I2886" s="37" t="s">
        <v>36</v>
      </c>
      <c r="J2886" s="25" t="s">
        <v>49</v>
      </c>
      <c r="K2886" s="26" t="s">
        <v>1506</v>
      </c>
      <c r="L2886" s="25">
        <v>11944.0</v>
      </c>
      <c r="M2886" s="27" t="s">
        <v>50</v>
      </c>
      <c r="N2886" s="26" t="s">
        <v>5936</v>
      </c>
      <c r="O2886" s="28">
        <v>45604.62015465277</v>
      </c>
      <c r="P2886" s="26" t="s">
        <v>11324</v>
      </c>
      <c r="Q2886" s="11" t="s">
        <v>67</v>
      </c>
      <c r="R2886" s="11" t="s">
        <v>67</v>
      </c>
      <c r="S2886" s="11" t="s">
        <v>50</v>
      </c>
      <c r="T2886" s="29">
        <v>45603.694893541666</v>
      </c>
      <c r="U2886" s="29">
        <v>45603.72197597222</v>
      </c>
      <c r="V2886" s="29">
        <v>45604.358118171294</v>
      </c>
      <c r="W2886" s="38"/>
      <c r="X2886" s="30"/>
      <c r="Y2886" s="31"/>
      <c r="Z2886" s="31"/>
      <c r="AA2886" s="31" t="s">
        <v>3053</v>
      </c>
      <c r="AB2886" s="31" t="s">
        <v>11328</v>
      </c>
      <c r="AC2886" s="31"/>
    </row>
    <row r="2887" ht="18.75" customHeight="1">
      <c r="A2887" s="142" t="s">
        <v>11329</v>
      </c>
      <c r="B2887" s="19" t="s">
        <v>4711</v>
      </c>
      <c r="C2887" s="20">
        <v>27.0</v>
      </c>
      <c r="D2887" s="39" t="s">
        <v>11330</v>
      </c>
      <c r="E2887" s="27" t="s">
        <v>72</v>
      </c>
      <c r="F2887" s="18" t="s">
        <v>48</v>
      </c>
      <c r="G2887" s="18" t="s">
        <v>35</v>
      </c>
      <c r="H2887" s="40" t="s">
        <v>35</v>
      </c>
      <c r="I2887" s="37" t="s">
        <v>36</v>
      </c>
      <c r="J2887" s="34" t="s">
        <v>65</v>
      </c>
      <c r="K2887" s="26" t="s">
        <v>38</v>
      </c>
      <c r="L2887" s="25">
        <v>11957.0</v>
      </c>
      <c r="M2887" s="27" t="s">
        <v>50</v>
      </c>
      <c r="N2887" s="26" t="s">
        <v>8104</v>
      </c>
      <c r="O2887" s="28">
        <v>45607.63629760417</v>
      </c>
      <c r="P2887" s="26" t="s">
        <v>11331</v>
      </c>
      <c r="Q2887" s="11" t="s">
        <v>67</v>
      </c>
      <c r="R2887" s="11" t="s">
        <v>67</v>
      </c>
      <c r="S2887" s="11" t="s">
        <v>50</v>
      </c>
      <c r="T2887" s="29">
        <v>45603.70255652777</v>
      </c>
      <c r="U2887" s="29">
        <v>45604.38159305556</v>
      </c>
      <c r="V2887" s="29">
        <v>45607.45644197917</v>
      </c>
      <c r="W2887" s="38"/>
      <c r="X2887" s="30"/>
      <c r="Y2887" s="31"/>
      <c r="Z2887" s="31"/>
      <c r="AA2887" s="31" t="s">
        <v>94</v>
      </c>
      <c r="AB2887" s="31" t="s">
        <v>11332</v>
      </c>
      <c r="AC2887" s="31"/>
    </row>
    <row r="2888" ht="18.75" customHeight="1">
      <c r="A2888" s="142" t="s">
        <v>11333</v>
      </c>
      <c r="B2888" s="19" t="s">
        <v>11334</v>
      </c>
      <c r="C2888" s="20">
        <v>1.0</v>
      </c>
      <c r="D2888" s="21" t="s">
        <v>11335</v>
      </c>
      <c r="E2888" s="27" t="s">
        <v>3395</v>
      </c>
      <c r="F2888" s="18" t="s">
        <v>48</v>
      </c>
      <c r="G2888" s="18" t="s">
        <v>35</v>
      </c>
      <c r="H2888" s="40" t="s">
        <v>35</v>
      </c>
      <c r="I2888" s="37" t="s">
        <v>36</v>
      </c>
      <c r="J2888" s="25" t="s">
        <v>49</v>
      </c>
      <c r="K2888" s="26" t="s">
        <v>38</v>
      </c>
      <c r="L2888" s="25">
        <v>11958.0</v>
      </c>
      <c r="M2888" s="27" t="s">
        <v>50</v>
      </c>
      <c r="N2888" s="26" t="s">
        <v>5936</v>
      </c>
      <c r="O2888" s="28">
        <v>45607.71343820602</v>
      </c>
      <c r="P2888" s="26" t="s">
        <v>11336</v>
      </c>
      <c r="Q2888" s="11" t="s">
        <v>67</v>
      </c>
      <c r="R2888" s="11" t="s">
        <v>67</v>
      </c>
      <c r="S2888" s="11" t="s">
        <v>50</v>
      </c>
      <c r="T2888" s="29">
        <v>45604.61677267361</v>
      </c>
      <c r="U2888" s="29">
        <v>45604.64536578704</v>
      </c>
      <c r="V2888" s="29">
        <v>45607.45747436343</v>
      </c>
      <c r="W2888" s="38"/>
      <c r="X2888" s="30"/>
      <c r="Y2888" s="31"/>
      <c r="Z2888" s="31"/>
      <c r="AA2888" s="31" t="s">
        <v>127</v>
      </c>
      <c r="AB2888" s="31" t="s">
        <v>11337</v>
      </c>
      <c r="AC2888" s="31"/>
    </row>
    <row r="2889" ht="18.75" customHeight="1">
      <c r="A2889" s="151" t="s">
        <v>11338</v>
      </c>
      <c r="B2889" s="19" t="s">
        <v>4352</v>
      </c>
      <c r="C2889" s="20">
        <v>0.0</v>
      </c>
      <c r="D2889" s="21" t="s">
        <v>11339</v>
      </c>
      <c r="E2889" s="27" t="s">
        <v>3441</v>
      </c>
      <c r="F2889" s="18" t="s">
        <v>48</v>
      </c>
      <c r="G2889" s="18" t="s">
        <v>35</v>
      </c>
      <c r="H2889" s="40" t="s">
        <v>35</v>
      </c>
      <c r="I2889" s="37" t="s">
        <v>36</v>
      </c>
      <c r="J2889" s="25" t="s">
        <v>49</v>
      </c>
      <c r="K2889" s="26" t="s">
        <v>38</v>
      </c>
      <c r="L2889" s="25">
        <v>12346.0</v>
      </c>
      <c r="M2889" s="27" t="s">
        <v>50</v>
      </c>
      <c r="N2889" s="26" t="s">
        <v>9953</v>
      </c>
      <c r="O2889" s="28">
        <v>45659.0</v>
      </c>
      <c r="P2889" s="26" t="s">
        <v>11340</v>
      </c>
      <c r="Q2889" s="11" t="s">
        <v>67</v>
      </c>
      <c r="R2889" s="11" t="s">
        <v>67</v>
      </c>
      <c r="S2889" s="11" t="s">
        <v>50</v>
      </c>
      <c r="T2889" s="29">
        <v>45604.628841620375</v>
      </c>
      <c r="U2889" s="29">
        <v>45608.62258916667</v>
      </c>
      <c r="V2889" s="29">
        <v>45652.48446936342</v>
      </c>
      <c r="W2889" s="11"/>
      <c r="X2889" s="30"/>
      <c r="Y2889" s="31"/>
      <c r="Z2889" s="31"/>
      <c r="AA2889" s="31" t="s">
        <v>127</v>
      </c>
      <c r="AB2889" s="31" t="s">
        <v>11341</v>
      </c>
      <c r="AC2889" s="31"/>
    </row>
    <row r="2890" ht="18.75" customHeight="1">
      <c r="A2890" s="151" t="s">
        <v>11342</v>
      </c>
      <c r="B2890" s="19" t="s">
        <v>4352</v>
      </c>
      <c r="C2890" s="20">
        <v>90.0</v>
      </c>
      <c r="D2890" s="21" t="s">
        <v>11343</v>
      </c>
      <c r="E2890" s="27" t="s">
        <v>91</v>
      </c>
      <c r="F2890" s="18" t="s">
        <v>48</v>
      </c>
      <c r="G2890" s="18" t="s">
        <v>35</v>
      </c>
      <c r="H2890" s="40" t="s">
        <v>35</v>
      </c>
      <c r="I2890" s="37" t="s">
        <v>36</v>
      </c>
      <c r="J2890" s="25" t="s">
        <v>49</v>
      </c>
      <c r="K2890" s="26" t="s">
        <v>38</v>
      </c>
      <c r="L2890" s="25">
        <v>12347.0</v>
      </c>
      <c r="M2890" s="27" t="s">
        <v>50</v>
      </c>
      <c r="N2890" s="26" t="s">
        <v>9953</v>
      </c>
      <c r="O2890" s="28">
        <v>45659.0</v>
      </c>
      <c r="P2890" s="26" t="s">
        <v>11344</v>
      </c>
      <c r="Q2890" s="11" t="s">
        <v>67</v>
      </c>
      <c r="R2890" s="11" t="s">
        <v>67</v>
      </c>
      <c r="S2890" s="11" t="s">
        <v>50</v>
      </c>
      <c r="T2890" s="29">
        <v>45604.632433923616</v>
      </c>
      <c r="U2890" s="29">
        <v>45608.62271795139</v>
      </c>
      <c r="V2890" s="29">
        <v>45652.48482890046</v>
      </c>
      <c r="W2890" s="11"/>
      <c r="X2890" s="30"/>
      <c r="Y2890" s="31"/>
      <c r="Z2890" s="31"/>
      <c r="AA2890" s="31" t="s">
        <v>127</v>
      </c>
      <c r="AB2890" s="31" t="s">
        <v>11345</v>
      </c>
      <c r="AC2890" s="31"/>
    </row>
    <row r="2891" ht="18.75" customHeight="1">
      <c r="A2891" s="151" t="s">
        <v>11346</v>
      </c>
      <c r="B2891" s="19" t="s">
        <v>4352</v>
      </c>
      <c r="C2891" s="20">
        <v>90.0</v>
      </c>
      <c r="D2891" s="21" t="s">
        <v>11347</v>
      </c>
      <c r="E2891" s="27" t="s">
        <v>91</v>
      </c>
      <c r="F2891" s="18" t="s">
        <v>48</v>
      </c>
      <c r="G2891" s="18" t="s">
        <v>35</v>
      </c>
      <c r="H2891" s="40" t="s">
        <v>35</v>
      </c>
      <c r="I2891" s="37" t="s">
        <v>36</v>
      </c>
      <c r="J2891" s="25" t="s">
        <v>49</v>
      </c>
      <c r="K2891" s="26" t="s">
        <v>38</v>
      </c>
      <c r="L2891" s="25">
        <v>12348.0</v>
      </c>
      <c r="M2891" s="27" t="s">
        <v>50</v>
      </c>
      <c r="N2891" s="26" t="s">
        <v>9953</v>
      </c>
      <c r="O2891" s="28">
        <v>45659.0</v>
      </c>
      <c r="P2891" s="26" t="s">
        <v>11348</v>
      </c>
      <c r="Q2891" s="11" t="s">
        <v>67</v>
      </c>
      <c r="R2891" s="11" t="s">
        <v>67</v>
      </c>
      <c r="S2891" s="11" t="s">
        <v>50</v>
      </c>
      <c r="T2891" s="29">
        <v>45604.63338254629</v>
      </c>
      <c r="U2891" s="29">
        <v>45608.62293640046</v>
      </c>
      <c r="V2891" s="29">
        <v>45652.48483880787</v>
      </c>
      <c r="W2891" s="11"/>
      <c r="X2891" s="30"/>
      <c r="Y2891" s="31"/>
      <c r="Z2891" s="31"/>
      <c r="AA2891" s="31" t="s">
        <v>127</v>
      </c>
      <c r="AB2891" s="31" t="s">
        <v>11349</v>
      </c>
      <c r="AC2891" s="31"/>
    </row>
    <row r="2892" ht="18.75" customHeight="1">
      <c r="A2892" s="142" t="s">
        <v>11350</v>
      </c>
      <c r="B2892" s="19" t="s">
        <v>8071</v>
      </c>
      <c r="C2892" s="20">
        <v>27.0</v>
      </c>
      <c r="D2892" s="39" t="s">
        <v>11351</v>
      </c>
      <c r="E2892" s="27" t="s">
        <v>72</v>
      </c>
      <c r="F2892" s="18" t="s">
        <v>48</v>
      </c>
      <c r="G2892" s="18" t="s">
        <v>35</v>
      </c>
      <c r="H2892" s="40" t="s">
        <v>35</v>
      </c>
      <c r="I2892" s="37" t="s">
        <v>36</v>
      </c>
      <c r="J2892" s="25" t="s">
        <v>49</v>
      </c>
      <c r="K2892" s="26" t="s">
        <v>38</v>
      </c>
      <c r="L2892" s="25">
        <v>11959.0</v>
      </c>
      <c r="M2892" s="27" t="s">
        <v>50</v>
      </c>
      <c r="N2892" s="26" t="s">
        <v>5936</v>
      </c>
      <c r="O2892" s="28">
        <v>45607.713519212964</v>
      </c>
      <c r="P2892" s="26" t="s">
        <v>11352</v>
      </c>
      <c r="Q2892" s="11" t="s">
        <v>67</v>
      </c>
      <c r="R2892" s="11" t="s">
        <v>67</v>
      </c>
      <c r="S2892" s="11" t="s">
        <v>50</v>
      </c>
      <c r="T2892" s="29">
        <v>45604.63553608797</v>
      </c>
      <c r="U2892" s="29">
        <v>45604.645829050925</v>
      </c>
      <c r="V2892" s="29">
        <v>45607.45772096065</v>
      </c>
      <c r="W2892" s="38"/>
      <c r="X2892" s="30"/>
      <c r="Y2892" s="31"/>
      <c r="Z2892" s="31"/>
      <c r="AA2892" s="31" t="s">
        <v>127</v>
      </c>
      <c r="AB2892" s="31" t="s">
        <v>11353</v>
      </c>
      <c r="AC2892" s="31"/>
    </row>
    <row r="2893" ht="18.75" customHeight="1">
      <c r="A2893" s="142" t="s">
        <v>11354</v>
      </c>
      <c r="B2893" s="19" t="s">
        <v>4352</v>
      </c>
      <c r="C2893" s="20">
        <v>0.0</v>
      </c>
      <c r="D2893" s="21" t="s">
        <v>11355</v>
      </c>
      <c r="E2893" s="27" t="s">
        <v>701</v>
      </c>
      <c r="F2893" s="18" t="s">
        <v>33</v>
      </c>
      <c r="G2893" s="18" t="s">
        <v>35</v>
      </c>
      <c r="H2893" s="40" t="s">
        <v>35</v>
      </c>
      <c r="I2893" s="37" t="s">
        <v>36</v>
      </c>
      <c r="J2893" s="25" t="s">
        <v>49</v>
      </c>
      <c r="K2893" s="26" t="s">
        <v>38</v>
      </c>
      <c r="L2893" s="25">
        <v>12045.0</v>
      </c>
      <c r="M2893" s="27" t="s">
        <v>50</v>
      </c>
      <c r="N2893" s="26" t="s">
        <v>99</v>
      </c>
      <c r="O2893" s="28">
        <v>45618.61330902777</v>
      </c>
      <c r="P2893" s="26" t="s">
        <v>11356</v>
      </c>
      <c r="Q2893" s="11" t="s">
        <v>67</v>
      </c>
      <c r="R2893" s="11" t="s">
        <v>67</v>
      </c>
      <c r="S2893" s="11" t="s">
        <v>101</v>
      </c>
      <c r="T2893" s="29">
        <v>45604.63732940972</v>
      </c>
      <c r="U2893" s="29">
        <v>45615.554559525466</v>
      </c>
      <c r="V2893" s="29">
        <v>45617.47573121528</v>
      </c>
      <c r="W2893" s="38"/>
      <c r="X2893" s="30"/>
      <c r="Y2893" s="31"/>
      <c r="Z2893" s="31"/>
      <c r="AA2893" s="31" t="s">
        <v>127</v>
      </c>
      <c r="AB2893" s="31" t="s">
        <v>11357</v>
      </c>
      <c r="AC2893" s="31"/>
    </row>
    <row r="2894" ht="18.75" customHeight="1">
      <c r="A2894" s="18" t="s">
        <v>11358</v>
      </c>
      <c r="B2894" s="19" t="s">
        <v>9801</v>
      </c>
      <c r="C2894" s="20">
        <v>1.0</v>
      </c>
      <c r="D2894" s="21" t="s">
        <v>11359</v>
      </c>
      <c r="E2894" s="27" t="s">
        <v>3395</v>
      </c>
      <c r="F2894" s="18" t="s">
        <v>48</v>
      </c>
      <c r="G2894" s="18" t="s">
        <v>35</v>
      </c>
      <c r="H2894" s="40" t="s">
        <v>35</v>
      </c>
      <c r="I2894" s="37" t="s">
        <v>36</v>
      </c>
      <c r="J2894" s="34" t="s">
        <v>65</v>
      </c>
      <c r="K2894" s="26" t="s">
        <v>38</v>
      </c>
      <c r="L2894" s="25">
        <v>11960.0</v>
      </c>
      <c r="M2894" s="27" t="s">
        <v>50</v>
      </c>
      <c r="N2894" s="26" t="s">
        <v>8104</v>
      </c>
      <c r="O2894" s="28">
        <v>45607.6363666088</v>
      </c>
      <c r="P2894" s="26" t="s">
        <v>11360</v>
      </c>
      <c r="Q2894" s="11" t="s">
        <v>67</v>
      </c>
      <c r="R2894" s="11" t="s">
        <v>67</v>
      </c>
      <c r="S2894" s="11" t="s">
        <v>50</v>
      </c>
      <c r="T2894" s="29">
        <v>45604.63873038194</v>
      </c>
      <c r="U2894" s="29">
        <v>45604.67430115741</v>
      </c>
      <c r="V2894" s="29">
        <v>45607.45805886574</v>
      </c>
      <c r="W2894" s="38"/>
      <c r="X2894" s="30"/>
      <c r="Y2894" s="31"/>
      <c r="Z2894" s="31"/>
      <c r="AA2894" s="31" t="s">
        <v>94</v>
      </c>
      <c r="AB2894" s="31" t="s">
        <v>11361</v>
      </c>
      <c r="AC2894" s="31"/>
    </row>
    <row r="2895" ht="18.75" customHeight="1">
      <c r="A2895" s="18" t="s">
        <v>11362</v>
      </c>
      <c r="B2895" s="19" t="s">
        <v>9801</v>
      </c>
      <c r="C2895" s="20">
        <v>1.0</v>
      </c>
      <c r="D2895" s="21" t="s">
        <v>11363</v>
      </c>
      <c r="E2895" s="27" t="s">
        <v>3395</v>
      </c>
      <c r="F2895" s="18" t="s">
        <v>48</v>
      </c>
      <c r="G2895" s="18" t="s">
        <v>35</v>
      </c>
      <c r="H2895" s="40" t="s">
        <v>35</v>
      </c>
      <c r="I2895" s="37" t="s">
        <v>36</v>
      </c>
      <c r="J2895" s="34" t="s">
        <v>65</v>
      </c>
      <c r="K2895" s="26" t="s">
        <v>38</v>
      </c>
      <c r="L2895" s="25">
        <v>11960.0</v>
      </c>
      <c r="M2895" s="27" t="s">
        <v>50</v>
      </c>
      <c r="N2895" s="26" t="s">
        <v>8104</v>
      </c>
      <c r="O2895" s="28">
        <v>45607.63643416666</v>
      </c>
      <c r="P2895" s="26" t="s">
        <v>11360</v>
      </c>
      <c r="Q2895" s="11" t="s">
        <v>67</v>
      </c>
      <c r="R2895" s="11" t="s">
        <v>67</v>
      </c>
      <c r="S2895" s="11" t="s">
        <v>50</v>
      </c>
      <c r="T2895" s="29">
        <v>45604.639125393514</v>
      </c>
      <c r="U2895" s="29">
        <v>45604.674343425926</v>
      </c>
      <c r="V2895" s="29">
        <v>45607.45806988426</v>
      </c>
      <c r="W2895" s="38"/>
      <c r="X2895" s="30"/>
      <c r="Y2895" s="31"/>
      <c r="Z2895" s="31"/>
      <c r="AA2895" s="31" t="s">
        <v>94</v>
      </c>
      <c r="AB2895" s="31" t="s">
        <v>11364</v>
      </c>
      <c r="AC2895" s="31"/>
    </row>
    <row r="2896" ht="18.75" customHeight="1">
      <c r="A2896" s="142" t="s">
        <v>11365</v>
      </c>
      <c r="B2896" s="19" t="s">
        <v>11366</v>
      </c>
      <c r="C2896" s="20">
        <v>11.0</v>
      </c>
      <c r="D2896" s="21" t="s">
        <v>11367</v>
      </c>
      <c r="E2896" s="27" t="s">
        <v>112</v>
      </c>
      <c r="F2896" s="18" t="s">
        <v>48</v>
      </c>
      <c r="G2896" s="18" t="s">
        <v>35</v>
      </c>
      <c r="H2896" s="40" t="s">
        <v>35</v>
      </c>
      <c r="I2896" s="37" t="s">
        <v>36</v>
      </c>
      <c r="J2896" s="34" t="s">
        <v>65</v>
      </c>
      <c r="K2896" s="26" t="s">
        <v>38</v>
      </c>
      <c r="L2896" s="25">
        <v>11961.0</v>
      </c>
      <c r="M2896" s="27" t="s">
        <v>50</v>
      </c>
      <c r="N2896" s="26" t="s">
        <v>8104</v>
      </c>
      <c r="O2896" s="28">
        <v>45607.636513668986</v>
      </c>
      <c r="P2896" s="26" t="s">
        <v>11368</v>
      </c>
      <c r="Q2896" s="11" t="s">
        <v>67</v>
      </c>
      <c r="R2896" s="11" t="s">
        <v>67</v>
      </c>
      <c r="S2896" s="11" t="s">
        <v>50</v>
      </c>
      <c r="T2896" s="29">
        <v>45604.641679803244</v>
      </c>
      <c r="U2896" s="29">
        <v>45604.664463090274</v>
      </c>
      <c r="V2896" s="29">
        <v>45607.45785252315</v>
      </c>
      <c r="W2896" s="38"/>
      <c r="X2896" s="30"/>
      <c r="Y2896" s="31"/>
      <c r="Z2896" s="31"/>
      <c r="AA2896" s="31" t="s">
        <v>94</v>
      </c>
      <c r="AB2896" s="31" t="s">
        <v>11369</v>
      </c>
      <c r="AC2896" s="31"/>
    </row>
    <row r="2897" ht="18.75" customHeight="1">
      <c r="A2897" s="142" t="s">
        <v>11370</v>
      </c>
      <c r="B2897" s="19" t="s">
        <v>11371</v>
      </c>
      <c r="C2897" s="20">
        <v>137.0</v>
      </c>
      <c r="D2897" s="21" t="s">
        <v>11372</v>
      </c>
      <c r="E2897" s="27" t="s">
        <v>85</v>
      </c>
      <c r="F2897" s="18" t="s">
        <v>48</v>
      </c>
      <c r="G2897" s="18" t="s">
        <v>35</v>
      </c>
      <c r="H2897" s="40" t="s">
        <v>35</v>
      </c>
      <c r="I2897" s="24" t="s">
        <v>36</v>
      </c>
      <c r="J2897" s="25" t="s">
        <v>49</v>
      </c>
      <c r="K2897" s="26" t="s">
        <v>38</v>
      </c>
      <c r="L2897" s="64" t="s">
        <v>2823</v>
      </c>
      <c r="M2897" s="22" t="s">
        <v>50</v>
      </c>
      <c r="N2897" s="65" t="s">
        <v>125</v>
      </c>
      <c r="O2897" s="28">
        <v>45645.73094907407</v>
      </c>
      <c r="P2897" s="26" t="s">
        <v>11373</v>
      </c>
      <c r="Q2897" s="11" t="s">
        <v>67</v>
      </c>
      <c r="R2897" s="11" t="s">
        <v>67</v>
      </c>
      <c r="S2897" s="11" t="s">
        <v>73</v>
      </c>
      <c r="T2897" s="29">
        <v>45608.67908505787</v>
      </c>
      <c r="U2897" s="29">
        <v>45642.61598366898</v>
      </c>
      <c r="V2897" s="29">
        <v>45643.79259181713</v>
      </c>
      <c r="W2897" s="11"/>
      <c r="X2897" s="30"/>
      <c r="Y2897" s="31"/>
      <c r="Z2897" s="31"/>
      <c r="AA2897" s="31" t="s">
        <v>145</v>
      </c>
      <c r="AB2897" s="31" t="s">
        <v>11374</v>
      </c>
      <c r="AC2897" s="31"/>
    </row>
    <row r="2898" ht="18.75" customHeight="1">
      <c r="A2898" s="18" t="s">
        <v>11375</v>
      </c>
      <c r="B2898" s="19" t="s">
        <v>11376</v>
      </c>
      <c r="C2898" s="20">
        <v>0.0</v>
      </c>
      <c r="D2898" s="21" t="s">
        <v>11377</v>
      </c>
      <c r="E2898" s="27" t="s">
        <v>461</v>
      </c>
      <c r="F2898" s="18" t="s">
        <v>244</v>
      </c>
      <c r="G2898" s="18" t="s">
        <v>35</v>
      </c>
      <c r="H2898" s="40" t="s">
        <v>35</v>
      </c>
      <c r="I2898" s="37" t="s">
        <v>36</v>
      </c>
      <c r="J2898" s="25" t="s">
        <v>65</v>
      </c>
      <c r="K2898" s="26" t="s">
        <v>38</v>
      </c>
      <c r="L2898" s="25">
        <v>12041.0</v>
      </c>
      <c r="M2898" s="27" t="s">
        <v>50</v>
      </c>
      <c r="N2898" s="26" t="s">
        <v>4518</v>
      </c>
      <c r="O2898" s="28">
        <v>45621.685909039355</v>
      </c>
      <c r="P2898" s="26" t="s">
        <v>11378</v>
      </c>
      <c r="Q2898" s="11" t="s">
        <v>67</v>
      </c>
      <c r="R2898" s="11" t="s">
        <v>67</v>
      </c>
      <c r="S2898" s="11" t="s">
        <v>101</v>
      </c>
      <c r="T2898" s="29">
        <v>45615.469180405096</v>
      </c>
      <c r="U2898" s="29">
        <v>45615.46925847222</v>
      </c>
      <c r="V2898" s="29">
        <v>45616.60867108796</v>
      </c>
      <c r="W2898" s="38"/>
      <c r="X2898" s="30"/>
      <c r="Y2898" s="31"/>
      <c r="Z2898" s="31"/>
      <c r="AA2898" s="31" t="s">
        <v>3059</v>
      </c>
      <c r="AB2898" s="31" t="s">
        <v>11379</v>
      </c>
      <c r="AC2898" s="31"/>
    </row>
    <row r="2899" ht="18.75" customHeight="1">
      <c r="A2899" s="18" t="s">
        <v>11380</v>
      </c>
      <c r="B2899" s="19" t="s">
        <v>11376</v>
      </c>
      <c r="C2899" s="20">
        <v>0.0</v>
      </c>
      <c r="D2899" s="21" t="s">
        <v>11381</v>
      </c>
      <c r="E2899" s="27" t="s">
        <v>8868</v>
      </c>
      <c r="F2899" s="18" t="s">
        <v>48</v>
      </c>
      <c r="G2899" s="18" t="s">
        <v>35</v>
      </c>
      <c r="H2899" s="40" t="s">
        <v>35</v>
      </c>
      <c r="I2899" s="37" t="s">
        <v>36</v>
      </c>
      <c r="J2899" s="25" t="s">
        <v>65</v>
      </c>
      <c r="K2899" s="26" t="s">
        <v>38</v>
      </c>
      <c r="L2899" s="25">
        <v>12041.0</v>
      </c>
      <c r="M2899" s="27" t="s">
        <v>50</v>
      </c>
      <c r="N2899" s="26" t="s">
        <v>4518</v>
      </c>
      <c r="O2899" s="28">
        <v>45621.685991527775</v>
      </c>
      <c r="P2899" s="26" t="s">
        <v>11378</v>
      </c>
      <c r="Q2899" s="11" t="s">
        <v>67</v>
      </c>
      <c r="R2899" s="11" t="s">
        <v>67</v>
      </c>
      <c r="S2899" s="11" t="s">
        <v>101</v>
      </c>
      <c r="T2899" s="29">
        <v>45615.46924659722</v>
      </c>
      <c r="U2899" s="29">
        <v>45615.46926053241</v>
      </c>
      <c r="V2899" s="29">
        <v>45616.442937326385</v>
      </c>
      <c r="W2899" s="38"/>
      <c r="X2899" s="30"/>
      <c r="Y2899" s="31"/>
      <c r="Z2899" s="31"/>
      <c r="AA2899" s="31" t="s">
        <v>3059</v>
      </c>
      <c r="AB2899" s="31" t="s">
        <v>11382</v>
      </c>
      <c r="AC2899" s="31"/>
    </row>
    <row r="2900" ht="18.75" customHeight="1">
      <c r="A2900" s="142" t="s">
        <v>11383</v>
      </c>
      <c r="B2900" s="19" t="s">
        <v>3636</v>
      </c>
      <c r="C2900" s="20">
        <v>27.0</v>
      </c>
      <c r="D2900" s="39" t="s">
        <v>11384</v>
      </c>
      <c r="E2900" s="27" t="s">
        <v>72</v>
      </c>
      <c r="F2900" s="18" t="s">
        <v>48</v>
      </c>
      <c r="G2900" s="18" t="s">
        <v>35</v>
      </c>
      <c r="H2900" s="40" t="s">
        <v>35</v>
      </c>
      <c r="I2900" s="37" t="s">
        <v>36</v>
      </c>
      <c r="J2900" s="25" t="s">
        <v>49</v>
      </c>
      <c r="K2900" s="26" t="s">
        <v>9628</v>
      </c>
      <c r="L2900" s="25">
        <v>11990.0</v>
      </c>
      <c r="M2900" s="27" t="s">
        <v>50</v>
      </c>
      <c r="N2900" s="26" t="s">
        <v>5936</v>
      </c>
      <c r="O2900" s="28">
        <v>45610.64959123843</v>
      </c>
      <c r="P2900" s="26" t="s">
        <v>11385</v>
      </c>
      <c r="Q2900" s="11" t="s">
        <v>67</v>
      </c>
      <c r="R2900" s="11" t="s">
        <v>67</v>
      </c>
      <c r="S2900" s="11" t="s">
        <v>50</v>
      </c>
      <c r="T2900" s="29">
        <v>45607.65200190972</v>
      </c>
      <c r="U2900" s="29">
        <v>45609.48714871528</v>
      </c>
      <c r="V2900" s="29">
        <v>45610.46109631944</v>
      </c>
      <c r="W2900" s="38"/>
      <c r="X2900" s="30"/>
      <c r="Y2900" s="31"/>
      <c r="Z2900" s="31"/>
      <c r="AA2900" s="31" t="s">
        <v>127</v>
      </c>
      <c r="AB2900" s="31" t="s">
        <v>11386</v>
      </c>
      <c r="AC2900" s="31"/>
    </row>
    <row r="2901" ht="18.75" customHeight="1">
      <c r="A2901" s="142" t="s">
        <v>11387</v>
      </c>
      <c r="B2901" s="19" t="s">
        <v>8267</v>
      </c>
      <c r="C2901" s="20">
        <v>11.0</v>
      </c>
      <c r="D2901" s="21" t="s">
        <v>11388</v>
      </c>
      <c r="E2901" s="27" t="s">
        <v>112</v>
      </c>
      <c r="F2901" s="18" t="s">
        <v>48</v>
      </c>
      <c r="G2901" s="18" t="s">
        <v>35</v>
      </c>
      <c r="H2901" s="40" t="s">
        <v>35</v>
      </c>
      <c r="I2901" s="37" t="s">
        <v>36</v>
      </c>
      <c r="J2901" s="25" t="s">
        <v>518</v>
      </c>
      <c r="K2901" s="26" t="s">
        <v>38</v>
      </c>
      <c r="L2901" s="25">
        <v>11968.0</v>
      </c>
      <c r="M2901" s="27" t="s">
        <v>73</v>
      </c>
      <c r="N2901" s="26" t="s">
        <v>4616</v>
      </c>
      <c r="O2901" s="28">
        <v>45609.572210185186</v>
      </c>
      <c r="P2901" s="26" t="s">
        <v>11389</v>
      </c>
      <c r="Q2901" s="11" t="s">
        <v>67</v>
      </c>
      <c r="R2901" s="11" t="s">
        <v>67</v>
      </c>
      <c r="S2901" s="11" t="s">
        <v>50</v>
      </c>
      <c r="T2901" s="29">
        <v>45607.683204988425</v>
      </c>
      <c r="U2901" s="29">
        <v>45607.711837939816</v>
      </c>
      <c r="V2901" s="29">
        <v>45608.42772508102</v>
      </c>
      <c r="W2901" s="38"/>
      <c r="X2901" s="30"/>
      <c r="Y2901" s="31"/>
      <c r="Z2901" s="31"/>
      <c r="AA2901" s="31" t="s">
        <v>94</v>
      </c>
      <c r="AB2901" s="31" t="s">
        <v>11390</v>
      </c>
      <c r="AC2901" s="31"/>
    </row>
    <row r="2902" ht="18.75" customHeight="1">
      <c r="A2902" s="142" t="s">
        <v>11391</v>
      </c>
      <c r="B2902" s="19" t="s">
        <v>1373</v>
      </c>
      <c r="C2902" s="20">
        <v>11.0</v>
      </c>
      <c r="D2902" s="21" t="s">
        <v>11392</v>
      </c>
      <c r="E2902" s="27" t="s">
        <v>112</v>
      </c>
      <c r="F2902" s="18" t="s">
        <v>48</v>
      </c>
      <c r="G2902" s="18" t="s">
        <v>35</v>
      </c>
      <c r="H2902" s="40" t="s">
        <v>35</v>
      </c>
      <c r="I2902" s="37" t="s">
        <v>36</v>
      </c>
      <c r="J2902" s="25" t="s">
        <v>65</v>
      </c>
      <c r="K2902" s="26" t="s">
        <v>38</v>
      </c>
      <c r="L2902" s="25">
        <v>11984.0</v>
      </c>
      <c r="M2902" s="27" t="s">
        <v>50</v>
      </c>
      <c r="N2902" s="26" t="s">
        <v>149</v>
      </c>
      <c r="O2902" s="28">
        <v>45609.61757043982</v>
      </c>
      <c r="P2902" s="26" t="s">
        <v>11393</v>
      </c>
      <c r="Q2902" s="11" t="s">
        <v>67</v>
      </c>
      <c r="R2902" s="11" t="s">
        <v>67</v>
      </c>
      <c r="S2902" s="11" t="s">
        <v>50</v>
      </c>
      <c r="T2902" s="29">
        <v>45607.692766712964</v>
      </c>
      <c r="U2902" s="29">
        <v>45608.44851516203</v>
      </c>
      <c r="V2902" s="29">
        <v>45609.348660821764</v>
      </c>
      <c r="W2902" s="38"/>
      <c r="X2902" s="30"/>
      <c r="Y2902" s="31"/>
      <c r="Z2902" s="31"/>
      <c r="AA2902" s="31"/>
      <c r="AB2902" s="31" t="s">
        <v>11394</v>
      </c>
      <c r="AC2902" s="31"/>
    </row>
    <row r="2903" ht="18.75" customHeight="1">
      <c r="A2903" s="142" t="s">
        <v>11395</v>
      </c>
      <c r="B2903" s="19" t="s">
        <v>104</v>
      </c>
      <c r="C2903" s="20">
        <v>1.0</v>
      </c>
      <c r="D2903" s="21" t="s">
        <v>11396</v>
      </c>
      <c r="E2903" s="27" t="s">
        <v>3395</v>
      </c>
      <c r="F2903" s="18" t="s">
        <v>48</v>
      </c>
      <c r="G2903" s="18" t="s">
        <v>35</v>
      </c>
      <c r="H2903" s="40" t="s">
        <v>35</v>
      </c>
      <c r="I2903" s="37" t="s">
        <v>36</v>
      </c>
      <c r="J2903" s="25" t="s">
        <v>49</v>
      </c>
      <c r="K2903" s="26" t="s">
        <v>38</v>
      </c>
      <c r="L2903" s="25">
        <v>11972.0</v>
      </c>
      <c r="M2903" s="27" t="s">
        <v>50</v>
      </c>
      <c r="N2903" s="26" t="s">
        <v>99</v>
      </c>
      <c r="O2903" s="28">
        <v>45609.483620451385</v>
      </c>
      <c r="P2903" s="26" t="s">
        <v>11397</v>
      </c>
      <c r="Q2903" s="11" t="s">
        <v>67</v>
      </c>
      <c r="R2903" s="11" t="s">
        <v>67</v>
      </c>
      <c r="S2903" s="11" t="s">
        <v>50</v>
      </c>
      <c r="T2903" s="29">
        <v>45607.706950231484</v>
      </c>
      <c r="U2903" s="29">
        <v>45608.44689472222</v>
      </c>
      <c r="V2903" s="29">
        <v>45608.575160312495</v>
      </c>
      <c r="W2903" s="38"/>
      <c r="X2903" s="30"/>
      <c r="Y2903" s="31"/>
      <c r="Z2903" s="31"/>
      <c r="AA2903" s="31" t="s">
        <v>108</v>
      </c>
      <c r="AB2903" s="31" t="s">
        <v>11398</v>
      </c>
      <c r="AC2903" s="31"/>
    </row>
    <row r="2904" ht="18.75" customHeight="1">
      <c r="A2904" s="142" t="s">
        <v>11399</v>
      </c>
      <c r="B2904" s="19" t="s">
        <v>1811</v>
      </c>
      <c r="C2904" s="20">
        <v>27.0</v>
      </c>
      <c r="D2904" s="39" t="s">
        <v>11400</v>
      </c>
      <c r="E2904" s="27" t="s">
        <v>72</v>
      </c>
      <c r="F2904" s="18" t="s">
        <v>48</v>
      </c>
      <c r="G2904" s="18" t="s">
        <v>35</v>
      </c>
      <c r="H2904" s="40" t="s">
        <v>35</v>
      </c>
      <c r="I2904" s="37" t="s">
        <v>36</v>
      </c>
      <c r="J2904" s="25" t="s">
        <v>49</v>
      </c>
      <c r="K2904" s="26" t="s">
        <v>38</v>
      </c>
      <c r="L2904" s="25">
        <v>11982.0</v>
      </c>
      <c r="M2904" s="27" t="s">
        <v>50</v>
      </c>
      <c r="N2904" s="26" t="s">
        <v>99</v>
      </c>
      <c r="O2904" s="28">
        <v>45609.48354386574</v>
      </c>
      <c r="P2904" s="26" t="s">
        <v>11401</v>
      </c>
      <c r="Q2904" s="11" t="s">
        <v>67</v>
      </c>
      <c r="R2904" s="11" t="s">
        <v>67</v>
      </c>
      <c r="S2904" s="11" t="s">
        <v>50</v>
      </c>
      <c r="T2904" s="29">
        <v>45608.437115266206</v>
      </c>
      <c r="U2904" s="29">
        <v>45608.62467267361</v>
      </c>
      <c r="V2904" s="29">
        <v>45609.320711886576</v>
      </c>
      <c r="W2904" s="38"/>
      <c r="X2904" s="30"/>
      <c r="Y2904" s="31"/>
      <c r="Z2904" s="31"/>
      <c r="AA2904" s="31" t="s">
        <v>3053</v>
      </c>
      <c r="AB2904" s="31" t="s">
        <v>11402</v>
      </c>
      <c r="AC2904" s="31"/>
    </row>
    <row r="2905" ht="18.75" customHeight="1">
      <c r="A2905" s="142" t="s">
        <v>11403</v>
      </c>
      <c r="B2905" s="19" t="s">
        <v>11404</v>
      </c>
      <c r="C2905" s="20">
        <v>0.0</v>
      </c>
      <c r="D2905" s="21" t="s">
        <v>686</v>
      </c>
      <c r="E2905" s="27" t="s">
        <v>10086</v>
      </c>
      <c r="F2905" s="18" t="s">
        <v>48</v>
      </c>
      <c r="G2905" s="18" t="s">
        <v>35</v>
      </c>
      <c r="H2905" s="40" t="s">
        <v>35</v>
      </c>
      <c r="I2905" s="37" t="s">
        <v>36</v>
      </c>
      <c r="J2905" s="25" t="s">
        <v>49</v>
      </c>
      <c r="K2905" s="26" t="s">
        <v>238</v>
      </c>
      <c r="L2905" s="25">
        <v>12200.0</v>
      </c>
      <c r="M2905" s="62" t="s">
        <v>50</v>
      </c>
      <c r="N2905" s="42" t="s">
        <v>99</v>
      </c>
      <c r="O2905" s="63">
        <v>45638.672257349535</v>
      </c>
      <c r="P2905" s="26" t="s">
        <v>11405</v>
      </c>
      <c r="Q2905" s="11" t="s">
        <v>67</v>
      </c>
      <c r="R2905" s="11" t="s">
        <v>67</v>
      </c>
      <c r="S2905" s="11" t="s">
        <v>101</v>
      </c>
      <c r="T2905" s="29">
        <v>45609.45025087963</v>
      </c>
      <c r="U2905" s="29">
        <v>45609.498376041665</v>
      </c>
      <c r="V2905" s="29">
        <v>45638.35975210648</v>
      </c>
      <c r="W2905" s="11"/>
      <c r="X2905" s="30"/>
      <c r="Y2905" s="31"/>
      <c r="Z2905" s="31"/>
      <c r="AA2905" s="31" t="s">
        <v>3808</v>
      </c>
      <c r="AB2905" s="31" t="s">
        <v>11406</v>
      </c>
      <c r="AC2905" s="31"/>
    </row>
    <row r="2906" ht="18.75" customHeight="1">
      <c r="A2906" s="151" t="s">
        <v>11407</v>
      </c>
      <c r="B2906" s="19" t="s">
        <v>4352</v>
      </c>
      <c r="C2906" s="20">
        <v>1.0</v>
      </c>
      <c r="D2906" s="21" t="s">
        <v>11408</v>
      </c>
      <c r="E2906" s="27" t="s">
        <v>3395</v>
      </c>
      <c r="F2906" s="18" t="s">
        <v>48</v>
      </c>
      <c r="G2906" s="18" t="s">
        <v>35</v>
      </c>
      <c r="H2906" s="40" t="s">
        <v>35</v>
      </c>
      <c r="I2906" s="37" t="s">
        <v>36</v>
      </c>
      <c r="J2906" s="25" t="s">
        <v>49</v>
      </c>
      <c r="K2906" s="26" t="s">
        <v>38</v>
      </c>
      <c r="L2906" s="72">
        <v>12214.0</v>
      </c>
      <c r="M2906" s="27" t="s">
        <v>50</v>
      </c>
      <c r="N2906" s="26" t="s">
        <v>143</v>
      </c>
      <c r="O2906" s="63">
        <v>45642.620346180556</v>
      </c>
      <c r="P2906" s="26" t="s">
        <v>11409</v>
      </c>
      <c r="Q2906" s="11" t="s">
        <v>67</v>
      </c>
      <c r="R2906" s="11" t="s">
        <v>67</v>
      </c>
      <c r="S2906" s="11" t="s">
        <v>50</v>
      </c>
      <c r="T2906" s="29">
        <v>45609.45815953704</v>
      </c>
      <c r="U2906" s="29">
        <v>45609.641478125</v>
      </c>
      <c r="V2906" s="29">
        <v>45642.55672927083</v>
      </c>
      <c r="W2906" s="11"/>
      <c r="X2906" s="30"/>
      <c r="Y2906" s="31"/>
      <c r="Z2906" s="31"/>
      <c r="AA2906" s="31" t="s">
        <v>127</v>
      </c>
      <c r="AB2906" s="31" t="s">
        <v>11410</v>
      </c>
      <c r="AC2906" s="31"/>
    </row>
    <row r="2907" ht="18.75" customHeight="1">
      <c r="A2907" s="18" t="s">
        <v>11411</v>
      </c>
      <c r="B2907" s="19" t="s">
        <v>11412</v>
      </c>
      <c r="C2907" s="20">
        <v>0.0</v>
      </c>
      <c r="D2907" s="21" t="s">
        <v>11413</v>
      </c>
      <c r="E2907" s="27" t="s">
        <v>713</v>
      </c>
      <c r="F2907" s="18" t="s">
        <v>33</v>
      </c>
      <c r="G2907" s="18" t="s">
        <v>35</v>
      </c>
      <c r="H2907" s="40" t="s">
        <v>35</v>
      </c>
      <c r="I2907" s="37" t="s">
        <v>36</v>
      </c>
      <c r="J2907" s="25" t="s">
        <v>9338</v>
      </c>
      <c r="K2907" s="26" t="s">
        <v>38</v>
      </c>
      <c r="L2907" s="25">
        <v>12040.0</v>
      </c>
      <c r="M2907" s="62" t="s">
        <v>50</v>
      </c>
      <c r="N2907" s="42" t="s">
        <v>11414</v>
      </c>
      <c r="O2907" s="63">
        <v>45622.70404818287</v>
      </c>
      <c r="P2907" s="26" t="s">
        <v>11415</v>
      </c>
      <c r="Q2907" s="11" t="s">
        <v>67</v>
      </c>
      <c r="R2907" s="11" t="s">
        <v>67</v>
      </c>
      <c r="S2907" s="11" t="s">
        <v>101</v>
      </c>
      <c r="T2907" s="29">
        <v>45609.4598722338</v>
      </c>
      <c r="U2907" s="29">
        <v>45609.640745798606</v>
      </c>
      <c r="V2907" s="29">
        <v>45616.45849453704</v>
      </c>
      <c r="W2907" s="38"/>
      <c r="X2907" s="30"/>
      <c r="Y2907" s="31"/>
      <c r="Z2907" s="31"/>
      <c r="AA2907" s="31" t="s">
        <v>3059</v>
      </c>
      <c r="AB2907" s="31" t="s">
        <v>11416</v>
      </c>
      <c r="AC2907" s="31"/>
    </row>
    <row r="2908" ht="18.75" customHeight="1">
      <c r="A2908" s="18" t="s">
        <v>11417</v>
      </c>
      <c r="B2908" s="19" t="s">
        <v>11412</v>
      </c>
      <c r="C2908" s="20">
        <v>0.0</v>
      </c>
      <c r="D2908" s="21" t="s">
        <v>11418</v>
      </c>
      <c r="E2908" s="27" t="s">
        <v>713</v>
      </c>
      <c r="F2908" s="18" t="s">
        <v>33</v>
      </c>
      <c r="G2908" s="18" t="s">
        <v>35</v>
      </c>
      <c r="H2908" s="40" t="s">
        <v>35</v>
      </c>
      <c r="I2908" s="37" t="s">
        <v>36</v>
      </c>
      <c r="J2908" s="25" t="s">
        <v>9338</v>
      </c>
      <c r="K2908" s="26" t="s">
        <v>38</v>
      </c>
      <c r="L2908" s="25">
        <v>12040.0</v>
      </c>
      <c r="M2908" s="62" t="s">
        <v>50</v>
      </c>
      <c r="N2908" s="42" t="s">
        <v>11414</v>
      </c>
      <c r="O2908" s="63">
        <v>45622.70415186342</v>
      </c>
      <c r="P2908" s="26" t="s">
        <v>11415</v>
      </c>
      <c r="Q2908" s="11" t="s">
        <v>67</v>
      </c>
      <c r="R2908" s="11" t="s">
        <v>67</v>
      </c>
      <c r="S2908" s="11" t="s">
        <v>50</v>
      </c>
      <c r="T2908" s="29">
        <v>45609.46046209491</v>
      </c>
      <c r="U2908" s="29">
        <v>45609.640857060185</v>
      </c>
      <c r="V2908" s="29">
        <v>45617.448960856476</v>
      </c>
      <c r="W2908" s="38"/>
      <c r="X2908" s="30"/>
      <c r="Y2908" s="31"/>
      <c r="Z2908" s="31"/>
      <c r="AA2908" s="31" t="s">
        <v>3059</v>
      </c>
      <c r="AB2908" s="31" t="s">
        <v>11419</v>
      </c>
      <c r="AC2908" s="31"/>
    </row>
    <row r="2909" ht="18.75" customHeight="1">
      <c r="A2909" s="18" t="s">
        <v>11420</v>
      </c>
      <c r="B2909" s="19" t="s">
        <v>11412</v>
      </c>
      <c r="C2909" s="20">
        <v>0.0</v>
      </c>
      <c r="D2909" s="21" t="s">
        <v>11421</v>
      </c>
      <c r="E2909" s="27" t="s">
        <v>713</v>
      </c>
      <c r="F2909" s="18" t="s">
        <v>33</v>
      </c>
      <c r="G2909" s="18" t="s">
        <v>35</v>
      </c>
      <c r="H2909" s="40" t="s">
        <v>35</v>
      </c>
      <c r="I2909" s="37" t="s">
        <v>36</v>
      </c>
      <c r="J2909" s="25" t="s">
        <v>9338</v>
      </c>
      <c r="K2909" s="26" t="s">
        <v>38</v>
      </c>
      <c r="L2909" s="25">
        <v>12040.0</v>
      </c>
      <c r="M2909" s="62" t="s">
        <v>50</v>
      </c>
      <c r="N2909" s="42" t="s">
        <v>11414</v>
      </c>
      <c r="O2909" s="63">
        <v>45622.7043091088</v>
      </c>
      <c r="P2909" s="26" t="s">
        <v>11415</v>
      </c>
      <c r="Q2909" s="11" t="s">
        <v>67</v>
      </c>
      <c r="R2909" s="11" t="s">
        <v>67</v>
      </c>
      <c r="S2909" s="11" t="s">
        <v>50</v>
      </c>
      <c r="T2909" s="29">
        <v>45609.46051659722</v>
      </c>
      <c r="U2909" s="29">
        <v>45609.64086167824</v>
      </c>
      <c r="V2909" s="29">
        <v>45617.44896771991</v>
      </c>
      <c r="W2909" s="38"/>
      <c r="X2909" s="30"/>
      <c r="Y2909" s="31"/>
      <c r="Z2909" s="31"/>
      <c r="AA2909" s="31" t="s">
        <v>3059</v>
      </c>
      <c r="AB2909" s="31" t="s">
        <v>11422</v>
      </c>
      <c r="AC2909" s="31"/>
    </row>
    <row r="2910" ht="18.75" customHeight="1">
      <c r="A2910" s="18" t="s">
        <v>11423</v>
      </c>
      <c r="B2910" s="19" t="s">
        <v>11412</v>
      </c>
      <c r="C2910" s="20">
        <v>0.0</v>
      </c>
      <c r="D2910" s="21" t="s">
        <v>11424</v>
      </c>
      <c r="E2910" s="27" t="s">
        <v>713</v>
      </c>
      <c r="F2910" s="18" t="s">
        <v>33</v>
      </c>
      <c r="G2910" s="18" t="s">
        <v>35</v>
      </c>
      <c r="H2910" s="40" t="s">
        <v>35</v>
      </c>
      <c r="I2910" s="37" t="s">
        <v>36</v>
      </c>
      <c r="J2910" s="25" t="s">
        <v>9338</v>
      </c>
      <c r="K2910" s="26" t="s">
        <v>38</v>
      </c>
      <c r="L2910" s="25">
        <v>12040.0</v>
      </c>
      <c r="M2910" s="62" t="s">
        <v>50</v>
      </c>
      <c r="N2910" s="42" t="s">
        <v>11414</v>
      </c>
      <c r="O2910" s="63">
        <v>45622.70436829861</v>
      </c>
      <c r="P2910" s="26" t="s">
        <v>11415</v>
      </c>
      <c r="Q2910" s="11" t="s">
        <v>67</v>
      </c>
      <c r="R2910" s="11" t="s">
        <v>67</v>
      </c>
      <c r="S2910" s="11" t="s">
        <v>50</v>
      </c>
      <c r="T2910" s="29">
        <v>45609.46057638889</v>
      </c>
      <c r="U2910" s="29">
        <v>45609.640872268516</v>
      </c>
      <c r="V2910" s="29">
        <v>45617.448974583334</v>
      </c>
      <c r="W2910" s="38"/>
      <c r="X2910" s="30"/>
      <c r="Y2910" s="31"/>
      <c r="Z2910" s="31"/>
      <c r="AA2910" s="31" t="s">
        <v>3059</v>
      </c>
      <c r="AB2910" s="31" t="s">
        <v>11425</v>
      </c>
      <c r="AC2910" s="31"/>
    </row>
    <row r="2911" ht="18.75" customHeight="1">
      <c r="A2911" s="18" t="s">
        <v>11426</v>
      </c>
      <c r="B2911" s="19" t="s">
        <v>11412</v>
      </c>
      <c r="C2911" s="20">
        <v>0.0</v>
      </c>
      <c r="D2911" s="21" t="s">
        <v>11427</v>
      </c>
      <c r="E2911" s="27" t="s">
        <v>713</v>
      </c>
      <c r="F2911" s="18" t="s">
        <v>33</v>
      </c>
      <c r="G2911" s="18" t="s">
        <v>35</v>
      </c>
      <c r="H2911" s="40" t="s">
        <v>35</v>
      </c>
      <c r="I2911" s="37" t="s">
        <v>36</v>
      </c>
      <c r="J2911" s="25" t="s">
        <v>9338</v>
      </c>
      <c r="K2911" s="26" t="s">
        <v>38</v>
      </c>
      <c r="L2911" s="25">
        <v>12040.0</v>
      </c>
      <c r="M2911" s="62" t="s">
        <v>50</v>
      </c>
      <c r="N2911" s="42" t="s">
        <v>11414</v>
      </c>
      <c r="O2911" s="63">
        <v>45622.704433101855</v>
      </c>
      <c r="P2911" s="26" t="s">
        <v>11415</v>
      </c>
      <c r="Q2911" s="11" t="s">
        <v>67</v>
      </c>
      <c r="R2911" s="11" t="s">
        <v>67</v>
      </c>
      <c r="S2911" s="11" t="s">
        <v>101</v>
      </c>
      <c r="T2911" s="29">
        <v>45609.46063274305</v>
      </c>
      <c r="U2911" s="29">
        <v>45609.64087990741</v>
      </c>
      <c r="V2911" s="29">
        <v>45616.60738864583</v>
      </c>
      <c r="W2911" s="38"/>
      <c r="X2911" s="30"/>
      <c r="Y2911" s="31"/>
      <c r="Z2911" s="31"/>
      <c r="AA2911" s="31" t="s">
        <v>3059</v>
      </c>
      <c r="AB2911" s="31" t="s">
        <v>11428</v>
      </c>
      <c r="AC2911" s="31"/>
    </row>
    <row r="2912" ht="18.75" customHeight="1">
      <c r="A2912" s="142" t="s">
        <v>11429</v>
      </c>
      <c r="B2912" s="19" t="s">
        <v>8743</v>
      </c>
      <c r="C2912" s="20">
        <v>11.0</v>
      </c>
      <c r="D2912" s="21" t="s">
        <v>11430</v>
      </c>
      <c r="E2912" s="27" t="s">
        <v>112</v>
      </c>
      <c r="F2912" s="18" t="s">
        <v>48</v>
      </c>
      <c r="G2912" s="18" t="s">
        <v>35</v>
      </c>
      <c r="H2912" s="40" t="s">
        <v>35</v>
      </c>
      <c r="I2912" s="37" t="s">
        <v>36</v>
      </c>
      <c r="J2912" s="25" t="s">
        <v>9338</v>
      </c>
      <c r="K2912" s="26" t="s">
        <v>38</v>
      </c>
      <c r="L2912" s="25">
        <v>11991.0</v>
      </c>
      <c r="M2912" s="62" t="s">
        <v>50</v>
      </c>
      <c r="N2912" s="42" t="s">
        <v>11431</v>
      </c>
      <c r="O2912" s="63">
        <v>45615.70073715277</v>
      </c>
      <c r="P2912" s="26" t="s">
        <v>11432</v>
      </c>
      <c r="Q2912" s="11" t="s">
        <v>67</v>
      </c>
      <c r="R2912" s="11" t="s">
        <v>67</v>
      </c>
      <c r="S2912" s="11" t="s">
        <v>50</v>
      </c>
      <c r="T2912" s="29">
        <v>45609.463890011575</v>
      </c>
      <c r="U2912" s="29">
        <v>45609.64133748843</v>
      </c>
      <c r="V2912" s="29">
        <v>45610.461192835646</v>
      </c>
      <c r="W2912" s="38"/>
      <c r="X2912" s="30"/>
      <c r="Y2912" s="31"/>
      <c r="Z2912" s="31"/>
      <c r="AA2912" s="31" t="s">
        <v>3059</v>
      </c>
      <c r="AB2912" s="31" t="s">
        <v>11433</v>
      </c>
      <c r="AC2912" s="31"/>
    </row>
    <row r="2913" ht="18.75" customHeight="1">
      <c r="A2913" s="151" t="s">
        <v>11434</v>
      </c>
      <c r="B2913" s="19" t="s">
        <v>10989</v>
      </c>
      <c r="C2913" s="20">
        <v>0.0</v>
      </c>
      <c r="D2913" s="21" t="s">
        <v>11435</v>
      </c>
      <c r="E2913" s="27" t="s">
        <v>3441</v>
      </c>
      <c r="F2913" s="18" t="s">
        <v>48</v>
      </c>
      <c r="G2913" s="18" t="s">
        <v>35</v>
      </c>
      <c r="H2913" s="40" t="s">
        <v>35</v>
      </c>
      <c r="I2913" s="24" t="s">
        <v>36</v>
      </c>
      <c r="J2913" s="25" t="s">
        <v>65</v>
      </c>
      <c r="K2913" s="26" t="s">
        <v>38</v>
      </c>
      <c r="L2913" s="64" t="s">
        <v>11436</v>
      </c>
      <c r="M2913" s="152" t="str">
        <f>VLOOKUP(D2913,'Página111'!E:E,1,0)</f>
        <v>#REF!</v>
      </c>
      <c r="N2913" s="26"/>
      <c r="O2913" s="50">
        <v>45646.0</v>
      </c>
      <c r="P2913" s="26" t="s">
        <v>11437</v>
      </c>
      <c r="Q2913" s="11" t="s">
        <v>67</v>
      </c>
      <c r="R2913" s="11" t="s">
        <v>67</v>
      </c>
      <c r="S2913" s="11" t="s">
        <v>73</v>
      </c>
      <c r="T2913" s="29">
        <v>45609.46486763889</v>
      </c>
      <c r="U2913" s="29">
        <v>45609.49860755787</v>
      </c>
      <c r="V2913" s="29">
        <v>45644.7759012037</v>
      </c>
      <c r="W2913" s="11"/>
      <c r="X2913" s="30"/>
      <c r="Y2913" s="66">
        <v>-12024.0</v>
      </c>
      <c r="Z2913" s="31"/>
      <c r="AA2913" s="31" t="s">
        <v>94</v>
      </c>
      <c r="AB2913" s="31" t="s">
        <v>11438</v>
      </c>
      <c r="AC2913" s="31"/>
    </row>
    <row r="2914" ht="18.75" customHeight="1">
      <c r="A2914" s="142" t="s">
        <v>11439</v>
      </c>
      <c r="B2914" s="19" t="s">
        <v>4711</v>
      </c>
      <c r="C2914" s="20">
        <v>0.0</v>
      </c>
      <c r="D2914" s="21" t="s">
        <v>11440</v>
      </c>
      <c r="E2914" s="27" t="s">
        <v>453</v>
      </c>
      <c r="F2914" s="18" t="s">
        <v>244</v>
      </c>
      <c r="G2914" s="18" t="s">
        <v>35</v>
      </c>
      <c r="H2914" s="40" t="s">
        <v>35</v>
      </c>
      <c r="I2914" s="37" t="s">
        <v>36</v>
      </c>
      <c r="J2914" s="25" t="s">
        <v>92</v>
      </c>
      <c r="K2914" s="26" t="s">
        <v>38</v>
      </c>
      <c r="L2914" s="34">
        <v>11985.0</v>
      </c>
      <c r="M2914" s="62" t="s">
        <v>50</v>
      </c>
      <c r="N2914" s="42" t="s">
        <v>11441</v>
      </c>
      <c r="O2914" s="63">
        <v>45572.67354069444</v>
      </c>
      <c r="P2914" s="26" t="s">
        <v>11442</v>
      </c>
      <c r="Q2914" s="11" t="s">
        <v>73</v>
      </c>
      <c r="R2914" s="11" t="s">
        <v>73</v>
      </c>
      <c r="S2914" s="11"/>
      <c r="T2914" s="29">
        <v>45609.355800509264</v>
      </c>
      <c r="U2914" s="29">
        <v>45609.35580696759</v>
      </c>
      <c r="V2914" s="29"/>
      <c r="W2914" s="11"/>
      <c r="X2914" s="30"/>
      <c r="Y2914" s="31"/>
      <c r="Z2914" s="31"/>
      <c r="AA2914" s="31" t="s">
        <v>94</v>
      </c>
      <c r="AB2914" s="31" t="s">
        <v>11443</v>
      </c>
      <c r="AC2914" s="31"/>
    </row>
    <row r="2915" ht="18.75" customHeight="1">
      <c r="A2915" s="142" t="s">
        <v>11444</v>
      </c>
      <c r="B2915" s="19" t="s">
        <v>3289</v>
      </c>
      <c r="C2915" s="20">
        <v>0.0</v>
      </c>
      <c r="D2915" s="61" t="s">
        <v>11445</v>
      </c>
      <c r="E2915" s="27" t="s">
        <v>251</v>
      </c>
      <c r="F2915" s="18" t="s">
        <v>33</v>
      </c>
      <c r="G2915" s="18" t="s">
        <v>35</v>
      </c>
      <c r="H2915" s="40" t="s">
        <v>35</v>
      </c>
      <c r="I2915" s="37" t="s">
        <v>36</v>
      </c>
      <c r="J2915" s="25" t="s">
        <v>92</v>
      </c>
      <c r="K2915" s="26" t="s">
        <v>38</v>
      </c>
      <c r="L2915" s="25">
        <v>12005.0</v>
      </c>
      <c r="M2915" s="62" t="s">
        <v>50</v>
      </c>
      <c r="N2915" s="42" t="s">
        <v>4362</v>
      </c>
      <c r="O2915" s="63">
        <v>45615.45053375</v>
      </c>
      <c r="P2915" s="26" t="s">
        <v>11446</v>
      </c>
      <c r="Q2915" s="11" t="s">
        <v>73</v>
      </c>
      <c r="R2915" s="11" t="s">
        <v>73</v>
      </c>
      <c r="S2915" s="11" t="s">
        <v>101</v>
      </c>
      <c r="T2915" s="29">
        <v>45609.7700350463</v>
      </c>
      <c r="U2915" s="29">
        <v>45609.770036331014</v>
      </c>
      <c r="V2915" s="29">
        <v>45615.337935069445</v>
      </c>
      <c r="W2915" s="38"/>
      <c r="X2915" s="30"/>
      <c r="Y2915" s="31"/>
      <c r="Z2915" s="31"/>
      <c r="AA2915" s="31"/>
      <c r="AB2915" s="31" t="s">
        <v>11447</v>
      </c>
      <c r="AC2915" s="31"/>
    </row>
    <row r="2916" ht="18.75" customHeight="1">
      <c r="A2916" s="32" t="s">
        <v>11448</v>
      </c>
      <c r="B2916" s="19" t="s">
        <v>11449</v>
      </c>
      <c r="C2916" s="20">
        <v>1.0</v>
      </c>
      <c r="D2916" s="61" t="s">
        <v>11450</v>
      </c>
      <c r="E2916" s="27" t="s">
        <v>3395</v>
      </c>
      <c r="F2916" s="18" t="s">
        <v>48</v>
      </c>
      <c r="G2916" s="18" t="s">
        <v>35</v>
      </c>
      <c r="H2916" s="40" t="s">
        <v>35</v>
      </c>
      <c r="I2916" s="24" t="s">
        <v>36</v>
      </c>
      <c r="J2916" s="25" t="s">
        <v>65</v>
      </c>
      <c r="K2916" s="26" t="s">
        <v>38</v>
      </c>
      <c r="L2916" s="64" t="s">
        <v>11451</v>
      </c>
      <c r="M2916" s="152" t="str">
        <f t="shared" ref="M2916:M2917" si="15">VLOOKUP(D2916,'Página111'!E:E,1,0)</f>
        <v>#REF!</v>
      </c>
      <c r="N2916" s="26"/>
      <c r="O2916" s="50">
        <v>45646.0</v>
      </c>
      <c r="P2916" s="26" t="s">
        <v>11452</v>
      </c>
      <c r="Q2916" s="11" t="s">
        <v>67</v>
      </c>
      <c r="R2916" s="11" t="s">
        <v>67</v>
      </c>
      <c r="S2916" s="11" t="s">
        <v>73</v>
      </c>
      <c r="T2916" s="29">
        <v>45610.47626668982</v>
      </c>
      <c r="U2916" s="29">
        <v>45610.61600548611</v>
      </c>
      <c r="V2916" s="29">
        <v>45644.77591210648</v>
      </c>
      <c r="W2916" s="11"/>
      <c r="X2916" s="30"/>
      <c r="Y2916" s="66">
        <v>-11993.0</v>
      </c>
      <c r="Z2916" s="31"/>
      <c r="AA2916" s="31" t="s">
        <v>94</v>
      </c>
      <c r="AB2916" s="31" t="s">
        <v>11453</v>
      </c>
      <c r="AC2916" s="31"/>
    </row>
    <row r="2917" ht="18.75" customHeight="1">
      <c r="A2917" s="32" t="s">
        <v>11454</v>
      </c>
      <c r="B2917" s="19" t="s">
        <v>11449</v>
      </c>
      <c r="C2917" s="20">
        <v>0.0</v>
      </c>
      <c r="D2917" s="61" t="s">
        <v>11455</v>
      </c>
      <c r="E2917" s="27" t="s">
        <v>3441</v>
      </c>
      <c r="F2917" s="18" t="s">
        <v>48</v>
      </c>
      <c r="G2917" s="18" t="s">
        <v>35</v>
      </c>
      <c r="H2917" s="40" t="s">
        <v>35</v>
      </c>
      <c r="I2917" s="24" t="s">
        <v>36</v>
      </c>
      <c r="J2917" s="25" t="s">
        <v>65</v>
      </c>
      <c r="K2917" s="26" t="s">
        <v>38</v>
      </c>
      <c r="L2917" s="64" t="s">
        <v>11451</v>
      </c>
      <c r="M2917" s="152" t="str">
        <f t="shared" si="15"/>
        <v>#REF!</v>
      </c>
      <c r="N2917" s="26"/>
      <c r="O2917" s="50">
        <v>45646.0</v>
      </c>
      <c r="P2917" s="26" t="s">
        <v>11452</v>
      </c>
      <c r="Q2917" s="11" t="s">
        <v>67</v>
      </c>
      <c r="R2917" s="11" t="s">
        <v>67</v>
      </c>
      <c r="S2917" s="11" t="s">
        <v>73</v>
      </c>
      <c r="T2917" s="29">
        <v>45610.477119560186</v>
      </c>
      <c r="U2917" s="29">
        <v>45610.61609962963</v>
      </c>
      <c r="V2917" s="29">
        <v>45644.775924050926</v>
      </c>
      <c r="W2917" s="11"/>
      <c r="X2917" s="30"/>
      <c r="Y2917" s="66">
        <v>-11993.0</v>
      </c>
      <c r="Z2917" s="31"/>
      <c r="AA2917" s="31" t="s">
        <v>94</v>
      </c>
      <c r="AB2917" s="31" t="s">
        <v>11456</v>
      </c>
      <c r="AC2917" s="31"/>
    </row>
    <row r="2918" ht="18.75" customHeight="1">
      <c r="A2918" s="18" t="s">
        <v>11457</v>
      </c>
      <c r="B2918" s="19" t="s">
        <v>11449</v>
      </c>
      <c r="C2918" s="20">
        <v>27.0</v>
      </c>
      <c r="D2918" s="39" t="s">
        <v>11458</v>
      </c>
      <c r="E2918" s="27" t="s">
        <v>72</v>
      </c>
      <c r="F2918" s="18" t="s">
        <v>48</v>
      </c>
      <c r="G2918" s="18" t="s">
        <v>35</v>
      </c>
      <c r="H2918" s="40" t="s">
        <v>35</v>
      </c>
      <c r="I2918" s="37" t="s">
        <v>36</v>
      </c>
      <c r="J2918" s="25" t="s">
        <v>65</v>
      </c>
      <c r="K2918" s="26" t="s">
        <v>38</v>
      </c>
      <c r="L2918" s="25">
        <v>11995.0</v>
      </c>
      <c r="M2918" s="62" t="s">
        <v>50</v>
      </c>
      <c r="N2918" s="42" t="s">
        <v>8469</v>
      </c>
      <c r="O2918" s="63">
        <v>45614.4868384375</v>
      </c>
      <c r="P2918" s="26" t="s">
        <v>11452</v>
      </c>
      <c r="Q2918" s="11" t="s">
        <v>67</v>
      </c>
      <c r="R2918" s="11" t="s">
        <v>67</v>
      </c>
      <c r="S2918" s="11" t="s">
        <v>50</v>
      </c>
      <c r="T2918" s="29">
        <v>45610.47728288194</v>
      </c>
      <c r="U2918" s="29">
        <v>45610.61610806713</v>
      </c>
      <c r="V2918" s="29">
        <v>45614.36510429398</v>
      </c>
      <c r="W2918" s="38"/>
      <c r="X2918" s="30"/>
      <c r="Y2918" s="31"/>
      <c r="Z2918" s="31"/>
      <c r="AA2918" s="31" t="s">
        <v>94</v>
      </c>
      <c r="AB2918" s="31" t="s">
        <v>11459</v>
      </c>
      <c r="AC2918" s="31"/>
    </row>
    <row r="2919" ht="18.75" customHeight="1">
      <c r="A2919" s="32" t="s">
        <v>11460</v>
      </c>
      <c r="B2919" s="19" t="s">
        <v>11449</v>
      </c>
      <c r="C2919" s="20">
        <v>137.0</v>
      </c>
      <c r="D2919" s="61" t="s">
        <v>11461</v>
      </c>
      <c r="E2919" s="27" t="s">
        <v>85</v>
      </c>
      <c r="F2919" s="18" t="s">
        <v>48</v>
      </c>
      <c r="G2919" s="18" t="s">
        <v>35</v>
      </c>
      <c r="H2919" s="40" t="s">
        <v>35</v>
      </c>
      <c r="I2919" s="24" t="s">
        <v>36</v>
      </c>
      <c r="J2919" s="25" t="s">
        <v>65</v>
      </c>
      <c r="K2919" s="26" t="s">
        <v>38</v>
      </c>
      <c r="L2919" s="64" t="s">
        <v>11451</v>
      </c>
      <c r="M2919" s="152" t="str">
        <f t="shared" ref="M2919:M2920" si="16">VLOOKUP(D2919,'Página111'!E:E,1,0)</f>
        <v>#REF!</v>
      </c>
      <c r="N2919" s="26"/>
      <c r="O2919" s="50">
        <v>45646.0</v>
      </c>
      <c r="P2919" s="26" t="s">
        <v>11452</v>
      </c>
      <c r="Q2919" s="11" t="s">
        <v>67</v>
      </c>
      <c r="R2919" s="11" t="s">
        <v>67</v>
      </c>
      <c r="S2919" s="11" t="s">
        <v>73</v>
      </c>
      <c r="T2919" s="29">
        <v>45610.477437800924</v>
      </c>
      <c r="U2919" s="29">
        <v>45610.61611159722</v>
      </c>
      <c r="V2919" s="29">
        <v>45644.77593534722</v>
      </c>
      <c r="W2919" s="11"/>
      <c r="X2919" s="30"/>
      <c r="Y2919" s="66">
        <v>-11993.0</v>
      </c>
      <c r="Z2919" s="31"/>
      <c r="AA2919" s="31" t="s">
        <v>94</v>
      </c>
      <c r="AB2919" s="31" t="s">
        <v>11462</v>
      </c>
      <c r="AC2919" s="31"/>
    </row>
    <row r="2920" ht="18.75" customHeight="1">
      <c r="A2920" s="32" t="s">
        <v>11463</v>
      </c>
      <c r="B2920" s="19" t="s">
        <v>11449</v>
      </c>
      <c r="C2920" s="20">
        <v>90.0</v>
      </c>
      <c r="D2920" s="61" t="s">
        <v>11464</v>
      </c>
      <c r="E2920" s="27" t="s">
        <v>91</v>
      </c>
      <c r="F2920" s="18" t="s">
        <v>48</v>
      </c>
      <c r="G2920" s="18" t="s">
        <v>35</v>
      </c>
      <c r="H2920" s="40" t="s">
        <v>35</v>
      </c>
      <c r="I2920" s="24" t="s">
        <v>36</v>
      </c>
      <c r="J2920" s="25" t="s">
        <v>65</v>
      </c>
      <c r="K2920" s="26" t="s">
        <v>38</v>
      </c>
      <c r="L2920" s="64" t="s">
        <v>11451</v>
      </c>
      <c r="M2920" s="152" t="str">
        <f t="shared" si="16"/>
        <v>#REF!</v>
      </c>
      <c r="N2920" s="26"/>
      <c r="O2920" s="50">
        <v>45646.0</v>
      </c>
      <c r="P2920" s="26" t="s">
        <v>11452</v>
      </c>
      <c r="Q2920" s="11" t="s">
        <v>67</v>
      </c>
      <c r="R2920" s="11" t="s">
        <v>67</v>
      </c>
      <c r="S2920" s="11" t="s">
        <v>73</v>
      </c>
      <c r="T2920" s="29">
        <v>45610.47760292824</v>
      </c>
      <c r="U2920" s="29">
        <v>45610.61611641204</v>
      </c>
      <c r="V2920" s="29">
        <v>45644.77594703704</v>
      </c>
      <c r="W2920" s="11"/>
      <c r="X2920" s="30"/>
      <c r="Y2920" s="66">
        <v>-11993.0</v>
      </c>
      <c r="Z2920" s="31"/>
      <c r="AA2920" s="31" t="s">
        <v>94</v>
      </c>
      <c r="AB2920" s="31" t="s">
        <v>11465</v>
      </c>
      <c r="AC2920" s="31"/>
    </row>
    <row r="2921" ht="18.75" customHeight="1">
      <c r="A2921" s="18" t="s">
        <v>11466</v>
      </c>
      <c r="B2921" s="19" t="s">
        <v>11449</v>
      </c>
      <c r="C2921" s="20">
        <v>11.0</v>
      </c>
      <c r="D2921" s="61" t="s">
        <v>11467</v>
      </c>
      <c r="E2921" s="27" t="s">
        <v>112</v>
      </c>
      <c r="F2921" s="18" t="s">
        <v>48</v>
      </c>
      <c r="G2921" s="18" t="s">
        <v>35</v>
      </c>
      <c r="H2921" s="40" t="s">
        <v>35</v>
      </c>
      <c r="I2921" s="37" t="s">
        <v>36</v>
      </c>
      <c r="J2921" s="25" t="s">
        <v>65</v>
      </c>
      <c r="K2921" s="26" t="s">
        <v>38</v>
      </c>
      <c r="L2921" s="25">
        <v>11995.0</v>
      </c>
      <c r="M2921" s="62" t="s">
        <v>50</v>
      </c>
      <c r="N2921" s="42" t="s">
        <v>8469</v>
      </c>
      <c r="O2921" s="63">
        <v>45614.486910127314</v>
      </c>
      <c r="P2921" s="26" t="s">
        <v>11452</v>
      </c>
      <c r="Q2921" s="11" t="s">
        <v>67</v>
      </c>
      <c r="R2921" s="11" t="s">
        <v>67</v>
      </c>
      <c r="S2921" s="11" t="s">
        <v>50</v>
      </c>
      <c r="T2921" s="29">
        <v>45610.47785761574</v>
      </c>
      <c r="U2921" s="29">
        <v>45610.61612377314</v>
      </c>
      <c r="V2921" s="29">
        <v>45614.36511810185</v>
      </c>
      <c r="W2921" s="38"/>
      <c r="X2921" s="30"/>
      <c r="Y2921" s="31"/>
      <c r="Z2921" s="31"/>
      <c r="AA2921" s="31" t="s">
        <v>94</v>
      </c>
      <c r="AB2921" s="31" t="s">
        <v>11468</v>
      </c>
      <c r="AC2921" s="31"/>
    </row>
    <row r="2922" ht="18.75" customHeight="1">
      <c r="A2922" s="142" t="s">
        <v>11469</v>
      </c>
      <c r="B2922" s="19" t="s">
        <v>4035</v>
      </c>
      <c r="C2922" s="20">
        <v>11.0</v>
      </c>
      <c r="D2922" s="61" t="s">
        <v>11470</v>
      </c>
      <c r="E2922" s="27" t="s">
        <v>112</v>
      </c>
      <c r="F2922" s="18" t="s">
        <v>48</v>
      </c>
      <c r="G2922" s="18" t="s">
        <v>35</v>
      </c>
      <c r="H2922" s="40" t="s">
        <v>35</v>
      </c>
      <c r="I2922" s="37" t="s">
        <v>36</v>
      </c>
      <c r="J2922" s="25" t="s">
        <v>65</v>
      </c>
      <c r="K2922" s="26" t="s">
        <v>38</v>
      </c>
      <c r="L2922" s="25">
        <v>11996.0</v>
      </c>
      <c r="M2922" s="62" t="s">
        <v>50</v>
      </c>
      <c r="N2922" s="42" t="s">
        <v>8469</v>
      </c>
      <c r="O2922" s="63">
        <v>45614.4869791088</v>
      </c>
      <c r="P2922" s="26" t="s">
        <v>11471</v>
      </c>
      <c r="Q2922" s="11" t="s">
        <v>67</v>
      </c>
      <c r="R2922" s="11" t="s">
        <v>67</v>
      </c>
      <c r="S2922" s="11" t="s">
        <v>50</v>
      </c>
      <c r="T2922" s="29">
        <v>45610.479342384264</v>
      </c>
      <c r="U2922" s="29">
        <v>45610.61648144676</v>
      </c>
      <c r="V2922" s="29">
        <v>45614.36811856482</v>
      </c>
      <c r="W2922" s="38"/>
      <c r="X2922" s="30"/>
      <c r="Y2922" s="31"/>
      <c r="Z2922" s="31"/>
      <c r="AA2922" s="31" t="s">
        <v>94</v>
      </c>
      <c r="AB2922" s="31" t="s">
        <v>11472</v>
      </c>
      <c r="AC2922" s="31"/>
    </row>
    <row r="2923" ht="18.75" customHeight="1">
      <c r="A2923" s="151" t="s">
        <v>11473</v>
      </c>
      <c r="B2923" s="19" t="s">
        <v>4035</v>
      </c>
      <c r="C2923" s="20">
        <v>90.0</v>
      </c>
      <c r="D2923" s="61" t="s">
        <v>11474</v>
      </c>
      <c r="E2923" s="27" t="s">
        <v>91</v>
      </c>
      <c r="F2923" s="18" t="s">
        <v>48</v>
      </c>
      <c r="G2923" s="18" t="s">
        <v>35</v>
      </c>
      <c r="H2923" s="40" t="s">
        <v>35</v>
      </c>
      <c r="I2923" s="24" t="s">
        <v>36</v>
      </c>
      <c r="J2923" s="25" t="s">
        <v>65</v>
      </c>
      <c r="K2923" s="26" t="s">
        <v>38</v>
      </c>
      <c r="L2923" s="64" t="s">
        <v>11475</v>
      </c>
      <c r="M2923" s="152" t="str">
        <f>VLOOKUP(D2923,'Página111'!E:E,1,0)</f>
        <v>#REF!</v>
      </c>
      <c r="N2923" s="26"/>
      <c r="O2923" s="50">
        <v>45646.0</v>
      </c>
      <c r="P2923" s="26" t="s">
        <v>11476</v>
      </c>
      <c r="Q2923" s="11" t="s">
        <v>67</v>
      </c>
      <c r="R2923" s="11" t="s">
        <v>67</v>
      </c>
      <c r="S2923" s="11" t="s">
        <v>73</v>
      </c>
      <c r="T2923" s="29">
        <v>45610.484520474536</v>
      </c>
      <c r="U2923" s="29">
        <v>45610.61634532407</v>
      </c>
      <c r="V2923" s="29">
        <v>45644.77595793981</v>
      </c>
      <c r="W2923" s="11"/>
      <c r="X2923" s="30"/>
      <c r="Y2923" s="66">
        <v>-12030.0</v>
      </c>
      <c r="Z2923" s="31"/>
      <c r="AA2923" s="31" t="s">
        <v>94</v>
      </c>
      <c r="AB2923" s="31" t="s">
        <v>11477</v>
      </c>
      <c r="AC2923" s="31"/>
    </row>
    <row r="2924" ht="18.75" customHeight="1">
      <c r="A2924" s="142" t="s">
        <v>11478</v>
      </c>
      <c r="B2924" s="19" t="s">
        <v>11449</v>
      </c>
      <c r="C2924" s="20">
        <v>11.0</v>
      </c>
      <c r="D2924" s="61" t="s">
        <v>11479</v>
      </c>
      <c r="E2924" s="27" t="s">
        <v>112</v>
      </c>
      <c r="F2924" s="18" t="s">
        <v>48</v>
      </c>
      <c r="G2924" s="18" t="s">
        <v>35</v>
      </c>
      <c r="H2924" s="40" t="s">
        <v>35</v>
      </c>
      <c r="I2924" s="37" t="s">
        <v>36</v>
      </c>
      <c r="J2924" s="25" t="s">
        <v>65</v>
      </c>
      <c r="K2924" s="26" t="s">
        <v>38</v>
      </c>
      <c r="L2924" s="25">
        <v>11997.0</v>
      </c>
      <c r="M2924" s="62" t="s">
        <v>50</v>
      </c>
      <c r="N2924" s="42" t="s">
        <v>8469</v>
      </c>
      <c r="O2924" s="63">
        <v>45614.48705877315</v>
      </c>
      <c r="P2924" s="26" t="s">
        <v>11480</v>
      </c>
      <c r="Q2924" s="11" t="s">
        <v>67</v>
      </c>
      <c r="R2924" s="11" t="s">
        <v>67</v>
      </c>
      <c r="S2924" s="11" t="s">
        <v>50</v>
      </c>
      <c r="T2924" s="29">
        <v>45610.485732615736</v>
      </c>
      <c r="U2924" s="29">
        <v>45610.6167059375</v>
      </c>
      <c r="V2924" s="29">
        <v>45614.368132766205</v>
      </c>
      <c r="W2924" s="38"/>
      <c r="X2924" s="30"/>
      <c r="Y2924" s="31"/>
      <c r="Z2924" s="31"/>
      <c r="AA2924" s="31" t="s">
        <v>94</v>
      </c>
      <c r="AB2924" s="160" t="s">
        <v>11481</v>
      </c>
      <c r="AC2924" s="31"/>
    </row>
    <row r="2925" ht="18.75" customHeight="1">
      <c r="A2925" s="18" t="s">
        <v>11482</v>
      </c>
      <c r="B2925" s="19" t="s">
        <v>11483</v>
      </c>
      <c r="C2925" s="20">
        <v>0.0</v>
      </c>
      <c r="D2925" s="61" t="s">
        <v>11484</v>
      </c>
      <c r="E2925" s="27" t="s">
        <v>4430</v>
      </c>
      <c r="F2925" s="18" t="s">
        <v>48</v>
      </c>
      <c r="G2925" s="18" t="s">
        <v>35</v>
      </c>
      <c r="H2925" s="40" t="s">
        <v>35</v>
      </c>
      <c r="I2925" s="37" t="s">
        <v>36</v>
      </c>
      <c r="J2925" s="25" t="s">
        <v>92</v>
      </c>
      <c r="K2925" s="26" t="s">
        <v>38</v>
      </c>
      <c r="L2925" s="25">
        <v>11994.0</v>
      </c>
      <c r="M2925" s="62" t="s">
        <v>50</v>
      </c>
      <c r="N2925" s="42" t="s">
        <v>11485</v>
      </c>
      <c r="O2925" s="63">
        <v>45630.48441453704</v>
      </c>
      <c r="P2925" s="26" t="s">
        <v>11486</v>
      </c>
      <c r="Q2925" s="11" t="s">
        <v>67</v>
      </c>
      <c r="R2925" s="11" t="s">
        <v>67</v>
      </c>
      <c r="S2925" s="11" t="s">
        <v>50</v>
      </c>
      <c r="T2925" s="29">
        <v>45610.61772184027</v>
      </c>
      <c r="U2925" s="29">
        <v>45610.61829175926</v>
      </c>
      <c r="V2925" s="29">
        <v>45614.35635954861</v>
      </c>
      <c r="W2925" s="38"/>
      <c r="X2925" s="30"/>
      <c r="Y2925" s="31"/>
      <c r="Z2925" s="31"/>
      <c r="AA2925" s="31" t="s">
        <v>120</v>
      </c>
      <c r="AB2925" s="31" t="s">
        <v>11487</v>
      </c>
      <c r="AC2925" s="31"/>
    </row>
    <row r="2926" ht="18.75" customHeight="1">
      <c r="A2926" s="18" t="s">
        <v>11488</v>
      </c>
      <c r="B2926" s="19" t="s">
        <v>11483</v>
      </c>
      <c r="C2926" s="20">
        <v>0.0</v>
      </c>
      <c r="D2926" s="61" t="s">
        <v>11489</v>
      </c>
      <c r="E2926" s="27" t="s">
        <v>4430</v>
      </c>
      <c r="F2926" s="18" t="s">
        <v>48</v>
      </c>
      <c r="G2926" s="18" t="s">
        <v>35</v>
      </c>
      <c r="H2926" s="40" t="s">
        <v>35</v>
      </c>
      <c r="I2926" s="37" t="s">
        <v>36</v>
      </c>
      <c r="J2926" s="25" t="s">
        <v>92</v>
      </c>
      <c r="K2926" s="26" t="s">
        <v>38</v>
      </c>
      <c r="L2926" s="25">
        <v>11994.0</v>
      </c>
      <c r="M2926" s="62" t="s">
        <v>50</v>
      </c>
      <c r="N2926" s="42" t="s">
        <v>11485</v>
      </c>
      <c r="O2926" s="63">
        <v>45630.4845</v>
      </c>
      <c r="P2926" s="26" t="s">
        <v>11486</v>
      </c>
      <c r="Q2926" s="11" t="s">
        <v>67</v>
      </c>
      <c r="R2926" s="11" t="s">
        <v>67</v>
      </c>
      <c r="S2926" s="11" t="s">
        <v>50</v>
      </c>
      <c r="T2926" s="29">
        <v>45610.61785701389</v>
      </c>
      <c r="U2926" s="29">
        <v>45610.61831074074</v>
      </c>
      <c r="V2926" s="29">
        <v>45614.35636721065</v>
      </c>
      <c r="W2926" s="38"/>
      <c r="X2926" s="30"/>
      <c r="Y2926" s="31"/>
      <c r="Z2926" s="31"/>
      <c r="AA2926" s="31" t="s">
        <v>120</v>
      </c>
      <c r="AB2926" s="31" t="s">
        <v>11490</v>
      </c>
      <c r="AC2926" s="31"/>
    </row>
    <row r="2927" ht="18.75" customHeight="1">
      <c r="A2927" s="18" t="s">
        <v>11491</v>
      </c>
      <c r="B2927" s="19" t="s">
        <v>11483</v>
      </c>
      <c r="C2927" s="20">
        <v>0.0</v>
      </c>
      <c r="D2927" s="61" t="s">
        <v>11492</v>
      </c>
      <c r="E2927" s="27" t="s">
        <v>4430</v>
      </c>
      <c r="F2927" s="18" t="s">
        <v>48</v>
      </c>
      <c r="G2927" s="18" t="s">
        <v>35</v>
      </c>
      <c r="H2927" s="40" t="s">
        <v>35</v>
      </c>
      <c r="I2927" s="37" t="s">
        <v>36</v>
      </c>
      <c r="J2927" s="25" t="s">
        <v>92</v>
      </c>
      <c r="K2927" s="26" t="s">
        <v>38</v>
      </c>
      <c r="L2927" s="25">
        <v>11994.0</v>
      </c>
      <c r="M2927" s="62" t="s">
        <v>50</v>
      </c>
      <c r="N2927" s="42" t="s">
        <v>11485</v>
      </c>
      <c r="O2927" s="63">
        <v>45630.48459425926</v>
      </c>
      <c r="P2927" s="26" t="s">
        <v>11486</v>
      </c>
      <c r="Q2927" s="11" t="s">
        <v>67</v>
      </c>
      <c r="R2927" s="11" t="s">
        <v>67</v>
      </c>
      <c r="S2927" s="11" t="s">
        <v>50</v>
      </c>
      <c r="T2927" s="29">
        <v>45610.617910706016</v>
      </c>
      <c r="U2927" s="29">
        <v>45610.618338009255</v>
      </c>
      <c r="V2927" s="29">
        <v>45614.35637706019</v>
      </c>
      <c r="W2927" s="38"/>
      <c r="X2927" s="30"/>
      <c r="Y2927" s="31"/>
      <c r="Z2927" s="31"/>
      <c r="AA2927" s="31" t="s">
        <v>120</v>
      </c>
      <c r="AB2927" s="31" t="s">
        <v>11493</v>
      </c>
      <c r="AC2927" s="31"/>
    </row>
    <row r="2928" ht="18.75" customHeight="1">
      <c r="A2928" s="151" t="s">
        <v>11494</v>
      </c>
      <c r="B2928" s="19" t="s">
        <v>4352</v>
      </c>
      <c r="C2928" s="20">
        <v>137.0</v>
      </c>
      <c r="D2928" s="21" t="s">
        <v>11495</v>
      </c>
      <c r="E2928" s="27" t="s">
        <v>85</v>
      </c>
      <c r="F2928" s="18" t="s">
        <v>48</v>
      </c>
      <c r="G2928" s="18" t="s">
        <v>35</v>
      </c>
      <c r="H2928" s="40" t="s">
        <v>35</v>
      </c>
      <c r="I2928" s="37" t="s">
        <v>36</v>
      </c>
      <c r="J2928" s="25" t="s">
        <v>49</v>
      </c>
      <c r="K2928" s="26" t="s">
        <v>38</v>
      </c>
      <c r="L2928" s="25">
        <v>12349.0</v>
      </c>
      <c r="M2928" s="27" t="s">
        <v>50</v>
      </c>
      <c r="N2928" s="26" t="s">
        <v>9953</v>
      </c>
      <c r="O2928" s="28">
        <v>45659.0</v>
      </c>
      <c r="P2928" s="26" t="s">
        <v>11496</v>
      </c>
      <c r="Q2928" s="11" t="s">
        <v>67</v>
      </c>
      <c r="R2928" s="11" t="s">
        <v>67</v>
      </c>
      <c r="S2928" s="11" t="s">
        <v>50</v>
      </c>
      <c r="T2928" s="29">
        <v>45610.48969284722</v>
      </c>
      <c r="U2928" s="29">
        <v>45614.36859050926</v>
      </c>
      <c r="V2928" s="29">
        <v>45652.484970300924</v>
      </c>
      <c r="W2928" s="11"/>
      <c r="X2928" s="30"/>
      <c r="Y2928" s="31"/>
      <c r="Z2928" s="31"/>
      <c r="AA2928" s="31" t="s">
        <v>127</v>
      </c>
      <c r="AB2928" s="31" t="s">
        <v>11497</v>
      </c>
      <c r="AC2928" s="31"/>
    </row>
    <row r="2929" ht="18.75" customHeight="1">
      <c r="A2929" s="18" t="s">
        <v>11498</v>
      </c>
      <c r="B2929" s="19" t="s">
        <v>115</v>
      </c>
      <c r="C2929" s="20">
        <v>34.0</v>
      </c>
      <c r="D2929" s="61" t="s">
        <v>11499</v>
      </c>
      <c r="E2929" s="27" t="s">
        <v>47</v>
      </c>
      <c r="F2929" s="18" t="s">
        <v>48</v>
      </c>
      <c r="G2929" s="18" t="s">
        <v>35</v>
      </c>
      <c r="H2929" s="40" t="s">
        <v>35</v>
      </c>
      <c r="I2929" s="37" t="s">
        <v>36</v>
      </c>
      <c r="J2929" s="25" t="s">
        <v>92</v>
      </c>
      <c r="K2929" s="26" t="s">
        <v>38</v>
      </c>
      <c r="L2929" s="25">
        <v>12001.0</v>
      </c>
      <c r="M2929" s="62" t="s">
        <v>50</v>
      </c>
      <c r="N2929" s="42" t="s">
        <v>118</v>
      </c>
      <c r="O2929" s="63">
        <v>45614.65463333333</v>
      </c>
      <c r="P2929" s="26" t="s">
        <v>11500</v>
      </c>
      <c r="Q2929" s="11" t="s">
        <v>67</v>
      </c>
      <c r="R2929" s="11" t="s">
        <v>67</v>
      </c>
      <c r="S2929" s="11" t="s">
        <v>50</v>
      </c>
      <c r="T2929" s="29">
        <v>45610.49147616898</v>
      </c>
      <c r="U2929" s="29">
        <v>45610.61845141204</v>
      </c>
      <c r="V2929" s="29">
        <v>45614.64590790509</v>
      </c>
      <c r="W2929" s="38"/>
      <c r="X2929" s="30"/>
      <c r="Y2929" s="31"/>
      <c r="Z2929" s="31"/>
      <c r="AA2929" s="31" t="s">
        <v>120</v>
      </c>
      <c r="AB2929" s="31" t="s">
        <v>11501</v>
      </c>
      <c r="AC2929" s="31"/>
    </row>
    <row r="2930" ht="18.75" customHeight="1">
      <c r="A2930" s="18" t="s">
        <v>11502</v>
      </c>
      <c r="B2930" s="19" t="s">
        <v>115</v>
      </c>
      <c r="C2930" s="20">
        <v>0.0</v>
      </c>
      <c r="D2930" s="165" t="s">
        <v>6028</v>
      </c>
      <c r="E2930" s="22" t="s">
        <v>11503</v>
      </c>
      <c r="F2930" s="32" t="s">
        <v>11504</v>
      </c>
      <c r="G2930" s="18" t="s">
        <v>35</v>
      </c>
      <c r="H2930" s="40" t="s">
        <v>35</v>
      </c>
      <c r="I2930" s="37" t="s">
        <v>36</v>
      </c>
      <c r="J2930" s="25" t="s">
        <v>92</v>
      </c>
      <c r="K2930" s="26" t="s">
        <v>38</v>
      </c>
      <c r="L2930" s="25">
        <v>12001.0</v>
      </c>
      <c r="M2930" s="62" t="s">
        <v>50</v>
      </c>
      <c r="N2930" s="42" t="s">
        <v>118</v>
      </c>
      <c r="O2930" s="63">
        <v>45614.6875</v>
      </c>
      <c r="P2930" s="26" t="s">
        <v>11500</v>
      </c>
      <c r="Q2930" s="11" t="s">
        <v>67</v>
      </c>
      <c r="R2930" s="11" t="s">
        <v>67</v>
      </c>
      <c r="S2930" s="11" t="s">
        <v>50</v>
      </c>
      <c r="T2930" s="29">
        <v>45610.59556677083</v>
      </c>
      <c r="U2930" s="29">
        <v>45610.618493773145</v>
      </c>
      <c r="V2930" s="29">
        <v>45615.362552280094</v>
      </c>
      <c r="W2930" s="38"/>
      <c r="X2930" s="30"/>
      <c r="Y2930" s="31"/>
      <c r="Z2930" s="31"/>
      <c r="AA2930" s="31" t="s">
        <v>120</v>
      </c>
      <c r="AB2930" s="31" t="s">
        <v>11505</v>
      </c>
      <c r="AC2930" s="31"/>
    </row>
    <row r="2931" ht="18.75" customHeight="1">
      <c r="A2931" s="151" t="s">
        <v>11506</v>
      </c>
      <c r="B2931" s="19" t="s">
        <v>11507</v>
      </c>
      <c r="C2931" s="20">
        <v>137.0</v>
      </c>
      <c r="D2931" s="61" t="s">
        <v>11508</v>
      </c>
      <c r="E2931" s="27" t="s">
        <v>85</v>
      </c>
      <c r="F2931" s="18" t="s">
        <v>48</v>
      </c>
      <c r="G2931" s="18" t="s">
        <v>35</v>
      </c>
      <c r="H2931" s="40" t="s">
        <v>35</v>
      </c>
      <c r="I2931" s="24" t="s">
        <v>36</v>
      </c>
      <c r="J2931" s="25" t="s">
        <v>49</v>
      </c>
      <c r="K2931" s="26" t="s">
        <v>38</v>
      </c>
      <c r="L2931" s="64" t="s">
        <v>11509</v>
      </c>
      <c r="M2931" s="22" t="s">
        <v>50</v>
      </c>
      <c r="N2931" s="65" t="s">
        <v>125</v>
      </c>
      <c r="O2931" s="28">
        <v>45645.73094907407</v>
      </c>
      <c r="P2931" s="26" t="s">
        <v>11510</v>
      </c>
      <c r="Q2931" s="11" t="s">
        <v>67</v>
      </c>
      <c r="R2931" s="11" t="s">
        <v>67</v>
      </c>
      <c r="S2931" s="11" t="s">
        <v>73</v>
      </c>
      <c r="T2931" s="29">
        <v>45610.61333930556</v>
      </c>
      <c r="U2931" s="29">
        <v>45610.70095442129</v>
      </c>
      <c r="V2931" s="29">
        <v>45643.75370994213</v>
      </c>
      <c r="W2931" s="11"/>
      <c r="X2931" s="30"/>
      <c r="Y2931" s="66">
        <v>-12032.0</v>
      </c>
      <c r="Z2931" s="31"/>
      <c r="AA2931" s="31" t="s">
        <v>102</v>
      </c>
      <c r="AB2931" s="31" t="s">
        <v>11511</v>
      </c>
      <c r="AC2931" s="31"/>
    </row>
    <row r="2932" ht="18.75" customHeight="1">
      <c r="A2932" s="142" t="s">
        <v>11512</v>
      </c>
      <c r="B2932" s="19" t="s">
        <v>11376</v>
      </c>
      <c r="C2932" s="20">
        <v>27.0</v>
      </c>
      <c r="D2932" s="39" t="s">
        <v>11513</v>
      </c>
      <c r="E2932" s="27" t="s">
        <v>72</v>
      </c>
      <c r="F2932" s="18" t="s">
        <v>48</v>
      </c>
      <c r="G2932" s="18" t="s">
        <v>35</v>
      </c>
      <c r="H2932" s="40" t="s">
        <v>35</v>
      </c>
      <c r="I2932" s="37" t="s">
        <v>36</v>
      </c>
      <c r="J2932" s="25" t="s">
        <v>9338</v>
      </c>
      <c r="K2932" s="26" t="s">
        <v>38</v>
      </c>
      <c r="L2932" s="25">
        <v>11998.0</v>
      </c>
      <c r="M2932" s="62" t="s">
        <v>50</v>
      </c>
      <c r="N2932" s="42" t="s">
        <v>11431</v>
      </c>
      <c r="O2932" s="63">
        <v>45615.700794351855</v>
      </c>
      <c r="P2932" s="26" t="s">
        <v>11514</v>
      </c>
      <c r="Q2932" s="11" t="s">
        <v>67</v>
      </c>
      <c r="R2932" s="11" t="s">
        <v>67</v>
      </c>
      <c r="S2932" s="11" t="s">
        <v>50</v>
      </c>
      <c r="T2932" s="29">
        <v>45610.61476846065</v>
      </c>
      <c r="U2932" s="29">
        <v>45610.700488055554</v>
      </c>
      <c r="V2932" s="29">
        <v>45614.369611331014</v>
      </c>
      <c r="W2932" s="38"/>
      <c r="X2932" s="30"/>
      <c r="Y2932" s="31"/>
      <c r="Z2932" s="31"/>
      <c r="AA2932" s="31" t="s">
        <v>3059</v>
      </c>
      <c r="AB2932" s="31" t="s">
        <v>11515</v>
      </c>
      <c r="AC2932" s="31"/>
    </row>
    <row r="2933" ht="18.75" customHeight="1">
      <c r="A2933" s="151" t="s">
        <v>11516</v>
      </c>
      <c r="B2933" s="19" t="s">
        <v>4352</v>
      </c>
      <c r="C2933" s="20">
        <v>137.0</v>
      </c>
      <c r="D2933" s="21" t="s">
        <v>11517</v>
      </c>
      <c r="E2933" s="27" t="s">
        <v>85</v>
      </c>
      <c r="F2933" s="18" t="s">
        <v>48</v>
      </c>
      <c r="G2933" s="18" t="s">
        <v>35</v>
      </c>
      <c r="H2933" s="40" t="s">
        <v>35</v>
      </c>
      <c r="I2933" s="37" t="s">
        <v>36</v>
      </c>
      <c r="J2933" s="25" t="s">
        <v>49</v>
      </c>
      <c r="K2933" s="26" t="s">
        <v>38</v>
      </c>
      <c r="L2933" s="25">
        <v>12350.0</v>
      </c>
      <c r="M2933" s="27" t="s">
        <v>50</v>
      </c>
      <c r="N2933" s="26" t="s">
        <v>9953</v>
      </c>
      <c r="O2933" s="28">
        <v>45659.0</v>
      </c>
      <c r="P2933" s="26" t="s">
        <v>11518</v>
      </c>
      <c r="Q2933" s="11" t="s">
        <v>67</v>
      </c>
      <c r="R2933" s="11" t="s">
        <v>67</v>
      </c>
      <c r="S2933" s="11" t="s">
        <v>50</v>
      </c>
      <c r="T2933" s="29">
        <v>45614.36165427083</v>
      </c>
      <c r="U2933" s="29">
        <v>45614.42784966435</v>
      </c>
      <c r="V2933" s="29">
        <v>45652.48508296296</v>
      </c>
      <c r="W2933" s="11"/>
      <c r="X2933" s="30"/>
      <c r="Y2933" s="31"/>
      <c r="Z2933" s="31"/>
      <c r="AA2933" s="31" t="s">
        <v>127</v>
      </c>
      <c r="AB2933" s="31" t="s">
        <v>11519</v>
      </c>
      <c r="AC2933" s="31"/>
    </row>
    <row r="2934" ht="18.75" customHeight="1">
      <c r="A2934" s="151" t="s">
        <v>11520</v>
      </c>
      <c r="B2934" s="19" t="s">
        <v>4352</v>
      </c>
      <c r="C2934" s="20">
        <v>90.0</v>
      </c>
      <c r="D2934" s="21" t="s">
        <v>11521</v>
      </c>
      <c r="E2934" s="27" t="s">
        <v>91</v>
      </c>
      <c r="F2934" s="18" t="s">
        <v>48</v>
      </c>
      <c r="G2934" s="18" t="s">
        <v>35</v>
      </c>
      <c r="H2934" s="40" t="s">
        <v>35</v>
      </c>
      <c r="I2934" s="37" t="s">
        <v>36</v>
      </c>
      <c r="J2934" s="25" t="s">
        <v>49</v>
      </c>
      <c r="K2934" s="26" t="s">
        <v>38</v>
      </c>
      <c r="L2934" s="25">
        <v>12351.0</v>
      </c>
      <c r="M2934" s="27" t="s">
        <v>50</v>
      </c>
      <c r="N2934" s="26" t="s">
        <v>9953</v>
      </c>
      <c r="O2934" s="28">
        <v>45659.0</v>
      </c>
      <c r="P2934" s="26" t="s">
        <v>11522</v>
      </c>
      <c r="Q2934" s="11" t="s">
        <v>67</v>
      </c>
      <c r="R2934" s="11" t="s">
        <v>67</v>
      </c>
      <c r="S2934" s="11" t="s">
        <v>50</v>
      </c>
      <c r="T2934" s="29">
        <v>45614.36276959491</v>
      </c>
      <c r="U2934" s="29">
        <v>45614.42761831019</v>
      </c>
      <c r="V2934" s="29">
        <v>45652.485203414355</v>
      </c>
      <c r="W2934" s="11"/>
      <c r="X2934" s="30"/>
      <c r="Y2934" s="31"/>
      <c r="Z2934" s="31"/>
      <c r="AA2934" s="31" t="s">
        <v>127</v>
      </c>
      <c r="AB2934" s="31" t="s">
        <v>11523</v>
      </c>
      <c r="AC2934" s="31"/>
    </row>
    <row r="2935" ht="18.75" customHeight="1">
      <c r="A2935" s="142" t="s">
        <v>11524</v>
      </c>
      <c r="B2935" s="19" t="s">
        <v>4313</v>
      </c>
      <c r="C2935" s="20">
        <v>27.0</v>
      </c>
      <c r="D2935" s="39" t="s">
        <v>11525</v>
      </c>
      <c r="E2935" s="27" t="s">
        <v>72</v>
      </c>
      <c r="F2935" s="18" t="s">
        <v>48</v>
      </c>
      <c r="G2935" s="18" t="s">
        <v>35</v>
      </c>
      <c r="H2935" s="40" t="s">
        <v>35</v>
      </c>
      <c r="I2935" s="37" t="s">
        <v>36</v>
      </c>
      <c r="J2935" s="25" t="s">
        <v>92</v>
      </c>
      <c r="K2935" s="26" t="s">
        <v>38</v>
      </c>
      <c r="L2935" s="25">
        <v>12016.0</v>
      </c>
      <c r="M2935" s="62" t="s">
        <v>50</v>
      </c>
      <c r="N2935" s="42" t="s">
        <v>118</v>
      </c>
      <c r="O2935" s="63">
        <v>45621.71758778935</v>
      </c>
      <c r="P2935" s="26" t="s">
        <v>11526</v>
      </c>
      <c r="Q2935" s="11" t="s">
        <v>67</v>
      </c>
      <c r="R2935" s="11" t="s">
        <v>67</v>
      </c>
      <c r="S2935" s="11" t="s">
        <v>50</v>
      </c>
      <c r="T2935" s="29">
        <v>45614.36394427084</v>
      </c>
      <c r="U2935" s="29">
        <v>45614.6013452662</v>
      </c>
      <c r="V2935" s="29">
        <v>45616.56571116898</v>
      </c>
      <c r="W2935" s="38"/>
      <c r="X2935" s="30"/>
      <c r="Y2935" s="31"/>
      <c r="Z2935" s="31"/>
      <c r="AA2935" s="31" t="s">
        <v>120</v>
      </c>
      <c r="AB2935" s="31" t="s">
        <v>11527</v>
      </c>
      <c r="AC2935" s="31"/>
    </row>
    <row r="2936" ht="18.75" customHeight="1">
      <c r="A2936" s="151" t="s">
        <v>11528</v>
      </c>
      <c r="B2936" s="19" t="s">
        <v>911</v>
      </c>
      <c r="C2936" s="20">
        <v>1.0</v>
      </c>
      <c r="D2936" s="61" t="s">
        <v>11529</v>
      </c>
      <c r="E2936" s="27" t="s">
        <v>3395</v>
      </c>
      <c r="F2936" s="18" t="s">
        <v>48</v>
      </c>
      <c r="G2936" s="18" t="s">
        <v>35</v>
      </c>
      <c r="H2936" s="40" t="s">
        <v>35</v>
      </c>
      <c r="I2936" s="37" t="s">
        <v>36</v>
      </c>
      <c r="J2936" s="25" t="s">
        <v>49</v>
      </c>
      <c r="K2936" s="26" t="s">
        <v>38</v>
      </c>
      <c r="L2936" s="25">
        <v>12224.0</v>
      </c>
      <c r="M2936" s="27" t="s">
        <v>50</v>
      </c>
      <c r="N2936" s="26" t="s">
        <v>9953</v>
      </c>
      <c r="O2936" s="63">
        <v>45659.577007326385</v>
      </c>
      <c r="P2936" s="26" t="s">
        <v>11530</v>
      </c>
      <c r="Q2936" s="11" t="s">
        <v>67</v>
      </c>
      <c r="R2936" s="11" t="s">
        <v>67</v>
      </c>
      <c r="S2936" s="11" t="s">
        <v>73</v>
      </c>
      <c r="T2936" s="29">
        <v>45615.467853090275</v>
      </c>
      <c r="U2936" s="29">
        <v>45615.46786942129</v>
      </c>
      <c r="V2936" s="29">
        <v>45643.753729386575</v>
      </c>
      <c r="W2936" s="11"/>
      <c r="X2936" s="30"/>
      <c r="Y2936" s="66">
        <v>-12011.0</v>
      </c>
      <c r="Z2936" s="31"/>
      <c r="AA2936" s="31" t="s">
        <v>3053</v>
      </c>
      <c r="AB2936" s="31" t="s">
        <v>11531</v>
      </c>
      <c r="AC2936" s="31"/>
    </row>
    <row r="2937" ht="18.75" customHeight="1">
      <c r="A2937" s="142" t="s">
        <v>11532</v>
      </c>
      <c r="B2937" s="19" t="s">
        <v>5650</v>
      </c>
      <c r="C2937" s="20">
        <v>11.0</v>
      </c>
      <c r="D2937" s="61" t="s">
        <v>11533</v>
      </c>
      <c r="E2937" s="27" t="s">
        <v>112</v>
      </c>
      <c r="F2937" s="18" t="s">
        <v>48</v>
      </c>
      <c r="G2937" s="18" t="s">
        <v>35</v>
      </c>
      <c r="H2937" s="40" t="s">
        <v>35</v>
      </c>
      <c r="I2937" s="37" t="s">
        <v>36</v>
      </c>
      <c r="J2937" s="25" t="s">
        <v>49</v>
      </c>
      <c r="K2937" s="26" t="s">
        <v>38</v>
      </c>
      <c r="L2937" s="25">
        <v>12053.0</v>
      </c>
      <c r="M2937" s="62" t="s">
        <v>50</v>
      </c>
      <c r="N2937" s="42" t="s">
        <v>99</v>
      </c>
      <c r="O2937" s="63">
        <v>45618.61317679398</v>
      </c>
      <c r="P2937" s="26" t="s">
        <v>11534</v>
      </c>
      <c r="Q2937" s="11" t="s">
        <v>67</v>
      </c>
      <c r="R2937" s="11" t="s">
        <v>67</v>
      </c>
      <c r="S2937" s="11" t="s">
        <v>50</v>
      </c>
      <c r="T2937" s="29">
        <v>45614.411371689814</v>
      </c>
      <c r="U2937" s="29">
        <v>45618.42578696759</v>
      </c>
      <c r="V2937" s="29">
        <v>45618.561641747685</v>
      </c>
      <c r="W2937" s="38"/>
      <c r="X2937" s="30"/>
      <c r="Y2937" s="31"/>
      <c r="Z2937" s="31"/>
      <c r="AA2937" s="31" t="s">
        <v>102</v>
      </c>
      <c r="AB2937" s="31" t="s">
        <v>11535</v>
      </c>
      <c r="AC2937" s="31"/>
    </row>
    <row r="2938" ht="18.75" customHeight="1">
      <c r="A2938" s="32" t="s">
        <v>11536</v>
      </c>
      <c r="B2938" s="19" t="s">
        <v>3674</v>
      </c>
      <c r="C2938" s="20">
        <v>0.0</v>
      </c>
      <c r="D2938" s="61" t="s">
        <v>11537</v>
      </c>
      <c r="E2938" s="27" t="s">
        <v>3441</v>
      </c>
      <c r="F2938" s="18" t="s">
        <v>48</v>
      </c>
      <c r="G2938" s="18" t="s">
        <v>35</v>
      </c>
      <c r="H2938" s="40" t="s">
        <v>35</v>
      </c>
      <c r="I2938" s="37" t="s">
        <v>36</v>
      </c>
      <c r="J2938" s="34" t="s">
        <v>92</v>
      </c>
      <c r="K2938" s="26" t="s">
        <v>38</v>
      </c>
      <c r="L2938" s="163">
        <v>12309.0</v>
      </c>
      <c r="M2938" s="62" t="s">
        <v>50</v>
      </c>
      <c r="N2938" s="26" t="s">
        <v>11189</v>
      </c>
      <c r="O2938" s="63">
        <v>45660.447222222225</v>
      </c>
      <c r="P2938" s="26" t="s">
        <v>11538</v>
      </c>
      <c r="Q2938" s="11" t="s">
        <v>67</v>
      </c>
      <c r="R2938" s="11" t="s">
        <v>67</v>
      </c>
      <c r="S2938" s="11" t="s">
        <v>9620</v>
      </c>
      <c r="T2938" s="29">
        <v>45614.41261770834</v>
      </c>
      <c r="U2938" s="29">
        <v>45614.68305847222</v>
      </c>
      <c r="V2938" s="29">
        <v>45645.694111793986</v>
      </c>
      <c r="W2938" s="11"/>
      <c r="X2938" s="30"/>
      <c r="Y2938" s="66">
        <v>-12004.0</v>
      </c>
      <c r="Z2938" s="78"/>
      <c r="AA2938" s="31" t="s">
        <v>94</v>
      </c>
      <c r="AB2938" s="31" t="s">
        <v>11539</v>
      </c>
      <c r="AC2938" s="31"/>
    </row>
    <row r="2939" ht="18.75" customHeight="1">
      <c r="A2939" s="32" t="s">
        <v>11540</v>
      </c>
      <c r="B2939" s="19" t="s">
        <v>3674</v>
      </c>
      <c r="C2939" s="20">
        <v>0.0</v>
      </c>
      <c r="D2939" s="61" t="s">
        <v>11541</v>
      </c>
      <c r="E2939" s="27" t="s">
        <v>3441</v>
      </c>
      <c r="F2939" s="18" t="s">
        <v>48</v>
      </c>
      <c r="G2939" s="18" t="s">
        <v>35</v>
      </c>
      <c r="H2939" s="40" t="s">
        <v>35</v>
      </c>
      <c r="I2939" s="37" t="s">
        <v>36</v>
      </c>
      <c r="J2939" s="34" t="s">
        <v>92</v>
      </c>
      <c r="K2939" s="26" t="s">
        <v>38</v>
      </c>
      <c r="L2939" s="163">
        <v>12309.0</v>
      </c>
      <c r="M2939" s="62" t="s">
        <v>50</v>
      </c>
      <c r="N2939" s="26" t="s">
        <v>11189</v>
      </c>
      <c r="O2939" s="63">
        <v>45660.45089886574</v>
      </c>
      <c r="P2939" s="26" t="s">
        <v>11538</v>
      </c>
      <c r="Q2939" s="11" t="s">
        <v>67</v>
      </c>
      <c r="R2939" s="11" t="s">
        <v>67</v>
      </c>
      <c r="S2939" s="11" t="s">
        <v>9620</v>
      </c>
      <c r="T2939" s="29">
        <v>45614.41275981482</v>
      </c>
      <c r="U2939" s="29">
        <v>45614.68315981481</v>
      </c>
      <c r="V2939" s="29">
        <v>45645.69422052083</v>
      </c>
      <c r="W2939" s="11"/>
      <c r="X2939" s="30"/>
      <c r="Y2939" s="66">
        <v>-12004.0</v>
      </c>
      <c r="Z2939" s="78"/>
      <c r="AA2939" s="31" t="s">
        <v>94</v>
      </c>
      <c r="AB2939" s="31" t="s">
        <v>11542</v>
      </c>
      <c r="AC2939" s="31"/>
    </row>
    <row r="2940" ht="18.75" customHeight="1">
      <c r="A2940" s="32" t="s">
        <v>11543</v>
      </c>
      <c r="B2940" s="19" t="s">
        <v>3674</v>
      </c>
      <c r="C2940" s="20">
        <v>0.0</v>
      </c>
      <c r="D2940" s="61" t="s">
        <v>11544</v>
      </c>
      <c r="E2940" s="27" t="s">
        <v>3441</v>
      </c>
      <c r="F2940" s="18" t="s">
        <v>48</v>
      </c>
      <c r="G2940" s="18" t="s">
        <v>35</v>
      </c>
      <c r="H2940" s="40" t="s">
        <v>35</v>
      </c>
      <c r="I2940" s="37" t="s">
        <v>36</v>
      </c>
      <c r="J2940" s="34" t="s">
        <v>92</v>
      </c>
      <c r="K2940" s="26" t="s">
        <v>38</v>
      </c>
      <c r="L2940" s="163">
        <v>12309.0</v>
      </c>
      <c r="M2940" s="62" t="s">
        <v>50</v>
      </c>
      <c r="N2940" s="26" t="s">
        <v>11189</v>
      </c>
      <c r="O2940" s="63">
        <v>45660.451038935185</v>
      </c>
      <c r="P2940" s="26" t="s">
        <v>11538</v>
      </c>
      <c r="Q2940" s="11" t="s">
        <v>67</v>
      </c>
      <c r="R2940" s="11" t="s">
        <v>67</v>
      </c>
      <c r="S2940" s="11" t="s">
        <v>9620</v>
      </c>
      <c r="T2940" s="29">
        <v>45614.412819386576</v>
      </c>
      <c r="U2940" s="29">
        <v>45614.68317010417</v>
      </c>
      <c r="V2940" s="29">
        <v>45645.694302488424</v>
      </c>
      <c r="W2940" s="11"/>
      <c r="X2940" s="30"/>
      <c r="Y2940" s="66">
        <v>-12004.0</v>
      </c>
      <c r="Z2940" s="78"/>
      <c r="AA2940" s="31" t="s">
        <v>94</v>
      </c>
      <c r="AB2940" s="31" t="s">
        <v>11545</v>
      </c>
      <c r="AC2940" s="31"/>
    </row>
    <row r="2941" ht="18.75" customHeight="1">
      <c r="A2941" s="32" t="s">
        <v>11546</v>
      </c>
      <c r="B2941" s="19" t="s">
        <v>3674</v>
      </c>
      <c r="C2941" s="20">
        <v>0.0</v>
      </c>
      <c r="D2941" s="61" t="s">
        <v>11547</v>
      </c>
      <c r="E2941" s="27" t="s">
        <v>3441</v>
      </c>
      <c r="F2941" s="18" t="s">
        <v>48</v>
      </c>
      <c r="G2941" s="18" t="s">
        <v>35</v>
      </c>
      <c r="H2941" s="40" t="s">
        <v>35</v>
      </c>
      <c r="I2941" s="37" t="s">
        <v>36</v>
      </c>
      <c r="J2941" s="34" t="s">
        <v>92</v>
      </c>
      <c r="K2941" s="26" t="s">
        <v>38</v>
      </c>
      <c r="L2941" s="163">
        <v>12309.0</v>
      </c>
      <c r="M2941" s="62" t="s">
        <v>50</v>
      </c>
      <c r="N2941" s="26" t="s">
        <v>11189</v>
      </c>
      <c r="O2941" s="63">
        <v>45660.451222488424</v>
      </c>
      <c r="P2941" s="26" t="s">
        <v>11538</v>
      </c>
      <c r="Q2941" s="11" t="s">
        <v>67</v>
      </c>
      <c r="R2941" s="11" t="s">
        <v>67</v>
      </c>
      <c r="S2941" s="11" t="s">
        <v>9620</v>
      </c>
      <c r="T2941" s="29">
        <v>45614.41288076389</v>
      </c>
      <c r="U2941" s="29">
        <v>45614.683176770835</v>
      </c>
      <c r="V2941" s="29">
        <v>45645.69440079861</v>
      </c>
      <c r="W2941" s="11"/>
      <c r="X2941" s="30"/>
      <c r="Y2941" s="66">
        <v>-12004.0</v>
      </c>
      <c r="Z2941" s="78"/>
      <c r="AA2941" s="31" t="s">
        <v>94</v>
      </c>
      <c r="AB2941" s="31" t="s">
        <v>11548</v>
      </c>
      <c r="AC2941" s="31"/>
    </row>
    <row r="2942" ht="18.75" customHeight="1">
      <c r="A2942" s="18" t="s">
        <v>11549</v>
      </c>
      <c r="B2942" s="19" t="s">
        <v>3674</v>
      </c>
      <c r="C2942" s="20">
        <v>27.0</v>
      </c>
      <c r="D2942" s="39" t="s">
        <v>11550</v>
      </c>
      <c r="E2942" s="27" t="s">
        <v>72</v>
      </c>
      <c r="F2942" s="18" t="s">
        <v>48</v>
      </c>
      <c r="G2942" s="18" t="s">
        <v>35</v>
      </c>
      <c r="H2942" s="40" t="s">
        <v>35</v>
      </c>
      <c r="I2942" s="37" t="s">
        <v>36</v>
      </c>
      <c r="J2942" s="34" t="s">
        <v>65</v>
      </c>
      <c r="K2942" s="26" t="s">
        <v>38</v>
      </c>
      <c r="L2942" s="25">
        <v>12023.0</v>
      </c>
      <c r="M2942" s="62" t="s">
        <v>50</v>
      </c>
      <c r="N2942" s="42" t="s">
        <v>11189</v>
      </c>
      <c r="O2942" s="63">
        <v>45618.706799618056</v>
      </c>
      <c r="P2942" s="26" t="s">
        <v>11538</v>
      </c>
      <c r="Q2942" s="11" t="s">
        <v>67</v>
      </c>
      <c r="R2942" s="11" t="s">
        <v>67</v>
      </c>
      <c r="S2942" s="11" t="s">
        <v>50</v>
      </c>
      <c r="T2942" s="29">
        <v>45614.41306922454</v>
      </c>
      <c r="U2942" s="29">
        <v>45614.68315185185</v>
      </c>
      <c r="V2942" s="29">
        <v>45616.56635195602</v>
      </c>
      <c r="W2942" s="38"/>
      <c r="X2942" s="30"/>
      <c r="Y2942" s="31"/>
      <c r="Z2942" s="31"/>
      <c r="AA2942" s="31" t="s">
        <v>94</v>
      </c>
      <c r="AB2942" s="31" t="s">
        <v>11551</v>
      </c>
      <c r="AC2942" s="31"/>
    </row>
    <row r="2943" ht="18.75" customHeight="1">
      <c r="A2943" s="18" t="s">
        <v>11552</v>
      </c>
      <c r="B2943" s="19" t="s">
        <v>3674</v>
      </c>
      <c r="C2943" s="20">
        <v>27.0</v>
      </c>
      <c r="D2943" s="39" t="s">
        <v>11553</v>
      </c>
      <c r="E2943" s="27" t="s">
        <v>72</v>
      </c>
      <c r="F2943" s="18" t="s">
        <v>48</v>
      </c>
      <c r="G2943" s="18" t="s">
        <v>35</v>
      </c>
      <c r="H2943" s="40" t="s">
        <v>35</v>
      </c>
      <c r="I2943" s="37" t="s">
        <v>36</v>
      </c>
      <c r="J2943" s="34" t="s">
        <v>65</v>
      </c>
      <c r="K2943" s="26" t="s">
        <v>38</v>
      </c>
      <c r="L2943" s="25">
        <v>12023.0</v>
      </c>
      <c r="M2943" s="62" t="s">
        <v>50</v>
      </c>
      <c r="N2943" s="42" t="s">
        <v>11189</v>
      </c>
      <c r="O2943" s="63">
        <v>45618.70685918981</v>
      </c>
      <c r="P2943" s="26" t="s">
        <v>11538</v>
      </c>
      <c r="Q2943" s="11" t="s">
        <v>67</v>
      </c>
      <c r="R2943" s="11" t="s">
        <v>67</v>
      </c>
      <c r="S2943" s="11" t="s">
        <v>50</v>
      </c>
      <c r="T2943" s="29">
        <v>45614.41320711805</v>
      </c>
      <c r="U2943" s="29">
        <v>45614.683183518515</v>
      </c>
      <c r="V2943" s="29">
        <v>45616.566360578705</v>
      </c>
      <c r="W2943" s="38"/>
      <c r="X2943" s="30"/>
      <c r="Y2943" s="31"/>
      <c r="Z2943" s="31"/>
      <c r="AA2943" s="31" t="s">
        <v>94</v>
      </c>
      <c r="AB2943" s="31" t="s">
        <v>11554</v>
      </c>
      <c r="AC2943" s="31"/>
    </row>
    <row r="2944" ht="18.75" customHeight="1">
      <c r="A2944" s="32" t="s">
        <v>11555</v>
      </c>
      <c r="B2944" s="19" t="s">
        <v>3674</v>
      </c>
      <c r="C2944" s="20">
        <v>1.0</v>
      </c>
      <c r="D2944" s="61" t="s">
        <v>11556</v>
      </c>
      <c r="E2944" s="27" t="s">
        <v>3395</v>
      </c>
      <c r="F2944" s="18" t="s">
        <v>48</v>
      </c>
      <c r="G2944" s="18" t="s">
        <v>35</v>
      </c>
      <c r="H2944" s="40" t="s">
        <v>35</v>
      </c>
      <c r="I2944" s="37" t="s">
        <v>36</v>
      </c>
      <c r="J2944" s="34" t="s">
        <v>92</v>
      </c>
      <c r="K2944" s="26" t="s">
        <v>38</v>
      </c>
      <c r="L2944" s="163">
        <v>12309.0</v>
      </c>
      <c r="M2944" s="62" t="s">
        <v>50</v>
      </c>
      <c r="N2944" s="26" t="s">
        <v>11189</v>
      </c>
      <c r="O2944" s="63">
        <v>45660.4520428588</v>
      </c>
      <c r="P2944" s="26" t="s">
        <v>11538</v>
      </c>
      <c r="Q2944" s="11" t="s">
        <v>67</v>
      </c>
      <c r="R2944" s="11" t="s">
        <v>67</v>
      </c>
      <c r="S2944" s="11" t="s">
        <v>9620</v>
      </c>
      <c r="T2944" s="29">
        <v>45614.41345561342</v>
      </c>
      <c r="U2944" s="29">
        <v>45614.68318849537</v>
      </c>
      <c r="V2944" s="29">
        <v>45645.69449978009</v>
      </c>
      <c r="W2944" s="11"/>
      <c r="X2944" s="30"/>
      <c r="Y2944" s="66">
        <v>-12004.0</v>
      </c>
      <c r="Z2944" s="78"/>
      <c r="AA2944" s="31" t="s">
        <v>94</v>
      </c>
      <c r="AB2944" s="31" t="s">
        <v>11557</v>
      </c>
      <c r="AC2944" s="31"/>
    </row>
    <row r="2945" ht="18.75" customHeight="1">
      <c r="A2945" s="32" t="s">
        <v>11558</v>
      </c>
      <c r="B2945" s="19" t="s">
        <v>3674</v>
      </c>
      <c r="C2945" s="20">
        <v>137.0</v>
      </c>
      <c r="D2945" s="61" t="s">
        <v>11559</v>
      </c>
      <c r="E2945" s="27" t="s">
        <v>85</v>
      </c>
      <c r="F2945" s="18" t="s">
        <v>48</v>
      </c>
      <c r="G2945" s="18" t="s">
        <v>35</v>
      </c>
      <c r="H2945" s="40" t="s">
        <v>35</v>
      </c>
      <c r="I2945" s="37" t="s">
        <v>36</v>
      </c>
      <c r="J2945" s="34" t="s">
        <v>92</v>
      </c>
      <c r="K2945" s="26" t="s">
        <v>38</v>
      </c>
      <c r="L2945" s="163">
        <v>12309.0</v>
      </c>
      <c r="M2945" s="62" t="s">
        <v>50</v>
      </c>
      <c r="N2945" s="26" t="s">
        <v>11189</v>
      </c>
      <c r="O2945" s="63">
        <v>45660.45154008102</v>
      </c>
      <c r="P2945" s="26" t="s">
        <v>11538</v>
      </c>
      <c r="Q2945" s="11" t="s">
        <v>67</v>
      </c>
      <c r="R2945" s="11" t="s">
        <v>67</v>
      </c>
      <c r="S2945" s="11" t="s">
        <v>9620</v>
      </c>
      <c r="T2945" s="29">
        <v>45614.41362810185</v>
      </c>
      <c r="U2945" s="29">
        <v>45614.6832027662</v>
      </c>
      <c r="V2945" s="29">
        <v>45645.694878842594</v>
      </c>
      <c r="W2945" s="11"/>
      <c r="X2945" s="30"/>
      <c r="Y2945" s="66">
        <v>-12004.0</v>
      </c>
      <c r="Z2945" s="78"/>
      <c r="AA2945" s="31" t="s">
        <v>94</v>
      </c>
      <c r="AB2945" s="31" t="s">
        <v>11560</v>
      </c>
      <c r="AC2945" s="31"/>
    </row>
    <row r="2946" ht="18.75" customHeight="1">
      <c r="A2946" s="32" t="s">
        <v>11561</v>
      </c>
      <c r="B2946" s="19" t="s">
        <v>3674</v>
      </c>
      <c r="C2946" s="20">
        <v>137.0</v>
      </c>
      <c r="D2946" s="61" t="s">
        <v>11562</v>
      </c>
      <c r="E2946" s="27" t="s">
        <v>85</v>
      </c>
      <c r="F2946" s="18" t="s">
        <v>48</v>
      </c>
      <c r="G2946" s="18" t="s">
        <v>35</v>
      </c>
      <c r="H2946" s="40" t="s">
        <v>35</v>
      </c>
      <c r="I2946" s="37" t="s">
        <v>36</v>
      </c>
      <c r="J2946" s="34" t="s">
        <v>92</v>
      </c>
      <c r="K2946" s="26" t="s">
        <v>38</v>
      </c>
      <c r="L2946" s="163">
        <v>12309.0</v>
      </c>
      <c r="M2946" s="62" t="s">
        <v>50</v>
      </c>
      <c r="N2946" s="26" t="s">
        <v>11189</v>
      </c>
      <c r="O2946" s="63">
        <v>45660.45168780093</v>
      </c>
      <c r="P2946" s="26" t="s">
        <v>11538</v>
      </c>
      <c r="Q2946" s="11" t="s">
        <v>67</v>
      </c>
      <c r="R2946" s="11" t="s">
        <v>67</v>
      </c>
      <c r="S2946" s="11" t="s">
        <v>9620</v>
      </c>
      <c r="T2946" s="29">
        <v>45614.41384299769</v>
      </c>
      <c r="U2946" s="29">
        <v>45614.68319287037</v>
      </c>
      <c r="V2946" s="29">
        <v>45645.69468936343</v>
      </c>
      <c r="W2946" s="11"/>
      <c r="X2946" s="30"/>
      <c r="Y2946" s="66">
        <v>-12004.0</v>
      </c>
      <c r="Z2946" s="78"/>
      <c r="AA2946" s="31" t="s">
        <v>94</v>
      </c>
      <c r="AB2946" s="31" t="s">
        <v>11563</v>
      </c>
      <c r="AC2946" s="31"/>
    </row>
    <row r="2947" ht="18.75" customHeight="1">
      <c r="A2947" s="32" t="s">
        <v>11564</v>
      </c>
      <c r="B2947" s="19" t="s">
        <v>3674</v>
      </c>
      <c r="C2947" s="20">
        <v>137.0</v>
      </c>
      <c r="D2947" s="61" t="s">
        <v>11565</v>
      </c>
      <c r="E2947" s="27" t="s">
        <v>85</v>
      </c>
      <c r="F2947" s="18" t="s">
        <v>48</v>
      </c>
      <c r="G2947" s="18" t="s">
        <v>35</v>
      </c>
      <c r="H2947" s="40" t="s">
        <v>35</v>
      </c>
      <c r="I2947" s="37" t="s">
        <v>36</v>
      </c>
      <c r="J2947" s="34" t="s">
        <v>92</v>
      </c>
      <c r="K2947" s="26" t="s">
        <v>38</v>
      </c>
      <c r="L2947" s="163">
        <v>12309.0</v>
      </c>
      <c r="M2947" s="62" t="s">
        <v>50</v>
      </c>
      <c r="N2947" s="26" t="s">
        <v>11189</v>
      </c>
      <c r="O2947" s="63">
        <v>45660.45184138889</v>
      </c>
      <c r="P2947" s="26" t="s">
        <v>11538</v>
      </c>
      <c r="Q2947" s="11" t="s">
        <v>67</v>
      </c>
      <c r="R2947" s="11" t="s">
        <v>67</v>
      </c>
      <c r="S2947" s="11" t="s">
        <v>9620</v>
      </c>
      <c r="T2947" s="29">
        <v>45614.413895185186</v>
      </c>
      <c r="U2947" s="29">
        <v>45614.68319787037</v>
      </c>
      <c r="V2947" s="29">
        <v>45645.69478261574</v>
      </c>
      <c r="W2947" s="11"/>
      <c r="X2947" s="30"/>
      <c r="Y2947" s="66">
        <v>-12004.0</v>
      </c>
      <c r="Z2947" s="78"/>
      <c r="AA2947" s="31" t="s">
        <v>94</v>
      </c>
      <c r="AB2947" s="31" t="s">
        <v>11566</v>
      </c>
      <c r="AC2947" s="31"/>
    </row>
    <row r="2948" ht="18.75" customHeight="1">
      <c r="A2948" s="32" t="s">
        <v>11567</v>
      </c>
      <c r="B2948" s="19" t="s">
        <v>3674</v>
      </c>
      <c r="C2948" s="20">
        <v>90.0</v>
      </c>
      <c r="D2948" s="61" t="s">
        <v>11568</v>
      </c>
      <c r="E2948" s="27" t="s">
        <v>91</v>
      </c>
      <c r="F2948" s="18" t="s">
        <v>48</v>
      </c>
      <c r="G2948" s="18" t="s">
        <v>35</v>
      </c>
      <c r="H2948" s="40" t="s">
        <v>35</v>
      </c>
      <c r="I2948" s="37" t="s">
        <v>36</v>
      </c>
      <c r="J2948" s="34" t="s">
        <v>92</v>
      </c>
      <c r="K2948" s="26" t="s">
        <v>38</v>
      </c>
      <c r="L2948" s="163">
        <v>12309.0</v>
      </c>
      <c r="M2948" s="62" t="s">
        <v>50</v>
      </c>
      <c r="N2948" s="26" t="s">
        <v>11189</v>
      </c>
      <c r="O2948" s="63">
        <v>45660.45255864583</v>
      </c>
      <c r="P2948" s="26" t="s">
        <v>11538</v>
      </c>
      <c r="Q2948" s="11" t="s">
        <v>67</v>
      </c>
      <c r="R2948" s="11" t="s">
        <v>67</v>
      </c>
      <c r="S2948" s="11" t="s">
        <v>9620</v>
      </c>
      <c r="T2948" s="29">
        <v>45614.41406664352</v>
      </c>
      <c r="U2948" s="29">
        <v>45614.68323047453</v>
      </c>
      <c r="V2948" s="29">
        <v>45645.69540991898</v>
      </c>
      <c r="W2948" s="11"/>
      <c r="X2948" s="30"/>
      <c r="Y2948" s="66">
        <v>-12004.0</v>
      </c>
      <c r="Z2948" s="78"/>
      <c r="AA2948" s="31" t="s">
        <v>94</v>
      </c>
      <c r="AB2948" s="31" t="s">
        <v>11569</v>
      </c>
      <c r="AC2948" s="31"/>
    </row>
    <row r="2949" ht="18.75" customHeight="1">
      <c r="A2949" s="32" t="s">
        <v>11570</v>
      </c>
      <c r="B2949" s="19" t="s">
        <v>3674</v>
      </c>
      <c r="C2949" s="20">
        <v>90.0</v>
      </c>
      <c r="D2949" s="61" t="s">
        <v>11571</v>
      </c>
      <c r="E2949" s="27" t="s">
        <v>91</v>
      </c>
      <c r="F2949" s="18" t="s">
        <v>48</v>
      </c>
      <c r="G2949" s="18" t="s">
        <v>35</v>
      </c>
      <c r="H2949" s="40" t="s">
        <v>35</v>
      </c>
      <c r="I2949" s="37" t="s">
        <v>36</v>
      </c>
      <c r="J2949" s="34" t="s">
        <v>92</v>
      </c>
      <c r="K2949" s="26" t="s">
        <v>38</v>
      </c>
      <c r="L2949" s="163">
        <v>12309.0</v>
      </c>
      <c r="M2949" s="62" t="s">
        <v>50</v>
      </c>
      <c r="N2949" s="26" t="s">
        <v>11189</v>
      </c>
      <c r="O2949" s="63">
        <v>45660.45241680555</v>
      </c>
      <c r="P2949" s="26" t="s">
        <v>11538</v>
      </c>
      <c r="Q2949" s="11" t="s">
        <v>67</v>
      </c>
      <c r="R2949" s="11" t="s">
        <v>67</v>
      </c>
      <c r="S2949" s="11" t="s">
        <v>9620</v>
      </c>
      <c r="T2949" s="29">
        <v>45614.41418251157</v>
      </c>
      <c r="U2949" s="29">
        <v>45614.68321707176</v>
      </c>
      <c r="V2949" s="29">
        <v>45645.69533209491</v>
      </c>
      <c r="W2949" s="11"/>
      <c r="X2949" s="30"/>
      <c r="Y2949" s="66">
        <v>-12004.0</v>
      </c>
      <c r="Z2949" s="78"/>
      <c r="AA2949" s="31" t="s">
        <v>94</v>
      </c>
      <c r="AB2949" s="31" t="s">
        <v>11572</v>
      </c>
      <c r="AC2949" s="31"/>
    </row>
    <row r="2950" ht="18.75" customHeight="1">
      <c r="A2950" s="32" t="s">
        <v>11573</v>
      </c>
      <c r="B2950" s="19" t="s">
        <v>3674</v>
      </c>
      <c r="C2950" s="20">
        <v>90.0</v>
      </c>
      <c r="D2950" s="61" t="s">
        <v>11574</v>
      </c>
      <c r="E2950" s="27" t="s">
        <v>91</v>
      </c>
      <c r="F2950" s="18" t="s">
        <v>48</v>
      </c>
      <c r="G2950" s="18" t="s">
        <v>35</v>
      </c>
      <c r="H2950" s="40" t="s">
        <v>35</v>
      </c>
      <c r="I2950" s="37" t="s">
        <v>36</v>
      </c>
      <c r="J2950" s="34" t="s">
        <v>92</v>
      </c>
      <c r="K2950" s="26" t="s">
        <v>38</v>
      </c>
      <c r="L2950" s="163">
        <v>12309.0</v>
      </c>
      <c r="M2950" s="62" t="s">
        <v>50</v>
      </c>
      <c r="N2950" s="26" t="s">
        <v>11189</v>
      </c>
      <c r="O2950" s="63">
        <v>45660.45229768519</v>
      </c>
      <c r="P2950" s="26" t="s">
        <v>11538</v>
      </c>
      <c r="Q2950" s="11" t="s">
        <v>67</v>
      </c>
      <c r="R2950" s="11" t="s">
        <v>67</v>
      </c>
      <c r="S2950" s="11" t="s">
        <v>9620</v>
      </c>
      <c r="T2950" s="29">
        <v>45614.41424515046</v>
      </c>
      <c r="U2950" s="29">
        <v>45614.683207939815</v>
      </c>
      <c r="V2950" s="29">
        <v>45645.695234178245</v>
      </c>
      <c r="W2950" s="11"/>
      <c r="X2950" s="30"/>
      <c r="Y2950" s="66">
        <v>-12004.0</v>
      </c>
      <c r="Z2950" s="78"/>
      <c r="AA2950" s="31" t="s">
        <v>94</v>
      </c>
      <c r="AB2950" s="31" t="s">
        <v>11575</v>
      </c>
      <c r="AC2950" s="31"/>
    </row>
    <row r="2951" ht="18.75" customHeight="1">
      <c r="A2951" s="18" t="s">
        <v>11576</v>
      </c>
      <c r="B2951" s="19" t="s">
        <v>3674</v>
      </c>
      <c r="C2951" s="20">
        <v>11.0</v>
      </c>
      <c r="D2951" s="61" t="s">
        <v>11577</v>
      </c>
      <c r="E2951" s="27" t="s">
        <v>112</v>
      </c>
      <c r="F2951" s="18" t="s">
        <v>48</v>
      </c>
      <c r="G2951" s="18" t="s">
        <v>35</v>
      </c>
      <c r="H2951" s="40" t="s">
        <v>35</v>
      </c>
      <c r="I2951" s="37" t="s">
        <v>36</v>
      </c>
      <c r="J2951" s="34" t="s">
        <v>65</v>
      </c>
      <c r="K2951" s="26" t="s">
        <v>38</v>
      </c>
      <c r="L2951" s="25">
        <v>12023.0</v>
      </c>
      <c r="M2951" s="62" t="s">
        <v>50</v>
      </c>
      <c r="N2951" s="42" t="s">
        <v>11189</v>
      </c>
      <c r="O2951" s="63">
        <v>45618.70701694445</v>
      </c>
      <c r="P2951" s="26" t="s">
        <v>11538</v>
      </c>
      <c r="Q2951" s="11" t="s">
        <v>67</v>
      </c>
      <c r="R2951" s="11" t="s">
        <v>67</v>
      </c>
      <c r="S2951" s="11" t="s">
        <v>50</v>
      </c>
      <c r="T2951" s="29">
        <v>45614.414409861114</v>
      </c>
      <c r="U2951" s="29">
        <v>45614.68322328704</v>
      </c>
      <c r="V2951" s="29">
        <v>45616.56880108797</v>
      </c>
      <c r="W2951" s="38"/>
      <c r="X2951" s="30"/>
      <c r="Y2951" s="31"/>
      <c r="Z2951" s="31"/>
      <c r="AA2951" s="31" t="s">
        <v>94</v>
      </c>
      <c r="AB2951" s="31" t="s">
        <v>11578</v>
      </c>
      <c r="AC2951" s="31"/>
    </row>
    <row r="2952" ht="18.75" customHeight="1">
      <c r="A2952" s="151" t="s">
        <v>11579</v>
      </c>
      <c r="B2952" s="19" t="s">
        <v>8299</v>
      </c>
      <c r="C2952" s="20">
        <v>137.0</v>
      </c>
      <c r="D2952" s="61" t="s">
        <v>11580</v>
      </c>
      <c r="E2952" s="27" t="s">
        <v>85</v>
      </c>
      <c r="F2952" s="18" t="s">
        <v>48</v>
      </c>
      <c r="G2952" s="18" t="s">
        <v>35</v>
      </c>
      <c r="H2952" s="40" t="s">
        <v>35</v>
      </c>
      <c r="I2952" s="24" t="s">
        <v>36</v>
      </c>
      <c r="J2952" s="25" t="s">
        <v>65</v>
      </c>
      <c r="K2952" s="26" t="s">
        <v>38</v>
      </c>
      <c r="L2952" s="64" t="s">
        <v>11581</v>
      </c>
      <c r="M2952" s="152" t="str">
        <f t="shared" ref="M2952:M2953" si="17">VLOOKUP(D2952,'Página111'!E:E,1,0)</f>
        <v>#REF!</v>
      </c>
      <c r="N2952" s="26"/>
      <c r="O2952" s="50">
        <v>45646.0</v>
      </c>
      <c r="P2952" s="26" t="s">
        <v>11582</v>
      </c>
      <c r="Q2952" s="11" t="s">
        <v>67</v>
      </c>
      <c r="R2952" s="11" t="s">
        <v>67</v>
      </c>
      <c r="S2952" s="11" t="s">
        <v>73</v>
      </c>
      <c r="T2952" s="29">
        <v>45614.415867777774</v>
      </c>
      <c r="U2952" s="29">
        <v>45614.49717840277</v>
      </c>
      <c r="V2952" s="29">
        <v>45644.77597101852</v>
      </c>
      <c r="W2952" s="11"/>
      <c r="X2952" s="30"/>
      <c r="Y2952" s="66">
        <v>-12035.0</v>
      </c>
      <c r="Z2952" s="31"/>
      <c r="AA2952" s="31" t="s">
        <v>94</v>
      </c>
      <c r="AB2952" s="31" t="s">
        <v>11583</v>
      </c>
      <c r="AC2952" s="31"/>
    </row>
    <row r="2953" ht="18.75" customHeight="1">
      <c r="A2953" s="151" t="s">
        <v>11584</v>
      </c>
      <c r="B2953" s="19" t="s">
        <v>5481</v>
      </c>
      <c r="C2953" s="20">
        <v>137.0</v>
      </c>
      <c r="D2953" s="61" t="s">
        <v>11585</v>
      </c>
      <c r="E2953" s="27" t="s">
        <v>85</v>
      </c>
      <c r="F2953" s="18" t="s">
        <v>48</v>
      </c>
      <c r="G2953" s="18" t="s">
        <v>35</v>
      </c>
      <c r="H2953" s="40" t="s">
        <v>35</v>
      </c>
      <c r="I2953" s="24" t="s">
        <v>36</v>
      </c>
      <c r="J2953" s="25" t="s">
        <v>65</v>
      </c>
      <c r="K2953" s="26" t="s">
        <v>38</v>
      </c>
      <c r="L2953" s="64" t="s">
        <v>11586</v>
      </c>
      <c r="M2953" s="152" t="str">
        <f t="shared" si="17"/>
        <v>#REF!</v>
      </c>
      <c r="N2953" s="26"/>
      <c r="O2953" s="50">
        <v>45646.0</v>
      </c>
      <c r="P2953" s="26" t="s">
        <v>11587</v>
      </c>
      <c r="Q2953" s="11" t="s">
        <v>67</v>
      </c>
      <c r="R2953" s="11" t="s">
        <v>67</v>
      </c>
      <c r="S2953" s="11" t="s">
        <v>73</v>
      </c>
      <c r="T2953" s="29">
        <v>45614.57821413194</v>
      </c>
      <c r="U2953" s="29">
        <v>45618.385114756944</v>
      </c>
      <c r="V2953" s="29">
        <v>45644.77600760417</v>
      </c>
      <c r="W2953" s="11"/>
      <c r="X2953" s="30"/>
      <c r="Y2953" s="66">
        <v>-12095.0</v>
      </c>
      <c r="Z2953" s="31"/>
      <c r="AA2953" s="31" t="s">
        <v>3059</v>
      </c>
      <c r="AB2953" s="31" t="s">
        <v>11588</v>
      </c>
      <c r="AC2953" s="31"/>
    </row>
    <row r="2954" ht="18.75" customHeight="1">
      <c r="A2954" s="142" t="s">
        <v>11589</v>
      </c>
      <c r="B2954" s="19" t="s">
        <v>3645</v>
      </c>
      <c r="C2954" s="20">
        <v>137.0</v>
      </c>
      <c r="D2954" s="61" t="s">
        <v>11590</v>
      </c>
      <c r="E2954" s="27" t="s">
        <v>85</v>
      </c>
      <c r="F2954" s="18" t="s">
        <v>48</v>
      </c>
      <c r="G2954" s="18" t="s">
        <v>35</v>
      </c>
      <c r="H2954" s="40" t="s">
        <v>35</v>
      </c>
      <c r="I2954" s="24" t="s">
        <v>36</v>
      </c>
      <c r="J2954" s="25" t="s">
        <v>49</v>
      </c>
      <c r="K2954" s="26" t="s">
        <v>38</v>
      </c>
      <c r="L2954" s="34">
        <v>63842.0</v>
      </c>
      <c r="M2954" s="22" t="s">
        <v>50</v>
      </c>
      <c r="N2954" s="65" t="s">
        <v>125</v>
      </c>
      <c r="O2954" s="28">
        <v>45645.73094907407</v>
      </c>
      <c r="P2954" s="35" t="s">
        <v>11591</v>
      </c>
      <c r="Q2954" s="11" t="s">
        <v>67</v>
      </c>
      <c r="R2954" s="11" t="s">
        <v>67</v>
      </c>
      <c r="S2954" s="11" t="s">
        <v>73</v>
      </c>
      <c r="T2954" s="29">
        <v>45618.36421730324</v>
      </c>
      <c r="U2954" s="29">
        <v>45635.583861493054</v>
      </c>
      <c r="V2954" s="29">
        <v>45643.756196898146</v>
      </c>
      <c r="W2954" s="11"/>
      <c r="X2954" s="30"/>
      <c r="Y2954" s="66"/>
      <c r="Z2954" s="31"/>
      <c r="AA2954" s="31" t="s">
        <v>127</v>
      </c>
      <c r="AB2954" s="31" t="s">
        <v>11592</v>
      </c>
      <c r="AC2954" s="31"/>
    </row>
    <row r="2955" ht="18.75" customHeight="1">
      <c r="A2955" s="151" t="s">
        <v>11593</v>
      </c>
      <c r="B2955" s="19" t="s">
        <v>7736</v>
      </c>
      <c r="C2955" s="20">
        <v>90.0</v>
      </c>
      <c r="D2955" s="61" t="s">
        <v>11594</v>
      </c>
      <c r="E2955" s="27" t="s">
        <v>91</v>
      </c>
      <c r="F2955" s="18" t="s">
        <v>48</v>
      </c>
      <c r="G2955" s="18" t="s">
        <v>35</v>
      </c>
      <c r="H2955" s="40" t="s">
        <v>35</v>
      </c>
      <c r="I2955" s="24" t="s">
        <v>36</v>
      </c>
      <c r="J2955" s="25" t="s">
        <v>49</v>
      </c>
      <c r="K2955" s="26" t="s">
        <v>38</v>
      </c>
      <c r="L2955" s="64" t="s">
        <v>2692</v>
      </c>
      <c r="M2955" s="22" t="s">
        <v>50</v>
      </c>
      <c r="N2955" s="65" t="s">
        <v>125</v>
      </c>
      <c r="O2955" s="28">
        <v>45645.73094907407</v>
      </c>
      <c r="P2955" s="26" t="s">
        <v>11595</v>
      </c>
      <c r="Q2955" s="11" t="s">
        <v>67</v>
      </c>
      <c r="R2955" s="11" t="s">
        <v>67</v>
      </c>
      <c r="S2955" s="11" t="s">
        <v>73</v>
      </c>
      <c r="T2955" s="29">
        <v>45614.587361412036</v>
      </c>
      <c r="U2955" s="29">
        <v>45617.684354282406</v>
      </c>
      <c r="V2955" s="29">
        <v>45643.755903831014</v>
      </c>
      <c r="W2955" s="11"/>
      <c r="X2955" s="30"/>
      <c r="Y2955" s="66">
        <v>-12043.0</v>
      </c>
      <c r="Z2955" s="31"/>
      <c r="AA2955" s="31" t="s">
        <v>3053</v>
      </c>
      <c r="AB2955" s="31" t="s">
        <v>11596</v>
      </c>
      <c r="AC2955" s="31"/>
    </row>
    <row r="2956" ht="18.75" customHeight="1">
      <c r="A2956" s="142" t="s">
        <v>11597</v>
      </c>
      <c r="B2956" s="19" t="s">
        <v>3289</v>
      </c>
      <c r="C2956" s="20">
        <v>0.0</v>
      </c>
      <c r="D2956" s="61" t="s">
        <v>11598</v>
      </c>
      <c r="E2956" s="27" t="s">
        <v>4430</v>
      </c>
      <c r="F2956" s="18" t="s">
        <v>48</v>
      </c>
      <c r="G2956" s="18" t="s">
        <v>35</v>
      </c>
      <c r="H2956" s="40" t="s">
        <v>35</v>
      </c>
      <c r="I2956" s="37" t="s">
        <v>36</v>
      </c>
      <c r="J2956" s="25" t="s">
        <v>92</v>
      </c>
      <c r="K2956" s="26" t="s">
        <v>38</v>
      </c>
      <c r="L2956" s="25">
        <v>12017.0</v>
      </c>
      <c r="M2956" s="62" t="s">
        <v>50</v>
      </c>
      <c r="N2956" s="42" t="s">
        <v>4362</v>
      </c>
      <c r="O2956" s="63">
        <v>45617.60414553241</v>
      </c>
      <c r="P2956" s="26" t="s">
        <v>11599</v>
      </c>
      <c r="Q2956" s="11" t="s">
        <v>67</v>
      </c>
      <c r="R2956" s="11" t="s">
        <v>67</v>
      </c>
      <c r="S2956" s="11" t="s">
        <v>50</v>
      </c>
      <c r="T2956" s="29">
        <v>45614.59080841435</v>
      </c>
      <c r="U2956" s="29">
        <v>45614.60169334491</v>
      </c>
      <c r="V2956" s="29">
        <v>45616.568354918985</v>
      </c>
      <c r="W2956" s="38"/>
      <c r="X2956" s="30"/>
      <c r="Y2956" s="31"/>
      <c r="Z2956" s="31"/>
      <c r="AA2956" s="31" t="s">
        <v>120</v>
      </c>
      <c r="AB2956" s="31" t="s">
        <v>11600</v>
      </c>
      <c r="AC2956" s="31"/>
    </row>
    <row r="2957" ht="18.75" customHeight="1">
      <c r="A2957" s="151" t="s">
        <v>11601</v>
      </c>
      <c r="B2957" s="19" t="s">
        <v>4352</v>
      </c>
      <c r="C2957" s="20">
        <v>0.0</v>
      </c>
      <c r="D2957" s="21" t="s">
        <v>11602</v>
      </c>
      <c r="E2957" s="27" t="s">
        <v>3441</v>
      </c>
      <c r="F2957" s="18" t="s">
        <v>48</v>
      </c>
      <c r="G2957" s="18" t="s">
        <v>35</v>
      </c>
      <c r="H2957" s="40" t="s">
        <v>35</v>
      </c>
      <c r="I2957" s="37" t="s">
        <v>36</v>
      </c>
      <c r="J2957" s="25" t="s">
        <v>49</v>
      </c>
      <c r="K2957" s="26" t="s">
        <v>38</v>
      </c>
      <c r="L2957" s="25">
        <v>12352.0</v>
      </c>
      <c r="M2957" s="27" t="s">
        <v>50</v>
      </c>
      <c r="N2957" s="26" t="s">
        <v>9953</v>
      </c>
      <c r="O2957" s="28">
        <v>45659.0</v>
      </c>
      <c r="P2957" s="26" t="s">
        <v>11603</v>
      </c>
      <c r="Q2957" s="11" t="s">
        <v>67</v>
      </c>
      <c r="R2957" s="11" t="s">
        <v>67</v>
      </c>
      <c r="S2957" s="11" t="s">
        <v>50</v>
      </c>
      <c r="T2957" s="29">
        <v>45614.59257663194</v>
      </c>
      <c r="U2957" s="29">
        <v>45623.61843322917</v>
      </c>
      <c r="V2957" s="29">
        <v>45652.48607954862</v>
      </c>
      <c r="W2957" s="11"/>
      <c r="X2957" s="30"/>
      <c r="Y2957" s="31"/>
      <c r="Z2957" s="31"/>
      <c r="AA2957" s="31" t="s">
        <v>127</v>
      </c>
      <c r="AB2957" s="31" t="s">
        <v>11604</v>
      </c>
      <c r="AC2957" s="31"/>
    </row>
    <row r="2958" ht="18.75" customHeight="1">
      <c r="A2958" s="142" t="s">
        <v>11605</v>
      </c>
      <c r="B2958" s="19" t="s">
        <v>7317</v>
      </c>
      <c r="C2958" s="20">
        <v>0.0</v>
      </c>
      <c r="D2958" s="61" t="s">
        <v>11606</v>
      </c>
      <c r="E2958" s="27" t="s">
        <v>11607</v>
      </c>
      <c r="F2958" s="18" t="s">
        <v>48</v>
      </c>
      <c r="G2958" s="18" t="s">
        <v>35</v>
      </c>
      <c r="H2958" s="40" t="s">
        <v>35</v>
      </c>
      <c r="I2958" s="37" t="s">
        <v>36</v>
      </c>
      <c r="J2958" s="25" t="s">
        <v>49</v>
      </c>
      <c r="K2958" s="26" t="s">
        <v>38</v>
      </c>
      <c r="L2958" s="25">
        <v>12000.0</v>
      </c>
      <c r="M2958" s="62" t="s">
        <v>50</v>
      </c>
      <c r="N2958" s="42" t="s">
        <v>5936</v>
      </c>
      <c r="O2958" s="63">
        <v>45614.6745256713</v>
      </c>
      <c r="P2958" s="26" t="s">
        <v>11608</v>
      </c>
      <c r="Q2958" s="11" t="s">
        <v>67</v>
      </c>
      <c r="R2958" s="11" t="s">
        <v>67</v>
      </c>
      <c r="S2958" s="11"/>
      <c r="T2958" s="29">
        <v>45614.57147282407</v>
      </c>
      <c r="U2958" s="29">
        <v>45614.571484201384</v>
      </c>
      <c r="V2958" s="29"/>
      <c r="W2958" s="11"/>
      <c r="X2958" s="30"/>
      <c r="Y2958" s="31"/>
      <c r="Z2958" s="31"/>
      <c r="AA2958" s="31"/>
      <c r="AB2958" s="31" t="s">
        <v>11609</v>
      </c>
      <c r="AC2958" s="31"/>
    </row>
    <row r="2959" ht="18.75" customHeight="1">
      <c r="A2959" s="151" t="s">
        <v>11610</v>
      </c>
      <c r="B2959" s="19" t="s">
        <v>122</v>
      </c>
      <c r="C2959" s="20">
        <v>0.0</v>
      </c>
      <c r="D2959" s="61" t="s">
        <v>11611</v>
      </c>
      <c r="E2959" s="22" t="s">
        <v>3441</v>
      </c>
      <c r="F2959" s="18" t="s">
        <v>48</v>
      </c>
      <c r="G2959" s="18" t="s">
        <v>35</v>
      </c>
      <c r="H2959" s="40" t="s">
        <v>35</v>
      </c>
      <c r="I2959" s="24" t="s">
        <v>36</v>
      </c>
      <c r="J2959" s="25" t="s">
        <v>49</v>
      </c>
      <c r="K2959" s="26" t="s">
        <v>38</v>
      </c>
      <c r="L2959" s="64" t="s">
        <v>2695</v>
      </c>
      <c r="M2959" s="22" t="s">
        <v>50</v>
      </c>
      <c r="N2959" s="65" t="s">
        <v>125</v>
      </c>
      <c r="O2959" s="28">
        <v>45645.73094907407</v>
      </c>
      <c r="P2959" s="26" t="s">
        <v>11612</v>
      </c>
      <c r="Q2959" s="11" t="s">
        <v>67</v>
      </c>
      <c r="R2959" s="11" t="s">
        <v>67</v>
      </c>
      <c r="S2959" s="11" t="s">
        <v>73</v>
      </c>
      <c r="T2959" s="29">
        <v>45614.5941725</v>
      </c>
      <c r="U2959" s="29">
        <v>45615.42066206018</v>
      </c>
      <c r="V2959" s="29">
        <v>45643.75371951389</v>
      </c>
      <c r="W2959" s="11"/>
      <c r="X2959" s="30"/>
      <c r="Y2959" s="66">
        <v>-12036.0</v>
      </c>
      <c r="Z2959" s="31"/>
      <c r="AA2959" s="31" t="s">
        <v>127</v>
      </c>
      <c r="AB2959" s="31" t="s">
        <v>11613</v>
      </c>
      <c r="AC2959" s="31"/>
    </row>
    <row r="2960" ht="18.75" customHeight="1">
      <c r="A2960" s="142" t="s">
        <v>11614</v>
      </c>
      <c r="B2960" s="19" t="s">
        <v>122</v>
      </c>
      <c r="C2960" s="20">
        <v>0.0</v>
      </c>
      <c r="D2960" s="61" t="s">
        <v>783</v>
      </c>
      <c r="E2960" s="27" t="s">
        <v>117</v>
      </c>
      <c r="F2960" s="18" t="s">
        <v>33</v>
      </c>
      <c r="G2960" s="18" t="s">
        <v>34</v>
      </c>
      <c r="H2960" s="40" t="s">
        <v>35</v>
      </c>
      <c r="I2960" s="37" t="s">
        <v>36</v>
      </c>
      <c r="J2960" s="25" t="s">
        <v>49</v>
      </c>
      <c r="K2960" s="26" t="s">
        <v>38</v>
      </c>
      <c r="L2960" s="25">
        <v>12136.0</v>
      </c>
      <c r="M2960" s="62" t="s">
        <v>50</v>
      </c>
      <c r="N2960" s="42" t="s">
        <v>99</v>
      </c>
      <c r="O2960" s="63">
        <v>45631.68873164352</v>
      </c>
      <c r="P2960" s="26" t="s">
        <v>11615</v>
      </c>
      <c r="Q2960" s="11" t="s">
        <v>67</v>
      </c>
      <c r="R2960" s="11" t="s">
        <v>67</v>
      </c>
      <c r="S2960" s="11" t="s">
        <v>101</v>
      </c>
      <c r="T2960" s="29">
        <v>45614.59552340278</v>
      </c>
      <c r="U2960" s="29">
        <v>45615.40561583333</v>
      </c>
      <c r="V2960" s="29">
        <v>45630.44531068287</v>
      </c>
      <c r="W2960" s="11"/>
      <c r="X2960" s="30"/>
      <c r="Y2960" s="31"/>
      <c r="Z2960" s="31"/>
      <c r="AA2960" s="31" t="s">
        <v>127</v>
      </c>
      <c r="AB2960" s="31" t="s">
        <v>11616</v>
      </c>
      <c r="AC2960" s="31"/>
    </row>
    <row r="2961" ht="18.75" customHeight="1">
      <c r="A2961" s="142" t="s">
        <v>11617</v>
      </c>
      <c r="B2961" s="19" t="s">
        <v>11618</v>
      </c>
      <c r="C2961" s="20">
        <v>27.0</v>
      </c>
      <c r="D2961" s="39" t="s">
        <v>11619</v>
      </c>
      <c r="E2961" s="27" t="s">
        <v>72</v>
      </c>
      <c r="F2961" s="18" t="s">
        <v>48</v>
      </c>
      <c r="G2961" s="18" t="s">
        <v>35</v>
      </c>
      <c r="H2961" s="40" t="s">
        <v>35</v>
      </c>
      <c r="I2961" s="37" t="s">
        <v>36</v>
      </c>
      <c r="J2961" s="25" t="s">
        <v>65</v>
      </c>
      <c r="K2961" s="26" t="s">
        <v>38</v>
      </c>
      <c r="L2961" s="72">
        <v>12006.0</v>
      </c>
      <c r="M2961" s="62" t="s">
        <v>50</v>
      </c>
      <c r="N2961" s="42" t="s">
        <v>149</v>
      </c>
      <c r="O2961" s="63">
        <v>45615.68472222222</v>
      </c>
      <c r="P2961" s="26" t="s">
        <v>11620</v>
      </c>
      <c r="Q2961" s="11" t="s">
        <v>67</v>
      </c>
      <c r="R2961" s="11" t="s">
        <v>67</v>
      </c>
      <c r="S2961" s="11" t="s">
        <v>50</v>
      </c>
      <c r="T2961" s="29">
        <v>45614.660100127316</v>
      </c>
      <c r="U2961" s="29">
        <v>45614.68815135417</v>
      </c>
      <c r="V2961" s="29">
        <v>45615.43867241898</v>
      </c>
      <c r="W2961" s="38"/>
      <c r="X2961" s="30"/>
      <c r="Y2961" s="31"/>
      <c r="Z2961" s="31"/>
      <c r="AA2961" s="31" t="s">
        <v>94</v>
      </c>
      <c r="AB2961" s="31" t="s">
        <v>11621</v>
      </c>
      <c r="AC2961" s="31"/>
    </row>
    <row r="2962" ht="18.75" customHeight="1">
      <c r="A2962" s="18" t="s">
        <v>11622</v>
      </c>
      <c r="B2962" s="19" t="s">
        <v>11623</v>
      </c>
      <c r="C2962" s="20">
        <v>0.0</v>
      </c>
      <c r="D2962" s="61" t="s">
        <v>476</v>
      </c>
      <c r="E2962" s="27" t="s">
        <v>165</v>
      </c>
      <c r="F2962" s="18" t="s">
        <v>33</v>
      </c>
      <c r="G2962" s="18" t="s">
        <v>35</v>
      </c>
      <c r="H2962" s="40" t="s">
        <v>35</v>
      </c>
      <c r="I2962" s="37" t="s">
        <v>36</v>
      </c>
      <c r="J2962" s="25" t="s">
        <v>49</v>
      </c>
      <c r="K2962" s="26" t="s">
        <v>447</v>
      </c>
      <c r="L2962" s="25">
        <v>12015.0</v>
      </c>
      <c r="M2962" s="62" t="s">
        <v>50</v>
      </c>
      <c r="N2962" s="42" t="s">
        <v>99</v>
      </c>
      <c r="O2962" s="63">
        <v>45617.59465855324</v>
      </c>
      <c r="P2962" s="26" t="s">
        <v>11624</v>
      </c>
      <c r="Q2962" s="11" t="s">
        <v>67</v>
      </c>
      <c r="R2962" s="11" t="s">
        <v>67</v>
      </c>
      <c r="S2962" s="11" t="s">
        <v>50</v>
      </c>
      <c r="T2962" s="29">
        <v>45614.66344101852</v>
      </c>
      <c r="U2962" s="29">
        <v>45615.40422675926</v>
      </c>
      <c r="V2962" s="29">
        <v>45616.34893797454</v>
      </c>
      <c r="W2962" s="38"/>
      <c r="X2962" s="30"/>
      <c r="Y2962" s="31"/>
      <c r="Z2962" s="31"/>
      <c r="AA2962" s="31" t="s">
        <v>108</v>
      </c>
      <c r="AB2962" s="31" t="s">
        <v>11625</v>
      </c>
      <c r="AC2962" s="31"/>
    </row>
    <row r="2963" ht="18.75" customHeight="1">
      <c r="A2963" s="18" t="s">
        <v>11626</v>
      </c>
      <c r="B2963" s="19" t="s">
        <v>11623</v>
      </c>
      <c r="C2963" s="20">
        <v>0.0</v>
      </c>
      <c r="D2963" s="61" t="s">
        <v>11627</v>
      </c>
      <c r="E2963" s="27" t="s">
        <v>165</v>
      </c>
      <c r="F2963" s="18" t="s">
        <v>33</v>
      </c>
      <c r="G2963" s="18" t="s">
        <v>35</v>
      </c>
      <c r="H2963" s="40" t="s">
        <v>35</v>
      </c>
      <c r="I2963" s="37" t="s">
        <v>36</v>
      </c>
      <c r="J2963" s="25" t="s">
        <v>49</v>
      </c>
      <c r="K2963" s="26" t="s">
        <v>447</v>
      </c>
      <c r="L2963" s="25">
        <v>12015.0</v>
      </c>
      <c r="M2963" s="62" t="s">
        <v>50</v>
      </c>
      <c r="N2963" s="42" t="s">
        <v>99</v>
      </c>
      <c r="O2963" s="63">
        <v>45617.59474351852</v>
      </c>
      <c r="P2963" s="26" t="s">
        <v>11624</v>
      </c>
      <c r="Q2963" s="11" t="s">
        <v>67</v>
      </c>
      <c r="R2963" s="11" t="s">
        <v>67</v>
      </c>
      <c r="S2963" s="11" t="s">
        <v>50</v>
      </c>
      <c r="T2963" s="29">
        <v>45614.66355518519</v>
      </c>
      <c r="U2963" s="29">
        <v>45615.40434258102</v>
      </c>
      <c r="V2963" s="29">
        <v>45616.34894383102</v>
      </c>
      <c r="W2963" s="38"/>
      <c r="X2963" s="30"/>
      <c r="Y2963" s="31"/>
      <c r="Z2963" s="31"/>
      <c r="AA2963" s="31" t="s">
        <v>108</v>
      </c>
      <c r="AB2963" s="31" t="s">
        <v>11628</v>
      </c>
      <c r="AC2963" s="31"/>
    </row>
    <row r="2964" ht="18.75" customHeight="1">
      <c r="A2964" s="18" t="s">
        <v>11629</v>
      </c>
      <c r="B2964" s="19" t="s">
        <v>911</v>
      </c>
      <c r="C2964" s="20">
        <v>0.0</v>
      </c>
      <c r="D2964" s="61" t="s">
        <v>842</v>
      </c>
      <c r="E2964" s="27" t="s">
        <v>301</v>
      </c>
      <c r="F2964" s="18" t="s">
        <v>33</v>
      </c>
      <c r="G2964" s="18" t="s">
        <v>35</v>
      </c>
      <c r="H2964" s="40" t="s">
        <v>35</v>
      </c>
      <c r="I2964" s="37" t="s">
        <v>36</v>
      </c>
      <c r="J2964" s="25" t="s">
        <v>49</v>
      </c>
      <c r="K2964" s="26" t="s">
        <v>38</v>
      </c>
      <c r="L2964" s="25">
        <v>12009.0</v>
      </c>
      <c r="M2964" s="62" t="s">
        <v>50</v>
      </c>
      <c r="N2964" s="42" t="s">
        <v>99</v>
      </c>
      <c r="O2964" s="63">
        <v>45636.578029131946</v>
      </c>
      <c r="P2964" s="26" t="s">
        <v>11630</v>
      </c>
      <c r="Q2964" s="11" t="s">
        <v>67</v>
      </c>
      <c r="R2964" s="11" t="s">
        <v>67</v>
      </c>
      <c r="S2964" s="11" t="s">
        <v>101</v>
      </c>
      <c r="T2964" s="29">
        <v>45614.648161481484</v>
      </c>
      <c r="U2964" s="29">
        <v>45631.57594202546</v>
      </c>
      <c r="V2964" s="29">
        <v>45635.440079340275</v>
      </c>
      <c r="W2964" s="11"/>
      <c r="X2964" s="30"/>
      <c r="Y2964" s="31"/>
      <c r="Z2964" s="31"/>
      <c r="AA2964" s="31" t="s">
        <v>3053</v>
      </c>
      <c r="AB2964" s="31" t="s">
        <v>11631</v>
      </c>
      <c r="AC2964" s="31"/>
    </row>
    <row r="2965" ht="18.75" customHeight="1">
      <c r="A2965" s="18" t="s">
        <v>11632</v>
      </c>
      <c r="B2965" s="19" t="s">
        <v>911</v>
      </c>
      <c r="C2965" s="20">
        <v>0.0</v>
      </c>
      <c r="D2965" s="61" t="s">
        <v>11633</v>
      </c>
      <c r="E2965" s="27" t="s">
        <v>251</v>
      </c>
      <c r="F2965" s="18" t="s">
        <v>33</v>
      </c>
      <c r="G2965" s="18" t="s">
        <v>35</v>
      </c>
      <c r="H2965" s="40" t="s">
        <v>35</v>
      </c>
      <c r="I2965" s="37" t="s">
        <v>36</v>
      </c>
      <c r="J2965" s="25" t="s">
        <v>49</v>
      </c>
      <c r="K2965" s="26" t="s">
        <v>38</v>
      </c>
      <c r="L2965" s="25">
        <v>12009.0</v>
      </c>
      <c r="M2965" s="62" t="s">
        <v>50</v>
      </c>
      <c r="N2965" s="42" t="s">
        <v>99</v>
      </c>
      <c r="O2965" s="63">
        <v>45636.57810521991</v>
      </c>
      <c r="P2965" s="26" t="s">
        <v>11630</v>
      </c>
      <c r="Q2965" s="11" t="s">
        <v>67</v>
      </c>
      <c r="R2965" s="11" t="s">
        <v>67</v>
      </c>
      <c r="S2965" s="11" t="s">
        <v>101</v>
      </c>
      <c r="T2965" s="29">
        <v>45614.64840362269</v>
      </c>
      <c r="U2965" s="29">
        <v>45631.575945902776</v>
      </c>
      <c r="V2965" s="29">
        <v>45635.63906545139</v>
      </c>
      <c r="W2965" s="11"/>
      <c r="X2965" s="30"/>
      <c r="Y2965" s="31"/>
      <c r="Z2965" s="31"/>
      <c r="AA2965" s="31" t="s">
        <v>3053</v>
      </c>
      <c r="AB2965" s="31" t="s">
        <v>11634</v>
      </c>
      <c r="AC2965" s="31"/>
    </row>
    <row r="2966" ht="18.75" customHeight="1">
      <c r="A2966" s="18" t="s">
        <v>11635</v>
      </c>
      <c r="B2966" s="19" t="s">
        <v>911</v>
      </c>
      <c r="C2966" s="20">
        <v>0.0</v>
      </c>
      <c r="D2966" s="61" t="s">
        <v>11636</v>
      </c>
      <c r="E2966" s="27" t="s">
        <v>511</v>
      </c>
      <c r="F2966" s="18" t="s">
        <v>33</v>
      </c>
      <c r="G2966" s="18" t="s">
        <v>35</v>
      </c>
      <c r="H2966" s="40" t="s">
        <v>35</v>
      </c>
      <c r="I2966" s="37" t="s">
        <v>36</v>
      </c>
      <c r="J2966" s="25" t="s">
        <v>49</v>
      </c>
      <c r="K2966" s="26" t="s">
        <v>38</v>
      </c>
      <c r="L2966" s="25">
        <v>12009.0</v>
      </c>
      <c r="M2966" s="62" t="s">
        <v>50</v>
      </c>
      <c r="N2966" s="42" t="s">
        <v>99</v>
      </c>
      <c r="O2966" s="63">
        <v>45636.57818012731</v>
      </c>
      <c r="P2966" s="26" t="s">
        <v>11630</v>
      </c>
      <c r="Q2966" s="11" t="s">
        <v>67</v>
      </c>
      <c r="R2966" s="11" t="s">
        <v>67</v>
      </c>
      <c r="S2966" s="11" t="s">
        <v>101</v>
      </c>
      <c r="T2966" s="29">
        <v>45614.64874065972</v>
      </c>
      <c r="U2966" s="29">
        <v>45631.57593234954</v>
      </c>
      <c r="V2966" s="29">
        <v>45635.49293443287</v>
      </c>
      <c r="W2966" s="11"/>
      <c r="X2966" s="30"/>
      <c r="Y2966" s="31"/>
      <c r="Z2966" s="31"/>
      <c r="AA2966" s="31" t="s">
        <v>3053</v>
      </c>
      <c r="AB2966" s="31" t="s">
        <v>11637</v>
      </c>
      <c r="AC2966" s="31"/>
    </row>
    <row r="2967" ht="18.75" customHeight="1">
      <c r="A2967" s="18" t="s">
        <v>11638</v>
      </c>
      <c r="B2967" s="19" t="s">
        <v>11639</v>
      </c>
      <c r="C2967" s="20">
        <v>34.0</v>
      </c>
      <c r="D2967" s="21" t="s">
        <v>11640</v>
      </c>
      <c r="E2967" s="27" t="s">
        <v>47</v>
      </c>
      <c r="F2967" s="18" t="s">
        <v>48</v>
      </c>
      <c r="G2967" s="32" t="s">
        <v>35</v>
      </c>
      <c r="H2967" s="23" t="s">
        <v>35</v>
      </c>
      <c r="I2967" s="37" t="s">
        <v>36</v>
      </c>
      <c r="J2967" s="25" t="s">
        <v>65</v>
      </c>
      <c r="K2967" s="26" t="s">
        <v>38</v>
      </c>
      <c r="L2967" s="25">
        <v>12003.0</v>
      </c>
      <c r="M2967" s="27" t="s">
        <v>50</v>
      </c>
      <c r="N2967" s="26" t="s">
        <v>51</v>
      </c>
      <c r="O2967" s="28">
        <v>45614.65404846065</v>
      </c>
      <c r="P2967" s="26" t="s">
        <v>11641</v>
      </c>
      <c r="Q2967" s="11" t="s">
        <v>67</v>
      </c>
      <c r="R2967" s="11" t="s">
        <v>67</v>
      </c>
      <c r="S2967" s="11"/>
      <c r="T2967" s="29">
        <v>45614.65404846065</v>
      </c>
      <c r="U2967" s="29">
        <v>45614.65404846065</v>
      </c>
      <c r="V2967" s="29">
        <v>45614.65404846065</v>
      </c>
      <c r="W2967" s="38"/>
      <c r="X2967" s="30"/>
      <c r="Y2967" s="31"/>
      <c r="Z2967" s="31"/>
      <c r="AA2967" s="31" t="s">
        <v>94</v>
      </c>
      <c r="AB2967" s="31" t="s">
        <v>11642</v>
      </c>
      <c r="AC2967" s="31"/>
    </row>
    <row r="2968" ht="18.75" customHeight="1">
      <c r="A2968" s="18" t="s">
        <v>11643</v>
      </c>
      <c r="B2968" s="19" t="s">
        <v>11639</v>
      </c>
      <c r="C2968" s="20">
        <v>34.0</v>
      </c>
      <c r="D2968" s="21" t="s">
        <v>11644</v>
      </c>
      <c r="E2968" s="27" t="s">
        <v>47</v>
      </c>
      <c r="F2968" s="18" t="s">
        <v>48</v>
      </c>
      <c r="G2968" s="32" t="s">
        <v>35</v>
      </c>
      <c r="H2968" s="23" t="s">
        <v>35</v>
      </c>
      <c r="I2968" s="37" t="s">
        <v>36</v>
      </c>
      <c r="J2968" s="25" t="s">
        <v>49</v>
      </c>
      <c r="K2968" s="26" t="s">
        <v>38</v>
      </c>
      <c r="L2968" s="25">
        <v>12003.0</v>
      </c>
      <c r="M2968" s="27" t="s">
        <v>50</v>
      </c>
      <c r="N2968" s="26" t="s">
        <v>51</v>
      </c>
      <c r="O2968" s="28">
        <v>45614.65620265046</v>
      </c>
      <c r="P2968" s="26" t="s">
        <v>11645</v>
      </c>
      <c r="Q2968" s="11" t="s">
        <v>67</v>
      </c>
      <c r="R2968" s="11" t="s">
        <v>67</v>
      </c>
      <c r="S2968" s="11"/>
      <c r="T2968" s="29">
        <v>45614.65620265046</v>
      </c>
      <c r="U2968" s="29">
        <v>45614.65620265046</v>
      </c>
      <c r="V2968" s="29">
        <v>45614.65620265046</v>
      </c>
      <c r="W2968" s="38"/>
      <c r="X2968" s="30"/>
      <c r="Y2968" s="31"/>
      <c r="Z2968" s="31"/>
      <c r="AA2968" s="31" t="s">
        <v>94</v>
      </c>
      <c r="AB2968" s="31" t="s">
        <v>11646</v>
      </c>
      <c r="AC2968" s="31"/>
    </row>
    <row r="2969" ht="18.75" customHeight="1">
      <c r="A2969" s="142" t="s">
        <v>11647</v>
      </c>
      <c r="B2969" s="19" t="s">
        <v>725</v>
      </c>
      <c r="C2969" s="20">
        <v>11.0</v>
      </c>
      <c r="D2969" s="61" t="s">
        <v>11648</v>
      </c>
      <c r="E2969" s="27" t="s">
        <v>112</v>
      </c>
      <c r="F2969" s="18" t="s">
        <v>48</v>
      </c>
      <c r="G2969" s="18" t="s">
        <v>35</v>
      </c>
      <c r="H2969" s="40" t="s">
        <v>35</v>
      </c>
      <c r="I2969" s="37" t="s">
        <v>36</v>
      </c>
      <c r="J2969" s="25" t="s">
        <v>49</v>
      </c>
      <c r="K2969" s="26" t="s">
        <v>38</v>
      </c>
      <c r="L2969" s="25">
        <v>12008.0</v>
      </c>
      <c r="M2969" s="62" t="s">
        <v>50</v>
      </c>
      <c r="N2969" s="42" t="s">
        <v>99</v>
      </c>
      <c r="O2969" s="63">
        <v>45615.70792864583</v>
      </c>
      <c r="P2969" s="26" t="s">
        <v>11649</v>
      </c>
      <c r="Q2969" s="11" t="s">
        <v>67</v>
      </c>
      <c r="R2969" s="11" t="s">
        <v>73</v>
      </c>
      <c r="S2969" s="11" t="s">
        <v>50</v>
      </c>
      <c r="T2969" s="29">
        <v>45615.42011276621</v>
      </c>
      <c r="U2969" s="29">
        <v>45615.42170539351</v>
      </c>
      <c r="V2969" s="29">
        <v>45615.4418797338</v>
      </c>
      <c r="W2969" s="38"/>
      <c r="X2969" s="30"/>
      <c r="Y2969" s="31"/>
      <c r="Z2969" s="31"/>
      <c r="AA2969" s="31" t="s">
        <v>102</v>
      </c>
      <c r="AB2969" s="31" t="s">
        <v>11650</v>
      </c>
      <c r="AC2969" s="31"/>
    </row>
    <row r="2970" ht="18.75" customHeight="1">
      <c r="A2970" s="142" t="s">
        <v>11651</v>
      </c>
      <c r="B2970" s="19" t="s">
        <v>7703</v>
      </c>
      <c r="C2970" s="20">
        <v>27.0</v>
      </c>
      <c r="D2970" s="39" t="s">
        <v>11652</v>
      </c>
      <c r="E2970" s="27" t="s">
        <v>72</v>
      </c>
      <c r="F2970" s="18" t="s">
        <v>48</v>
      </c>
      <c r="G2970" s="18" t="s">
        <v>35</v>
      </c>
      <c r="H2970" s="40" t="s">
        <v>35</v>
      </c>
      <c r="I2970" s="37" t="s">
        <v>36</v>
      </c>
      <c r="J2970" s="25" t="s">
        <v>9338</v>
      </c>
      <c r="K2970" s="26" t="s">
        <v>38</v>
      </c>
      <c r="L2970" s="25">
        <v>12007.0</v>
      </c>
      <c r="M2970" s="62" t="s">
        <v>50</v>
      </c>
      <c r="N2970" s="42" t="s">
        <v>11431</v>
      </c>
      <c r="O2970" s="63">
        <v>45615.70084413195</v>
      </c>
      <c r="P2970" s="26" t="s">
        <v>11653</v>
      </c>
      <c r="Q2970" s="11" t="s">
        <v>67</v>
      </c>
      <c r="R2970" s="11" t="s">
        <v>67</v>
      </c>
      <c r="S2970" s="11" t="s">
        <v>50</v>
      </c>
      <c r="T2970" s="29">
        <v>45615.40888798611</v>
      </c>
      <c r="U2970" s="29">
        <v>45615.42388805556</v>
      </c>
      <c r="V2970" s="29"/>
      <c r="W2970" s="11"/>
      <c r="X2970" s="30"/>
      <c r="Y2970" s="31"/>
      <c r="Z2970" s="31"/>
      <c r="AA2970" s="31" t="s">
        <v>3059</v>
      </c>
      <c r="AB2970" s="31" t="s">
        <v>11654</v>
      </c>
      <c r="AC2970" s="31"/>
    </row>
    <row r="2971" ht="18.75" customHeight="1">
      <c r="A2971" s="18" t="s">
        <v>11655</v>
      </c>
      <c r="B2971" s="19" t="s">
        <v>7868</v>
      </c>
      <c r="C2971" s="20">
        <v>27.0</v>
      </c>
      <c r="D2971" s="39" t="s">
        <v>11656</v>
      </c>
      <c r="E2971" s="27" t="s">
        <v>72</v>
      </c>
      <c r="F2971" s="18" t="s">
        <v>48</v>
      </c>
      <c r="G2971" s="18" t="s">
        <v>35</v>
      </c>
      <c r="H2971" s="40" t="s">
        <v>35</v>
      </c>
      <c r="I2971" s="37" t="s">
        <v>36</v>
      </c>
      <c r="J2971" s="25" t="s">
        <v>65</v>
      </c>
      <c r="K2971" s="26" t="s">
        <v>38</v>
      </c>
      <c r="L2971" s="25">
        <v>12022.0</v>
      </c>
      <c r="M2971" s="62" t="s">
        <v>50</v>
      </c>
      <c r="N2971" s="42" t="s">
        <v>149</v>
      </c>
      <c r="O2971" s="63">
        <v>45617.76633391203</v>
      </c>
      <c r="P2971" s="26" t="s">
        <v>11657</v>
      </c>
      <c r="Q2971" s="11" t="s">
        <v>67</v>
      </c>
      <c r="R2971" s="11" t="s">
        <v>67</v>
      </c>
      <c r="S2971" s="11" t="s">
        <v>50</v>
      </c>
      <c r="T2971" s="29">
        <v>45615.42746490741</v>
      </c>
      <c r="U2971" s="29">
        <v>45615.49032322917</v>
      </c>
      <c r="V2971" s="29">
        <v>45616.566635069445</v>
      </c>
      <c r="W2971" s="38"/>
      <c r="X2971" s="30"/>
      <c r="Y2971" s="31"/>
      <c r="Z2971" s="31"/>
      <c r="AA2971" s="31" t="s">
        <v>94</v>
      </c>
      <c r="AB2971" s="31" t="s">
        <v>11658</v>
      </c>
      <c r="AC2971" s="31"/>
    </row>
    <row r="2972" ht="18.75" customHeight="1">
      <c r="A2972" s="32" t="s">
        <v>11659</v>
      </c>
      <c r="B2972" s="19" t="s">
        <v>7868</v>
      </c>
      <c r="C2972" s="20">
        <v>90.0</v>
      </c>
      <c r="D2972" s="61" t="s">
        <v>11660</v>
      </c>
      <c r="E2972" s="27" t="s">
        <v>91</v>
      </c>
      <c r="F2972" s="18" t="s">
        <v>48</v>
      </c>
      <c r="G2972" s="18" t="s">
        <v>35</v>
      </c>
      <c r="H2972" s="40" t="s">
        <v>35</v>
      </c>
      <c r="I2972" s="24" t="s">
        <v>36</v>
      </c>
      <c r="J2972" s="25" t="s">
        <v>65</v>
      </c>
      <c r="K2972" s="26" t="s">
        <v>38</v>
      </c>
      <c r="L2972" s="64" t="s">
        <v>11661</v>
      </c>
      <c r="M2972" s="152" t="str">
        <f>VLOOKUP(D2972,'Página111'!E:E,1,0)</f>
        <v>#REF!</v>
      </c>
      <c r="N2972" s="26"/>
      <c r="O2972" s="50">
        <v>45646.0</v>
      </c>
      <c r="P2972" s="26" t="s">
        <v>11657</v>
      </c>
      <c r="Q2972" s="11" t="s">
        <v>67</v>
      </c>
      <c r="R2972" s="11" t="s">
        <v>67</v>
      </c>
      <c r="S2972" s="11" t="s">
        <v>73</v>
      </c>
      <c r="T2972" s="29">
        <v>45615.427631134255</v>
      </c>
      <c r="U2972" s="29">
        <v>45615.490365370366</v>
      </c>
      <c r="V2972" s="29">
        <v>45644.77598539351</v>
      </c>
      <c r="W2972" s="11"/>
      <c r="X2972" s="30"/>
      <c r="Y2972" s="66">
        <v>-12012.0</v>
      </c>
      <c r="Z2972" s="31"/>
      <c r="AA2972" s="31" t="s">
        <v>94</v>
      </c>
      <c r="AB2972" s="31" t="s">
        <v>11662</v>
      </c>
      <c r="AC2972" s="31"/>
    </row>
    <row r="2973" ht="18.75" customHeight="1">
      <c r="A2973" s="151" t="s">
        <v>11663</v>
      </c>
      <c r="B2973" s="19" t="s">
        <v>1811</v>
      </c>
      <c r="C2973" s="20">
        <v>137.0</v>
      </c>
      <c r="D2973" s="61" t="s">
        <v>11664</v>
      </c>
      <c r="E2973" s="27" t="s">
        <v>85</v>
      </c>
      <c r="F2973" s="18" t="s">
        <v>48</v>
      </c>
      <c r="G2973" s="18" t="s">
        <v>35</v>
      </c>
      <c r="H2973" s="40" t="s">
        <v>35</v>
      </c>
      <c r="I2973" s="24" t="s">
        <v>36</v>
      </c>
      <c r="J2973" s="25" t="s">
        <v>49</v>
      </c>
      <c r="K2973" s="26" t="s">
        <v>1506</v>
      </c>
      <c r="L2973" s="64" t="s">
        <v>2705</v>
      </c>
      <c r="M2973" s="22" t="s">
        <v>50</v>
      </c>
      <c r="N2973" s="65" t="s">
        <v>125</v>
      </c>
      <c r="O2973" s="28">
        <v>45645.73094907407</v>
      </c>
      <c r="P2973" s="26" t="s">
        <v>11665</v>
      </c>
      <c r="Q2973" s="11" t="s">
        <v>67</v>
      </c>
      <c r="R2973" s="11" t="s">
        <v>67</v>
      </c>
      <c r="S2973" s="11" t="s">
        <v>73</v>
      </c>
      <c r="T2973" s="29">
        <v>45615.43596729166</v>
      </c>
      <c r="U2973" s="29">
        <v>45615.483147499996</v>
      </c>
      <c r="V2973" s="29">
        <v>45643.755862777776</v>
      </c>
      <c r="W2973" s="11"/>
      <c r="X2973" s="30"/>
      <c r="Y2973" s="66">
        <v>-12037.0</v>
      </c>
      <c r="Z2973" s="31"/>
      <c r="AA2973" s="31" t="s">
        <v>3053</v>
      </c>
      <c r="AB2973" s="31" t="s">
        <v>11666</v>
      </c>
      <c r="AC2973" s="31"/>
    </row>
    <row r="2974" ht="18.75" customHeight="1">
      <c r="A2974" s="151" t="s">
        <v>11667</v>
      </c>
      <c r="B2974" s="19" t="s">
        <v>1811</v>
      </c>
      <c r="C2974" s="20">
        <v>90.0</v>
      </c>
      <c r="D2974" s="61"/>
      <c r="E2974" s="27" t="s">
        <v>91</v>
      </c>
      <c r="F2974" s="18" t="s">
        <v>48</v>
      </c>
      <c r="G2974" s="18" t="s">
        <v>35</v>
      </c>
      <c r="H2974" s="40" t="s">
        <v>35</v>
      </c>
      <c r="I2974" s="24" t="s">
        <v>665</v>
      </c>
      <c r="J2974" s="25" t="s">
        <v>49</v>
      </c>
      <c r="K2974" s="26" t="s">
        <v>1506</v>
      </c>
      <c r="L2974" s="64" t="s">
        <v>2734</v>
      </c>
      <c r="M2974" s="22" t="s">
        <v>50</v>
      </c>
      <c r="N2974" s="65" t="s">
        <v>125</v>
      </c>
      <c r="O2974" s="28">
        <v>45645.73094907407</v>
      </c>
      <c r="P2974" s="35" t="s">
        <v>11668</v>
      </c>
      <c r="Q2974" s="11" t="s">
        <v>67</v>
      </c>
      <c r="R2974" s="11" t="s">
        <v>67</v>
      </c>
      <c r="S2974" s="11" t="s">
        <v>73</v>
      </c>
      <c r="T2974" s="29">
        <v>45615.43880071759</v>
      </c>
      <c r="U2974" s="29">
        <v>45615.48291586805</v>
      </c>
      <c r="V2974" s="29">
        <v>45643.755844942134</v>
      </c>
      <c r="W2974" s="11"/>
      <c r="X2974" s="30"/>
      <c r="Y2974" s="66">
        <v>-12038.0</v>
      </c>
      <c r="Z2974" s="31"/>
      <c r="AA2974" s="31"/>
      <c r="AB2974" s="31" t="s">
        <v>11669</v>
      </c>
      <c r="AC2974" s="31"/>
    </row>
    <row r="2975" ht="18.75" customHeight="1">
      <c r="A2975" s="142" t="s">
        <v>11670</v>
      </c>
      <c r="B2975" s="19" t="s">
        <v>11671</v>
      </c>
      <c r="C2975" s="20">
        <v>27.0</v>
      </c>
      <c r="D2975" s="39" t="s">
        <v>11672</v>
      </c>
      <c r="E2975" s="27" t="s">
        <v>72</v>
      </c>
      <c r="F2975" s="18" t="s">
        <v>48</v>
      </c>
      <c r="G2975" s="18" t="s">
        <v>35</v>
      </c>
      <c r="H2975" s="40" t="s">
        <v>35</v>
      </c>
      <c r="I2975" s="37" t="s">
        <v>36</v>
      </c>
      <c r="J2975" s="25" t="s">
        <v>65</v>
      </c>
      <c r="K2975" s="26" t="s">
        <v>38</v>
      </c>
      <c r="L2975" s="25">
        <v>12076.0</v>
      </c>
      <c r="M2975" s="62" t="s">
        <v>50</v>
      </c>
      <c r="N2975" s="42" t="s">
        <v>8104</v>
      </c>
      <c r="O2975" s="63">
        <v>45623.6875</v>
      </c>
      <c r="P2975" s="26" t="s">
        <v>11673</v>
      </c>
      <c r="Q2975" s="11" t="s">
        <v>67</v>
      </c>
      <c r="R2975" s="11" t="s">
        <v>67</v>
      </c>
      <c r="S2975" s="11" t="s">
        <v>50</v>
      </c>
      <c r="T2975" s="29">
        <v>45622.48610829861</v>
      </c>
      <c r="U2975" s="29">
        <v>45622.587900405095</v>
      </c>
      <c r="V2975" s="29">
        <v>45623.35078517361</v>
      </c>
      <c r="W2975" s="38"/>
      <c r="X2975" s="30"/>
      <c r="Y2975" s="31"/>
      <c r="Z2975" s="31"/>
      <c r="AA2975" s="31" t="s">
        <v>94</v>
      </c>
      <c r="AB2975" s="31" t="s">
        <v>11674</v>
      </c>
      <c r="AC2975" s="31"/>
    </row>
    <row r="2976" ht="18.75" customHeight="1">
      <c r="A2976" s="142" t="s">
        <v>11675</v>
      </c>
      <c r="B2976" s="19" t="s">
        <v>8675</v>
      </c>
      <c r="C2976" s="20">
        <v>34.0</v>
      </c>
      <c r="D2976" s="61" t="s">
        <v>11676</v>
      </c>
      <c r="E2976" s="27" t="s">
        <v>47</v>
      </c>
      <c r="F2976" s="18" t="s">
        <v>48</v>
      </c>
      <c r="G2976" s="18" t="s">
        <v>35</v>
      </c>
      <c r="H2976" s="40" t="s">
        <v>35</v>
      </c>
      <c r="I2976" s="37" t="s">
        <v>36</v>
      </c>
      <c r="J2976" s="25" t="s">
        <v>49</v>
      </c>
      <c r="K2976" s="26" t="s">
        <v>11677</v>
      </c>
      <c r="L2976" s="25">
        <v>12021.0</v>
      </c>
      <c r="M2976" s="62" t="s">
        <v>50</v>
      </c>
      <c r="N2976" s="42" t="s">
        <v>99</v>
      </c>
      <c r="O2976" s="63">
        <v>45617.59487097222</v>
      </c>
      <c r="P2976" s="26" t="s">
        <v>11678</v>
      </c>
      <c r="Q2976" s="11" t="s">
        <v>67</v>
      </c>
      <c r="R2976" s="11" t="s">
        <v>67</v>
      </c>
      <c r="S2976" s="11" t="s">
        <v>50</v>
      </c>
      <c r="T2976" s="29">
        <v>45616.371241099536</v>
      </c>
      <c r="U2976" s="29">
        <v>45616.40112599537</v>
      </c>
      <c r="V2976" s="29">
        <v>45616.569014733795</v>
      </c>
      <c r="W2976" s="38"/>
      <c r="X2976" s="30"/>
      <c r="Y2976" s="31"/>
      <c r="Z2976" s="31"/>
      <c r="AA2976" s="31" t="s">
        <v>5290</v>
      </c>
      <c r="AB2976" s="31" t="s">
        <v>11679</v>
      </c>
      <c r="AC2976" s="31"/>
    </row>
    <row r="2977" ht="18.75" customHeight="1">
      <c r="A2977" s="142" t="s">
        <v>11680</v>
      </c>
      <c r="B2977" s="19" t="s">
        <v>5277</v>
      </c>
      <c r="C2977" s="20">
        <v>0.0</v>
      </c>
      <c r="D2977" s="61" t="s">
        <v>11681</v>
      </c>
      <c r="E2977" s="27" t="s">
        <v>117</v>
      </c>
      <c r="F2977" s="18" t="s">
        <v>33</v>
      </c>
      <c r="G2977" s="18" t="s">
        <v>34</v>
      </c>
      <c r="H2977" s="40" t="s">
        <v>35</v>
      </c>
      <c r="I2977" s="37" t="s">
        <v>36</v>
      </c>
      <c r="J2977" s="25" t="s">
        <v>65</v>
      </c>
      <c r="K2977" s="26" t="s">
        <v>38</v>
      </c>
      <c r="L2977" s="25">
        <v>12153.0</v>
      </c>
      <c r="M2977" s="62" t="s">
        <v>50</v>
      </c>
      <c r="N2977" s="42" t="s">
        <v>5279</v>
      </c>
      <c r="O2977" s="63">
        <v>45632.647246990746</v>
      </c>
      <c r="P2977" s="26" t="s">
        <v>11682</v>
      </c>
      <c r="Q2977" s="11" t="s">
        <v>67</v>
      </c>
      <c r="R2977" s="11" t="s">
        <v>67</v>
      </c>
      <c r="S2977" s="11" t="s">
        <v>101</v>
      </c>
      <c r="T2977" s="29">
        <v>45616.372200868056</v>
      </c>
      <c r="U2977" s="29">
        <v>45617.62786217593</v>
      </c>
      <c r="V2977" s="29">
        <v>45631.49952380787</v>
      </c>
      <c r="W2977" s="11"/>
      <c r="X2977" s="30"/>
      <c r="Y2977" s="31"/>
      <c r="Z2977" s="31"/>
      <c r="AA2977" s="31" t="s">
        <v>94</v>
      </c>
      <c r="AB2977" s="31" t="s">
        <v>11683</v>
      </c>
      <c r="AC2977" s="31"/>
    </row>
    <row r="2978" ht="18.75" customHeight="1">
      <c r="A2978" s="142" t="s">
        <v>11684</v>
      </c>
      <c r="B2978" s="19" t="s">
        <v>8933</v>
      </c>
      <c r="C2978" s="20">
        <v>27.0</v>
      </c>
      <c r="D2978" s="39" t="s">
        <v>11685</v>
      </c>
      <c r="E2978" s="27" t="s">
        <v>72</v>
      </c>
      <c r="F2978" s="18" t="s">
        <v>48</v>
      </c>
      <c r="G2978" s="18" t="s">
        <v>35</v>
      </c>
      <c r="H2978" s="40" t="s">
        <v>35</v>
      </c>
      <c r="I2978" s="37" t="s">
        <v>36</v>
      </c>
      <c r="J2978" s="25" t="s">
        <v>65</v>
      </c>
      <c r="K2978" s="26" t="s">
        <v>38</v>
      </c>
      <c r="L2978" s="25">
        <v>12047.0</v>
      </c>
      <c r="M2978" s="62" t="s">
        <v>50</v>
      </c>
      <c r="N2978" s="42" t="s">
        <v>11189</v>
      </c>
      <c r="O2978" s="63">
        <v>45618.707083229165</v>
      </c>
      <c r="P2978" s="26" t="s">
        <v>11686</v>
      </c>
      <c r="Q2978" s="11" t="s">
        <v>67</v>
      </c>
      <c r="R2978" s="11" t="s">
        <v>67</v>
      </c>
      <c r="S2978" s="11" t="s">
        <v>50</v>
      </c>
      <c r="T2978" s="29">
        <v>45616.37313356482</v>
      </c>
      <c r="U2978" s="29">
        <v>45617.62427436342</v>
      </c>
      <c r="V2978" s="29">
        <v>45618.349805254635</v>
      </c>
      <c r="W2978" s="38"/>
      <c r="X2978" s="30"/>
      <c r="Y2978" s="31"/>
      <c r="Z2978" s="31"/>
      <c r="AA2978" s="31" t="s">
        <v>94</v>
      </c>
      <c r="AB2978" s="31" t="s">
        <v>11687</v>
      </c>
      <c r="AC2978" s="31"/>
    </row>
    <row r="2979" ht="18.75" customHeight="1">
      <c r="A2979" s="151" t="s">
        <v>11688</v>
      </c>
      <c r="B2979" s="19" t="s">
        <v>4901</v>
      </c>
      <c r="C2979" s="20">
        <v>90.0</v>
      </c>
      <c r="D2979" s="61" t="s">
        <v>11689</v>
      </c>
      <c r="E2979" s="27" t="s">
        <v>91</v>
      </c>
      <c r="F2979" s="18" t="s">
        <v>48</v>
      </c>
      <c r="G2979" s="18" t="s">
        <v>35</v>
      </c>
      <c r="H2979" s="40" t="s">
        <v>35</v>
      </c>
      <c r="I2979" s="24" t="s">
        <v>36</v>
      </c>
      <c r="J2979" s="25" t="s">
        <v>49</v>
      </c>
      <c r="K2979" s="26" t="s">
        <v>518</v>
      </c>
      <c r="L2979" s="64" t="s">
        <v>2740</v>
      </c>
      <c r="M2979" s="22" t="s">
        <v>50</v>
      </c>
      <c r="N2979" s="65" t="s">
        <v>125</v>
      </c>
      <c r="O2979" s="28">
        <v>45645.73094907407</v>
      </c>
      <c r="P2979" s="26" t="s">
        <v>11690</v>
      </c>
      <c r="Q2979" s="11" t="s">
        <v>67</v>
      </c>
      <c r="R2979" s="11" t="s">
        <v>67</v>
      </c>
      <c r="S2979" s="11" t="s">
        <v>73</v>
      </c>
      <c r="T2979" s="29">
        <v>45616.43545331019</v>
      </c>
      <c r="U2979" s="29">
        <v>45616.44906409722</v>
      </c>
      <c r="V2979" s="29">
        <v>45643.75588128473</v>
      </c>
      <c r="W2979" s="11"/>
      <c r="X2979" s="30"/>
      <c r="Y2979" s="66">
        <v>-12039.0</v>
      </c>
      <c r="Z2979" s="31"/>
      <c r="AA2979" s="31" t="s">
        <v>4904</v>
      </c>
      <c r="AB2979" s="31" t="s">
        <v>11691</v>
      </c>
      <c r="AC2979" s="31"/>
    </row>
    <row r="2980" ht="18.75" customHeight="1">
      <c r="A2980" s="18" t="s">
        <v>11692</v>
      </c>
      <c r="B2980" s="19" t="s">
        <v>530</v>
      </c>
      <c r="C2980" s="20">
        <v>27.0</v>
      </c>
      <c r="D2980" s="39" t="s">
        <v>11693</v>
      </c>
      <c r="E2980" s="27" t="s">
        <v>72</v>
      </c>
      <c r="F2980" s="18" t="s">
        <v>48</v>
      </c>
      <c r="G2980" s="18" t="s">
        <v>35</v>
      </c>
      <c r="H2980" s="40" t="s">
        <v>35</v>
      </c>
      <c r="I2980" s="37" t="s">
        <v>36</v>
      </c>
      <c r="J2980" s="25" t="s">
        <v>92</v>
      </c>
      <c r="K2980" s="26" t="s">
        <v>38</v>
      </c>
      <c r="L2980" s="25">
        <v>12018.0</v>
      </c>
      <c r="M2980" s="62" t="s">
        <v>50</v>
      </c>
      <c r="N2980" s="42" t="s">
        <v>4767</v>
      </c>
      <c r="O2980" s="63">
        <v>45625.36971518518</v>
      </c>
      <c r="P2980" s="26" t="s">
        <v>11694</v>
      </c>
      <c r="Q2980" s="11" t="s">
        <v>67</v>
      </c>
      <c r="R2980" s="11" t="s">
        <v>67</v>
      </c>
      <c r="S2980" s="11" t="s">
        <v>50</v>
      </c>
      <c r="T2980" s="29">
        <v>45616.386905</v>
      </c>
      <c r="U2980" s="29">
        <v>45616.40124152778</v>
      </c>
      <c r="V2980" s="29">
        <v>45616.56717498843</v>
      </c>
      <c r="W2980" s="38"/>
      <c r="X2980" s="30"/>
      <c r="Y2980" s="31"/>
      <c r="Z2980" s="31"/>
      <c r="AA2980" s="31" t="s">
        <v>120</v>
      </c>
      <c r="AB2980" s="31" t="s">
        <v>11695</v>
      </c>
      <c r="AC2980" s="31"/>
    </row>
    <row r="2981" ht="18.75" customHeight="1">
      <c r="A2981" s="18" t="s">
        <v>11696</v>
      </c>
      <c r="B2981" s="19" t="s">
        <v>530</v>
      </c>
      <c r="C2981" s="20">
        <v>27.0</v>
      </c>
      <c r="D2981" s="39" t="s">
        <v>11697</v>
      </c>
      <c r="E2981" s="27" t="s">
        <v>72</v>
      </c>
      <c r="F2981" s="18" t="s">
        <v>48</v>
      </c>
      <c r="G2981" s="18" t="s">
        <v>35</v>
      </c>
      <c r="H2981" s="40" t="s">
        <v>35</v>
      </c>
      <c r="I2981" s="37" t="s">
        <v>36</v>
      </c>
      <c r="J2981" s="25" t="s">
        <v>92</v>
      </c>
      <c r="K2981" s="26" t="s">
        <v>38</v>
      </c>
      <c r="L2981" s="25">
        <v>12018.0</v>
      </c>
      <c r="M2981" s="62" t="s">
        <v>50</v>
      </c>
      <c r="N2981" s="42" t="s">
        <v>4767</v>
      </c>
      <c r="O2981" s="63">
        <v>45625.369808240735</v>
      </c>
      <c r="P2981" s="26" t="s">
        <v>11694</v>
      </c>
      <c r="Q2981" s="11" t="s">
        <v>67</v>
      </c>
      <c r="R2981" s="11" t="s">
        <v>67</v>
      </c>
      <c r="S2981" s="11" t="s">
        <v>50</v>
      </c>
      <c r="T2981" s="29">
        <v>45616.387010266204</v>
      </c>
      <c r="U2981" s="29">
        <v>45616.40128704861</v>
      </c>
      <c r="V2981" s="29">
        <v>45616.567185486114</v>
      </c>
      <c r="W2981" s="38"/>
      <c r="X2981" s="30"/>
      <c r="Y2981" s="31"/>
      <c r="Z2981" s="31"/>
      <c r="AA2981" s="31" t="s">
        <v>120</v>
      </c>
      <c r="AB2981" s="31" t="s">
        <v>11698</v>
      </c>
      <c r="AC2981" s="31"/>
    </row>
    <row r="2982" ht="18.75" customHeight="1">
      <c r="A2982" s="142" t="s">
        <v>11699</v>
      </c>
      <c r="B2982" s="19" t="s">
        <v>530</v>
      </c>
      <c r="C2982" s="20">
        <v>11.0</v>
      </c>
      <c r="D2982" s="61"/>
      <c r="E2982" s="27" t="s">
        <v>112</v>
      </c>
      <c r="F2982" s="18" t="s">
        <v>48</v>
      </c>
      <c r="G2982" s="18" t="s">
        <v>35</v>
      </c>
      <c r="H2982" s="40" t="s">
        <v>35</v>
      </c>
      <c r="I2982" s="24" t="s">
        <v>36</v>
      </c>
      <c r="J2982" s="25" t="s">
        <v>92</v>
      </c>
      <c r="K2982" s="26" t="s">
        <v>38</v>
      </c>
      <c r="L2982" s="64"/>
      <c r="M2982" s="62" t="s">
        <v>50</v>
      </c>
      <c r="N2982" s="42" t="s">
        <v>4767</v>
      </c>
      <c r="O2982" s="63">
        <v>45625.37024335648</v>
      </c>
      <c r="P2982" s="35" t="s">
        <v>11700</v>
      </c>
      <c r="Q2982" s="11" t="s">
        <v>67</v>
      </c>
      <c r="R2982" s="11" t="s">
        <v>67</v>
      </c>
      <c r="S2982" s="11" t="s">
        <v>9620</v>
      </c>
      <c r="T2982" s="29">
        <v>45616.39047128472</v>
      </c>
      <c r="U2982" s="29">
        <v>45616.401617870375</v>
      </c>
      <c r="V2982" s="29">
        <v>45645.69584289352</v>
      </c>
      <c r="W2982" s="38"/>
      <c r="X2982" s="30"/>
      <c r="Y2982" s="66">
        <v>12019.0</v>
      </c>
      <c r="Z2982" s="78"/>
      <c r="AA2982" s="31" t="s">
        <v>120</v>
      </c>
      <c r="AB2982" s="31" t="s">
        <v>11701</v>
      </c>
      <c r="AC2982" s="31"/>
    </row>
    <row r="2983" ht="18.75" customHeight="1">
      <c r="A2983" s="142" t="s">
        <v>11702</v>
      </c>
      <c r="B2983" s="19" t="s">
        <v>530</v>
      </c>
      <c r="C2983" s="20">
        <v>34.0</v>
      </c>
      <c r="D2983" s="61" t="s">
        <v>11703</v>
      </c>
      <c r="E2983" s="27" t="s">
        <v>47</v>
      </c>
      <c r="F2983" s="18" t="s">
        <v>48</v>
      </c>
      <c r="G2983" s="18" t="s">
        <v>35</v>
      </c>
      <c r="H2983" s="40" t="s">
        <v>35</v>
      </c>
      <c r="I2983" s="37" t="s">
        <v>36</v>
      </c>
      <c r="J2983" s="25" t="s">
        <v>92</v>
      </c>
      <c r="K2983" s="26" t="s">
        <v>38</v>
      </c>
      <c r="L2983" s="25">
        <v>12020.0</v>
      </c>
      <c r="M2983" s="62" t="s">
        <v>50</v>
      </c>
      <c r="N2983" s="42" t="s">
        <v>4767</v>
      </c>
      <c r="O2983" s="63">
        <v>45625.37101091435</v>
      </c>
      <c r="P2983" s="26" t="s">
        <v>11704</v>
      </c>
      <c r="Q2983" s="11" t="s">
        <v>67</v>
      </c>
      <c r="R2983" s="11" t="s">
        <v>67</v>
      </c>
      <c r="S2983" s="11" t="s">
        <v>50</v>
      </c>
      <c r="T2983" s="29">
        <v>45616.39433461806</v>
      </c>
      <c r="U2983" s="29">
        <v>45616.401473101854</v>
      </c>
      <c r="V2983" s="29">
        <v>45616.56902851852</v>
      </c>
      <c r="W2983" s="38"/>
      <c r="X2983" s="30"/>
      <c r="Y2983" s="31"/>
      <c r="Z2983" s="31"/>
      <c r="AA2983" s="31" t="s">
        <v>120</v>
      </c>
      <c r="AB2983" s="31" t="s">
        <v>11705</v>
      </c>
      <c r="AC2983" s="31"/>
    </row>
    <row r="2984" ht="18.75" customHeight="1">
      <c r="A2984" s="142" t="s">
        <v>11706</v>
      </c>
      <c r="B2984" s="19" t="s">
        <v>115</v>
      </c>
      <c r="C2984" s="20">
        <v>0.0</v>
      </c>
      <c r="D2984" s="61" t="s">
        <v>11707</v>
      </c>
      <c r="E2984" s="27" t="s">
        <v>117</v>
      </c>
      <c r="F2984" s="18" t="s">
        <v>33</v>
      </c>
      <c r="G2984" s="18" t="s">
        <v>35</v>
      </c>
      <c r="H2984" s="40" t="s">
        <v>35</v>
      </c>
      <c r="I2984" s="37" t="s">
        <v>36</v>
      </c>
      <c r="J2984" s="25" t="s">
        <v>92</v>
      </c>
      <c r="K2984" s="26" t="s">
        <v>38</v>
      </c>
      <c r="L2984" s="25">
        <v>12132.0</v>
      </c>
      <c r="M2984" s="62" t="s">
        <v>50</v>
      </c>
      <c r="N2984" s="42" t="s">
        <v>118</v>
      </c>
      <c r="O2984" s="63">
        <v>45637.65988871528</v>
      </c>
      <c r="P2984" s="26" t="s">
        <v>11708</v>
      </c>
      <c r="Q2984" s="11" t="s">
        <v>67</v>
      </c>
      <c r="R2984" s="11" t="s">
        <v>67</v>
      </c>
      <c r="S2984" s="11" t="s">
        <v>101</v>
      </c>
      <c r="T2984" s="29">
        <v>45617.55372631944</v>
      </c>
      <c r="U2984" s="29">
        <v>45618.34553092593</v>
      </c>
      <c r="V2984" s="29">
        <v>45630.61408649306</v>
      </c>
      <c r="W2984" s="11"/>
      <c r="X2984" s="30"/>
      <c r="Y2984" s="31"/>
      <c r="Z2984" s="31"/>
      <c r="AA2984" s="31" t="s">
        <v>120</v>
      </c>
      <c r="AB2984" s="31" t="s">
        <v>11709</v>
      </c>
      <c r="AC2984" s="31"/>
    </row>
    <row r="2985" ht="18.75" customHeight="1">
      <c r="A2985" s="142" t="s">
        <v>11710</v>
      </c>
      <c r="B2985" s="19" t="s">
        <v>3289</v>
      </c>
      <c r="C2985" s="20">
        <v>1.0</v>
      </c>
      <c r="D2985" s="61" t="s">
        <v>11711</v>
      </c>
      <c r="E2985" s="27" t="s">
        <v>11712</v>
      </c>
      <c r="F2985" s="18" t="s">
        <v>48</v>
      </c>
      <c r="G2985" s="18" t="s">
        <v>35</v>
      </c>
      <c r="H2985" s="40" t="s">
        <v>35</v>
      </c>
      <c r="I2985" s="37" t="s">
        <v>36</v>
      </c>
      <c r="J2985" s="25" t="s">
        <v>92</v>
      </c>
      <c r="K2985" s="26" t="s">
        <v>38</v>
      </c>
      <c r="L2985" s="25">
        <v>12393.0</v>
      </c>
      <c r="M2985" s="62" t="s">
        <v>50</v>
      </c>
      <c r="N2985" s="42" t="s">
        <v>4362</v>
      </c>
      <c r="O2985" s="63">
        <v>45694.47860494213</v>
      </c>
      <c r="P2985" s="26" t="s">
        <v>11713</v>
      </c>
      <c r="Q2985" s="11" t="s">
        <v>67</v>
      </c>
      <c r="R2985" s="11" t="s">
        <v>67</v>
      </c>
      <c r="S2985" s="11" t="s">
        <v>101</v>
      </c>
      <c r="T2985" s="29">
        <v>45617.60539203703</v>
      </c>
      <c r="U2985" s="29">
        <v>45618.3451837037</v>
      </c>
      <c r="V2985" s="141">
        <v>45700.7055696875</v>
      </c>
      <c r="W2985" s="11"/>
      <c r="X2985" s="30"/>
      <c r="Y2985" s="31"/>
      <c r="Z2985" s="31"/>
      <c r="AA2985" s="31" t="s">
        <v>120</v>
      </c>
      <c r="AB2985" s="31" t="s">
        <v>11714</v>
      </c>
      <c r="AC2985" s="31"/>
    </row>
    <row r="2986" ht="18.75" customHeight="1">
      <c r="A2986" s="142" t="s">
        <v>11715</v>
      </c>
      <c r="B2986" s="19" t="s">
        <v>1299</v>
      </c>
      <c r="C2986" s="20">
        <v>90.0</v>
      </c>
      <c r="D2986" s="61" t="s">
        <v>11716</v>
      </c>
      <c r="E2986" s="27" t="s">
        <v>91</v>
      </c>
      <c r="F2986" s="18" t="s">
        <v>48</v>
      </c>
      <c r="G2986" s="18" t="s">
        <v>35</v>
      </c>
      <c r="H2986" s="40" t="s">
        <v>35</v>
      </c>
      <c r="I2986" s="37" t="s">
        <v>36</v>
      </c>
      <c r="J2986" s="25" t="s">
        <v>92</v>
      </c>
      <c r="K2986" s="26" t="s">
        <v>38</v>
      </c>
      <c r="L2986" s="25">
        <v>12072.0</v>
      </c>
      <c r="M2986" s="62" t="s">
        <v>50</v>
      </c>
      <c r="N2986" s="42" t="s">
        <v>4767</v>
      </c>
      <c r="O2986" s="63">
        <v>45625.372621365736</v>
      </c>
      <c r="P2986" s="26" t="s">
        <v>11717</v>
      </c>
      <c r="Q2986" s="11" t="s">
        <v>67</v>
      </c>
      <c r="R2986" s="11" t="s">
        <v>67</v>
      </c>
      <c r="S2986" s="11" t="s">
        <v>50</v>
      </c>
      <c r="T2986" s="29">
        <v>45617.5639709838</v>
      </c>
      <c r="U2986" s="29">
        <v>45618.34495240741</v>
      </c>
      <c r="V2986" s="29">
        <v>45623.35177949074</v>
      </c>
      <c r="W2986" s="38"/>
      <c r="X2986" s="30"/>
      <c r="Y2986" s="31"/>
      <c r="Z2986" s="31"/>
      <c r="AA2986" s="31" t="s">
        <v>120</v>
      </c>
      <c r="AB2986" s="31" t="s">
        <v>11718</v>
      </c>
      <c r="AC2986" s="31"/>
    </row>
    <row r="2987" ht="18.75" customHeight="1">
      <c r="A2987" s="142" t="s">
        <v>11719</v>
      </c>
      <c r="B2987" s="19" t="s">
        <v>11720</v>
      </c>
      <c r="C2987" s="20">
        <v>27.0</v>
      </c>
      <c r="D2987" s="39" t="s">
        <v>11721</v>
      </c>
      <c r="E2987" s="27" t="s">
        <v>72</v>
      </c>
      <c r="F2987" s="18" t="s">
        <v>48</v>
      </c>
      <c r="G2987" s="18" t="s">
        <v>35</v>
      </c>
      <c r="H2987" s="40" t="s">
        <v>35</v>
      </c>
      <c r="I2987" s="37" t="s">
        <v>36</v>
      </c>
      <c r="J2987" s="25" t="s">
        <v>65</v>
      </c>
      <c r="K2987" s="26" t="s">
        <v>38</v>
      </c>
      <c r="L2987" s="25">
        <v>12048.0</v>
      </c>
      <c r="M2987" s="62" t="s">
        <v>50</v>
      </c>
      <c r="N2987" s="42" t="s">
        <v>11189</v>
      </c>
      <c r="O2987" s="63">
        <v>45618.707146064815</v>
      </c>
      <c r="P2987" s="26" t="s">
        <v>11722</v>
      </c>
      <c r="Q2987" s="11" t="s">
        <v>67</v>
      </c>
      <c r="R2987" s="11" t="s">
        <v>67</v>
      </c>
      <c r="S2987" s="11" t="s">
        <v>50</v>
      </c>
      <c r="T2987" s="29">
        <v>45617.58573090278</v>
      </c>
      <c r="U2987" s="29">
        <v>45617.63412306713</v>
      </c>
      <c r="V2987" s="29">
        <v>45618.35030797454</v>
      </c>
      <c r="W2987" s="38"/>
      <c r="X2987" s="30"/>
      <c r="Y2987" s="31"/>
      <c r="Z2987" s="31"/>
      <c r="AA2987" s="31" t="s">
        <v>94</v>
      </c>
      <c r="AB2987" s="31" t="s">
        <v>11723</v>
      </c>
      <c r="AC2987" s="31"/>
    </row>
    <row r="2988" ht="18.75" customHeight="1">
      <c r="A2988" s="142" t="s">
        <v>11724</v>
      </c>
      <c r="B2988" s="19" t="s">
        <v>7703</v>
      </c>
      <c r="C2988" s="20">
        <v>27.0</v>
      </c>
      <c r="D2988" s="39" t="s">
        <v>11725</v>
      </c>
      <c r="E2988" s="27" t="s">
        <v>72</v>
      </c>
      <c r="F2988" s="18" t="s">
        <v>48</v>
      </c>
      <c r="G2988" s="18" t="s">
        <v>35</v>
      </c>
      <c r="H2988" s="40" t="s">
        <v>35</v>
      </c>
      <c r="I2988" s="37" t="s">
        <v>36</v>
      </c>
      <c r="J2988" s="25" t="s">
        <v>9338</v>
      </c>
      <c r="K2988" s="26" t="s">
        <v>38</v>
      </c>
      <c r="L2988" s="25">
        <v>12049.0</v>
      </c>
      <c r="M2988" s="62" t="s">
        <v>50</v>
      </c>
      <c r="N2988" s="42" t="s">
        <v>11414</v>
      </c>
      <c r="O2988" s="63">
        <v>45622.70449771991</v>
      </c>
      <c r="P2988" s="26" t="s">
        <v>11726</v>
      </c>
      <c r="Q2988" s="11" t="s">
        <v>67</v>
      </c>
      <c r="R2988" s="11" t="s">
        <v>67</v>
      </c>
      <c r="S2988" s="11" t="s">
        <v>50</v>
      </c>
      <c r="T2988" s="29">
        <v>45617.588222025464</v>
      </c>
      <c r="U2988" s="29">
        <v>45617.63006085648</v>
      </c>
      <c r="V2988" s="29">
        <v>45618.35112523148</v>
      </c>
      <c r="W2988" s="38"/>
      <c r="X2988" s="30"/>
      <c r="Y2988" s="31"/>
      <c r="Z2988" s="31"/>
      <c r="AA2988" s="31" t="s">
        <v>3059</v>
      </c>
      <c r="AB2988" s="31" t="s">
        <v>11727</v>
      </c>
      <c r="AC2988" s="31"/>
    </row>
    <row r="2989" ht="18.75" customHeight="1">
      <c r="A2989" s="142" t="s">
        <v>11728</v>
      </c>
      <c r="B2989" s="19" t="s">
        <v>5287</v>
      </c>
      <c r="C2989" s="20">
        <v>11.0</v>
      </c>
      <c r="D2989" s="61" t="s">
        <v>11729</v>
      </c>
      <c r="E2989" s="27" t="s">
        <v>112</v>
      </c>
      <c r="F2989" s="18" t="s">
        <v>48</v>
      </c>
      <c r="G2989" s="18" t="s">
        <v>35</v>
      </c>
      <c r="H2989" s="40" t="s">
        <v>35</v>
      </c>
      <c r="I2989" s="37" t="s">
        <v>36</v>
      </c>
      <c r="J2989" s="25" t="s">
        <v>49</v>
      </c>
      <c r="K2989" s="26" t="s">
        <v>38</v>
      </c>
      <c r="L2989" s="72">
        <v>15052.0</v>
      </c>
      <c r="M2989" s="62" t="s">
        <v>50</v>
      </c>
      <c r="N2989" s="42" t="s">
        <v>99</v>
      </c>
      <c r="O2989" s="63">
        <v>45618.61303628472</v>
      </c>
      <c r="P2989" s="26" t="s">
        <v>11730</v>
      </c>
      <c r="Q2989" s="11" t="s">
        <v>67</v>
      </c>
      <c r="R2989" s="11" t="s">
        <v>67</v>
      </c>
      <c r="S2989" s="11" t="s">
        <v>50</v>
      </c>
      <c r="T2989" s="29">
        <v>45617.59068055556</v>
      </c>
      <c r="U2989" s="29">
        <v>45617.63446998842</v>
      </c>
      <c r="V2989" s="29">
        <v>45618.55378666667</v>
      </c>
      <c r="W2989" s="38"/>
      <c r="X2989" s="30"/>
      <c r="Y2989" s="31"/>
      <c r="Z2989" s="31"/>
      <c r="AA2989" s="31" t="s">
        <v>5290</v>
      </c>
      <c r="AB2989" s="31" t="s">
        <v>11731</v>
      </c>
      <c r="AC2989" s="31"/>
    </row>
    <row r="2990" ht="18.75" customHeight="1">
      <c r="A2990" s="18" t="s">
        <v>11732</v>
      </c>
      <c r="B2990" s="19" t="s">
        <v>11733</v>
      </c>
      <c r="C2990" s="20">
        <v>34.0</v>
      </c>
      <c r="D2990" s="61" t="s">
        <v>11734</v>
      </c>
      <c r="E2990" s="27" t="s">
        <v>47</v>
      </c>
      <c r="F2990" s="18" t="s">
        <v>48</v>
      </c>
      <c r="G2990" s="18" t="s">
        <v>35</v>
      </c>
      <c r="H2990" s="40" t="s">
        <v>35</v>
      </c>
      <c r="I2990" s="37" t="s">
        <v>36</v>
      </c>
      <c r="J2990" s="25" t="s">
        <v>49</v>
      </c>
      <c r="K2990" s="26" t="s">
        <v>38</v>
      </c>
      <c r="L2990" s="25">
        <v>12050.0</v>
      </c>
      <c r="M2990" s="62" t="s">
        <v>50</v>
      </c>
      <c r="N2990" s="42" t="s">
        <v>99</v>
      </c>
      <c r="O2990" s="63">
        <v>45618.61337515047</v>
      </c>
      <c r="P2990" s="26" t="s">
        <v>11735</v>
      </c>
      <c r="Q2990" s="11" t="s">
        <v>67</v>
      </c>
      <c r="R2990" s="11" t="s">
        <v>67</v>
      </c>
      <c r="S2990" s="11" t="s">
        <v>50</v>
      </c>
      <c r="T2990" s="29">
        <v>45617.5940508912</v>
      </c>
      <c r="U2990" s="29">
        <v>45618.35908255787</v>
      </c>
      <c r="V2990" s="29">
        <v>45618.36384790509</v>
      </c>
      <c r="W2990" s="38"/>
      <c r="X2990" s="30"/>
      <c r="Y2990" s="31"/>
      <c r="Z2990" s="31"/>
      <c r="AA2990" s="31" t="s">
        <v>127</v>
      </c>
      <c r="AB2990" s="31" t="s">
        <v>11736</v>
      </c>
      <c r="AC2990" s="31"/>
    </row>
    <row r="2991" ht="18.75" customHeight="1">
      <c r="A2991" s="18" t="s">
        <v>11737</v>
      </c>
      <c r="B2991" s="19" t="s">
        <v>11733</v>
      </c>
      <c r="C2991" s="20">
        <v>34.0</v>
      </c>
      <c r="D2991" s="61" t="s">
        <v>11738</v>
      </c>
      <c r="E2991" s="27" t="s">
        <v>47</v>
      </c>
      <c r="F2991" s="18" t="s">
        <v>48</v>
      </c>
      <c r="G2991" s="18" t="s">
        <v>35</v>
      </c>
      <c r="H2991" s="40" t="s">
        <v>35</v>
      </c>
      <c r="I2991" s="37" t="s">
        <v>36</v>
      </c>
      <c r="J2991" s="25" t="s">
        <v>49</v>
      </c>
      <c r="K2991" s="26" t="s">
        <v>38</v>
      </c>
      <c r="L2991" s="25">
        <v>12050.0</v>
      </c>
      <c r="M2991" s="62" t="s">
        <v>50</v>
      </c>
      <c r="N2991" s="42" t="s">
        <v>99</v>
      </c>
      <c r="O2991" s="63">
        <v>45618.61344591435</v>
      </c>
      <c r="P2991" s="26" t="s">
        <v>11735</v>
      </c>
      <c r="Q2991" s="11" t="s">
        <v>67</v>
      </c>
      <c r="R2991" s="11" t="s">
        <v>67</v>
      </c>
      <c r="S2991" s="11" t="s">
        <v>50</v>
      </c>
      <c r="T2991" s="29">
        <v>45617.59811497685</v>
      </c>
      <c r="U2991" s="29">
        <v>45618.3591021412</v>
      </c>
      <c r="V2991" s="29">
        <v>45618.36385836806</v>
      </c>
      <c r="W2991" s="38"/>
      <c r="X2991" s="30"/>
      <c r="Y2991" s="31"/>
      <c r="Z2991" s="31"/>
      <c r="AA2991" s="31" t="s">
        <v>127</v>
      </c>
      <c r="AB2991" s="31" t="s">
        <v>11739</v>
      </c>
      <c r="AC2991" s="31"/>
    </row>
    <row r="2992" ht="18.75" customHeight="1">
      <c r="A2992" s="142" t="s">
        <v>11740</v>
      </c>
      <c r="B2992" s="19" t="s">
        <v>96</v>
      </c>
      <c r="C2992" s="20">
        <v>0.0</v>
      </c>
      <c r="D2992" s="61" t="s">
        <v>11741</v>
      </c>
      <c r="E2992" s="22" t="s">
        <v>98</v>
      </c>
      <c r="F2992" s="18" t="s">
        <v>33</v>
      </c>
      <c r="G2992" s="18" t="s">
        <v>35</v>
      </c>
      <c r="H2992" s="40" t="s">
        <v>35</v>
      </c>
      <c r="I2992" s="37" t="s">
        <v>36</v>
      </c>
      <c r="J2992" s="25" t="s">
        <v>49</v>
      </c>
      <c r="K2992" s="26" t="s">
        <v>38</v>
      </c>
      <c r="L2992" s="25">
        <v>12067.0</v>
      </c>
      <c r="M2992" s="62" t="s">
        <v>50</v>
      </c>
      <c r="N2992" s="42" t="s">
        <v>99</v>
      </c>
      <c r="O2992" s="63">
        <v>45622.58377964121</v>
      </c>
      <c r="P2992" s="26" t="s">
        <v>11742</v>
      </c>
      <c r="Q2992" s="11" t="s">
        <v>67</v>
      </c>
      <c r="R2992" s="11" t="s">
        <v>67</v>
      </c>
      <c r="S2992" s="11" t="s">
        <v>101</v>
      </c>
      <c r="T2992" s="29">
        <v>45617.61377016203</v>
      </c>
      <c r="U2992" s="29">
        <v>45617.63180802083</v>
      </c>
      <c r="V2992" s="29">
        <v>45621.724808935185</v>
      </c>
      <c r="W2992" s="38"/>
      <c r="X2992" s="30"/>
      <c r="Y2992" s="31"/>
      <c r="Z2992" s="31"/>
      <c r="AA2992" s="31" t="s">
        <v>102</v>
      </c>
      <c r="AB2992" s="31" t="s">
        <v>11743</v>
      </c>
      <c r="AC2992" s="31"/>
    </row>
    <row r="2993" ht="18.75" customHeight="1">
      <c r="A2993" s="18" t="s">
        <v>11744</v>
      </c>
      <c r="B2993" s="19" t="s">
        <v>451</v>
      </c>
      <c r="C2993" s="20">
        <v>0.0</v>
      </c>
      <c r="D2993" s="166" t="s">
        <v>699</v>
      </c>
      <c r="E2993" s="27" t="s">
        <v>453</v>
      </c>
      <c r="F2993" s="18" t="s">
        <v>244</v>
      </c>
      <c r="G2993" s="18" t="s">
        <v>35</v>
      </c>
      <c r="H2993" s="40" t="s">
        <v>35</v>
      </c>
      <c r="I2993" s="37" t="s">
        <v>36</v>
      </c>
      <c r="J2993" s="25" t="s">
        <v>49</v>
      </c>
      <c r="K2993" s="26" t="s">
        <v>38</v>
      </c>
      <c r="L2993" s="25">
        <v>12134.0</v>
      </c>
      <c r="M2993" s="62" t="s">
        <v>50</v>
      </c>
      <c r="N2993" s="42" t="s">
        <v>99</v>
      </c>
      <c r="O2993" s="63">
        <v>45631.68889428241</v>
      </c>
      <c r="P2993" s="26" t="s">
        <v>11745</v>
      </c>
      <c r="Q2993" s="11" t="s">
        <v>67</v>
      </c>
      <c r="R2993" s="11" t="s">
        <v>67</v>
      </c>
      <c r="S2993" s="11"/>
      <c r="T2993" s="29">
        <v>45618.34815150463</v>
      </c>
      <c r="U2993" s="29">
        <v>45629.4599869213</v>
      </c>
      <c r="V2993" s="29"/>
      <c r="W2993" s="11"/>
      <c r="X2993" s="30"/>
      <c r="Y2993" s="31"/>
      <c r="Z2993" s="31"/>
      <c r="AA2993" s="31" t="s">
        <v>127</v>
      </c>
      <c r="AB2993" s="31" t="s">
        <v>11746</v>
      </c>
      <c r="AC2993" s="31"/>
    </row>
    <row r="2994" ht="18.75" customHeight="1">
      <c r="A2994" s="18" t="s">
        <v>11747</v>
      </c>
      <c r="B2994" s="19" t="s">
        <v>451</v>
      </c>
      <c r="C2994" s="20">
        <v>0.0</v>
      </c>
      <c r="D2994" s="166" t="s">
        <v>703</v>
      </c>
      <c r="E2994" s="27" t="s">
        <v>453</v>
      </c>
      <c r="F2994" s="18" t="s">
        <v>244</v>
      </c>
      <c r="G2994" s="18" t="s">
        <v>35</v>
      </c>
      <c r="H2994" s="40" t="s">
        <v>35</v>
      </c>
      <c r="I2994" s="37" t="s">
        <v>36</v>
      </c>
      <c r="J2994" s="25" t="s">
        <v>49</v>
      </c>
      <c r="K2994" s="26" t="s">
        <v>38</v>
      </c>
      <c r="L2994" s="25">
        <v>12134.0</v>
      </c>
      <c r="M2994" s="62" t="s">
        <v>50</v>
      </c>
      <c r="N2994" s="42" t="s">
        <v>99</v>
      </c>
      <c r="O2994" s="63">
        <v>45631.68901508102</v>
      </c>
      <c r="P2994" s="26" t="s">
        <v>11745</v>
      </c>
      <c r="Q2994" s="11" t="s">
        <v>67</v>
      </c>
      <c r="R2994" s="11" t="s">
        <v>67</v>
      </c>
      <c r="S2994" s="11"/>
      <c r="T2994" s="29">
        <v>45618.34835255787</v>
      </c>
      <c r="U2994" s="29">
        <v>45629.459980520835</v>
      </c>
      <c r="V2994" s="29"/>
      <c r="W2994" s="11"/>
      <c r="X2994" s="30"/>
      <c r="Y2994" s="31"/>
      <c r="Z2994" s="31"/>
      <c r="AA2994" s="31" t="s">
        <v>127</v>
      </c>
      <c r="AB2994" s="31" t="s">
        <v>11748</v>
      </c>
      <c r="AC2994" s="31"/>
    </row>
    <row r="2995" ht="18.75" customHeight="1">
      <c r="A2995" s="18" t="s">
        <v>11749</v>
      </c>
      <c r="B2995" s="19" t="s">
        <v>451</v>
      </c>
      <c r="C2995" s="20">
        <v>0.0</v>
      </c>
      <c r="D2995" s="61" t="s">
        <v>11750</v>
      </c>
      <c r="E2995" s="27" t="s">
        <v>453</v>
      </c>
      <c r="F2995" s="18" t="s">
        <v>244</v>
      </c>
      <c r="G2995" s="18" t="s">
        <v>35</v>
      </c>
      <c r="H2995" s="40" t="s">
        <v>35</v>
      </c>
      <c r="I2995" s="37" t="s">
        <v>36</v>
      </c>
      <c r="J2995" s="25" t="s">
        <v>49</v>
      </c>
      <c r="K2995" s="26" t="s">
        <v>38</v>
      </c>
      <c r="L2995" s="25">
        <v>12134.0</v>
      </c>
      <c r="M2995" s="62" t="s">
        <v>50</v>
      </c>
      <c r="N2995" s="42" t="s">
        <v>99</v>
      </c>
      <c r="O2995" s="63">
        <v>45631.6891296875</v>
      </c>
      <c r="P2995" s="26" t="s">
        <v>11745</v>
      </c>
      <c r="Q2995" s="11" t="s">
        <v>67</v>
      </c>
      <c r="R2995" s="11" t="s">
        <v>67</v>
      </c>
      <c r="S2995" s="11"/>
      <c r="T2995" s="29">
        <v>45618.34840685185</v>
      </c>
      <c r="U2995" s="29">
        <v>45629.459976631944</v>
      </c>
      <c r="V2995" s="29"/>
      <c r="W2995" s="11"/>
      <c r="X2995" s="30"/>
      <c r="Y2995" s="31"/>
      <c r="Z2995" s="31"/>
      <c r="AA2995" s="31" t="s">
        <v>127</v>
      </c>
      <c r="AB2995" s="31" t="s">
        <v>11751</v>
      </c>
      <c r="AC2995" s="31"/>
    </row>
    <row r="2996" ht="18.75" customHeight="1">
      <c r="A2996" s="18" t="s">
        <v>11752</v>
      </c>
      <c r="B2996" s="19" t="s">
        <v>451</v>
      </c>
      <c r="C2996" s="20">
        <v>0.0</v>
      </c>
      <c r="D2996" s="61" t="s">
        <v>11753</v>
      </c>
      <c r="E2996" s="27" t="s">
        <v>453</v>
      </c>
      <c r="F2996" s="18" t="s">
        <v>244</v>
      </c>
      <c r="G2996" s="18" t="s">
        <v>35</v>
      </c>
      <c r="H2996" s="40" t="s">
        <v>35</v>
      </c>
      <c r="I2996" s="37" t="s">
        <v>36</v>
      </c>
      <c r="J2996" s="25" t="s">
        <v>49</v>
      </c>
      <c r="K2996" s="26" t="s">
        <v>38</v>
      </c>
      <c r="L2996" s="25">
        <v>12134.0</v>
      </c>
      <c r="M2996" s="62" t="s">
        <v>50</v>
      </c>
      <c r="N2996" s="42" t="s">
        <v>99</v>
      </c>
      <c r="O2996" s="63">
        <v>45631.68985415509</v>
      </c>
      <c r="P2996" s="26" t="s">
        <v>11745</v>
      </c>
      <c r="Q2996" s="11" t="s">
        <v>67</v>
      </c>
      <c r="R2996" s="11" t="s">
        <v>67</v>
      </c>
      <c r="S2996" s="11"/>
      <c r="T2996" s="29">
        <v>45618.348461064816</v>
      </c>
      <c r="U2996" s="29">
        <v>45629.45997445602</v>
      </c>
      <c r="V2996" s="29"/>
      <c r="W2996" s="11"/>
      <c r="X2996" s="30"/>
      <c r="Y2996" s="31"/>
      <c r="Z2996" s="31"/>
      <c r="AA2996" s="31" t="s">
        <v>127</v>
      </c>
      <c r="AB2996" s="31" t="s">
        <v>11754</v>
      </c>
      <c r="AC2996" s="31"/>
    </row>
    <row r="2997" ht="18.75" customHeight="1">
      <c r="A2997" s="18" t="s">
        <v>11755</v>
      </c>
      <c r="B2997" s="167">
        <v>45649.0</v>
      </c>
      <c r="C2997" s="20">
        <v>0.0</v>
      </c>
      <c r="D2997" s="61" t="s">
        <v>797</v>
      </c>
      <c r="E2997" s="27" t="s">
        <v>453</v>
      </c>
      <c r="F2997" s="18" t="s">
        <v>244</v>
      </c>
      <c r="G2997" s="18" t="s">
        <v>35</v>
      </c>
      <c r="H2997" s="40" t="s">
        <v>35</v>
      </c>
      <c r="I2997" s="37" t="s">
        <v>36</v>
      </c>
      <c r="J2997" s="25" t="s">
        <v>49</v>
      </c>
      <c r="K2997" s="26" t="s">
        <v>38</v>
      </c>
      <c r="L2997" s="25">
        <v>12134.0</v>
      </c>
      <c r="M2997" s="62" t="s">
        <v>50</v>
      </c>
      <c r="N2997" s="42" t="s">
        <v>99</v>
      </c>
      <c r="O2997" s="63">
        <v>45631.68907097222</v>
      </c>
      <c r="P2997" s="26" t="s">
        <v>11745</v>
      </c>
      <c r="Q2997" s="11" t="s">
        <v>67</v>
      </c>
      <c r="R2997" s="11" t="s">
        <v>67</v>
      </c>
      <c r="S2997" s="11"/>
      <c r="T2997" s="29">
        <v>45618.348527071765</v>
      </c>
      <c r="U2997" s="29">
        <v>45629.459978784726</v>
      </c>
      <c r="V2997" s="29"/>
      <c r="W2997" s="11"/>
      <c r="X2997" s="30"/>
      <c r="Y2997" s="31"/>
      <c r="Z2997" s="31"/>
      <c r="AA2997" s="31" t="s">
        <v>127</v>
      </c>
      <c r="AB2997" s="31" t="s">
        <v>11756</v>
      </c>
      <c r="AC2997" s="31"/>
    </row>
    <row r="2998" ht="18.75" customHeight="1">
      <c r="A2998" s="18" t="s">
        <v>11757</v>
      </c>
      <c r="B2998" s="19" t="s">
        <v>451</v>
      </c>
      <c r="C2998" s="20">
        <v>0.0</v>
      </c>
      <c r="D2998" s="166" t="s">
        <v>11758</v>
      </c>
      <c r="E2998" s="27" t="s">
        <v>453</v>
      </c>
      <c r="F2998" s="18" t="s">
        <v>244</v>
      </c>
      <c r="G2998" s="18" t="s">
        <v>35</v>
      </c>
      <c r="H2998" s="40" t="s">
        <v>35</v>
      </c>
      <c r="I2998" s="37" t="s">
        <v>36</v>
      </c>
      <c r="J2998" s="25" t="s">
        <v>49</v>
      </c>
      <c r="K2998" s="26" t="s">
        <v>38</v>
      </c>
      <c r="L2998" s="25">
        <v>12134.0</v>
      </c>
      <c r="M2998" s="62" t="s">
        <v>50</v>
      </c>
      <c r="N2998" s="42" t="s">
        <v>99</v>
      </c>
      <c r="O2998" s="63">
        <v>45631.688955949074</v>
      </c>
      <c r="P2998" s="26" t="s">
        <v>11745</v>
      </c>
      <c r="Q2998" s="11" t="s">
        <v>67</v>
      </c>
      <c r="R2998" s="11" t="s">
        <v>67</v>
      </c>
      <c r="S2998" s="11"/>
      <c r="T2998" s="29">
        <v>45618.34871298611</v>
      </c>
      <c r="U2998" s="29">
        <v>45629.45998353009</v>
      </c>
      <c r="V2998" s="29"/>
      <c r="W2998" s="11"/>
      <c r="X2998" s="30"/>
      <c r="Y2998" s="31"/>
      <c r="Z2998" s="31"/>
      <c r="AA2998" s="31" t="s">
        <v>127</v>
      </c>
      <c r="AB2998" s="31" t="s">
        <v>11759</v>
      </c>
      <c r="AC2998" s="31"/>
    </row>
    <row r="2999" ht="18.75" customHeight="1">
      <c r="A2999" s="18" t="s">
        <v>11760</v>
      </c>
      <c r="B2999" s="19" t="s">
        <v>451</v>
      </c>
      <c r="C2999" s="20">
        <v>0.0</v>
      </c>
      <c r="D2999" s="61" t="s">
        <v>11761</v>
      </c>
      <c r="E2999" s="27" t="s">
        <v>2412</v>
      </c>
      <c r="F2999" s="18" t="s">
        <v>244</v>
      </c>
      <c r="G2999" s="18" t="s">
        <v>35</v>
      </c>
      <c r="H2999" s="40" t="s">
        <v>35</v>
      </c>
      <c r="I2999" s="37" t="s">
        <v>36</v>
      </c>
      <c r="J2999" s="25" t="s">
        <v>49</v>
      </c>
      <c r="K2999" s="26" t="s">
        <v>38</v>
      </c>
      <c r="L2999" s="25">
        <v>12134.0</v>
      </c>
      <c r="M2999" s="62" t="s">
        <v>50</v>
      </c>
      <c r="N2999" s="42" t="s">
        <v>99</v>
      </c>
      <c r="O2999" s="63">
        <v>45631.68995398148</v>
      </c>
      <c r="P2999" s="26" t="s">
        <v>11745</v>
      </c>
      <c r="Q2999" s="11" t="s">
        <v>67</v>
      </c>
      <c r="R2999" s="11" t="s">
        <v>67</v>
      </c>
      <c r="S2999" s="11"/>
      <c r="T2999" s="29">
        <v>45618.34890887731</v>
      </c>
      <c r="U2999" s="29">
        <v>45629.459959872685</v>
      </c>
      <c r="V2999" s="29"/>
      <c r="W2999" s="11"/>
      <c r="X2999" s="30"/>
      <c r="Y2999" s="31"/>
      <c r="Z2999" s="31"/>
      <c r="AA2999" s="31" t="s">
        <v>127</v>
      </c>
      <c r="AB2999" s="31" t="s">
        <v>11762</v>
      </c>
      <c r="AC2999" s="31"/>
    </row>
    <row r="3000" ht="18.75" customHeight="1">
      <c r="A3000" s="18" t="s">
        <v>11763</v>
      </c>
      <c r="B3000" s="19" t="s">
        <v>451</v>
      </c>
      <c r="C3000" s="20">
        <v>0.0</v>
      </c>
      <c r="D3000" s="125" t="s">
        <v>11764</v>
      </c>
      <c r="E3000" s="27" t="s">
        <v>2412</v>
      </c>
      <c r="F3000" s="18" t="s">
        <v>244</v>
      </c>
      <c r="G3000" s="18" t="s">
        <v>35</v>
      </c>
      <c r="H3000" s="40" t="s">
        <v>35</v>
      </c>
      <c r="I3000" s="37" t="s">
        <v>36</v>
      </c>
      <c r="J3000" s="25" t="s">
        <v>49</v>
      </c>
      <c r="K3000" s="26" t="s">
        <v>38</v>
      </c>
      <c r="L3000" s="25">
        <v>12134.0</v>
      </c>
      <c r="M3000" s="62" t="s">
        <v>50</v>
      </c>
      <c r="N3000" s="42" t="s">
        <v>99</v>
      </c>
      <c r="O3000" s="63">
        <v>45631.68990655092</v>
      </c>
      <c r="P3000" s="26" t="s">
        <v>11745</v>
      </c>
      <c r="Q3000" s="11" t="s">
        <v>67</v>
      </c>
      <c r="R3000" s="11" t="s">
        <v>67</v>
      </c>
      <c r="S3000" s="11"/>
      <c r="T3000" s="29">
        <v>45618.349120370374</v>
      </c>
      <c r="U3000" s="29">
        <v>45629.45997059028</v>
      </c>
      <c r="V3000" s="29"/>
      <c r="W3000" s="11"/>
      <c r="X3000" s="30"/>
      <c r="Y3000" s="31"/>
      <c r="Z3000" s="31"/>
      <c r="AA3000" s="31" t="s">
        <v>127</v>
      </c>
      <c r="AB3000" s="31" t="s">
        <v>11765</v>
      </c>
      <c r="AC3000" s="31"/>
    </row>
    <row r="3001" ht="18.75" customHeight="1">
      <c r="A3001" s="18" t="s">
        <v>11766</v>
      </c>
      <c r="B3001" s="19" t="s">
        <v>451</v>
      </c>
      <c r="C3001" s="20">
        <v>0.0</v>
      </c>
      <c r="D3001" s="168" t="s">
        <v>11767</v>
      </c>
      <c r="E3001" s="27" t="s">
        <v>461</v>
      </c>
      <c r="F3001" s="18" t="s">
        <v>244</v>
      </c>
      <c r="G3001" s="18" t="s">
        <v>35</v>
      </c>
      <c r="H3001" s="40" t="s">
        <v>35</v>
      </c>
      <c r="I3001" s="37" t="s">
        <v>36</v>
      </c>
      <c r="J3001" s="25" t="s">
        <v>49</v>
      </c>
      <c r="K3001" s="26" t="s">
        <v>38</v>
      </c>
      <c r="L3001" s="25">
        <v>12134.0</v>
      </c>
      <c r="M3001" s="62" t="s">
        <v>50</v>
      </c>
      <c r="N3001" s="42" t="s">
        <v>99</v>
      </c>
      <c r="O3001" s="63">
        <v>45631.69000840277</v>
      </c>
      <c r="P3001" s="26" t="s">
        <v>11745</v>
      </c>
      <c r="Q3001" s="11" t="s">
        <v>67</v>
      </c>
      <c r="R3001" s="11" t="s">
        <v>67</v>
      </c>
      <c r="S3001" s="11" t="s">
        <v>101</v>
      </c>
      <c r="T3001" s="29">
        <v>45618.34939290509</v>
      </c>
      <c r="U3001" s="29">
        <v>45629.45996475694</v>
      </c>
      <c r="V3001" s="29">
        <v>45630.36118230324</v>
      </c>
      <c r="W3001" s="11"/>
      <c r="X3001" s="30"/>
      <c r="Y3001" s="31"/>
      <c r="Z3001" s="31"/>
      <c r="AA3001" s="31" t="s">
        <v>127</v>
      </c>
      <c r="AB3001" s="31" t="s">
        <v>11768</v>
      </c>
      <c r="AC3001" s="31"/>
    </row>
    <row r="3002" ht="18.75" customHeight="1">
      <c r="A3002" s="18" t="s">
        <v>11769</v>
      </c>
      <c r="B3002" s="19" t="s">
        <v>451</v>
      </c>
      <c r="C3002" s="20">
        <v>0.0</v>
      </c>
      <c r="D3002" s="168" t="s">
        <v>740</v>
      </c>
      <c r="E3002" s="27" t="s">
        <v>461</v>
      </c>
      <c r="F3002" s="18" t="s">
        <v>244</v>
      </c>
      <c r="G3002" s="18" t="s">
        <v>35</v>
      </c>
      <c r="H3002" s="40" t="s">
        <v>35</v>
      </c>
      <c r="I3002" s="37" t="s">
        <v>36</v>
      </c>
      <c r="J3002" s="25" t="s">
        <v>49</v>
      </c>
      <c r="K3002" s="26" t="s">
        <v>38</v>
      </c>
      <c r="L3002" s="25">
        <v>12134.0</v>
      </c>
      <c r="M3002" s="62" t="s">
        <v>50</v>
      </c>
      <c r="N3002" s="42" t="s">
        <v>99</v>
      </c>
      <c r="O3002" s="63">
        <v>45631.690063518516</v>
      </c>
      <c r="P3002" s="26" t="s">
        <v>11745</v>
      </c>
      <c r="Q3002" s="11" t="s">
        <v>67</v>
      </c>
      <c r="R3002" s="11" t="s">
        <v>67</v>
      </c>
      <c r="S3002" s="11" t="s">
        <v>101</v>
      </c>
      <c r="T3002" s="29">
        <v>45618.34954888889</v>
      </c>
      <c r="U3002" s="29">
        <v>45629.45994637732</v>
      </c>
      <c r="V3002" s="29">
        <v>45630.36118951389</v>
      </c>
      <c r="W3002" s="11"/>
      <c r="X3002" s="30"/>
      <c r="Y3002" s="31"/>
      <c r="Z3002" s="31"/>
      <c r="AA3002" s="31" t="s">
        <v>127</v>
      </c>
      <c r="AB3002" s="31" t="s">
        <v>11770</v>
      </c>
      <c r="AC3002" s="31"/>
    </row>
    <row r="3003" ht="18.75" customHeight="1">
      <c r="A3003" s="142" t="s">
        <v>11771</v>
      </c>
      <c r="B3003" s="19" t="s">
        <v>11772</v>
      </c>
      <c r="C3003" s="20">
        <v>27.0</v>
      </c>
      <c r="D3003" s="39" t="s">
        <v>11773</v>
      </c>
      <c r="E3003" s="27" t="s">
        <v>72</v>
      </c>
      <c r="F3003" s="18" t="s">
        <v>48</v>
      </c>
      <c r="G3003" s="18" t="s">
        <v>35</v>
      </c>
      <c r="H3003" s="40" t="s">
        <v>35</v>
      </c>
      <c r="I3003" s="24" t="s">
        <v>36</v>
      </c>
      <c r="J3003" s="25" t="s">
        <v>49</v>
      </c>
      <c r="K3003" s="26" t="s">
        <v>238</v>
      </c>
      <c r="L3003" s="34">
        <v>12259.0</v>
      </c>
      <c r="M3003" s="22" t="s">
        <v>50</v>
      </c>
      <c r="N3003" s="65" t="s">
        <v>125</v>
      </c>
      <c r="O3003" s="28">
        <v>45645.73094907407</v>
      </c>
      <c r="P3003" s="26" t="s">
        <v>11774</v>
      </c>
      <c r="Q3003" s="11" t="s">
        <v>67</v>
      </c>
      <c r="R3003" s="11" t="s">
        <v>67</v>
      </c>
      <c r="S3003" s="11" t="s">
        <v>73</v>
      </c>
      <c r="T3003" s="29">
        <v>45618.3585275</v>
      </c>
      <c r="U3003" s="29">
        <v>45638.35489418982</v>
      </c>
      <c r="V3003" s="29">
        <v>45643.75622121528</v>
      </c>
      <c r="W3003" s="11"/>
      <c r="X3003" s="30"/>
      <c r="Y3003" s="66"/>
      <c r="Z3003" s="31"/>
      <c r="AA3003" s="31" t="s">
        <v>3808</v>
      </c>
      <c r="AB3003" s="31" t="s">
        <v>11775</v>
      </c>
      <c r="AC3003" s="31"/>
    </row>
    <row r="3004" ht="18.75" customHeight="1">
      <c r="A3004" s="142" t="s">
        <v>11776</v>
      </c>
      <c r="B3004" s="19" t="s">
        <v>11777</v>
      </c>
      <c r="C3004" s="20">
        <v>11.0</v>
      </c>
      <c r="D3004" s="61" t="s">
        <v>11778</v>
      </c>
      <c r="E3004" s="27" t="s">
        <v>112</v>
      </c>
      <c r="F3004" s="18" t="s">
        <v>48</v>
      </c>
      <c r="G3004" s="18" t="s">
        <v>35</v>
      </c>
      <c r="H3004" s="40" t="s">
        <v>35</v>
      </c>
      <c r="I3004" s="37" t="s">
        <v>36</v>
      </c>
      <c r="J3004" s="34" t="s">
        <v>49</v>
      </c>
      <c r="K3004" s="26" t="s">
        <v>38</v>
      </c>
      <c r="L3004" s="25">
        <v>12055.0</v>
      </c>
      <c r="M3004" s="62" t="s">
        <v>50</v>
      </c>
      <c r="N3004" s="42" t="s">
        <v>99</v>
      </c>
      <c r="O3004" s="63">
        <v>45623.70208333334</v>
      </c>
      <c r="P3004" s="26" t="s">
        <v>11779</v>
      </c>
      <c r="Q3004" s="11" t="s">
        <v>67</v>
      </c>
      <c r="R3004" s="11" t="s">
        <v>67</v>
      </c>
      <c r="S3004" s="11" t="s">
        <v>50</v>
      </c>
      <c r="T3004" s="29">
        <v>45618.412363738425</v>
      </c>
      <c r="U3004" s="29">
        <v>45618.42354048611</v>
      </c>
      <c r="V3004" s="29">
        <v>45623.44692451389</v>
      </c>
      <c r="W3004" s="38"/>
      <c r="X3004" s="30"/>
      <c r="Y3004" s="31"/>
      <c r="Z3004" s="31"/>
      <c r="AA3004" s="31" t="s">
        <v>94</v>
      </c>
      <c r="AB3004" s="31" t="s">
        <v>11780</v>
      </c>
      <c r="AC3004" s="31"/>
    </row>
    <row r="3005" ht="18.75" customHeight="1">
      <c r="A3005" s="142" t="s">
        <v>11781</v>
      </c>
      <c r="B3005" s="19" t="s">
        <v>473</v>
      </c>
      <c r="C3005" s="20">
        <v>34.0</v>
      </c>
      <c r="D3005" s="61" t="s">
        <v>11782</v>
      </c>
      <c r="E3005" s="27" t="s">
        <v>47</v>
      </c>
      <c r="F3005" s="18" t="s">
        <v>48</v>
      </c>
      <c r="G3005" s="18" t="s">
        <v>35</v>
      </c>
      <c r="H3005" s="40" t="s">
        <v>35</v>
      </c>
      <c r="I3005" s="37" t="s">
        <v>36</v>
      </c>
      <c r="J3005" s="25" t="s">
        <v>65</v>
      </c>
      <c r="K3005" s="26" t="s">
        <v>38</v>
      </c>
      <c r="L3005" s="25">
        <v>12091.0</v>
      </c>
      <c r="M3005" s="62" t="s">
        <v>50</v>
      </c>
      <c r="N3005" s="42" t="s">
        <v>4698</v>
      </c>
      <c r="O3005" s="63">
        <v>45625.638770474536</v>
      </c>
      <c r="P3005" s="26" t="s">
        <v>11783</v>
      </c>
      <c r="Q3005" s="11" t="s">
        <v>67</v>
      </c>
      <c r="R3005" s="11" t="s">
        <v>67</v>
      </c>
      <c r="S3005" s="11" t="s">
        <v>50</v>
      </c>
      <c r="T3005" s="29">
        <v>45618.414096319444</v>
      </c>
      <c r="U3005" s="29">
        <v>45623.492111562504</v>
      </c>
      <c r="V3005" s="29">
        <v>45625.44983193287</v>
      </c>
      <c r="W3005" s="11"/>
      <c r="X3005" s="30"/>
      <c r="Y3005" s="31"/>
      <c r="Z3005" s="31"/>
      <c r="AA3005" s="31" t="s">
        <v>94</v>
      </c>
      <c r="AB3005" s="31" t="s">
        <v>11784</v>
      </c>
      <c r="AC3005" s="31"/>
    </row>
    <row r="3006" ht="18.75" customHeight="1">
      <c r="A3006" s="142" t="s">
        <v>11785</v>
      </c>
      <c r="B3006" s="19" t="s">
        <v>4206</v>
      </c>
      <c r="C3006" s="20">
        <v>27.0</v>
      </c>
      <c r="D3006" s="39" t="s">
        <v>11786</v>
      </c>
      <c r="E3006" s="27" t="s">
        <v>72</v>
      </c>
      <c r="F3006" s="18" t="s">
        <v>48</v>
      </c>
      <c r="G3006" s="18" t="s">
        <v>35</v>
      </c>
      <c r="H3006" s="40" t="s">
        <v>35</v>
      </c>
      <c r="I3006" s="37" t="s">
        <v>36</v>
      </c>
      <c r="J3006" s="25" t="s">
        <v>92</v>
      </c>
      <c r="K3006" s="26" t="s">
        <v>38</v>
      </c>
      <c r="L3006" s="25">
        <v>12073.0</v>
      </c>
      <c r="M3006" s="62" t="s">
        <v>50</v>
      </c>
      <c r="N3006" s="42" t="s">
        <v>5893</v>
      </c>
      <c r="O3006" s="63">
        <v>45625.631956840276</v>
      </c>
      <c r="P3006" s="26" t="s">
        <v>11787</v>
      </c>
      <c r="Q3006" s="11" t="s">
        <v>67</v>
      </c>
      <c r="R3006" s="11" t="s">
        <v>67</v>
      </c>
      <c r="S3006" s="11" t="s">
        <v>50</v>
      </c>
      <c r="T3006" s="29">
        <v>45618.41531686342</v>
      </c>
      <c r="U3006" s="29">
        <v>45622.723635138886</v>
      </c>
      <c r="V3006" s="29">
        <v>45623.35081542824</v>
      </c>
      <c r="W3006" s="38"/>
      <c r="X3006" s="30"/>
      <c r="Y3006" s="31"/>
      <c r="Z3006" s="31"/>
      <c r="AA3006" s="31" t="s">
        <v>3059</v>
      </c>
      <c r="AB3006" s="31" t="s">
        <v>11788</v>
      </c>
      <c r="AC3006" s="31"/>
    </row>
    <row r="3007" ht="18.75" customHeight="1">
      <c r="A3007" s="142" t="s">
        <v>11789</v>
      </c>
      <c r="B3007" s="19" t="s">
        <v>11790</v>
      </c>
      <c r="C3007" s="20">
        <v>34.0</v>
      </c>
      <c r="D3007" s="61" t="s">
        <v>11791</v>
      </c>
      <c r="E3007" s="27" t="s">
        <v>47</v>
      </c>
      <c r="F3007" s="18" t="s">
        <v>48</v>
      </c>
      <c r="G3007" s="18" t="s">
        <v>35</v>
      </c>
      <c r="H3007" s="40" t="s">
        <v>35</v>
      </c>
      <c r="I3007" s="37" t="s">
        <v>36</v>
      </c>
      <c r="J3007" s="25" t="s">
        <v>92</v>
      </c>
      <c r="K3007" s="26" t="s">
        <v>38</v>
      </c>
      <c r="L3007" s="25">
        <v>12063.0</v>
      </c>
      <c r="M3007" s="62" t="s">
        <v>50</v>
      </c>
      <c r="N3007" s="42" t="s">
        <v>7145</v>
      </c>
      <c r="O3007" s="169">
        <v>45624.45972222222</v>
      </c>
      <c r="P3007" s="26" t="s">
        <v>11792</v>
      </c>
      <c r="Q3007" s="11" t="s">
        <v>67</v>
      </c>
      <c r="R3007" s="11" t="s">
        <v>67</v>
      </c>
      <c r="S3007" s="11" t="s">
        <v>50</v>
      </c>
      <c r="T3007" s="29">
        <v>45621.3801721875</v>
      </c>
      <c r="U3007" s="29">
        <v>45621.42127</v>
      </c>
      <c r="V3007" s="29">
        <v>45622.3546662963</v>
      </c>
      <c r="W3007" s="38"/>
      <c r="X3007" s="30"/>
      <c r="Y3007" s="31"/>
      <c r="Z3007" s="78"/>
      <c r="AA3007" s="31" t="s">
        <v>120</v>
      </c>
      <c r="AB3007" s="31" t="s">
        <v>11793</v>
      </c>
      <c r="AC3007" s="31"/>
    </row>
    <row r="3008" ht="18.75" customHeight="1">
      <c r="A3008" s="142" t="s">
        <v>11794</v>
      </c>
      <c r="B3008" s="19" t="s">
        <v>4293</v>
      </c>
      <c r="C3008" s="20">
        <v>34.0</v>
      </c>
      <c r="D3008" s="21" t="s">
        <v>11795</v>
      </c>
      <c r="E3008" s="27" t="s">
        <v>47</v>
      </c>
      <c r="F3008" s="18" t="s">
        <v>48</v>
      </c>
      <c r="G3008" s="32" t="s">
        <v>35</v>
      </c>
      <c r="H3008" s="23" t="s">
        <v>35</v>
      </c>
      <c r="I3008" s="37" t="s">
        <v>36</v>
      </c>
      <c r="J3008" s="25" t="s">
        <v>65</v>
      </c>
      <c r="K3008" s="26" t="s">
        <v>38</v>
      </c>
      <c r="L3008" s="25">
        <v>12058.0</v>
      </c>
      <c r="M3008" s="27" t="s">
        <v>50</v>
      </c>
      <c r="N3008" s="26" t="s">
        <v>51</v>
      </c>
      <c r="O3008" s="28">
        <v>45621.43913766203</v>
      </c>
      <c r="P3008" s="26" t="s">
        <v>11796</v>
      </c>
      <c r="Q3008" s="11" t="s">
        <v>67</v>
      </c>
      <c r="R3008" s="11" t="s">
        <v>67</v>
      </c>
      <c r="S3008" s="11"/>
      <c r="T3008" s="29">
        <v>45621.43913766203</v>
      </c>
      <c r="U3008" s="29">
        <v>45621.43913766203</v>
      </c>
      <c r="V3008" s="29">
        <v>45621.43913766203</v>
      </c>
      <c r="W3008" s="38"/>
      <c r="X3008" s="30"/>
      <c r="Y3008" s="31"/>
      <c r="Z3008" s="31"/>
      <c r="AA3008" s="31" t="s">
        <v>94</v>
      </c>
      <c r="AB3008" s="31" t="s">
        <v>11797</v>
      </c>
      <c r="AC3008" s="31"/>
    </row>
    <row r="3009" ht="18.75" customHeight="1">
      <c r="A3009" s="142" t="s">
        <v>11798</v>
      </c>
      <c r="B3009" s="19" t="s">
        <v>1192</v>
      </c>
      <c r="C3009" s="20">
        <v>27.0</v>
      </c>
      <c r="D3009" s="39" t="s">
        <v>11799</v>
      </c>
      <c r="E3009" s="27" t="s">
        <v>72</v>
      </c>
      <c r="F3009" s="18" t="s">
        <v>48</v>
      </c>
      <c r="G3009" s="18" t="s">
        <v>35</v>
      </c>
      <c r="H3009" s="40" t="s">
        <v>35</v>
      </c>
      <c r="I3009" s="37" t="s">
        <v>36</v>
      </c>
      <c r="J3009" s="25" t="s">
        <v>65</v>
      </c>
      <c r="K3009" s="26" t="s">
        <v>38</v>
      </c>
      <c r="L3009" s="25">
        <v>12190.0</v>
      </c>
      <c r="M3009" s="62" t="s">
        <v>50</v>
      </c>
      <c r="N3009" s="42" t="s">
        <v>4908</v>
      </c>
      <c r="O3009" s="63">
        <v>45637.673722974534</v>
      </c>
      <c r="P3009" s="26" t="s">
        <v>11800</v>
      </c>
      <c r="Q3009" s="11" t="s">
        <v>67</v>
      </c>
      <c r="R3009" s="11" t="s">
        <v>67</v>
      </c>
      <c r="S3009" s="11" t="s">
        <v>50</v>
      </c>
      <c r="T3009" s="29">
        <v>45621.60341538195</v>
      </c>
      <c r="U3009" s="29">
        <v>45635.63918539352</v>
      </c>
      <c r="V3009" s="29">
        <v>45636.587358206016</v>
      </c>
      <c r="W3009" s="11"/>
      <c r="X3009" s="30"/>
      <c r="Y3009" s="31"/>
      <c r="Z3009" s="31"/>
      <c r="AA3009" s="31" t="s">
        <v>94</v>
      </c>
      <c r="AB3009" s="31" t="s">
        <v>11801</v>
      </c>
      <c r="AC3009" s="31"/>
    </row>
    <row r="3010" ht="18.75" customHeight="1">
      <c r="A3010" s="151" t="s">
        <v>11802</v>
      </c>
      <c r="B3010" s="19" t="s">
        <v>10831</v>
      </c>
      <c r="C3010" s="20">
        <v>90.0</v>
      </c>
      <c r="D3010" s="61" t="s">
        <v>11803</v>
      </c>
      <c r="E3010" s="27" t="s">
        <v>91</v>
      </c>
      <c r="F3010" s="18" t="s">
        <v>48</v>
      </c>
      <c r="G3010" s="18" t="s">
        <v>35</v>
      </c>
      <c r="H3010" s="40" t="s">
        <v>35</v>
      </c>
      <c r="I3010" s="37" t="s">
        <v>36</v>
      </c>
      <c r="J3010" s="25" t="s">
        <v>92</v>
      </c>
      <c r="K3010" s="26" t="s">
        <v>38</v>
      </c>
      <c r="L3010" s="163">
        <v>12310.0</v>
      </c>
      <c r="M3010" s="170"/>
      <c r="N3010" s="26"/>
      <c r="O3010" s="63"/>
      <c r="P3010" s="26" t="s">
        <v>11804</v>
      </c>
      <c r="Q3010" s="11" t="s">
        <v>67</v>
      </c>
      <c r="R3010" s="11" t="s">
        <v>67</v>
      </c>
      <c r="S3010" s="11" t="s">
        <v>9620</v>
      </c>
      <c r="T3010" s="29">
        <v>45621.604748356476</v>
      </c>
      <c r="U3010" s="29">
        <v>45621.65681854167</v>
      </c>
      <c r="V3010" s="29">
        <v>45645.696464548615</v>
      </c>
      <c r="W3010" s="11"/>
      <c r="X3010" s="30"/>
      <c r="Y3010" s="66">
        <v>-12100.0</v>
      </c>
      <c r="Z3010" s="78"/>
      <c r="AA3010" s="31"/>
      <c r="AB3010" s="31" t="s">
        <v>11805</v>
      </c>
      <c r="AC3010" s="31"/>
    </row>
    <row r="3011" ht="18.75" customHeight="1">
      <c r="A3011" s="151" t="s">
        <v>11806</v>
      </c>
      <c r="B3011" s="19" t="s">
        <v>11733</v>
      </c>
      <c r="C3011" s="20">
        <v>90.0</v>
      </c>
      <c r="D3011" s="61" t="s">
        <v>11807</v>
      </c>
      <c r="E3011" s="27" t="s">
        <v>91</v>
      </c>
      <c r="F3011" s="18" t="s">
        <v>48</v>
      </c>
      <c r="G3011" s="18" t="s">
        <v>35</v>
      </c>
      <c r="H3011" s="40" t="s">
        <v>35</v>
      </c>
      <c r="I3011" s="24" t="s">
        <v>36</v>
      </c>
      <c r="J3011" s="25" t="s">
        <v>49</v>
      </c>
      <c r="K3011" s="26" t="s">
        <v>38</v>
      </c>
      <c r="L3011" s="64" t="s">
        <v>2743</v>
      </c>
      <c r="M3011" s="22" t="s">
        <v>50</v>
      </c>
      <c r="N3011" s="65" t="s">
        <v>125</v>
      </c>
      <c r="O3011" s="28">
        <v>45645.73094907407</v>
      </c>
      <c r="P3011" s="26" t="s">
        <v>11808</v>
      </c>
      <c r="Q3011" s="11" t="s">
        <v>67</v>
      </c>
      <c r="R3011" s="11" t="s">
        <v>67</v>
      </c>
      <c r="S3011" s="11" t="s">
        <v>73</v>
      </c>
      <c r="T3011" s="29">
        <v>45621.60612159722</v>
      </c>
      <c r="U3011" s="29">
        <v>45621.65705010417</v>
      </c>
      <c r="V3011" s="29">
        <v>45643.75592925926</v>
      </c>
      <c r="W3011" s="11"/>
      <c r="X3011" s="30"/>
      <c r="Y3011" s="66">
        <v>-12101.0</v>
      </c>
      <c r="Z3011" s="31"/>
      <c r="AA3011" s="31" t="s">
        <v>127</v>
      </c>
      <c r="AB3011" s="31" t="s">
        <v>11809</v>
      </c>
      <c r="AC3011" s="31"/>
    </row>
    <row r="3012" ht="18.75" customHeight="1">
      <c r="A3012" s="151" t="s">
        <v>11810</v>
      </c>
      <c r="B3012" s="19" t="s">
        <v>5346</v>
      </c>
      <c r="C3012" s="20">
        <v>137.0</v>
      </c>
      <c r="D3012" s="61" t="s">
        <v>11811</v>
      </c>
      <c r="E3012" s="27" t="s">
        <v>85</v>
      </c>
      <c r="F3012" s="18" t="s">
        <v>48</v>
      </c>
      <c r="G3012" s="18" t="s">
        <v>35</v>
      </c>
      <c r="H3012" s="40" t="s">
        <v>35</v>
      </c>
      <c r="I3012" s="24" t="s">
        <v>36</v>
      </c>
      <c r="J3012" s="25" t="s">
        <v>49</v>
      </c>
      <c r="K3012" s="26" t="s">
        <v>38</v>
      </c>
      <c r="L3012" s="64" t="s">
        <v>2757</v>
      </c>
      <c r="M3012" s="22" t="s">
        <v>50</v>
      </c>
      <c r="N3012" s="65" t="s">
        <v>125</v>
      </c>
      <c r="O3012" s="28">
        <v>45645.73094907407</v>
      </c>
      <c r="P3012" s="26" t="s">
        <v>11812</v>
      </c>
      <c r="Q3012" s="11" t="s">
        <v>67</v>
      </c>
      <c r="R3012" s="11" t="s">
        <v>67</v>
      </c>
      <c r="S3012" s="11" t="s">
        <v>73</v>
      </c>
      <c r="T3012" s="29">
        <v>45621.609627893515</v>
      </c>
      <c r="U3012" s="29">
        <v>45621.71025421296</v>
      </c>
      <c r="V3012" s="29">
        <v>45643.75595364583</v>
      </c>
      <c r="W3012" s="11"/>
      <c r="X3012" s="30"/>
      <c r="Y3012" s="66">
        <v>-12102.0</v>
      </c>
      <c r="Z3012" s="31"/>
      <c r="AA3012" s="31" t="s">
        <v>127</v>
      </c>
      <c r="AB3012" s="31" t="s">
        <v>11813</v>
      </c>
      <c r="AC3012" s="31"/>
    </row>
    <row r="3013" ht="18.75" customHeight="1">
      <c r="A3013" s="142" t="s">
        <v>11814</v>
      </c>
      <c r="B3013" s="19" t="s">
        <v>11815</v>
      </c>
      <c r="C3013" s="20">
        <v>90.0</v>
      </c>
      <c r="D3013" s="61" t="s">
        <v>11816</v>
      </c>
      <c r="E3013" s="22" t="s">
        <v>91</v>
      </c>
      <c r="F3013" s="18" t="s">
        <v>48</v>
      </c>
      <c r="G3013" s="18" t="s">
        <v>35</v>
      </c>
      <c r="H3013" s="40" t="s">
        <v>35</v>
      </c>
      <c r="I3013" s="37" t="s">
        <v>36</v>
      </c>
      <c r="J3013" s="25" t="s">
        <v>92</v>
      </c>
      <c r="K3013" s="26" t="s">
        <v>38</v>
      </c>
      <c r="L3013" s="25">
        <v>12357.0</v>
      </c>
      <c r="M3013" s="62" t="s">
        <v>50</v>
      </c>
      <c r="N3013" s="42" t="s">
        <v>11817</v>
      </c>
      <c r="O3013" s="63">
        <v>45659.69196513889</v>
      </c>
      <c r="P3013" s="26" t="s">
        <v>11818</v>
      </c>
      <c r="Q3013" s="11" t="s">
        <v>67</v>
      </c>
      <c r="R3013" s="11" t="s">
        <v>67</v>
      </c>
      <c r="S3013" s="11" t="s">
        <v>50</v>
      </c>
      <c r="T3013" s="29">
        <v>45624.45526663194</v>
      </c>
      <c r="U3013" s="29">
        <v>45624.46310055556</v>
      </c>
      <c r="V3013" s="29">
        <v>45652.485896666665</v>
      </c>
      <c r="W3013" s="11"/>
      <c r="X3013" s="30"/>
      <c r="Y3013" s="31"/>
      <c r="Z3013" s="31"/>
      <c r="AA3013" s="31" t="s">
        <v>94</v>
      </c>
      <c r="AB3013" s="31" t="s">
        <v>11819</v>
      </c>
      <c r="AC3013" s="31"/>
    </row>
    <row r="3014" ht="18.75" customHeight="1">
      <c r="A3014" s="142" t="s">
        <v>11820</v>
      </c>
      <c r="B3014" s="19" t="s">
        <v>3636</v>
      </c>
      <c r="C3014" s="20">
        <v>34.0</v>
      </c>
      <c r="D3014" s="61" t="s">
        <v>11821</v>
      </c>
      <c r="E3014" s="27" t="s">
        <v>47</v>
      </c>
      <c r="F3014" s="18" t="s">
        <v>48</v>
      </c>
      <c r="G3014" s="18" t="s">
        <v>35</v>
      </c>
      <c r="H3014" s="40" t="s">
        <v>35</v>
      </c>
      <c r="I3014" s="37" t="s">
        <v>36</v>
      </c>
      <c r="J3014" s="25" t="s">
        <v>49</v>
      </c>
      <c r="K3014" s="26" t="s">
        <v>9628</v>
      </c>
      <c r="L3014" s="25">
        <v>12064.0</v>
      </c>
      <c r="M3014" s="62" t="s">
        <v>50</v>
      </c>
      <c r="N3014" s="42" t="s">
        <v>99</v>
      </c>
      <c r="O3014" s="63">
        <v>45622.58385297454</v>
      </c>
      <c r="P3014" s="26" t="s">
        <v>11822</v>
      </c>
      <c r="Q3014" s="11" t="s">
        <v>67</v>
      </c>
      <c r="R3014" s="11" t="s">
        <v>67</v>
      </c>
      <c r="S3014" s="11" t="s">
        <v>50</v>
      </c>
      <c r="T3014" s="29">
        <v>45621.62062391204</v>
      </c>
      <c r="U3014" s="29">
        <v>45621.65635547454</v>
      </c>
      <c r="V3014" s="29">
        <v>45622.35340403936</v>
      </c>
      <c r="W3014" s="38"/>
      <c r="X3014" s="30"/>
      <c r="Y3014" s="31"/>
      <c r="Z3014" s="31"/>
      <c r="AA3014" s="31" t="s">
        <v>127</v>
      </c>
      <c r="AB3014" s="31" t="s">
        <v>11823</v>
      </c>
      <c r="AC3014" s="31"/>
    </row>
    <row r="3015" ht="18.75" customHeight="1">
      <c r="A3015" s="151" t="s">
        <v>11824</v>
      </c>
      <c r="B3015" s="19" t="s">
        <v>11825</v>
      </c>
      <c r="C3015" s="20">
        <v>90.0</v>
      </c>
      <c r="D3015" s="61" t="s">
        <v>11826</v>
      </c>
      <c r="E3015" s="27" t="s">
        <v>91</v>
      </c>
      <c r="F3015" s="18" t="s">
        <v>48</v>
      </c>
      <c r="G3015" s="18" t="s">
        <v>35</v>
      </c>
      <c r="H3015" s="40" t="s">
        <v>35</v>
      </c>
      <c r="I3015" s="24" t="s">
        <v>36</v>
      </c>
      <c r="J3015" s="25" t="s">
        <v>49</v>
      </c>
      <c r="K3015" s="26" t="s">
        <v>38</v>
      </c>
      <c r="L3015" s="64" t="s">
        <v>2201</v>
      </c>
      <c r="M3015" s="22" t="s">
        <v>50</v>
      </c>
      <c r="N3015" s="65" t="s">
        <v>125</v>
      </c>
      <c r="O3015" s="28">
        <v>45645.73094907407</v>
      </c>
      <c r="P3015" s="26" t="s">
        <v>11827</v>
      </c>
      <c r="Q3015" s="11" t="s">
        <v>67</v>
      </c>
      <c r="R3015" s="11" t="s">
        <v>67</v>
      </c>
      <c r="S3015" s="11" t="s">
        <v>73</v>
      </c>
      <c r="T3015" s="29">
        <v>45621.63217163194</v>
      </c>
      <c r="U3015" s="29">
        <v>45622.36845577546</v>
      </c>
      <c r="V3015" s="29">
        <v>45643.75596686343</v>
      </c>
      <c r="W3015" s="11"/>
      <c r="X3015" s="30"/>
      <c r="Y3015" s="66">
        <v>-12103.0</v>
      </c>
      <c r="Z3015" s="31"/>
      <c r="AA3015" s="31" t="s">
        <v>127</v>
      </c>
      <c r="AB3015" s="31" t="s">
        <v>11828</v>
      </c>
      <c r="AC3015" s="31"/>
    </row>
    <row r="3016" ht="18.75" customHeight="1">
      <c r="A3016" s="142" t="s">
        <v>11829</v>
      </c>
      <c r="B3016" s="19" t="s">
        <v>2488</v>
      </c>
      <c r="C3016" s="20">
        <v>33.0</v>
      </c>
      <c r="D3016" s="61"/>
      <c r="E3016" s="27" t="s">
        <v>6133</v>
      </c>
      <c r="F3016" s="18" t="s">
        <v>48</v>
      </c>
      <c r="G3016" s="18" t="s">
        <v>35</v>
      </c>
      <c r="H3016" s="40" t="s">
        <v>35</v>
      </c>
      <c r="I3016" s="24" t="s">
        <v>665</v>
      </c>
      <c r="J3016" s="25" t="s">
        <v>49</v>
      </c>
      <c r="K3016" s="26" t="s">
        <v>38</v>
      </c>
      <c r="L3016" s="25">
        <v>12121.0</v>
      </c>
      <c r="M3016" s="62" t="s">
        <v>50</v>
      </c>
      <c r="N3016" s="42" t="s">
        <v>99</v>
      </c>
      <c r="O3016" s="63">
        <v>45631.69011111111</v>
      </c>
      <c r="P3016" s="35" t="s">
        <v>11830</v>
      </c>
      <c r="Q3016" s="11" t="s">
        <v>67</v>
      </c>
      <c r="R3016" s="11" t="s">
        <v>67</v>
      </c>
      <c r="S3016" s="11" t="s">
        <v>50</v>
      </c>
      <c r="T3016" s="29">
        <v>45623.65716847222</v>
      </c>
      <c r="U3016" s="29">
        <v>45630.46989849537</v>
      </c>
      <c r="V3016" s="29">
        <v>45630.48044825232</v>
      </c>
      <c r="W3016" s="11"/>
      <c r="X3016" s="30"/>
      <c r="Y3016" s="31"/>
      <c r="Z3016" s="31"/>
      <c r="AA3016" s="31"/>
      <c r="AB3016" s="31" t="s">
        <v>11831</v>
      </c>
      <c r="AC3016" s="31"/>
    </row>
    <row r="3017" ht="18.75" customHeight="1">
      <c r="A3017" s="142" t="s">
        <v>11832</v>
      </c>
      <c r="B3017" s="19" t="s">
        <v>8666</v>
      </c>
      <c r="C3017" s="20">
        <v>0.0</v>
      </c>
      <c r="D3017" s="61" t="s">
        <v>11833</v>
      </c>
      <c r="E3017" s="27" t="s">
        <v>79</v>
      </c>
      <c r="F3017" s="18" t="s">
        <v>33</v>
      </c>
      <c r="G3017" s="18" t="s">
        <v>35</v>
      </c>
      <c r="H3017" s="40" t="s">
        <v>35</v>
      </c>
      <c r="I3017" s="37" t="s">
        <v>36</v>
      </c>
      <c r="J3017" s="25" t="s">
        <v>49</v>
      </c>
      <c r="K3017" s="26" t="s">
        <v>38</v>
      </c>
      <c r="L3017" s="25">
        <v>12093.0</v>
      </c>
      <c r="M3017" s="62" t="s">
        <v>50</v>
      </c>
      <c r="N3017" s="42" t="s">
        <v>99</v>
      </c>
      <c r="O3017" s="63">
        <v>45625.57624711806</v>
      </c>
      <c r="P3017" s="26" t="s">
        <v>11834</v>
      </c>
      <c r="Q3017" s="11" t="s">
        <v>67</v>
      </c>
      <c r="R3017" s="11" t="s">
        <v>67</v>
      </c>
      <c r="S3017" s="11" t="s">
        <v>101</v>
      </c>
      <c r="T3017" s="29">
        <v>45621.64333009259</v>
      </c>
      <c r="U3017" s="29">
        <v>45621.6575128125</v>
      </c>
      <c r="V3017" s="29">
        <v>45624.7249878125</v>
      </c>
      <c r="W3017" s="38"/>
      <c r="X3017" s="30"/>
      <c r="Y3017" s="31"/>
      <c r="Z3017" s="31"/>
      <c r="AA3017" s="31" t="s">
        <v>5199</v>
      </c>
      <c r="AB3017" s="31" t="s">
        <v>11835</v>
      </c>
      <c r="AC3017" s="31"/>
    </row>
    <row r="3018" ht="18.75" customHeight="1">
      <c r="A3018" s="142" t="s">
        <v>11836</v>
      </c>
      <c r="B3018" s="19" t="s">
        <v>11837</v>
      </c>
      <c r="C3018" s="20">
        <v>34.0</v>
      </c>
      <c r="D3018" s="61" t="s">
        <v>11838</v>
      </c>
      <c r="E3018" s="27" t="s">
        <v>47</v>
      </c>
      <c r="F3018" s="18" t="s">
        <v>48</v>
      </c>
      <c r="G3018" s="18" t="s">
        <v>35</v>
      </c>
      <c r="H3018" s="40" t="s">
        <v>35</v>
      </c>
      <c r="I3018" s="37" t="s">
        <v>36</v>
      </c>
      <c r="J3018" s="25" t="s">
        <v>49</v>
      </c>
      <c r="K3018" s="26" t="s">
        <v>38</v>
      </c>
      <c r="L3018" s="25">
        <v>12074.0</v>
      </c>
      <c r="M3018" s="62" t="s">
        <v>50</v>
      </c>
      <c r="N3018" s="42" t="s">
        <v>8104</v>
      </c>
      <c r="O3018" s="63">
        <v>45623.70277777778</v>
      </c>
      <c r="P3018" s="26" t="s">
        <v>11839</v>
      </c>
      <c r="Q3018" s="11" t="s">
        <v>67</v>
      </c>
      <c r="R3018" s="11" t="s">
        <v>67</v>
      </c>
      <c r="S3018" s="11" t="s">
        <v>50</v>
      </c>
      <c r="T3018" s="29">
        <v>45621.64625140047</v>
      </c>
      <c r="U3018" s="29">
        <v>45622.4607008912</v>
      </c>
      <c r="V3018" s="29">
        <v>45623.35045349537</v>
      </c>
      <c r="W3018" s="38"/>
      <c r="X3018" s="30"/>
      <c r="Y3018" s="31"/>
      <c r="Z3018" s="31"/>
      <c r="AA3018" s="31" t="s">
        <v>120</v>
      </c>
      <c r="AB3018" s="31" t="s">
        <v>11840</v>
      </c>
      <c r="AC3018" s="31"/>
    </row>
    <row r="3019" ht="18.75" customHeight="1">
      <c r="A3019" s="151" t="s">
        <v>11841</v>
      </c>
      <c r="B3019" s="19" t="s">
        <v>11842</v>
      </c>
      <c r="C3019" s="20">
        <v>90.0</v>
      </c>
      <c r="D3019" s="61" t="s">
        <v>11843</v>
      </c>
      <c r="E3019" s="27" t="s">
        <v>91</v>
      </c>
      <c r="F3019" s="18" t="s">
        <v>48</v>
      </c>
      <c r="G3019" s="18" t="s">
        <v>35</v>
      </c>
      <c r="H3019" s="40" t="s">
        <v>35</v>
      </c>
      <c r="I3019" s="24" t="s">
        <v>36</v>
      </c>
      <c r="J3019" s="25" t="s">
        <v>49</v>
      </c>
      <c r="K3019" s="26" t="s">
        <v>38</v>
      </c>
      <c r="L3019" s="64" t="s">
        <v>2787</v>
      </c>
      <c r="M3019" s="22" t="s">
        <v>50</v>
      </c>
      <c r="N3019" s="65" t="s">
        <v>125</v>
      </c>
      <c r="O3019" s="28">
        <v>45645.73094907407</v>
      </c>
      <c r="P3019" s="26" t="s">
        <v>11844</v>
      </c>
      <c r="Q3019" s="11" t="s">
        <v>67</v>
      </c>
      <c r="R3019" s="11" t="s">
        <v>67</v>
      </c>
      <c r="S3019" s="11" t="s">
        <v>73</v>
      </c>
      <c r="T3019" s="29">
        <v>45621.649505023146</v>
      </c>
      <c r="U3019" s="29">
        <v>45622.37181207176</v>
      </c>
      <c r="V3019" s="29">
        <v>45643.75598072917</v>
      </c>
      <c r="W3019" s="11"/>
      <c r="X3019" s="30"/>
      <c r="Y3019" s="66">
        <v>-12068.0</v>
      </c>
      <c r="Z3019" s="31"/>
      <c r="AA3019" s="31" t="s">
        <v>3059</v>
      </c>
      <c r="AB3019" s="31" t="s">
        <v>11845</v>
      </c>
      <c r="AC3019" s="31"/>
    </row>
    <row r="3020" ht="18.75" customHeight="1">
      <c r="A3020" s="142" t="s">
        <v>11846</v>
      </c>
      <c r="B3020" s="19" t="s">
        <v>11847</v>
      </c>
      <c r="C3020" s="20">
        <v>27.0</v>
      </c>
      <c r="D3020" s="39" t="s">
        <v>11848</v>
      </c>
      <c r="E3020" s="27" t="s">
        <v>72</v>
      </c>
      <c r="F3020" s="18" t="s">
        <v>48</v>
      </c>
      <c r="G3020" s="18" t="s">
        <v>35</v>
      </c>
      <c r="H3020" s="40" t="s">
        <v>35</v>
      </c>
      <c r="I3020" s="37" t="s">
        <v>36</v>
      </c>
      <c r="J3020" s="25" t="s">
        <v>49</v>
      </c>
      <c r="K3020" s="26" t="s">
        <v>38</v>
      </c>
      <c r="L3020" s="25">
        <v>12065.0</v>
      </c>
      <c r="M3020" s="62" t="s">
        <v>50</v>
      </c>
      <c r="N3020" s="42" t="s">
        <v>99</v>
      </c>
      <c r="O3020" s="63">
        <v>45622.58392943287</v>
      </c>
      <c r="P3020" s="26" t="s">
        <v>11849</v>
      </c>
      <c r="Q3020" s="11" t="s">
        <v>67</v>
      </c>
      <c r="R3020" s="11" t="s">
        <v>67</v>
      </c>
      <c r="S3020" s="11" t="s">
        <v>50</v>
      </c>
      <c r="T3020" s="29">
        <v>45621.653615787036</v>
      </c>
      <c r="U3020" s="29">
        <v>45621.671828680555</v>
      </c>
      <c r="V3020" s="29">
        <v>45622.35439943287</v>
      </c>
      <c r="W3020" s="38"/>
      <c r="X3020" s="30"/>
      <c r="Y3020" s="31"/>
      <c r="Z3020" s="31"/>
      <c r="AA3020" s="31" t="s">
        <v>3059</v>
      </c>
      <c r="AB3020" s="31" t="s">
        <v>11850</v>
      </c>
      <c r="AC3020" s="31"/>
    </row>
    <row r="3021" ht="18.75" customHeight="1">
      <c r="A3021" s="18" t="s">
        <v>11851</v>
      </c>
      <c r="B3021" s="19" t="s">
        <v>11852</v>
      </c>
      <c r="C3021" s="20">
        <v>0.0</v>
      </c>
      <c r="D3021" s="171" t="s">
        <v>11853</v>
      </c>
      <c r="E3021" s="27" t="s">
        <v>1530</v>
      </c>
      <c r="F3021" s="18" t="s">
        <v>33</v>
      </c>
      <c r="G3021" s="18" t="s">
        <v>35</v>
      </c>
      <c r="H3021" s="40" t="s">
        <v>35</v>
      </c>
      <c r="I3021" s="37" t="s">
        <v>36</v>
      </c>
      <c r="J3021" s="25" t="s">
        <v>65</v>
      </c>
      <c r="K3021" s="26" t="s">
        <v>38</v>
      </c>
      <c r="L3021" s="25">
        <v>12171.0</v>
      </c>
      <c r="M3021" s="62" t="s">
        <v>50</v>
      </c>
      <c r="N3021" s="42" t="s">
        <v>3461</v>
      </c>
      <c r="O3021" s="169">
        <v>45702.67510099537</v>
      </c>
      <c r="P3021" s="26" t="s">
        <v>11854</v>
      </c>
      <c r="Q3021" s="11" t="s">
        <v>67</v>
      </c>
      <c r="R3021" s="11" t="s">
        <v>67</v>
      </c>
      <c r="S3021" s="11" t="s">
        <v>101</v>
      </c>
      <c r="T3021" s="29">
        <v>45621.69628135416</v>
      </c>
      <c r="U3021" s="29">
        <v>45632.68870077546</v>
      </c>
      <c r="V3021" s="29">
        <v>45635.69712859954</v>
      </c>
      <c r="W3021" s="11"/>
      <c r="X3021" s="30"/>
      <c r="Y3021" s="31"/>
      <c r="Z3021" s="31"/>
      <c r="AA3021" s="31" t="s">
        <v>120</v>
      </c>
      <c r="AB3021" s="31" t="s">
        <v>11855</v>
      </c>
      <c r="AC3021" s="31"/>
    </row>
    <row r="3022" ht="18.75" customHeight="1">
      <c r="A3022" s="18" t="s">
        <v>11856</v>
      </c>
      <c r="B3022" s="19" t="s">
        <v>11852</v>
      </c>
      <c r="C3022" s="20">
        <v>0.0</v>
      </c>
      <c r="D3022" s="61" t="s">
        <v>11857</v>
      </c>
      <c r="E3022" s="27" t="s">
        <v>1530</v>
      </c>
      <c r="F3022" s="18" t="s">
        <v>33</v>
      </c>
      <c r="G3022" s="18" t="s">
        <v>35</v>
      </c>
      <c r="H3022" s="40" t="s">
        <v>35</v>
      </c>
      <c r="I3022" s="37" t="s">
        <v>36</v>
      </c>
      <c r="J3022" s="25" t="s">
        <v>65</v>
      </c>
      <c r="K3022" s="26" t="s">
        <v>38</v>
      </c>
      <c r="L3022" s="25">
        <v>12171.0</v>
      </c>
      <c r="M3022" s="62" t="s">
        <v>50</v>
      </c>
      <c r="N3022" s="42" t="s">
        <v>3461</v>
      </c>
      <c r="O3022" s="169">
        <v>45702.67515540509</v>
      </c>
      <c r="P3022" s="26" t="s">
        <v>11854</v>
      </c>
      <c r="Q3022" s="11" t="s">
        <v>67</v>
      </c>
      <c r="R3022" s="11" t="s">
        <v>67</v>
      </c>
      <c r="S3022" s="11" t="s">
        <v>101</v>
      </c>
      <c r="T3022" s="29">
        <v>45621.696426469905</v>
      </c>
      <c r="U3022" s="29">
        <v>45632.68880550926</v>
      </c>
      <c r="V3022" s="29">
        <v>45635.35171423611</v>
      </c>
      <c r="W3022" s="11"/>
      <c r="X3022" s="30"/>
      <c r="Y3022" s="31"/>
      <c r="Z3022" s="31"/>
      <c r="AA3022" s="31" t="s">
        <v>120</v>
      </c>
      <c r="AB3022" s="31" t="s">
        <v>11858</v>
      </c>
      <c r="AC3022" s="31"/>
    </row>
    <row r="3023" ht="18.75" customHeight="1">
      <c r="A3023" s="18" t="s">
        <v>11859</v>
      </c>
      <c r="B3023" s="19" t="s">
        <v>11852</v>
      </c>
      <c r="C3023" s="20">
        <v>0.0</v>
      </c>
      <c r="D3023" s="61" t="s">
        <v>11860</v>
      </c>
      <c r="E3023" s="27" t="s">
        <v>1530</v>
      </c>
      <c r="F3023" s="18" t="s">
        <v>33</v>
      </c>
      <c r="G3023" s="18" t="s">
        <v>35</v>
      </c>
      <c r="H3023" s="40" t="s">
        <v>35</v>
      </c>
      <c r="I3023" s="37" t="s">
        <v>36</v>
      </c>
      <c r="J3023" s="25" t="s">
        <v>65</v>
      </c>
      <c r="K3023" s="26" t="s">
        <v>38</v>
      </c>
      <c r="L3023" s="25">
        <v>12171.0</v>
      </c>
      <c r="M3023" s="62" t="s">
        <v>50</v>
      </c>
      <c r="N3023" s="42" t="s">
        <v>3461</v>
      </c>
      <c r="O3023" s="169">
        <v>45702.67520481482</v>
      </c>
      <c r="P3023" s="26" t="s">
        <v>11854</v>
      </c>
      <c r="Q3023" s="11" t="s">
        <v>67</v>
      </c>
      <c r="R3023" s="11" t="s">
        <v>67</v>
      </c>
      <c r="S3023" s="11" t="s">
        <v>101</v>
      </c>
      <c r="T3023" s="29">
        <v>45621.69648326389</v>
      </c>
      <c r="U3023" s="29">
        <v>45632.68881663194</v>
      </c>
      <c r="V3023" s="29">
        <v>45635.35172349537</v>
      </c>
      <c r="W3023" s="11"/>
      <c r="X3023" s="30"/>
      <c r="Y3023" s="31"/>
      <c r="Z3023" s="31"/>
      <c r="AA3023" s="31" t="s">
        <v>120</v>
      </c>
      <c r="AB3023" s="31" t="s">
        <v>11861</v>
      </c>
      <c r="AC3023" s="31"/>
    </row>
    <row r="3024" ht="18.75" customHeight="1">
      <c r="A3024" s="18" t="s">
        <v>11862</v>
      </c>
      <c r="B3024" s="19" t="s">
        <v>115</v>
      </c>
      <c r="C3024" s="20">
        <v>1.0</v>
      </c>
      <c r="D3024" s="61" t="s">
        <v>11863</v>
      </c>
      <c r="E3024" s="27" t="s">
        <v>155</v>
      </c>
      <c r="F3024" s="18" t="s">
        <v>48</v>
      </c>
      <c r="G3024" s="18" t="s">
        <v>35</v>
      </c>
      <c r="H3024" s="40" t="s">
        <v>35</v>
      </c>
      <c r="I3024" s="37" t="s">
        <v>36</v>
      </c>
      <c r="J3024" s="25" t="s">
        <v>92</v>
      </c>
      <c r="K3024" s="26" t="s">
        <v>38</v>
      </c>
      <c r="L3024" s="34">
        <v>12062.0</v>
      </c>
      <c r="M3024" s="62" t="s">
        <v>50</v>
      </c>
      <c r="N3024" s="42" t="s">
        <v>118</v>
      </c>
      <c r="O3024" s="63">
        <v>45621.71783260416</v>
      </c>
      <c r="P3024" s="26" t="s">
        <v>11864</v>
      </c>
      <c r="Q3024" s="11" t="s">
        <v>73</v>
      </c>
      <c r="R3024" s="11" t="s">
        <v>73</v>
      </c>
      <c r="S3024" s="11"/>
      <c r="T3024" s="29">
        <v>45621.70763210648</v>
      </c>
      <c r="U3024" s="29">
        <v>45621.707695289355</v>
      </c>
      <c r="V3024" s="29">
        <v>45621.0</v>
      </c>
      <c r="W3024" s="60"/>
      <c r="X3024" s="30"/>
      <c r="Y3024" s="31"/>
      <c r="Z3024" s="31"/>
      <c r="AA3024" s="31" t="s">
        <v>120</v>
      </c>
      <c r="AB3024" s="31" t="s">
        <v>11865</v>
      </c>
      <c r="AC3024" s="31"/>
    </row>
    <row r="3025" ht="18.75" customHeight="1">
      <c r="A3025" s="18" t="s">
        <v>11866</v>
      </c>
      <c r="B3025" s="19" t="s">
        <v>115</v>
      </c>
      <c r="C3025" s="20">
        <v>1.0</v>
      </c>
      <c r="D3025" s="61" t="s">
        <v>11867</v>
      </c>
      <c r="E3025" s="27" t="s">
        <v>155</v>
      </c>
      <c r="F3025" s="18" t="s">
        <v>48</v>
      </c>
      <c r="G3025" s="18" t="s">
        <v>35</v>
      </c>
      <c r="H3025" s="40" t="s">
        <v>35</v>
      </c>
      <c r="I3025" s="37" t="s">
        <v>36</v>
      </c>
      <c r="J3025" s="25" t="s">
        <v>92</v>
      </c>
      <c r="K3025" s="26" t="s">
        <v>38</v>
      </c>
      <c r="L3025" s="34">
        <v>12062.0</v>
      </c>
      <c r="M3025" s="62" t="s">
        <v>50</v>
      </c>
      <c r="N3025" s="42" t="s">
        <v>118</v>
      </c>
      <c r="O3025" s="63">
        <v>45621.71791939814</v>
      </c>
      <c r="P3025" s="26" t="s">
        <v>11864</v>
      </c>
      <c r="Q3025" s="11" t="s">
        <v>73</v>
      </c>
      <c r="R3025" s="11" t="s">
        <v>73</v>
      </c>
      <c r="S3025" s="11"/>
      <c r="T3025" s="29">
        <v>45621.70768943287</v>
      </c>
      <c r="U3025" s="29">
        <v>45621.70771722222</v>
      </c>
      <c r="V3025" s="29">
        <v>45621.0</v>
      </c>
      <c r="W3025" s="60"/>
      <c r="X3025" s="30"/>
      <c r="Y3025" s="31"/>
      <c r="Z3025" s="31"/>
      <c r="AA3025" s="31" t="s">
        <v>120</v>
      </c>
      <c r="AB3025" s="31" t="s">
        <v>11868</v>
      </c>
      <c r="AC3025" s="31"/>
    </row>
    <row r="3026" ht="18.75" customHeight="1">
      <c r="A3026" s="142" t="s">
        <v>11869</v>
      </c>
      <c r="B3026" s="19" t="s">
        <v>11870</v>
      </c>
      <c r="C3026" s="20">
        <v>27.0</v>
      </c>
      <c r="D3026" s="39" t="s">
        <v>11871</v>
      </c>
      <c r="E3026" s="27" t="s">
        <v>72</v>
      </c>
      <c r="F3026" s="18" t="s">
        <v>48</v>
      </c>
      <c r="G3026" s="18" t="s">
        <v>35</v>
      </c>
      <c r="H3026" s="40" t="s">
        <v>35</v>
      </c>
      <c r="I3026" s="37" t="s">
        <v>36</v>
      </c>
      <c r="J3026" s="25" t="s">
        <v>65</v>
      </c>
      <c r="K3026" s="26" t="s">
        <v>38</v>
      </c>
      <c r="L3026" s="25">
        <v>12075.0</v>
      </c>
      <c r="M3026" s="62" t="s">
        <v>50</v>
      </c>
      <c r="N3026" s="42" t="s">
        <v>8104</v>
      </c>
      <c r="O3026" s="63">
        <v>45623.6875</v>
      </c>
      <c r="P3026" s="26" t="s">
        <v>11872</v>
      </c>
      <c r="Q3026" s="11" t="s">
        <v>67</v>
      </c>
      <c r="R3026" s="11" t="s">
        <v>67</v>
      </c>
      <c r="S3026" s="11" t="s">
        <v>50</v>
      </c>
      <c r="T3026" s="29">
        <v>45622.479139143514</v>
      </c>
      <c r="U3026" s="29">
        <v>45622.72117751157</v>
      </c>
      <c r="V3026" s="29">
        <v>45623.429184733795</v>
      </c>
      <c r="W3026" s="38"/>
      <c r="X3026" s="30"/>
      <c r="Y3026" s="31"/>
      <c r="Z3026" s="31"/>
      <c r="AA3026" s="31" t="s">
        <v>120</v>
      </c>
      <c r="AB3026" s="31" t="s">
        <v>11873</v>
      </c>
      <c r="AC3026" s="31"/>
    </row>
    <row r="3027" ht="18.75" customHeight="1">
      <c r="A3027" s="142" t="s">
        <v>11874</v>
      </c>
      <c r="B3027" s="19" t="s">
        <v>115</v>
      </c>
      <c r="C3027" s="20">
        <v>0.0</v>
      </c>
      <c r="D3027" s="172" t="s">
        <v>11875</v>
      </c>
      <c r="E3027" s="27" t="s">
        <v>117</v>
      </c>
      <c r="F3027" s="18" t="s">
        <v>33</v>
      </c>
      <c r="G3027" s="18" t="s">
        <v>35</v>
      </c>
      <c r="H3027" s="40" t="s">
        <v>35</v>
      </c>
      <c r="I3027" s="37" t="s">
        <v>36</v>
      </c>
      <c r="J3027" s="25" t="s">
        <v>92</v>
      </c>
      <c r="K3027" s="26" t="s">
        <v>38</v>
      </c>
      <c r="L3027" s="25">
        <v>12250.0</v>
      </c>
      <c r="M3027" s="62" t="s">
        <v>50</v>
      </c>
      <c r="N3027" s="42" t="s">
        <v>10176</v>
      </c>
      <c r="O3027" s="63">
        <v>45687.63575858796</v>
      </c>
      <c r="P3027" s="26" t="s">
        <v>11876</v>
      </c>
      <c r="Q3027" s="11" t="s">
        <v>67</v>
      </c>
      <c r="R3027" s="11" t="s">
        <v>67</v>
      </c>
      <c r="S3027" s="11" t="s">
        <v>101</v>
      </c>
      <c r="T3027" s="29">
        <v>45622.48030645833</v>
      </c>
      <c r="U3027" s="29">
        <v>45622.600713611115</v>
      </c>
      <c r="V3027" s="29">
        <v>45642.56186104167</v>
      </c>
      <c r="W3027" s="11"/>
      <c r="X3027" s="30"/>
      <c r="Y3027" s="31"/>
      <c r="Z3027" s="31"/>
      <c r="AA3027" s="31" t="s">
        <v>120</v>
      </c>
      <c r="AB3027" s="31" t="s">
        <v>11877</v>
      </c>
      <c r="AC3027" s="31"/>
    </row>
    <row r="3028" ht="18.75" customHeight="1">
      <c r="A3028" s="142" t="s">
        <v>11878</v>
      </c>
      <c r="B3028" s="19" t="s">
        <v>8743</v>
      </c>
      <c r="C3028" s="20">
        <v>27.0</v>
      </c>
      <c r="D3028" s="39" t="s">
        <v>11879</v>
      </c>
      <c r="E3028" s="27" t="s">
        <v>72</v>
      </c>
      <c r="F3028" s="18" t="s">
        <v>48</v>
      </c>
      <c r="G3028" s="18" t="s">
        <v>35</v>
      </c>
      <c r="H3028" s="40" t="s">
        <v>35</v>
      </c>
      <c r="I3028" s="37" t="s">
        <v>36</v>
      </c>
      <c r="J3028" s="25" t="s">
        <v>65</v>
      </c>
      <c r="K3028" s="26" t="s">
        <v>38</v>
      </c>
      <c r="L3028" s="25">
        <v>12090.0</v>
      </c>
      <c r="M3028" s="62" t="s">
        <v>50</v>
      </c>
      <c r="N3028" s="42" t="s">
        <v>4698</v>
      </c>
      <c r="O3028" s="63">
        <v>45625.63886184028</v>
      </c>
      <c r="P3028" s="26" t="s">
        <v>11880</v>
      </c>
      <c r="Q3028" s="11" t="s">
        <v>67</v>
      </c>
      <c r="R3028" s="11" t="s">
        <v>67</v>
      </c>
      <c r="S3028" s="11" t="s">
        <v>50</v>
      </c>
      <c r="T3028" s="29">
        <v>45622.60520638889</v>
      </c>
      <c r="U3028" s="29">
        <v>45624.451790555555</v>
      </c>
      <c r="V3028" s="29">
        <v>45625.45010238426</v>
      </c>
      <c r="W3028" s="11"/>
      <c r="X3028" s="30"/>
      <c r="Y3028" s="31"/>
      <c r="Z3028" s="31"/>
      <c r="AA3028" s="31" t="s">
        <v>3059</v>
      </c>
      <c r="AB3028" s="31" t="s">
        <v>11881</v>
      </c>
      <c r="AC3028" s="31"/>
    </row>
    <row r="3029" ht="18.75" customHeight="1">
      <c r="A3029" s="142" t="s">
        <v>11882</v>
      </c>
      <c r="B3029" s="19" t="s">
        <v>4206</v>
      </c>
      <c r="C3029" s="20">
        <v>0.0</v>
      </c>
      <c r="D3029" s="164" t="s">
        <v>11883</v>
      </c>
      <c r="E3029" s="27" t="s">
        <v>243</v>
      </c>
      <c r="F3029" s="18" t="s">
        <v>244</v>
      </c>
      <c r="G3029" s="18" t="s">
        <v>35</v>
      </c>
      <c r="H3029" s="40" t="s">
        <v>35</v>
      </c>
      <c r="I3029" s="37" t="s">
        <v>36</v>
      </c>
      <c r="J3029" s="25" t="s">
        <v>92</v>
      </c>
      <c r="K3029" s="26" t="s">
        <v>38</v>
      </c>
      <c r="L3029" s="25">
        <v>12092.0</v>
      </c>
      <c r="M3029" s="62" t="s">
        <v>50</v>
      </c>
      <c r="N3029" s="42" t="s">
        <v>5893</v>
      </c>
      <c r="O3029" s="63">
        <v>45625.63149555556</v>
      </c>
      <c r="P3029" s="26" t="s">
        <v>11884</v>
      </c>
      <c r="Q3029" s="11" t="s">
        <v>67</v>
      </c>
      <c r="R3029" s="11" t="s">
        <v>67</v>
      </c>
      <c r="S3029" s="11" t="s">
        <v>101</v>
      </c>
      <c r="T3029" s="29">
        <v>45622.60725516204</v>
      </c>
      <c r="U3029" s="29">
        <v>45622.65925293982</v>
      </c>
      <c r="V3029" s="29">
        <v>45625.44048542824</v>
      </c>
      <c r="W3029" s="11"/>
      <c r="X3029" s="30"/>
      <c r="Y3029" s="31"/>
      <c r="Z3029" s="31"/>
      <c r="AA3029" s="31" t="s">
        <v>3059</v>
      </c>
      <c r="AB3029" s="160" t="s">
        <v>11885</v>
      </c>
      <c r="AC3029" s="31"/>
    </row>
    <row r="3030" ht="18.75" customHeight="1">
      <c r="A3030" s="142" t="s">
        <v>11886</v>
      </c>
      <c r="B3030" s="19" t="s">
        <v>11887</v>
      </c>
      <c r="C3030" s="20">
        <v>1.0</v>
      </c>
      <c r="D3030" s="61" t="s">
        <v>11888</v>
      </c>
      <c r="E3030" s="27" t="s">
        <v>11712</v>
      </c>
      <c r="F3030" s="18" t="s">
        <v>48</v>
      </c>
      <c r="G3030" s="18" t="s">
        <v>35</v>
      </c>
      <c r="H3030" s="40" t="s">
        <v>35</v>
      </c>
      <c r="I3030" s="37" t="s">
        <v>36</v>
      </c>
      <c r="J3030" s="25" t="s">
        <v>65</v>
      </c>
      <c r="K3030" s="26" t="s">
        <v>38</v>
      </c>
      <c r="L3030" s="25">
        <v>12302.0</v>
      </c>
      <c r="M3030" s="62" t="s">
        <v>50</v>
      </c>
      <c r="N3030" s="42" t="s">
        <v>149</v>
      </c>
      <c r="O3030" s="63">
        <v>45645.6875</v>
      </c>
      <c r="P3030" s="26" t="s">
        <v>11889</v>
      </c>
      <c r="Q3030" s="11" t="s">
        <v>67</v>
      </c>
      <c r="R3030" s="11" t="s">
        <v>67</v>
      </c>
      <c r="S3030" s="11"/>
      <c r="T3030" s="29">
        <v>45643.566366643514</v>
      </c>
      <c r="U3030" s="29">
        <v>45643.566369733795</v>
      </c>
      <c r="V3030" s="29"/>
      <c r="W3030" s="11"/>
      <c r="X3030" s="30"/>
      <c r="Y3030" s="31"/>
      <c r="Z3030" s="31"/>
      <c r="AA3030" s="31" t="s">
        <v>3059</v>
      </c>
      <c r="AB3030" s="31" t="s">
        <v>11890</v>
      </c>
      <c r="AC3030" s="31"/>
    </row>
    <row r="3031" ht="18.75" customHeight="1">
      <c r="A3031" s="18" t="s">
        <v>11891</v>
      </c>
      <c r="B3031" s="19" t="s">
        <v>96</v>
      </c>
      <c r="C3031" s="20">
        <v>0.0</v>
      </c>
      <c r="D3031" s="61" t="s">
        <v>11892</v>
      </c>
      <c r="E3031" s="22" t="s">
        <v>32</v>
      </c>
      <c r="F3031" s="18" t="s">
        <v>33</v>
      </c>
      <c r="G3031" s="18" t="s">
        <v>34</v>
      </c>
      <c r="H3031" s="40" t="s">
        <v>980</v>
      </c>
      <c r="I3031" s="37" t="s">
        <v>36</v>
      </c>
      <c r="J3031" s="25" t="s">
        <v>49</v>
      </c>
      <c r="K3031" s="26" t="s">
        <v>38</v>
      </c>
      <c r="L3031" s="34">
        <v>12256.0</v>
      </c>
      <c r="M3031" s="62" t="s">
        <v>50</v>
      </c>
      <c r="N3031" s="42" t="s">
        <v>143</v>
      </c>
      <c r="O3031" s="63">
        <v>45645.67374304398</v>
      </c>
      <c r="P3031" s="26" t="s">
        <v>11893</v>
      </c>
      <c r="Q3031" s="11" t="s">
        <v>67</v>
      </c>
      <c r="R3031" s="11" t="s">
        <v>67</v>
      </c>
      <c r="S3031" s="11" t="s">
        <v>101</v>
      </c>
      <c r="T3031" s="29">
        <v>45622.707039050925</v>
      </c>
      <c r="U3031" s="29">
        <v>45628.36393930556</v>
      </c>
      <c r="V3031" s="29">
        <v>45645.65593710648</v>
      </c>
      <c r="W3031" s="11"/>
      <c r="X3031" s="30"/>
      <c r="Y3031" s="31"/>
      <c r="Z3031" s="31"/>
      <c r="AA3031" s="31" t="s">
        <v>102</v>
      </c>
      <c r="AB3031" s="31" t="s">
        <v>11894</v>
      </c>
      <c r="AC3031" s="31"/>
    </row>
    <row r="3032" ht="18.75" customHeight="1">
      <c r="A3032" s="18" t="s">
        <v>11895</v>
      </c>
      <c r="B3032" s="19" t="s">
        <v>96</v>
      </c>
      <c r="C3032" s="20">
        <v>0.0</v>
      </c>
      <c r="D3032" s="61" t="s">
        <v>11896</v>
      </c>
      <c r="E3032" s="22" t="s">
        <v>32</v>
      </c>
      <c r="F3032" s="18" t="s">
        <v>33</v>
      </c>
      <c r="G3032" s="18" t="s">
        <v>34</v>
      </c>
      <c r="H3032" s="40" t="s">
        <v>980</v>
      </c>
      <c r="I3032" s="37" t="s">
        <v>36</v>
      </c>
      <c r="J3032" s="25" t="s">
        <v>49</v>
      </c>
      <c r="K3032" s="26" t="s">
        <v>38</v>
      </c>
      <c r="L3032" s="34">
        <v>12256.0</v>
      </c>
      <c r="M3032" s="62" t="s">
        <v>50</v>
      </c>
      <c r="N3032" s="42" t="s">
        <v>143</v>
      </c>
      <c r="O3032" s="63">
        <v>45645.673867488425</v>
      </c>
      <c r="P3032" s="26" t="s">
        <v>11893</v>
      </c>
      <c r="Q3032" s="11" t="s">
        <v>67</v>
      </c>
      <c r="R3032" s="11" t="s">
        <v>67</v>
      </c>
      <c r="S3032" s="11" t="s">
        <v>101</v>
      </c>
      <c r="T3032" s="29">
        <v>45622.707252106484</v>
      </c>
      <c r="U3032" s="29">
        <v>45628.363941979165</v>
      </c>
      <c r="V3032" s="29">
        <v>45645.655945798615</v>
      </c>
      <c r="W3032" s="11"/>
      <c r="X3032" s="30"/>
      <c r="Y3032" s="31"/>
      <c r="Z3032" s="31"/>
      <c r="AA3032" s="31" t="s">
        <v>102</v>
      </c>
      <c r="AB3032" s="31" t="s">
        <v>11897</v>
      </c>
      <c r="AC3032" s="31"/>
    </row>
    <row r="3033" ht="18.75" customHeight="1">
      <c r="A3033" s="18" t="s">
        <v>11898</v>
      </c>
      <c r="B3033" s="19" t="s">
        <v>96</v>
      </c>
      <c r="C3033" s="20">
        <v>0.0</v>
      </c>
      <c r="D3033" s="61" t="s">
        <v>11899</v>
      </c>
      <c r="E3033" s="22" t="s">
        <v>32</v>
      </c>
      <c r="F3033" s="18" t="s">
        <v>33</v>
      </c>
      <c r="G3033" s="18" t="s">
        <v>34</v>
      </c>
      <c r="H3033" s="40" t="s">
        <v>980</v>
      </c>
      <c r="I3033" s="37" t="s">
        <v>36</v>
      </c>
      <c r="J3033" s="25" t="s">
        <v>49</v>
      </c>
      <c r="K3033" s="26" t="s">
        <v>38</v>
      </c>
      <c r="L3033" s="34">
        <v>12256.0</v>
      </c>
      <c r="M3033" s="62" t="s">
        <v>50</v>
      </c>
      <c r="N3033" s="42" t="s">
        <v>143</v>
      </c>
      <c r="O3033" s="63">
        <v>45645.674212638885</v>
      </c>
      <c r="P3033" s="26" t="s">
        <v>11893</v>
      </c>
      <c r="Q3033" s="11" t="s">
        <v>67</v>
      </c>
      <c r="R3033" s="11" t="s">
        <v>67</v>
      </c>
      <c r="S3033" s="11" t="s">
        <v>101</v>
      </c>
      <c r="T3033" s="29">
        <v>45622.707304745374</v>
      </c>
      <c r="U3033" s="29">
        <v>45628.36400973379</v>
      </c>
      <c r="V3033" s="29">
        <v>45645.662005798615</v>
      </c>
      <c r="W3033" s="11"/>
      <c r="X3033" s="30"/>
      <c r="Y3033" s="31"/>
      <c r="Z3033" s="31"/>
      <c r="AA3033" s="31" t="s">
        <v>102</v>
      </c>
      <c r="AB3033" s="31" t="s">
        <v>11900</v>
      </c>
      <c r="AC3033" s="31"/>
    </row>
    <row r="3034" ht="18.75" customHeight="1">
      <c r="A3034" s="18" t="s">
        <v>11901</v>
      </c>
      <c r="B3034" s="19" t="s">
        <v>96</v>
      </c>
      <c r="C3034" s="20">
        <v>0.0</v>
      </c>
      <c r="D3034" s="61" t="s">
        <v>973</v>
      </c>
      <c r="E3034" s="22" t="s">
        <v>32</v>
      </c>
      <c r="F3034" s="18" t="s">
        <v>33</v>
      </c>
      <c r="G3034" s="18" t="s">
        <v>34</v>
      </c>
      <c r="H3034" s="40" t="s">
        <v>980</v>
      </c>
      <c r="I3034" s="37" t="s">
        <v>36</v>
      </c>
      <c r="J3034" s="25" t="s">
        <v>49</v>
      </c>
      <c r="K3034" s="26" t="s">
        <v>38</v>
      </c>
      <c r="L3034" s="34">
        <v>12256.0</v>
      </c>
      <c r="M3034" s="62" t="s">
        <v>50</v>
      </c>
      <c r="N3034" s="42" t="s">
        <v>143</v>
      </c>
      <c r="O3034" s="63">
        <v>45645.67393766204</v>
      </c>
      <c r="P3034" s="26" t="s">
        <v>11893</v>
      </c>
      <c r="Q3034" s="11" t="s">
        <v>67</v>
      </c>
      <c r="R3034" s="11" t="s">
        <v>67</v>
      </c>
      <c r="S3034" s="11" t="s">
        <v>101</v>
      </c>
      <c r="T3034" s="29">
        <v>45622.70735709491</v>
      </c>
      <c r="U3034" s="29">
        <v>45628.363955312496</v>
      </c>
      <c r="V3034" s="29">
        <v>45645.66008400463</v>
      </c>
      <c r="W3034" s="12"/>
      <c r="X3034" s="30"/>
      <c r="Y3034" s="31"/>
      <c r="Z3034" s="31"/>
      <c r="AA3034" s="31" t="s">
        <v>102</v>
      </c>
      <c r="AB3034" s="31" t="s">
        <v>11902</v>
      </c>
      <c r="AC3034" s="31"/>
    </row>
    <row r="3035" ht="18.75" customHeight="1">
      <c r="A3035" s="18" t="s">
        <v>11903</v>
      </c>
      <c r="B3035" s="19" t="s">
        <v>96</v>
      </c>
      <c r="C3035" s="20">
        <v>0.0</v>
      </c>
      <c r="D3035" s="61" t="s">
        <v>11904</v>
      </c>
      <c r="E3035" s="22" t="s">
        <v>32</v>
      </c>
      <c r="F3035" s="18" t="s">
        <v>33</v>
      </c>
      <c r="G3035" s="18" t="s">
        <v>34</v>
      </c>
      <c r="H3035" s="40" t="s">
        <v>980</v>
      </c>
      <c r="I3035" s="37" t="s">
        <v>36</v>
      </c>
      <c r="J3035" s="25" t="s">
        <v>49</v>
      </c>
      <c r="K3035" s="26" t="s">
        <v>38</v>
      </c>
      <c r="L3035" s="34">
        <v>12256.0</v>
      </c>
      <c r="M3035" s="62" t="s">
        <v>50</v>
      </c>
      <c r="N3035" s="42" t="s">
        <v>143</v>
      </c>
      <c r="O3035" s="63">
        <v>45645.67405644676</v>
      </c>
      <c r="P3035" s="26" t="s">
        <v>11893</v>
      </c>
      <c r="Q3035" s="11" t="s">
        <v>67</v>
      </c>
      <c r="R3035" s="11" t="s">
        <v>67</v>
      </c>
      <c r="S3035" s="11" t="s">
        <v>101</v>
      </c>
      <c r="T3035" s="29">
        <v>45622.70741116898</v>
      </c>
      <c r="U3035" s="29">
        <v>45628.36395741898</v>
      </c>
      <c r="V3035" s="29">
        <v>45645.66073809028</v>
      </c>
      <c r="W3035" s="11"/>
      <c r="X3035" s="30"/>
      <c r="Y3035" s="31"/>
      <c r="Z3035" s="31"/>
      <c r="AA3035" s="31" t="s">
        <v>102</v>
      </c>
      <c r="AB3035" s="31" t="s">
        <v>11905</v>
      </c>
      <c r="AC3035" s="31"/>
    </row>
    <row r="3036" ht="18.75" customHeight="1">
      <c r="A3036" s="18" t="s">
        <v>11906</v>
      </c>
      <c r="B3036" s="19" t="s">
        <v>96</v>
      </c>
      <c r="C3036" s="20">
        <v>0.0</v>
      </c>
      <c r="D3036" s="61" t="s">
        <v>977</v>
      </c>
      <c r="E3036" s="22" t="s">
        <v>32</v>
      </c>
      <c r="F3036" s="18" t="s">
        <v>33</v>
      </c>
      <c r="G3036" s="18" t="s">
        <v>34</v>
      </c>
      <c r="H3036" s="40" t="s">
        <v>980</v>
      </c>
      <c r="I3036" s="37" t="s">
        <v>36</v>
      </c>
      <c r="J3036" s="25" t="s">
        <v>49</v>
      </c>
      <c r="K3036" s="26" t="s">
        <v>38</v>
      </c>
      <c r="L3036" s="34">
        <v>12256.0</v>
      </c>
      <c r="M3036" s="62" t="s">
        <v>50</v>
      </c>
      <c r="N3036" s="42" t="s">
        <v>143</v>
      </c>
      <c r="O3036" s="63">
        <v>45645.67412652778</v>
      </c>
      <c r="P3036" s="26" t="s">
        <v>11893</v>
      </c>
      <c r="Q3036" s="11" t="s">
        <v>67</v>
      </c>
      <c r="R3036" s="11" t="s">
        <v>67</v>
      </c>
      <c r="S3036" s="11" t="s">
        <v>101</v>
      </c>
      <c r="T3036" s="29">
        <v>45622.70746554398</v>
      </c>
      <c r="U3036" s="29">
        <v>45628.363976134264</v>
      </c>
      <c r="V3036" s="29">
        <v>45645.66074744213</v>
      </c>
      <c r="W3036" s="11"/>
      <c r="X3036" s="30"/>
      <c r="Y3036" s="31"/>
      <c r="Z3036" s="31"/>
      <c r="AA3036" s="31" t="s">
        <v>102</v>
      </c>
      <c r="AB3036" s="31" t="s">
        <v>11907</v>
      </c>
      <c r="AC3036" s="31"/>
    </row>
    <row r="3037" ht="18.75" customHeight="1">
      <c r="A3037" s="18" t="s">
        <v>11908</v>
      </c>
      <c r="B3037" s="19" t="s">
        <v>96</v>
      </c>
      <c r="C3037" s="20">
        <v>0.0</v>
      </c>
      <c r="D3037" s="61" t="s">
        <v>778</v>
      </c>
      <c r="E3037" s="27" t="s">
        <v>491</v>
      </c>
      <c r="F3037" s="18" t="s">
        <v>33</v>
      </c>
      <c r="G3037" s="18" t="s">
        <v>34</v>
      </c>
      <c r="H3037" s="40" t="s">
        <v>35</v>
      </c>
      <c r="I3037" s="37" t="s">
        <v>36</v>
      </c>
      <c r="J3037" s="25" t="s">
        <v>49</v>
      </c>
      <c r="K3037" s="26" t="s">
        <v>38</v>
      </c>
      <c r="L3037" s="25">
        <v>12107.0</v>
      </c>
      <c r="M3037" s="62" t="s">
        <v>50</v>
      </c>
      <c r="N3037" s="42" t="s">
        <v>5936</v>
      </c>
      <c r="O3037" s="63">
        <v>45628.70417833333</v>
      </c>
      <c r="P3037" s="26" t="s">
        <v>11909</v>
      </c>
      <c r="Q3037" s="11" t="s">
        <v>67</v>
      </c>
      <c r="R3037" s="11" t="s">
        <v>67</v>
      </c>
      <c r="S3037" s="11" t="s">
        <v>50</v>
      </c>
      <c r="T3037" s="29">
        <v>45622.709852534725</v>
      </c>
      <c r="U3037" s="29">
        <v>45622.72700298611</v>
      </c>
      <c r="V3037" s="29">
        <v>45628.40687634259</v>
      </c>
      <c r="W3037" s="11"/>
      <c r="X3037" s="30"/>
      <c r="Y3037" s="31"/>
      <c r="Z3037" s="31"/>
      <c r="AA3037" s="31" t="s">
        <v>102</v>
      </c>
      <c r="AB3037" s="31" t="s">
        <v>11910</v>
      </c>
      <c r="AC3037" s="31"/>
    </row>
    <row r="3038" ht="18.75" customHeight="1">
      <c r="A3038" s="18" t="s">
        <v>11911</v>
      </c>
      <c r="B3038" s="19" t="s">
        <v>96</v>
      </c>
      <c r="C3038" s="20">
        <v>0.0</v>
      </c>
      <c r="D3038" s="173" t="s">
        <v>11912</v>
      </c>
      <c r="E3038" s="27" t="s">
        <v>1268</v>
      </c>
      <c r="F3038" s="18" t="s">
        <v>33</v>
      </c>
      <c r="G3038" s="18" t="s">
        <v>34</v>
      </c>
      <c r="H3038" s="40" t="s">
        <v>35</v>
      </c>
      <c r="I3038" s="37" t="s">
        <v>36</v>
      </c>
      <c r="J3038" s="25" t="s">
        <v>49</v>
      </c>
      <c r="K3038" s="26" t="s">
        <v>38</v>
      </c>
      <c r="L3038" s="25">
        <v>12107.0</v>
      </c>
      <c r="M3038" s="62" t="s">
        <v>50</v>
      </c>
      <c r="N3038" s="42" t="s">
        <v>5936</v>
      </c>
      <c r="O3038" s="63">
        <v>45628.70409983797</v>
      </c>
      <c r="P3038" s="26" t="s">
        <v>11909</v>
      </c>
      <c r="Q3038" s="11" t="s">
        <v>67</v>
      </c>
      <c r="R3038" s="11" t="s">
        <v>67</v>
      </c>
      <c r="S3038" s="11" t="s">
        <v>101</v>
      </c>
      <c r="T3038" s="29">
        <v>45622.7107611574</v>
      </c>
      <c r="U3038" s="29">
        <v>45622.726992627315</v>
      </c>
      <c r="V3038" s="29">
        <v>45624.58355473379</v>
      </c>
      <c r="W3038" s="38"/>
      <c r="X3038" s="30"/>
      <c r="Y3038" s="31"/>
      <c r="Z3038" s="31"/>
      <c r="AA3038" s="31" t="s">
        <v>102</v>
      </c>
      <c r="AB3038" s="31" t="s">
        <v>11913</v>
      </c>
      <c r="AC3038" s="31"/>
    </row>
    <row r="3039" ht="18.75" customHeight="1">
      <c r="A3039" s="151" t="s">
        <v>11914</v>
      </c>
      <c r="B3039" s="19" t="s">
        <v>4352</v>
      </c>
      <c r="C3039" s="20">
        <v>11.0</v>
      </c>
      <c r="D3039" s="21" t="s">
        <v>11915</v>
      </c>
      <c r="E3039" s="27" t="s">
        <v>112</v>
      </c>
      <c r="F3039" s="18" t="s">
        <v>48</v>
      </c>
      <c r="G3039" s="18" t="s">
        <v>35</v>
      </c>
      <c r="H3039" s="40" t="s">
        <v>35</v>
      </c>
      <c r="I3039" s="37" t="s">
        <v>36</v>
      </c>
      <c r="J3039" s="25" t="s">
        <v>49</v>
      </c>
      <c r="K3039" s="26" t="s">
        <v>38</v>
      </c>
      <c r="L3039" s="25">
        <v>12364.0</v>
      </c>
      <c r="M3039" s="27" t="s">
        <v>50</v>
      </c>
      <c r="N3039" s="26" t="s">
        <v>9953</v>
      </c>
      <c r="O3039" s="28">
        <v>45659.0</v>
      </c>
      <c r="P3039" s="26" t="s">
        <v>11916</v>
      </c>
      <c r="Q3039" s="11" t="s">
        <v>67</v>
      </c>
      <c r="R3039" s="11" t="s">
        <v>67</v>
      </c>
      <c r="S3039" s="11" t="s">
        <v>50</v>
      </c>
      <c r="T3039" s="29">
        <v>45623.388165752316</v>
      </c>
      <c r="U3039" s="29">
        <v>45623.40609921297</v>
      </c>
      <c r="V3039" s="29">
        <v>45652.56940337963</v>
      </c>
      <c r="W3039" s="11"/>
      <c r="X3039" s="30"/>
      <c r="Y3039" s="31"/>
      <c r="Z3039" s="31"/>
      <c r="AA3039" s="31" t="s">
        <v>127</v>
      </c>
      <c r="AB3039" s="31" t="s">
        <v>11917</v>
      </c>
      <c r="AC3039" s="31"/>
    </row>
    <row r="3040" ht="18.75" customHeight="1">
      <c r="A3040" s="151" t="s">
        <v>11918</v>
      </c>
      <c r="B3040" s="19" t="s">
        <v>4352</v>
      </c>
      <c r="C3040" s="20">
        <v>90.0</v>
      </c>
      <c r="D3040" s="21" t="s">
        <v>11919</v>
      </c>
      <c r="E3040" s="27" t="s">
        <v>91</v>
      </c>
      <c r="F3040" s="18" t="s">
        <v>48</v>
      </c>
      <c r="G3040" s="18" t="s">
        <v>35</v>
      </c>
      <c r="H3040" s="40" t="s">
        <v>35</v>
      </c>
      <c r="I3040" s="37" t="s">
        <v>36</v>
      </c>
      <c r="J3040" s="25" t="s">
        <v>49</v>
      </c>
      <c r="K3040" s="26" t="s">
        <v>38</v>
      </c>
      <c r="L3040" s="25">
        <v>12353.0</v>
      </c>
      <c r="M3040" s="27" t="s">
        <v>50</v>
      </c>
      <c r="N3040" s="26" t="s">
        <v>9953</v>
      </c>
      <c r="O3040" s="28">
        <v>45659.0</v>
      </c>
      <c r="P3040" s="26" t="s">
        <v>11920</v>
      </c>
      <c r="Q3040" s="11" t="s">
        <v>67</v>
      </c>
      <c r="R3040" s="11" t="s">
        <v>67</v>
      </c>
      <c r="S3040" s="11" t="s">
        <v>50</v>
      </c>
      <c r="T3040" s="29">
        <v>45623.38966755787</v>
      </c>
      <c r="U3040" s="29">
        <v>45623.4064459375</v>
      </c>
      <c r="V3040" s="29">
        <v>45652.48534020833</v>
      </c>
      <c r="W3040" s="11"/>
      <c r="X3040" s="30"/>
      <c r="Y3040" s="31"/>
      <c r="Z3040" s="31"/>
      <c r="AA3040" s="31" t="s">
        <v>127</v>
      </c>
      <c r="AB3040" s="31" t="s">
        <v>11921</v>
      </c>
      <c r="AC3040" s="31"/>
    </row>
    <row r="3041" ht="18.75" customHeight="1">
      <c r="A3041" s="142" t="s">
        <v>11922</v>
      </c>
      <c r="B3041" s="19" t="s">
        <v>10447</v>
      </c>
      <c r="C3041" s="20">
        <v>27.0</v>
      </c>
      <c r="D3041" s="39"/>
      <c r="E3041" s="27" t="s">
        <v>72</v>
      </c>
      <c r="F3041" s="18" t="s">
        <v>48</v>
      </c>
      <c r="G3041" s="18" t="s">
        <v>35</v>
      </c>
      <c r="H3041" s="40" t="s">
        <v>35</v>
      </c>
      <c r="I3041" s="37" t="s">
        <v>984</v>
      </c>
      <c r="J3041" s="25" t="s">
        <v>65</v>
      </c>
      <c r="K3041" s="26" t="s">
        <v>38</v>
      </c>
      <c r="L3041" s="25"/>
      <c r="M3041" s="62"/>
      <c r="N3041" s="42"/>
      <c r="O3041" s="63"/>
      <c r="P3041" s="26" t="s">
        <v>11923</v>
      </c>
      <c r="Q3041" s="11" t="s">
        <v>67</v>
      </c>
      <c r="R3041" s="11" t="s">
        <v>67</v>
      </c>
      <c r="S3041" s="11"/>
      <c r="T3041" s="29">
        <v>45623.4531644213</v>
      </c>
      <c r="U3041" s="29">
        <v>45624.388702592594</v>
      </c>
      <c r="V3041" s="29"/>
      <c r="W3041" s="11"/>
      <c r="X3041" s="30"/>
      <c r="Y3041" s="31"/>
      <c r="Z3041" s="31"/>
      <c r="AA3041" s="31" t="s">
        <v>120</v>
      </c>
      <c r="AB3041" s="31" t="s">
        <v>11924</v>
      </c>
      <c r="AC3041" s="31"/>
    </row>
    <row r="3042" ht="18.75" customHeight="1">
      <c r="A3042" s="151" t="s">
        <v>11925</v>
      </c>
      <c r="B3042" s="19" t="s">
        <v>10447</v>
      </c>
      <c r="C3042" s="20">
        <v>1.0</v>
      </c>
      <c r="D3042" s="61" t="s">
        <v>11926</v>
      </c>
      <c r="E3042" s="27" t="s">
        <v>3395</v>
      </c>
      <c r="F3042" s="18" t="s">
        <v>48</v>
      </c>
      <c r="G3042" s="18" t="s">
        <v>35</v>
      </c>
      <c r="H3042" s="40" t="s">
        <v>35</v>
      </c>
      <c r="I3042" s="24" t="s">
        <v>36</v>
      </c>
      <c r="J3042" s="25" t="s">
        <v>65</v>
      </c>
      <c r="K3042" s="26" t="s">
        <v>38</v>
      </c>
      <c r="L3042" s="64" t="s">
        <v>11927</v>
      </c>
      <c r="M3042" s="152" t="str">
        <f t="shared" ref="M3042:M3043" si="18">VLOOKUP(D3042,'Página111'!E:E,1,0)</f>
        <v>#REF!</v>
      </c>
      <c r="N3042" s="26"/>
      <c r="O3042" s="50">
        <v>45646.0</v>
      </c>
      <c r="P3042" s="26" t="s">
        <v>11928</v>
      </c>
      <c r="Q3042" s="11" t="s">
        <v>67</v>
      </c>
      <c r="R3042" s="11" t="s">
        <v>67</v>
      </c>
      <c r="S3042" s="11" t="s">
        <v>73</v>
      </c>
      <c r="T3042" s="29">
        <v>45623.45512608797</v>
      </c>
      <c r="U3042" s="29">
        <v>45624.38904997685</v>
      </c>
      <c r="V3042" s="29">
        <v>45644.77606671296</v>
      </c>
      <c r="W3042" s="11"/>
      <c r="X3042" s="30"/>
      <c r="Y3042" s="66">
        <v>-12114.0</v>
      </c>
      <c r="Z3042" s="31"/>
      <c r="AA3042" s="31"/>
      <c r="AB3042" s="31" t="s">
        <v>11929</v>
      </c>
      <c r="AC3042" s="31"/>
    </row>
    <row r="3043" ht="18.75" customHeight="1">
      <c r="A3043" s="151" t="s">
        <v>11930</v>
      </c>
      <c r="B3043" s="19" t="s">
        <v>10447</v>
      </c>
      <c r="C3043" s="20">
        <v>90.0</v>
      </c>
      <c r="D3043" s="61" t="s">
        <v>11931</v>
      </c>
      <c r="E3043" s="27" t="s">
        <v>91</v>
      </c>
      <c r="F3043" s="18" t="s">
        <v>48</v>
      </c>
      <c r="G3043" s="18" t="s">
        <v>35</v>
      </c>
      <c r="H3043" s="40" t="s">
        <v>35</v>
      </c>
      <c r="I3043" s="24" t="s">
        <v>36</v>
      </c>
      <c r="J3043" s="25" t="s">
        <v>65</v>
      </c>
      <c r="K3043" s="26" t="s">
        <v>38</v>
      </c>
      <c r="L3043" s="64" t="s">
        <v>11932</v>
      </c>
      <c r="M3043" s="152" t="str">
        <f t="shared" si="18"/>
        <v>#REF!</v>
      </c>
      <c r="N3043" s="26"/>
      <c r="O3043" s="50">
        <v>45646.0</v>
      </c>
      <c r="P3043" s="26" t="s">
        <v>11933</v>
      </c>
      <c r="Q3043" s="11" t="s">
        <v>67</v>
      </c>
      <c r="R3043" s="11" t="s">
        <v>67</v>
      </c>
      <c r="S3043" s="11" t="s">
        <v>73</v>
      </c>
      <c r="T3043" s="29">
        <v>45623.46348755787</v>
      </c>
      <c r="U3043" s="29">
        <v>45624.389281145835</v>
      </c>
      <c r="V3043" s="29">
        <v>45644.776081018514</v>
      </c>
      <c r="W3043" s="11"/>
      <c r="X3043" s="30"/>
      <c r="Y3043" s="66">
        <v>-12122.0</v>
      </c>
      <c r="Z3043" s="31"/>
      <c r="AA3043" s="31"/>
      <c r="AB3043" s="31" t="s">
        <v>11934</v>
      </c>
      <c r="AC3043" s="31"/>
    </row>
    <row r="3044" ht="18.75" customHeight="1">
      <c r="A3044" s="142" t="s">
        <v>11935</v>
      </c>
      <c r="B3044" s="19" t="s">
        <v>1192</v>
      </c>
      <c r="C3044" s="20">
        <v>27.0</v>
      </c>
      <c r="D3044" s="39" t="s">
        <v>11936</v>
      </c>
      <c r="E3044" s="27" t="s">
        <v>72</v>
      </c>
      <c r="F3044" s="18" t="s">
        <v>48</v>
      </c>
      <c r="G3044" s="18" t="s">
        <v>35</v>
      </c>
      <c r="H3044" s="40" t="s">
        <v>35</v>
      </c>
      <c r="I3044" s="37" t="s">
        <v>36</v>
      </c>
      <c r="J3044" s="25" t="s">
        <v>65</v>
      </c>
      <c r="K3044" s="26" t="s">
        <v>38</v>
      </c>
      <c r="L3044" s="25">
        <v>12084.0</v>
      </c>
      <c r="M3044" s="62" t="s">
        <v>50</v>
      </c>
      <c r="N3044" s="42" t="s">
        <v>149</v>
      </c>
      <c r="O3044" s="63">
        <v>45624.6875</v>
      </c>
      <c r="P3044" s="26" t="s">
        <v>11937</v>
      </c>
      <c r="Q3044" s="11" t="s">
        <v>67</v>
      </c>
      <c r="R3044" s="11" t="s">
        <v>73</v>
      </c>
      <c r="S3044" s="11" t="s">
        <v>50</v>
      </c>
      <c r="T3044" s="29">
        <v>45623.46057270833</v>
      </c>
      <c r="U3044" s="29">
        <v>45624.508961099535</v>
      </c>
      <c r="V3044" s="29">
        <v>45624.51706387731</v>
      </c>
      <c r="W3044" s="38"/>
      <c r="X3044" s="30"/>
      <c r="Y3044" s="31"/>
      <c r="Z3044" s="31"/>
      <c r="AA3044" s="31" t="s">
        <v>94</v>
      </c>
      <c r="AB3044" s="31" t="s">
        <v>11938</v>
      </c>
      <c r="AC3044" s="31"/>
    </row>
    <row r="3045" ht="18.75" customHeight="1">
      <c r="A3045" s="142" t="s">
        <v>11939</v>
      </c>
      <c r="B3045" s="19" t="s">
        <v>746</v>
      </c>
      <c r="C3045" s="20">
        <v>27.0</v>
      </c>
      <c r="D3045" s="39" t="s">
        <v>11940</v>
      </c>
      <c r="E3045" s="27" t="s">
        <v>72</v>
      </c>
      <c r="F3045" s="18" t="s">
        <v>48</v>
      </c>
      <c r="G3045" s="18" t="s">
        <v>35</v>
      </c>
      <c r="H3045" s="40" t="s">
        <v>35</v>
      </c>
      <c r="I3045" s="37" t="s">
        <v>36</v>
      </c>
      <c r="J3045" s="25" t="s">
        <v>65</v>
      </c>
      <c r="K3045" s="26" t="s">
        <v>38</v>
      </c>
      <c r="L3045" s="25">
        <v>12116.0</v>
      </c>
      <c r="M3045" s="62" t="s">
        <v>50</v>
      </c>
      <c r="N3045" s="42" t="s">
        <v>8104</v>
      </c>
      <c r="O3045" s="63">
        <v>45631.688307696764</v>
      </c>
      <c r="P3045" s="26" t="s">
        <v>11941</v>
      </c>
      <c r="Q3045" s="11" t="s">
        <v>67</v>
      </c>
      <c r="R3045" s="11" t="s">
        <v>67</v>
      </c>
      <c r="S3045" s="11" t="s">
        <v>50</v>
      </c>
      <c r="T3045" s="29">
        <v>45623.46289255787</v>
      </c>
      <c r="U3045" s="29">
        <v>45628.71832893518</v>
      </c>
      <c r="V3045" s="29">
        <v>45630.406581180556</v>
      </c>
      <c r="W3045" s="11"/>
      <c r="X3045" s="30"/>
      <c r="Y3045" s="31"/>
      <c r="Z3045" s="31"/>
      <c r="AA3045" s="31" t="s">
        <v>94</v>
      </c>
      <c r="AB3045" s="31" t="s">
        <v>11942</v>
      </c>
      <c r="AC3045" s="31"/>
    </row>
    <row r="3046" ht="18.75" customHeight="1">
      <c r="A3046" s="32" t="s">
        <v>11943</v>
      </c>
      <c r="B3046" s="19" t="s">
        <v>5625</v>
      </c>
      <c r="C3046" s="20">
        <v>1.0</v>
      </c>
      <c r="D3046" s="61" t="s">
        <v>1121</v>
      </c>
      <c r="E3046" s="27" t="s">
        <v>155</v>
      </c>
      <c r="F3046" s="18" t="s">
        <v>48</v>
      </c>
      <c r="G3046" s="18" t="s">
        <v>35</v>
      </c>
      <c r="H3046" s="40" t="s">
        <v>35</v>
      </c>
      <c r="I3046" s="37" t="s">
        <v>36</v>
      </c>
      <c r="J3046" s="25" t="s">
        <v>49</v>
      </c>
      <c r="K3046" s="26" t="s">
        <v>447</v>
      </c>
      <c r="L3046" s="25">
        <v>12486.0</v>
      </c>
      <c r="M3046" s="62" t="s">
        <v>50</v>
      </c>
      <c r="N3046" s="42" t="s">
        <v>143</v>
      </c>
      <c r="O3046" s="63">
        <v>45681.56978535879</v>
      </c>
      <c r="P3046" s="26" t="s">
        <v>11944</v>
      </c>
      <c r="Q3046" s="11" t="s">
        <v>67</v>
      </c>
      <c r="R3046" s="11" t="s">
        <v>67</v>
      </c>
      <c r="S3046" s="11" t="s">
        <v>101</v>
      </c>
      <c r="T3046" s="29">
        <v>45623.46782414352</v>
      </c>
      <c r="U3046" s="29">
        <v>45645.63228604167</v>
      </c>
      <c r="V3046" s="29">
        <v>45677.64003321759</v>
      </c>
      <c r="W3046" s="11"/>
      <c r="X3046" s="30"/>
      <c r="Y3046" s="31"/>
      <c r="Z3046" s="31"/>
      <c r="AA3046" s="31" t="s">
        <v>108</v>
      </c>
      <c r="AB3046" s="31" t="s">
        <v>11945</v>
      </c>
      <c r="AC3046" s="31"/>
    </row>
    <row r="3047" ht="18.75" customHeight="1">
      <c r="A3047" s="32" t="s">
        <v>11946</v>
      </c>
      <c r="B3047" s="19" t="s">
        <v>5625</v>
      </c>
      <c r="C3047" s="20">
        <v>1.0</v>
      </c>
      <c r="D3047" s="61" t="s">
        <v>11947</v>
      </c>
      <c r="E3047" s="27" t="s">
        <v>155</v>
      </c>
      <c r="F3047" s="18" t="s">
        <v>48</v>
      </c>
      <c r="G3047" s="18" t="s">
        <v>35</v>
      </c>
      <c r="H3047" s="40" t="s">
        <v>35</v>
      </c>
      <c r="I3047" s="37" t="s">
        <v>36</v>
      </c>
      <c r="J3047" s="25" t="s">
        <v>49</v>
      </c>
      <c r="K3047" s="26" t="s">
        <v>447</v>
      </c>
      <c r="L3047" s="25">
        <v>12486.0</v>
      </c>
      <c r="M3047" s="62" t="s">
        <v>50</v>
      </c>
      <c r="N3047" s="42" t="s">
        <v>143</v>
      </c>
      <c r="O3047" s="63">
        <v>45681.569850844906</v>
      </c>
      <c r="P3047" s="26" t="s">
        <v>11944</v>
      </c>
      <c r="Q3047" s="11" t="s">
        <v>67</v>
      </c>
      <c r="R3047" s="11" t="s">
        <v>67</v>
      </c>
      <c r="S3047" s="11" t="s">
        <v>101</v>
      </c>
      <c r="T3047" s="29">
        <v>45623.46823378472</v>
      </c>
      <c r="U3047" s="29">
        <v>45645.632278749996</v>
      </c>
      <c r="V3047" s="29">
        <v>45677.640037453704</v>
      </c>
      <c r="W3047" s="11"/>
      <c r="X3047" s="30"/>
      <c r="Y3047" s="31"/>
      <c r="Z3047" s="31"/>
      <c r="AA3047" s="31" t="s">
        <v>108</v>
      </c>
      <c r="AB3047" s="31" t="s">
        <v>11948</v>
      </c>
      <c r="AC3047" s="31"/>
    </row>
    <row r="3048" ht="18.75" customHeight="1">
      <c r="A3048" s="18" t="s">
        <v>11949</v>
      </c>
      <c r="B3048" s="19" t="s">
        <v>5625</v>
      </c>
      <c r="C3048" s="20">
        <v>1.0</v>
      </c>
      <c r="D3048" s="61" t="s">
        <v>1126</v>
      </c>
      <c r="E3048" s="27" t="s">
        <v>155</v>
      </c>
      <c r="F3048" s="18" t="s">
        <v>48</v>
      </c>
      <c r="G3048" s="18" t="s">
        <v>35</v>
      </c>
      <c r="H3048" s="40" t="s">
        <v>35</v>
      </c>
      <c r="I3048" s="37" t="s">
        <v>36</v>
      </c>
      <c r="J3048" s="25" t="s">
        <v>49</v>
      </c>
      <c r="K3048" s="26" t="s">
        <v>447</v>
      </c>
      <c r="L3048" s="25">
        <v>12486.0</v>
      </c>
      <c r="M3048" s="62" t="s">
        <v>50</v>
      </c>
      <c r="N3048" s="42" t="s">
        <v>143</v>
      </c>
      <c r="O3048" s="63">
        <v>45681.570079490746</v>
      </c>
      <c r="P3048" s="26" t="s">
        <v>11944</v>
      </c>
      <c r="Q3048" s="11"/>
      <c r="R3048" s="11" t="s">
        <v>67</v>
      </c>
      <c r="S3048" s="11" t="s">
        <v>101</v>
      </c>
      <c r="T3048" s="29">
        <v>45623.4673912037</v>
      </c>
      <c r="U3048" s="29">
        <v>45645.632268553236</v>
      </c>
      <c r="V3048" s="29">
        <v>45677.64127596065</v>
      </c>
      <c r="W3048" s="11"/>
      <c r="X3048" s="30"/>
      <c r="Y3048" s="31"/>
      <c r="Z3048" s="31"/>
      <c r="AA3048" s="31" t="s">
        <v>108</v>
      </c>
      <c r="AB3048" s="31" t="s">
        <v>11950</v>
      </c>
      <c r="AC3048" s="31"/>
    </row>
    <row r="3049" ht="18.75" customHeight="1">
      <c r="A3049" s="32" t="s">
        <v>11951</v>
      </c>
      <c r="B3049" s="19" t="s">
        <v>5625</v>
      </c>
      <c r="C3049" s="20">
        <v>0.0</v>
      </c>
      <c r="D3049" s="61" t="s">
        <v>11952</v>
      </c>
      <c r="E3049" s="27" t="s">
        <v>11953</v>
      </c>
      <c r="F3049" s="18" t="s">
        <v>48</v>
      </c>
      <c r="G3049" s="18" t="s">
        <v>35</v>
      </c>
      <c r="H3049" s="40" t="s">
        <v>35</v>
      </c>
      <c r="I3049" s="37" t="s">
        <v>36</v>
      </c>
      <c r="J3049" s="25" t="s">
        <v>49</v>
      </c>
      <c r="K3049" s="26" t="s">
        <v>447</v>
      </c>
      <c r="L3049" s="25">
        <v>12486.0</v>
      </c>
      <c r="M3049" s="62" t="s">
        <v>50</v>
      </c>
      <c r="N3049" s="42" t="s">
        <v>143</v>
      </c>
      <c r="O3049" s="63">
        <v>45681.57015189815</v>
      </c>
      <c r="P3049" s="26" t="s">
        <v>11944</v>
      </c>
      <c r="Q3049" s="11" t="s">
        <v>67</v>
      </c>
      <c r="R3049" s="11" t="s">
        <v>67</v>
      </c>
      <c r="S3049" s="11"/>
      <c r="T3049" s="29">
        <v>45623.489012210644</v>
      </c>
      <c r="U3049" s="29">
        <v>45645.632273090276</v>
      </c>
      <c r="V3049" s="29"/>
      <c r="W3049" s="11"/>
      <c r="X3049" s="30"/>
      <c r="Y3049" s="31"/>
      <c r="Z3049" s="31"/>
      <c r="AA3049" s="31" t="s">
        <v>108</v>
      </c>
      <c r="AB3049" s="31" t="s">
        <v>11954</v>
      </c>
      <c r="AC3049" s="31"/>
    </row>
    <row r="3050" ht="18.75" customHeight="1">
      <c r="A3050" s="32" t="s">
        <v>11955</v>
      </c>
      <c r="B3050" s="19" t="s">
        <v>5625</v>
      </c>
      <c r="C3050" s="47">
        <v>0.0</v>
      </c>
      <c r="D3050" s="48" t="s">
        <v>11956</v>
      </c>
      <c r="E3050" s="22" t="s">
        <v>11957</v>
      </c>
      <c r="F3050" s="18" t="s">
        <v>48</v>
      </c>
      <c r="G3050" s="18" t="s">
        <v>35</v>
      </c>
      <c r="H3050" s="40" t="s">
        <v>35</v>
      </c>
      <c r="I3050" s="37" t="s">
        <v>36</v>
      </c>
      <c r="J3050" s="25" t="s">
        <v>49</v>
      </c>
      <c r="K3050" s="26" t="s">
        <v>447</v>
      </c>
      <c r="L3050" s="25">
        <v>12486.0</v>
      </c>
      <c r="M3050" s="62" t="s">
        <v>50</v>
      </c>
      <c r="N3050" s="42" t="s">
        <v>143</v>
      </c>
      <c r="O3050" s="63">
        <v>45681.57022384259</v>
      </c>
      <c r="P3050" s="26" t="s">
        <v>11944</v>
      </c>
      <c r="Q3050" s="11" t="s">
        <v>67</v>
      </c>
      <c r="R3050" s="11" t="s">
        <v>67</v>
      </c>
      <c r="S3050" s="11"/>
      <c r="T3050" s="29">
        <v>45623.48879335648</v>
      </c>
      <c r="U3050" s="29">
        <v>45645.632282962964</v>
      </c>
      <c r="V3050" s="29"/>
      <c r="W3050" s="11"/>
      <c r="X3050" s="30"/>
      <c r="Y3050" s="31"/>
      <c r="Z3050" s="31"/>
      <c r="AA3050" s="31" t="s">
        <v>108</v>
      </c>
      <c r="AB3050" s="31" t="s">
        <v>11958</v>
      </c>
      <c r="AC3050" s="31"/>
    </row>
    <row r="3051" ht="18.75" customHeight="1">
      <c r="A3051" s="32" t="s">
        <v>11959</v>
      </c>
      <c r="B3051" s="19" t="s">
        <v>5625</v>
      </c>
      <c r="C3051" s="47">
        <v>0.0</v>
      </c>
      <c r="D3051" s="61" t="s">
        <v>11960</v>
      </c>
      <c r="E3051" s="22" t="s">
        <v>11957</v>
      </c>
      <c r="F3051" s="18" t="s">
        <v>48</v>
      </c>
      <c r="G3051" s="18" t="s">
        <v>35</v>
      </c>
      <c r="H3051" s="40" t="s">
        <v>35</v>
      </c>
      <c r="I3051" s="37" t="s">
        <v>36</v>
      </c>
      <c r="J3051" s="25" t="s">
        <v>49</v>
      </c>
      <c r="K3051" s="26" t="s">
        <v>447</v>
      </c>
      <c r="L3051" s="25">
        <v>12486.0</v>
      </c>
      <c r="M3051" s="62" t="s">
        <v>50</v>
      </c>
      <c r="N3051" s="42" t="s">
        <v>143</v>
      </c>
      <c r="O3051" s="63">
        <v>45681.570283078705</v>
      </c>
      <c r="P3051" s="26" t="s">
        <v>11944</v>
      </c>
      <c r="Q3051" s="11"/>
      <c r="R3051" s="11" t="s">
        <v>67</v>
      </c>
      <c r="S3051" s="11"/>
      <c r="T3051" s="29">
        <v>45623.46794818287</v>
      </c>
      <c r="U3051" s="29">
        <v>45645.63226479167</v>
      </c>
      <c r="V3051" s="29"/>
      <c r="W3051" s="11"/>
      <c r="X3051" s="30"/>
      <c r="Y3051" s="31"/>
      <c r="Z3051" s="31"/>
      <c r="AA3051" s="31" t="s">
        <v>108</v>
      </c>
      <c r="AB3051" s="31" t="s">
        <v>11961</v>
      </c>
      <c r="AC3051" s="31"/>
    </row>
    <row r="3052" ht="18.75" customHeight="1">
      <c r="A3052" s="142" t="s">
        <v>11962</v>
      </c>
      <c r="B3052" s="19" t="s">
        <v>5313</v>
      </c>
      <c r="C3052" s="20">
        <v>27.0</v>
      </c>
      <c r="D3052" s="39" t="s">
        <v>11963</v>
      </c>
      <c r="E3052" s="27" t="s">
        <v>72</v>
      </c>
      <c r="F3052" s="18" t="s">
        <v>48</v>
      </c>
      <c r="G3052" s="18" t="s">
        <v>35</v>
      </c>
      <c r="H3052" s="40" t="s">
        <v>35</v>
      </c>
      <c r="I3052" s="37" t="s">
        <v>36</v>
      </c>
      <c r="J3052" s="25" t="s">
        <v>65</v>
      </c>
      <c r="K3052" s="26" t="s">
        <v>38</v>
      </c>
      <c r="L3052" s="25">
        <v>12089.0</v>
      </c>
      <c r="M3052" s="62" t="s">
        <v>50</v>
      </c>
      <c r="N3052" s="42" t="s">
        <v>4698</v>
      </c>
      <c r="O3052" s="63">
        <v>45625.63904435185</v>
      </c>
      <c r="P3052" s="26" t="s">
        <v>11964</v>
      </c>
      <c r="Q3052" s="11" t="s">
        <v>67</v>
      </c>
      <c r="R3052" s="11" t="s">
        <v>67</v>
      </c>
      <c r="S3052" s="11" t="s">
        <v>50</v>
      </c>
      <c r="T3052" s="29">
        <v>45624.3885816088</v>
      </c>
      <c r="U3052" s="29">
        <v>45624.401781203705</v>
      </c>
      <c r="V3052" s="29">
        <v>45625.45009138889</v>
      </c>
      <c r="W3052" s="11"/>
      <c r="X3052" s="30"/>
      <c r="Y3052" s="31"/>
      <c r="Z3052" s="31"/>
      <c r="AA3052" s="31" t="s">
        <v>94</v>
      </c>
      <c r="AB3052" s="31" t="s">
        <v>11965</v>
      </c>
      <c r="AC3052" s="31"/>
    </row>
    <row r="3053" ht="18.75" customHeight="1">
      <c r="A3053" s="142" t="s">
        <v>11966</v>
      </c>
      <c r="B3053" s="19" t="s">
        <v>7528</v>
      </c>
      <c r="C3053" s="20">
        <v>0.0</v>
      </c>
      <c r="D3053" s="61" t="s">
        <v>792</v>
      </c>
      <c r="E3053" s="27" t="s">
        <v>338</v>
      </c>
      <c r="F3053" s="18" t="s">
        <v>33</v>
      </c>
      <c r="G3053" s="18" t="s">
        <v>35</v>
      </c>
      <c r="H3053" s="40" t="s">
        <v>35</v>
      </c>
      <c r="I3053" s="37" t="s">
        <v>36</v>
      </c>
      <c r="J3053" s="25" t="s">
        <v>49</v>
      </c>
      <c r="K3053" s="26" t="s">
        <v>11967</v>
      </c>
      <c r="L3053" s="25">
        <v>12152.0</v>
      </c>
      <c r="M3053" s="62" t="s">
        <v>50</v>
      </c>
      <c r="N3053" s="42" t="s">
        <v>99</v>
      </c>
      <c r="O3053" s="63">
        <v>45632.591172175926</v>
      </c>
      <c r="P3053" s="26" t="s">
        <v>11968</v>
      </c>
      <c r="Q3053" s="11" t="s">
        <v>67</v>
      </c>
      <c r="R3053" s="11" t="s">
        <v>67</v>
      </c>
      <c r="S3053" s="11" t="s">
        <v>101</v>
      </c>
      <c r="T3053" s="29">
        <v>45623.65307903935</v>
      </c>
      <c r="U3053" s="29">
        <v>45623.710175555556</v>
      </c>
      <c r="V3053" s="29">
        <v>45631.70535724537</v>
      </c>
      <c r="W3053" s="11"/>
      <c r="X3053" s="30"/>
      <c r="Y3053" s="31"/>
      <c r="Z3053" s="31"/>
      <c r="AA3053" s="31" t="s">
        <v>108</v>
      </c>
      <c r="AB3053" s="31" t="s">
        <v>11969</v>
      </c>
      <c r="AC3053" s="31"/>
    </row>
    <row r="3054" ht="18.75" customHeight="1">
      <c r="A3054" s="18" t="s">
        <v>11970</v>
      </c>
      <c r="B3054" s="19" t="s">
        <v>6393</v>
      </c>
      <c r="C3054" s="20">
        <v>0.0</v>
      </c>
      <c r="D3054" s="61" t="s">
        <v>11971</v>
      </c>
      <c r="E3054" s="27" t="s">
        <v>4430</v>
      </c>
      <c r="F3054" s="18" t="s">
        <v>48</v>
      </c>
      <c r="G3054" s="18" t="s">
        <v>35</v>
      </c>
      <c r="H3054" s="40" t="s">
        <v>35</v>
      </c>
      <c r="I3054" s="37" t="s">
        <v>36</v>
      </c>
      <c r="J3054" s="25" t="s">
        <v>49</v>
      </c>
      <c r="K3054" s="26" t="s">
        <v>1506</v>
      </c>
      <c r="L3054" s="25">
        <v>12088.0</v>
      </c>
      <c r="M3054" s="62" t="s">
        <v>50</v>
      </c>
      <c r="N3054" s="42" t="s">
        <v>99</v>
      </c>
      <c r="O3054" s="63">
        <v>45625.57617443287</v>
      </c>
      <c r="P3054" s="26" t="s">
        <v>11972</v>
      </c>
      <c r="Q3054" s="11" t="s">
        <v>67</v>
      </c>
      <c r="R3054" s="11" t="s">
        <v>67</v>
      </c>
      <c r="S3054" s="11" t="s">
        <v>50</v>
      </c>
      <c r="T3054" s="29">
        <v>45623.65210313657</v>
      </c>
      <c r="U3054" s="29">
        <v>45623.71318539351</v>
      </c>
      <c r="V3054" s="29">
        <v>45625.449943831016</v>
      </c>
      <c r="W3054" s="11"/>
      <c r="X3054" s="30"/>
      <c r="Y3054" s="31"/>
      <c r="Z3054" s="31"/>
      <c r="AA3054" s="31" t="s">
        <v>3053</v>
      </c>
      <c r="AB3054" s="31" t="s">
        <v>11973</v>
      </c>
      <c r="AC3054" s="31"/>
    </row>
    <row r="3055" ht="18.75" customHeight="1">
      <c r="A3055" s="18" t="s">
        <v>11974</v>
      </c>
      <c r="B3055" s="19" t="s">
        <v>6393</v>
      </c>
      <c r="C3055" s="20">
        <v>0.0</v>
      </c>
      <c r="D3055" s="61" t="s">
        <v>11975</v>
      </c>
      <c r="E3055" s="27" t="s">
        <v>4430</v>
      </c>
      <c r="F3055" s="18" t="s">
        <v>48</v>
      </c>
      <c r="G3055" s="18" t="s">
        <v>35</v>
      </c>
      <c r="H3055" s="40" t="s">
        <v>35</v>
      </c>
      <c r="I3055" s="37" t="s">
        <v>36</v>
      </c>
      <c r="J3055" s="25" t="s">
        <v>49</v>
      </c>
      <c r="K3055" s="26" t="s">
        <v>1506</v>
      </c>
      <c r="L3055" s="25">
        <v>12088.0</v>
      </c>
      <c r="M3055" s="62" t="s">
        <v>50</v>
      </c>
      <c r="N3055" s="42" t="s">
        <v>99</v>
      </c>
      <c r="O3055" s="63">
        <v>45625.57610694444</v>
      </c>
      <c r="P3055" s="26" t="s">
        <v>11972</v>
      </c>
      <c r="Q3055" s="11" t="s">
        <v>67</v>
      </c>
      <c r="R3055" s="11" t="s">
        <v>67</v>
      </c>
      <c r="S3055" s="11" t="s">
        <v>50</v>
      </c>
      <c r="T3055" s="29">
        <v>45623.6522497338</v>
      </c>
      <c r="U3055" s="29">
        <v>45623.71320298611</v>
      </c>
      <c r="V3055" s="29">
        <v>45625.449959537036</v>
      </c>
      <c r="W3055" s="11"/>
      <c r="X3055" s="30"/>
      <c r="Y3055" s="31"/>
      <c r="Z3055" s="31"/>
      <c r="AA3055" s="31" t="s">
        <v>3053</v>
      </c>
      <c r="AB3055" s="31" t="s">
        <v>11976</v>
      </c>
      <c r="AC3055" s="31"/>
    </row>
    <row r="3056" ht="18.75" customHeight="1">
      <c r="A3056" s="151" t="s">
        <v>11977</v>
      </c>
      <c r="B3056" s="19" t="s">
        <v>11116</v>
      </c>
      <c r="C3056" s="20">
        <v>0.0</v>
      </c>
      <c r="D3056" s="61" t="s">
        <v>11978</v>
      </c>
      <c r="E3056" s="27" t="s">
        <v>3441</v>
      </c>
      <c r="F3056" s="18" t="s">
        <v>48</v>
      </c>
      <c r="G3056" s="18" t="s">
        <v>35</v>
      </c>
      <c r="H3056" s="40" t="s">
        <v>35</v>
      </c>
      <c r="I3056" s="24" t="s">
        <v>36</v>
      </c>
      <c r="J3056" s="25" t="s">
        <v>49</v>
      </c>
      <c r="K3056" s="26" t="s">
        <v>447</v>
      </c>
      <c r="L3056" s="64" t="s">
        <v>2685</v>
      </c>
      <c r="M3056" s="22" t="s">
        <v>50</v>
      </c>
      <c r="N3056" s="65" t="s">
        <v>125</v>
      </c>
      <c r="O3056" s="28">
        <v>45645.73094907407</v>
      </c>
      <c r="P3056" s="26" t="s">
        <v>11979</v>
      </c>
      <c r="Q3056" s="11" t="s">
        <v>67</v>
      </c>
      <c r="R3056" s="11" t="s">
        <v>67</v>
      </c>
      <c r="S3056" s="11" t="s">
        <v>73</v>
      </c>
      <c r="T3056" s="29">
        <v>45624.3858484838</v>
      </c>
      <c r="U3056" s="29">
        <v>45625.44573287037</v>
      </c>
      <c r="V3056" s="29">
        <v>45643.756016493055</v>
      </c>
      <c r="W3056" s="11"/>
      <c r="X3056" s="30"/>
      <c r="Y3056" s="66">
        <v>-12124.0</v>
      </c>
      <c r="Z3056" s="31"/>
      <c r="AA3056" s="31" t="s">
        <v>108</v>
      </c>
      <c r="AB3056" s="31" t="s">
        <v>11980</v>
      </c>
      <c r="AC3056" s="31"/>
    </row>
    <row r="3057" ht="18.75" customHeight="1">
      <c r="A3057" s="18" t="s">
        <v>11981</v>
      </c>
      <c r="B3057" s="19" t="s">
        <v>11982</v>
      </c>
      <c r="C3057" s="20">
        <v>0.0</v>
      </c>
      <c r="D3057" s="61" t="s">
        <v>11983</v>
      </c>
      <c r="E3057" s="27" t="s">
        <v>545</v>
      </c>
      <c r="F3057" s="18" t="s">
        <v>33</v>
      </c>
      <c r="G3057" s="18" t="s">
        <v>35</v>
      </c>
      <c r="H3057" s="40" t="s">
        <v>35</v>
      </c>
      <c r="I3057" s="37" t="s">
        <v>36</v>
      </c>
      <c r="J3057" s="34" t="s">
        <v>11984</v>
      </c>
      <c r="K3057" s="26" t="s">
        <v>38</v>
      </c>
      <c r="L3057" s="25">
        <v>12086.0</v>
      </c>
      <c r="M3057" s="62" t="s">
        <v>50</v>
      </c>
      <c r="N3057" s="42" t="s">
        <v>11985</v>
      </c>
      <c r="O3057" s="63">
        <v>45625.4402697801</v>
      </c>
      <c r="P3057" s="26" t="s">
        <v>11986</v>
      </c>
      <c r="Q3057" s="11" t="s">
        <v>73</v>
      </c>
      <c r="R3057" s="11" t="s">
        <v>73</v>
      </c>
      <c r="S3057" s="11"/>
      <c r="T3057" s="29">
        <v>45624.362063125</v>
      </c>
      <c r="U3057" s="29">
        <v>45624.362193113426</v>
      </c>
      <c r="V3057" s="29"/>
      <c r="W3057" s="11"/>
      <c r="X3057" s="30"/>
      <c r="Y3057" s="31"/>
      <c r="Z3057" s="31"/>
      <c r="AA3057" s="31" t="s">
        <v>6273</v>
      </c>
      <c r="AB3057" s="31" t="s">
        <v>11987</v>
      </c>
      <c r="AC3057" s="31"/>
    </row>
    <row r="3058" ht="18.75" customHeight="1">
      <c r="A3058" s="18" t="s">
        <v>11988</v>
      </c>
      <c r="B3058" s="19" t="s">
        <v>11982</v>
      </c>
      <c r="C3058" s="20">
        <v>0.0</v>
      </c>
      <c r="D3058" s="61" t="s">
        <v>11989</v>
      </c>
      <c r="E3058" s="27" t="s">
        <v>301</v>
      </c>
      <c r="F3058" s="18" t="s">
        <v>33</v>
      </c>
      <c r="G3058" s="18" t="s">
        <v>35</v>
      </c>
      <c r="H3058" s="40" t="s">
        <v>35</v>
      </c>
      <c r="I3058" s="37" t="s">
        <v>36</v>
      </c>
      <c r="J3058" s="34" t="s">
        <v>11984</v>
      </c>
      <c r="K3058" s="26" t="s">
        <v>38</v>
      </c>
      <c r="L3058" s="25">
        <v>12086.0</v>
      </c>
      <c r="M3058" s="62" t="s">
        <v>50</v>
      </c>
      <c r="N3058" s="42" t="s">
        <v>11985</v>
      </c>
      <c r="O3058" s="63">
        <v>45625.44018266204</v>
      </c>
      <c r="P3058" s="26" t="s">
        <v>11986</v>
      </c>
      <c r="Q3058" s="11" t="s">
        <v>73</v>
      </c>
      <c r="R3058" s="11" t="s">
        <v>73</v>
      </c>
      <c r="S3058" s="11"/>
      <c r="T3058" s="29">
        <v>45624.362191099535</v>
      </c>
      <c r="U3058" s="29">
        <v>45624.362235023145</v>
      </c>
      <c r="V3058" s="29"/>
      <c r="W3058" s="11"/>
      <c r="X3058" s="30"/>
      <c r="Y3058" s="31"/>
      <c r="Z3058" s="31"/>
      <c r="AA3058" s="31" t="s">
        <v>6273</v>
      </c>
      <c r="AB3058" s="31" t="s">
        <v>11990</v>
      </c>
      <c r="AC3058" s="31"/>
    </row>
    <row r="3059" ht="18.75" customHeight="1">
      <c r="A3059" s="142" t="s">
        <v>11991</v>
      </c>
      <c r="B3059" s="19" t="s">
        <v>11992</v>
      </c>
      <c r="C3059" s="20">
        <v>0.0</v>
      </c>
      <c r="D3059" s="61" t="s">
        <v>11993</v>
      </c>
      <c r="E3059" s="27" t="s">
        <v>4430</v>
      </c>
      <c r="F3059" s="18" t="s">
        <v>48</v>
      </c>
      <c r="G3059" s="18" t="s">
        <v>35</v>
      </c>
      <c r="H3059" s="40" t="s">
        <v>35</v>
      </c>
      <c r="I3059" s="37" t="s">
        <v>36</v>
      </c>
      <c r="J3059" s="25" t="s">
        <v>65</v>
      </c>
      <c r="K3059" s="26" t="s">
        <v>38</v>
      </c>
      <c r="L3059" s="72">
        <v>12087.0</v>
      </c>
      <c r="M3059" s="62" t="s">
        <v>50</v>
      </c>
      <c r="N3059" s="42" t="s">
        <v>4698</v>
      </c>
      <c r="O3059" s="63">
        <v>45625.63911611111</v>
      </c>
      <c r="P3059" s="26" t="s">
        <v>11994</v>
      </c>
      <c r="Q3059" s="11" t="s">
        <v>67</v>
      </c>
      <c r="R3059" s="11" t="s">
        <v>67</v>
      </c>
      <c r="S3059" s="11" t="s">
        <v>50</v>
      </c>
      <c r="T3059" s="29">
        <v>45624.46240134259</v>
      </c>
      <c r="U3059" s="29">
        <v>45624.46246188658</v>
      </c>
      <c r="V3059" s="29">
        <v>45625.46683092593</v>
      </c>
      <c r="W3059" s="11"/>
      <c r="X3059" s="30"/>
      <c r="Y3059" s="31"/>
      <c r="Z3059" s="31"/>
      <c r="AA3059" s="31" t="s">
        <v>3059</v>
      </c>
      <c r="AB3059" s="31" t="s">
        <v>11995</v>
      </c>
      <c r="AC3059" s="31"/>
    </row>
    <row r="3060" ht="18.75" customHeight="1">
      <c r="A3060" s="142" t="s">
        <v>11996</v>
      </c>
      <c r="B3060" s="19" t="s">
        <v>11997</v>
      </c>
      <c r="C3060" s="20">
        <v>33.0</v>
      </c>
      <c r="D3060" s="61" t="s">
        <v>11998</v>
      </c>
      <c r="E3060" s="27" t="s">
        <v>6133</v>
      </c>
      <c r="F3060" s="18" t="s">
        <v>48</v>
      </c>
      <c r="G3060" s="18" t="s">
        <v>35</v>
      </c>
      <c r="H3060" s="40" t="s">
        <v>35</v>
      </c>
      <c r="I3060" s="37" t="s">
        <v>36</v>
      </c>
      <c r="J3060" s="25" t="s">
        <v>65</v>
      </c>
      <c r="K3060" s="26" t="s">
        <v>38</v>
      </c>
      <c r="L3060" s="25">
        <v>12334.0</v>
      </c>
      <c r="M3060" s="62" t="s">
        <v>50</v>
      </c>
      <c r="N3060" s="42" t="s">
        <v>5706</v>
      </c>
      <c r="O3060" s="63">
        <v>45649.70770555556</v>
      </c>
      <c r="P3060" s="26" t="s">
        <v>11999</v>
      </c>
      <c r="Q3060" s="11" t="s">
        <v>67</v>
      </c>
      <c r="R3060" s="11" t="s">
        <v>67</v>
      </c>
      <c r="S3060" s="11" t="s">
        <v>50</v>
      </c>
      <c r="T3060" s="29">
        <v>45643.60960840278</v>
      </c>
      <c r="U3060" s="29">
        <v>45645.38948711805</v>
      </c>
      <c r="V3060" s="29">
        <v>45649.46806291667</v>
      </c>
      <c r="W3060" s="11"/>
      <c r="X3060" s="30"/>
      <c r="Y3060" s="31"/>
      <c r="Z3060" s="31"/>
      <c r="AA3060" s="31" t="s">
        <v>3059</v>
      </c>
      <c r="AB3060" s="31" t="s">
        <v>12000</v>
      </c>
      <c r="AC3060" s="31"/>
    </row>
    <row r="3061" ht="18.75" customHeight="1">
      <c r="A3061" s="151" t="s">
        <v>12001</v>
      </c>
      <c r="B3061" s="19" t="s">
        <v>104</v>
      </c>
      <c r="C3061" s="20">
        <v>90.0</v>
      </c>
      <c r="D3061" s="61" t="s">
        <v>12002</v>
      </c>
      <c r="E3061" s="27" t="s">
        <v>91</v>
      </c>
      <c r="F3061" s="18" t="s">
        <v>48</v>
      </c>
      <c r="G3061" s="18" t="s">
        <v>35</v>
      </c>
      <c r="H3061" s="40" t="s">
        <v>35</v>
      </c>
      <c r="I3061" s="24" t="s">
        <v>36</v>
      </c>
      <c r="J3061" s="25" t="s">
        <v>49</v>
      </c>
      <c r="K3061" s="26" t="s">
        <v>1184</v>
      </c>
      <c r="L3061" s="64" t="s">
        <v>12003</v>
      </c>
      <c r="M3061" s="22" t="s">
        <v>50</v>
      </c>
      <c r="N3061" s="65" t="s">
        <v>125</v>
      </c>
      <c r="O3061" s="28">
        <v>45645.73094907407</v>
      </c>
      <c r="P3061" s="26" t="s">
        <v>12004</v>
      </c>
      <c r="Q3061" s="11" t="s">
        <v>67</v>
      </c>
      <c r="R3061" s="11" t="s">
        <v>67</v>
      </c>
      <c r="S3061" s="11" t="s">
        <v>73</v>
      </c>
      <c r="T3061" s="29">
        <v>45624.71027311342</v>
      </c>
      <c r="U3061" s="29">
        <v>45624.719929513885</v>
      </c>
      <c r="V3061" s="29">
        <v>45643.75599866898</v>
      </c>
      <c r="W3061" s="11"/>
      <c r="X3061" s="30"/>
      <c r="Y3061" s="66">
        <v>-12126.0</v>
      </c>
      <c r="Z3061" s="31"/>
      <c r="AA3061" s="31" t="s">
        <v>108</v>
      </c>
      <c r="AB3061" s="31" t="s">
        <v>12005</v>
      </c>
      <c r="AC3061" s="31"/>
    </row>
    <row r="3062" ht="18.75" customHeight="1">
      <c r="A3062" s="142" t="s">
        <v>12006</v>
      </c>
      <c r="B3062" s="19" t="s">
        <v>12007</v>
      </c>
      <c r="C3062" s="20">
        <v>0.0</v>
      </c>
      <c r="D3062" s="61" t="s">
        <v>817</v>
      </c>
      <c r="E3062" s="27" t="s">
        <v>453</v>
      </c>
      <c r="F3062" s="18" t="s">
        <v>244</v>
      </c>
      <c r="G3062" s="18" t="s">
        <v>35</v>
      </c>
      <c r="H3062" s="40" t="s">
        <v>35</v>
      </c>
      <c r="I3062" s="37" t="s">
        <v>36</v>
      </c>
      <c r="J3062" s="25" t="s">
        <v>49</v>
      </c>
      <c r="K3062" s="26" t="s">
        <v>38</v>
      </c>
      <c r="L3062" s="25">
        <v>12175.0</v>
      </c>
      <c r="M3062" s="62" t="s">
        <v>50</v>
      </c>
      <c r="N3062" s="42" t="s">
        <v>99</v>
      </c>
      <c r="O3062" s="63">
        <v>45636.5782479051</v>
      </c>
      <c r="P3062" s="26" t="s">
        <v>12008</v>
      </c>
      <c r="Q3062" s="11" t="s">
        <v>67</v>
      </c>
      <c r="R3062" s="11" t="s">
        <v>67</v>
      </c>
      <c r="S3062" s="11" t="s">
        <v>101</v>
      </c>
      <c r="T3062" s="29">
        <v>45624.72687957176</v>
      </c>
      <c r="U3062" s="29">
        <v>45625.700907164355</v>
      </c>
      <c r="V3062" s="29">
        <v>45635.69555748843</v>
      </c>
      <c r="W3062" s="11"/>
      <c r="X3062" s="30"/>
      <c r="Y3062" s="31"/>
      <c r="Z3062" s="31"/>
      <c r="AA3062" s="31" t="s">
        <v>12009</v>
      </c>
      <c r="AB3062" s="31" t="s">
        <v>12010</v>
      </c>
      <c r="AC3062" s="31"/>
    </row>
    <row r="3063" ht="18.75" customHeight="1">
      <c r="A3063" s="151" t="s">
        <v>12011</v>
      </c>
      <c r="B3063" s="19" t="s">
        <v>122</v>
      </c>
      <c r="C3063" s="20">
        <v>11.0</v>
      </c>
      <c r="D3063" s="61" t="s">
        <v>12012</v>
      </c>
      <c r="E3063" s="27" t="s">
        <v>112</v>
      </c>
      <c r="F3063" s="18" t="s">
        <v>48</v>
      </c>
      <c r="G3063" s="18" t="s">
        <v>35</v>
      </c>
      <c r="H3063" s="40" t="s">
        <v>35</v>
      </c>
      <c r="I3063" s="24" t="s">
        <v>36</v>
      </c>
      <c r="J3063" s="25" t="s">
        <v>49</v>
      </c>
      <c r="K3063" s="26" t="s">
        <v>38</v>
      </c>
      <c r="L3063" s="64" t="s">
        <v>2771</v>
      </c>
      <c r="M3063" s="22" t="s">
        <v>50</v>
      </c>
      <c r="N3063" s="65" t="s">
        <v>125</v>
      </c>
      <c r="O3063" s="28">
        <v>45645.73094907407</v>
      </c>
      <c r="P3063" s="26" t="s">
        <v>12013</v>
      </c>
      <c r="Q3063" s="11" t="s">
        <v>67</v>
      </c>
      <c r="R3063" s="11" t="s">
        <v>67</v>
      </c>
      <c r="S3063" s="11" t="s">
        <v>73</v>
      </c>
      <c r="T3063" s="29">
        <v>45625.43656162037</v>
      </c>
      <c r="U3063" s="29">
        <v>45625.45654230324</v>
      </c>
      <c r="V3063" s="29">
        <v>45643.75603289352</v>
      </c>
      <c r="W3063" s="11"/>
      <c r="X3063" s="30"/>
      <c r="Y3063" s="66">
        <v>-12127.0</v>
      </c>
      <c r="Z3063" s="31"/>
      <c r="AA3063" s="31" t="s">
        <v>127</v>
      </c>
      <c r="AB3063" s="31" t="s">
        <v>12014</v>
      </c>
      <c r="AC3063" s="31"/>
    </row>
    <row r="3064" ht="18.75" customHeight="1">
      <c r="A3064" s="142" t="s">
        <v>12015</v>
      </c>
      <c r="B3064" s="19" t="s">
        <v>9101</v>
      </c>
      <c r="C3064" s="20">
        <v>11.0</v>
      </c>
      <c r="D3064" s="61" t="s">
        <v>12016</v>
      </c>
      <c r="E3064" s="27" t="s">
        <v>112</v>
      </c>
      <c r="F3064" s="18" t="s">
        <v>48</v>
      </c>
      <c r="G3064" s="18" t="s">
        <v>35</v>
      </c>
      <c r="H3064" s="40" t="s">
        <v>35</v>
      </c>
      <c r="I3064" s="24" t="s">
        <v>36</v>
      </c>
      <c r="J3064" s="25" t="s">
        <v>65</v>
      </c>
      <c r="K3064" s="26" t="s">
        <v>38</v>
      </c>
      <c r="L3064" s="64" t="s">
        <v>12017</v>
      </c>
      <c r="M3064" s="152" t="str">
        <f>VLOOKUP(D3064,'Página111'!E:E,1,0)</f>
        <v>#REF!</v>
      </c>
      <c r="N3064" s="42"/>
      <c r="O3064" s="50">
        <v>45646.0</v>
      </c>
      <c r="P3064" s="26" t="s">
        <v>12018</v>
      </c>
      <c r="Q3064" s="11" t="s">
        <v>67</v>
      </c>
      <c r="R3064" s="11" t="s">
        <v>67</v>
      </c>
      <c r="S3064" s="11" t="s">
        <v>73</v>
      </c>
      <c r="T3064" s="29">
        <v>45625.437767881944</v>
      </c>
      <c r="U3064" s="29">
        <v>45635.63955827546</v>
      </c>
      <c r="V3064" s="29">
        <v>45644.776195451384</v>
      </c>
      <c r="W3064" s="11"/>
      <c r="X3064" s="30"/>
      <c r="Y3064" s="66"/>
      <c r="Z3064" s="31"/>
      <c r="AA3064" s="31" t="s">
        <v>94</v>
      </c>
      <c r="AB3064" s="31" t="s">
        <v>12019</v>
      </c>
      <c r="AC3064" s="31"/>
    </row>
    <row r="3065" ht="18.75" customHeight="1">
      <c r="A3065" s="142" t="s">
        <v>12020</v>
      </c>
      <c r="B3065" s="19" t="s">
        <v>4352</v>
      </c>
      <c r="C3065" s="20">
        <v>1.0</v>
      </c>
      <c r="D3065" s="61" t="s">
        <v>811</v>
      </c>
      <c r="E3065" s="27" t="s">
        <v>155</v>
      </c>
      <c r="F3065" s="18" t="s">
        <v>48</v>
      </c>
      <c r="G3065" s="18" t="s">
        <v>35</v>
      </c>
      <c r="H3065" s="40" t="s">
        <v>35</v>
      </c>
      <c r="I3065" s="37" t="s">
        <v>36</v>
      </c>
      <c r="J3065" s="25" t="s">
        <v>49</v>
      </c>
      <c r="K3065" s="26" t="s">
        <v>38</v>
      </c>
      <c r="L3065" s="25">
        <v>12098.0</v>
      </c>
      <c r="M3065" s="62" t="s">
        <v>50</v>
      </c>
      <c r="N3065" s="42" t="s">
        <v>106</v>
      </c>
      <c r="O3065" s="63">
        <v>45625.62503743055</v>
      </c>
      <c r="P3065" s="26" t="s">
        <v>12021</v>
      </c>
      <c r="Q3065" s="11" t="s">
        <v>73</v>
      </c>
      <c r="R3065" s="11" t="s">
        <v>73</v>
      </c>
      <c r="S3065" s="11"/>
      <c r="T3065" s="29">
        <v>45625.54785357639</v>
      </c>
      <c r="U3065" s="29">
        <v>45625.54788175926</v>
      </c>
      <c r="V3065" s="29"/>
      <c r="W3065" s="11"/>
      <c r="X3065" s="30"/>
      <c r="Y3065" s="31"/>
      <c r="Z3065" s="31"/>
      <c r="AA3065" s="31" t="s">
        <v>127</v>
      </c>
      <c r="AB3065" s="31" t="s">
        <v>12022</v>
      </c>
      <c r="AC3065" s="31"/>
    </row>
    <row r="3066" ht="18.75" customHeight="1">
      <c r="A3066" s="142" t="s">
        <v>12023</v>
      </c>
      <c r="B3066" s="19" t="s">
        <v>4352</v>
      </c>
      <c r="C3066" s="20">
        <v>1.0</v>
      </c>
      <c r="D3066" s="61" t="s">
        <v>12024</v>
      </c>
      <c r="E3066" s="27" t="s">
        <v>155</v>
      </c>
      <c r="F3066" s="18" t="s">
        <v>48</v>
      </c>
      <c r="G3066" s="18" t="s">
        <v>35</v>
      </c>
      <c r="H3066" s="40" t="s">
        <v>35</v>
      </c>
      <c r="I3066" s="37" t="s">
        <v>36</v>
      </c>
      <c r="J3066" s="25" t="s">
        <v>49</v>
      </c>
      <c r="K3066" s="26" t="s">
        <v>38</v>
      </c>
      <c r="L3066" s="25">
        <v>12202.0</v>
      </c>
      <c r="M3066" s="62" t="s">
        <v>50</v>
      </c>
      <c r="N3066" s="42" t="s">
        <v>99</v>
      </c>
      <c r="O3066" s="63">
        <v>45638.672300763894</v>
      </c>
      <c r="P3066" s="26" t="s">
        <v>12025</v>
      </c>
      <c r="Q3066" s="11" t="s">
        <v>73</v>
      </c>
      <c r="R3066" s="11" t="s">
        <v>73</v>
      </c>
      <c r="S3066" s="11"/>
      <c r="T3066" s="29">
        <v>45625.5469725</v>
      </c>
      <c r="U3066" s="29">
        <v>45625.54785481481</v>
      </c>
      <c r="V3066" s="29"/>
      <c r="W3066" s="11"/>
      <c r="X3066" s="30"/>
      <c r="Y3066" s="31"/>
      <c r="Z3066" s="31"/>
      <c r="AA3066" s="31" t="s">
        <v>127</v>
      </c>
      <c r="AB3066" s="31" t="s">
        <v>12026</v>
      </c>
      <c r="AC3066" s="31"/>
    </row>
    <row r="3067" ht="18.75" customHeight="1">
      <c r="A3067" s="18" t="s">
        <v>12027</v>
      </c>
      <c r="B3067" s="19" t="s">
        <v>4187</v>
      </c>
      <c r="C3067" s="20">
        <v>11.0</v>
      </c>
      <c r="D3067" s="61" t="s">
        <v>12028</v>
      </c>
      <c r="E3067" s="27" t="s">
        <v>112</v>
      </c>
      <c r="F3067" s="18" t="s">
        <v>48</v>
      </c>
      <c r="G3067" s="18" t="s">
        <v>35</v>
      </c>
      <c r="H3067" s="40" t="s">
        <v>35</v>
      </c>
      <c r="I3067" s="37" t="s">
        <v>36</v>
      </c>
      <c r="J3067" s="25" t="s">
        <v>65</v>
      </c>
      <c r="K3067" s="26" t="s">
        <v>38</v>
      </c>
      <c r="L3067" s="25">
        <v>12159.0</v>
      </c>
      <c r="M3067" s="62" t="s">
        <v>50</v>
      </c>
      <c r="N3067" s="42" t="s">
        <v>149</v>
      </c>
      <c r="O3067" s="63">
        <v>45635.62914321759</v>
      </c>
      <c r="P3067" s="26" t="s">
        <v>12029</v>
      </c>
      <c r="Q3067" s="11" t="s">
        <v>67</v>
      </c>
      <c r="R3067" s="11" t="s">
        <v>73</v>
      </c>
      <c r="S3067" s="11" t="s">
        <v>73</v>
      </c>
      <c r="T3067" s="29">
        <v>45625.63135984953</v>
      </c>
      <c r="U3067" s="52">
        <v>45635.51064359954</v>
      </c>
      <c r="V3067" s="29">
        <v>45635.528102048615</v>
      </c>
      <c r="W3067" s="11"/>
      <c r="X3067" s="11"/>
      <c r="Y3067" s="31"/>
      <c r="Z3067" s="31"/>
      <c r="AA3067" s="31" t="s">
        <v>94</v>
      </c>
      <c r="AB3067" s="31" t="s">
        <v>12030</v>
      </c>
      <c r="AC3067" s="31"/>
    </row>
    <row r="3068" ht="18.75" customHeight="1">
      <c r="A3068" s="18" t="s">
        <v>12031</v>
      </c>
      <c r="B3068" s="19" t="s">
        <v>4187</v>
      </c>
      <c r="C3068" s="20">
        <v>11.0</v>
      </c>
      <c r="D3068" s="61" t="s">
        <v>12032</v>
      </c>
      <c r="E3068" s="27" t="s">
        <v>112</v>
      </c>
      <c r="F3068" s="18" t="s">
        <v>48</v>
      </c>
      <c r="G3068" s="18" t="s">
        <v>35</v>
      </c>
      <c r="H3068" s="40" t="s">
        <v>35</v>
      </c>
      <c r="I3068" s="24" t="s">
        <v>36</v>
      </c>
      <c r="J3068" s="25" t="s">
        <v>65</v>
      </c>
      <c r="K3068" s="26" t="s">
        <v>38</v>
      </c>
      <c r="L3068" s="64" t="s">
        <v>12033</v>
      </c>
      <c r="M3068" s="152" t="str">
        <f>VLOOKUP(D3068,'Página111'!E:E,1,0)</f>
        <v>#REF!</v>
      </c>
      <c r="N3068" s="42"/>
      <c r="O3068" s="50">
        <v>45646.0</v>
      </c>
      <c r="P3068" s="26" t="s">
        <v>12029</v>
      </c>
      <c r="Q3068" s="11" t="s">
        <v>67</v>
      </c>
      <c r="R3068" s="11" t="s">
        <v>67</v>
      </c>
      <c r="S3068" s="11" t="s">
        <v>73</v>
      </c>
      <c r="T3068" s="29">
        <v>45625.63148759259</v>
      </c>
      <c r="U3068" s="29">
        <v>45635.58710228009</v>
      </c>
      <c r="V3068" s="29">
        <v>45644.7761834375</v>
      </c>
      <c r="W3068" s="11"/>
      <c r="X3068" s="11"/>
      <c r="Y3068" s="66"/>
      <c r="Z3068" s="31"/>
      <c r="AA3068" s="31" t="s">
        <v>94</v>
      </c>
      <c r="AB3068" s="31" t="s">
        <v>12034</v>
      </c>
      <c r="AC3068" s="31"/>
    </row>
    <row r="3069" ht="18.75" customHeight="1">
      <c r="A3069" s="18" t="s">
        <v>12035</v>
      </c>
      <c r="B3069" s="19" t="s">
        <v>3674</v>
      </c>
      <c r="C3069" s="20">
        <v>27.0</v>
      </c>
      <c r="D3069" s="39" t="s">
        <v>12036</v>
      </c>
      <c r="E3069" s="27" t="s">
        <v>72</v>
      </c>
      <c r="F3069" s="18" t="s">
        <v>48</v>
      </c>
      <c r="G3069" s="18" t="s">
        <v>35</v>
      </c>
      <c r="H3069" s="40" t="s">
        <v>35</v>
      </c>
      <c r="I3069" s="37" t="s">
        <v>36</v>
      </c>
      <c r="J3069" s="25" t="s">
        <v>65</v>
      </c>
      <c r="K3069" s="26" t="s">
        <v>38</v>
      </c>
      <c r="L3069" s="25">
        <v>12117.0</v>
      </c>
      <c r="M3069" s="62" t="s">
        <v>50</v>
      </c>
      <c r="N3069" s="42" t="s">
        <v>8104</v>
      </c>
      <c r="O3069" s="63">
        <v>45631.688381747685</v>
      </c>
      <c r="P3069" s="26" t="s">
        <v>12037</v>
      </c>
      <c r="Q3069" s="11" t="s">
        <v>67</v>
      </c>
      <c r="R3069" s="11" t="s">
        <v>67</v>
      </c>
      <c r="S3069" s="11" t="s">
        <v>50</v>
      </c>
      <c r="T3069" s="29">
        <v>45628.48920819444</v>
      </c>
      <c r="U3069" s="29">
        <v>45629.36005260417</v>
      </c>
      <c r="V3069" s="29">
        <v>45630.40660700231</v>
      </c>
      <c r="W3069" s="11"/>
      <c r="X3069" s="11"/>
      <c r="Y3069" s="31"/>
      <c r="Z3069" s="31"/>
      <c r="AA3069" s="31" t="s">
        <v>94</v>
      </c>
      <c r="AB3069" s="31" t="s">
        <v>12038</v>
      </c>
      <c r="AC3069" s="31"/>
    </row>
    <row r="3070" ht="18.75" customHeight="1">
      <c r="A3070" s="18" t="s">
        <v>12039</v>
      </c>
      <c r="B3070" s="19" t="s">
        <v>3674</v>
      </c>
      <c r="C3070" s="20">
        <v>27.0</v>
      </c>
      <c r="D3070" s="39" t="s">
        <v>12040</v>
      </c>
      <c r="E3070" s="27" t="s">
        <v>72</v>
      </c>
      <c r="F3070" s="18" t="s">
        <v>48</v>
      </c>
      <c r="G3070" s="18" t="s">
        <v>35</v>
      </c>
      <c r="H3070" s="40" t="s">
        <v>35</v>
      </c>
      <c r="I3070" s="37" t="s">
        <v>36</v>
      </c>
      <c r="J3070" s="25" t="s">
        <v>65</v>
      </c>
      <c r="K3070" s="26" t="s">
        <v>38</v>
      </c>
      <c r="L3070" s="72">
        <v>12117.0</v>
      </c>
      <c r="M3070" s="62" t="s">
        <v>50</v>
      </c>
      <c r="N3070" s="42" t="s">
        <v>8104</v>
      </c>
      <c r="O3070" s="63">
        <v>45631.68845767361</v>
      </c>
      <c r="P3070" s="26" t="s">
        <v>12037</v>
      </c>
      <c r="Q3070" s="11" t="s">
        <v>67</v>
      </c>
      <c r="R3070" s="11" t="s">
        <v>67</v>
      </c>
      <c r="S3070" s="11" t="s">
        <v>50</v>
      </c>
      <c r="T3070" s="29">
        <v>45628.48929041666</v>
      </c>
      <c r="U3070" s="29">
        <v>45629.36014087963</v>
      </c>
      <c r="V3070" s="29">
        <v>45630.40661560185</v>
      </c>
      <c r="W3070" s="11"/>
      <c r="X3070" s="11"/>
      <c r="Y3070" s="31"/>
      <c r="Z3070" s="31"/>
      <c r="AA3070" s="31" t="s">
        <v>94</v>
      </c>
      <c r="AB3070" s="31" t="s">
        <v>12041</v>
      </c>
      <c r="AC3070" s="31"/>
    </row>
    <row r="3071" ht="18.75" customHeight="1">
      <c r="A3071" s="18" t="s">
        <v>12042</v>
      </c>
      <c r="B3071" s="19" t="s">
        <v>802</v>
      </c>
      <c r="C3071" s="20">
        <v>34.0</v>
      </c>
      <c r="D3071" s="61" t="s">
        <v>12043</v>
      </c>
      <c r="E3071" s="27" t="s">
        <v>47</v>
      </c>
      <c r="F3071" s="18" t="s">
        <v>48</v>
      </c>
      <c r="G3071" s="18" t="s">
        <v>35</v>
      </c>
      <c r="H3071" s="40" t="s">
        <v>35</v>
      </c>
      <c r="I3071" s="37" t="s">
        <v>36</v>
      </c>
      <c r="J3071" s="25" t="s">
        <v>49</v>
      </c>
      <c r="K3071" s="26" t="s">
        <v>805</v>
      </c>
      <c r="L3071" s="72">
        <v>12118.0</v>
      </c>
      <c r="M3071" s="62" t="s">
        <v>50</v>
      </c>
      <c r="N3071" s="42" t="s">
        <v>99</v>
      </c>
      <c r="O3071" s="63">
        <v>45631.69016009259</v>
      </c>
      <c r="P3071" s="26" t="s">
        <v>12044</v>
      </c>
      <c r="Q3071" s="11" t="s">
        <v>67</v>
      </c>
      <c r="R3071" s="11" t="s">
        <v>67</v>
      </c>
      <c r="S3071" s="11" t="s">
        <v>50</v>
      </c>
      <c r="T3071" s="29">
        <v>45625.63973166667</v>
      </c>
      <c r="U3071" s="29">
        <v>45629.356001493055</v>
      </c>
      <c r="V3071" s="29">
        <v>45630.34577082176</v>
      </c>
      <c r="W3071" s="11"/>
      <c r="X3071" s="11"/>
      <c r="Y3071" s="31"/>
      <c r="Z3071" s="31"/>
      <c r="AA3071" s="31" t="s">
        <v>3385</v>
      </c>
      <c r="AB3071" s="31" t="s">
        <v>12045</v>
      </c>
      <c r="AC3071" s="31"/>
    </row>
    <row r="3072" ht="18.75" customHeight="1">
      <c r="A3072" s="18" t="s">
        <v>12046</v>
      </c>
      <c r="B3072" s="19" t="s">
        <v>802</v>
      </c>
      <c r="C3072" s="20">
        <v>0.0</v>
      </c>
      <c r="D3072" s="61" t="s">
        <v>12047</v>
      </c>
      <c r="E3072" s="27" t="s">
        <v>4430</v>
      </c>
      <c r="F3072" s="18" t="s">
        <v>48</v>
      </c>
      <c r="G3072" s="18" t="s">
        <v>35</v>
      </c>
      <c r="H3072" s="40" t="s">
        <v>35</v>
      </c>
      <c r="I3072" s="37" t="s">
        <v>36</v>
      </c>
      <c r="J3072" s="25" t="s">
        <v>49</v>
      </c>
      <c r="K3072" s="26" t="s">
        <v>805</v>
      </c>
      <c r="L3072" s="72">
        <v>12118.0</v>
      </c>
      <c r="M3072" s="62" t="s">
        <v>50</v>
      </c>
      <c r="N3072" s="42" t="s">
        <v>99</v>
      </c>
      <c r="O3072" s="63">
        <v>45631.690220115735</v>
      </c>
      <c r="P3072" s="26" t="s">
        <v>12044</v>
      </c>
      <c r="Q3072" s="11" t="s">
        <v>67</v>
      </c>
      <c r="R3072" s="11" t="s">
        <v>67</v>
      </c>
      <c r="S3072" s="11" t="s">
        <v>50</v>
      </c>
      <c r="T3072" s="29">
        <v>45625.639983726855</v>
      </c>
      <c r="U3072" s="29">
        <v>45629.35607174769</v>
      </c>
      <c r="V3072" s="29">
        <v>45630.40659412037</v>
      </c>
      <c r="W3072" s="11"/>
      <c r="X3072" s="11"/>
      <c r="Y3072" s="31"/>
      <c r="Z3072" s="31"/>
      <c r="AA3072" s="31" t="s">
        <v>3385</v>
      </c>
      <c r="AB3072" s="31" t="s">
        <v>12048</v>
      </c>
      <c r="AC3072" s="31"/>
    </row>
    <row r="3073" ht="18.75" customHeight="1">
      <c r="A3073" s="32" t="s">
        <v>12049</v>
      </c>
      <c r="B3073" s="19" t="s">
        <v>8943</v>
      </c>
      <c r="C3073" s="20">
        <v>11.0</v>
      </c>
      <c r="D3073" s="61" t="s">
        <v>12050</v>
      </c>
      <c r="E3073" s="27" t="s">
        <v>112</v>
      </c>
      <c r="F3073" s="18" t="s">
        <v>48</v>
      </c>
      <c r="G3073" s="18" t="s">
        <v>35</v>
      </c>
      <c r="H3073" s="40" t="s">
        <v>35</v>
      </c>
      <c r="I3073" s="24" t="s">
        <v>36</v>
      </c>
      <c r="J3073" s="25" t="s">
        <v>49</v>
      </c>
      <c r="K3073" s="26" t="s">
        <v>447</v>
      </c>
      <c r="L3073" s="64" t="s">
        <v>2783</v>
      </c>
      <c r="M3073" s="22" t="s">
        <v>50</v>
      </c>
      <c r="N3073" s="65" t="s">
        <v>125</v>
      </c>
      <c r="O3073" s="28">
        <v>45645.73094907407</v>
      </c>
      <c r="P3073" s="26" t="s">
        <v>12051</v>
      </c>
      <c r="Q3073" s="11" t="s">
        <v>67</v>
      </c>
      <c r="R3073" s="11" t="s">
        <v>67</v>
      </c>
      <c r="S3073" s="11" t="s">
        <v>73</v>
      </c>
      <c r="T3073" s="29">
        <v>45628.46412712963</v>
      </c>
      <c r="U3073" s="29">
        <v>45628.582487175925</v>
      </c>
      <c r="V3073" s="29">
        <v>45643.75605693287</v>
      </c>
      <c r="W3073" s="11"/>
      <c r="X3073" s="11"/>
      <c r="Y3073" s="174">
        <v>-12128.0</v>
      </c>
      <c r="Z3073" s="31"/>
      <c r="AA3073" s="31" t="s">
        <v>108</v>
      </c>
      <c r="AB3073" s="31" t="s">
        <v>12052</v>
      </c>
      <c r="AC3073" s="31"/>
    </row>
    <row r="3074" ht="18.75" customHeight="1">
      <c r="A3074" s="32" t="s">
        <v>12053</v>
      </c>
      <c r="B3074" s="19" t="s">
        <v>8943</v>
      </c>
      <c r="C3074" s="20">
        <v>11.0</v>
      </c>
      <c r="D3074" s="61" t="s">
        <v>12054</v>
      </c>
      <c r="E3074" s="27" t="s">
        <v>112</v>
      </c>
      <c r="F3074" s="18" t="s">
        <v>48</v>
      </c>
      <c r="G3074" s="18" t="s">
        <v>35</v>
      </c>
      <c r="H3074" s="40" t="s">
        <v>35</v>
      </c>
      <c r="I3074" s="24" t="s">
        <v>36</v>
      </c>
      <c r="J3074" s="25" t="s">
        <v>49</v>
      </c>
      <c r="K3074" s="26" t="s">
        <v>447</v>
      </c>
      <c r="L3074" s="64" t="s">
        <v>2783</v>
      </c>
      <c r="M3074" s="22" t="s">
        <v>50</v>
      </c>
      <c r="N3074" s="65" t="s">
        <v>125</v>
      </c>
      <c r="O3074" s="28">
        <v>45645.73094907407</v>
      </c>
      <c r="P3074" s="26" t="s">
        <v>12051</v>
      </c>
      <c r="Q3074" s="11" t="s">
        <v>67</v>
      </c>
      <c r="R3074" s="11" t="s">
        <v>67</v>
      </c>
      <c r="S3074" s="11" t="s">
        <v>73</v>
      </c>
      <c r="T3074" s="29">
        <v>45628.46490422454</v>
      </c>
      <c r="U3074" s="29">
        <v>45628.58257613426</v>
      </c>
      <c r="V3074" s="29">
        <v>45643.756078356484</v>
      </c>
      <c r="W3074" s="11"/>
      <c r="X3074" s="11"/>
      <c r="Y3074" s="174">
        <v>-12128.0</v>
      </c>
      <c r="Z3074" s="31"/>
      <c r="AA3074" s="31" t="s">
        <v>108</v>
      </c>
      <c r="AB3074" s="31" t="s">
        <v>12055</v>
      </c>
      <c r="AC3074" s="31"/>
    </row>
    <row r="3075" ht="18.75" customHeight="1">
      <c r="A3075" s="18" t="s">
        <v>12056</v>
      </c>
      <c r="B3075" s="19" t="s">
        <v>12057</v>
      </c>
      <c r="C3075" s="20">
        <v>34.0</v>
      </c>
      <c r="D3075" s="61" t="s">
        <v>12058</v>
      </c>
      <c r="E3075" s="27" t="s">
        <v>47</v>
      </c>
      <c r="F3075" s="18" t="s">
        <v>48</v>
      </c>
      <c r="G3075" s="18" t="s">
        <v>35</v>
      </c>
      <c r="H3075" s="40" t="s">
        <v>35</v>
      </c>
      <c r="I3075" s="37" t="s">
        <v>36</v>
      </c>
      <c r="J3075" s="25" t="s">
        <v>65</v>
      </c>
      <c r="K3075" s="26" t="s">
        <v>38</v>
      </c>
      <c r="L3075" s="72">
        <v>12119.0</v>
      </c>
      <c r="M3075" s="62" t="s">
        <v>50</v>
      </c>
      <c r="N3075" s="42" t="s">
        <v>8104</v>
      </c>
      <c r="O3075" s="63">
        <v>45631.68857997685</v>
      </c>
      <c r="P3075" s="26" t="s">
        <v>12059</v>
      </c>
      <c r="Q3075" s="11" t="s">
        <v>67</v>
      </c>
      <c r="R3075" s="11" t="s">
        <v>67</v>
      </c>
      <c r="S3075" s="11" t="s">
        <v>50</v>
      </c>
      <c r="T3075" s="29">
        <v>45628.47190056713</v>
      </c>
      <c r="U3075" s="29">
        <v>45628.58353082176</v>
      </c>
      <c r="V3075" s="29">
        <v>45630.345607662035</v>
      </c>
      <c r="W3075" s="11"/>
      <c r="X3075" s="11"/>
      <c r="Y3075" s="31"/>
      <c r="Z3075" s="31"/>
      <c r="AA3075" s="31" t="s">
        <v>94</v>
      </c>
      <c r="AB3075" s="31" t="s">
        <v>12060</v>
      </c>
      <c r="AC3075" s="31"/>
    </row>
    <row r="3076" ht="18.75" customHeight="1">
      <c r="A3076" s="18" t="s">
        <v>12061</v>
      </c>
      <c r="B3076" s="19" t="s">
        <v>12057</v>
      </c>
      <c r="C3076" s="20">
        <v>34.0</v>
      </c>
      <c r="D3076" s="61" t="s">
        <v>12062</v>
      </c>
      <c r="E3076" s="27" t="s">
        <v>47</v>
      </c>
      <c r="F3076" s="18" t="s">
        <v>48</v>
      </c>
      <c r="G3076" s="18" t="s">
        <v>35</v>
      </c>
      <c r="H3076" s="40" t="s">
        <v>35</v>
      </c>
      <c r="I3076" s="37" t="s">
        <v>36</v>
      </c>
      <c r="J3076" s="25" t="s">
        <v>65</v>
      </c>
      <c r="K3076" s="26" t="s">
        <v>38</v>
      </c>
      <c r="L3076" s="72">
        <v>12119.0</v>
      </c>
      <c r="M3076" s="62" t="s">
        <v>50</v>
      </c>
      <c r="N3076" s="42" t="s">
        <v>8104</v>
      </c>
      <c r="O3076" s="63">
        <v>45631.688517546296</v>
      </c>
      <c r="P3076" s="26" t="s">
        <v>12059</v>
      </c>
      <c r="Q3076" s="11" t="s">
        <v>67</v>
      </c>
      <c r="R3076" s="11" t="s">
        <v>67</v>
      </c>
      <c r="S3076" s="11" t="s">
        <v>50</v>
      </c>
      <c r="T3076" s="29">
        <v>45628.47202234954</v>
      </c>
      <c r="U3076" s="29">
        <v>45628.583413009255</v>
      </c>
      <c r="V3076" s="29">
        <v>45630.34559557871</v>
      </c>
      <c r="W3076" s="11"/>
      <c r="X3076" s="11"/>
      <c r="Y3076" s="31"/>
      <c r="Z3076" s="31"/>
      <c r="AA3076" s="31" t="s">
        <v>94</v>
      </c>
      <c r="AB3076" s="31" t="s">
        <v>12063</v>
      </c>
      <c r="AC3076" s="31"/>
    </row>
    <row r="3077" ht="18.75" customHeight="1">
      <c r="A3077" s="18" t="s">
        <v>12064</v>
      </c>
      <c r="B3077" s="19" t="s">
        <v>8743</v>
      </c>
      <c r="C3077" s="20">
        <v>11.0</v>
      </c>
      <c r="D3077" s="61" t="s">
        <v>12065</v>
      </c>
      <c r="E3077" s="27" t="s">
        <v>112</v>
      </c>
      <c r="F3077" s="18" t="s">
        <v>48</v>
      </c>
      <c r="G3077" s="18" t="s">
        <v>35</v>
      </c>
      <c r="H3077" s="40" t="s">
        <v>35</v>
      </c>
      <c r="I3077" s="37" t="s">
        <v>36</v>
      </c>
      <c r="J3077" s="25" t="s">
        <v>65</v>
      </c>
      <c r="K3077" s="26" t="s">
        <v>38</v>
      </c>
      <c r="L3077" s="25">
        <v>12409.0</v>
      </c>
      <c r="M3077" s="62" t="s">
        <v>50</v>
      </c>
      <c r="N3077" s="42" t="s">
        <v>4908</v>
      </c>
      <c r="O3077" s="63">
        <v>45666.72108578704</v>
      </c>
      <c r="P3077" s="26" t="s">
        <v>12066</v>
      </c>
      <c r="Q3077" s="11" t="s">
        <v>67</v>
      </c>
      <c r="R3077" s="11" t="s">
        <v>67</v>
      </c>
      <c r="S3077" s="11" t="s">
        <v>50</v>
      </c>
      <c r="T3077" s="29">
        <v>45666.49902084491</v>
      </c>
      <c r="U3077" s="29">
        <v>45666.49911228009</v>
      </c>
      <c r="V3077" s="29">
        <v>45666.548928344906</v>
      </c>
      <c r="W3077" s="11"/>
      <c r="X3077" s="11"/>
      <c r="Y3077" s="31"/>
      <c r="Z3077" s="31"/>
      <c r="AA3077" s="31" t="s">
        <v>3059</v>
      </c>
      <c r="AB3077" s="31" t="s">
        <v>12067</v>
      </c>
      <c r="AC3077" s="31"/>
    </row>
    <row r="3078" ht="18.75" customHeight="1">
      <c r="A3078" s="18" t="s">
        <v>12068</v>
      </c>
      <c r="B3078" s="19" t="s">
        <v>8743</v>
      </c>
      <c r="C3078" s="20">
        <v>11.0</v>
      </c>
      <c r="D3078" s="61" t="s">
        <v>12069</v>
      </c>
      <c r="E3078" s="27" t="s">
        <v>112</v>
      </c>
      <c r="F3078" s="18" t="s">
        <v>48</v>
      </c>
      <c r="G3078" s="18" t="s">
        <v>35</v>
      </c>
      <c r="H3078" s="40" t="s">
        <v>35</v>
      </c>
      <c r="I3078" s="37" t="s">
        <v>36</v>
      </c>
      <c r="J3078" s="25" t="s">
        <v>65</v>
      </c>
      <c r="K3078" s="26" t="s">
        <v>38</v>
      </c>
      <c r="L3078" s="25">
        <v>12409.0</v>
      </c>
      <c r="M3078" s="62" t="s">
        <v>50</v>
      </c>
      <c r="N3078" s="42" t="s">
        <v>4908</v>
      </c>
      <c r="O3078" s="63">
        <v>45666.721193668986</v>
      </c>
      <c r="P3078" s="26" t="s">
        <v>12066</v>
      </c>
      <c r="Q3078" s="11" t="s">
        <v>67</v>
      </c>
      <c r="R3078" s="11" t="s">
        <v>67</v>
      </c>
      <c r="S3078" s="11" t="s">
        <v>50</v>
      </c>
      <c r="T3078" s="29">
        <v>45666.49897887732</v>
      </c>
      <c r="U3078" s="29">
        <v>45666.49912869213</v>
      </c>
      <c r="V3078" s="29">
        <v>45666.548936875</v>
      </c>
      <c r="W3078" s="11"/>
      <c r="X3078" s="11"/>
      <c r="Y3078" s="31"/>
      <c r="Z3078" s="31"/>
      <c r="AA3078" s="31" t="s">
        <v>3059</v>
      </c>
      <c r="AB3078" s="31" t="s">
        <v>12070</v>
      </c>
      <c r="AC3078" s="31"/>
    </row>
    <row r="3079" ht="18.75" customHeight="1">
      <c r="A3079" s="142" t="s">
        <v>12071</v>
      </c>
      <c r="B3079" s="19" t="s">
        <v>8743</v>
      </c>
      <c r="C3079" s="20">
        <v>33.0</v>
      </c>
      <c r="D3079" s="61" t="s">
        <v>12072</v>
      </c>
      <c r="E3079" s="27" t="s">
        <v>6133</v>
      </c>
      <c r="F3079" s="18" t="s">
        <v>48</v>
      </c>
      <c r="G3079" s="18" t="s">
        <v>35</v>
      </c>
      <c r="H3079" s="40" t="s">
        <v>35</v>
      </c>
      <c r="I3079" s="37" t="s">
        <v>36</v>
      </c>
      <c r="J3079" s="25" t="s">
        <v>65</v>
      </c>
      <c r="K3079" s="26" t="s">
        <v>38</v>
      </c>
      <c r="L3079" s="25">
        <v>12148.0</v>
      </c>
      <c r="M3079" s="62" t="s">
        <v>50</v>
      </c>
      <c r="N3079" s="42" t="s">
        <v>5279</v>
      </c>
      <c r="O3079" s="63">
        <v>45632.647325115744</v>
      </c>
      <c r="P3079" s="26" t="s">
        <v>12073</v>
      </c>
      <c r="Q3079" s="11" t="s">
        <v>67</v>
      </c>
      <c r="R3079" s="11" t="s">
        <v>67</v>
      </c>
      <c r="S3079" s="11" t="s">
        <v>50</v>
      </c>
      <c r="T3079" s="29">
        <v>45628.48323949074</v>
      </c>
      <c r="U3079" s="29">
        <v>45631.45342814815</v>
      </c>
      <c r="V3079" s="29">
        <v>45632.36149488426</v>
      </c>
      <c r="W3079" s="11"/>
      <c r="X3079" s="11"/>
      <c r="Y3079" s="31"/>
      <c r="Z3079" s="31"/>
      <c r="AA3079" s="31" t="s">
        <v>3059</v>
      </c>
      <c r="AB3079" s="31" t="s">
        <v>12074</v>
      </c>
      <c r="AC3079" s="31"/>
    </row>
    <row r="3080" ht="18.75" customHeight="1">
      <c r="A3080" s="142" t="s">
        <v>12075</v>
      </c>
      <c r="B3080" s="19" t="s">
        <v>3266</v>
      </c>
      <c r="C3080" s="20">
        <v>1.0</v>
      </c>
      <c r="D3080" s="61" t="s">
        <v>12076</v>
      </c>
      <c r="E3080" s="27" t="s">
        <v>3395</v>
      </c>
      <c r="F3080" s="18" t="s">
        <v>48</v>
      </c>
      <c r="G3080" s="18" t="s">
        <v>35</v>
      </c>
      <c r="H3080" s="40" t="s">
        <v>35</v>
      </c>
      <c r="I3080" s="24" t="s">
        <v>36</v>
      </c>
      <c r="J3080" s="25" t="s">
        <v>65</v>
      </c>
      <c r="K3080" s="26" t="s">
        <v>38</v>
      </c>
      <c r="L3080" s="34">
        <v>12140.0</v>
      </c>
      <c r="M3080" s="152" t="s">
        <v>1703</v>
      </c>
      <c r="N3080" s="152" t="s">
        <v>12077</v>
      </c>
      <c r="O3080" s="50">
        <v>45632.0</v>
      </c>
      <c r="P3080" s="26" t="s">
        <v>12078</v>
      </c>
      <c r="Q3080" s="11" t="s">
        <v>67</v>
      </c>
      <c r="R3080" s="11"/>
      <c r="S3080" s="11"/>
      <c r="T3080" s="29">
        <v>45632.43321834491</v>
      </c>
      <c r="U3080" s="29"/>
      <c r="V3080" s="29"/>
      <c r="W3080" s="11"/>
      <c r="X3080" s="11"/>
      <c r="Y3080" s="31"/>
      <c r="Z3080" s="31"/>
      <c r="AA3080" s="31" t="s">
        <v>94</v>
      </c>
      <c r="AB3080" s="31" t="s">
        <v>12079</v>
      </c>
      <c r="AC3080" s="31"/>
    </row>
    <row r="3081" ht="18.75" customHeight="1">
      <c r="A3081" s="142" t="s">
        <v>12080</v>
      </c>
      <c r="B3081" s="19" t="s">
        <v>5277</v>
      </c>
      <c r="C3081" s="20">
        <v>0.0</v>
      </c>
      <c r="D3081" s="61" t="s">
        <v>12081</v>
      </c>
      <c r="E3081" s="27" t="s">
        <v>117</v>
      </c>
      <c r="F3081" s="18" t="s">
        <v>33</v>
      </c>
      <c r="G3081" s="18" t="s">
        <v>34</v>
      </c>
      <c r="H3081" s="40" t="s">
        <v>35</v>
      </c>
      <c r="I3081" s="37" t="s">
        <v>36</v>
      </c>
      <c r="J3081" s="25" t="s">
        <v>65</v>
      </c>
      <c r="K3081" s="26" t="s">
        <v>38</v>
      </c>
      <c r="L3081" s="25">
        <v>12333.0</v>
      </c>
      <c r="M3081" s="62" t="s">
        <v>50</v>
      </c>
      <c r="N3081" s="42" t="s">
        <v>5706</v>
      </c>
      <c r="O3081" s="63">
        <v>45649.70744950231</v>
      </c>
      <c r="P3081" s="26" t="s">
        <v>12082</v>
      </c>
      <c r="Q3081" s="11" t="s">
        <v>67</v>
      </c>
      <c r="R3081" s="11" t="s">
        <v>67</v>
      </c>
      <c r="S3081" s="11"/>
      <c r="T3081" s="29">
        <v>45628.50175052084</v>
      </c>
      <c r="U3081" s="29">
        <v>45630.70955157407</v>
      </c>
      <c r="V3081" s="29"/>
      <c r="W3081" s="11"/>
      <c r="X3081" s="11"/>
      <c r="Y3081" s="31"/>
      <c r="Z3081" s="31"/>
      <c r="AA3081" s="31" t="s">
        <v>94</v>
      </c>
      <c r="AB3081" s="31" t="s">
        <v>12083</v>
      </c>
      <c r="AC3081" s="31"/>
    </row>
    <row r="3082" ht="18.75" customHeight="1">
      <c r="A3082" s="142" t="s">
        <v>12084</v>
      </c>
      <c r="B3082" s="19" t="s">
        <v>12085</v>
      </c>
      <c r="C3082" s="20">
        <v>27.0</v>
      </c>
      <c r="D3082" s="39" t="s">
        <v>12086</v>
      </c>
      <c r="E3082" s="27" t="s">
        <v>72</v>
      </c>
      <c r="F3082" s="18" t="s">
        <v>48</v>
      </c>
      <c r="G3082" s="18" t="s">
        <v>35</v>
      </c>
      <c r="H3082" s="40" t="s">
        <v>35</v>
      </c>
      <c r="I3082" s="37" t="s">
        <v>36</v>
      </c>
      <c r="J3082" s="25" t="s">
        <v>92</v>
      </c>
      <c r="K3082" s="26" t="s">
        <v>38</v>
      </c>
      <c r="L3082" s="25">
        <v>12115.0</v>
      </c>
      <c r="M3082" s="62" t="s">
        <v>50</v>
      </c>
      <c r="N3082" s="42" t="s">
        <v>4362</v>
      </c>
      <c r="O3082" s="63">
        <v>45629.67708333333</v>
      </c>
      <c r="P3082" s="26" t="s">
        <v>12087</v>
      </c>
      <c r="Q3082" s="11" t="s">
        <v>67</v>
      </c>
      <c r="R3082" s="11" t="s">
        <v>67</v>
      </c>
      <c r="S3082" s="11" t="s">
        <v>50</v>
      </c>
      <c r="T3082" s="29">
        <v>45628.502711423615</v>
      </c>
      <c r="U3082" s="29">
        <v>45628.57461954861</v>
      </c>
      <c r="V3082" s="29">
        <v>45629.69674162037</v>
      </c>
      <c r="W3082" s="11"/>
      <c r="X3082" s="11"/>
      <c r="Y3082" s="31"/>
      <c r="Z3082" s="31"/>
      <c r="AA3082" s="31" t="s">
        <v>94</v>
      </c>
      <c r="AB3082" s="31" t="s">
        <v>12088</v>
      </c>
      <c r="AC3082" s="31"/>
    </row>
    <row r="3083" ht="18.75" customHeight="1">
      <c r="A3083" s="142" t="s">
        <v>12089</v>
      </c>
      <c r="B3083" s="19" t="s">
        <v>4681</v>
      </c>
      <c r="C3083" s="20">
        <v>90.0</v>
      </c>
      <c r="D3083" s="61" t="s">
        <v>12090</v>
      </c>
      <c r="E3083" s="27" t="s">
        <v>91</v>
      </c>
      <c r="F3083" s="18" t="s">
        <v>48</v>
      </c>
      <c r="G3083" s="18" t="s">
        <v>35</v>
      </c>
      <c r="H3083" s="40" t="s">
        <v>35</v>
      </c>
      <c r="I3083" s="24" t="s">
        <v>36</v>
      </c>
      <c r="J3083" s="25" t="s">
        <v>49</v>
      </c>
      <c r="K3083" s="26" t="s">
        <v>4683</v>
      </c>
      <c r="L3083" s="64" t="s">
        <v>2508</v>
      </c>
      <c r="M3083" s="22" t="s">
        <v>50</v>
      </c>
      <c r="N3083" s="65" t="s">
        <v>125</v>
      </c>
      <c r="O3083" s="28">
        <v>45645.73094907407</v>
      </c>
      <c r="P3083" s="26" t="s">
        <v>12091</v>
      </c>
      <c r="Q3083" s="11" t="s">
        <v>67</v>
      </c>
      <c r="R3083" s="11" t="s">
        <v>67</v>
      </c>
      <c r="S3083" s="11" t="s">
        <v>73</v>
      </c>
      <c r="T3083" s="29">
        <v>45637.39301707176</v>
      </c>
      <c r="U3083" s="29">
        <v>45637.418798796294</v>
      </c>
      <c r="V3083" s="29">
        <v>45643.756209733794</v>
      </c>
      <c r="W3083" s="11"/>
      <c r="X3083" s="11"/>
      <c r="Y3083" s="66"/>
      <c r="Z3083" s="31"/>
      <c r="AA3083" s="31" t="s">
        <v>127</v>
      </c>
      <c r="AB3083" s="31" t="s">
        <v>12092</v>
      </c>
      <c r="AC3083" s="31"/>
    </row>
    <row r="3084" ht="18.75" customHeight="1">
      <c r="A3084" s="142" t="s">
        <v>12093</v>
      </c>
      <c r="B3084" s="19" t="s">
        <v>1345</v>
      </c>
      <c r="C3084" s="20">
        <v>27.0</v>
      </c>
      <c r="D3084" s="39" t="s">
        <v>12094</v>
      </c>
      <c r="E3084" s="27" t="s">
        <v>72</v>
      </c>
      <c r="F3084" s="18" t="s">
        <v>48</v>
      </c>
      <c r="G3084" s="18" t="s">
        <v>35</v>
      </c>
      <c r="H3084" s="40" t="s">
        <v>35</v>
      </c>
      <c r="I3084" s="37" t="s">
        <v>36</v>
      </c>
      <c r="J3084" s="25" t="s">
        <v>92</v>
      </c>
      <c r="K3084" s="26" t="s">
        <v>38</v>
      </c>
      <c r="L3084" s="25">
        <v>12111.0</v>
      </c>
      <c r="M3084" s="62" t="s">
        <v>50</v>
      </c>
      <c r="N3084" s="42" t="s">
        <v>12095</v>
      </c>
      <c r="O3084" s="63">
        <v>45629.55380767361</v>
      </c>
      <c r="P3084" s="26" t="s">
        <v>12096</v>
      </c>
      <c r="Q3084" s="11" t="s">
        <v>67</v>
      </c>
      <c r="R3084" s="11" t="s">
        <v>67</v>
      </c>
      <c r="S3084" s="11" t="s">
        <v>50</v>
      </c>
      <c r="T3084" s="29">
        <v>45629.431040034724</v>
      </c>
      <c r="U3084" s="29">
        <v>45629.43209480324</v>
      </c>
      <c r="V3084" s="29">
        <v>45629.55030758102</v>
      </c>
      <c r="W3084" s="11"/>
      <c r="X3084" s="11"/>
      <c r="Y3084" s="31"/>
      <c r="Z3084" s="31"/>
      <c r="AA3084" s="31" t="s">
        <v>94</v>
      </c>
      <c r="AB3084" s="31" t="s">
        <v>12097</v>
      </c>
      <c r="AC3084" s="31"/>
    </row>
    <row r="3085" ht="20.25" customHeight="1">
      <c r="A3085" s="32" t="s">
        <v>12098</v>
      </c>
      <c r="B3085" s="19" t="s">
        <v>3888</v>
      </c>
      <c r="C3085" s="20">
        <v>1.0</v>
      </c>
      <c r="D3085" s="61" t="s">
        <v>12099</v>
      </c>
      <c r="E3085" s="27" t="s">
        <v>3395</v>
      </c>
      <c r="F3085" s="18" t="s">
        <v>48</v>
      </c>
      <c r="G3085" s="18" t="s">
        <v>35</v>
      </c>
      <c r="H3085" s="40" t="s">
        <v>35</v>
      </c>
      <c r="I3085" s="24" t="s">
        <v>36</v>
      </c>
      <c r="J3085" s="25" t="s">
        <v>49</v>
      </c>
      <c r="K3085" s="35" t="s">
        <v>2978</v>
      </c>
      <c r="L3085" s="64" t="s">
        <v>2467</v>
      </c>
      <c r="M3085" s="22" t="s">
        <v>50</v>
      </c>
      <c r="N3085" s="65" t="s">
        <v>125</v>
      </c>
      <c r="O3085" s="28">
        <v>45645.73094907407</v>
      </c>
      <c r="P3085" s="35" t="s">
        <v>12100</v>
      </c>
      <c r="Q3085" s="11" t="s">
        <v>67</v>
      </c>
      <c r="R3085" s="11" t="s">
        <v>67</v>
      </c>
      <c r="S3085" s="11" t="s">
        <v>73</v>
      </c>
      <c r="T3085" s="29">
        <v>45629.433958865746</v>
      </c>
      <c r="U3085" s="29">
        <v>45629.47376126157</v>
      </c>
      <c r="V3085" s="29">
        <v>45643.75609844907</v>
      </c>
      <c r="W3085" s="11"/>
      <c r="X3085" s="11"/>
      <c r="Y3085" s="66">
        <v>-12160.0</v>
      </c>
      <c r="Z3085" s="31"/>
      <c r="AA3085" s="31" t="s">
        <v>108</v>
      </c>
      <c r="AB3085" s="31" t="s">
        <v>12101</v>
      </c>
      <c r="AC3085" s="31"/>
    </row>
    <row r="3086" ht="18.75" customHeight="1">
      <c r="A3086" s="18" t="s">
        <v>12102</v>
      </c>
      <c r="B3086" s="19" t="s">
        <v>3888</v>
      </c>
      <c r="C3086" s="20">
        <v>27.0</v>
      </c>
      <c r="D3086" s="39" t="s">
        <v>12103</v>
      </c>
      <c r="E3086" s="27" t="s">
        <v>72</v>
      </c>
      <c r="F3086" s="18" t="s">
        <v>48</v>
      </c>
      <c r="G3086" s="18" t="s">
        <v>35</v>
      </c>
      <c r="H3086" s="40" t="s">
        <v>35</v>
      </c>
      <c r="I3086" s="24" t="s">
        <v>36</v>
      </c>
      <c r="J3086" s="25" t="s">
        <v>49</v>
      </c>
      <c r="K3086" s="35" t="s">
        <v>2978</v>
      </c>
      <c r="L3086" s="64" t="s">
        <v>2467</v>
      </c>
      <c r="M3086" s="22" t="s">
        <v>50</v>
      </c>
      <c r="N3086" s="65" t="s">
        <v>125</v>
      </c>
      <c r="O3086" s="28">
        <v>45645.73094907407</v>
      </c>
      <c r="P3086" s="35" t="s">
        <v>12100</v>
      </c>
      <c r="Q3086" s="11" t="s">
        <v>67</v>
      </c>
      <c r="R3086" s="11" t="s">
        <v>67</v>
      </c>
      <c r="S3086" s="11" t="s">
        <v>73</v>
      </c>
      <c r="T3086" s="29">
        <v>45629.43415097222</v>
      </c>
      <c r="U3086" s="29">
        <v>45629.473842673615</v>
      </c>
      <c r="V3086" s="29">
        <v>45643.756109594906</v>
      </c>
      <c r="W3086" s="11"/>
      <c r="X3086" s="11"/>
      <c r="Y3086" s="66"/>
      <c r="Z3086" s="31"/>
      <c r="AA3086" s="31" t="s">
        <v>108</v>
      </c>
      <c r="AB3086" s="31" t="s">
        <v>12104</v>
      </c>
      <c r="AC3086" s="31"/>
    </row>
    <row r="3087" ht="18.75" customHeight="1">
      <c r="A3087" s="151" t="s">
        <v>12105</v>
      </c>
      <c r="B3087" s="19" t="s">
        <v>12106</v>
      </c>
      <c r="C3087" s="20">
        <v>1.0</v>
      </c>
      <c r="D3087" s="61" t="s">
        <v>12107</v>
      </c>
      <c r="E3087" s="27" t="s">
        <v>3395</v>
      </c>
      <c r="F3087" s="18" t="s">
        <v>48</v>
      </c>
      <c r="G3087" s="18" t="s">
        <v>35</v>
      </c>
      <c r="H3087" s="40" t="s">
        <v>35</v>
      </c>
      <c r="I3087" s="24" t="s">
        <v>36</v>
      </c>
      <c r="J3087" s="25" t="s">
        <v>65</v>
      </c>
      <c r="K3087" s="26" t="s">
        <v>38</v>
      </c>
      <c r="L3087" s="64" t="s">
        <v>12108</v>
      </c>
      <c r="M3087" s="152" t="str">
        <f>VLOOKUP(D3087,'Página111'!E:E,1,0)</f>
        <v>#REF!</v>
      </c>
      <c r="N3087" s="26"/>
      <c r="O3087" s="50">
        <v>45646.0</v>
      </c>
      <c r="P3087" s="35" t="s">
        <v>12109</v>
      </c>
      <c r="Q3087" s="11" t="s">
        <v>67</v>
      </c>
      <c r="R3087" s="11" t="s">
        <v>67</v>
      </c>
      <c r="S3087" s="11" t="s">
        <v>73</v>
      </c>
      <c r="T3087" s="29">
        <v>45629.484410150464</v>
      </c>
      <c r="U3087" s="29">
        <v>45629.660492372685</v>
      </c>
      <c r="V3087" s="29">
        <v>45644.776121469906</v>
      </c>
      <c r="W3087" s="11"/>
      <c r="X3087" s="11"/>
      <c r="Y3087" s="71">
        <v>12397.0</v>
      </c>
      <c r="Z3087" s="31"/>
      <c r="AA3087" s="31" t="s">
        <v>3059</v>
      </c>
      <c r="AB3087" s="31" t="s">
        <v>12110</v>
      </c>
      <c r="AC3087" s="31"/>
    </row>
    <row r="3088" ht="18.75" customHeight="1">
      <c r="A3088" s="142" t="s">
        <v>12111</v>
      </c>
      <c r="B3088" s="19" t="s">
        <v>1811</v>
      </c>
      <c r="C3088" s="20">
        <v>0.0</v>
      </c>
      <c r="D3088" s="61" t="s">
        <v>12112</v>
      </c>
      <c r="E3088" s="27" t="s">
        <v>135</v>
      </c>
      <c r="F3088" s="18" t="s">
        <v>48</v>
      </c>
      <c r="G3088" s="18" t="s">
        <v>35</v>
      </c>
      <c r="H3088" s="40" t="s">
        <v>35</v>
      </c>
      <c r="I3088" s="37" t="s">
        <v>36</v>
      </c>
      <c r="J3088" s="25" t="s">
        <v>49</v>
      </c>
      <c r="K3088" s="26" t="s">
        <v>1506</v>
      </c>
      <c r="L3088" s="25">
        <v>12337.0</v>
      </c>
      <c r="M3088" s="62" t="s">
        <v>50</v>
      </c>
      <c r="N3088" s="42" t="s">
        <v>143</v>
      </c>
      <c r="O3088" s="63">
        <v>45671.573378078705</v>
      </c>
      <c r="P3088" s="26" t="s">
        <v>12113</v>
      </c>
      <c r="Q3088" s="11" t="s">
        <v>67</v>
      </c>
      <c r="R3088" s="11" t="s">
        <v>67</v>
      </c>
      <c r="S3088" s="11" t="s">
        <v>101</v>
      </c>
      <c r="T3088" s="29">
        <v>45629.60531416666</v>
      </c>
      <c r="U3088" s="29">
        <v>45629.605317395835</v>
      </c>
      <c r="V3088" s="29">
        <v>45664.69879362269</v>
      </c>
      <c r="W3088" s="11"/>
      <c r="X3088" s="11"/>
      <c r="Y3088" s="31"/>
      <c r="Z3088" s="31"/>
      <c r="AA3088" s="31" t="s">
        <v>3053</v>
      </c>
      <c r="AB3088" s="31" t="s">
        <v>12114</v>
      </c>
      <c r="AC3088" s="31"/>
    </row>
    <row r="3089" ht="18.75" customHeight="1">
      <c r="A3089" s="18" t="s">
        <v>12115</v>
      </c>
      <c r="B3089" s="19" t="s">
        <v>911</v>
      </c>
      <c r="C3089" s="20">
        <v>0.0</v>
      </c>
      <c r="D3089" s="61" t="s">
        <v>12116</v>
      </c>
      <c r="E3089" s="27" t="s">
        <v>545</v>
      </c>
      <c r="F3089" s="18" t="s">
        <v>33</v>
      </c>
      <c r="G3089" s="18" t="s">
        <v>35</v>
      </c>
      <c r="H3089" s="40" t="s">
        <v>35</v>
      </c>
      <c r="I3089" s="37" t="s">
        <v>36</v>
      </c>
      <c r="J3089" s="25" t="s">
        <v>49</v>
      </c>
      <c r="K3089" s="26" t="s">
        <v>1506</v>
      </c>
      <c r="L3089" s="25">
        <v>12173.0</v>
      </c>
      <c r="M3089" s="62" t="s">
        <v>50</v>
      </c>
      <c r="N3089" s="42" t="s">
        <v>99</v>
      </c>
      <c r="O3089" s="63">
        <v>45636.578389375005</v>
      </c>
      <c r="P3089" s="26" t="s">
        <v>12113</v>
      </c>
      <c r="Q3089" s="11" t="s">
        <v>67</v>
      </c>
      <c r="R3089" s="11" t="s">
        <v>67</v>
      </c>
      <c r="S3089" s="11" t="s">
        <v>101</v>
      </c>
      <c r="T3089" s="29">
        <v>45629.56825069444</v>
      </c>
      <c r="U3089" s="29">
        <v>45629.69544590278</v>
      </c>
      <c r="V3089" s="29">
        <v>45635.63964270834</v>
      </c>
      <c r="W3089" s="11"/>
      <c r="X3089" s="11"/>
      <c r="Y3089" s="31"/>
      <c r="Z3089" s="31"/>
      <c r="AA3089" s="31" t="s">
        <v>3053</v>
      </c>
      <c r="AB3089" s="31" t="s">
        <v>12117</v>
      </c>
      <c r="AC3089" s="31"/>
    </row>
    <row r="3090" ht="18.75" customHeight="1">
      <c r="A3090" s="18" t="s">
        <v>12118</v>
      </c>
      <c r="B3090" s="19" t="s">
        <v>911</v>
      </c>
      <c r="C3090" s="20">
        <v>0.0</v>
      </c>
      <c r="D3090" s="61" t="s">
        <v>835</v>
      </c>
      <c r="E3090" s="27" t="s">
        <v>545</v>
      </c>
      <c r="F3090" s="18" t="s">
        <v>33</v>
      </c>
      <c r="G3090" s="18" t="s">
        <v>35</v>
      </c>
      <c r="H3090" s="40" t="s">
        <v>35</v>
      </c>
      <c r="I3090" s="37" t="s">
        <v>36</v>
      </c>
      <c r="J3090" s="25" t="s">
        <v>49</v>
      </c>
      <c r="K3090" s="26" t="s">
        <v>1506</v>
      </c>
      <c r="L3090" s="25">
        <v>12173.0</v>
      </c>
      <c r="M3090" s="62" t="s">
        <v>50</v>
      </c>
      <c r="N3090" s="42" t="s">
        <v>99</v>
      </c>
      <c r="O3090" s="63">
        <v>45636.5784540625</v>
      </c>
      <c r="P3090" s="26" t="s">
        <v>12113</v>
      </c>
      <c r="Q3090" s="11" t="s">
        <v>67</v>
      </c>
      <c r="R3090" s="11" t="s">
        <v>67</v>
      </c>
      <c r="S3090" s="11" t="s">
        <v>101</v>
      </c>
      <c r="T3090" s="29">
        <v>45629.568710983796</v>
      </c>
      <c r="U3090" s="29">
        <v>45629.695461006944</v>
      </c>
      <c r="V3090" s="29">
        <v>45635.69696025463</v>
      </c>
      <c r="W3090" s="11"/>
      <c r="X3090" s="11"/>
      <c r="Y3090" s="31"/>
      <c r="Z3090" s="31"/>
      <c r="AA3090" s="31" t="s">
        <v>3053</v>
      </c>
      <c r="AB3090" s="31" t="s">
        <v>12119</v>
      </c>
      <c r="AC3090" s="31"/>
    </row>
    <row r="3091" ht="18.75" customHeight="1">
      <c r="A3091" s="151" t="s">
        <v>12120</v>
      </c>
      <c r="B3091" s="19" t="s">
        <v>4352</v>
      </c>
      <c r="C3091" s="20">
        <v>137.0</v>
      </c>
      <c r="D3091" s="21" t="s">
        <v>12121</v>
      </c>
      <c r="E3091" s="27" t="s">
        <v>85</v>
      </c>
      <c r="F3091" s="18" t="s">
        <v>48</v>
      </c>
      <c r="G3091" s="18" t="s">
        <v>35</v>
      </c>
      <c r="H3091" s="40" t="s">
        <v>35</v>
      </c>
      <c r="I3091" s="37" t="s">
        <v>36</v>
      </c>
      <c r="J3091" s="25" t="s">
        <v>49</v>
      </c>
      <c r="K3091" s="26" t="s">
        <v>38</v>
      </c>
      <c r="L3091" s="25">
        <v>12354.0</v>
      </c>
      <c r="M3091" s="27" t="s">
        <v>50</v>
      </c>
      <c r="N3091" s="26" t="s">
        <v>9953</v>
      </c>
      <c r="O3091" s="28">
        <v>45659.0</v>
      </c>
      <c r="P3091" s="26" t="s">
        <v>12122</v>
      </c>
      <c r="Q3091" s="11" t="s">
        <v>67</v>
      </c>
      <c r="R3091" s="11" t="s">
        <v>67</v>
      </c>
      <c r="S3091" s="11" t="s">
        <v>50</v>
      </c>
      <c r="T3091" s="29">
        <v>45630.39453445602</v>
      </c>
      <c r="U3091" s="29">
        <v>45630.456357523144</v>
      </c>
      <c r="V3091" s="29">
        <v>45652.486227013884</v>
      </c>
      <c r="W3091" s="11"/>
      <c r="X3091" s="11"/>
      <c r="Y3091" s="31"/>
      <c r="Z3091" s="31"/>
      <c r="AA3091" s="31" t="s">
        <v>127</v>
      </c>
      <c r="AB3091" s="31" t="s">
        <v>12123</v>
      </c>
      <c r="AC3091" s="31"/>
    </row>
    <row r="3092" ht="18.75" customHeight="1">
      <c r="A3092" s="151" t="s">
        <v>12124</v>
      </c>
      <c r="B3092" s="19" t="s">
        <v>4352</v>
      </c>
      <c r="C3092" s="20">
        <v>90.0</v>
      </c>
      <c r="D3092" s="21" t="s">
        <v>12125</v>
      </c>
      <c r="E3092" s="27" t="s">
        <v>91</v>
      </c>
      <c r="F3092" s="18" t="s">
        <v>48</v>
      </c>
      <c r="G3092" s="18" t="s">
        <v>35</v>
      </c>
      <c r="H3092" s="40" t="s">
        <v>35</v>
      </c>
      <c r="I3092" s="37" t="s">
        <v>36</v>
      </c>
      <c r="J3092" s="25" t="s">
        <v>49</v>
      </c>
      <c r="K3092" s="26" t="s">
        <v>38</v>
      </c>
      <c r="L3092" s="25">
        <v>12367.0</v>
      </c>
      <c r="M3092" s="27" t="s">
        <v>50</v>
      </c>
      <c r="N3092" s="26" t="s">
        <v>9953</v>
      </c>
      <c r="O3092" s="28">
        <v>45659.0</v>
      </c>
      <c r="P3092" s="26" t="s">
        <v>12126</v>
      </c>
      <c r="Q3092" s="11" t="s">
        <v>67</v>
      </c>
      <c r="R3092" s="11" t="s">
        <v>67</v>
      </c>
      <c r="S3092" s="11" t="s">
        <v>50</v>
      </c>
      <c r="T3092" s="29">
        <v>45630.40486081019</v>
      </c>
      <c r="U3092" s="29">
        <v>45630.45554674769</v>
      </c>
      <c r="V3092" s="29">
        <v>45652.64548555556</v>
      </c>
      <c r="W3092" s="11"/>
      <c r="X3092" s="11"/>
      <c r="Y3092" s="31"/>
      <c r="Z3092" s="31"/>
      <c r="AA3092" s="31" t="s">
        <v>127</v>
      </c>
      <c r="AB3092" s="31" t="s">
        <v>12127</v>
      </c>
      <c r="AC3092" s="31"/>
    </row>
    <row r="3093" ht="18.75" customHeight="1">
      <c r="A3093" s="151" t="s">
        <v>12128</v>
      </c>
      <c r="B3093" s="19" t="s">
        <v>4352</v>
      </c>
      <c r="C3093" s="20">
        <v>137.0</v>
      </c>
      <c r="D3093" s="21" t="s">
        <v>12129</v>
      </c>
      <c r="E3093" s="27" t="s">
        <v>85</v>
      </c>
      <c r="F3093" s="18" t="s">
        <v>48</v>
      </c>
      <c r="G3093" s="18" t="s">
        <v>35</v>
      </c>
      <c r="H3093" s="40" t="s">
        <v>35</v>
      </c>
      <c r="I3093" s="37" t="s">
        <v>36</v>
      </c>
      <c r="J3093" s="25" t="s">
        <v>49</v>
      </c>
      <c r="K3093" s="26" t="s">
        <v>38</v>
      </c>
      <c r="L3093" s="25">
        <v>12355.0</v>
      </c>
      <c r="M3093" s="27" t="s">
        <v>50</v>
      </c>
      <c r="N3093" s="26" t="s">
        <v>9953</v>
      </c>
      <c r="O3093" s="28">
        <v>45659.0</v>
      </c>
      <c r="P3093" s="26" t="s">
        <v>12130</v>
      </c>
      <c r="Q3093" s="11" t="s">
        <v>67</v>
      </c>
      <c r="R3093" s="11" t="s">
        <v>67</v>
      </c>
      <c r="S3093" s="11" t="s">
        <v>50</v>
      </c>
      <c r="T3093" s="29">
        <v>45630.407613310184</v>
      </c>
      <c r="U3093" s="29">
        <v>45630.455893819446</v>
      </c>
      <c r="V3093" s="29">
        <v>45652.48736914352</v>
      </c>
      <c r="W3093" s="11"/>
      <c r="X3093" s="11"/>
      <c r="Y3093" s="31"/>
      <c r="Z3093" s="31"/>
      <c r="AA3093" s="31" t="s">
        <v>127</v>
      </c>
      <c r="AB3093" s="31" t="s">
        <v>12131</v>
      </c>
      <c r="AC3093" s="31"/>
    </row>
    <row r="3094" ht="18.75" customHeight="1">
      <c r="A3094" s="151" t="s">
        <v>12132</v>
      </c>
      <c r="B3094" s="19" t="s">
        <v>12133</v>
      </c>
      <c r="C3094" s="20">
        <v>11.0</v>
      </c>
      <c r="D3094" s="61" t="s">
        <v>12134</v>
      </c>
      <c r="E3094" s="27" t="s">
        <v>112</v>
      </c>
      <c r="F3094" s="18" t="s">
        <v>48</v>
      </c>
      <c r="G3094" s="18" t="s">
        <v>35</v>
      </c>
      <c r="H3094" s="40" t="s">
        <v>35</v>
      </c>
      <c r="I3094" s="24" t="s">
        <v>36</v>
      </c>
      <c r="J3094" s="25" t="s">
        <v>65</v>
      </c>
      <c r="K3094" s="26" t="s">
        <v>38</v>
      </c>
      <c r="L3094" s="64" t="s">
        <v>12135</v>
      </c>
      <c r="M3094" s="152" t="str">
        <f>VLOOKUP(D3094,'Página111'!E:E,1,0)</f>
        <v>#REF!</v>
      </c>
      <c r="N3094" s="42"/>
      <c r="O3094" s="50">
        <v>45646.0</v>
      </c>
      <c r="P3094" s="26" t="s">
        <v>12136</v>
      </c>
      <c r="Q3094" s="11" t="s">
        <v>67</v>
      </c>
      <c r="R3094" s="11" t="s">
        <v>67</v>
      </c>
      <c r="S3094" s="11" t="s">
        <v>73</v>
      </c>
      <c r="T3094" s="29">
        <v>45631.42267719907</v>
      </c>
      <c r="U3094" s="29">
        <v>45637.46432215278</v>
      </c>
      <c r="V3094" s="29">
        <v>45644.776232627315</v>
      </c>
      <c r="W3094" s="11"/>
      <c r="X3094" s="11"/>
      <c r="Y3094" s="66"/>
      <c r="Z3094" s="31"/>
      <c r="AA3094" s="31" t="s">
        <v>94</v>
      </c>
      <c r="AB3094" s="31" t="s">
        <v>12137</v>
      </c>
      <c r="AC3094" s="31"/>
    </row>
    <row r="3095" ht="18.75" customHeight="1">
      <c r="A3095" s="142" t="s">
        <v>12138</v>
      </c>
      <c r="B3095" s="19" t="s">
        <v>4711</v>
      </c>
      <c r="C3095" s="20">
        <v>34.0</v>
      </c>
      <c r="D3095" s="61" t="s">
        <v>12139</v>
      </c>
      <c r="E3095" s="27" t="s">
        <v>47</v>
      </c>
      <c r="F3095" s="18" t="s">
        <v>48</v>
      </c>
      <c r="G3095" s="18" t="s">
        <v>35</v>
      </c>
      <c r="H3095" s="40" t="s">
        <v>35</v>
      </c>
      <c r="I3095" s="37" t="s">
        <v>36</v>
      </c>
      <c r="J3095" s="25" t="s">
        <v>65</v>
      </c>
      <c r="K3095" s="26" t="s">
        <v>38</v>
      </c>
      <c r="L3095" s="25">
        <v>12147.0</v>
      </c>
      <c r="M3095" s="62" t="s">
        <v>50</v>
      </c>
      <c r="N3095" s="42" t="s">
        <v>5279</v>
      </c>
      <c r="O3095" s="63">
        <v>45632.64746875</v>
      </c>
      <c r="P3095" s="26" t="s">
        <v>12140</v>
      </c>
      <c r="Q3095" s="11" t="s">
        <v>67</v>
      </c>
      <c r="R3095" s="11" t="s">
        <v>67</v>
      </c>
      <c r="S3095" s="11" t="s">
        <v>50</v>
      </c>
      <c r="T3095" s="29">
        <v>45630.43165974537</v>
      </c>
      <c r="U3095" s="29">
        <v>45630.71645658565</v>
      </c>
      <c r="V3095" s="29">
        <v>45632.35532408565</v>
      </c>
      <c r="W3095" s="11"/>
      <c r="X3095" s="11"/>
      <c r="Y3095" s="31"/>
      <c r="Z3095" s="31"/>
      <c r="AA3095" s="31" t="s">
        <v>94</v>
      </c>
      <c r="AB3095" s="31" t="s">
        <v>12141</v>
      </c>
      <c r="AC3095" s="31"/>
    </row>
    <row r="3096" ht="18.75" customHeight="1">
      <c r="A3096" s="18" t="s">
        <v>12142</v>
      </c>
      <c r="B3096" s="19" t="s">
        <v>7780</v>
      </c>
      <c r="C3096" s="20">
        <v>0.0</v>
      </c>
      <c r="D3096" s="61" t="s">
        <v>847</v>
      </c>
      <c r="E3096" s="27" t="s">
        <v>243</v>
      </c>
      <c r="F3096" s="18" t="s">
        <v>244</v>
      </c>
      <c r="G3096" s="18" t="s">
        <v>35</v>
      </c>
      <c r="H3096" s="40" t="s">
        <v>35</v>
      </c>
      <c r="I3096" s="37" t="s">
        <v>36</v>
      </c>
      <c r="J3096" s="25" t="s">
        <v>65</v>
      </c>
      <c r="K3096" s="26" t="s">
        <v>38</v>
      </c>
      <c r="L3096" s="25">
        <v>12172.0</v>
      </c>
      <c r="M3096" s="62" t="s">
        <v>50</v>
      </c>
      <c r="N3096" s="42" t="s">
        <v>4908</v>
      </c>
      <c r="O3096" s="63">
        <v>45637.67379072917</v>
      </c>
      <c r="P3096" s="26" t="s">
        <v>12143</v>
      </c>
      <c r="Q3096" s="11" t="s">
        <v>67</v>
      </c>
      <c r="R3096" s="11" t="s">
        <v>67</v>
      </c>
      <c r="S3096" s="11" t="s">
        <v>101</v>
      </c>
      <c r="T3096" s="29">
        <v>45630.43536016204</v>
      </c>
      <c r="U3096" s="29">
        <v>45630.486449675926</v>
      </c>
      <c r="V3096" s="29">
        <v>45635.558007141204</v>
      </c>
      <c r="W3096" s="11"/>
      <c r="X3096" s="11"/>
      <c r="Y3096" s="31"/>
      <c r="Z3096" s="31"/>
      <c r="AA3096" s="31" t="s">
        <v>94</v>
      </c>
      <c r="AB3096" s="31" t="s">
        <v>12144</v>
      </c>
      <c r="AC3096" s="31"/>
    </row>
    <row r="3097" ht="18.75" customHeight="1">
      <c r="A3097" s="32" t="s">
        <v>12145</v>
      </c>
      <c r="B3097" s="19" t="s">
        <v>7780</v>
      </c>
      <c r="C3097" s="20">
        <v>0.0</v>
      </c>
      <c r="D3097" s="61" t="s">
        <v>12146</v>
      </c>
      <c r="E3097" s="27" t="s">
        <v>3441</v>
      </c>
      <c r="F3097" s="18" t="s">
        <v>48</v>
      </c>
      <c r="G3097" s="18" t="s">
        <v>35</v>
      </c>
      <c r="H3097" s="40" t="s">
        <v>35</v>
      </c>
      <c r="I3097" s="24" t="s">
        <v>36</v>
      </c>
      <c r="J3097" s="25" t="s">
        <v>65</v>
      </c>
      <c r="K3097" s="26" t="s">
        <v>38</v>
      </c>
      <c r="L3097" s="64" t="s">
        <v>12147</v>
      </c>
      <c r="M3097" s="152" t="str">
        <f>VLOOKUP(D3097,'Página111'!E:E,1,0)</f>
        <v>#REF!</v>
      </c>
      <c r="N3097" s="26"/>
      <c r="O3097" s="50">
        <v>45646.0</v>
      </c>
      <c r="P3097" s="26" t="s">
        <v>12143</v>
      </c>
      <c r="Q3097" s="11" t="s">
        <v>67</v>
      </c>
      <c r="R3097" s="11" t="s">
        <v>67</v>
      </c>
      <c r="S3097" s="11" t="s">
        <v>73</v>
      </c>
      <c r="T3097" s="29">
        <v>45630.4355928125</v>
      </c>
      <c r="U3097" s="29">
        <v>45630.48651153935</v>
      </c>
      <c r="V3097" s="29">
        <v>45644.77613435185</v>
      </c>
      <c r="W3097" s="11"/>
      <c r="X3097" s="11"/>
      <c r="Y3097" s="66">
        <v>-12164.0</v>
      </c>
      <c r="Z3097" s="31"/>
      <c r="AA3097" s="31" t="s">
        <v>94</v>
      </c>
      <c r="AB3097" s="31" t="s">
        <v>12148</v>
      </c>
      <c r="AC3097" s="31"/>
    </row>
    <row r="3098" ht="18.75" customHeight="1">
      <c r="A3098" s="18" t="s">
        <v>12149</v>
      </c>
      <c r="B3098" s="19" t="s">
        <v>7780</v>
      </c>
      <c r="C3098" s="20">
        <v>27.0</v>
      </c>
      <c r="D3098" s="39" t="s">
        <v>12150</v>
      </c>
      <c r="E3098" s="27" t="s">
        <v>72</v>
      </c>
      <c r="F3098" s="18" t="s">
        <v>48</v>
      </c>
      <c r="G3098" s="18" t="s">
        <v>35</v>
      </c>
      <c r="H3098" s="40" t="s">
        <v>35</v>
      </c>
      <c r="I3098" s="37" t="s">
        <v>36</v>
      </c>
      <c r="J3098" s="25" t="s">
        <v>65</v>
      </c>
      <c r="K3098" s="26" t="s">
        <v>38</v>
      </c>
      <c r="L3098" s="25">
        <v>12172.0</v>
      </c>
      <c r="M3098" s="62" t="s">
        <v>50</v>
      </c>
      <c r="N3098" s="42" t="s">
        <v>11189</v>
      </c>
      <c r="O3098" s="63">
        <v>45637.67345989583</v>
      </c>
      <c r="P3098" s="26" t="s">
        <v>12143</v>
      </c>
      <c r="Q3098" s="11" t="s">
        <v>67</v>
      </c>
      <c r="R3098" s="11" t="s">
        <v>67</v>
      </c>
      <c r="S3098" s="11" t="s">
        <v>50</v>
      </c>
      <c r="T3098" s="29">
        <v>45630.43575402778</v>
      </c>
      <c r="U3098" s="29">
        <v>45630.48649336805</v>
      </c>
      <c r="V3098" s="29">
        <v>45632.43926274306</v>
      </c>
      <c r="W3098" s="11"/>
      <c r="X3098" s="11"/>
      <c r="Y3098" s="31"/>
      <c r="Z3098" s="31"/>
      <c r="AA3098" s="31" t="s">
        <v>94</v>
      </c>
      <c r="AB3098" s="31" t="s">
        <v>12151</v>
      </c>
      <c r="AC3098" s="31"/>
    </row>
    <row r="3099" ht="18.75" customHeight="1">
      <c r="A3099" s="142" t="s">
        <v>12152</v>
      </c>
      <c r="B3099" s="19" t="s">
        <v>12153</v>
      </c>
      <c r="C3099" s="20">
        <v>27.0</v>
      </c>
      <c r="D3099" s="39" t="s">
        <v>12154</v>
      </c>
      <c r="E3099" s="27" t="s">
        <v>72</v>
      </c>
      <c r="F3099" s="18" t="s">
        <v>48</v>
      </c>
      <c r="G3099" s="18" t="s">
        <v>35</v>
      </c>
      <c r="H3099" s="40" t="s">
        <v>35</v>
      </c>
      <c r="I3099" s="37" t="s">
        <v>36</v>
      </c>
      <c r="J3099" s="25" t="s">
        <v>65</v>
      </c>
      <c r="K3099" s="26" t="s">
        <v>38</v>
      </c>
      <c r="L3099" s="25">
        <v>12146.0</v>
      </c>
      <c r="M3099" s="62" t="s">
        <v>50</v>
      </c>
      <c r="N3099" s="42" t="s">
        <v>5279</v>
      </c>
      <c r="O3099" s="63">
        <v>45632.64753152778</v>
      </c>
      <c r="P3099" s="26" t="s">
        <v>12155</v>
      </c>
      <c r="Q3099" s="11" t="s">
        <v>67</v>
      </c>
      <c r="R3099" s="11" t="s">
        <v>67</v>
      </c>
      <c r="S3099" s="11" t="s">
        <v>50</v>
      </c>
      <c r="T3099" s="29">
        <v>45630.440662442124</v>
      </c>
      <c r="U3099" s="29">
        <v>45630.71668869213</v>
      </c>
      <c r="V3099" s="29">
        <v>45632.4392730324</v>
      </c>
      <c r="W3099" s="11"/>
      <c r="X3099" s="11"/>
      <c r="Y3099" s="31"/>
      <c r="Z3099" s="31"/>
      <c r="AA3099" s="31" t="s">
        <v>94</v>
      </c>
      <c r="AB3099" s="31" t="s">
        <v>12156</v>
      </c>
      <c r="AC3099" s="31"/>
    </row>
    <row r="3100" ht="18.75" customHeight="1">
      <c r="A3100" s="142" t="s">
        <v>12157</v>
      </c>
      <c r="B3100" s="19" t="s">
        <v>12158</v>
      </c>
      <c r="C3100" s="20">
        <v>0.0</v>
      </c>
      <c r="D3100" s="61" t="s">
        <v>12159</v>
      </c>
      <c r="E3100" s="27" t="s">
        <v>4430</v>
      </c>
      <c r="F3100" s="18" t="s">
        <v>48</v>
      </c>
      <c r="G3100" s="18" t="s">
        <v>35</v>
      </c>
      <c r="H3100" s="40" t="s">
        <v>35</v>
      </c>
      <c r="I3100" s="37" t="s">
        <v>36</v>
      </c>
      <c r="J3100" s="25" t="s">
        <v>49</v>
      </c>
      <c r="K3100" s="26" t="s">
        <v>238</v>
      </c>
      <c r="L3100" s="25">
        <v>12145.0</v>
      </c>
      <c r="M3100" s="62" t="s">
        <v>50</v>
      </c>
      <c r="N3100" s="42" t="s">
        <v>99</v>
      </c>
      <c r="O3100" s="63">
        <v>45632.591106712964</v>
      </c>
      <c r="P3100" s="26" t="s">
        <v>12160</v>
      </c>
      <c r="Q3100" s="11" t="s">
        <v>67</v>
      </c>
      <c r="R3100" s="11" t="s">
        <v>67</v>
      </c>
      <c r="S3100" s="11" t="s">
        <v>50</v>
      </c>
      <c r="T3100" s="29">
        <v>45630.59954335648</v>
      </c>
      <c r="U3100" s="29">
        <v>45631.37611574074</v>
      </c>
      <c r="V3100" s="29">
        <v>45632.43948585648</v>
      </c>
      <c r="W3100" s="11"/>
      <c r="X3100" s="11"/>
      <c r="Y3100" s="31"/>
      <c r="Z3100" s="31"/>
      <c r="AA3100" s="31" t="s">
        <v>3808</v>
      </c>
      <c r="AB3100" s="31" t="s">
        <v>12161</v>
      </c>
      <c r="AC3100" s="31"/>
    </row>
    <row r="3101" ht="18.75" customHeight="1">
      <c r="A3101" s="151" t="s">
        <v>12162</v>
      </c>
      <c r="B3101" s="19" t="s">
        <v>3211</v>
      </c>
      <c r="C3101" s="20">
        <v>90.0</v>
      </c>
      <c r="D3101" s="61" t="s">
        <v>12163</v>
      </c>
      <c r="E3101" s="27" t="s">
        <v>91</v>
      </c>
      <c r="F3101" s="18" t="s">
        <v>48</v>
      </c>
      <c r="G3101" s="18" t="s">
        <v>35</v>
      </c>
      <c r="H3101" s="40" t="s">
        <v>35</v>
      </c>
      <c r="I3101" s="37" t="s">
        <v>36</v>
      </c>
      <c r="J3101" s="25" t="s">
        <v>92</v>
      </c>
      <c r="K3101" s="26" t="s">
        <v>38</v>
      </c>
      <c r="L3101" s="163">
        <v>12311.0</v>
      </c>
      <c r="M3101" s="62" t="s">
        <v>50</v>
      </c>
      <c r="N3101" s="26" t="s">
        <v>7145</v>
      </c>
      <c r="O3101" s="63">
        <v>45691.7278075463</v>
      </c>
      <c r="P3101" s="26" t="s">
        <v>12164</v>
      </c>
      <c r="Q3101" s="11" t="s">
        <v>67</v>
      </c>
      <c r="R3101" s="11" t="s">
        <v>67</v>
      </c>
      <c r="S3101" s="11" t="s">
        <v>9620</v>
      </c>
      <c r="T3101" s="29">
        <v>45630.45066787037</v>
      </c>
      <c r="U3101" s="29">
        <v>45630.70615596065</v>
      </c>
      <c r="V3101" s="29">
        <v>45645.69729848379</v>
      </c>
      <c r="W3101" s="11"/>
      <c r="X3101" s="11"/>
      <c r="Y3101" s="66">
        <v>-12165.0</v>
      </c>
      <c r="Z3101" s="78"/>
      <c r="AA3101" s="31"/>
      <c r="AB3101" s="31" t="s">
        <v>12165</v>
      </c>
      <c r="AC3101" s="31"/>
    </row>
    <row r="3102" ht="18.75" customHeight="1">
      <c r="A3102" s="142" t="s">
        <v>12166</v>
      </c>
      <c r="B3102" s="19" t="s">
        <v>12167</v>
      </c>
      <c r="C3102" s="20">
        <v>137.0</v>
      </c>
      <c r="D3102" s="61" t="s">
        <v>12168</v>
      </c>
      <c r="E3102" s="27" t="s">
        <v>85</v>
      </c>
      <c r="F3102" s="18" t="s">
        <v>48</v>
      </c>
      <c r="G3102" s="18" t="s">
        <v>35</v>
      </c>
      <c r="H3102" s="40" t="s">
        <v>35</v>
      </c>
      <c r="I3102" s="24" t="s">
        <v>36</v>
      </c>
      <c r="J3102" s="25" t="s">
        <v>65</v>
      </c>
      <c r="K3102" s="26" t="s">
        <v>38</v>
      </c>
      <c r="L3102" s="64" t="s">
        <v>12169</v>
      </c>
      <c r="M3102" s="152" t="str">
        <f>VLOOKUP(D3102,'Página111'!E:E,1,0)</f>
        <v>#REF!</v>
      </c>
      <c r="N3102" s="42"/>
      <c r="O3102" s="50">
        <v>45646.0</v>
      </c>
      <c r="P3102" s="26" t="s">
        <v>12170</v>
      </c>
      <c r="Q3102" s="11" t="s">
        <v>67</v>
      </c>
      <c r="R3102" s="11" t="s">
        <v>67</v>
      </c>
      <c r="S3102" s="11" t="s">
        <v>73</v>
      </c>
      <c r="T3102" s="29">
        <v>45630.4519427662</v>
      </c>
      <c r="U3102" s="29">
        <v>45642.58017365741</v>
      </c>
      <c r="V3102" s="29">
        <v>45644.776405625</v>
      </c>
      <c r="W3102" s="11"/>
      <c r="X3102" s="11"/>
      <c r="Y3102" s="66"/>
      <c r="Z3102" s="31"/>
      <c r="AA3102" s="31" t="s">
        <v>120</v>
      </c>
      <c r="AB3102" s="31" t="s">
        <v>12171</v>
      </c>
      <c r="AC3102" s="31"/>
    </row>
    <row r="3103" ht="18.75" customHeight="1">
      <c r="A3103" s="142" t="s">
        <v>12172</v>
      </c>
      <c r="B3103" s="19" t="s">
        <v>5650</v>
      </c>
      <c r="C3103" s="20">
        <v>0.0</v>
      </c>
      <c r="D3103" s="171" t="s">
        <v>488</v>
      </c>
      <c r="E3103" s="27" t="s">
        <v>165</v>
      </c>
      <c r="F3103" s="18" t="s">
        <v>33</v>
      </c>
      <c r="G3103" s="18" t="s">
        <v>35</v>
      </c>
      <c r="H3103" s="40" t="s">
        <v>35</v>
      </c>
      <c r="I3103" s="37" t="s">
        <v>36</v>
      </c>
      <c r="J3103" s="25" t="s">
        <v>49</v>
      </c>
      <c r="K3103" s="26" t="s">
        <v>38</v>
      </c>
      <c r="L3103" s="25">
        <v>12174.0</v>
      </c>
      <c r="M3103" s="62" t="s">
        <v>50</v>
      </c>
      <c r="N3103" s="42" t="s">
        <v>99</v>
      </c>
      <c r="O3103" s="63">
        <v>45636.57855899306</v>
      </c>
      <c r="P3103" s="26" t="s">
        <v>12173</v>
      </c>
      <c r="Q3103" s="11" t="s">
        <v>67</v>
      </c>
      <c r="R3103" s="11" t="s">
        <v>67</v>
      </c>
      <c r="S3103" s="11" t="s">
        <v>101</v>
      </c>
      <c r="T3103" s="29">
        <v>45630.700675706015</v>
      </c>
      <c r="U3103" s="29">
        <v>45630.72606311343</v>
      </c>
      <c r="V3103" s="29">
        <v>45635.43978166667</v>
      </c>
      <c r="W3103" s="11"/>
      <c r="X3103" s="11"/>
      <c r="Y3103" s="31"/>
      <c r="Z3103" s="31"/>
      <c r="AA3103" s="31" t="s">
        <v>102</v>
      </c>
      <c r="AB3103" s="31" t="s">
        <v>12174</v>
      </c>
      <c r="AC3103" s="31"/>
    </row>
    <row r="3104" ht="18.75" customHeight="1">
      <c r="A3104" s="142" t="s">
        <v>12175</v>
      </c>
      <c r="B3104" s="19" t="s">
        <v>96</v>
      </c>
      <c r="C3104" s="20">
        <v>0.0</v>
      </c>
      <c r="D3104" s="171" t="s">
        <v>12176</v>
      </c>
      <c r="E3104" s="27" t="s">
        <v>165</v>
      </c>
      <c r="F3104" s="18" t="s">
        <v>33</v>
      </c>
      <c r="G3104" s="18" t="s">
        <v>35</v>
      </c>
      <c r="H3104" s="40" t="s">
        <v>35</v>
      </c>
      <c r="I3104" s="37" t="s">
        <v>36</v>
      </c>
      <c r="J3104" s="25" t="s">
        <v>49</v>
      </c>
      <c r="K3104" s="26" t="s">
        <v>38</v>
      </c>
      <c r="L3104" s="25">
        <v>12150.0</v>
      </c>
      <c r="M3104" s="62" t="s">
        <v>50</v>
      </c>
      <c r="N3104" s="42" t="s">
        <v>99</v>
      </c>
      <c r="O3104" s="63">
        <v>45632.59096767361</v>
      </c>
      <c r="P3104" s="26" t="s">
        <v>12177</v>
      </c>
      <c r="Q3104" s="11" t="s">
        <v>67</v>
      </c>
      <c r="R3104" s="11" t="s">
        <v>67</v>
      </c>
      <c r="S3104" s="11" t="s">
        <v>101</v>
      </c>
      <c r="T3104" s="29">
        <v>45630.701422604165</v>
      </c>
      <c r="U3104" s="29">
        <v>45630.726410821764</v>
      </c>
      <c r="V3104" s="29">
        <v>45631.57364298611</v>
      </c>
      <c r="W3104" s="11"/>
      <c r="X3104" s="11"/>
      <c r="Y3104" s="31"/>
      <c r="Z3104" s="31"/>
      <c r="AA3104" s="31" t="s">
        <v>102</v>
      </c>
      <c r="AB3104" s="31" t="s">
        <v>12178</v>
      </c>
      <c r="AC3104" s="31"/>
    </row>
    <row r="3105" ht="18.75" customHeight="1">
      <c r="A3105" s="142" t="s">
        <v>12179</v>
      </c>
      <c r="B3105" s="19" t="s">
        <v>12180</v>
      </c>
      <c r="C3105" s="20">
        <v>34.0</v>
      </c>
      <c r="D3105" s="61" t="s">
        <v>12181</v>
      </c>
      <c r="E3105" s="27" t="s">
        <v>47</v>
      </c>
      <c r="F3105" s="18" t="s">
        <v>48</v>
      </c>
      <c r="G3105" s="18" t="s">
        <v>35</v>
      </c>
      <c r="H3105" s="40" t="s">
        <v>35</v>
      </c>
      <c r="I3105" s="37" t="s">
        <v>36</v>
      </c>
      <c r="J3105" s="25" t="s">
        <v>518</v>
      </c>
      <c r="K3105" s="26" t="s">
        <v>38</v>
      </c>
      <c r="L3105" s="25">
        <v>12133.0</v>
      </c>
      <c r="M3105" s="62" t="s">
        <v>50</v>
      </c>
      <c r="N3105" s="42" t="s">
        <v>4616</v>
      </c>
      <c r="O3105" s="63">
        <v>45632.56517421296</v>
      </c>
      <c r="P3105" s="26" t="s">
        <v>12182</v>
      </c>
      <c r="Q3105" s="11" t="s">
        <v>67</v>
      </c>
      <c r="R3105" s="11" t="s">
        <v>67</v>
      </c>
      <c r="S3105" s="11" t="s">
        <v>50</v>
      </c>
      <c r="T3105" s="29">
        <v>45630.70285920139</v>
      </c>
      <c r="U3105" s="29">
        <v>45631.60124456018</v>
      </c>
      <c r="V3105" s="29">
        <v>45632.35499346065</v>
      </c>
      <c r="W3105" s="11"/>
      <c r="X3105" s="11"/>
      <c r="Y3105" s="31"/>
      <c r="Z3105" s="31"/>
      <c r="AA3105" s="31" t="s">
        <v>108</v>
      </c>
      <c r="AB3105" s="31" t="s">
        <v>12183</v>
      </c>
      <c r="AC3105" s="31"/>
    </row>
    <row r="3106" ht="18.75" customHeight="1">
      <c r="A3106" s="142" t="s">
        <v>12184</v>
      </c>
      <c r="B3106" s="19" t="s">
        <v>4716</v>
      </c>
      <c r="C3106" s="20">
        <v>0.0</v>
      </c>
      <c r="D3106" s="61" t="s">
        <v>12185</v>
      </c>
      <c r="E3106" s="27" t="s">
        <v>4430</v>
      </c>
      <c r="F3106" s="18" t="s">
        <v>48</v>
      </c>
      <c r="G3106" s="18" t="s">
        <v>35</v>
      </c>
      <c r="H3106" s="40" t="s">
        <v>35</v>
      </c>
      <c r="I3106" s="37" t="s">
        <v>36</v>
      </c>
      <c r="J3106" s="25" t="s">
        <v>420</v>
      </c>
      <c r="K3106" s="26" t="s">
        <v>38</v>
      </c>
      <c r="L3106" s="25">
        <v>12144.0</v>
      </c>
      <c r="M3106" s="62" t="s">
        <v>50</v>
      </c>
      <c r="N3106" s="42" t="s">
        <v>4031</v>
      </c>
      <c r="O3106" s="63">
        <v>45632.590771979165</v>
      </c>
      <c r="P3106" s="26" t="s">
        <v>12186</v>
      </c>
      <c r="Q3106" s="11" t="s">
        <v>67</v>
      </c>
      <c r="R3106" s="11" t="s">
        <v>67</v>
      </c>
      <c r="S3106" s="11" t="s">
        <v>50</v>
      </c>
      <c r="T3106" s="29">
        <v>45631.43139459491</v>
      </c>
      <c r="U3106" s="29">
        <v>45631.45245960648</v>
      </c>
      <c r="V3106" s="29">
        <v>45632.43949909722</v>
      </c>
      <c r="W3106" s="11"/>
      <c r="X3106" s="11"/>
      <c r="Y3106" s="31"/>
      <c r="Z3106" s="31"/>
      <c r="AA3106" s="31" t="s">
        <v>120</v>
      </c>
      <c r="AB3106" s="31" t="s">
        <v>12187</v>
      </c>
      <c r="AC3106" s="31"/>
    </row>
    <row r="3107" ht="18.75" customHeight="1">
      <c r="A3107" s="142" t="s">
        <v>12188</v>
      </c>
      <c r="B3107" s="19" t="s">
        <v>1299</v>
      </c>
      <c r="C3107" s="20">
        <v>0.0</v>
      </c>
      <c r="D3107" s="61" t="s">
        <v>710</v>
      </c>
      <c r="E3107" s="27" t="s">
        <v>511</v>
      </c>
      <c r="F3107" s="18" t="s">
        <v>33</v>
      </c>
      <c r="G3107" s="18" t="s">
        <v>35</v>
      </c>
      <c r="H3107" s="40" t="s">
        <v>35</v>
      </c>
      <c r="I3107" s="37" t="s">
        <v>36</v>
      </c>
      <c r="J3107" s="25" t="s">
        <v>92</v>
      </c>
      <c r="K3107" s="26" t="s">
        <v>38</v>
      </c>
      <c r="L3107" s="25">
        <v>12155.0</v>
      </c>
      <c r="M3107" s="62" t="s">
        <v>50</v>
      </c>
      <c r="N3107" s="42" t="s">
        <v>7561</v>
      </c>
      <c r="O3107" s="63">
        <v>45635.41221991898</v>
      </c>
      <c r="P3107" s="26" t="s">
        <v>12189</v>
      </c>
      <c r="Q3107" s="11" t="s">
        <v>67</v>
      </c>
      <c r="R3107" s="11" t="s">
        <v>67</v>
      </c>
      <c r="S3107" s="11" t="s">
        <v>101</v>
      </c>
      <c r="T3107" s="29">
        <v>45631.441178657406</v>
      </c>
      <c r="U3107" s="29">
        <v>45631.45201995371</v>
      </c>
      <c r="V3107" s="29">
        <v>45635.36802354167</v>
      </c>
      <c r="W3107" s="11"/>
      <c r="X3107" s="11"/>
      <c r="Y3107" s="31"/>
      <c r="Z3107" s="31"/>
      <c r="AA3107" s="31" t="s">
        <v>120</v>
      </c>
      <c r="AB3107" s="31" t="s">
        <v>12190</v>
      </c>
      <c r="AC3107" s="31"/>
    </row>
    <row r="3108" ht="18.75" customHeight="1">
      <c r="A3108" s="142" t="s">
        <v>12191</v>
      </c>
      <c r="B3108" s="19" t="s">
        <v>3211</v>
      </c>
      <c r="C3108" s="20">
        <v>90.0</v>
      </c>
      <c r="D3108" s="61" t="s">
        <v>12192</v>
      </c>
      <c r="E3108" s="27" t="s">
        <v>91</v>
      </c>
      <c r="F3108" s="18" t="s">
        <v>48</v>
      </c>
      <c r="G3108" s="18" t="s">
        <v>35</v>
      </c>
      <c r="H3108" s="40" t="s">
        <v>35</v>
      </c>
      <c r="I3108" s="37" t="s">
        <v>36</v>
      </c>
      <c r="J3108" s="25" t="s">
        <v>92</v>
      </c>
      <c r="K3108" s="26" t="s">
        <v>38</v>
      </c>
      <c r="L3108" s="163">
        <v>12312.0</v>
      </c>
      <c r="M3108" s="62" t="s">
        <v>50</v>
      </c>
      <c r="N3108" s="42" t="s">
        <v>7145</v>
      </c>
      <c r="O3108" s="63">
        <v>45691.727877916666</v>
      </c>
      <c r="P3108" s="26" t="s">
        <v>12193</v>
      </c>
      <c r="Q3108" s="11" t="s">
        <v>67</v>
      </c>
      <c r="R3108" s="11" t="s">
        <v>67</v>
      </c>
      <c r="S3108" s="11" t="s">
        <v>9620</v>
      </c>
      <c r="T3108" s="29">
        <v>45631.443812847225</v>
      </c>
      <c r="U3108" s="29">
        <v>45631.4518928125</v>
      </c>
      <c r="V3108" s="29">
        <v>45645.69746457176</v>
      </c>
      <c r="W3108" s="11"/>
      <c r="X3108" s="11"/>
      <c r="Y3108" s="66">
        <v>-12167.0</v>
      </c>
      <c r="Z3108" s="78"/>
      <c r="AA3108" s="31"/>
      <c r="AB3108" s="31" t="s">
        <v>12194</v>
      </c>
      <c r="AC3108" s="31"/>
    </row>
    <row r="3109" ht="18.75" customHeight="1">
      <c r="A3109" s="142" t="s">
        <v>12195</v>
      </c>
      <c r="B3109" s="19" t="s">
        <v>3211</v>
      </c>
      <c r="C3109" s="20">
        <v>90.0</v>
      </c>
      <c r="D3109" s="61" t="s">
        <v>12196</v>
      </c>
      <c r="E3109" s="27" t="s">
        <v>91</v>
      </c>
      <c r="F3109" s="18" t="s">
        <v>48</v>
      </c>
      <c r="G3109" s="18" t="s">
        <v>35</v>
      </c>
      <c r="H3109" s="40" t="s">
        <v>35</v>
      </c>
      <c r="I3109" s="37" t="s">
        <v>36</v>
      </c>
      <c r="J3109" s="25" t="s">
        <v>92</v>
      </c>
      <c r="K3109" s="26" t="s">
        <v>38</v>
      </c>
      <c r="L3109" s="163">
        <v>12313.0</v>
      </c>
      <c r="M3109" s="62" t="s">
        <v>50</v>
      </c>
      <c r="N3109" s="42" t="s">
        <v>7145</v>
      </c>
      <c r="O3109" s="63">
        <v>45691.727944513885</v>
      </c>
      <c r="P3109" s="26" t="s">
        <v>12197</v>
      </c>
      <c r="Q3109" s="11" t="s">
        <v>67</v>
      </c>
      <c r="R3109" s="11" t="s">
        <v>67</v>
      </c>
      <c r="S3109" s="11" t="s">
        <v>73</v>
      </c>
      <c r="T3109" s="29">
        <v>45631.44534372685</v>
      </c>
      <c r="U3109" s="29">
        <v>45631.45166116898</v>
      </c>
      <c r="V3109" s="29">
        <v>45645.79324370371</v>
      </c>
      <c r="W3109" s="11"/>
      <c r="X3109" s="11"/>
      <c r="Y3109" s="66">
        <v>-12168.0</v>
      </c>
      <c r="Z3109" s="31"/>
      <c r="AA3109" s="31"/>
      <c r="AB3109" s="31" t="s">
        <v>12198</v>
      </c>
      <c r="AC3109" s="31"/>
    </row>
    <row r="3110" ht="18.75" customHeight="1">
      <c r="A3110" s="18" t="s">
        <v>12199</v>
      </c>
      <c r="B3110" s="19" t="s">
        <v>746</v>
      </c>
      <c r="C3110" s="20">
        <v>90.0</v>
      </c>
      <c r="D3110" s="61" t="s">
        <v>12200</v>
      </c>
      <c r="E3110" s="27" t="s">
        <v>91</v>
      </c>
      <c r="F3110" s="18" t="s">
        <v>48</v>
      </c>
      <c r="G3110" s="18" t="s">
        <v>35</v>
      </c>
      <c r="H3110" s="40" t="s">
        <v>35</v>
      </c>
      <c r="I3110" s="24" t="s">
        <v>36</v>
      </c>
      <c r="J3110" s="25" t="s">
        <v>65</v>
      </c>
      <c r="K3110" s="26" t="s">
        <v>38</v>
      </c>
      <c r="L3110" s="64" t="s">
        <v>12201</v>
      </c>
      <c r="M3110" s="152" t="str">
        <f t="shared" ref="M3110:M3111" si="19">VLOOKUP(D3110,'Página111'!E:E,1,0)</f>
        <v>#REF!</v>
      </c>
      <c r="N3110" s="42"/>
      <c r="O3110" s="50">
        <v>45646.0</v>
      </c>
      <c r="P3110" s="26" t="s">
        <v>12202</v>
      </c>
      <c r="Q3110" s="11" t="s">
        <v>67</v>
      </c>
      <c r="R3110" s="11" t="s">
        <v>67</v>
      </c>
      <c r="S3110" s="11" t="s">
        <v>73</v>
      </c>
      <c r="T3110" s="29">
        <v>45631.447039872684</v>
      </c>
      <c r="U3110" s="29">
        <v>45631.583058819444</v>
      </c>
      <c r="V3110" s="29">
        <v>45644.776146296295</v>
      </c>
      <c r="W3110" s="11"/>
      <c r="X3110" s="11"/>
      <c r="Y3110" s="66">
        <v>-12169.0</v>
      </c>
      <c r="Z3110" s="31"/>
      <c r="AA3110" s="31" t="s">
        <v>94</v>
      </c>
      <c r="AB3110" s="31" t="s">
        <v>12203</v>
      </c>
      <c r="AC3110" s="31"/>
    </row>
    <row r="3111" ht="18.75" customHeight="1">
      <c r="A3111" s="18" t="s">
        <v>12204</v>
      </c>
      <c r="B3111" s="19" t="s">
        <v>746</v>
      </c>
      <c r="C3111" s="20">
        <v>90.0</v>
      </c>
      <c r="D3111" s="61" t="s">
        <v>12205</v>
      </c>
      <c r="E3111" s="27" t="s">
        <v>91</v>
      </c>
      <c r="F3111" s="18" t="s">
        <v>48</v>
      </c>
      <c r="G3111" s="18" t="s">
        <v>35</v>
      </c>
      <c r="H3111" s="40" t="s">
        <v>35</v>
      </c>
      <c r="I3111" s="24" t="s">
        <v>36</v>
      </c>
      <c r="J3111" s="25" t="s">
        <v>65</v>
      </c>
      <c r="K3111" s="26" t="s">
        <v>38</v>
      </c>
      <c r="L3111" s="64" t="s">
        <v>12201</v>
      </c>
      <c r="M3111" s="152" t="str">
        <f t="shared" si="19"/>
        <v>#REF!</v>
      </c>
      <c r="N3111" s="42"/>
      <c r="O3111" s="50">
        <v>45646.0</v>
      </c>
      <c r="P3111" s="26" t="s">
        <v>12202</v>
      </c>
      <c r="Q3111" s="11" t="s">
        <v>67</v>
      </c>
      <c r="R3111" s="11" t="s">
        <v>67</v>
      </c>
      <c r="S3111" s="11" t="s">
        <v>73</v>
      </c>
      <c r="T3111" s="29">
        <v>45631.447173692126</v>
      </c>
      <c r="U3111" s="29">
        <v>45631.58307032408</v>
      </c>
      <c r="V3111" s="29">
        <v>45644.776160208334</v>
      </c>
      <c r="W3111" s="11"/>
      <c r="X3111" s="11"/>
      <c r="Y3111" s="66">
        <v>-12169.0</v>
      </c>
      <c r="Z3111" s="31"/>
      <c r="AA3111" s="31" t="s">
        <v>94</v>
      </c>
      <c r="AB3111" s="31" t="s">
        <v>12206</v>
      </c>
      <c r="AC3111" s="31"/>
    </row>
    <row r="3112" ht="18.75" customHeight="1">
      <c r="A3112" s="142" t="s">
        <v>12207</v>
      </c>
      <c r="B3112" s="19" t="s">
        <v>12208</v>
      </c>
      <c r="C3112" s="20">
        <v>27.0</v>
      </c>
      <c r="D3112" s="39" t="s">
        <v>12209</v>
      </c>
      <c r="E3112" s="27" t="s">
        <v>72</v>
      </c>
      <c r="F3112" s="18" t="s">
        <v>48</v>
      </c>
      <c r="G3112" s="18" t="s">
        <v>35</v>
      </c>
      <c r="H3112" s="40" t="s">
        <v>35</v>
      </c>
      <c r="I3112" s="37" t="s">
        <v>36</v>
      </c>
      <c r="J3112" s="25" t="s">
        <v>49</v>
      </c>
      <c r="K3112" s="26" t="s">
        <v>38</v>
      </c>
      <c r="L3112" s="25">
        <v>12143.0</v>
      </c>
      <c r="M3112" s="62" t="s">
        <v>50</v>
      </c>
      <c r="N3112" s="42" t="s">
        <v>99</v>
      </c>
      <c r="O3112" s="63">
        <v>45632.5910365625</v>
      </c>
      <c r="P3112" s="26" t="s">
        <v>12210</v>
      </c>
      <c r="Q3112" s="11" t="s">
        <v>67</v>
      </c>
      <c r="R3112" s="11" t="s">
        <v>67</v>
      </c>
      <c r="S3112" s="11" t="s">
        <v>50</v>
      </c>
      <c r="T3112" s="29">
        <v>45631.65620488426</v>
      </c>
      <c r="U3112" s="29">
        <v>45632.37795846065</v>
      </c>
      <c r="V3112" s="29">
        <v>45632.439748715275</v>
      </c>
      <c r="W3112" s="11"/>
      <c r="X3112" s="11"/>
      <c r="Y3112" s="31"/>
      <c r="Z3112" s="31"/>
      <c r="AA3112" s="31" t="s">
        <v>127</v>
      </c>
      <c r="AB3112" s="31" t="s">
        <v>12211</v>
      </c>
      <c r="AC3112" s="31"/>
    </row>
    <row r="3113" ht="18.75" customHeight="1">
      <c r="A3113" s="18" t="s">
        <v>12212</v>
      </c>
      <c r="B3113" s="19" t="s">
        <v>9280</v>
      </c>
      <c r="C3113" s="20">
        <v>90.0</v>
      </c>
      <c r="D3113" s="61" t="s">
        <v>12213</v>
      </c>
      <c r="E3113" s="27" t="s">
        <v>91</v>
      </c>
      <c r="F3113" s="18" t="s">
        <v>48</v>
      </c>
      <c r="G3113" s="18" t="s">
        <v>35</v>
      </c>
      <c r="H3113" s="40" t="s">
        <v>35</v>
      </c>
      <c r="I3113" s="24" t="s">
        <v>36</v>
      </c>
      <c r="J3113" s="25" t="s">
        <v>49</v>
      </c>
      <c r="K3113" s="26" t="s">
        <v>38</v>
      </c>
      <c r="L3113" s="64" t="s">
        <v>2514</v>
      </c>
      <c r="M3113" s="22" t="s">
        <v>50</v>
      </c>
      <c r="N3113" s="65" t="s">
        <v>125</v>
      </c>
      <c r="O3113" s="28">
        <v>45645.73094907407</v>
      </c>
      <c r="P3113" s="26" t="s">
        <v>12214</v>
      </c>
      <c r="Q3113" s="11" t="s">
        <v>67</v>
      </c>
      <c r="R3113" s="11" t="s">
        <v>67</v>
      </c>
      <c r="S3113" s="11" t="s">
        <v>73</v>
      </c>
      <c r="T3113" s="29">
        <v>45631.59258809028</v>
      </c>
      <c r="U3113" s="29">
        <v>45631.624146828704</v>
      </c>
      <c r="V3113" s="29">
        <v>45643.75613648148</v>
      </c>
      <c r="W3113" s="11"/>
      <c r="X3113" s="11"/>
      <c r="Y3113" s="66"/>
      <c r="Z3113" s="31"/>
      <c r="AA3113" s="31" t="s">
        <v>127</v>
      </c>
      <c r="AB3113" s="31" t="s">
        <v>12215</v>
      </c>
      <c r="AC3113" s="31"/>
    </row>
    <row r="3114" ht="18.75" customHeight="1">
      <c r="A3114" s="18" t="s">
        <v>12216</v>
      </c>
      <c r="B3114" s="19" t="s">
        <v>9280</v>
      </c>
      <c r="C3114" s="20">
        <v>90.0</v>
      </c>
      <c r="D3114" s="61" t="s">
        <v>12217</v>
      </c>
      <c r="E3114" s="27" t="s">
        <v>91</v>
      </c>
      <c r="F3114" s="18" t="s">
        <v>48</v>
      </c>
      <c r="G3114" s="18" t="s">
        <v>35</v>
      </c>
      <c r="H3114" s="40" t="s">
        <v>35</v>
      </c>
      <c r="I3114" s="24" t="s">
        <v>36</v>
      </c>
      <c r="J3114" s="25" t="s">
        <v>49</v>
      </c>
      <c r="K3114" s="26" t="s">
        <v>38</v>
      </c>
      <c r="L3114" s="64" t="s">
        <v>2514</v>
      </c>
      <c r="M3114" s="22" t="s">
        <v>50</v>
      </c>
      <c r="N3114" s="65" t="s">
        <v>125</v>
      </c>
      <c r="O3114" s="28">
        <v>45645.73094907407</v>
      </c>
      <c r="P3114" s="26" t="s">
        <v>12214</v>
      </c>
      <c r="Q3114" s="11" t="s">
        <v>67</v>
      </c>
      <c r="R3114" s="11" t="s">
        <v>67</v>
      </c>
      <c r="S3114" s="11" t="s">
        <v>73</v>
      </c>
      <c r="T3114" s="29">
        <v>45631.59276625</v>
      </c>
      <c r="U3114" s="29">
        <v>45631.62416277778</v>
      </c>
      <c r="V3114" s="29">
        <v>45643.756155254625</v>
      </c>
      <c r="W3114" s="11"/>
      <c r="X3114" s="11"/>
      <c r="Y3114" s="66"/>
      <c r="Z3114" s="31"/>
      <c r="AA3114" s="31" t="s">
        <v>127</v>
      </c>
      <c r="AB3114" s="31" t="s">
        <v>12218</v>
      </c>
      <c r="AC3114" s="31"/>
    </row>
    <row r="3115" ht="18.75" customHeight="1">
      <c r="A3115" s="18" t="s">
        <v>12219</v>
      </c>
      <c r="B3115" s="19" t="s">
        <v>9280</v>
      </c>
      <c r="C3115" s="20">
        <v>27.0</v>
      </c>
      <c r="D3115" s="39" t="s">
        <v>12220</v>
      </c>
      <c r="E3115" s="27" t="s">
        <v>72</v>
      </c>
      <c r="F3115" s="18" t="s">
        <v>48</v>
      </c>
      <c r="G3115" s="18" t="s">
        <v>35</v>
      </c>
      <c r="H3115" s="40" t="s">
        <v>35</v>
      </c>
      <c r="I3115" s="37" t="s">
        <v>36</v>
      </c>
      <c r="J3115" s="25" t="s">
        <v>49</v>
      </c>
      <c r="K3115" s="26" t="s">
        <v>38</v>
      </c>
      <c r="L3115" s="25">
        <v>12154.0</v>
      </c>
      <c r="M3115" s="62" t="s">
        <v>50</v>
      </c>
      <c r="N3115" s="42" t="s">
        <v>99</v>
      </c>
      <c r="O3115" s="63">
        <v>45632.59089896991</v>
      </c>
      <c r="P3115" s="26" t="s">
        <v>12214</v>
      </c>
      <c r="Q3115" s="11" t="s">
        <v>67</v>
      </c>
      <c r="R3115" s="11" t="s">
        <v>67</v>
      </c>
      <c r="S3115" s="11" t="s">
        <v>50</v>
      </c>
      <c r="T3115" s="29">
        <v>45631.593074317134</v>
      </c>
      <c r="U3115" s="29">
        <v>45631.62416706019</v>
      </c>
      <c r="V3115" s="29">
        <v>45632.43973644676</v>
      </c>
      <c r="W3115" s="11"/>
      <c r="X3115" s="11"/>
      <c r="Y3115" s="31"/>
      <c r="Z3115" s="31"/>
      <c r="AA3115" s="31" t="s">
        <v>127</v>
      </c>
      <c r="AB3115" s="31" t="s">
        <v>12221</v>
      </c>
      <c r="AC3115" s="31"/>
    </row>
    <row r="3116" ht="18.75" customHeight="1">
      <c r="A3116" s="18" t="s">
        <v>12222</v>
      </c>
      <c r="B3116" s="19" t="s">
        <v>9280</v>
      </c>
      <c r="C3116" s="20">
        <v>11.0</v>
      </c>
      <c r="D3116" s="61" t="s">
        <v>12223</v>
      </c>
      <c r="E3116" s="27" t="s">
        <v>112</v>
      </c>
      <c r="F3116" s="18" t="s">
        <v>48</v>
      </c>
      <c r="G3116" s="18" t="s">
        <v>35</v>
      </c>
      <c r="H3116" s="40" t="s">
        <v>35</v>
      </c>
      <c r="I3116" s="24" t="s">
        <v>36</v>
      </c>
      <c r="J3116" s="25" t="s">
        <v>49</v>
      </c>
      <c r="K3116" s="26" t="s">
        <v>38</v>
      </c>
      <c r="L3116" s="64" t="s">
        <v>2514</v>
      </c>
      <c r="M3116" s="22" t="s">
        <v>50</v>
      </c>
      <c r="N3116" s="65" t="s">
        <v>125</v>
      </c>
      <c r="O3116" s="28">
        <v>45645.73094907407</v>
      </c>
      <c r="P3116" s="26" t="s">
        <v>12214</v>
      </c>
      <c r="Q3116" s="11" t="s">
        <v>67</v>
      </c>
      <c r="R3116" s="11" t="s">
        <v>67</v>
      </c>
      <c r="S3116" s="11" t="s">
        <v>73</v>
      </c>
      <c r="T3116" s="29">
        <v>45631.593238726855</v>
      </c>
      <c r="U3116" s="29">
        <v>45631.62417214121</v>
      </c>
      <c r="V3116" s="29">
        <v>45643.75617071759</v>
      </c>
      <c r="W3116" s="11"/>
      <c r="X3116" s="11"/>
      <c r="Y3116" s="66"/>
      <c r="Z3116" s="31"/>
      <c r="AA3116" s="31" t="s">
        <v>127</v>
      </c>
      <c r="AB3116" s="31" t="s">
        <v>12224</v>
      </c>
      <c r="AC3116" s="31"/>
    </row>
    <row r="3117" ht="18.75" customHeight="1">
      <c r="A3117" s="142" t="s">
        <v>12225</v>
      </c>
      <c r="B3117" s="19" t="s">
        <v>115</v>
      </c>
      <c r="C3117" s="20">
        <v>27.0</v>
      </c>
      <c r="D3117" s="39" t="s">
        <v>12226</v>
      </c>
      <c r="E3117" s="27" t="s">
        <v>72</v>
      </c>
      <c r="F3117" s="18" t="s">
        <v>48</v>
      </c>
      <c r="G3117" s="18" t="s">
        <v>35</v>
      </c>
      <c r="H3117" s="40" t="s">
        <v>35</v>
      </c>
      <c r="I3117" s="37" t="s">
        <v>36</v>
      </c>
      <c r="J3117" s="25" t="s">
        <v>92</v>
      </c>
      <c r="K3117" s="26" t="s">
        <v>38</v>
      </c>
      <c r="L3117" s="25">
        <v>12141.0</v>
      </c>
      <c r="M3117" s="62" t="s">
        <v>50</v>
      </c>
      <c r="N3117" s="42" t="s">
        <v>118</v>
      </c>
      <c r="O3117" s="63">
        <v>45637.6467225463</v>
      </c>
      <c r="P3117" s="26" t="s">
        <v>12227</v>
      </c>
      <c r="Q3117" s="11" t="s">
        <v>67</v>
      </c>
      <c r="R3117" s="11" t="s">
        <v>67</v>
      </c>
      <c r="S3117" s="11" t="s">
        <v>50</v>
      </c>
      <c r="T3117" s="29">
        <v>45632.37139537037</v>
      </c>
      <c r="U3117" s="29">
        <v>45632.42793689815</v>
      </c>
      <c r="V3117" s="29">
        <v>45632.43975961806</v>
      </c>
      <c r="W3117" s="11"/>
      <c r="X3117" s="11"/>
      <c r="Y3117" s="31"/>
      <c r="Z3117" s="31"/>
      <c r="AA3117" s="31" t="s">
        <v>120</v>
      </c>
      <c r="AB3117" s="31" t="s">
        <v>12228</v>
      </c>
      <c r="AC3117" s="31"/>
    </row>
    <row r="3118" ht="18.75" customHeight="1">
      <c r="A3118" s="142" t="s">
        <v>12229</v>
      </c>
      <c r="B3118" s="19" t="s">
        <v>12230</v>
      </c>
      <c r="C3118" s="20">
        <v>0.0</v>
      </c>
      <c r="D3118" s="61" t="s">
        <v>12231</v>
      </c>
      <c r="E3118" s="27" t="s">
        <v>4430</v>
      </c>
      <c r="F3118" s="18" t="s">
        <v>48</v>
      </c>
      <c r="G3118" s="18" t="s">
        <v>35</v>
      </c>
      <c r="H3118" s="40" t="s">
        <v>35</v>
      </c>
      <c r="I3118" s="37" t="s">
        <v>36</v>
      </c>
      <c r="J3118" s="25" t="s">
        <v>65</v>
      </c>
      <c r="K3118" s="26" t="s">
        <v>38</v>
      </c>
      <c r="L3118" s="25">
        <v>12209.0</v>
      </c>
      <c r="M3118" s="62" t="s">
        <v>50</v>
      </c>
      <c r="N3118" s="42" t="s">
        <v>149</v>
      </c>
      <c r="O3118" s="63">
        <v>45639.63748387732</v>
      </c>
      <c r="P3118" s="26" t="s">
        <v>12232</v>
      </c>
      <c r="Q3118" s="11" t="s">
        <v>67</v>
      </c>
      <c r="R3118" s="11" t="s">
        <v>67</v>
      </c>
      <c r="S3118" s="11" t="s">
        <v>50</v>
      </c>
      <c r="T3118" s="29">
        <v>45632.3772365162</v>
      </c>
      <c r="U3118" s="29">
        <v>45639.430731203705</v>
      </c>
      <c r="V3118" s="29">
        <v>45639.49913085648</v>
      </c>
      <c r="W3118" s="11"/>
      <c r="X3118" s="11"/>
      <c r="Y3118" s="31"/>
      <c r="Z3118" s="31"/>
      <c r="AA3118" s="31" t="s">
        <v>120</v>
      </c>
      <c r="AB3118" s="31" t="s">
        <v>12233</v>
      </c>
      <c r="AC3118" s="31"/>
    </row>
    <row r="3119" ht="18.75" customHeight="1">
      <c r="A3119" s="142" t="s">
        <v>12234</v>
      </c>
      <c r="B3119" s="19" t="s">
        <v>5432</v>
      </c>
      <c r="C3119" s="20">
        <v>0.0</v>
      </c>
      <c r="D3119" s="61" t="s">
        <v>12235</v>
      </c>
      <c r="E3119" s="22" t="s">
        <v>882</v>
      </c>
      <c r="F3119" s="18" t="s">
        <v>33</v>
      </c>
      <c r="G3119" s="18" t="s">
        <v>35</v>
      </c>
      <c r="H3119" s="40" t="s">
        <v>35</v>
      </c>
      <c r="I3119" s="37" t="s">
        <v>36</v>
      </c>
      <c r="J3119" s="25" t="s">
        <v>49</v>
      </c>
      <c r="K3119" s="26" t="s">
        <v>38</v>
      </c>
      <c r="L3119" s="25">
        <v>12196.0</v>
      </c>
      <c r="M3119" s="62" t="s">
        <v>50</v>
      </c>
      <c r="N3119" s="42" t="s">
        <v>99</v>
      </c>
      <c r="O3119" s="63">
        <v>45638.67236130787</v>
      </c>
      <c r="P3119" s="26" t="s">
        <v>12236</v>
      </c>
      <c r="Q3119" s="11" t="s">
        <v>67</v>
      </c>
      <c r="R3119" s="11" t="s">
        <v>67</v>
      </c>
      <c r="S3119" s="11" t="s">
        <v>50</v>
      </c>
      <c r="T3119" s="29">
        <v>45632.48277405092</v>
      </c>
      <c r="U3119" s="29">
        <v>45632.48997393518</v>
      </c>
      <c r="V3119" s="29">
        <v>45638.426539085645</v>
      </c>
      <c r="W3119" s="11"/>
      <c r="X3119" s="11"/>
      <c r="Y3119" s="31"/>
      <c r="Z3119" s="31"/>
      <c r="AA3119" s="31" t="s">
        <v>127</v>
      </c>
      <c r="AB3119" s="31" t="s">
        <v>12237</v>
      </c>
      <c r="AC3119" s="31"/>
    </row>
    <row r="3120" ht="18.75" customHeight="1">
      <c r="A3120" s="142" t="s">
        <v>12238</v>
      </c>
      <c r="B3120" s="19" t="s">
        <v>10666</v>
      </c>
      <c r="C3120" s="20">
        <v>90.0</v>
      </c>
      <c r="D3120" s="61" t="s">
        <v>12239</v>
      </c>
      <c r="E3120" s="27" t="s">
        <v>91</v>
      </c>
      <c r="F3120" s="18" t="s">
        <v>48</v>
      </c>
      <c r="G3120" s="18" t="s">
        <v>35</v>
      </c>
      <c r="H3120" s="40" t="s">
        <v>35</v>
      </c>
      <c r="I3120" s="24" t="s">
        <v>36</v>
      </c>
      <c r="J3120" s="25" t="s">
        <v>65</v>
      </c>
      <c r="K3120" s="26" t="s">
        <v>38</v>
      </c>
      <c r="L3120" s="64" t="s">
        <v>12240</v>
      </c>
      <c r="M3120" s="152" t="str">
        <f>VLOOKUP(D3120,'Página111'!E:E,1,0)</f>
        <v>#REF!</v>
      </c>
      <c r="N3120" s="42"/>
      <c r="O3120" s="50">
        <v>45646.0</v>
      </c>
      <c r="P3120" s="26" t="s">
        <v>12241</v>
      </c>
      <c r="Q3120" s="11" t="s">
        <v>67</v>
      </c>
      <c r="R3120" s="11" t="s">
        <v>67</v>
      </c>
      <c r="S3120" s="11" t="s">
        <v>73</v>
      </c>
      <c r="T3120" s="29">
        <v>45632.39438333333</v>
      </c>
      <c r="U3120" s="29">
        <v>45632.428168715276</v>
      </c>
      <c r="V3120" s="29">
        <v>45644.7761712037</v>
      </c>
      <c r="W3120" s="11"/>
      <c r="X3120" s="11"/>
      <c r="Y3120" s="66">
        <v>-12177.0</v>
      </c>
      <c r="Z3120" s="31"/>
      <c r="AA3120" s="31" t="s">
        <v>3059</v>
      </c>
      <c r="AB3120" s="31" t="s">
        <v>12242</v>
      </c>
      <c r="AC3120" s="31"/>
    </row>
    <row r="3121" ht="18.75" customHeight="1">
      <c r="A3121" s="142" t="s">
        <v>12243</v>
      </c>
      <c r="B3121" s="19" t="s">
        <v>7703</v>
      </c>
      <c r="C3121" s="20">
        <v>27.0</v>
      </c>
      <c r="D3121" s="39" t="s">
        <v>12244</v>
      </c>
      <c r="E3121" s="27" t="s">
        <v>72</v>
      </c>
      <c r="F3121" s="18" t="s">
        <v>48</v>
      </c>
      <c r="G3121" s="18" t="s">
        <v>35</v>
      </c>
      <c r="H3121" s="40" t="s">
        <v>35</v>
      </c>
      <c r="I3121" s="37" t="s">
        <v>36</v>
      </c>
      <c r="J3121" s="25" t="s">
        <v>65</v>
      </c>
      <c r="K3121" s="26" t="s">
        <v>38</v>
      </c>
      <c r="L3121" s="25">
        <v>12156.0</v>
      </c>
      <c r="M3121" s="62" t="s">
        <v>50</v>
      </c>
      <c r="N3121" s="42" t="s">
        <v>149</v>
      </c>
      <c r="O3121" s="63">
        <v>45635.6292140625</v>
      </c>
      <c r="P3121" s="26" t="s">
        <v>12245</v>
      </c>
      <c r="Q3121" s="11" t="s">
        <v>67</v>
      </c>
      <c r="R3121" s="11" t="s">
        <v>67</v>
      </c>
      <c r="S3121" s="11" t="s">
        <v>50</v>
      </c>
      <c r="T3121" s="29">
        <v>45632.397990046295</v>
      </c>
      <c r="U3121" s="29">
        <v>45632.45606193287</v>
      </c>
      <c r="V3121" s="29">
        <v>45635.46325371528</v>
      </c>
      <c r="W3121" s="11"/>
      <c r="X3121" s="11"/>
      <c r="Y3121" s="31"/>
      <c r="Z3121" s="31"/>
      <c r="AA3121" s="31" t="s">
        <v>3059</v>
      </c>
      <c r="AB3121" s="31" t="s">
        <v>12246</v>
      </c>
      <c r="AC3121" s="31"/>
    </row>
    <row r="3122" ht="18.75" customHeight="1">
      <c r="A3122" s="142" t="s">
        <v>12247</v>
      </c>
      <c r="B3122" s="19" t="s">
        <v>802</v>
      </c>
      <c r="C3122" s="20">
        <v>34.0</v>
      </c>
      <c r="D3122" s="61" t="s">
        <v>12248</v>
      </c>
      <c r="E3122" s="27" t="s">
        <v>47</v>
      </c>
      <c r="F3122" s="18" t="s">
        <v>48</v>
      </c>
      <c r="G3122" s="18" t="s">
        <v>35</v>
      </c>
      <c r="H3122" s="40" t="s">
        <v>35</v>
      </c>
      <c r="I3122" s="37" t="s">
        <v>36</v>
      </c>
      <c r="J3122" s="25" t="s">
        <v>49</v>
      </c>
      <c r="K3122" s="26" t="s">
        <v>805</v>
      </c>
      <c r="L3122" s="72">
        <v>12216.0</v>
      </c>
      <c r="M3122" s="62" t="s">
        <v>50</v>
      </c>
      <c r="N3122" s="42" t="s">
        <v>143</v>
      </c>
      <c r="O3122" s="63">
        <v>45642.62070697917</v>
      </c>
      <c r="P3122" s="26" t="s">
        <v>12249</v>
      </c>
      <c r="Q3122" s="11" t="s">
        <v>67</v>
      </c>
      <c r="R3122" s="11" t="s">
        <v>67</v>
      </c>
      <c r="S3122" s="11" t="s">
        <v>50</v>
      </c>
      <c r="T3122" s="29">
        <v>45632.67136075231</v>
      </c>
      <c r="U3122" s="29">
        <v>45636.67805459491</v>
      </c>
      <c r="V3122" s="29">
        <v>45642.55857712963</v>
      </c>
      <c r="W3122" s="11"/>
      <c r="X3122" s="11"/>
      <c r="Y3122" s="45"/>
      <c r="Z3122" s="45"/>
      <c r="AA3122" s="31" t="s">
        <v>3385</v>
      </c>
      <c r="AB3122" s="45" t="s">
        <v>12250</v>
      </c>
      <c r="AC3122" s="45"/>
    </row>
    <row r="3123" ht="18.75" customHeight="1">
      <c r="A3123" s="142" t="s">
        <v>12251</v>
      </c>
      <c r="B3123" s="19" t="s">
        <v>12057</v>
      </c>
      <c r="C3123" s="20">
        <v>27.0</v>
      </c>
      <c r="D3123" s="39" t="s">
        <v>12252</v>
      </c>
      <c r="E3123" s="27" t="s">
        <v>72</v>
      </c>
      <c r="F3123" s="18" t="s">
        <v>48</v>
      </c>
      <c r="G3123" s="18" t="s">
        <v>35</v>
      </c>
      <c r="H3123" s="40" t="s">
        <v>35</v>
      </c>
      <c r="I3123" s="37" t="s">
        <v>36</v>
      </c>
      <c r="J3123" s="25" t="s">
        <v>65</v>
      </c>
      <c r="K3123" s="26" t="s">
        <v>38</v>
      </c>
      <c r="L3123" s="25">
        <v>12157.0</v>
      </c>
      <c r="M3123" s="62" t="s">
        <v>50</v>
      </c>
      <c r="N3123" s="42" t="s">
        <v>149</v>
      </c>
      <c r="O3123" s="63">
        <v>45635.62939512731</v>
      </c>
      <c r="P3123" s="26" t="s">
        <v>12253</v>
      </c>
      <c r="Q3123" s="11" t="s">
        <v>67</v>
      </c>
      <c r="R3123" s="11" t="s">
        <v>67</v>
      </c>
      <c r="S3123" s="11" t="s">
        <v>50</v>
      </c>
      <c r="T3123" s="29">
        <v>45632.67460185185</v>
      </c>
      <c r="U3123" s="29">
        <v>45635.41801196759</v>
      </c>
      <c r="V3123" s="29">
        <v>45635.463264328704</v>
      </c>
      <c r="W3123" s="11"/>
      <c r="X3123" s="11"/>
      <c r="Y3123" s="45"/>
      <c r="Z3123" s="45"/>
      <c r="AA3123" s="31" t="s">
        <v>94</v>
      </c>
      <c r="AB3123" s="45" t="s">
        <v>12254</v>
      </c>
      <c r="AC3123" s="45"/>
    </row>
    <row r="3124" ht="18.75" customHeight="1">
      <c r="A3124" s="142" t="s">
        <v>12255</v>
      </c>
      <c r="B3124" s="19" t="s">
        <v>11639</v>
      </c>
      <c r="C3124" s="20">
        <v>27.0</v>
      </c>
      <c r="D3124" s="39" t="s">
        <v>12256</v>
      </c>
      <c r="E3124" s="27" t="s">
        <v>72</v>
      </c>
      <c r="F3124" s="18" t="s">
        <v>48</v>
      </c>
      <c r="G3124" s="18" t="s">
        <v>35</v>
      </c>
      <c r="H3124" s="40" t="s">
        <v>35</v>
      </c>
      <c r="I3124" s="37" t="s">
        <v>36</v>
      </c>
      <c r="J3124" s="25" t="s">
        <v>65</v>
      </c>
      <c r="K3124" s="26" t="s">
        <v>38</v>
      </c>
      <c r="L3124" s="25">
        <v>12158.0</v>
      </c>
      <c r="M3124" s="62" t="s">
        <v>50</v>
      </c>
      <c r="N3124" s="42" t="s">
        <v>149</v>
      </c>
      <c r="O3124" s="63">
        <v>45635.629328020834</v>
      </c>
      <c r="P3124" s="26" t="s">
        <v>12257</v>
      </c>
      <c r="Q3124" s="11" t="s">
        <v>67</v>
      </c>
      <c r="R3124" s="11" t="s">
        <v>67</v>
      </c>
      <c r="S3124" s="11" t="s">
        <v>50</v>
      </c>
      <c r="T3124" s="29">
        <v>45632.6459058912</v>
      </c>
      <c r="U3124" s="29">
        <v>45635.41927846065</v>
      </c>
      <c r="V3124" s="29">
        <v>45635.46327910879</v>
      </c>
      <c r="W3124" s="11"/>
      <c r="X3124" s="11"/>
      <c r="Y3124" s="45"/>
      <c r="Z3124" s="45"/>
      <c r="AA3124" s="31" t="s">
        <v>94</v>
      </c>
      <c r="AB3124" s="45" t="s">
        <v>12258</v>
      </c>
      <c r="AC3124" s="45"/>
    </row>
    <row r="3125" ht="18.75" customHeight="1">
      <c r="A3125" s="142" t="s">
        <v>12259</v>
      </c>
      <c r="B3125" s="19" t="s">
        <v>122</v>
      </c>
      <c r="C3125" s="20">
        <v>11.0</v>
      </c>
      <c r="D3125" s="61" t="s">
        <v>12260</v>
      </c>
      <c r="E3125" s="27" t="s">
        <v>112</v>
      </c>
      <c r="F3125" s="18" t="s">
        <v>48</v>
      </c>
      <c r="G3125" s="18" t="s">
        <v>35</v>
      </c>
      <c r="H3125" s="40" t="s">
        <v>35</v>
      </c>
      <c r="I3125" s="24" t="s">
        <v>36</v>
      </c>
      <c r="J3125" s="25" t="s">
        <v>49</v>
      </c>
      <c r="K3125" s="26" t="s">
        <v>38</v>
      </c>
      <c r="L3125" s="64" t="s">
        <v>2791</v>
      </c>
      <c r="M3125" s="22" t="s">
        <v>50</v>
      </c>
      <c r="N3125" s="65" t="s">
        <v>125</v>
      </c>
      <c r="O3125" s="28">
        <v>45645.73094907407</v>
      </c>
      <c r="P3125" s="26" t="s">
        <v>12261</v>
      </c>
      <c r="Q3125" s="11" t="s">
        <v>67</v>
      </c>
      <c r="R3125" s="11" t="s">
        <v>67</v>
      </c>
      <c r="S3125" s="11" t="s">
        <v>73</v>
      </c>
      <c r="T3125" s="29">
        <v>45632.690322361115</v>
      </c>
      <c r="U3125" s="29">
        <v>45632.69425638889</v>
      </c>
      <c r="V3125" s="29">
        <v>45643.75618344908</v>
      </c>
      <c r="W3125" s="11"/>
      <c r="X3125" s="11"/>
      <c r="Y3125" s="66"/>
      <c r="Z3125" s="45"/>
      <c r="AA3125" s="31" t="s">
        <v>127</v>
      </c>
      <c r="AB3125" s="45" t="s">
        <v>12262</v>
      </c>
      <c r="AC3125" s="45"/>
    </row>
    <row r="3126" ht="18.75" customHeight="1">
      <c r="A3126" s="142" t="s">
        <v>12263</v>
      </c>
      <c r="B3126" s="19" t="s">
        <v>9801</v>
      </c>
      <c r="C3126" s="20">
        <v>1.0</v>
      </c>
      <c r="D3126" s="61" t="s">
        <v>12264</v>
      </c>
      <c r="E3126" s="27" t="s">
        <v>3395</v>
      </c>
      <c r="F3126" s="18" t="s">
        <v>48</v>
      </c>
      <c r="G3126" s="18" t="s">
        <v>35</v>
      </c>
      <c r="H3126" s="40" t="s">
        <v>35</v>
      </c>
      <c r="I3126" s="24" t="s">
        <v>36</v>
      </c>
      <c r="J3126" s="25" t="s">
        <v>65</v>
      </c>
      <c r="K3126" s="26" t="s">
        <v>38</v>
      </c>
      <c r="L3126" s="64" t="s">
        <v>12265</v>
      </c>
      <c r="M3126" s="152" t="str">
        <f>VLOOKUP(D3126,'Página111'!E:E,1,0)</f>
        <v>#REF!</v>
      </c>
      <c r="N3126" s="42"/>
      <c r="O3126" s="50">
        <v>45646.0</v>
      </c>
      <c r="P3126" s="26" t="s">
        <v>12266</v>
      </c>
      <c r="Q3126" s="11" t="s">
        <v>67</v>
      </c>
      <c r="R3126" s="11" t="s">
        <v>67</v>
      </c>
      <c r="S3126" s="11" t="s">
        <v>73</v>
      </c>
      <c r="T3126" s="29">
        <v>45635.70020028936</v>
      </c>
      <c r="U3126" s="29">
        <v>45636.36353141203</v>
      </c>
      <c r="V3126" s="29">
        <v>45644.776220196756</v>
      </c>
      <c r="W3126" s="11"/>
      <c r="X3126" s="11"/>
      <c r="Y3126" s="66"/>
      <c r="Z3126" s="45"/>
      <c r="AA3126" s="31" t="s">
        <v>94</v>
      </c>
      <c r="AB3126" s="45" t="s">
        <v>12267</v>
      </c>
      <c r="AC3126" s="45"/>
    </row>
    <row r="3127" ht="18.75" customHeight="1">
      <c r="A3127" s="142" t="s">
        <v>12268</v>
      </c>
      <c r="B3127" s="19" t="s">
        <v>4126</v>
      </c>
      <c r="C3127" s="20">
        <v>1.0</v>
      </c>
      <c r="D3127" s="70" t="s">
        <v>12269</v>
      </c>
      <c r="E3127" s="27" t="s">
        <v>3395</v>
      </c>
      <c r="F3127" s="18" t="s">
        <v>48</v>
      </c>
      <c r="G3127" s="18" t="s">
        <v>35</v>
      </c>
      <c r="H3127" s="40" t="s">
        <v>35</v>
      </c>
      <c r="I3127" s="24" t="s">
        <v>36</v>
      </c>
      <c r="J3127" s="25" t="s">
        <v>65</v>
      </c>
      <c r="K3127" s="26" t="s">
        <v>38</v>
      </c>
      <c r="L3127" s="34">
        <v>12176.0</v>
      </c>
      <c r="M3127" s="152" t="s">
        <v>1703</v>
      </c>
      <c r="N3127" s="152" t="s">
        <v>12077</v>
      </c>
      <c r="O3127" s="50">
        <v>45636.35734488426</v>
      </c>
      <c r="P3127" s="26" t="s">
        <v>12270</v>
      </c>
      <c r="Q3127" s="11" t="s">
        <v>67</v>
      </c>
      <c r="R3127" s="11" t="s">
        <v>67</v>
      </c>
      <c r="S3127" s="69">
        <v>45636.35711672454</v>
      </c>
      <c r="T3127" s="29">
        <v>45635.71947895833</v>
      </c>
      <c r="U3127" s="52">
        <v>45636.35715413194</v>
      </c>
      <c r="V3127" s="52">
        <v>45636.35717636574</v>
      </c>
      <c r="W3127" s="11"/>
      <c r="X3127" s="11"/>
      <c r="Y3127" s="45"/>
      <c r="Z3127" s="45"/>
      <c r="AA3127" s="31" t="s">
        <v>94</v>
      </c>
      <c r="AB3127" s="45" t="s">
        <v>12271</v>
      </c>
      <c r="AC3127" s="45"/>
    </row>
    <row r="3128" ht="18.75" customHeight="1">
      <c r="A3128" s="32" t="s">
        <v>12272</v>
      </c>
      <c r="B3128" s="19" t="s">
        <v>115</v>
      </c>
      <c r="C3128" s="20">
        <v>11.0</v>
      </c>
      <c r="D3128" s="61" t="s">
        <v>12273</v>
      </c>
      <c r="E3128" s="27" t="s">
        <v>112</v>
      </c>
      <c r="F3128" s="18" t="s">
        <v>48</v>
      </c>
      <c r="G3128" s="18" t="s">
        <v>35</v>
      </c>
      <c r="H3128" s="40" t="s">
        <v>35</v>
      </c>
      <c r="I3128" s="37" t="s">
        <v>36</v>
      </c>
      <c r="J3128" s="25" t="s">
        <v>92</v>
      </c>
      <c r="K3128" s="26" t="s">
        <v>38</v>
      </c>
      <c r="L3128" s="163">
        <v>12324.0</v>
      </c>
      <c r="M3128" s="62" t="s">
        <v>50</v>
      </c>
      <c r="N3128" s="42" t="s">
        <v>118</v>
      </c>
      <c r="O3128" s="63">
        <v>45649.61377773148</v>
      </c>
      <c r="P3128" s="26" t="s">
        <v>12274</v>
      </c>
      <c r="Q3128" s="11" t="s">
        <v>67</v>
      </c>
      <c r="R3128" s="11" t="s">
        <v>67</v>
      </c>
      <c r="S3128" s="11" t="s">
        <v>9620</v>
      </c>
      <c r="T3128" s="29">
        <v>45635.72185903935</v>
      </c>
      <c r="U3128" s="29">
        <v>45636.36438554398</v>
      </c>
      <c r="V3128" s="29">
        <v>45645.69859929398</v>
      </c>
      <c r="W3128" s="11"/>
      <c r="X3128" s="11"/>
      <c r="Y3128" s="66"/>
      <c r="Z3128" s="78"/>
      <c r="AA3128" s="31" t="s">
        <v>120</v>
      </c>
      <c r="AB3128" s="45" t="s">
        <v>12275</v>
      </c>
      <c r="AC3128" s="45"/>
    </row>
    <row r="3129" ht="18.75" customHeight="1">
      <c r="A3129" s="32" t="s">
        <v>12276</v>
      </c>
      <c r="B3129" s="19" t="s">
        <v>115</v>
      </c>
      <c r="C3129" s="20">
        <v>11.0</v>
      </c>
      <c r="D3129" s="61" t="s">
        <v>12277</v>
      </c>
      <c r="E3129" s="27" t="s">
        <v>112</v>
      </c>
      <c r="F3129" s="18" t="s">
        <v>48</v>
      </c>
      <c r="G3129" s="18" t="s">
        <v>35</v>
      </c>
      <c r="H3129" s="40" t="s">
        <v>35</v>
      </c>
      <c r="I3129" s="37" t="s">
        <v>36</v>
      </c>
      <c r="J3129" s="25" t="s">
        <v>92</v>
      </c>
      <c r="K3129" s="26" t="s">
        <v>38</v>
      </c>
      <c r="L3129" s="163">
        <v>12324.0</v>
      </c>
      <c r="M3129" s="62" t="s">
        <v>50</v>
      </c>
      <c r="N3129" s="42" t="s">
        <v>118</v>
      </c>
      <c r="O3129" s="63">
        <v>45649.613690300925</v>
      </c>
      <c r="P3129" s="26" t="s">
        <v>12274</v>
      </c>
      <c r="Q3129" s="11" t="s">
        <v>67</v>
      </c>
      <c r="R3129" s="11" t="s">
        <v>67</v>
      </c>
      <c r="S3129" s="11" t="s">
        <v>73</v>
      </c>
      <c r="T3129" s="29">
        <v>45635.72236298611</v>
      </c>
      <c r="U3129" s="29">
        <v>45636.36434184028</v>
      </c>
      <c r="V3129" s="29">
        <v>45645.79325163194</v>
      </c>
      <c r="W3129" s="11"/>
      <c r="X3129" s="11"/>
      <c r="Y3129" s="66"/>
      <c r="Z3129" s="45"/>
      <c r="AA3129" s="31" t="s">
        <v>120</v>
      </c>
      <c r="AB3129" s="45" t="s">
        <v>12278</v>
      </c>
      <c r="AC3129" s="45"/>
    </row>
    <row r="3130" ht="18.75" customHeight="1">
      <c r="A3130" s="142" t="s">
        <v>12279</v>
      </c>
      <c r="B3130" s="19" t="s">
        <v>3289</v>
      </c>
      <c r="C3130" s="20">
        <v>90.0</v>
      </c>
      <c r="D3130" s="61" t="s">
        <v>12280</v>
      </c>
      <c r="E3130" s="27" t="s">
        <v>91</v>
      </c>
      <c r="F3130" s="18" t="s">
        <v>48</v>
      </c>
      <c r="G3130" s="18" t="s">
        <v>35</v>
      </c>
      <c r="H3130" s="40" t="s">
        <v>35</v>
      </c>
      <c r="I3130" s="37" t="s">
        <v>36</v>
      </c>
      <c r="J3130" s="25" t="s">
        <v>92</v>
      </c>
      <c r="K3130" s="26" t="s">
        <v>38</v>
      </c>
      <c r="L3130" s="163">
        <v>12314.0</v>
      </c>
      <c r="M3130" s="62" t="s">
        <v>50</v>
      </c>
      <c r="N3130" s="42" t="s">
        <v>4362</v>
      </c>
      <c r="O3130" s="63">
        <v>45664.41787280093</v>
      </c>
      <c r="P3130" s="26" t="s">
        <v>12281</v>
      </c>
      <c r="Q3130" s="11" t="s">
        <v>67</v>
      </c>
      <c r="R3130" s="11" t="s">
        <v>67</v>
      </c>
      <c r="S3130" s="11" t="s">
        <v>9620</v>
      </c>
      <c r="T3130" s="29">
        <v>45635.70713081019</v>
      </c>
      <c r="U3130" s="29">
        <v>45636.36457310185</v>
      </c>
      <c r="V3130" s="29">
        <v>45645.69802054398</v>
      </c>
      <c r="W3130" s="11"/>
      <c r="X3130" s="11"/>
      <c r="Y3130" s="66"/>
      <c r="Z3130" s="78"/>
      <c r="AA3130" s="31" t="s">
        <v>120</v>
      </c>
      <c r="AB3130" s="45" t="s">
        <v>12282</v>
      </c>
      <c r="AC3130" s="45"/>
    </row>
    <row r="3131" ht="18.75" customHeight="1">
      <c r="A3131" s="142" t="s">
        <v>12283</v>
      </c>
      <c r="B3131" s="19" t="s">
        <v>3289</v>
      </c>
      <c r="C3131" s="20">
        <v>27.0</v>
      </c>
      <c r="D3131" s="39" t="s">
        <v>12284</v>
      </c>
      <c r="E3131" s="27" t="s">
        <v>72</v>
      </c>
      <c r="F3131" s="18" t="s">
        <v>48</v>
      </c>
      <c r="G3131" s="18" t="s">
        <v>35</v>
      </c>
      <c r="H3131" s="40" t="s">
        <v>35</v>
      </c>
      <c r="I3131" s="37" t="s">
        <v>36</v>
      </c>
      <c r="J3131" s="25" t="s">
        <v>92</v>
      </c>
      <c r="K3131" s="26" t="s">
        <v>38</v>
      </c>
      <c r="L3131" s="25">
        <v>12186.0</v>
      </c>
      <c r="M3131" s="62" t="s">
        <v>50</v>
      </c>
      <c r="N3131" s="42" t="s">
        <v>4362</v>
      </c>
      <c r="O3131" s="63">
        <v>45637.718288055556</v>
      </c>
      <c r="P3131" s="26" t="s">
        <v>12285</v>
      </c>
      <c r="Q3131" s="11" t="s">
        <v>67</v>
      </c>
      <c r="R3131" s="11" t="s">
        <v>67</v>
      </c>
      <c r="S3131" s="11" t="s">
        <v>50</v>
      </c>
      <c r="T3131" s="29">
        <v>45635.708280729166</v>
      </c>
      <c r="U3131" s="29">
        <v>45636.36399453704</v>
      </c>
      <c r="V3131" s="29">
        <v>45636.464438599534</v>
      </c>
      <c r="W3131" s="11"/>
      <c r="X3131" s="11"/>
      <c r="Y3131" s="45"/>
      <c r="Z3131" s="45"/>
      <c r="AA3131" s="31" t="s">
        <v>120</v>
      </c>
      <c r="AB3131" s="45" t="s">
        <v>12286</v>
      </c>
      <c r="AC3131" s="45"/>
    </row>
    <row r="3132" ht="18.75" customHeight="1">
      <c r="A3132" s="142" t="s">
        <v>12287</v>
      </c>
      <c r="B3132" s="19" t="s">
        <v>9801</v>
      </c>
      <c r="C3132" s="20">
        <v>1.0</v>
      </c>
      <c r="D3132" s="61" t="s">
        <v>12288</v>
      </c>
      <c r="E3132" s="27" t="s">
        <v>3395</v>
      </c>
      <c r="F3132" s="18" t="s">
        <v>48</v>
      </c>
      <c r="G3132" s="18" t="s">
        <v>35</v>
      </c>
      <c r="H3132" s="40" t="s">
        <v>35</v>
      </c>
      <c r="I3132" s="24" t="s">
        <v>36</v>
      </c>
      <c r="J3132" s="25" t="s">
        <v>65</v>
      </c>
      <c r="K3132" s="26" t="s">
        <v>38</v>
      </c>
      <c r="L3132" s="64" t="s">
        <v>12289</v>
      </c>
      <c r="M3132" s="152" t="str">
        <f>VLOOKUP(D3132,'Página111'!E:E,1,0)</f>
        <v>#REF!</v>
      </c>
      <c r="N3132" s="42"/>
      <c r="O3132" s="50">
        <v>45646.0</v>
      </c>
      <c r="P3132" s="26" t="s">
        <v>12290</v>
      </c>
      <c r="Q3132" s="11" t="s">
        <v>67</v>
      </c>
      <c r="R3132" s="11" t="s">
        <v>67</v>
      </c>
      <c r="S3132" s="11" t="s">
        <v>73</v>
      </c>
      <c r="T3132" s="29">
        <v>45635.70464041666</v>
      </c>
      <c r="U3132" s="29">
        <v>45636.36329987268</v>
      </c>
      <c r="V3132" s="29">
        <v>45644.776207048606</v>
      </c>
      <c r="W3132" s="11"/>
      <c r="X3132" s="11"/>
      <c r="Y3132" s="66"/>
      <c r="Z3132" s="45"/>
      <c r="AA3132" s="31" t="s">
        <v>94</v>
      </c>
      <c r="AB3132" s="45" t="s">
        <v>12291</v>
      </c>
      <c r="AC3132" s="45"/>
    </row>
    <row r="3133" ht="18.75" customHeight="1">
      <c r="A3133" s="18" t="s">
        <v>12292</v>
      </c>
      <c r="B3133" s="19" t="s">
        <v>12293</v>
      </c>
      <c r="C3133" s="20">
        <v>27.0</v>
      </c>
      <c r="D3133" s="39" t="s">
        <v>12294</v>
      </c>
      <c r="E3133" s="27" t="s">
        <v>72</v>
      </c>
      <c r="F3133" s="18" t="s">
        <v>48</v>
      </c>
      <c r="G3133" s="18" t="s">
        <v>35</v>
      </c>
      <c r="H3133" s="40" t="s">
        <v>35</v>
      </c>
      <c r="I3133" s="37" t="s">
        <v>36</v>
      </c>
      <c r="J3133" s="25" t="s">
        <v>65</v>
      </c>
      <c r="K3133" s="26" t="s">
        <v>38</v>
      </c>
      <c r="L3133" s="25">
        <v>12203.0</v>
      </c>
      <c r="M3133" s="62" t="s">
        <v>50</v>
      </c>
      <c r="N3133" s="42" t="s">
        <v>149</v>
      </c>
      <c r="O3133" s="63">
        <v>45638.62647903935</v>
      </c>
      <c r="P3133" s="26" t="s">
        <v>12295</v>
      </c>
      <c r="Q3133" s="11" t="s">
        <v>67</v>
      </c>
      <c r="R3133" s="11" t="s">
        <v>67</v>
      </c>
      <c r="S3133" s="11" t="s">
        <v>50</v>
      </c>
      <c r="T3133" s="29">
        <v>45635.66905539352</v>
      </c>
      <c r="U3133" s="29">
        <v>45637.460536238425</v>
      </c>
      <c r="V3133" s="29">
        <v>45638.57569070601</v>
      </c>
      <c r="W3133" s="11"/>
      <c r="X3133" s="11"/>
      <c r="Y3133" s="45"/>
      <c r="Z3133" s="45"/>
      <c r="AA3133" s="31" t="s">
        <v>3059</v>
      </c>
      <c r="AB3133" s="45" t="s">
        <v>12296</v>
      </c>
      <c r="AC3133" s="45"/>
    </row>
    <row r="3134" ht="18.75" customHeight="1">
      <c r="A3134" s="18" t="s">
        <v>12297</v>
      </c>
      <c r="B3134" s="19" t="s">
        <v>12293</v>
      </c>
      <c r="C3134" s="20">
        <v>27.0</v>
      </c>
      <c r="D3134" s="39" t="s">
        <v>12298</v>
      </c>
      <c r="E3134" s="27" t="s">
        <v>72</v>
      </c>
      <c r="F3134" s="18" t="s">
        <v>48</v>
      </c>
      <c r="G3134" s="18" t="s">
        <v>35</v>
      </c>
      <c r="H3134" s="40" t="s">
        <v>35</v>
      </c>
      <c r="I3134" s="37" t="s">
        <v>36</v>
      </c>
      <c r="J3134" s="25" t="s">
        <v>65</v>
      </c>
      <c r="K3134" s="26" t="s">
        <v>38</v>
      </c>
      <c r="L3134" s="25">
        <v>12203.0</v>
      </c>
      <c r="M3134" s="62" t="s">
        <v>50</v>
      </c>
      <c r="N3134" s="42" t="s">
        <v>149</v>
      </c>
      <c r="O3134" s="63">
        <v>45638.62640887732</v>
      </c>
      <c r="P3134" s="26" t="s">
        <v>12295</v>
      </c>
      <c r="Q3134" s="11" t="s">
        <v>67</v>
      </c>
      <c r="R3134" s="11" t="s">
        <v>67</v>
      </c>
      <c r="S3134" s="11" t="s">
        <v>50</v>
      </c>
      <c r="T3134" s="29">
        <v>45635.66917653935</v>
      </c>
      <c r="U3134" s="29">
        <v>45637.460550937496</v>
      </c>
      <c r="V3134" s="29">
        <v>45638.57079729167</v>
      </c>
      <c r="W3134" s="11"/>
      <c r="X3134" s="11"/>
      <c r="Y3134" s="45"/>
      <c r="Z3134" s="45"/>
      <c r="AA3134" s="31" t="s">
        <v>3059</v>
      </c>
      <c r="AB3134" s="45" t="s">
        <v>12299</v>
      </c>
      <c r="AC3134" s="45"/>
    </row>
    <row r="3135" ht="18.75" customHeight="1">
      <c r="A3135" s="142" t="s">
        <v>12300</v>
      </c>
      <c r="B3135" s="19" t="s">
        <v>8893</v>
      </c>
      <c r="C3135" s="20">
        <v>27.0</v>
      </c>
      <c r="D3135" s="39" t="s">
        <v>12301</v>
      </c>
      <c r="E3135" s="27" t="s">
        <v>72</v>
      </c>
      <c r="F3135" s="18" t="s">
        <v>48</v>
      </c>
      <c r="G3135" s="18" t="s">
        <v>35</v>
      </c>
      <c r="H3135" s="40" t="s">
        <v>35</v>
      </c>
      <c r="I3135" s="37" t="s">
        <v>36</v>
      </c>
      <c r="J3135" s="25" t="s">
        <v>49</v>
      </c>
      <c r="K3135" s="26" t="s">
        <v>38</v>
      </c>
      <c r="L3135" s="25">
        <v>12191.0</v>
      </c>
      <c r="M3135" s="62" t="s">
        <v>50</v>
      </c>
      <c r="N3135" s="42" t="s">
        <v>106</v>
      </c>
      <c r="O3135" s="63">
        <v>45637.62636212963</v>
      </c>
      <c r="P3135" s="26" t="s">
        <v>12302</v>
      </c>
      <c r="Q3135" s="11" t="s">
        <v>67</v>
      </c>
      <c r="R3135" s="11" t="s">
        <v>67</v>
      </c>
      <c r="S3135" s="11" t="s">
        <v>50</v>
      </c>
      <c r="T3135" s="29">
        <v>45635.688263993055</v>
      </c>
      <c r="U3135" s="29">
        <v>45635.696781817125</v>
      </c>
      <c r="V3135" s="29">
        <v>45636.587373449074</v>
      </c>
      <c r="W3135" s="11"/>
      <c r="X3135" s="11"/>
      <c r="Y3135" s="45"/>
      <c r="Z3135" s="45"/>
      <c r="AA3135" s="31" t="s">
        <v>5199</v>
      </c>
      <c r="AB3135" s="45" t="s">
        <v>12303</v>
      </c>
      <c r="AC3135" s="45"/>
    </row>
    <row r="3136" ht="18.75" customHeight="1">
      <c r="A3136" s="142" t="s">
        <v>12304</v>
      </c>
      <c r="B3136" s="19" t="s">
        <v>2877</v>
      </c>
      <c r="C3136" s="20">
        <v>0.0</v>
      </c>
      <c r="D3136" s="61" t="s">
        <v>12305</v>
      </c>
      <c r="E3136" s="22" t="s">
        <v>882</v>
      </c>
      <c r="F3136" s="18" t="s">
        <v>33</v>
      </c>
      <c r="G3136" s="18" t="s">
        <v>35</v>
      </c>
      <c r="H3136" s="40" t="s">
        <v>35</v>
      </c>
      <c r="I3136" s="37" t="s">
        <v>36</v>
      </c>
      <c r="J3136" s="25" t="s">
        <v>49</v>
      </c>
      <c r="K3136" s="26" t="s">
        <v>447</v>
      </c>
      <c r="L3136" s="25">
        <v>12210.0</v>
      </c>
      <c r="M3136" s="62" t="s">
        <v>50</v>
      </c>
      <c r="N3136" s="42" t="s">
        <v>143</v>
      </c>
      <c r="O3136" s="63">
        <v>45642.62063114584</v>
      </c>
      <c r="P3136" s="26" t="s">
        <v>12306</v>
      </c>
      <c r="Q3136" s="11" t="s">
        <v>67</v>
      </c>
      <c r="R3136" s="11" t="s">
        <v>67</v>
      </c>
      <c r="S3136" s="11" t="s">
        <v>101</v>
      </c>
      <c r="T3136" s="29">
        <v>45636.429470821764</v>
      </c>
      <c r="U3136" s="29">
        <v>45636.63141138889</v>
      </c>
      <c r="V3136" s="29">
        <v>45639.57939267361</v>
      </c>
      <c r="W3136" s="11"/>
      <c r="X3136" s="11"/>
      <c r="Y3136" s="45"/>
      <c r="Z3136" s="45"/>
      <c r="AA3136" s="31" t="s">
        <v>108</v>
      </c>
      <c r="AB3136" s="45" t="s">
        <v>12307</v>
      </c>
      <c r="AC3136" s="45"/>
    </row>
    <row r="3137" ht="18.75" customHeight="1">
      <c r="A3137" s="142" t="s">
        <v>12308</v>
      </c>
      <c r="B3137" s="19" t="s">
        <v>4313</v>
      </c>
      <c r="C3137" s="20">
        <v>0.0</v>
      </c>
      <c r="D3137" s="61" t="s">
        <v>12309</v>
      </c>
      <c r="E3137" s="27" t="s">
        <v>3441</v>
      </c>
      <c r="F3137" s="18" t="s">
        <v>48</v>
      </c>
      <c r="G3137" s="18" t="s">
        <v>35</v>
      </c>
      <c r="H3137" s="40" t="s">
        <v>35</v>
      </c>
      <c r="I3137" s="37" t="s">
        <v>36</v>
      </c>
      <c r="J3137" s="25" t="s">
        <v>92</v>
      </c>
      <c r="K3137" s="26" t="s">
        <v>38</v>
      </c>
      <c r="L3137" s="163">
        <v>12315.0</v>
      </c>
      <c r="M3137" s="62" t="s">
        <v>50</v>
      </c>
      <c r="N3137" s="42" t="s">
        <v>7077</v>
      </c>
      <c r="O3137" s="63">
        <v>45664.64583333333</v>
      </c>
      <c r="P3137" s="26" t="s">
        <v>12310</v>
      </c>
      <c r="Q3137" s="11" t="s">
        <v>67</v>
      </c>
      <c r="R3137" s="11" t="s">
        <v>75</v>
      </c>
      <c r="S3137" s="11" t="s">
        <v>9620</v>
      </c>
      <c r="T3137" s="29">
        <v>45636.6385946875</v>
      </c>
      <c r="U3137" s="29">
        <v>45644.47759525463</v>
      </c>
      <c r="V3137" s="29">
        <v>45645.700359282404</v>
      </c>
      <c r="W3137" s="11"/>
      <c r="X3137" s="11"/>
      <c r="Y3137" s="66"/>
      <c r="Z3137" s="78"/>
      <c r="AA3137" s="31" t="s">
        <v>120</v>
      </c>
      <c r="AB3137" s="45" t="s">
        <v>12311</v>
      </c>
      <c r="AC3137" s="45"/>
    </row>
    <row r="3138" ht="18.75" customHeight="1">
      <c r="A3138" s="142" t="s">
        <v>12312</v>
      </c>
      <c r="B3138" s="19" t="s">
        <v>12313</v>
      </c>
      <c r="C3138" s="20">
        <v>137.0</v>
      </c>
      <c r="D3138" s="61" t="s">
        <v>12314</v>
      </c>
      <c r="E3138" s="27" t="s">
        <v>85</v>
      </c>
      <c r="F3138" s="18" t="s">
        <v>48</v>
      </c>
      <c r="G3138" s="18" t="s">
        <v>35</v>
      </c>
      <c r="H3138" s="40" t="s">
        <v>35</v>
      </c>
      <c r="I3138" s="24" t="s">
        <v>36</v>
      </c>
      <c r="J3138" s="25" t="s">
        <v>65</v>
      </c>
      <c r="K3138" s="26" t="s">
        <v>38</v>
      </c>
      <c r="L3138" s="25">
        <v>12326.0</v>
      </c>
      <c r="M3138" s="152" t="str">
        <f t="shared" ref="M3138:M3139" si="20">VLOOKUP(D3138,'Página111'!E:E,1,0)</f>
        <v>#REF!</v>
      </c>
      <c r="N3138" s="42"/>
      <c r="O3138" s="50">
        <v>45646.0</v>
      </c>
      <c r="P3138" s="26" t="s">
        <v>12315</v>
      </c>
      <c r="Q3138" s="11" t="s">
        <v>67</v>
      </c>
      <c r="R3138" s="11" t="s">
        <v>67</v>
      </c>
      <c r="S3138" s="11" t="s">
        <v>73</v>
      </c>
      <c r="T3138" s="29">
        <v>45636.65031106482</v>
      </c>
      <c r="U3138" s="29">
        <v>45645.69032596065</v>
      </c>
      <c r="V3138" s="52">
        <v>45645.87195886574</v>
      </c>
      <c r="W3138" s="11"/>
      <c r="X3138" s="11"/>
      <c r="Y3138" s="45"/>
      <c r="Z3138" s="45"/>
      <c r="AA3138" s="31" t="s">
        <v>3059</v>
      </c>
      <c r="AB3138" s="45" t="s">
        <v>12316</v>
      </c>
      <c r="AC3138" s="45"/>
    </row>
    <row r="3139" ht="18.75" customHeight="1">
      <c r="A3139" s="142" t="s">
        <v>12317</v>
      </c>
      <c r="B3139" s="19" t="s">
        <v>147</v>
      </c>
      <c r="C3139" s="20">
        <v>90.0</v>
      </c>
      <c r="D3139" s="61" t="s">
        <v>12318</v>
      </c>
      <c r="E3139" s="27" t="s">
        <v>91</v>
      </c>
      <c r="F3139" s="18" t="s">
        <v>48</v>
      </c>
      <c r="G3139" s="18" t="s">
        <v>35</v>
      </c>
      <c r="H3139" s="40" t="s">
        <v>35</v>
      </c>
      <c r="I3139" s="24" t="s">
        <v>36</v>
      </c>
      <c r="J3139" s="25" t="s">
        <v>65</v>
      </c>
      <c r="K3139" s="26" t="s">
        <v>38</v>
      </c>
      <c r="L3139" s="64" t="s">
        <v>12319</v>
      </c>
      <c r="M3139" s="152" t="str">
        <f t="shared" si="20"/>
        <v>#REF!</v>
      </c>
      <c r="N3139" s="42"/>
      <c r="O3139" s="50">
        <v>45646.0</v>
      </c>
      <c r="P3139" s="26" t="s">
        <v>12320</v>
      </c>
      <c r="Q3139" s="11" t="s">
        <v>67</v>
      </c>
      <c r="R3139" s="11" t="s">
        <v>67</v>
      </c>
      <c r="S3139" s="11" t="s">
        <v>73</v>
      </c>
      <c r="T3139" s="29">
        <v>45636.65229039352</v>
      </c>
      <c r="U3139" s="29">
        <v>45637.48748380787</v>
      </c>
      <c r="V3139" s="29">
        <v>45644.77624440972</v>
      </c>
      <c r="W3139" s="11"/>
      <c r="X3139" s="11"/>
      <c r="Y3139" s="66"/>
      <c r="Z3139" s="45"/>
      <c r="AA3139" s="31"/>
      <c r="AB3139" s="45" t="s">
        <v>12321</v>
      </c>
      <c r="AC3139" s="45"/>
    </row>
    <row r="3140" ht="18.75" customHeight="1">
      <c r="A3140" s="142" t="s">
        <v>12322</v>
      </c>
      <c r="B3140" s="19" t="s">
        <v>4090</v>
      </c>
      <c r="C3140" s="20">
        <v>0.0</v>
      </c>
      <c r="D3140" s="61" t="s">
        <v>885</v>
      </c>
      <c r="E3140" s="27" t="s">
        <v>251</v>
      </c>
      <c r="F3140" s="18" t="s">
        <v>33</v>
      </c>
      <c r="G3140" s="18" t="s">
        <v>34</v>
      </c>
      <c r="H3140" s="40" t="s">
        <v>35</v>
      </c>
      <c r="I3140" s="37" t="s">
        <v>36</v>
      </c>
      <c r="J3140" s="25" t="s">
        <v>49</v>
      </c>
      <c r="K3140" s="26" t="s">
        <v>38</v>
      </c>
      <c r="L3140" s="25">
        <v>12211.0</v>
      </c>
      <c r="M3140" s="62" t="s">
        <v>50</v>
      </c>
      <c r="N3140" s="42" t="s">
        <v>143</v>
      </c>
      <c r="O3140" s="63">
        <v>45642.620567094906</v>
      </c>
      <c r="P3140" s="26" t="s">
        <v>12323</v>
      </c>
      <c r="Q3140" s="11" t="s">
        <v>67</v>
      </c>
      <c r="R3140" s="11" t="s">
        <v>67</v>
      </c>
      <c r="S3140" s="11" t="s">
        <v>101</v>
      </c>
      <c r="T3140" s="29">
        <v>45636.65489921297</v>
      </c>
      <c r="U3140" s="29">
        <v>45637.397258576384</v>
      </c>
      <c r="V3140" s="29">
        <v>45642.329240439816</v>
      </c>
      <c r="W3140" s="11"/>
      <c r="X3140" s="11"/>
      <c r="Y3140" s="45"/>
      <c r="Z3140" s="45"/>
      <c r="AA3140" s="31" t="s">
        <v>127</v>
      </c>
      <c r="AB3140" s="45" t="s">
        <v>12324</v>
      </c>
      <c r="AC3140" s="45"/>
    </row>
    <row r="3141" ht="18.75" customHeight="1">
      <c r="A3141" s="32" t="s">
        <v>12325</v>
      </c>
      <c r="B3141" s="19" t="s">
        <v>1299</v>
      </c>
      <c r="C3141" s="20">
        <v>11.0</v>
      </c>
      <c r="D3141" s="61" t="s">
        <v>12326</v>
      </c>
      <c r="E3141" s="27" t="s">
        <v>112</v>
      </c>
      <c r="F3141" s="18" t="s">
        <v>48</v>
      </c>
      <c r="G3141" s="18" t="s">
        <v>35</v>
      </c>
      <c r="H3141" s="40" t="s">
        <v>35</v>
      </c>
      <c r="I3141" s="24" t="s">
        <v>36</v>
      </c>
      <c r="J3141" s="25" t="s">
        <v>92</v>
      </c>
      <c r="K3141" s="26" t="s">
        <v>38</v>
      </c>
      <c r="L3141" s="163">
        <v>12316.0</v>
      </c>
      <c r="M3141" s="152" t="s">
        <v>50</v>
      </c>
      <c r="N3141" s="42"/>
      <c r="O3141" s="50">
        <v>45646.0</v>
      </c>
      <c r="P3141" s="26" t="s">
        <v>12327</v>
      </c>
      <c r="Q3141" s="11" t="s">
        <v>75</v>
      </c>
      <c r="R3141" s="11" t="s">
        <v>67</v>
      </c>
      <c r="S3141" s="11" t="s">
        <v>9620</v>
      </c>
      <c r="T3141" s="29">
        <v>45637.40483339121</v>
      </c>
      <c r="U3141" s="29">
        <v>45637.417263738425</v>
      </c>
      <c r="V3141" s="29">
        <v>45645.69885460648</v>
      </c>
      <c r="W3141" s="11"/>
      <c r="X3141" s="11"/>
      <c r="Y3141" s="66"/>
      <c r="Z3141" s="78"/>
      <c r="AA3141" s="31" t="s">
        <v>120</v>
      </c>
      <c r="AB3141" s="45" t="s">
        <v>12328</v>
      </c>
      <c r="AC3141" s="45"/>
    </row>
    <row r="3142" ht="18.75" customHeight="1">
      <c r="A3142" s="32" t="s">
        <v>12329</v>
      </c>
      <c r="B3142" s="19" t="s">
        <v>1299</v>
      </c>
      <c r="C3142" s="20">
        <v>11.0</v>
      </c>
      <c r="D3142" s="61" t="s">
        <v>12330</v>
      </c>
      <c r="E3142" s="27" t="s">
        <v>112</v>
      </c>
      <c r="F3142" s="18" t="s">
        <v>48</v>
      </c>
      <c r="G3142" s="18" t="s">
        <v>35</v>
      </c>
      <c r="H3142" s="40" t="s">
        <v>35</v>
      </c>
      <c r="I3142" s="24" t="s">
        <v>36</v>
      </c>
      <c r="J3142" s="25" t="s">
        <v>92</v>
      </c>
      <c r="K3142" s="26" t="s">
        <v>38</v>
      </c>
      <c r="L3142" s="163">
        <v>12316.0</v>
      </c>
      <c r="M3142" s="152" t="s">
        <v>50</v>
      </c>
      <c r="N3142" s="42"/>
      <c r="O3142" s="50">
        <v>45646.0</v>
      </c>
      <c r="P3142" s="26" t="s">
        <v>12327</v>
      </c>
      <c r="Q3142" s="11" t="s">
        <v>75</v>
      </c>
      <c r="R3142" s="11" t="s">
        <v>67</v>
      </c>
      <c r="S3142" s="11" t="s">
        <v>9620</v>
      </c>
      <c r="T3142" s="29">
        <v>45637.40528011574</v>
      </c>
      <c r="U3142" s="29">
        <v>45637.41727128472</v>
      </c>
      <c r="V3142" s="29">
        <v>45645.698972743055</v>
      </c>
      <c r="W3142" s="11"/>
      <c r="X3142" s="11"/>
      <c r="Y3142" s="66"/>
      <c r="Z3142" s="78"/>
      <c r="AA3142" s="31" t="s">
        <v>120</v>
      </c>
      <c r="AB3142" s="45" t="s">
        <v>12331</v>
      </c>
      <c r="AC3142" s="45"/>
    </row>
    <row r="3143" ht="18.75" customHeight="1">
      <c r="A3143" s="32" t="s">
        <v>12332</v>
      </c>
      <c r="B3143" s="19" t="s">
        <v>1299</v>
      </c>
      <c r="C3143" s="20">
        <v>11.0</v>
      </c>
      <c r="D3143" s="61" t="s">
        <v>12333</v>
      </c>
      <c r="E3143" s="27" t="s">
        <v>112</v>
      </c>
      <c r="F3143" s="18" t="s">
        <v>48</v>
      </c>
      <c r="G3143" s="18" t="s">
        <v>35</v>
      </c>
      <c r="H3143" s="40" t="s">
        <v>35</v>
      </c>
      <c r="I3143" s="24" t="s">
        <v>36</v>
      </c>
      <c r="J3143" s="25" t="s">
        <v>92</v>
      </c>
      <c r="K3143" s="26" t="s">
        <v>38</v>
      </c>
      <c r="L3143" s="163">
        <v>12316.0</v>
      </c>
      <c r="M3143" s="152" t="s">
        <v>50</v>
      </c>
      <c r="N3143" s="42"/>
      <c r="O3143" s="50">
        <v>45646.0</v>
      </c>
      <c r="P3143" s="26" t="s">
        <v>12327</v>
      </c>
      <c r="Q3143" s="11" t="s">
        <v>75</v>
      </c>
      <c r="R3143" s="11" t="s">
        <v>67</v>
      </c>
      <c r="S3143" s="11" t="s">
        <v>9620</v>
      </c>
      <c r="T3143" s="29">
        <v>45637.40536733797</v>
      </c>
      <c r="U3143" s="29">
        <v>45637.417166203704</v>
      </c>
      <c r="V3143" s="29">
        <v>45645.69876313658</v>
      </c>
      <c r="W3143" s="11"/>
      <c r="X3143" s="11"/>
      <c r="Y3143" s="66"/>
      <c r="Z3143" s="78"/>
      <c r="AA3143" s="31" t="s">
        <v>120</v>
      </c>
      <c r="AB3143" s="45" t="s">
        <v>12334</v>
      </c>
      <c r="AC3143" s="45"/>
    </row>
    <row r="3144" ht="18.75" customHeight="1">
      <c r="A3144" s="142" t="s">
        <v>12335</v>
      </c>
      <c r="B3144" s="19" t="s">
        <v>115</v>
      </c>
      <c r="C3144" s="20">
        <v>0.0</v>
      </c>
      <c r="D3144" s="61" t="s">
        <v>12336</v>
      </c>
      <c r="E3144" s="27" t="s">
        <v>3441</v>
      </c>
      <c r="F3144" s="18" t="s">
        <v>48</v>
      </c>
      <c r="G3144" s="18" t="s">
        <v>35</v>
      </c>
      <c r="H3144" s="40" t="s">
        <v>35</v>
      </c>
      <c r="I3144" s="37" t="s">
        <v>36</v>
      </c>
      <c r="J3144" s="25" t="s">
        <v>92</v>
      </c>
      <c r="K3144" s="26" t="s">
        <v>38</v>
      </c>
      <c r="L3144" s="163">
        <v>12325.0</v>
      </c>
      <c r="M3144" s="62" t="s">
        <v>50</v>
      </c>
      <c r="N3144" s="42" t="s">
        <v>10176</v>
      </c>
      <c r="O3144" s="63">
        <v>45677.632638888885</v>
      </c>
      <c r="P3144" s="26" t="s">
        <v>12337</v>
      </c>
      <c r="Q3144" s="11" t="s">
        <v>67</v>
      </c>
      <c r="R3144" s="11" t="s">
        <v>67</v>
      </c>
      <c r="S3144" s="11" t="s">
        <v>9620</v>
      </c>
      <c r="T3144" s="29">
        <v>45637.597390069444</v>
      </c>
      <c r="U3144" s="29">
        <v>45638.356187314814</v>
      </c>
      <c r="V3144" s="29">
        <v>45645.70051246528</v>
      </c>
      <c r="W3144" s="11"/>
      <c r="X3144" s="11"/>
      <c r="Y3144" s="66"/>
      <c r="Z3144" s="78"/>
      <c r="AA3144" s="31" t="s">
        <v>120</v>
      </c>
      <c r="AB3144" s="45" t="s">
        <v>12338</v>
      </c>
      <c r="AC3144" s="45"/>
    </row>
    <row r="3145" ht="18.75" customHeight="1">
      <c r="A3145" s="142" t="s">
        <v>12339</v>
      </c>
      <c r="B3145" s="19" t="s">
        <v>8878</v>
      </c>
      <c r="C3145" s="20">
        <v>1.0</v>
      </c>
      <c r="D3145" s="171" t="s">
        <v>12340</v>
      </c>
      <c r="E3145" s="27" t="s">
        <v>155</v>
      </c>
      <c r="F3145" s="18" t="s">
        <v>48</v>
      </c>
      <c r="G3145" s="18" t="s">
        <v>35</v>
      </c>
      <c r="H3145" s="40" t="s">
        <v>35</v>
      </c>
      <c r="I3145" s="37" t="s">
        <v>36</v>
      </c>
      <c r="J3145" s="25" t="s">
        <v>420</v>
      </c>
      <c r="K3145" s="26" t="s">
        <v>38</v>
      </c>
      <c r="L3145" s="25">
        <v>12386.0</v>
      </c>
      <c r="M3145" s="62" t="s">
        <v>50</v>
      </c>
      <c r="N3145" s="42" t="s">
        <v>4031</v>
      </c>
      <c r="O3145" s="63">
        <v>45663.628321550925</v>
      </c>
      <c r="P3145" s="26" t="s">
        <v>12341</v>
      </c>
      <c r="Q3145" s="11" t="s">
        <v>75</v>
      </c>
      <c r="R3145" s="11" t="s">
        <v>67</v>
      </c>
      <c r="S3145" s="11"/>
      <c r="T3145" s="29">
        <v>45637.586903125004</v>
      </c>
      <c r="U3145" s="29">
        <v>45638.35595585648</v>
      </c>
      <c r="V3145" s="29"/>
      <c r="W3145" s="11"/>
      <c r="X3145" s="11"/>
      <c r="Y3145" s="45"/>
      <c r="Z3145" s="45"/>
      <c r="AA3145" s="31" t="s">
        <v>120</v>
      </c>
      <c r="AB3145" s="45" t="s">
        <v>12342</v>
      </c>
      <c r="AC3145" s="45"/>
    </row>
    <row r="3146" ht="18.75" customHeight="1">
      <c r="A3146" s="142" t="s">
        <v>12343</v>
      </c>
      <c r="B3146" s="19" t="s">
        <v>12344</v>
      </c>
      <c r="C3146" s="20">
        <v>0.0</v>
      </c>
      <c r="D3146" s="61" t="s">
        <v>12345</v>
      </c>
      <c r="E3146" s="27" t="s">
        <v>117</v>
      </c>
      <c r="F3146" s="18" t="s">
        <v>33</v>
      </c>
      <c r="G3146" s="18" t="s">
        <v>35</v>
      </c>
      <c r="H3146" s="40" t="s">
        <v>35</v>
      </c>
      <c r="I3146" s="37" t="s">
        <v>36</v>
      </c>
      <c r="J3146" s="25" t="s">
        <v>65</v>
      </c>
      <c r="K3146" s="26" t="s">
        <v>38</v>
      </c>
      <c r="L3146" s="25">
        <v>12477.0</v>
      </c>
      <c r="M3146" s="62" t="s">
        <v>50</v>
      </c>
      <c r="N3146" s="42" t="s">
        <v>80</v>
      </c>
      <c r="O3146" s="63">
        <v>45679.73541666666</v>
      </c>
      <c r="P3146" s="26" t="s">
        <v>12346</v>
      </c>
      <c r="Q3146" s="11" t="s">
        <v>75</v>
      </c>
      <c r="R3146" s="11" t="s">
        <v>75</v>
      </c>
      <c r="S3146" s="11" t="s">
        <v>101</v>
      </c>
      <c r="T3146" s="29">
        <v>45637.59119907407</v>
      </c>
      <c r="U3146" s="29">
        <v>45664.70858827546</v>
      </c>
      <c r="V3146" s="29">
        <v>45679.3447865625</v>
      </c>
      <c r="W3146" s="11"/>
      <c r="X3146" s="11"/>
      <c r="Y3146" s="45"/>
      <c r="Z3146" s="45"/>
      <c r="AA3146" s="31" t="s">
        <v>94</v>
      </c>
      <c r="AB3146" s="45" t="s">
        <v>12347</v>
      </c>
      <c r="AC3146" s="45"/>
    </row>
    <row r="3147" ht="18.75" customHeight="1">
      <c r="A3147" s="142" t="s">
        <v>12348</v>
      </c>
      <c r="B3147" s="19" t="s">
        <v>3636</v>
      </c>
      <c r="C3147" s="20">
        <v>1.0</v>
      </c>
      <c r="D3147" s="61" t="s">
        <v>12349</v>
      </c>
      <c r="E3147" s="27" t="s">
        <v>3395</v>
      </c>
      <c r="F3147" s="18" t="s">
        <v>48</v>
      </c>
      <c r="G3147" s="18" t="s">
        <v>35</v>
      </c>
      <c r="H3147" s="40" t="s">
        <v>35</v>
      </c>
      <c r="I3147" s="24" t="s">
        <v>36</v>
      </c>
      <c r="J3147" s="25" t="s">
        <v>49</v>
      </c>
      <c r="K3147" s="26" t="s">
        <v>7356</v>
      </c>
      <c r="L3147" s="64" t="s">
        <v>2806</v>
      </c>
      <c r="M3147" s="22" t="s">
        <v>50</v>
      </c>
      <c r="N3147" s="65" t="s">
        <v>125</v>
      </c>
      <c r="O3147" s="28">
        <v>45645.73094907407</v>
      </c>
      <c r="P3147" s="26" t="s">
        <v>12350</v>
      </c>
      <c r="Q3147" s="11" t="s">
        <v>75</v>
      </c>
      <c r="R3147" s="11" t="s">
        <v>67</v>
      </c>
      <c r="S3147" s="11" t="s">
        <v>73</v>
      </c>
      <c r="T3147" s="29">
        <v>45637.59547082176</v>
      </c>
      <c r="U3147" s="29">
        <v>45638.376789525464</v>
      </c>
      <c r="V3147" s="29">
        <v>45643.75623172453</v>
      </c>
      <c r="W3147" s="11"/>
      <c r="X3147" s="11"/>
      <c r="Y3147" s="66"/>
      <c r="Z3147" s="45"/>
      <c r="AA3147" s="31" t="s">
        <v>127</v>
      </c>
      <c r="AB3147" s="45" t="s">
        <v>12351</v>
      </c>
      <c r="AC3147" s="45"/>
    </row>
    <row r="3148" ht="18.75" customHeight="1">
      <c r="A3148" s="142" t="s">
        <v>12352</v>
      </c>
      <c r="B3148" s="19" t="s">
        <v>5277</v>
      </c>
      <c r="C3148" s="20">
        <v>0.0</v>
      </c>
      <c r="D3148" s="61" t="s">
        <v>12353</v>
      </c>
      <c r="E3148" s="27" t="s">
        <v>701</v>
      </c>
      <c r="F3148" s="18" t="s">
        <v>33</v>
      </c>
      <c r="G3148" s="18" t="s">
        <v>34</v>
      </c>
      <c r="H3148" s="40" t="s">
        <v>35</v>
      </c>
      <c r="I3148" s="37" t="s">
        <v>36</v>
      </c>
      <c r="J3148" s="25" t="s">
        <v>65</v>
      </c>
      <c r="K3148" s="26" t="s">
        <v>38</v>
      </c>
      <c r="L3148" s="25">
        <v>12207.0</v>
      </c>
      <c r="M3148" s="62" t="s">
        <v>50</v>
      </c>
      <c r="N3148" s="42" t="s">
        <v>149</v>
      </c>
      <c r="O3148" s="63">
        <v>45639.637549074076</v>
      </c>
      <c r="P3148" s="26" t="s">
        <v>12354</v>
      </c>
      <c r="Q3148" s="11" t="s">
        <v>67</v>
      </c>
      <c r="R3148" s="11" t="s">
        <v>67</v>
      </c>
      <c r="S3148" s="11" t="s">
        <v>101</v>
      </c>
      <c r="T3148" s="29">
        <v>45637.619054675924</v>
      </c>
      <c r="U3148" s="29">
        <v>45637.669276307875</v>
      </c>
      <c r="V3148" s="29">
        <v>45639.384532118056</v>
      </c>
      <c r="W3148" s="11"/>
      <c r="X3148" s="11"/>
      <c r="Y3148" s="45"/>
      <c r="Z3148" s="45"/>
      <c r="AA3148" s="31" t="s">
        <v>94</v>
      </c>
      <c r="AB3148" s="45" t="s">
        <v>12355</v>
      </c>
      <c r="AC3148" s="45"/>
    </row>
    <row r="3149" ht="18.75" customHeight="1">
      <c r="A3149" s="142" t="s">
        <v>12356</v>
      </c>
      <c r="B3149" s="19" t="s">
        <v>4313</v>
      </c>
      <c r="C3149" s="20">
        <v>27.0</v>
      </c>
      <c r="D3149" s="39" t="s">
        <v>12357</v>
      </c>
      <c r="E3149" s="27" t="s">
        <v>72</v>
      </c>
      <c r="F3149" s="18" t="s">
        <v>48</v>
      </c>
      <c r="G3149" s="18" t="s">
        <v>35</v>
      </c>
      <c r="H3149" s="40" t="s">
        <v>35</v>
      </c>
      <c r="I3149" s="37" t="s">
        <v>36</v>
      </c>
      <c r="J3149" s="25" t="s">
        <v>92</v>
      </c>
      <c r="K3149" s="26" t="s">
        <v>38</v>
      </c>
      <c r="L3149" s="163">
        <v>12317.0</v>
      </c>
      <c r="M3149" s="62" t="s">
        <v>50</v>
      </c>
      <c r="N3149" s="42" t="s">
        <v>7077</v>
      </c>
      <c r="O3149" s="63">
        <v>45664.64583333333</v>
      </c>
      <c r="P3149" s="26" t="s">
        <v>12358</v>
      </c>
      <c r="Q3149" s="13" t="s">
        <v>67</v>
      </c>
      <c r="R3149" s="13" t="s">
        <v>67</v>
      </c>
      <c r="S3149" s="13" t="s">
        <v>9620</v>
      </c>
      <c r="T3149" s="52">
        <v>45637.65434087963</v>
      </c>
      <c r="U3149" s="52">
        <v>45638.35560876157</v>
      </c>
      <c r="V3149" s="52">
        <v>45645.69984075231</v>
      </c>
      <c r="W3149" s="11"/>
      <c r="X3149" s="11"/>
      <c r="Y3149" s="66"/>
      <c r="Z3149" s="78"/>
      <c r="AA3149" s="31" t="s">
        <v>120</v>
      </c>
      <c r="AB3149" s="45" t="s">
        <v>12359</v>
      </c>
      <c r="AC3149" s="45"/>
    </row>
    <row r="3150" ht="18.75" customHeight="1">
      <c r="A3150" s="142" t="s">
        <v>12360</v>
      </c>
      <c r="B3150" s="19" t="s">
        <v>115</v>
      </c>
      <c r="C3150" s="20">
        <v>1.0</v>
      </c>
      <c r="D3150" s="48" t="s">
        <v>12361</v>
      </c>
      <c r="E3150" s="27" t="s">
        <v>155</v>
      </c>
      <c r="F3150" s="18" t="s">
        <v>48</v>
      </c>
      <c r="G3150" s="18" t="s">
        <v>35</v>
      </c>
      <c r="H3150" s="40" t="s">
        <v>35</v>
      </c>
      <c r="I3150" s="37" t="s">
        <v>36</v>
      </c>
      <c r="J3150" s="25" t="s">
        <v>92</v>
      </c>
      <c r="K3150" s="26" t="s">
        <v>38</v>
      </c>
      <c r="L3150" s="34">
        <v>12194.0</v>
      </c>
      <c r="M3150" s="62" t="s">
        <v>50</v>
      </c>
      <c r="N3150" s="42" t="s">
        <v>118</v>
      </c>
      <c r="O3150" s="63">
        <v>45637.66001947917</v>
      </c>
      <c r="P3150" s="26" t="s">
        <v>12362</v>
      </c>
      <c r="Q3150" s="13" t="s">
        <v>73</v>
      </c>
      <c r="R3150" s="13" t="s">
        <v>73</v>
      </c>
      <c r="S3150" s="14" t="s">
        <v>12363</v>
      </c>
      <c r="T3150" s="52">
        <v>45637.640455138884</v>
      </c>
      <c r="U3150" s="52">
        <v>45637.64081326389</v>
      </c>
      <c r="V3150" s="52">
        <v>45637.64260212963</v>
      </c>
      <c r="W3150" s="11"/>
      <c r="X3150" s="11"/>
      <c r="Y3150" s="45"/>
      <c r="Z3150" s="45"/>
      <c r="AA3150" s="31" t="s">
        <v>120</v>
      </c>
      <c r="AB3150" s="45" t="s">
        <v>12364</v>
      </c>
      <c r="AC3150" s="45"/>
    </row>
    <row r="3151" ht="18.75" customHeight="1">
      <c r="A3151" s="18" t="s">
        <v>12365</v>
      </c>
      <c r="B3151" s="19" t="s">
        <v>8921</v>
      </c>
      <c r="C3151" s="20">
        <v>0.0</v>
      </c>
      <c r="D3151" s="48"/>
      <c r="E3151" s="27" t="s">
        <v>4430</v>
      </c>
      <c r="F3151" s="18" t="s">
        <v>48</v>
      </c>
      <c r="G3151" s="18" t="s">
        <v>35</v>
      </c>
      <c r="H3151" s="40" t="s">
        <v>35</v>
      </c>
      <c r="I3151" s="24" t="s">
        <v>665</v>
      </c>
      <c r="J3151" s="25" t="s">
        <v>49</v>
      </c>
      <c r="K3151" s="26" t="s">
        <v>518</v>
      </c>
      <c r="L3151" s="25">
        <v>12198.0</v>
      </c>
      <c r="M3151" s="62" t="s">
        <v>50</v>
      </c>
      <c r="N3151" s="42" t="s">
        <v>99</v>
      </c>
      <c r="O3151" s="63">
        <v>45638.67250914352</v>
      </c>
      <c r="P3151" s="35" t="s">
        <v>12366</v>
      </c>
      <c r="Q3151" s="13" t="s">
        <v>67</v>
      </c>
      <c r="R3151" s="13" t="s">
        <v>67</v>
      </c>
      <c r="S3151" s="13" t="s">
        <v>50</v>
      </c>
      <c r="T3151" s="52">
        <v>45637.689236018516</v>
      </c>
      <c r="U3151" s="52">
        <v>45637.69845506945</v>
      </c>
      <c r="V3151" s="52">
        <v>45638.43588961806</v>
      </c>
      <c r="W3151" s="11"/>
      <c r="X3151" s="11"/>
      <c r="Y3151" s="45"/>
      <c r="Z3151" s="45"/>
      <c r="AA3151" s="31" t="s">
        <v>3053</v>
      </c>
      <c r="AB3151" s="45" t="s">
        <v>12367</v>
      </c>
      <c r="AC3151" s="45"/>
    </row>
    <row r="3152" ht="18.75" customHeight="1">
      <c r="A3152" s="18" t="s">
        <v>12368</v>
      </c>
      <c r="B3152" s="19" t="s">
        <v>8921</v>
      </c>
      <c r="C3152" s="20">
        <v>0.0</v>
      </c>
      <c r="D3152" s="48" t="s">
        <v>12369</v>
      </c>
      <c r="E3152" s="27" t="s">
        <v>4430</v>
      </c>
      <c r="F3152" s="18" t="s">
        <v>48</v>
      </c>
      <c r="G3152" s="18" t="s">
        <v>35</v>
      </c>
      <c r="H3152" s="40" t="s">
        <v>35</v>
      </c>
      <c r="I3152" s="37" t="s">
        <v>36</v>
      </c>
      <c r="J3152" s="25" t="s">
        <v>49</v>
      </c>
      <c r="K3152" s="26" t="s">
        <v>518</v>
      </c>
      <c r="L3152" s="25">
        <v>12198.0</v>
      </c>
      <c r="M3152" s="62" t="s">
        <v>50</v>
      </c>
      <c r="N3152" s="42" t="s">
        <v>99</v>
      </c>
      <c r="O3152" s="63">
        <v>45638.67246027778</v>
      </c>
      <c r="P3152" s="26" t="s">
        <v>12370</v>
      </c>
      <c r="Q3152" s="13" t="s">
        <v>67</v>
      </c>
      <c r="R3152" s="13" t="s">
        <v>67</v>
      </c>
      <c r="S3152" s="13" t="s">
        <v>50</v>
      </c>
      <c r="T3152" s="52">
        <v>45637.68937994213</v>
      </c>
      <c r="U3152" s="52">
        <v>45637.69844234954</v>
      </c>
      <c r="V3152" s="52">
        <v>45638.435880474535</v>
      </c>
      <c r="W3152" s="11"/>
      <c r="X3152" s="11"/>
      <c r="Y3152" s="45"/>
      <c r="Z3152" s="45"/>
      <c r="AA3152" s="31" t="s">
        <v>3053</v>
      </c>
      <c r="AB3152" s="45" t="s">
        <v>12371</v>
      </c>
      <c r="AC3152" s="45"/>
    </row>
    <row r="3153" ht="18.75" customHeight="1">
      <c r="A3153" s="18" t="s">
        <v>12372</v>
      </c>
      <c r="B3153" s="19" t="s">
        <v>8921</v>
      </c>
      <c r="C3153" s="20">
        <v>0.0</v>
      </c>
      <c r="D3153" s="48" t="s">
        <v>12373</v>
      </c>
      <c r="E3153" s="27" t="s">
        <v>4430</v>
      </c>
      <c r="F3153" s="18" t="s">
        <v>48</v>
      </c>
      <c r="G3153" s="18" t="s">
        <v>35</v>
      </c>
      <c r="H3153" s="40" t="s">
        <v>35</v>
      </c>
      <c r="I3153" s="37" t="s">
        <v>36</v>
      </c>
      <c r="J3153" s="25" t="s">
        <v>49</v>
      </c>
      <c r="K3153" s="26" t="s">
        <v>518</v>
      </c>
      <c r="L3153" s="25">
        <v>12198.0</v>
      </c>
      <c r="M3153" s="62" t="s">
        <v>50</v>
      </c>
      <c r="N3153" s="42" t="s">
        <v>99</v>
      </c>
      <c r="O3153" s="63">
        <v>45638.67241284723</v>
      </c>
      <c r="P3153" s="26" t="s">
        <v>12370</v>
      </c>
      <c r="Q3153" s="13" t="s">
        <v>67</v>
      </c>
      <c r="R3153" s="13" t="s">
        <v>67</v>
      </c>
      <c r="S3153" s="13" t="s">
        <v>50</v>
      </c>
      <c r="T3153" s="52">
        <v>45637.689436875</v>
      </c>
      <c r="U3153" s="52">
        <v>45637.69832674769</v>
      </c>
      <c r="V3153" s="52">
        <v>45638.43586857639</v>
      </c>
      <c r="W3153" s="11"/>
      <c r="X3153" s="11"/>
      <c r="Y3153" s="45"/>
      <c r="Z3153" s="45"/>
      <c r="AA3153" s="31" t="s">
        <v>3053</v>
      </c>
      <c r="AB3153" s="45" t="s">
        <v>12374</v>
      </c>
      <c r="AC3153" s="45"/>
    </row>
    <row r="3154" ht="18.75" customHeight="1">
      <c r="A3154" s="32" t="s">
        <v>12375</v>
      </c>
      <c r="B3154" s="19" t="s">
        <v>5507</v>
      </c>
      <c r="C3154" s="20">
        <v>0.0</v>
      </c>
      <c r="D3154" s="48" t="s">
        <v>12376</v>
      </c>
      <c r="E3154" s="22" t="s">
        <v>731</v>
      </c>
      <c r="F3154" s="18" t="s">
        <v>33</v>
      </c>
      <c r="G3154" s="18" t="s">
        <v>35</v>
      </c>
      <c r="H3154" s="40" t="s">
        <v>35</v>
      </c>
      <c r="I3154" s="37" t="s">
        <v>36</v>
      </c>
      <c r="J3154" s="25" t="s">
        <v>49</v>
      </c>
      <c r="K3154" s="26" t="s">
        <v>38</v>
      </c>
      <c r="L3154" s="25">
        <v>12394.0</v>
      </c>
      <c r="M3154" s="62" t="s">
        <v>50</v>
      </c>
      <c r="N3154" s="42" t="s">
        <v>9953</v>
      </c>
      <c r="O3154" s="63">
        <v>45664.694172881944</v>
      </c>
      <c r="P3154" s="26" t="s">
        <v>12377</v>
      </c>
      <c r="Q3154" s="13" t="s">
        <v>67</v>
      </c>
      <c r="R3154" s="13" t="s">
        <v>67</v>
      </c>
      <c r="S3154" s="13" t="s">
        <v>101</v>
      </c>
      <c r="T3154" s="52">
        <v>45638.50140462963</v>
      </c>
      <c r="U3154" s="52">
        <v>45638.57007634259</v>
      </c>
      <c r="V3154" s="52">
        <v>45664.43828444445</v>
      </c>
      <c r="W3154" s="11"/>
      <c r="X3154" s="11"/>
      <c r="Y3154" s="45"/>
      <c r="Z3154" s="45"/>
      <c r="AA3154" s="31" t="s">
        <v>127</v>
      </c>
      <c r="AB3154" s="45" t="s">
        <v>12378</v>
      </c>
      <c r="AC3154" s="45"/>
    </row>
    <row r="3155" ht="18.75" customHeight="1">
      <c r="A3155" s="32" t="s">
        <v>12379</v>
      </c>
      <c r="B3155" s="19" t="s">
        <v>5507</v>
      </c>
      <c r="C3155" s="20">
        <v>0.0</v>
      </c>
      <c r="D3155" s="48" t="s">
        <v>12380</v>
      </c>
      <c r="E3155" s="22" t="s">
        <v>731</v>
      </c>
      <c r="F3155" s="18" t="s">
        <v>33</v>
      </c>
      <c r="G3155" s="18" t="s">
        <v>35</v>
      </c>
      <c r="H3155" s="40" t="s">
        <v>35</v>
      </c>
      <c r="I3155" s="37" t="s">
        <v>36</v>
      </c>
      <c r="J3155" s="25" t="s">
        <v>49</v>
      </c>
      <c r="K3155" s="26" t="s">
        <v>38</v>
      </c>
      <c r="L3155" s="25">
        <v>12394.0</v>
      </c>
      <c r="M3155" s="62" t="s">
        <v>50</v>
      </c>
      <c r="N3155" s="42" t="s">
        <v>9953</v>
      </c>
      <c r="O3155" s="63">
        <v>45664.69425219907</v>
      </c>
      <c r="P3155" s="26" t="s">
        <v>12377</v>
      </c>
      <c r="Q3155" s="13" t="s">
        <v>67</v>
      </c>
      <c r="R3155" s="13" t="s">
        <v>67</v>
      </c>
      <c r="S3155" s="13" t="s">
        <v>101</v>
      </c>
      <c r="T3155" s="52">
        <v>45638.50117326389</v>
      </c>
      <c r="U3155" s="52">
        <v>45638.5701602662</v>
      </c>
      <c r="V3155" s="52">
        <v>45664.43829244213</v>
      </c>
      <c r="W3155" s="11"/>
      <c r="X3155" s="11"/>
      <c r="Y3155" s="45"/>
      <c r="Z3155" s="45"/>
      <c r="AA3155" s="31" t="s">
        <v>127</v>
      </c>
      <c r="AB3155" s="45" t="s">
        <v>12381</v>
      </c>
      <c r="AC3155" s="45"/>
    </row>
    <row r="3156" ht="18.75" customHeight="1">
      <c r="A3156" s="142" t="s">
        <v>12382</v>
      </c>
      <c r="B3156" s="19" t="s">
        <v>12383</v>
      </c>
      <c r="C3156" s="20">
        <v>27.0</v>
      </c>
      <c r="D3156" s="39" t="s">
        <v>12384</v>
      </c>
      <c r="E3156" s="27" t="s">
        <v>72</v>
      </c>
      <c r="F3156" s="18" t="s">
        <v>48</v>
      </c>
      <c r="G3156" s="18" t="s">
        <v>35</v>
      </c>
      <c r="H3156" s="40" t="s">
        <v>35</v>
      </c>
      <c r="I3156" s="37" t="s">
        <v>36</v>
      </c>
      <c r="J3156" s="34" t="s">
        <v>49</v>
      </c>
      <c r="K3156" s="26" t="s">
        <v>38</v>
      </c>
      <c r="L3156" s="64" t="s">
        <v>12385</v>
      </c>
      <c r="M3156" s="49" t="s">
        <v>50</v>
      </c>
      <c r="N3156" s="42" t="s">
        <v>4183</v>
      </c>
      <c r="O3156" s="50">
        <v>45646.0</v>
      </c>
      <c r="P3156" s="26" t="s">
        <v>12386</v>
      </c>
      <c r="Q3156" s="13" t="s">
        <v>75</v>
      </c>
      <c r="R3156" s="13" t="s">
        <v>67</v>
      </c>
      <c r="S3156" s="13" t="s">
        <v>73</v>
      </c>
      <c r="T3156" s="52">
        <v>45638.497523136575</v>
      </c>
      <c r="U3156" s="52">
        <v>45638.66241608796</v>
      </c>
      <c r="V3156" s="52">
        <v>45644.77636668981</v>
      </c>
      <c r="W3156" s="11"/>
      <c r="X3156" s="11"/>
      <c r="Y3156" s="66"/>
      <c r="Z3156" s="45"/>
      <c r="AA3156" s="31" t="s">
        <v>94</v>
      </c>
      <c r="AB3156" s="45" t="s">
        <v>12387</v>
      </c>
      <c r="AC3156" s="45"/>
    </row>
    <row r="3157" ht="18.75" customHeight="1">
      <c r="A3157" s="142" t="s">
        <v>12388</v>
      </c>
      <c r="B3157" s="19" t="s">
        <v>115</v>
      </c>
      <c r="C3157" s="20">
        <v>0.0</v>
      </c>
      <c r="D3157" s="48" t="s">
        <v>931</v>
      </c>
      <c r="E3157" s="27" t="s">
        <v>338</v>
      </c>
      <c r="F3157" s="18" t="s">
        <v>33</v>
      </c>
      <c r="G3157" s="18" t="s">
        <v>35</v>
      </c>
      <c r="H3157" s="40" t="s">
        <v>35</v>
      </c>
      <c r="I3157" s="37" t="s">
        <v>36</v>
      </c>
      <c r="J3157" s="25" t="s">
        <v>92</v>
      </c>
      <c r="K3157" s="26" t="s">
        <v>38</v>
      </c>
      <c r="L3157" s="25">
        <v>12212.0</v>
      </c>
      <c r="M3157" s="62" t="s">
        <v>50</v>
      </c>
      <c r="N3157" s="42" t="s">
        <v>118</v>
      </c>
      <c r="O3157" s="63">
        <v>45642.654295381944</v>
      </c>
      <c r="P3157" s="26" t="s">
        <v>12389</v>
      </c>
      <c r="Q3157" s="13" t="s">
        <v>75</v>
      </c>
      <c r="R3157" s="13" t="s">
        <v>67</v>
      </c>
      <c r="S3157" s="13" t="s">
        <v>101</v>
      </c>
      <c r="T3157" s="52">
        <v>45638.49961771991</v>
      </c>
      <c r="U3157" s="52">
        <v>45638.569729201394</v>
      </c>
      <c r="V3157" s="52">
        <v>45639.722715358796</v>
      </c>
      <c r="W3157" s="11"/>
      <c r="X3157" s="11"/>
      <c r="Y3157" s="45"/>
      <c r="Z3157" s="45"/>
      <c r="AA3157" s="31" t="s">
        <v>120</v>
      </c>
      <c r="AB3157" s="45" t="s">
        <v>12390</v>
      </c>
      <c r="AC3157" s="45"/>
    </row>
    <row r="3158" ht="18.75" customHeight="1">
      <c r="A3158" s="142" t="s">
        <v>12391</v>
      </c>
      <c r="B3158" s="19" t="s">
        <v>4744</v>
      </c>
      <c r="C3158" s="20">
        <v>11.0</v>
      </c>
      <c r="D3158" s="48" t="s">
        <v>12392</v>
      </c>
      <c r="E3158" s="27" t="s">
        <v>112</v>
      </c>
      <c r="F3158" s="18" t="s">
        <v>48</v>
      </c>
      <c r="G3158" s="18" t="s">
        <v>35</v>
      </c>
      <c r="H3158" s="40" t="s">
        <v>35</v>
      </c>
      <c r="I3158" s="24" t="s">
        <v>36</v>
      </c>
      <c r="J3158" s="25" t="s">
        <v>49</v>
      </c>
      <c r="K3158" s="26" t="s">
        <v>447</v>
      </c>
      <c r="L3158" s="64" t="s">
        <v>2809</v>
      </c>
      <c r="M3158" s="22" t="s">
        <v>50</v>
      </c>
      <c r="N3158" s="65" t="s">
        <v>125</v>
      </c>
      <c r="O3158" s="28">
        <v>45645.73094907407</v>
      </c>
      <c r="P3158" s="26" t="s">
        <v>12393</v>
      </c>
      <c r="Q3158" s="13" t="s">
        <v>75</v>
      </c>
      <c r="R3158" s="13" t="s">
        <v>67</v>
      </c>
      <c r="S3158" s="13" t="s">
        <v>73</v>
      </c>
      <c r="T3158" s="52">
        <v>45638.70367666667</v>
      </c>
      <c r="U3158" s="52">
        <v>45638.723240625</v>
      </c>
      <c r="V3158" s="52">
        <v>45643.755752592595</v>
      </c>
      <c r="W3158" s="11"/>
      <c r="X3158" s="11"/>
      <c r="Y3158" s="66"/>
      <c r="Z3158" s="45"/>
      <c r="AA3158" s="31" t="s">
        <v>102</v>
      </c>
      <c r="AB3158" s="45" t="s">
        <v>12394</v>
      </c>
      <c r="AC3158" s="45"/>
    </row>
    <row r="3159" ht="18.75" customHeight="1">
      <c r="A3159" s="142" t="s">
        <v>12395</v>
      </c>
      <c r="B3159" s="19" t="s">
        <v>5531</v>
      </c>
      <c r="C3159" s="20">
        <v>0.0</v>
      </c>
      <c r="D3159" s="48" t="s">
        <v>12396</v>
      </c>
      <c r="E3159" s="27" t="s">
        <v>165</v>
      </c>
      <c r="F3159" s="18" t="s">
        <v>33</v>
      </c>
      <c r="G3159" s="18" t="s">
        <v>35</v>
      </c>
      <c r="H3159" s="40" t="s">
        <v>35</v>
      </c>
      <c r="I3159" s="37" t="s">
        <v>36</v>
      </c>
      <c r="J3159" s="25" t="s">
        <v>49</v>
      </c>
      <c r="K3159" s="26" t="s">
        <v>447</v>
      </c>
      <c r="L3159" s="25">
        <v>12206.0</v>
      </c>
      <c r="M3159" s="62" t="s">
        <v>50</v>
      </c>
      <c r="N3159" s="42" t="s">
        <v>143</v>
      </c>
      <c r="O3159" s="63">
        <v>45642.62049753472</v>
      </c>
      <c r="P3159" s="26" t="s">
        <v>12397</v>
      </c>
      <c r="Q3159" s="13" t="s">
        <v>67</v>
      </c>
      <c r="R3159" s="13" t="s">
        <v>67</v>
      </c>
      <c r="S3159" s="13" t="s">
        <v>50</v>
      </c>
      <c r="T3159" s="52">
        <v>45639.493359976856</v>
      </c>
      <c r="U3159" s="52">
        <v>45639.4934137963</v>
      </c>
      <c r="V3159" s="52">
        <v>45639.49623600695</v>
      </c>
      <c r="W3159" s="11"/>
      <c r="X3159" s="148">
        <v>45639.0</v>
      </c>
      <c r="Y3159" s="45"/>
      <c r="Z3159" s="45"/>
      <c r="AA3159" s="31" t="s">
        <v>108</v>
      </c>
      <c r="AB3159" s="45" t="s">
        <v>12398</v>
      </c>
      <c r="AC3159" s="45"/>
    </row>
    <row r="3160" ht="18.75" customHeight="1">
      <c r="A3160" s="142" t="s">
        <v>12399</v>
      </c>
      <c r="B3160" s="19" t="s">
        <v>153</v>
      </c>
      <c r="C3160" s="20">
        <v>1.0</v>
      </c>
      <c r="D3160" s="48" t="s">
        <v>12400</v>
      </c>
      <c r="E3160" s="27" t="s">
        <v>155</v>
      </c>
      <c r="F3160" s="18" t="s">
        <v>48</v>
      </c>
      <c r="G3160" s="18" t="s">
        <v>35</v>
      </c>
      <c r="H3160" s="40" t="s">
        <v>35</v>
      </c>
      <c r="I3160" s="37" t="s">
        <v>36</v>
      </c>
      <c r="J3160" s="25" t="s">
        <v>92</v>
      </c>
      <c r="K3160" s="26" t="s">
        <v>38</v>
      </c>
      <c r="L3160" s="25">
        <v>12205.0</v>
      </c>
      <c r="M3160" s="62" t="s">
        <v>50</v>
      </c>
      <c r="N3160" s="42" t="s">
        <v>156</v>
      </c>
      <c r="O3160" s="63">
        <v>45638.71884328703</v>
      </c>
      <c r="P3160" s="26" t="s">
        <v>12401</v>
      </c>
      <c r="Q3160" s="13" t="s">
        <v>67</v>
      </c>
      <c r="R3160" s="13" t="s">
        <v>67</v>
      </c>
      <c r="S3160" s="13"/>
      <c r="T3160" s="52">
        <v>45638.705535914356</v>
      </c>
      <c r="U3160" s="52">
        <v>45638.705537685186</v>
      </c>
      <c r="V3160" s="52"/>
      <c r="W3160" s="11"/>
      <c r="X3160" s="11"/>
      <c r="Y3160" s="45"/>
      <c r="Z3160" s="45"/>
      <c r="AA3160" s="31" t="s">
        <v>120</v>
      </c>
      <c r="AB3160" s="45" t="s">
        <v>12402</v>
      </c>
      <c r="AC3160" s="45"/>
    </row>
    <row r="3161" ht="18.0" customHeight="1">
      <c r="A3161" s="142" t="s">
        <v>12403</v>
      </c>
      <c r="B3161" s="19" t="s">
        <v>3289</v>
      </c>
      <c r="C3161" s="20">
        <v>0.0</v>
      </c>
      <c r="D3161" s="48" t="s">
        <v>12404</v>
      </c>
      <c r="E3161" s="27" t="s">
        <v>12405</v>
      </c>
      <c r="F3161" s="18" t="s">
        <v>48</v>
      </c>
      <c r="G3161" s="18" t="s">
        <v>35</v>
      </c>
      <c r="H3161" s="40" t="s">
        <v>35</v>
      </c>
      <c r="I3161" s="37" t="s">
        <v>36</v>
      </c>
      <c r="J3161" s="25" t="s">
        <v>92</v>
      </c>
      <c r="K3161" s="26" t="s">
        <v>38</v>
      </c>
      <c r="L3161" s="25">
        <v>12491.0</v>
      </c>
      <c r="M3161" s="62" t="s">
        <v>50</v>
      </c>
      <c r="N3161" s="42" t="s">
        <v>4362</v>
      </c>
      <c r="O3161" s="63">
        <v>45681.43451716435</v>
      </c>
      <c r="P3161" s="26" t="s">
        <v>12406</v>
      </c>
      <c r="Q3161" s="13" t="s">
        <v>67</v>
      </c>
      <c r="R3161" s="13" t="s">
        <v>67</v>
      </c>
      <c r="S3161" s="13"/>
      <c r="T3161" s="52">
        <v>45639.65003881944</v>
      </c>
      <c r="U3161" s="52">
        <v>45639.69525532407</v>
      </c>
      <c r="V3161" s="52"/>
      <c r="W3161" s="11"/>
      <c r="X3161" s="11"/>
      <c r="Y3161" s="66"/>
      <c r="Z3161" s="45"/>
      <c r="AA3161" s="31" t="s">
        <v>120</v>
      </c>
      <c r="AB3161" s="45" t="s">
        <v>12407</v>
      </c>
      <c r="AC3161" s="45"/>
    </row>
    <row r="3162" ht="18.75" customHeight="1">
      <c r="A3162" s="142" t="s">
        <v>12408</v>
      </c>
      <c r="B3162" s="19" t="s">
        <v>12133</v>
      </c>
      <c r="C3162" s="20">
        <v>90.0</v>
      </c>
      <c r="D3162" s="48" t="s">
        <v>12409</v>
      </c>
      <c r="E3162" s="27" t="s">
        <v>91</v>
      </c>
      <c r="F3162" s="18" t="s">
        <v>48</v>
      </c>
      <c r="G3162" s="18" t="s">
        <v>35</v>
      </c>
      <c r="H3162" s="40" t="s">
        <v>35</v>
      </c>
      <c r="I3162" s="24" t="s">
        <v>36</v>
      </c>
      <c r="J3162" s="25" t="s">
        <v>65</v>
      </c>
      <c r="K3162" s="26" t="s">
        <v>38</v>
      </c>
      <c r="L3162" s="64" t="s">
        <v>12410</v>
      </c>
      <c r="M3162" s="152" t="str">
        <f>VLOOKUP(D3162,'Página111'!E:E,1,0)</f>
        <v>#REF!</v>
      </c>
      <c r="N3162" s="42"/>
      <c r="O3162" s="50">
        <v>45646.0</v>
      </c>
      <c r="P3162" s="26" t="s">
        <v>12411</v>
      </c>
      <c r="Q3162" s="13" t="s">
        <v>75</v>
      </c>
      <c r="R3162" s="13" t="s">
        <v>67</v>
      </c>
      <c r="S3162" s="13" t="s">
        <v>73</v>
      </c>
      <c r="T3162" s="52">
        <v>45639.658770636575</v>
      </c>
      <c r="U3162" s="52">
        <v>45642.3722050463</v>
      </c>
      <c r="V3162" s="52">
        <v>45644.776393402775</v>
      </c>
      <c r="W3162" s="11"/>
      <c r="X3162" s="11"/>
      <c r="Y3162" s="66"/>
      <c r="Z3162" s="45"/>
      <c r="AA3162" s="31" t="s">
        <v>94</v>
      </c>
      <c r="AB3162" s="45" t="s">
        <v>12412</v>
      </c>
      <c r="AC3162" s="45"/>
    </row>
    <row r="3163" ht="18.75" customHeight="1">
      <c r="A3163" s="142" t="s">
        <v>12413</v>
      </c>
      <c r="B3163" s="19" t="s">
        <v>4352</v>
      </c>
      <c r="C3163" s="20">
        <v>1.0</v>
      </c>
      <c r="D3163" s="21" t="s">
        <v>12414</v>
      </c>
      <c r="E3163" s="27" t="s">
        <v>3395</v>
      </c>
      <c r="F3163" s="18" t="s">
        <v>48</v>
      </c>
      <c r="G3163" s="18" t="s">
        <v>35</v>
      </c>
      <c r="H3163" s="40" t="s">
        <v>35</v>
      </c>
      <c r="I3163" s="37" t="s">
        <v>36</v>
      </c>
      <c r="J3163" s="25" t="s">
        <v>49</v>
      </c>
      <c r="K3163" s="26" t="s">
        <v>38</v>
      </c>
      <c r="L3163" s="25">
        <v>12356.0</v>
      </c>
      <c r="M3163" s="62" t="s">
        <v>50</v>
      </c>
      <c r="N3163" s="42" t="s">
        <v>9953</v>
      </c>
      <c r="O3163" s="28">
        <v>45659.0</v>
      </c>
      <c r="P3163" s="26" t="s">
        <v>12415</v>
      </c>
      <c r="Q3163" s="13" t="s">
        <v>75</v>
      </c>
      <c r="R3163" s="13" t="s">
        <v>67</v>
      </c>
      <c r="S3163" s="13" t="s">
        <v>50</v>
      </c>
      <c r="T3163" s="52">
        <v>45639.65016829861</v>
      </c>
      <c r="U3163" s="52">
        <v>45639.695602673615</v>
      </c>
      <c r="V3163" s="52">
        <v>45652.48640214121</v>
      </c>
      <c r="W3163" s="11"/>
      <c r="X3163" s="11"/>
      <c r="Y3163" s="45"/>
      <c r="Z3163" s="45"/>
      <c r="AA3163" s="31" t="s">
        <v>127</v>
      </c>
      <c r="AB3163" s="45" t="s">
        <v>12416</v>
      </c>
      <c r="AC3163" s="45"/>
    </row>
    <row r="3164" ht="18.75" customHeight="1">
      <c r="A3164" s="142" t="s">
        <v>12417</v>
      </c>
      <c r="B3164" s="19" t="s">
        <v>12418</v>
      </c>
      <c r="C3164" s="20">
        <v>27.0</v>
      </c>
      <c r="D3164" s="39" t="s">
        <v>12419</v>
      </c>
      <c r="E3164" s="27" t="s">
        <v>72</v>
      </c>
      <c r="F3164" s="18" t="s">
        <v>48</v>
      </c>
      <c r="G3164" s="18" t="s">
        <v>35</v>
      </c>
      <c r="H3164" s="40" t="s">
        <v>35</v>
      </c>
      <c r="I3164" s="24" t="s">
        <v>36</v>
      </c>
      <c r="J3164" s="25" t="s">
        <v>65</v>
      </c>
      <c r="K3164" s="26" t="s">
        <v>38</v>
      </c>
      <c r="L3164" s="64" t="s">
        <v>12420</v>
      </c>
      <c r="M3164" s="152" t="str">
        <f t="shared" ref="M3164:M3169" si="21">VLOOKUP(D3164,'Página111'!E:E,1,0)</f>
        <v>#REF!</v>
      </c>
      <c r="N3164" s="42"/>
      <c r="O3164" s="50">
        <v>45646.0</v>
      </c>
      <c r="P3164" s="26" t="s">
        <v>12421</v>
      </c>
      <c r="Q3164" s="13" t="s">
        <v>67</v>
      </c>
      <c r="R3164" s="13" t="s">
        <v>75</v>
      </c>
      <c r="S3164" s="13" t="s">
        <v>73</v>
      </c>
      <c r="T3164" s="52">
        <v>45639.65815802083</v>
      </c>
      <c r="U3164" s="52">
        <v>45644.477658715274</v>
      </c>
      <c r="V3164" s="52">
        <v>45644.77653105324</v>
      </c>
      <c r="W3164" s="11"/>
      <c r="X3164" s="11"/>
      <c r="Y3164" s="66"/>
      <c r="Z3164" s="45"/>
      <c r="AA3164" s="31" t="s">
        <v>94</v>
      </c>
      <c r="AB3164" s="45" t="s">
        <v>12422</v>
      </c>
      <c r="AC3164" s="45"/>
    </row>
    <row r="3165" ht="18.75" customHeight="1">
      <c r="A3165" s="32" t="s">
        <v>12423</v>
      </c>
      <c r="B3165" s="19" t="s">
        <v>7703</v>
      </c>
      <c r="C3165" s="20">
        <v>27.0</v>
      </c>
      <c r="D3165" s="39" t="s">
        <v>12424</v>
      </c>
      <c r="E3165" s="27" t="s">
        <v>72</v>
      </c>
      <c r="F3165" s="18" t="s">
        <v>48</v>
      </c>
      <c r="G3165" s="18" t="s">
        <v>35</v>
      </c>
      <c r="H3165" s="40" t="s">
        <v>35</v>
      </c>
      <c r="I3165" s="24" t="s">
        <v>36</v>
      </c>
      <c r="J3165" s="25" t="s">
        <v>65</v>
      </c>
      <c r="K3165" s="26" t="s">
        <v>38</v>
      </c>
      <c r="L3165" s="64" t="s">
        <v>12425</v>
      </c>
      <c r="M3165" s="152" t="str">
        <f t="shared" si="21"/>
        <v>#REF!</v>
      </c>
      <c r="N3165" s="42"/>
      <c r="O3165" s="50">
        <v>45646.0</v>
      </c>
      <c r="P3165" s="26" t="s">
        <v>12426</v>
      </c>
      <c r="Q3165" s="13" t="s">
        <v>75</v>
      </c>
      <c r="R3165" s="13" t="s">
        <v>67</v>
      </c>
      <c r="S3165" s="13" t="s">
        <v>73</v>
      </c>
      <c r="T3165" s="52">
        <v>45639.66080082176</v>
      </c>
      <c r="U3165" s="52">
        <v>45644.4289762963</v>
      </c>
      <c r="V3165" s="52">
        <v>45644.776482650464</v>
      </c>
      <c r="W3165" s="11"/>
      <c r="X3165" s="11"/>
      <c r="Y3165" s="66"/>
      <c r="Z3165" s="45"/>
      <c r="AA3165" s="31" t="s">
        <v>3059</v>
      </c>
      <c r="AB3165" s="45" t="s">
        <v>12427</v>
      </c>
      <c r="AC3165" s="45"/>
    </row>
    <row r="3166" ht="18.75" customHeight="1">
      <c r="A3166" s="32" t="s">
        <v>12428</v>
      </c>
      <c r="B3166" s="19" t="s">
        <v>7703</v>
      </c>
      <c r="C3166" s="20">
        <v>27.0</v>
      </c>
      <c r="D3166" s="39" t="s">
        <v>12429</v>
      </c>
      <c r="E3166" s="27" t="s">
        <v>72</v>
      </c>
      <c r="F3166" s="18" t="s">
        <v>48</v>
      </c>
      <c r="G3166" s="18" t="s">
        <v>35</v>
      </c>
      <c r="H3166" s="40" t="s">
        <v>35</v>
      </c>
      <c r="I3166" s="24" t="s">
        <v>36</v>
      </c>
      <c r="J3166" s="25" t="s">
        <v>65</v>
      </c>
      <c r="K3166" s="26" t="s">
        <v>38</v>
      </c>
      <c r="L3166" s="64" t="s">
        <v>12425</v>
      </c>
      <c r="M3166" s="152" t="str">
        <f t="shared" si="21"/>
        <v>#REF!</v>
      </c>
      <c r="N3166" s="42"/>
      <c r="O3166" s="50">
        <v>45646.0</v>
      </c>
      <c r="P3166" s="26" t="s">
        <v>12426</v>
      </c>
      <c r="Q3166" s="13" t="s">
        <v>75</v>
      </c>
      <c r="R3166" s="13" t="s">
        <v>67</v>
      </c>
      <c r="S3166" s="13" t="s">
        <v>73</v>
      </c>
      <c r="T3166" s="52">
        <v>45639.660911087965</v>
      </c>
      <c r="U3166" s="52">
        <v>45644.42898128473</v>
      </c>
      <c r="V3166" s="52">
        <v>45644.77649524306</v>
      </c>
      <c r="W3166" s="11"/>
      <c r="X3166" s="11"/>
      <c r="Y3166" s="66"/>
      <c r="Z3166" s="45"/>
      <c r="AA3166" s="31" t="s">
        <v>3059</v>
      </c>
      <c r="AB3166" s="45" t="s">
        <v>12430</v>
      </c>
      <c r="AC3166" s="45"/>
    </row>
    <row r="3167" ht="18.75" customHeight="1">
      <c r="A3167" s="32" t="s">
        <v>12431</v>
      </c>
      <c r="B3167" s="19" t="s">
        <v>7703</v>
      </c>
      <c r="C3167" s="20">
        <v>27.0</v>
      </c>
      <c r="D3167" s="39" t="s">
        <v>12432</v>
      </c>
      <c r="E3167" s="27" t="s">
        <v>72</v>
      </c>
      <c r="F3167" s="18" t="s">
        <v>48</v>
      </c>
      <c r="G3167" s="18" t="s">
        <v>35</v>
      </c>
      <c r="H3167" s="40" t="s">
        <v>35</v>
      </c>
      <c r="I3167" s="24" t="s">
        <v>36</v>
      </c>
      <c r="J3167" s="25" t="s">
        <v>65</v>
      </c>
      <c r="K3167" s="26" t="s">
        <v>38</v>
      </c>
      <c r="L3167" s="64" t="s">
        <v>12425</v>
      </c>
      <c r="M3167" s="152" t="str">
        <f t="shared" si="21"/>
        <v>#REF!</v>
      </c>
      <c r="N3167" s="42"/>
      <c r="O3167" s="50">
        <v>45646.0</v>
      </c>
      <c r="P3167" s="26" t="s">
        <v>12426</v>
      </c>
      <c r="Q3167" s="13" t="s">
        <v>75</v>
      </c>
      <c r="R3167" s="13" t="s">
        <v>67</v>
      </c>
      <c r="S3167" s="13" t="s">
        <v>73</v>
      </c>
      <c r="T3167" s="52">
        <v>45639.661000486114</v>
      </c>
      <c r="U3167" s="52">
        <v>45644.42892417824</v>
      </c>
      <c r="V3167" s="52">
        <v>45644.776469212964</v>
      </c>
      <c r="W3167" s="11"/>
      <c r="X3167" s="11"/>
      <c r="Y3167" s="66"/>
      <c r="Z3167" s="45"/>
      <c r="AA3167" s="31" t="s">
        <v>3059</v>
      </c>
      <c r="AB3167" s="45" t="s">
        <v>12433</v>
      </c>
      <c r="AC3167" s="45"/>
    </row>
    <row r="3168" ht="18.75" customHeight="1">
      <c r="A3168" s="32" t="s">
        <v>12434</v>
      </c>
      <c r="B3168" s="19" t="s">
        <v>8203</v>
      </c>
      <c r="C3168" s="20">
        <v>90.0</v>
      </c>
      <c r="D3168" s="48" t="s">
        <v>12435</v>
      </c>
      <c r="E3168" s="27" t="s">
        <v>91</v>
      </c>
      <c r="F3168" s="18" t="s">
        <v>48</v>
      </c>
      <c r="G3168" s="18" t="s">
        <v>35</v>
      </c>
      <c r="H3168" s="40" t="s">
        <v>35</v>
      </c>
      <c r="I3168" s="24" t="s">
        <v>36</v>
      </c>
      <c r="J3168" s="25" t="s">
        <v>65</v>
      </c>
      <c r="K3168" s="26" t="s">
        <v>38</v>
      </c>
      <c r="L3168" s="64" t="s">
        <v>12436</v>
      </c>
      <c r="M3168" s="152" t="str">
        <f t="shared" si="21"/>
        <v>#REF!</v>
      </c>
      <c r="N3168" s="42"/>
      <c r="O3168" s="50">
        <v>45646.0</v>
      </c>
      <c r="P3168" s="26" t="s">
        <v>12437</v>
      </c>
      <c r="Q3168" s="13" t="s">
        <v>75</v>
      </c>
      <c r="R3168" s="13" t="s">
        <v>75</v>
      </c>
      <c r="S3168" s="13" t="s">
        <v>73</v>
      </c>
      <c r="T3168" s="52">
        <v>45639.66245565972</v>
      </c>
      <c r="U3168" s="52">
        <v>45644.362434236114</v>
      </c>
      <c r="V3168" s="52">
        <v>45644.776444918985</v>
      </c>
      <c r="W3168" s="11"/>
      <c r="X3168" s="11"/>
      <c r="Y3168" s="66"/>
      <c r="Z3168" s="45"/>
      <c r="AA3168" s="31" t="s">
        <v>3059</v>
      </c>
      <c r="AB3168" s="45" t="s">
        <v>12438</v>
      </c>
      <c r="AC3168" s="45"/>
    </row>
    <row r="3169" ht="18.75" customHeight="1">
      <c r="A3169" s="32" t="s">
        <v>12439</v>
      </c>
      <c r="B3169" s="19" t="s">
        <v>8203</v>
      </c>
      <c r="C3169" s="20">
        <v>90.0</v>
      </c>
      <c r="D3169" s="48" t="s">
        <v>12440</v>
      </c>
      <c r="E3169" s="27" t="s">
        <v>91</v>
      </c>
      <c r="F3169" s="18" t="s">
        <v>48</v>
      </c>
      <c r="G3169" s="18" t="s">
        <v>35</v>
      </c>
      <c r="H3169" s="40" t="s">
        <v>35</v>
      </c>
      <c r="I3169" s="24" t="s">
        <v>36</v>
      </c>
      <c r="J3169" s="25" t="s">
        <v>65</v>
      </c>
      <c r="K3169" s="26" t="s">
        <v>38</v>
      </c>
      <c r="L3169" s="64" t="s">
        <v>12436</v>
      </c>
      <c r="M3169" s="152" t="str">
        <f t="shared" si="21"/>
        <v>#REF!</v>
      </c>
      <c r="N3169" s="42"/>
      <c r="O3169" s="50">
        <v>45646.0</v>
      </c>
      <c r="P3169" s="26" t="s">
        <v>12437</v>
      </c>
      <c r="Q3169" s="13" t="s">
        <v>75</v>
      </c>
      <c r="R3169" s="13" t="s">
        <v>75</v>
      </c>
      <c r="S3169" s="13" t="s">
        <v>73</v>
      </c>
      <c r="T3169" s="52">
        <v>45639.66264530092</v>
      </c>
      <c r="U3169" s="52">
        <v>45644.362503993056</v>
      </c>
      <c r="V3169" s="52">
        <v>45644.77645734954</v>
      </c>
      <c r="W3169" s="11"/>
      <c r="X3169" s="11"/>
      <c r="Y3169" s="66"/>
      <c r="Z3169" s="45"/>
      <c r="AA3169" s="31" t="s">
        <v>3059</v>
      </c>
      <c r="AB3169" s="45" t="s">
        <v>12441</v>
      </c>
      <c r="AC3169" s="45"/>
    </row>
    <row r="3170" ht="18.75" customHeight="1">
      <c r="A3170" s="32" t="s">
        <v>12442</v>
      </c>
      <c r="B3170" s="19" t="s">
        <v>1428</v>
      </c>
      <c r="C3170" s="20">
        <v>0.0</v>
      </c>
      <c r="D3170" s="48" t="s">
        <v>12443</v>
      </c>
      <c r="E3170" s="27" t="s">
        <v>3441</v>
      </c>
      <c r="F3170" s="18" t="s">
        <v>48</v>
      </c>
      <c r="G3170" s="18" t="s">
        <v>35</v>
      </c>
      <c r="H3170" s="40" t="s">
        <v>35</v>
      </c>
      <c r="I3170" s="24" t="s">
        <v>36</v>
      </c>
      <c r="J3170" s="25" t="s">
        <v>49</v>
      </c>
      <c r="K3170" s="26" t="s">
        <v>1430</v>
      </c>
      <c r="L3170" s="64" t="s">
        <v>2816</v>
      </c>
      <c r="M3170" s="22" t="s">
        <v>50</v>
      </c>
      <c r="N3170" s="65" t="s">
        <v>125</v>
      </c>
      <c r="O3170" s="28">
        <v>45645.73094907407</v>
      </c>
      <c r="P3170" s="26" t="s">
        <v>12444</v>
      </c>
      <c r="Q3170" s="13" t="s">
        <v>75</v>
      </c>
      <c r="R3170" s="13" t="s">
        <v>67</v>
      </c>
      <c r="S3170" s="13" t="s">
        <v>73</v>
      </c>
      <c r="T3170" s="52">
        <v>45639.6697528588</v>
      </c>
      <c r="U3170" s="52">
        <v>45642.371858240745</v>
      </c>
      <c r="V3170" s="52">
        <v>45643.755770937496</v>
      </c>
      <c r="W3170" s="11"/>
      <c r="X3170" s="11"/>
      <c r="Y3170" s="66">
        <v>-12213.0</v>
      </c>
      <c r="Z3170" s="45"/>
      <c r="AA3170" s="31" t="s">
        <v>9317</v>
      </c>
      <c r="AB3170" s="45" t="s">
        <v>12445</v>
      </c>
      <c r="AC3170" s="45"/>
    </row>
    <row r="3171" ht="18.75" customHeight="1">
      <c r="A3171" s="32" t="s">
        <v>12446</v>
      </c>
      <c r="B3171" s="19" t="s">
        <v>1428</v>
      </c>
      <c r="C3171" s="20">
        <v>90.0</v>
      </c>
      <c r="D3171" s="48" t="s">
        <v>12447</v>
      </c>
      <c r="E3171" s="27" t="s">
        <v>91</v>
      </c>
      <c r="F3171" s="18" t="s">
        <v>48</v>
      </c>
      <c r="G3171" s="18" t="s">
        <v>35</v>
      </c>
      <c r="H3171" s="40" t="s">
        <v>35</v>
      </c>
      <c r="I3171" s="24" t="s">
        <v>36</v>
      </c>
      <c r="J3171" s="25" t="s">
        <v>49</v>
      </c>
      <c r="K3171" s="26" t="s">
        <v>1430</v>
      </c>
      <c r="L3171" s="64" t="s">
        <v>2816</v>
      </c>
      <c r="M3171" s="22" t="s">
        <v>50</v>
      </c>
      <c r="N3171" s="65" t="s">
        <v>125</v>
      </c>
      <c r="O3171" s="28">
        <v>45645.73094907407</v>
      </c>
      <c r="P3171" s="26" t="s">
        <v>12444</v>
      </c>
      <c r="Q3171" s="13" t="s">
        <v>75</v>
      </c>
      <c r="R3171" s="13" t="s">
        <v>67</v>
      </c>
      <c r="S3171" s="13" t="s">
        <v>73</v>
      </c>
      <c r="T3171" s="52">
        <v>45639.6701015625</v>
      </c>
      <c r="U3171" s="52">
        <v>45642.37198059028</v>
      </c>
      <c r="V3171" s="52">
        <v>45643.75487047454</v>
      </c>
      <c r="W3171" s="11"/>
      <c r="X3171" s="11"/>
      <c r="Y3171" s="66">
        <v>-12213.0</v>
      </c>
      <c r="Z3171" s="45"/>
      <c r="AA3171" s="31" t="s">
        <v>9317</v>
      </c>
      <c r="AB3171" s="45" t="s">
        <v>12448</v>
      </c>
      <c r="AC3171" s="45"/>
    </row>
    <row r="3172" ht="18.75" customHeight="1">
      <c r="A3172" s="32" t="s">
        <v>12449</v>
      </c>
      <c r="B3172" s="19" t="s">
        <v>1428</v>
      </c>
      <c r="C3172" s="20">
        <v>33.0</v>
      </c>
      <c r="D3172" s="48" t="s">
        <v>12450</v>
      </c>
      <c r="E3172" s="27" t="s">
        <v>6133</v>
      </c>
      <c r="F3172" s="18" t="s">
        <v>48</v>
      </c>
      <c r="G3172" s="18" t="s">
        <v>35</v>
      </c>
      <c r="H3172" s="40" t="s">
        <v>35</v>
      </c>
      <c r="I3172" s="37" t="s">
        <v>36</v>
      </c>
      <c r="J3172" s="25" t="s">
        <v>49</v>
      </c>
      <c r="K3172" s="26" t="s">
        <v>1430</v>
      </c>
      <c r="L3172" s="25">
        <v>12217.0</v>
      </c>
      <c r="M3172" s="62" t="s">
        <v>50</v>
      </c>
      <c r="N3172" s="42" t="s">
        <v>143</v>
      </c>
      <c r="O3172" s="63">
        <v>45642.62041233796</v>
      </c>
      <c r="P3172" s="26" t="s">
        <v>12444</v>
      </c>
      <c r="Q3172" s="13" t="s">
        <v>75</v>
      </c>
      <c r="R3172" s="13" t="s">
        <v>67</v>
      </c>
      <c r="S3172" s="13" t="s">
        <v>50</v>
      </c>
      <c r="T3172" s="52">
        <v>45639.670449791665</v>
      </c>
      <c r="U3172" s="52">
        <v>45642.37201853009</v>
      </c>
      <c r="V3172" s="52">
        <v>45642.55696287037</v>
      </c>
      <c r="W3172" s="11"/>
      <c r="X3172" s="11"/>
      <c r="Y3172" s="45"/>
      <c r="Z3172" s="45"/>
      <c r="AA3172" s="31" t="s">
        <v>9317</v>
      </c>
      <c r="AB3172" s="45" t="s">
        <v>12451</v>
      </c>
      <c r="AC3172" s="45"/>
    </row>
    <row r="3173" ht="18.75" customHeight="1">
      <c r="A3173" s="142" t="s">
        <v>12452</v>
      </c>
      <c r="B3173" s="19" t="s">
        <v>110</v>
      </c>
      <c r="C3173" s="20">
        <v>90.0</v>
      </c>
      <c r="D3173" s="48" t="s">
        <v>12453</v>
      </c>
      <c r="E3173" s="27" t="s">
        <v>91</v>
      </c>
      <c r="F3173" s="18" t="s">
        <v>48</v>
      </c>
      <c r="G3173" s="18" t="s">
        <v>35</v>
      </c>
      <c r="H3173" s="40" t="s">
        <v>35</v>
      </c>
      <c r="I3173" s="24" t="s">
        <v>36</v>
      </c>
      <c r="J3173" s="25" t="s">
        <v>65</v>
      </c>
      <c r="K3173" s="26" t="s">
        <v>38</v>
      </c>
      <c r="L3173" s="64" t="s">
        <v>12454</v>
      </c>
      <c r="M3173" s="152" t="str">
        <f>VLOOKUP(D3173,'Página111'!E:E,1,0)</f>
        <v>#REF!</v>
      </c>
      <c r="N3173" s="42"/>
      <c r="O3173" s="50">
        <v>45646.0</v>
      </c>
      <c r="P3173" s="26" t="s">
        <v>12455</v>
      </c>
      <c r="Q3173" s="13" t="s">
        <v>75</v>
      </c>
      <c r="R3173" s="13" t="s">
        <v>67</v>
      </c>
      <c r="S3173" s="13" t="s">
        <v>73</v>
      </c>
      <c r="T3173" s="52">
        <v>45639.67464304398</v>
      </c>
      <c r="U3173" s="52">
        <v>45642.37159197917</v>
      </c>
      <c r="V3173" s="52">
        <v>45644.77637965277</v>
      </c>
      <c r="W3173" s="11"/>
      <c r="X3173" s="11"/>
      <c r="Y3173" s="66"/>
      <c r="Z3173" s="45"/>
      <c r="AA3173" s="31" t="s">
        <v>94</v>
      </c>
      <c r="AB3173" s="45" t="s">
        <v>12456</v>
      </c>
      <c r="AC3173" s="45"/>
    </row>
    <row r="3174" ht="18.75" customHeight="1">
      <c r="A3174" s="32" t="s">
        <v>12457</v>
      </c>
      <c r="B3174" s="19" t="s">
        <v>12458</v>
      </c>
      <c r="C3174" s="20">
        <v>0.0</v>
      </c>
      <c r="D3174" s="48" t="s">
        <v>12459</v>
      </c>
      <c r="E3174" s="27" t="s">
        <v>4430</v>
      </c>
      <c r="F3174" s="18" t="s">
        <v>48</v>
      </c>
      <c r="G3174" s="18" t="s">
        <v>35</v>
      </c>
      <c r="H3174" s="40" t="s">
        <v>35</v>
      </c>
      <c r="I3174" s="24" t="s">
        <v>36</v>
      </c>
      <c r="J3174" s="25" t="s">
        <v>49</v>
      </c>
      <c r="K3174" s="26" t="s">
        <v>238</v>
      </c>
      <c r="L3174" s="64" t="s">
        <v>2827</v>
      </c>
      <c r="M3174" s="22" t="s">
        <v>50</v>
      </c>
      <c r="N3174" s="65" t="s">
        <v>125</v>
      </c>
      <c r="O3174" s="28">
        <v>45645.73094907407</v>
      </c>
      <c r="P3174" s="26" t="s">
        <v>12460</v>
      </c>
      <c r="Q3174" s="13" t="s">
        <v>75</v>
      </c>
      <c r="R3174" s="13" t="s">
        <v>75</v>
      </c>
      <c r="S3174" s="13" t="s">
        <v>73</v>
      </c>
      <c r="T3174" s="52">
        <v>45639.71546662037</v>
      </c>
      <c r="U3174" s="52">
        <v>45642.496466412034</v>
      </c>
      <c r="V3174" s="52">
        <v>45643.78982986111</v>
      </c>
      <c r="W3174" s="11"/>
      <c r="X3174" s="11"/>
      <c r="Y3174" s="45"/>
      <c r="Z3174" s="45"/>
      <c r="AA3174" s="31" t="s">
        <v>3808</v>
      </c>
      <c r="AB3174" s="45" t="s">
        <v>12461</v>
      </c>
      <c r="AC3174" s="45"/>
    </row>
    <row r="3175" ht="18.75" customHeight="1">
      <c r="A3175" s="32" t="s">
        <v>12462</v>
      </c>
      <c r="B3175" s="19" t="s">
        <v>12458</v>
      </c>
      <c r="C3175" s="20">
        <v>0.0</v>
      </c>
      <c r="D3175" s="48" t="s">
        <v>12463</v>
      </c>
      <c r="E3175" s="27" t="s">
        <v>4430</v>
      </c>
      <c r="F3175" s="18" t="s">
        <v>48</v>
      </c>
      <c r="G3175" s="18" t="s">
        <v>35</v>
      </c>
      <c r="H3175" s="40" t="s">
        <v>35</v>
      </c>
      <c r="I3175" s="24" t="s">
        <v>36</v>
      </c>
      <c r="J3175" s="25" t="s">
        <v>49</v>
      </c>
      <c r="K3175" s="26" t="s">
        <v>238</v>
      </c>
      <c r="L3175" s="64" t="s">
        <v>2827</v>
      </c>
      <c r="M3175" s="22" t="s">
        <v>50</v>
      </c>
      <c r="N3175" s="65" t="s">
        <v>125</v>
      </c>
      <c r="O3175" s="28">
        <v>45645.73094907407</v>
      </c>
      <c r="P3175" s="26" t="s">
        <v>12460</v>
      </c>
      <c r="Q3175" s="13" t="s">
        <v>75</v>
      </c>
      <c r="R3175" s="13" t="s">
        <v>75</v>
      </c>
      <c r="S3175" s="13" t="s">
        <v>73</v>
      </c>
      <c r="T3175" s="52">
        <v>45639.71554320602</v>
      </c>
      <c r="U3175" s="52">
        <v>45642.49648002315</v>
      </c>
      <c r="V3175" s="52">
        <v>45643.78984305555</v>
      </c>
      <c r="W3175" s="11"/>
      <c r="X3175" s="11"/>
      <c r="Y3175" s="45"/>
      <c r="Z3175" s="45"/>
      <c r="AA3175" s="31" t="s">
        <v>3808</v>
      </c>
      <c r="AB3175" s="45" t="s">
        <v>12464</v>
      </c>
      <c r="AC3175" s="45"/>
    </row>
    <row r="3176" ht="18.75" customHeight="1">
      <c r="A3176" s="32" t="s">
        <v>12465</v>
      </c>
      <c r="B3176" s="19" t="s">
        <v>12458</v>
      </c>
      <c r="C3176" s="20">
        <v>27.0</v>
      </c>
      <c r="D3176" s="39" t="s">
        <v>12466</v>
      </c>
      <c r="E3176" s="22" t="s">
        <v>72</v>
      </c>
      <c r="F3176" s="18" t="s">
        <v>48</v>
      </c>
      <c r="G3176" s="18" t="s">
        <v>35</v>
      </c>
      <c r="H3176" s="40" t="s">
        <v>35</v>
      </c>
      <c r="I3176" s="24" t="s">
        <v>36</v>
      </c>
      <c r="J3176" s="25" t="s">
        <v>49</v>
      </c>
      <c r="K3176" s="26" t="s">
        <v>238</v>
      </c>
      <c r="L3176" s="64" t="s">
        <v>2827</v>
      </c>
      <c r="M3176" s="22" t="s">
        <v>50</v>
      </c>
      <c r="N3176" s="65" t="s">
        <v>125</v>
      </c>
      <c r="O3176" s="28">
        <v>45645.73094907407</v>
      </c>
      <c r="P3176" s="26" t="s">
        <v>12460</v>
      </c>
      <c r="Q3176" s="13" t="s">
        <v>75</v>
      </c>
      <c r="R3176" s="13" t="s">
        <v>75</v>
      </c>
      <c r="S3176" s="13" t="s">
        <v>73</v>
      </c>
      <c r="T3176" s="52">
        <v>45639.71537236111</v>
      </c>
      <c r="U3176" s="52">
        <v>45642.49643126158</v>
      </c>
      <c r="V3176" s="52">
        <v>45643.78982199074</v>
      </c>
      <c r="W3176" s="11"/>
      <c r="X3176" s="11"/>
      <c r="Y3176" s="66"/>
      <c r="Z3176" s="45"/>
      <c r="AA3176" s="31" t="s">
        <v>3808</v>
      </c>
      <c r="AB3176" s="45" t="s">
        <v>12467</v>
      </c>
      <c r="AC3176" s="45"/>
    </row>
    <row r="3177" ht="18.75" customHeight="1">
      <c r="A3177" s="142" t="s">
        <v>12468</v>
      </c>
      <c r="B3177" s="19" t="s">
        <v>746</v>
      </c>
      <c r="C3177" s="20">
        <v>34.0</v>
      </c>
      <c r="D3177" s="48" t="s">
        <v>12469</v>
      </c>
      <c r="E3177" s="27" t="s">
        <v>47</v>
      </c>
      <c r="F3177" s="18" t="s">
        <v>48</v>
      </c>
      <c r="G3177" s="18" t="s">
        <v>35</v>
      </c>
      <c r="H3177" s="40" t="s">
        <v>35</v>
      </c>
      <c r="I3177" s="37" t="s">
        <v>36</v>
      </c>
      <c r="J3177" s="25" t="s">
        <v>65</v>
      </c>
      <c r="K3177" s="26" t="s">
        <v>38</v>
      </c>
      <c r="L3177" s="25">
        <v>12254.0</v>
      </c>
      <c r="M3177" s="62" t="s">
        <v>50</v>
      </c>
      <c r="N3177" s="42" t="s">
        <v>149</v>
      </c>
      <c r="O3177" s="63">
        <v>45644.48958333333</v>
      </c>
      <c r="P3177" s="26" t="s">
        <v>12470</v>
      </c>
      <c r="Q3177" s="13" t="s">
        <v>75</v>
      </c>
      <c r="R3177" s="13" t="s">
        <v>67</v>
      </c>
      <c r="S3177" s="13" t="s">
        <v>50</v>
      </c>
      <c r="T3177" s="52">
        <v>45639.70802041667</v>
      </c>
      <c r="U3177" s="52">
        <v>45643.37573515046</v>
      </c>
      <c r="V3177" s="52">
        <v>45644.46059725694</v>
      </c>
      <c r="W3177" s="11"/>
      <c r="X3177" s="11"/>
      <c r="Y3177" s="45"/>
      <c r="Z3177" s="45"/>
      <c r="AA3177" s="31" t="s">
        <v>94</v>
      </c>
      <c r="AB3177" s="45" t="s">
        <v>12471</v>
      </c>
      <c r="AC3177" s="45"/>
    </row>
    <row r="3178" ht="18.75" customHeight="1">
      <c r="A3178" s="142" t="s">
        <v>12472</v>
      </c>
      <c r="B3178" s="19" t="s">
        <v>6847</v>
      </c>
      <c r="C3178" s="20">
        <v>137.0</v>
      </c>
      <c r="D3178" s="48" t="s">
        <v>12473</v>
      </c>
      <c r="E3178" s="27" t="s">
        <v>85</v>
      </c>
      <c r="F3178" s="18" t="s">
        <v>48</v>
      </c>
      <c r="G3178" s="18" t="s">
        <v>35</v>
      </c>
      <c r="H3178" s="40" t="s">
        <v>35</v>
      </c>
      <c r="I3178" s="37" t="s">
        <v>36</v>
      </c>
      <c r="J3178" s="34" t="s">
        <v>49</v>
      </c>
      <c r="K3178" s="26" t="s">
        <v>9962</v>
      </c>
      <c r="L3178" s="64" t="s">
        <v>12474</v>
      </c>
      <c r="M3178" s="49" t="s">
        <v>50</v>
      </c>
      <c r="N3178" s="42" t="s">
        <v>4183</v>
      </c>
      <c r="O3178" s="50">
        <v>45646.0</v>
      </c>
      <c r="P3178" s="26" t="s">
        <v>12475</v>
      </c>
      <c r="Q3178" s="13" t="s">
        <v>75</v>
      </c>
      <c r="R3178" s="13" t="s">
        <v>67</v>
      </c>
      <c r="S3178" s="13" t="s">
        <v>73</v>
      </c>
      <c r="T3178" s="52">
        <v>45639.71066085648</v>
      </c>
      <c r="U3178" s="52">
        <v>45643.56541166667</v>
      </c>
      <c r="V3178" s="52">
        <v>45644.77643222222</v>
      </c>
      <c r="W3178" s="11"/>
      <c r="X3178" s="11"/>
      <c r="Y3178" s="66"/>
      <c r="Z3178" s="45"/>
      <c r="AA3178" s="31" t="s">
        <v>127</v>
      </c>
      <c r="AB3178" s="45" t="s">
        <v>12476</v>
      </c>
      <c r="AC3178" s="45"/>
    </row>
    <row r="3179" ht="18.75" customHeight="1">
      <c r="A3179" s="142" t="s">
        <v>12477</v>
      </c>
      <c r="B3179" s="19" t="s">
        <v>2488</v>
      </c>
      <c r="C3179" s="20">
        <v>11.0</v>
      </c>
      <c r="D3179" s="48" t="s">
        <v>12478</v>
      </c>
      <c r="E3179" s="27" t="s">
        <v>112</v>
      </c>
      <c r="F3179" s="18" t="s">
        <v>48</v>
      </c>
      <c r="G3179" s="18" t="s">
        <v>35</v>
      </c>
      <c r="H3179" s="40" t="s">
        <v>35</v>
      </c>
      <c r="I3179" s="24" t="s">
        <v>36</v>
      </c>
      <c r="J3179" s="25" t="s">
        <v>49</v>
      </c>
      <c r="K3179" s="26" t="s">
        <v>38</v>
      </c>
      <c r="L3179" s="64" t="s">
        <v>2813</v>
      </c>
      <c r="M3179" s="22" t="s">
        <v>50</v>
      </c>
      <c r="N3179" s="65" t="s">
        <v>125</v>
      </c>
      <c r="O3179" s="28">
        <v>45645.73094907407</v>
      </c>
      <c r="P3179" s="26" t="s">
        <v>12479</v>
      </c>
      <c r="Q3179" s="13" t="s">
        <v>75</v>
      </c>
      <c r="R3179" s="13" t="s">
        <v>75</v>
      </c>
      <c r="S3179" s="13" t="s">
        <v>73</v>
      </c>
      <c r="T3179" s="52">
        <v>45642.40680111111</v>
      </c>
      <c r="U3179" s="52">
        <v>45642.46488533565</v>
      </c>
      <c r="V3179" s="52">
        <v>45643.755781562504</v>
      </c>
      <c r="W3179" s="11"/>
      <c r="X3179" s="11"/>
      <c r="Y3179" s="66"/>
      <c r="Z3179" s="45"/>
      <c r="AA3179" s="31" t="s">
        <v>127</v>
      </c>
      <c r="AB3179" s="45" t="s">
        <v>12480</v>
      </c>
      <c r="AC3179" s="45"/>
    </row>
    <row r="3180" ht="18.75" customHeight="1">
      <c r="A3180" s="18" t="s">
        <v>12481</v>
      </c>
      <c r="B3180" s="19" t="s">
        <v>4313</v>
      </c>
      <c r="C3180" s="20">
        <v>11.0</v>
      </c>
      <c r="D3180" s="48" t="s">
        <v>12482</v>
      </c>
      <c r="E3180" s="27" t="s">
        <v>112</v>
      </c>
      <c r="F3180" s="18" t="s">
        <v>48</v>
      </c>
      <c r="G3180" s="18" t="s">
        <v>35</v>
      </c>
      <c r="H3180" s="40" t="s">
        <v>35</v>
      </c>
      <c r="I3180" s="37" t="s">
        <v>36</v>
      </c>
      <c r="J3180" s="25" t="s">
        <v>92</v>
      </c>
      <c r="K3180" s="26" t="s">
        <v>38</v>
      </c>
      <c r="L3180" s="25">
        <v>12252.0</v>
      </c>
      <c r="M3180" s="62" t="s">
        <v>50</v>
      </c>
      <c r="N3180" s="42" t="s">
        <v>7077</v>
      </c>
      <c r="O3180" s="63">
        <v>45664.646527777775</v>
      </c>
      <c r="P3180" s="26" t="s">
        <v>12483</v>
      </c>
      <c r="Q3180" s="13" t="s">
        <v>75</v>
      </c>
      <c r="R3180" s="13" t="s">
        <v>75</v>
      </c>
      <c r="S3180" s="13" t="s">
        <v>50</v>
      </c>
      <c r="T3180" s="52">
        <v>45642.43575311343</v>
      </c>
      <c r="U3180" s="52">
        <v>45642.46723789352</v>
      </c>
      <c r="V3180" s="52">
        <v>45644.37432671296</v>
      </c>
      <c r="W3180" s="11"/>
      <c r="X3180" s="11"/>
      <c r="Y3180" s="45"/>
      <c r="Z3180" s="78"/>
      <c r="AA3180" s="31" t="s">
        <v>120</v>
      </c>
      <c r="AB3180" s="45" t="s">
        <v>12484</v>
      </c>
      <c r="AC3180" s="45"/>
    </row>
    <row r="3181" ht="18.75" customHeight="1">
      <c r="A3181" s="18" t="s">
        <v>12485</v>
      </c>
      <c r="B3181" s="19" t="s">
        <v>4313</v>
      </c>
      <c r="C3181" s="20">
        <v>0.0</v>
      </c>
      <c r="D3181" s="48"/>
      <c r="E3181" s="27" t="s">
        <v>12486</v>
      </c>
      <c r="F3181" s="18" t="s">
        <v>11504</v>
      </c>
      <c r="G3181" s="18" t="s">
        <v>35</v>
      </c>
      <c r="H3181" s="40" t="s">
        <v>35</v>
      </c>
      <c r="I3181" s="37" t="s">
        <v>36</v>
      </c>
      <c r="J3181" s="25" t="s">
        <v>92</v>
      </c>
      <c r="K3181" s="26" t="s">
        <v>38</v>
      </c>
      <c r="L3181" s="25">
        <v>12252.0</v>
      </c>
      <c r="M3181" s="62" t="s">
        <v>50</v>
      </c>
      <c r="N3181" s="42" t="s">
        <v>7077</v>
      </c>
      <c r="O3181" s="63">
        <v>45666.69027777778</v>
      </c>
      <c r="P3181" s="26" t="s">
        <v>12483</v>
      </c>
      <c r="Q3181" s="13" t="s">
        <v>75</v>
      </c>
      <c r="R3181" s="13" t="s">
        <v>75</v>
      </c>
      <c r="S3181" s="13" t="s">
        <v>73</v>
      </c>
      <c r="T3181" s="52">
        <v>45642.436480752316</v>
      </c>
      <c r="U3181" s="52">
        <v>45642.46716685186</v>
      </c>
      <c r="V3181" s="52">
        <v>45643.755793715274</v>
      </c>
      <c r="W3181" s="11"/>
      <c r="X3181" s="11"/>
      <c r="Y3181" s="45"/>
      <c r="Z3181" s="45"/>
      <c r="AA3181" s="31" t="s">
        <v>120</v>
      </c>
      <c r="AB3181" s="45" t="s">
        <v>12487</v>
      </c>
      <c r="AC3181" s="45"/>
    </row>
    <row r="3182" ht="18.75" customHeight="1">
      <c r="A3182" s="142" t="s">
        <v>12488</v>
      </c>
      <c r="B3182" s="19" t="s">
        <v>3289</v>
      </c>
      <c r="C3182" s="20">
        <v>90.0</v>
      </c>
      <c r="D3182" s="48" t="s">
        <v>12489</v>
      </c>
      <c r="E3182" s="27" t="s">
        <v>91</v>
      </c>
      <c r="F3182" s="18" t="s">
        <v>48</v>
      </c>
      <c r="G3182" s="18" t="s">
        <v>35</v>
      </c>
      <c r="H3182" s="40" t="s">
        <v>35</v>
      </c>
      <c r="I3182" s="37" t="s">
        <v>36</v>
      </c>
      <c r="J3182" s="25" t="s">
        <v>92</v>
      </c>
      <c r="K3182" s="26" t="s">
        <v>38</v>
      </c>
      <c r="L3182" s="163">
        <v>12318.0</v>
      </c>
      <c r="M3182" s="62" t="s">
        <v>50</v>
      </c>
      <c r="N3182" s="42" t="s">
        <v>4362</v>
      </c>
      <c r="O3182" s="63">
        <v>45664.41794783565</v>
      </c>
      <c r="P3182" s="26" t="s">
        <v>12490</v>
      </c>
      <c r="Q3182" s="13" t="s">
        <v>75</v>
      </c>
      <c r="R3182" s="13" t="s">
        <v>75</v>
      </c>
      <c r="S3182" s="13" t="s">
        <v>9620</v>
      </c>
      <c r="T3182" s="52">
        <v>45642.43568056713</v>
      </c>
      <c r="U3182" s="52">
        <v>45642.45167550926</v>
      </c>
      <c r="V3182" s="52">
        <v>45645.69929690972</v>
      </c>
      <c r="W3182" s="11"/>
      <c r="X3182" s="11"/>
      <c r="Y3182" s="66"/>
      <c r="Z3182" s="78"/>
      <c r="AA3182" s="31" t="s">
        <v>120</v>
      </c>
      <c r="AB3182" s="45" t="s">
        <v>12491</v>
      </c>
      <c r="AC3182" s="45"/>
    </row>
    <row r="3183" ht="18.75" customHeight="1">
      <c r="A3183" s="142" t="s">
        <v>12492</v>
      </c>
      <c r="B3183" s="19" t="s">
        <v>12493</v>
      </c>
      <c r="C3183" s="20">
        <v>1.0</v>
      </c>
      <c r="D3183" s="48" t="s">
        <v>12494</v>
      </c>
      <c r="E3183" s="27" t="s">
        <v>3395</v>
      </c>
      <c r="F3183" s="18" t="s">
        <v>48</v>
      </c>
      <c r="G3183" s="18" t="s">
        <v>35</v>
      </c>
      <c r="H3183" s="40" t="s">
        <v>35</v>
      </c>
      <c r="I3183" s="37" t="s">
        <v>36</v>
      </c>
      <c r="J3183" s="25" t="s">
        <v>65</v>
      </c>
      <c r="K3183" s="26" t="s">
        <v>38</v>
      </c>
      <c r="L3183" s="25">
        <v>12375.0</v>
      </c>
      <c r="M3183" s="49" t="s">
        <v>50</v>
      </c>
      <c r="N3183" s="42" t="s">
        <v>10991</v>
      </c>
      <c r="O3183" s="50">
        <v>45653.69137859954</v>
      </c>
      <c r="P3183" s="26" t="s">
        <v>12495</v>
      </c>
      <c r="Q3183" s="13" t="s">
        <v>67</v>
      </c>
      <c r="R3183" s="13" t="s">
        <v>75</v>
      </c>
      <c r="S3183" s="13" t="s">
        <v>50</v>
      </c>
      <c r="T3183" s="52">
        <v>45653.44929037037</v>
      </c>
      <c r="U3183" s="52">
        <v>45653.4646360301</v>
      </c>
      <c r="V3183" s="52">
        <v>45653.559392615745</v>
      </c>
      <c r="W3183" s="11"/>
      <c r="X3183" s="11"/>
      <c r="Y3183" s="45"/>
      <c r="Z3183" s="45"/>
      <c r="AA3183" s="31" t="s">
        <v>3059</v>
      </c>
      <c r="AB3183" s="45" t="s">
        <v>12496</v>
      </c>
      <c r="AC3183" s="45"/>
    </row>
    <row r="3184" ht="18.75" customHeight="1">
      <c r="A3184" s="142" t="s">
        <v>12497</v>
      </c>
      <c r="B3184" s="19" t="s">
        <v>4957</v>
      </c>
      <c r="C3184" s="20">
        <v>34.0</v>
      </c>
      <c r="D3184" s="48" t="s">
        <v>12498</v>
      </c>
      <c r="E3184" s="27" t="s">
        <v>47</v>
      </c>
      <c r="F3184" s="18" t="s">
        <v>48</v>
      </c>
      <c r="G3184" s="18" t="s">
        <v>35</v>
      </c>
      <c r="H3184" s="40" t="s">
        <v>35</v>
      </c>
      <c r="I3184" s="37" t="s">
        <v>36</v>
      </c>
      <c r="J3184" s="25" t="s">
        <v>65</v>
      </c>
      <c r="K3184" s="26" t="s">
        <v>38</v>
      </c>
      <c r="L3184" s="25">
        <v>12255.0</v>
      </c>
      <c r="M3184" s="62" t="s">
        <v>50</v>
      </c>
      <c r="N3184" s="42" t="s">
        <v>149</v>
      </c>
      <c r="O3184" s="63">
        <v>45644.490277777775</v>
      </c>
      <c r="P3184" s="26" t="s">
        <v>12499</v>
      </c>
      <c r="Q3184" s="13" t="s">
        <v>75</v>
      </c>
      <c r="R3184" s="13" t="s">
        <v>75</v>
      </c>
      <c r="S3184" s="13" t="s">
        <v>50</v>
      </c>
      <c r="T3184" s="52">
        <v>45643.37195990741</v>
      </c>
      <c r="U3184" s="52">
        <v>45643.40132145833</v>
      </c>
      <c r="V3184" s="52">
        <v>45644.460609629634</v>
      </c>
      <c r="W3184" s="11"/>
      <c r="X3184" s="11"/>
      <c r="Y3184" s="45"/>
      <c r="Z3184" s="45"/>
      <c r="AA3184" s="31" t="s">
        <v>94</v>
      </c>
      <c r="AB3184" s="45" t="s">
        <v>12500</v>
      </c>
      <c r="AC3184" s="45"/>
    </row>
    <row r="3185" ht="18.75" customHeight="1">
      <c r="A3185" s="142" t="s">
        <v>12501</v>
      </c>
      <c r="B3185" s="19" t="s">
        <v>4957</v>
      </c>
      <c r="C3185" s="20">
        <v>90.0</v>
      </c>
      <c r="D3185" s="48" t="s">
        <v>12502</v>
      </c>
      <c r="E3185" s="27" t="s">
        <v>91</v>
      </c>
      <c r="F3185" s="18" t="s">
        <v>48</v>
      </c>
      <c r="G3185" s="18" t="s">
        <v>35</v>
      </c>
      <c r="H3185" s="40" t="s">
        <v>35</v>
      </c>
      <c r="I3185" s="24" t="s">
        <v>36</v>
      </c>
      <c r="J3185" s="25" t="s">
        <v>65</v>
      </c>
      <c r="K3185" s="26" t="s">
        <v>38</v>
      </c>
      <c r="L3185" s="64" t="s">
        <v>12503</v>
      </c>
      <c r="M3185" s="152" t="str">
        <f>VLOOKUP(D3185,'Página111'!E:E,1,0)</f>
        <v>#REF!</v>
      </c>
      <c r="N3185" s="42"/>
      <c r="O3185" s="50">
        <v>45646.0</v>
      </c>
      <c r="P3185" s="26" t="s">
        <v>12504</v>
      </c>
      <c r="Q3185" s="13" t="s">
        <v>75</v>
      </c>
      <c r="R3185" s="13" t="s">
        <v>75</v>
      </c>
      <c r="S3185" s="13" t="s">
        <v>73</v>
      </c>
      <c r="T3185" s="52">
        <v>45643.36467173611</v>
      </c>
      <c r="U3185" s="52">
        <v>45643.38992148148</v>
      </c>
      <c r="V3185" s="52">
        <v>45644.77641806713</v>
      </c>
      <c r="W3185" s="11"/>
      <c r="X3185" s="11"/>
      <c r="Y3185" s="66"/>
      <c r="Z3185" s="45"/>
      <c r="AA3185" s="31" t="s">
        <v>94</v>
      </c>
      <c r="AB3185" s="45" t="s">
        <v>12505</v>
      </c>
      <c r="AC3185" s="45"/>
    </row>
    <row r="3186" ht="18.75" customHeight="1">
      <c r="A3186" s="142" t="s">
        <v>12506</v>
      </c>
      <c r="B3186" s="19" t="s">
        <v>3164</v>
      </c>
      <c r="C3186" s="20">
        <v>0.0</v>
      </c>
      <c r="D3186" s="48" t="s">
        <v>12507</v>
      </c>
      <c r="E3186" s="27" t="s">
        <v>251</v>
      </c>
      <c r="F3186" s="18" t="s">
        <v>33</v>
      </c>
      <c r="G3186" s="18" t="s">
        <v>35</v>
      </c>
      <c r="H3186" s="40" t="s">
        <v>35</v>
      </c>
      <c r="I3186" s="37" t="s">
        <v>36</v>
      </c>
      <c r="J3186" s="25" t="s">
        <v>49</v>
      </c>
      <c r="K3186" s="26" t="s">
        <v>384</v>
      </c>
      <c r="L3186" s="25">
        <v>12344.0</v>
      </c>
      <c r="M3186" s="62" t="s">
        <v>50</v>
      </c>
      <c r="N3186" s="42" t="s">
        <v>4183</v>
      </c>
      <c r="O3186" s="63">
        <v>45653.69396445602</v>
      </c>
      <c r="P3186" s="26" t="s">
        <v>12508</v>
      </c>
      <c r="Q3186" s="13" t="s">
        <v>67</v>
      </c>
      <c r="R3186" s="13" t="s">
        <v>67</v>
      </c>
      <c r="S3186" s="13" t="s">
        <v>101</v>
      </c>
      <c r="T3186" s="52">
        <v>45643.39683428241</v>
      </c>
      <c r="U3186" s="52">
        <v>45643.39793478009</v>
      </c>
      <c r="V3186" s="52">
        <v>45650.43269887731</v>
      </c>
      <c r="W3186" s="11"/>
      <c r="X3186" s="11"/>
      <c r="Y3186" s="45"/>
      <c r="Z3186" s="45"/>
      <c r="AA3186" s="31" t="s">
        <v>108</v>
      </c>
      <c r="AB3186" s="45" t="s">
        <v>12509</v>
      </c>
      <c r="AC3186" s="45"/>
    </row>
    <row r="3187" ht="18.75" customHeight="1">
      <c r="A3187" s="18" t="s">
        <v>12510</v>
      </c>
      <c r="B3187" s="19" t="s">
        <v>96</v>
      </c>
      <c r="C3187" s="20">
        <v>0.0</v>
      </c>
      <c r="D3187" s="48" t="s">
        <v>12511</v>
      </c>
      <c r="E3187" s="22" t="s">
        <v>32</v>
      </c>
      <c r="F3187" s="18" t="s">
        <v>33</v>
      </c>
      <c r="G3187" s="18" t="s">
        <v>34</v>
      </c>
      <c r="H3187" s="40" t="s">
        <v>980</v>
      </c>
      <c r="I3187" s="37" t="s">
        <v>36</v>
      </c>
      <c r="J3187" s="25" t="s">
        <v>49</v>
      </c>
      <c r="K3187" s="26" t="s">
        <v>38</v>
      </c>
      <c r="L3187" s="25">
        <v>12416.0</v>
      </c>
      <c r="M3187" s="62" t="s">
        <v>50</v>
      </c>
      <c r="N3187" s="42" t="s">
        <v>143</v>
      </c>
      <c r="O3187" s="63">
        <v>45667.705532824075</v>
      </c>
      <c r="P3187" s="26" t="s">
        <v>12512</v>
      </c>
      <c r="Q3187" s="13" t="s">
        <v>75</v>
      </c>
      <c r="R3187" s="13" t="s">
        <v>67</v>
      </c>
      <c r="S3187" s="13" t="s">
        <v>101</v>
      </c>
      <c r="T3187" s="52">
        <v>45643.58243465278</v>
      </c>
      <c r="U3187" s="52">
        <v>45652.36955804398</v>
      </c>
      <c r="V3187" s="52">
        <v>45666.46418782407</v>
      </c>
      <c r="W3187" s="11"/>
      <c r="X3187" s="11"/>
      <c r="Y3187" s="45"/>
      <c r="Z3187" s="45"/>
      <c r="AA3187" s="31" t="s">
        <v>102</v>
      </c>
      <c r="AB3187" s="45" t="s">
        <v>12513</v>
      </c>
      <c r="AC3187" s="45"/>
    </row>
    <row r="3188" ht="18.75" customHeight="1">
      <c r="A3188" s="18" t="s">
        <v>12514</v>
      </c>
      <c r="B3188" s="19" t="s">
        <v>96</v>
      </c>
      <c r="C3188" s="20">
        <v>0.0</v>
      </c>
      <c r="D3188" s="48" t="s">
        <v>12515</v>
      </c>
      <c r="E3188" s="22" t="s">
        <v>32</v>
      </c>
      <c r="F3188" s="18" t="s">
        <v>33</v>
      </c>
      <c r="G3188" s="18" t="s">
        <v>34</v>
      </c>
      <c r="H3188" s="40" t="s">
        <v>980</v>
      </c>
      <c r="I3188" s="37" t="s">
        <v>36</v>
      </c>
      <c r="J3188" s="25" t="s">
        <v>49</v>
      </c>
      <c r="K3188" s="26" t="s">
        <v>38</v>
      </c>
      <c r="L3188" s="25">
        <v>12416.0</v>
      </c>
      <c r="M3188" s="62" t="s">
        <v>50</v>
      </c>
      <c r="N3188" s="42" t="s">
        <v>143</v>
      </c>
      <c r="O3188" s="63">
        <v>45667.705802743054</v>
      </c>
      <c r="P3188" s="26" t="s">
        <v>12512</v>
      </c>
      <c r="Q3188" s="13" t="s">
        <v>75</v>
      </c>
      <c r="R3188" s="13" t="s">
        <v>67</v>
      </c>
      <c r="S3188" s="13" t="s">
        <v>101</v>
      </c>
      <c r="T3188" s="52">
        <v>45643.582495891205</v>
      </c>
      <c r="U3188" s="52">
        <v>45652.36959605324</v>
      </c>
      <c r="V3188" s="52">
        <v>45666.464944363426</v>
      </c>
      <c r="W3188" s="11"/>
      <c r="X3188" s="11"/>
      <c r="Y3188" s="45"/>
      <c r="Z3188" s="45"/>
      <c r="AA3188" s="31" t="s">
        <v>102</v>
      </c>
      <c r="AB3188" s="45" t="s">
        <v>12516</v>
      </c>
      <c r="AC3188" s="45"/>
    </row>
    <row r="3189" ht="18.75" customHeight="1">
      <c r="A3189" s="18" t="s">
        <v>12517</v>
      </c>
      <c r="B3189" s="19" t="s">
        <v>96</v>
      </c>
      <c r="C3189" s="20">
        <v>0.0</v>
      </c>
      <c r="D3189" s="48" t="s">
        <v>12518</v>
      </c>
      <c r="E3189" s="22" t="s">
        <v>32</v>
      </c>
      <c r="F3189" s="18" t="s">
        <v>33</v>
      </c>
      <c r="G3189" s="18" t="s">
        <v>34</v>
      </c>
      <c r="H3189" s="40" t="s">
        <v>980</v>
      </c>
      <c r="I3189" s="37" t="s">
        <v>36</v>
      </c>
      <c r="J3189" s="25" t="s">
        <v>49</v>
      </c>
      <c r="K3189" s="26" t="s">
        <v>38</v>
      </c>
      <c r="L3189" s="25">
        <v>12416.0</v>
      </c>
      <c r="M3189" s="62" t="s">
        <v>50</v>
      </c>
      <c r="N3189" s="42" t="s">
        <v>143</v>
      </c>
      <c r="O3189" s="63">
        <v>45667.70563258102</v>
      </c>
      <c r="P3189" s="26" t="s">
        <v>12512</v>
      </c>
      <c r="Q3189" s="13" t="s">
        <v>75</v>
      </c>
      <c r="R3189" s="13" t="s">
        <v>67</v>
      </c>
      <c r="S3189" s="13" t="s">
        <v>101</v>
      </c>
      <c r="T3189" s="52">
        <v>45643.58257731481</v>
      </c>
      <c r="U3189" s="52">
        <v>45652.36958327546</v>
      </c>
      <c r="V3189" s="52">
        <v>45666.66122440972</v>
      </c>
      <c r="W3189" s="11"/>
      <c r="X3189" s="11"/>
      <c r="Y3189" s="45"/>
      <c r="Z3189" s="45"/>
      <c r="AA3189" s="31" t="s">
        <v>102</v>
      </c>
      <c r="AB3189" s="45" t="s">
        <v>12519</v>
      </c>
      <c r="AC3189" s="45"/>
    </row>
    <row r="3190" ht="18.75" customHeight="1">
      <c r="A3190" s="18" t="s">
        <v>12520</v>
      </c>
      <c r="B3190" s="19" t="s">
        <v>96</v>
      </c>
      <c r="C3190" s="20">
        <v>0.0</v>
      </c>
      <c r="D3190" s="48" t="s">
        <v>1086</v>
      </c>
      <c r="E3190" s="22" t="s">
        <v>32</v>
      </c>
      <c r="F3190" s="18" t="s">
        <v>33</v>
      </c>
      <c r="G3190" s="18" t="s">
        <v>34</v>
      </c>
      <c r="H3190" s="40" t="s">
        <v>980</v>
      </c>
      <c r="I3190" s="37" t="s">
        <v>36</v>
      </c>
      <c r="J3190" s="25" t="s">
        <v>49</v>
      </c>
      <c r="K3190" s="26" t="s">
        <v>38</v>
      </c>
      <c r="L3190" s="25">
        <v>12416.0</v>
      </c>
      <c r="M3190" s="62" t="s">
        <v>50</v>
      </c>
      <c r="N3190" s="42" t="s">
        <v>143</v>
      </c>
      <c r="O3190" s="63">
        <v>45667.70569630787</v>
      </c>
      <c r="P3190" s="26" t="s">
        <v>12512</v>
      </c>
      <c r="Q3190" s="13" t="s">
        <v>75</v>
      </c>
      <c r="R3190" s="13" t="s">
        <v>67</v>
      </c>
      <c r="S3190" s="13" t="s">
        <v>101</v>
      </c>
      <c r="T3190" s="52">
        <v>45643.582639409724</v>
      </c>
      <c r="U3190" s="52">
        <v>45652.369591006944</v>
      </c>
      <c r="V3190" s="52">
        <v>45666.464197430556</v>
      </c>
      <c r="W3190" s="11"/>
      <c r="X3190" s="11"/>
      <c r="Y3190" s="45"/>
      <c r="Z3190" s="45"/>
      <c r="AA3190" s="31" t="s">
        <v>102</v>
      </c>
      <c r="AB3190" s="45" t="s">
        <v>12521</v>
      </c>
      <c r="AC3190" s="45"/>
    </row>
    <row r="3191" ht="18.75" customHeight="1">
      <c r="A3191" s="18" t="s">
        <v>12522</v>
      </c>
      <c r="B3191" s="19" t="s">
        <v>96</v>
      </c>
      <c r="C3191" s="20">
        <v>0.0</v>
      </c>
      <c r="D3191" s="48" t="s">
        <v>12523</v>
      </c>
      <c r="E3191" s="22" t="s">
        <v>32</v>
      </c>
      <c r="F3191" s="18" t="s">
        <v>33</v>
      </c>
      <c r="G3191" s="18" t="s">
        <v>34</v>
      </c>
      <c r="H3191" s="40" t="s">
        <v>980</v>
      </c>
      <c r="I3191" s="37" t="s">
        <v>36</v>
      </c>
      <c r="J3191" s="25" t="s">
        <v>49</v>
      </c>
      <c r="K3191" s="26" t="s">
        <v>38</v>
      </c>
      <c r="L3191" s="25">
        <v>12416.0</v>
      </c>
      <c r="M3191" s="62" t="s">
        <v>50</v>
      </c>
      <c r="N3191" s="42" t="s">
        <v>143</v>
      </c>
      <c r="O3191" s="63">
        <v>45667.70592810185</v>
      </c>
      <c r="P3191" s="26" t="s">
        <v>12512</v>
      </c>
      <c r="Q3191" s="13" t="s">
        <v>75</v>
      </c>
      <c r="R3191" s="13" t="s">
        <v>67</v>
      </c>
      <c r="S3191" s="13" t="s">
        <v>101</v>
      </c>
      <c r="T3191" s="52">
        <v>45643.58270568287</v>
      </c>
      <c r="U3191" s="52">
        <v>45652.3696102199</v>
      </c>
      <c r="V3191" s="52">
        <v>45666.66123409722</v>
      </c>
      <c r="W3191" s="11"/>
      <c r="X3191" s="11"/>
      <c r="Y3191" s="45"/>
      <c r="Z3191" s="45"/>
      <c r="AA3191" s="31" t="s">
        <v>102</v>
      </c>
      <c r="AB3191" s="45" t="s">
        <v>12524</v>
      </c>
      <c r="AC3191" s="45"/>
    </row>
    <row r="3192" ht="18.75" customHeight="1">
      <c r="A3192" s="32" t="s">
        <v>12525</v>
      </c>
      <c r="B3192" s="19" t="s">
        <v>96</v>
      </c>
      <c r="C3192" s="20">
        <v>0.0</v>
      </c>
      <c r="D3192" s="48" t="s">
        <v>12526</v>
      </c>
      <c r="E3192" s="22" t="s">
        <v>32</v>
      </c>
      <c r="F3192" s="18" t="s">
        <v>33</v>
      </c>
      <c r="G3192" s="18" t="s">
        <v>34</v>
      </c>
      <c r="H3192" s="40" t="s">
        <v>980</v>
      </c>
      <c r="I3192" s="37" t="s">
        <v>36</v>
      </c>
      <c r="J3192" s="25" t="s">
        <v>49</v>
      </c>
      <c r="K3192" s="26" t="s">
        <v>38</v>
      </c>
      <c r="L3192" s="25">
        <v>12416.0</v>
      </c>
      <c r="M3192" s="62" t="s">
        <v>50</v>
      </c>
      <c r="N3192" s="42" t="s">
        <v>143</v>
      </c>
      <c r="O3192" s="63">
        <v>45667.706066342595</v>
      </c>
      <c r="P3192" s="26" t="s">
        <v>12512</v>
      </c>
      <c r="Q3192" s="13" t="s">
        <v>75</v>
      </c>
      <c r="R3192" s="13" t="s">
        <v>67</v>
      </c>
      <c r="S3192" s="13" t="s">
        <v>101</v>
      </c>
      <c r="T3192" s="52">
        <v>45643.582878078705</v>
      </c>
      <c r="U3192" s="52">
        <v>45652.36962331018</v>
      </c>
      <c r="V3192" s="52">
        <v>45666.72173914352</v>
      </c>
      <c r="W3192" s="11"/>
      <c r="X3192" s="11"/>
      <c r="Y3192" s="45"/>
      <c r="Z3192" s="45"/>
      <c r="AA3192" s="31" t="s">
        <v>102</v>
      </c>
      <c r="AB3192" s="45" t="s">
        <v>12527</v>
      </c>
      <c r="AC3192" s="45"/>
    </row>
    <row r="3193" ht="18.75" customHeight="1">
      <c r="A3193" s="18" t="s">
        <v>12528</v>
      </c>
      <c r="B3193" s="19" t="s">
        <v>96</v>
      </c>
      <c r="C3193" s="20">
        <v>0.0</v>
      </c>
      <c r="D3193" s="48" t="s">
        <v>12529</v>
      </c>
      <c r="E3193" s="22" t="s">
        <v>32</v>
      </c>
      <c r="F3193" s="18" t="s">
        <v>33</v>
      </c>
      <c r="G3193" s="18" t="s">
        <v>34</v>
      </c>
      <c r="H3193" s="40" t="s">
        <v>980</v>
      </c>
      <c r="I3193" s="37" t="s">
        <v>36</v>
      </c>
      <c r="J3193" s="25" t="s">
        <v>49</v>
      </c>
      <c r="K3193" s="26" t="s">
        <v>38</v>
      </c>
      <c r="L3193" s="25">
        <v>12416.0</v>
      </c>
      <c r="M3193" s="62" t="s">
        <v>50</v>
      </c>
      <c r="N3193" s="42" t="s">
        <v>143</v>
      </c>
      <c r="O3193" s="63">
        <v>45667.706000254635</v>
      </c>
      <c r="P3193" s="26" t="s">
        <v>12512</v>
      </c>
      <c r="Q3193" s="13" t="s">
        <v>75</v>
      </c>
      <c r="R3193" s="13" t="s">
        <v>67</v>
      </c>
      <c r="S3193" s="13" t="s">
        <v>101</v>
      </c>
      <c r="T3193" s="52">
        <v>45643.58293582176</v>
      </c>
      <c r="U3193" s="52">
        <v>45652.369616145836</v>
      </c>
      <c r="V3193" s="52">
        <v>45666.667545000004</v>
      </c>
      <c r="W3193" s="11"/>
      <c r="X3193" s="11"/>
      <c r="Y3193" s="45"/>
      <c r="Z3193" s="45"/>
      <c r="AA3193" s="31" t="s">
        <v>102</v>
      </c>
      <c r="AB3193" s="45" t="s">
        <v>12530</v>
      </c>
      <c r="AC3193" s="45"/>
    </row>
    <row r="3194" ht="18.75" customHeight="1">
      <c r="A3194" s="18" t="s">
        <v>12531</v>
      </c>
      <c r="B3194" s="19" t="s">
        <v>96</v>
      </c>
      <c r="C3194" s="20">
        <v>0.0</v>
      </c>
      <c r="D3194" s="48" t="s">
        <v>1091</v>
      </c>
      <c r="E3194" s="22" t="s">
        <v>32</v>
      </c>
      <c r="F3194" s="18" t="s">
        <v>33</v>
      </c>
      <c r="G3194" s="18" t="s">
        <v>34</v>
      </c>
      <c r="H3194" s="40" t="s">
        <v>980</v>
      </c>
      <c r="I3194" s="37" t="s">
        <v>36</v>
      </c>
      <c r="J3194" s="25" t="s">
        <v>49</v>
      </c>
      <c r="K3194" s="26" t="s">
        <v>38</v>
      </c>
      <c r="L3194" s="25">
        <v>12416.0</v>
      </c>
      <c r="M3194" s="62" t="s">
        <v>50</v>
      </c>
      <c r="N3194" s="42" t="s">
        <v>143</v>
      </c>
      <c r="O3194" s="63">
        <v>45667.705864999996</v>
      </c>
      <c r="P3194" s="26" t="s">
        <v>12512</v>
      </c>
      <c r="Q3194" s="13" t="s">
        <v>75</v>
      </c>
      <c r="R3194" s="13" t="s">
        <v>67</v>
      </c>
      <c r="S3194" s="13" t="s">
        <v>101</v>
      </c>
      <c r="T3194" s="52">
        <v>45643.583038576384</v>
      </c>
      <c r="U3194" s="52">
        <v>45652.36960417824</v>
      </c>
      <c r="V3194" s="52">
        <v>45666.77844296297</v>
      </c>
      <c r="W3194" s="11"/>
      <c r="X3194" s="11"/>
      <c r="Y3194" s="45"/>
      <c r="Z3194" s="45"/>
      <c r="AA3194" s="31" t="s">
        <v>102</v>
      </c>
      <c r="AB3194" s="45" t="s">
        <v>12532</v>
      </c>
      <c r="AC3194" s="45"/>
    </row>
    <row r="3195" ht="18.75" customHeight="1">
      <c r="A3195" s="18" t="s">
        <v>12533</v>
      </c>
      <c r="B3195" s="19" t="s">
        <v>96</v>
      </c>
      <c r="C3195" s="20">
        <v>0.0</v>
      </c>
      <c r="D3195" s="48" t="s">
        <v>1103</v>
      </c>
      <c r="E3195" s="22" t="s">
        <v>32</v>
      </c>
      <c r="F3195" s="18" t="s">
        <v>33</v>
      </c>
      <c r="G3195" s="18" t="s">
        <v>34</v>
      </c>
      <c r="H3195" s="40" t="s">
        <v>980</v>
      </c>
      <c r="I3195" s="37" t="s">
        <v>36</v>
      </c>
      <c r="J3195" s="25" t="s">
        <v>49</v>
      </c>
      <c r="K3195" s="26" t="s">
        <v>38</v>
      </c>
      <c r="L3195" s="25">
        <v>12416.0</v>
      </c>
      <c r="M3195" s="62" t="s">
        <v>50</v>
      </c>
      <c r="N3195" s="42" t="s">
        <v>143</v>
      </c>
      <c r="O3195" s="63">
        <v>45667.706170324076</v>
      </c>
      <c r="P3195" s="26" t="s">
        <v>12512</v>
      </c>
      <c r="Q3195" s="13" t="s">
        <v>75</v>
      </c>
      <c r="R3195" s="13" t="s">
        <v>67</v>
      </c>
      <c r="S3195" s="13" t="s">
        <v>101</v>
      </c>
      <c r="T3195" s="52">
        <v>45643.583109733794</v>
      </c>
      <c r="U3195" s="52">
        <v>45652.36963008102</v>
      </c>
      <c r="V3195" s="52">
        <v>45666.778449930556</v>
      </c>
      <c r="W3195" s="11"/>
      <c r="X3195" s="11"/>
      <c r="Y3195" s="45"/>
      <c r="Z3195" s="45"/>
      <c r="AA3195" s="31" t="s">
        <v>102</v>
      </c>
      <c r="AB3195" s="45" t="s">
        <v>12534</v>
      </c>
      <c r="AC3195" s="45"/>
    </row>
    <row r="3196" ht="18.75" customHeight="1">
      <c r="A3196" s="18" t="s">
        <v>12535</v>
      </c>
      <c r="B3196" s="19" t="s">
        <v>96</v>
      </c>
      <c r="C3196" s="20">
        <v>0.0</v>
      </c>
      <c r="D3196" s="48" t="s">
        <v>12536</v>
      </c>
      <c r="E3196" s="22" t="s">
        <v>32</v>
      </c>
      <c r="F3196" s="18" t="s">
        <v>33</v>
      </c>
      <c r="G3196" s="18" t="s">
        <v>34</v>
      </c>
      <c r="H3196" s="40" t="s">
        <v>980</v>
      </c>
      <c r="I3196" s="37" t="s">
        <v>36</v>
      </c>
      <c r="J3196" s="25" t="s">
        <v>49</v>
      </c>
      <c r="K3196" s="26" t="s">
        <v>38</v>
      </c>
      <c r="L3196" s="25">
        <v>12416.0</v>
      </c>
      <c r="M3196" s="62" t="s">
        <v>50</v>
      </c>
      <c r="N3196" s="42" t="s">
        <v>143</v>
      </c>
      <c r="O3196" s="63">
        <v>45667.7062316088</v>
      </c>
      <c r="P3196" s="26" t="s">
        <v>12512</v>
      </c>
      <c r="Q3196" s="13" t="s">
        <v>75</v>
      </c>
      <c r="R3196" s="13" t="s">
        <v>67</v>
      </c>
      <c r="S3196" s="13" t="s">
        <v>101</v>
      </c>
      <c r="T3196" s="52">
        <v>45643.583330787034</v>
      </c>
      <c r="U3196" s="52">
        <v>45652.36963666667</v>
      </c>
      <c r="V3196" s="52">
        <v>45667.41092268519</v>
      </c>
      <c r="W3196" s="11"/>
      <c r="X3196" s="11"/>
      <c r="Y3196" s="45"/>
      <c r="Z3196" s="45"/>
      <c r="AA3196" s="31" t="s">
        <v>102</v>
      </c>
      <c r="AB3196" s="45" t="s">
        <v>12537</v>
      </c>
      <c r="AC3196" s="45"/>
    </row>
    <row r="3197" ht="18.75" customHeight="1">
      <c r="A3197" s="142" t="s">
        <v>12538</v>
      </c>
      <c r="B3197" s="19" t="s">
        <v>12539</v>
      </c>
      <c r="C3197" s="20">
        <v>90.0</v>
      </c>
      <c r="D3197" s="48" t="s">
        <v>12540</v>
      </c>
      <c r="E3197" s="27" t="s">
        <v>91</v>
      </c>
      <c r="F3197" s="18" t="s">
        <v>48</v>
      </c>
      <c r="G3197" s="18" t="s">
        <v>35</v>
      </c>
      <c r="H3197" s="40" t="s">
        <v>35</v>
      </c>
      <c r="I3197" s="37" t="s">
        <v>36</v>
      </c>
      <c r="J3197" s="25" t="s">
        <v>65</v>
      </c>
      <c r="K3197" s="26" t="s">
        <v>38</v>
      </c>
      <c r="L3197" s="25">
        <v>12368.0</v>
      </c>
      <c r="M3197" s="62" t="s">
        <v>50</v>
      </c>
      <c r="N3197" s="42" t="s">
        <v>10991</v>
      </c>
      <c r="O3197" s="63">
        <v>45653.44427305556</v>
      </c>
      <c r="P3197" s="26" t="s">
        <v>12541</v>
      </c>
      <c r="Q3197" s="13" t="s">
        <v>75</v>
      </c>
      <c r="R3197" s="13" t="s">
        <v>67</v>
      </c>
      <c r="S3197" s="13" t="s">
        <v>50</v>
      </c>
      <c r="T3197" s="52">
        <v>45649.385619872686</v>
      </c>
      <c r="U3197" s="52">
        <v>45650.444037256944</v>
      </c>
      <c r="V3197" s="52">
        <v>45652.646497395835</v>
      </c>
      <c r="W3197" s="11"/>
      <c r="X3197" s="11"/>
      <c r="Y3197" s="45"/>
      <c r="Z3197" s="45"/>
      <c r="AA3197" s="31" t="s">
        <v>94</v>
      </c>
      <c r="AB3197" s="45" t="s">
        <v>12542</v>
      </c>
      <c r="AC3197" s="45"/>
    </row>
    <row r="3198" ht="18.75" customHeight="1">
      <c r="A3198" s="142" t="s">
        <v>12543</v>
      </c>
      <c r="B3198" s="19" t="s">
        <v>5710</v>
      </c>
      <c r="C3198" s="20">
        <v>11.0</v>
      </c>
      <c r="D3198" s="48" t="s">
        <v>12544</v>
      </c>
      <c r="E3198" s="27" t="s">
        <v>112</v>
      </c>
      <c r="F3198" s="18" t="s">
        <v>48</v>
      </c>
      <c r="G3198" s="18" t="s">
        <v>35</v>
      </c>
      <c r="H3198" s="40" t="s">
        <v>35</v>
      </c>
      <c r="I3198" s="24" t="s">
        <v>36</v>
      </c>
      <c r="J3198" s="25" t="s">
        <v>65</v>
      </c>
      <c r="K3198" s="26" t="s">
        <v>38</v>
      </c>
      <c r="L3198" s="64" t="s">
        <v>12545</v>
      </c>
      <c r="M3198" s="152" t="str">
        <f t="shared" ref="M3198:M3199" si="22">VLOOKUP(D3198,'Página111'!E:E,1,0)</f>
        <v>#REF!</v>
      </c>
      <c r="N3198" s="42"/>
      <c r="O3198" s="50">
        <v>45646.0</v>
      </c>
      <c r="P3198" s="26" t="s">
        <v>12546</v>
      </c>
      <c r="Q3198" s="13" t="s">
        <v>75</v>
      </c>
      <c r="R3198" s="13" t="s">
        <v>75</v>
      </c>
      <c r="S3198" s="13" t="s">
        <v>73</v>
      </c>
      <c r="T3198" s="52">
        <v>45644.398106875</v>
      </c>
      <c r="U3198" s="52">
        <v>45644.44718319444</v>
      </c>
      <c r="V3198" s="52">
        <v>45644.77650864584</v>
      </c>
      <c r="W3198" s="11"/>
      <c r="X3198" s="11"/>
      <c r="Y3198" s="66"/>
      <c r="Z3198" s="45"/>
      <c r="AA3198" s="31" t="s">
        <v>94</v>
      </c>
      <c r="AB3198" s="45" t="s">
        <v>12547</v>
      </c>
      <c r="AC3198" s="45"/>
    </row>
    <row r="3199" ht="18.75" customHeight="1">
      <c r="A3199" s="142" t="s">
        <v>12548</v>
      </c>
      <c r="B3199" s="19" t="s">
        <v>10447</v>
      </c>
      <c r="C3199" s="20">
        <v>27.0</v>
      </c>
      <c r="D3199" s="39" t="s">
        <v>12549</v>
      </c>
      <c r="E3199" s="27" t="s">
        <v>72</v>
      </c>
      <c r="F3199" s="18" t="s">
        <v>48</v>
      </c>
      <c r="G3199" s="18" t="s">
        <v>35</v>
      </c>
      <c r="H3199" s="40" t="s">
        <v>35</v>
      </c>
      <c r="I3199" s="24" t="s">
        <v>36</v>
      </c>
      <c r="J3199" s="25" t="s">
        <v>65</v>
      </c>
      <c r="K3199" s="26" t="s">
        <v>38</v>
      </c>
      <c r="L3199" s="64" t="s">
        <v>12550</v>
      </c>
      <c r="M3199" s="152" t="str">
        <f t="shared" si="22"/>
        <v>#REF!</v>
      </c>
      <c r="N3199" s="42"/>
      <c r="O3199" s="50">
        <v>45646.0</v>
      </c>
      <c r="P3199" s="26" t="s">
        <v>12551</v>
      </c>
      <c r="Q3199" s="13" t="s">
        <v>75</v>
      </c>
      <c r="R3199" s="13" t="s">
        <v>75</v>
      </c>
      <c r="S3199" s="13" t="s">
        <v>73</v>
      </c>
      <c r="T3199" s="52">
        <v>45644.40000512732</v>
      </c>
      <c r="U3199" s="52">
        <v>45644.448111238424</v>
      </c>
      <c r="V3199" s="52">
        <v>45644.77651947917</v>
      </c>
      <c r="W3199" s="11"/>
      <c r="X3199" s="11"/>
      <c r="Y3199" s="66"/>
      <c r="Z3199" s="45"/>
      <c r="AA3199" s="31" t="s">
        <v>120</v>
      </c>
      <c r="AB3199" s="45" t="s">
        <v>12552</v>
      </c>
      <c r="AC3199" s="45"/>
    </row>
    <row r="3200" ht="18.75" customHeight="1">
      <c r="A3200" s="142" t="s">
        <v>12553</v>
      </c>
      <c r="B3200" s="19" t="s">
        <v>10447</v>
      </c>
      <c r="C3200" s="20">
        <v>90.0</v>
      </c>
      <c r="D3200" s="48" t="s">
        <v>12554</v>
      </c>
      <c r="E3200" s="27" t="s">
        <v>91</v>
      </c>
      <c r="F3200" s="18" t="s">
        <v>48</v>
      </c>
      <c r="G3200" s="18" t="s">
        <v>35</v>
      </c>
      <c r="H3200" s="40" t="s">
        <v>35</v>
      </c>
      <c r="I3200" s="37" t="s">
        <v>36</v>
      </c>
      <c r="J3200" s="25" t="s">
        <v>65</v>
      </c>
      <c r="K3200" s="26" t="s">
        <v>38</v>
      </c>
      <c r="L3200" s="25">
        <v>12369.0</v>
      </c>
      <c r="M3200" s="62" t="s">
        <v>50</v>
      </c>
      <c r="N3200" s="42" t="s">
        <v>10991</v>
      </c>
      <c r="O3200" s="63">
        <v>45653.44438032407</v>
      </c>
      <c r="P3200" s="26" t="s">
        <v>12555</v>
      </c>
      <c r="Q3200" s="13" t="s">
        <v>75</v>
      </c>
      <c r="R3200" s="13" t="s">
        <v>75</v>
      </c>
      <c r="S3200" s="13" t="s">
        <v>50</v>
      </c>
      <c r="T3200" s="52">
        <v>45644.40085988426</v>
      </c>
      <c r="U3200" s="52">
        <v>45652.35850180556</v>
      </c>
      <c r="V3200" s="52">
        <v>45652.64651049768</v>
      </c>
      <c r="W3200" s="11"/>
      <c r="X3200" s="11"/>
      <c r="Y3200" s="45"/>
      <c r="Z3200" s="45"/>
      <c r="AA3200" s="31" t="s">
        <v>120</v>
      </c>
      <c r="AB3200" s="45" t="s">
        <v>12556</v>
      </c>
      <c r="AC3200" s="45"/>
    </row>
    <row r="3201" ht="18.75" customHeight="1">
      <c r="A3201" s="142" t="s">
        <v>12557</v>
      </c>
      <c r="B3201" s="19" t="s">
        <v>45</v>
      </c>
      <c r="C3201" s="20">
        <v>34.0</v>
      </c>
      <c r="D3201" s="48" t="s">
        <v>12558</v>
      </c>
      <c r="E3201" s="27" t="s">
        <v>47</v>
      </c>
      <c r="F3201" s="18" t="s">
        <v>48</v>
      </c>
      <c r="G3201" s="18" t="s">
        <v>35</v>
      </c>
      <c r="H3201" s="40" t="s">
        <v>35</v>
      </c>
      <c r="I3201" s="37" t="s">
        <v>36</v>
      </c>
      <c r="J3201" s="25" t="s">
        <v>65</v>
      </c>
      <c r="K3201" s="26" t="s">
        <v>38</v>
      </c>
      <c r="L3201" s="25">
        <v>12335.0</v>
      </c>
      <c r="M3201" s="62" t="s">
        <v>50</v>
      </c>
      <c r="N3201" s="42" t="s">
        <v>5706</v>
      </c>
      <c r="O3201" s="63">
        <v>45649.707808796295</v>
      </c>
      <c r="P3201" s="26" t="s">
        <v>12559</v>
      </c>
      <c r="Q3201" s="13" t="s">
        <v>75</v>
      </c>
      <c r="R3201" s="13" t="s">
        <v>75</v>
      </c>
      <c r="S3201" s="13" t="s">
        <v>50</v>
      </c>
      <c r="T3201" s="52">
        <v>45644.37497160879</v>
      </c>
      <c r="U3201" s="52">
        <v>45645.37022894676</v>
      </c>
      <c r="V3201" s="52">
        <v>45649.468044629626</v>
      </c>
      <c r="W3201" s="11"/>
      <c r="X3201" s="11"/>
      <c r="Y3201" s="45"/>
      <c r="Z3201" s="45"/>
      <c r="AA3201" s="31" t="s">
        <v>94</v>
      </c>
      <c r="AB3201" s="45" t="s">
        <v>12560</v>
      </c>
      <c r="AC3201" s="45"/>
    </row>
    <row r="3202" ht="18.75" customHeight="1">
      <c r="A3202" s="142" t="s">
        <v>12561</v>
      </c>
      <c r="B3202" s="19" t="s">
        <v>12562</v>
      </c>
      <c r="C3202" s="20">
        <v>137.0</v>
      </c>
      <c r="D3202" s="48" t="s">
        <v>12563</v>
      </c>
      <c r="E3202" s="27" t="s">
        <v>85</v>
      </c>
      <c r="F3202" s="18" t="s">
        <v>48</v>
      </c>
      <c r="G3202" s="18" t="s">
        <v>35</v>
      </c>
      <c r="H3202" s="40" t="s">
        <v>35</v>
      </c>
      <c r="I3202" s="37" t="s">
        <v>36</v>
      </c>
      <c r="J3202" s="25" t="s">
        <v>65</v>
      </c>
      <c r="K3202" s="26" t="s">
        <v>38</v>
      </c>
      <c r="L3202" s="25">
        <v>12358.0</v>
      </c>
      <c r="M3202" s="62" t="s">
        <v>50</v>
      </c>
      <c r="N3202" s="42" t="s">
        <v>10991</v>
      </c>
      <c r="O3202" s="63">
        <v>45653.44433056713</v>
      </c>
      <c r="P3202" s="26" t="s">
        <v>12564</v>
      </c>
      <c r="Q3202" s="13" t="s">
        <v>75</v>
      </c>
      <c r="R3202" s="13" t="s">
        <v>75</v>
      </c>
      <c r="S3202" s="13" t="s">
        <v>50</v>
      </c>
      <c r="T3202" s="52">
        <v>45644.37618630787</v>
      </c>
      <c r="U3202" s="52">
        <v>45652.47367436343</v>
      </c>
      <c r="V3202" s="52">
        <v>45652.48754417824</v>
      </c>
      <c r="W3202" s="11"/>
      <c r="X3202" s="11"/>
      <c r="Y3202" s="45"/>
      <c r="Z3202" s="45"/>
      <c r="AA3202" s="31" t="s">
        <v>94</v>
      </c>
      <c r="AB3202" s="45" t="s">
        <v>12565</v>
      </c>
      <c r="AC3202" s="45"/>
    </row>
    <row r="3203" ht="18.75" customHeight="1">
      <c r="A3203" s="142" t="s">
        <v>12566</v>
      </c>
      <c r="B3203" s="19" t="s">
        <v>96</v>
      </c>
      <c r="C3203" s="20">
        <v>90.0</v>
      </c>
      <c r="D3203" s="48" t="s">
        <v>12567</v>
      </c>
      <c r="E3203" s="27" t="s">
        <v>91</v>
      </c>
      <c r="F3203" s="18" t="s">
        <v>48</v>
      </c>
      <c r="G3203" s="18" t="s">
        <v>35</v>
      </c>
      <c r="H3203" s="40" t="s">
        <v>35</v>
      </c>
      <c r="I3203" s="24" t="s">
        <v>36</v>
      </c>
      <c r="J3203" s="25" t="s">
        <v>49</v>
      </c>
      <c r="K3203" s="26" t="s">
        <v>38</v>
      </c>
      <c r="L3203" s="64" t="s">
        <v>2898</v>
      </c>
      <c r="M3203" s="22" t="s">
        <v>50</v>
      </c>
      <c r="N3203" s="65" t="s">
        <v>125</v>
      </c>
      <c r="O3203" s="28">
        <v>45645.73094907407</v>
      </c>
      <c r="P3203" s="26" t="s">
        <v>12568</v>
      </c>
      <c r="Q3203" s="13" t="s">
        <v>75</v>
      </c>
      <c r="R3203" s="13" t="s">
        <v>67</v>
      </c>
      <c r="S3203" s="13" t="s">
        <v>73</v>
      </c>
      <c r="T3203" s="52">
        <v>45644.46007108796</v>
      </c>
      <c r="U3203" s="52">
        <v>45644.58401824074</v>
      </c>
      <c r="V3203" s="52">
        <v>45644.0</v>
      </c>
      <c r="W3203" s="11"/>
      <c r="X3203" s="11"/>
      <c r="Y3203" s="45"/>
      <c r="Z3203" s="45"/>
      <c r="AA3203" s="31" t="s">
        <v>102</v>
      </c>
      <c r="AB3203" s="45" t="s">
        <v>12569</v>
      </c>
      <c r="AC3203" s="45"/>
    </row>
    <row r="3204" ht="18.75" customHeight="1">
      <c r="A3204" s="142" t="s">
        <v>12570</v>
      </c>
      <c r="B3204" s="19" t="s">
        <v>96</v>
      </c>
      <c r="C3204" s="20">
        <v>0.0</v>
      </c>
      <c r="D3204" s="48" t="s">
        <v>12571</v>
      </c>
      <c r="E3204" s="27" t="s">
        <v>408</v>
      </c>
      <c r="F3204" s="18" t="s">
        <v>33</v>
      </c>
      <c r="G3204" s="18" t="s">
        <v>34</v>
      </c>
      <c r="H3204" s="40" t="s">
        <v>35</v>
      </c>
      <c r="I3204" s="37" t="s">
        <v>36</v>
      </c>
      <c r="J3204" s="25" t="s">
        <v>49</v>
      </c>
      <c r="K3204" s="26" t="s">
        <v>38</v>
      </c>
      <c r="L3204" s="25">
        <v>12343.0</v>
      </c>
      <c r="M3204" s="62" t="s">
        <v>50</v>
      </c>
      <c r="N3204" s="42" t="s">
        <v>4183</v>
      </c>
      <c r="O3204" s="63">
        <v>45653.6932777662</v>
      </c>
      <c r="P3204" s="26" t="s">
        <v>12572</v>
      </c>
      <c r="Q3204" s="13" t="s">
        <v>75</v>
      </c>
      <c r="R3204" s="13" t="s">
        <v>67</v>
      </c>
      <c r="S3204" s="13" t="s">
        <v>101</v>
      </c>
      <c r="T3204" s="52">
        <v>45644.46157708333</v>
      </c>
      <c r="U3204" s="52">
        <v>45644.58378641204</v>
      </c>
      <c r="V3204" s="52">
        <v>45650.43344115741</v>
      </c>
      <c r="W3204" s="11"/>
      <c r="X3204" s="11"/>
      <c r="Y3204" s="45"/>
      <c r="Z3204" s="45"/>
      <c r="AA3204" s="31" t="s">
        <v>102</v>
      </c>
      <c r="AB3204" s="45" t="s">
        <v>12573</v>
      </c>
      <c r="AC3204" s="45"/>
    </row>
    <row r="3205" ht="18.75" customHeight="1">
      <c r="A3205" s="142" t="s">
        <v>12574</v>
      </c>
      <c r="B3205" s="19" t="s">
        <v>3636</v>
      </c>
      <c r="C3205" s="20">
        <v>27.0</v>
      </c>
      <c r="D3205" s="39" t="s">
        <v>12575</v>
      </c>
      <c r="E3205" s="27" t="s">
        <v>72</v>
      </c>
      <c r="F3205" s="18" t="s">
        <v>48</v>
      </c>
      <c r="G3205" s="18" t="s">
        <v>35</v>
      </c>
      <c r="H3205" s="40" t="s">
        <v>35</v>
      </c>
      <c r="I3205" s="37" t="s">
        <v>36</v>
      </c>
      <c r="J3205" s="25" t="s">
        <v>49</v>
      </c>
      <c r="K3205" s="26" t="s">
        <v>9628</v>
      </c>
      <c r="L3205" s="25">
        <v>12359.0</v>
      </c>
      <c r="M3205" s="62" t="s">
        <v>50</v>
      </c>
      <c r="N3205" s="42" t="s">
        <v>4183</v>
      </c>
      <c r="O3205" s="63">
        <v>45653.69383094907</v>
      </c>
      <c r="P3205" s="26" t="s">
        <v>12576</v>
      </c>
      <c r="Q3205" s="13" t="s">
        <v>67</v>
      </c>
      <c r="R3205" s="13" t="s">
        <v>67</v>
      </c>
      <c r="S3205" s="13" t="s">
        <v>50</v>
      </c>
      <c r="T3205" s="52">
        <v>45644.58738819444</v>
      </c>
      <c r="U3205" s="52">
        <v>45652.36747453704</v>
      </c>
      <c r="V3205" s="52">
        <v>45652.487119259255</v>
      </c>
      <c r="W3205" s="11"/>
      <c r="X3205" s="11"/>
      <c r="Y3205" s="45"/>
      <c r="Z3205" s="45"/>
      <c r="AA3205" s="31" t="s">
        <v>127</v>
      </c>
      <c r="AB3205" s="45" t="s">
        <v>12577</v>
      </c>
      <c r="AC3205" s="45"/>
    </row>
    <row r="3206" ht="18.75" customHeight="1">
      <c r="A3206" s="142" t="s">
        <v>12578</v>
      </c>
      <c r="B3206" s="19" t="s">
        <v>5681</v>
      </c>
      <c r="C3206" s="20">
        <v>137.0</v>
      </c>
      <c r="D3206" s="48" t="s">
        <v>12579</v>
      </c>
      <c r="E3206" s="27" t="s">
        <v>85</v>
      </c>
      <c r="F3206" s="18" t="s">
        <v>48</v>
      </c>
      <c r="G3206" s="18" t="s">
        <v>35</v>
      </c>
      <c r="H3206" s="40" t="s">
        <v>35</v>
      </c>
      <c r="I3206" s="37" t="s">
        <v>36</v>
      </c>
      <c r="J3206" s="25" t="s">
        <v>65</v>
      </c>
      <c r="K3206" s="26" t="s">
        <v>38</v>
      </c>
      <c r="L3206" s="25">
        <v>12370.0</v>
      </c>
      <c r="M3206" s="62" t="s">
        <v>50</v>
      </c>
      <c r="N3206" s="42" t="s">
        <v>10991</v>
      </c>
      <c r="O3206" s="63">
        <v>45653.44443447917</v>
      </c>
      <c r="P3206" s="26" t="s">
        <v>12580</v>
      </c>
      <c r="Q3206" s="13" t="s">
        <v>75</v>
      </c>
      <c r="R3206" s="13" t="s">
        <v>67</v>
      </c>
      <c r="S3206" s="13" t="s">
        <v>50</v>
      </c>
      <c r="T3206" s="52">
        <v>45645.35588333334</v>
      </c>
      <c r="U3206" s="52">
        <v>45650.43929189815</v>
      </c>
      <c r="V3206" s="52">
        <v>45652.64592846065</v>
      </c>
      <c r="W3206" s="11"/>
      <c r="X3206" s="11"/>
      <c r="Y3206" s="45"/>
      <c r="Z3206" s="45"/>
      <c r="AA3206" s="31" t="s">
        <v>94</v>
      </c>
      <c r="AB3206" s="45" t="s">
        <v>12581</v>
      </c>
      <c r="AC3206" s="45"/>
    </row>
    <row r="3207" ht="18.75" customHeight="1">
      <c r="A3207" s="142" t="s">
        <v>12582</v>
      </c>
      <c r="B3207" s="19" t="s">
        <v>7703</v>
      </c>
      <c r="C3207" s="20">
        <v>27.0</v>
      </c>
      <c r="D3207" s="39" t="s">
        <v>12583</v>
      </c>
      <c r="E3207" s="27" t="s">
        <v>72</v>
      </c>
      <c r="F3207" s="18" t="s">
        <v>48</v>
      </c>
      <c r="G3207" s="18" t="s">
        <v>35</v>
      </c>
      <c r="H3207" s="40" t="s">
        <v>35</v>
      </c>
      <c r="I3207" s="24" t="s">
        <v>36</v>
      </c>
      <c r="J3207" s="25" t="s">
        <v>65</v>
      </c>
      <c r="K3207" s="26" t="s">
        <v>38</v>
      </c>
      <c r="L3207" s="25">
        <v>12329.0</v>
      </c>
      <c r="M3207" s="62" t="s">
        <v>50</v>
      </c>
      <c r="N3207" s="42"/>
      <c r="O3207" s="50">
        <v>45646.0</v>
      </c>
      <c r="P3207" s="26" t="s">
        <v>12584</v>
      </c>
      <c r="Q3207" s="13" t="s">
        <v>75</v>
      </c>
      <c r="R3207" s="13" t="s">
        <v>75</v>
      </c>
      <c r="S3207" s="13" t="s">
        <v>73</v>
      </c>
      <c r="T3207" s="52">
        <v>45645.38174996528</v>
      </c>
      <c r="U3207" s="52">
        <v>45645.424231400466</v>
      </c>
      <c r="V3207" s="52">
        <v>45645.871405</v>
      </c>
      <c r="W3207" s="11"/>
      <c r="X3207" s="11"/>
      <c r="Y3207" s="45"/>
      <c r="Z3207" s="45"/>
      <c r="AA3207" s="31" t="s">
        <v>3059</v>
      </c>
      <c r="AB3207" s="45" t="s">
        <v>12585</v>
      </c>
      <c r="AC3207" s="45"/>
    </row>
    <row r="3208" ht="18.75" customHeight="1">
      <c r="A3208" s="142" t="s">
        <v>12586</v>
      </c>
      <c r="B3208" s="19" t="s">
        <v>7703</v>
      </c>
      <c r="C3208" s="20">
        <v>90.0</v>
      </c>
      <c r="D3208" s="48" t="s">
        <v>12587</v>
      </c>
      <c r="E3208" s="27" t="s">
        <v>91</v>
      </c>
      <c r="F3208" s="18" t="s">
        <v>48</v>
      </c>
      <c r="G3208" s="18" t="s">
        <v>35</v>
      </c>
      <c r="H3208" s="40" t="s">
        <v>35</v>
      </c>
      <c r="I3208" s="24" t="s">
        <v>36</v>
      </c>
      <c r="J3208" s="25" t="s">
        <v>65</v>
      </c>
      <c r="K3208" s="26" t="s">
        <v>38</v>
      </c>
      <c r="L3208" s="25">
        <v>12327.0</v>
      </c>
      <c r="M3208" s="62" t="s">
        <v>50</v>
      </c>
      <c r="N3208" s="42"/>
      <c r="O3208" s="50">
        <v>45646.0</v>
      </c>
      <c r="P3208" s="26" t="s">
        <v>12588</v>
      </c>
      <c r="Q3208" s="13" t="s">
        <v>75</v>
      </c>
      <c r="R3208" s="13" t="s">
        <v>67</v>
      </c>
      <c r="S3208" s="13" t="s">
        <v>73</v>
      </c>
      <c r="T3208" s="52">
        <v>45645.475338449076</v>
      </c>
      <c r="U3208" s="52">
        <v>45645.62161766204</v>
      </c>
      <c r="V3208" s="52">
        <v>45645.87167177083</v>
      </c>
      <c r="W3208" s="11"/>
      <c r="X3208" s="11"/>
      <c r="Y3208" s="45"/>
      <c r="Z3208" s="45"/>
      <c r="AA3208" s="31" t="s">
        <v>3059</v>
      </c>
      <c r="AB3208" s="45" t="s">
        <v>12589</v>
      </c>
      <c r="AC3208" s="45"/>
    </row>
    <row r="3209" ht="18.75" customHeight="1">
      <c r="A3209" s="18" t="s">
        <v>12590</v>
      </c>
      <c r="B3209" s="19" t="s">
        <v>12591</v>
      </c>
      <c r="C3209" s="20">
        <v>0.0</v>
      </c>
      <c r="D3209" s="48"/>
      <c r="E3209" s="27" t="s">
        <v>165</v>
      </c>
      <c r="F3209" s="18" t="s">
        <v>33</v>
      </c>
      <c r="G3209" s="18" t="s">
        <v>35</v>
      </c>
      <c r="H3209" s="40" t="s">
        <v>35</v>
      </c>
      <c r="I3209" s="37" t="s">
        <v>984</v>
      </c>
      <c r="J3209" s="25" t="s">
        <v>49</v>
      </c>
      <c r="K3209" s="26" t="s">
        <v>38</v>
      </c>
      <c r="L3209" s="25">
        <v>12372.0</v>
      </c>
      <c r="M3209" s="62"/>
      <c r="N3209" s="42"/>
      <c r="O3209" s="63"/>
      <c r="P3209" s="26" t="s">
        <v>12592</v>
      </c>
      <c r="Q3209" s="13" t="s">
        <v>75</v>
      </c>
      <c r="R3209" s="13" t="s">
        <v>75</v>
      </c>
      <c r="S3209" s="13"/>
      <c r="T3209" s="52">
        <v>45645.61656890046</v>
      </c>
      <c r="U3209" s="52">
        <v>45645.616540787036</v>
      </c>
      <c r="V3209" s="52"/>
      <c r="W3209" s="11"/>
      <c r="X3209" s="148">
        <v>45971.0</v>
      </c>
      <c r="Y3209" s="45"/>
      <c r="Z3209" s="45"/>
      <c r="AA3209" s="31" t="s">
        <v>102</v>
      </c>
      <c r="AB3209" s="45" t="s">
        <v>12593</v>
      </c>
      <c r="AC3209" s="45"/>
    </row>
    <row r="3210" ht="18.75" customHeight="1">
      <c r="A3210" s="18" t="s">
        <v>12594</v>
      </c>
      <c r="B3210" s="19" t="s">
        <v>12591</v>
      </c>
      <c r="C3210" s="20">
        <v>0.0</v>
      </c>
      <c r="D3210" s="48"/>
      <c r="E3210" s="27" t="s">
        <v>165</v>
      </c>
      <c r="F3210" s="18" t="s">
        <v>33</v>
      </c>
      <c r="G3210" s="18" t="s">
        <v>35</v>
      </c>
      <c r="H3210" s="40" t="s">
        <v>35</v>
      </c>
      <c r="I3210" s="37" t="s">
        <v>984</v>
      </c>
      <c r="J3210" s="25" t="s">
        <v>49</v>
      </c>
      <c r="K3210" s="26" t="s">
        <v>38</v>
      </c>
      <c r="L3210" s="25">
        <v>12372.0</v>
      </c>
      <c r="M3210" s="62"/>
      <c r="N3210" s="42"/>
      <c r="O3210" s="63"/>
      <c r="P3210" s="26" t="s">
        <v>12592</v>
      </c>
      <c r="Q3210" s="13" t="s">
        <v>75</v>
      </c>
      <c r="R3210" s="13" t="s">
        <v>75</v>
      </c>
      <c r="S3210" s="13"/>
      <c r="T3210" s="52">
        <v>45645.61679907407</v>
      </c>
      <c r="U3210" s="52">
        <v>45645.61677211805</v>
      </c>
      <c r="V3210" s="52"/>
      <c r="W3210" s="11"/>
      <c r="X3210" s="148">
        <v>45971.0</v>
      </c>
      <c r="Y3210" s="45"/>
      <c r="Z3210" s="45"/>
      <c r="AA3210" s="31" t="s">
        <v>102</v>
      </c>
      <c r="AB3210" s="45" t="s">
        <v>12595</v>
      </c>
      <c r="AC3210" s="45"/>
    </row>
    <row r="3211" ht="18.75" customHeight="1">
      <c r="A3211" s="18" t="s">
        <v>12596</v>
      </c>
      <c r="B3211" s="19" t="s">
        <v>12591</v>
      </c>
      <c r="C3211" s="20">
        <v>137.0</v>
      </c>
      <c r="D3211" s="48"/>
      <c r="E3211" s="27" t="s">
        <v>85</v>
      </c>
      <c r="F3211" s="18" t="s">
        <v>48</v>
      </c>
      <c r="G3211" s="18" t="s">
        <v>35</v>
      </c>
      <c r="H3211" s="40" t="s">
        <v>35</v>
      </c>
      <c r="I3211" s="37" t="s">
        <v>984</v>
      </c>
      <c r="J3211" s="25" t="s">
        <v>49</v>
      </c>
      <c r="K3211" s="26" t="s">
        <v>38</v>
      </c>
      <c r="L3211" s="25">
        <v>12372.0</v>
      </c>
      <c r="M3211" s="62"/>
      <c r="N3211" s="42"/>
      <c r="O3211" s="63"/>
      <c r="P3211" s="26" t="s">
        <v>12592</v>
      </c>
      <c r="Q3211" s="13" t="s">
        <v>75</v>
      </c>
      <c r="R3211" s="13" t="s">
        <v>75</v>
      </c>
      <c r="S3211" s="13"/>
      <c r="T3211" s="52">
        <v>45645.61699545139</v>
      </c>
      <c r="U3211" s="52">
        <v>45645.6168879051</v>
      </c>
      <c r="V3211" s="52"/>
      <c r="W3211" s="11"/>
      <c r="X3211" s="148">
        <v>45971.0</v>
      </c>
      <c r="Y3211" s="45"/>
      <c r="Z3211" s="45"/>
      <c r="AA3211" s="31" t="s">
        <v>102</v>
      </c>
      <c r="AB3211" s="45" t="s">
        <v>12597</v>
      </c>
      <c r="AC3211" s="45"/>
    </row>
    <row r="3212" ht="18.75" customHeight="1">
      <c r="A3212" s="18" t="s">
        <v>12598</v>
      </c>
      <c r="B3212" s="19" t="s">
        <v>12591</v>
      </c>
      <c r="C3212" s="20">
        <v>137.0</v>
      </c>
      <c r="D3212" s="175"/>
      <c r="E3212" s="27" t="s">
        <v>85</v>
      </c>
      <c r="F3212" s="18" t="s">
        <v>48</v>
      </c>
      <c r="G3212" s="18" t="s">
        <v>35</v>
      </c>
      <c r="H3212" s="40" t="s">
        <v>35</v>
      </c>
      <c r="I3212" s="37" t="s">
        <v>984</v>
      </c>
      <c r="J3212" s="25" t="s">
        <v>49</v>
      </c>
      <c r="K3212" s="26" t="s">
        <v>38</v>
      </c>
      <c r="L3212" s="25">
        <v>12372.0</v>
      </c>
      <c r="M3212" s="62"/>
      <c r="N3212" s="42"/>
      <c r="O3212" s="63"/>
      <c r="P3212" s="26" t="s">
        <v>12592</v>
      </c>
      <c r="Q3212" s="13" t="s">
        <v>75</v>
      </c>
      <c r="R3212" s="13" t="s">
        <v>75</v>
      </c>
      <c r="S3212" s="13"/>
      <c r="T3212" s="52">
        <v>45645.61714664352</v>
      </c>
      <c r="U3212" s="52">
        <v>45645.61711939815</v>
      </c>
      <c r="V3212" s="52"/>
      <c r="W3212" s="11"/>
      <c r="X3212" s="148">
        <v>45971.0</v>
      </c>
      <c r="Y3212" s="45"/>
      <c r="Z3212" s="45"/>
      <c r="AA3212" s="31" t="s">
        <v>102</v>
      </c>
      <c r="AB3212" s="45" t="s">
        <v>12599</v>
      </c>
      <c r="AC3212" s="45"/>
    </row>
    <row r="3213" ht="18.75" customHeight="1">
      <c r="A3213" s="142" t="s">
        <v>12600</v>
      </c>
      <c r="B3213" s="19" t="s">
        <v>1345</v>
      </c>
      <c r="C3213" s="20">
        <v>0.0</v>
      </c>
      <c r="D3213" s="48" t="s">
        <v>12601</v>
      </c>
      <c r="E3213" s="27" t="s">
        <v>135</v>
      </c>
      <c r="F3213" s="18" t="s">
        <v>48</v>
      </c>
      <c r="G3213" s="18" t="s">
        <v>35</v>
      </c>
      <c r="H3213" s="40" t="s">
        <v>35</v>
      </c>
      <c r="I3213" s="37" t="s">
        <v>36</v>
      </c>
      <c r="J3213" s="25" t="s">
        <v>420</v>
      </c>
      <c r="K3213" s="26" t="s">
        <v>38</v>
      </c>
      <c r="L3213" s="25">
        <v>12390.0</v>
      </c>
      <c r="M3213" s="62" t="s">
        <v>50</v>
      </c>
      <c r="N3213" s="42" t="s">
        <v>4031</v>
      </c>
      <c r="O3213" s="63">
        <v>45667.562148020836</v>
      </c>
      <c r="P3213" s="26" t="s">
        <v>12602</v>
      </c>
      <c r="Q3213" s="13" t="s">
        <v>75</v>
      </c>
      <c r="R3213" s="13" t="s">
        <v>75</v>
      </c>
      <c r="S3213" s="13"/>
      <c r="T3213" s="52">
        <v>45645.4936022801</v>
      </c>
      <c r="U3213" s="52">
        <v>45649.386144606484</v>
      </c>
      <c r="V3213" s="52"/>
      <c r="W3213" s="11"/>
      <c r="X3213" s="11"/>
      <c r="Y3213" s="45"/>
      <c r="Z3213" s="45"/>
      <c r="AA3213" s="31" t="s">
        <v>94</v>
      </c>
      <c r="AB3213" s="45" t="s">
        <v>12603</v>
      </c>
      <c r="AC3213" s="45"/>
    </row>
    <row r="3214" ht="18.75" customHeight="1">
      <c r="A3214" s="142" t="s">
        <v>12604</v>
      </c>
      <c r="B3214" s="19" t="s">
        <v>1345</v>
      </c>
      <c r="C3214" s="20">
        <v>27.0</v>
      </c>
      <c r="D3214" s="39" t="s">
        <v>12605</v>
      </c>
      <c r="E3214" s="27" t="s">
        <v>72</v>
      </c>
      <c r="F3214" s="18" t="s">
        <v>48</v>
      </c>
      <c r="G3214" s="18" t="s">
        <v>35</v>
      </c>
      <c r="H3214" s="40" t="s">
        <v>35</v>
      </c>
      <c r="I3214" s="37" t="s">
        <v>36</v>
      </c>
      <c r="J3214" s="25" t="s">
        <v>420</v>
      </c>
      <c r="K3214" s="26" t="s">
        <v>38</v>
      </c>
      <c r="L3214" s="34">
        <v>12304.0</v>
      </c>
      <c r="M3214" s="62" t="s">
        <v>50</v>
      </c>
      <c r="N3214" s="42" t="s">
        <v>4031</v>
      </c>
      <c r="O3214" s="63">
        <v>45649.59447715278</v>
      </c>
      <c r="P3214" s="26" t="s">
        <v>12606</v>
      </c>
      <c r="Q3214" s="13" t="s">
        <v>67</v>
      </c>
      <c r="R3214" s="13" t="s">
        <v>67</v>
      </c>
      <c r="S3214" s="13" t="s">
        <v>9620</v>
      </c>
      <c r="T3214" s="52">
        <v>45645.61304166667</v>
      </c>
      <c r="U3214" s="52">
        <v>45645.61468599537</v>
      </c>
      <c r="V3214" s="52">
        <v>45645.66853818287</v>
      </c>
      <c r="W3214" s="11"/>
      <c r="X3214" s="11"/>
      <c r="Y3214" s="45"/>
      <c r="Z3214" s="45"/>
      <c r="AA3214" s="31" t="s">
        <v>94</v>
      </c>
      <c r="AB3214" s="45" t="s">
        <v>12607</v>
      </c>
      <c r="AC3214" s="45"/>
    </row>
    <row r="3215" ht="18.75" customHeight="1">
      <c r="A3215" s="142" t="s">
        <v>12608</v>
      </c>
      <c r="B3215" s="19" t="s">
        <v>4941</v>
      </c>
      <c r="C3215" s="20">
        <v>90.0</v>
      </c>
      <c r="D3215" s="48" t="s">
        <v>12609</v>
      </c>
      <c r="E3215" s="27" t="s">
        <v>91</v>
      </c>
      <c r="F3215" s="18" t="s">
        <v>48</v>
      </c>
      <c r="G3215" s="18" t="s">
        <v>35</v>
      </c>
      <c r="H3215" s="40" t="s">
        <v>35</v>
      </c>
      <c r="I3215" s="37" t="s">
        <v>36</v>
      </c>
      <c r="J3215" s="34" t="s">
        <v>49</v>
      </c>
      <c r="K3215" s="26" t="s">
        <v>38</v>
      </c>
      <c r="L3215" s="163">
        <v>12319.0</v>
      </c>
      <c r="M3215" s="62" t="s">
        <v>50</v>
      </c>
      <c r="N3215" s="42" t="s">
        <v>143</v>
      </c>
      <c r="O3215" s="63">
        <v>45670.59363885417</v>
      </c>
      <c r="P3215" s="26" t="s">
        <v>12610</v>
      </c>
      <c r="Q3215" s="13" t="s">
        <v>75</v>
      </c>
      <c r="R3215" s="13" t="s">
        <v>67</v>
      </c>
      <c r="S3215" s="13" t="s">
        <v>50</v>
      </c>
      <c r="T3215" s="52">
        <v>45645.629337569444</v>
      </c>
      <c r="U3215" s="52">
        <v>45645.683718506945</v>
      </c>
      <c r="V3215" s="52">
        <v>45670.467714375</v>
      </c>
      <c r="W3215" s="11"/>
      <c r="X3215" s="11"/>
      <c r="Y3215" s="45"/>
      <c r="Z3215" s="78"/>
      <c r="AA3215" s="31" t="s">
        <v>94</v>
      </c>
      <c r="AB3215" s="45" t="s">
        <v>12611</v>
      </c>
      <c r="AC3215" s="45"/>
    </row>
    <row r="3216" ht="18.75" customHeight="1">
      <c r="A3216" s="142" t="s">
        <v>12612</v>
      </c>
      <c r="B3216" s="19" t="s">
        <v>5287</v>
      </c>
      <c r="C3216" s="20">
        <v>34.0</v>
      </c>
      <c r="D3216" s="48" t="s">
        <v>12613</v>
      </c>
      <c r="E3216" s="27" t="s">
        <v>47</v>
      </c>
      <c r="F3216" s="18" t="s">
        <v>48</v>
      </c>
      <c r="G3216" s="18" t="s">
        <v>35</v>
      </c>
      <c r="H3216" s="40" t="s">
        <v>35</v>
      </c>
      <c r="I3216" s="37" t="s">
        <v>36</v>
      </c>
      <c r="J3216" s="25" t="s">
        <v>49</v>
      </c>
      <c r="K3216" s="26" t="s">
        <v>12614</v>
      </c>
      <c r="L3216" s="25">
        <v>12336.0</v>
      </c>
      <c r="M3216" s="62" t="s">
        <v>50</v>
      </c>
      <c r="N3216" s="42" t="s">
        <v>5936</v>
      </c>
      <c r="O3216" s="63">
        <v>45649.67310518518</v>
      </c>
      <c r="P3216" s="26" t="s">
        <v>12615</v>
      </c>
      <c r="Q3216" s="13" t="s">
        <v>75</v>
      </c>
      <c r="R3216" s="13" t="s">
        <v>67</v>
      </c>
      <c r="S3216" s="13" t="s">
        <v>50</v>
      </c>
      <c r="T3216" s="52">
        <v>45645.63389695602</v>
      </c>
      <c r="U3216" s="52">
        <v>45645.661400578705</v>
      </c>
      <c r="V3216" s="52">
        <v>45649.468074386576</v>
      </c>
      <c r="W3216" s="11"/>
      <c r="X3216" s="11"/>
      <c r="Y3216" s="45"/>
      <c r="Z3216" s="45"/>
      <c r="AA3216" s="31" t="s">
        <v>5290</v>
      </c>
      <c r="AB3216" s="45" t="s">
        <v>12616</v>
      </c>
      <c r="AC3216" s="45"/>
    </row>
    <row r="3217" ht="18.75" customHeight="1">
      <c r="A3217" s="18" t="s">
        <v>12617</v>
      </c>
      <c r="B3217" s="19" t="s">
        <v>8743</v>
      </c>
      <c r="C3217" s="20">
        <v>90.0</v>
      </c>
      <c r="D3217" s="48" t="s">
        <v>12618</v>
      </c>
      <c r="E3217" s="27" t="s">
        <v>91</v>
      </c>
      <c r="F3217" s="18" t="s">
        <v>48</v>
      </c>
      <c r="G3217" s="18" t="s">
        <v>35</v>
      </c>
      <c r="H3217" s="40" t="s">
        <v>35</v>
      </c>
      <c r="I3217" s="24" t="s">
        <v>36</v>
      </c>
      <c r="J3217" s="25" t="s">
        <v>65</v>
      </c>
      <c r="K3217" s="26" t="s">
        <v>38</v>
      </c>
      <c r="L3217" s="25">
        <v>12328.0</v>
      </c>
      <c r="M3217" s="152" t="s">
        <v>50</v>
      </c>
      <c r="N3217" s="42"/>
      <c r="O3217" s="50">
        <v>45646.47130787037</v>
      </c>
      <c r="P3217" s="26" t="s">
        <v>12619</v>
      </c>
      <c r="Q3217" s="13" t="s">
        <v>75</v>
      </c>
      <c r="R3217" s="13" t="s">
        <v>67</v>
      </c>
      <c r="S3217" s="13" t="s">
        <v>73</v>
      </c>
      <c r="T3217" s="52">
        <v>45645.639467002315</v>
      </c>
      <c r="U3217" s="52">
        <v>45645.683486678245</v>
      </c>
      <c r="V3217" s="52">
        <v>45645.87184903935</v>
      </c>
      <c r="W3217" s="11"/>
      <c r="X3217" s="11"/>
      <c r="Y3217" s="45"/>
      <c r="Z3217" s="45"/>
      <c r="AA3217" s="31" t="s">
        <v>3059</v>
      </c>
      <c r="AB3217" s="45" t="s">
        <v>12620</v>
      </c>
      <c r="AC3217" s="45"/>
    </row>
    <row r="3218" ht="18.75" customHeight="1">
      <c r="A3218" s="18" t="s">
        <v>12621</v>
      </c>
      <c r="B3218" s="19" t="s">
        <v>8743</v>
      </c>
      <c r="C3218" s="20">
        <v>90.0</v>
      </c>
      <c r="D3218" s="48" t="s">
        <v>12622</v>
      </c>
      <c r="E3218" s="27" t="s">
        <v>91</v>
      </c>
      <c r="F3218" s="18" t="s">
        <v>48</v>
      </c>
      <c r="G3218" s="18" t="s">
        <v>35</v>
      </c>
      <c r="H3218" s="40" t="s">
        <v>35</v>
      </c>
      <c r="I3218" s="24" t="s">
        <v>36</v>
      </c>
      <c r="J3218" s="25" t="s">
        <v>65</v>
      </c>
      <c r="K3218" s="26" t="s">
        <v>38</v>
      </c>
      <c r="L3218" s="25">
        <v>12328.0</v>
      </c>
      <c r="M3218" s="152" t="str">
        <f>VLOOKUP(D3218,'Página111'!E:E,1,0)</f>
        <v>#REF!</v>
      </c>
      <c r="N3218" s="42"/>
      <c r="O3218" s="50">
        <v>45646.0</v>
      </c>
      <c r="P3218" s="26" t="s">
        <v>12619</v>
      </c>
      <c r="Q3218" s="13" t="s">
        <v>75</v>
      </c>
      <c r="R3218" s="13" t="s">
        <v>67</v>
      </c>
      <c r="S3218" s="13" t="s">
        <v>73</v>
      </c>
      <c r="T3218" s="52">
        <v>45645.639543495374</v>
      </c>
      <c r="U3218" s="52">
        <v>45645.683528194444</v>
      </c>
      <c r="V3218" s="52">
        <v>45645.87195886574</v>
      </c>
      <c r="W3218" s="11"/>
      <c r="X3218" s="11"/>
      <c r="Y3218" s="45"/>
      <c r="Z3218" s="45"/>
      <c r="AA3218" s="31" t="s">
        <v>3059</v>
      </c>
      <c r="AB3218" s="45" t="s">
        <v>12623</v>
      </c>
      <c r="AC3218" s="45"/>
    </row>
    <row r="3219" ht="18.75" customHeight="1">
      <c r="A3219" s="142" t="s">
        <v>12624</v>
      </c>
      <c r="B3219" s="19" t="s">
        <v>12625</v>
      </c>
      <c r="C3219" s="20">
        <v>90.0</v>
      </c>
      <c r="D3219" s="48" t="s">
        <v>12626</v>
      </c>
      <c r="E3219" s="27" t="s">
        <v>91</v>
      </c>
      <c r="F3219" s="18" t="s">
        <v>48</v>
      </c>
      <c r="G3219" s="18" t="s">
        <v>35</v>
      </c>
      <c r="H3219" s="40" t="s">
        <v>35</v>
      </c>
      <c r="I3219" s="37" t="s">
        <v>36</v>
      </c>
      <c r="J3219" s="25" t="s">
        <v>8585</v>
      </c>
      <c r="K3219" s="26" t="s">
        <v>38</v>
      </c>
      <c r="L3219" s="25">
        <v>12330.0</v>
      </c>
      <c r="M3219" s="62" t="s">
        <v>50</v>
      </c>
      <c r="N3219" s="42" t="s">
        <v>12627</v>
      </c>
      <c r="O3219" s="63">
        <v>45652.61433996528</v>
      </c>
      <c r="P3219" s="26" t="s">
        <v>12628</v>
      </c>
      <c r="Q3219" s="13" t="s">
        <v>67</v>
      </c>
      <c r="R3219" s="13" t="s">
        <v>67</v>
      </c>
      <c r="S3219" s="13" t="s">
        <v>73</v>
      </c>
      <c r="T3219" s="52">
        <v>45645.6288928588</v>
      </c>
      <c r="U3219" s="52">
        <v>45645.68406537037</v>
      </c>
      <c r="V3219" s="52">
        <v>45645.87211082176</v>
      </c>
      <c r="W3219" s="11"/>
      <c r="X3219" s="11"/>
      <c r="Y3219" s="45"/>
      <c r="Z3219" s="45"/>
      <c r="AA3219" s="31" t="s">
        <v>3385</v>
      </c>
      <c r="AB3219" s="45" t="s">
        <v>12629</v>
      </c>
      <c r="AC3219" s="45"/>
    </row>
    <row r="3220" ht="18.75" customHeight="1">
      <c r="A3220" s="18" t="s">
        <v>12630</v>
      </c>
      <c r="B3220" s="19" t="s">
        <v>12631</v>
      </c>
      <c r="C3220" s="20">
        <v>0.0</v>
      </c>
      <c r="D3220" s="48" t="s">
        <v>12632</v>
      </c>
      <c r="E3220" s="27" t="s">
        <v>3834</v>
      </c>
      <c r="F3220" s="18" t="s">
        <v>33</v>
      </c>
      <c r="G3220" s="18" t="s">
        <v>35</v>
      </c>
      <c r="H3220" s="40" t="s">
        <v>35</v>
      </c>
      <c r="I3220" s="37" t="s">
        <v>36</v>
      </c>
      <c r="J3220" s="25" t="s">
        <v>49</v>
      </c>
      <c r="K3220" s="26" t="s">
        <v>38</v>
      </c>
      <c r="L3220" s="25">
        <v>12338.0</v>
      </c>
      <c r="M3220" s="49" t="s">
        <v>50</v>
      </c>
      <c r="N3220" s="42" t="s">
        <v>4183</v>
      </c>
      <c r="O3220" s="50">
        <v>45653.69363835648</v>
      </c>
      <c r="P3220" s="26" t="s">
        <v>12633</v>
      </c>
      <c r="Q3220" s="13" t="s">
        <v>75</v>
      </c>
      <c r="R3220" s="13" t="s">
        <v>75</v>
      </c>
      <c r="S3220" s="13"/>
      <c r="T3220" s="52">
        <v>45649.584098252315</v>
      </c>
      <c r="U3220" s="52">
        <v>45650.41494611111</v>
      </c>
      <c r="V3220" s="52"/>
      <c r="W3220" s="11"/>
      <c r="X3220" s="11"/>
      <c r="Y3220" s="45"/>
      <c r="Z3220" s="45"/>
      <c r="AA3220" s="31" t="s">
        <v>145</v>
      </c>
      <c r="AB3220" s="45" t="s">
        <v>12634</v>
      </c>
      <c r="AC3220" s="45"/>
    </row>
    <row r="3221" ht="18.75" customHeight="1">
      <c r="A3221" s="18" t="s">
        <v>12635</v>
      </c>
      <c r="B3221" s="19" t="s">
        <v>12631</v>
      </c>
      <c r="C3221" s="20">
        <v>0.0</v>
      </c>
      <c r="D3221" s="48" t="s">
        <v>12636</v>
      </c>
      <c r="E3221" s="27" t="s">
        <v>3834</v>
      </c>
      <c r="F3221" s="18" t="s">
        <v>33</v>
      </c>
      <c r="G3221" s="18" t="s">
        <v>35</v>
      </c>
      <c r="H3221" s="40" t="s">
        <v>35</v>
      </c>
      <c r="I3221" s="37" t="s">
        <v>36</v>
      </c>
      <c r="J3221" s="25" t="s">
        <v>49</v>
      </c>
      <c r="K3221" s="26" t="s">
        <v>38</v>
      </c>
      <c r="L3221" s="25">
        <v>12338.0</v>
      </c>
      <c r="M3221" s="49" t="s">
        <v>50</v>
      </c>
      <c r="N3221" s="42" t="s">
        <v>4183</v>
      </c>
      <c r="O3221" s="50">
        <v>45653.69370824074</v>
      </c>
      <c r="P3221" s="26" t="s">
        <v>12633</v>
      </c>
      <c r="Q3221" s="13" t="s">
        <v>75</v>
      </c>
      <c r="R3221" s="13" t="s">
        <v>75</v>
      </c>
      <c r="S3221" s="13"/>
      <c r="T3221" s="52">
        <v>45649.58434914352</v>
      </c>
      <c r="U3221" s="52">
        <v>45650.41488027778</v>
      </c>
      <c r="V3221" s="52"/>
      <c r="W3221" s="11"/>
      <c r="X3221" s="11"/>
      <c r="Y3221" s="45"/>
      <c r="Z3221" s="45"/>
      <c r="AA3221" s="31" t="s">
        <v>145</v>
      </c>
      <c r="AB3221" s="45" t="s">
        <v>12637</v>
      </c>
      <c r="AC3221" s="45"/>
    </row>
    <row r="3222" ht="18.75" customHeight="1">
      <c r="A3222" s="142" t="s">
        <v>12638</v>
      </c>
      <c r="B3222" s="19" t="s">
        <v>12639</v>
      </c>
      <c r="C3222" s="20">
        <v>137.0</v>
      </c>
      <c r="D3222" s="48" t="s">
        <v>12640</v>
      </c>
      <c r="E3222" s="27" t="s">
        <v>85</v>
      </c>
      <c r="F3222" s="18" t="s">
        <v>48</v>
      </c>
      <c r="G3222" s="18" t="s">
        <v>35</v>
      </c>
      <c r="H3222" s="40" t="s">
        <v>35</v>
      </c>
      <c r="I3222" s="37" t="s">
        <v>36</v>
      </c>
      <c r="J3222" s="25" t="s">
        <v>49</v>
      </c>
      <c r="K3222" s="26" t="s">
        <v>12641</v>
      </c>
      <c r="L3222" s="25">
        <v>12360.0</v>
      </c>
      <c r="M3222" s="49" t="s">
        <v>50</v>
      </c>
      <c r="N3222" s="42" t="s">
        <v>4183</v>
      </c>
      <c r="O3222" s="50">
        <v>45653.693144432866</v>
      </c>
      <c r="P3222" s="26" t="s">
        <v>12642</v>
      </c>
      <c r="Q3222" s="13" t="s">
        <v>75</v>
      </c>
      <c r="R3222" s="13" t="s">
        <v>75</v>
      </c>
      <c r="S3222" s="13" t="s">
        <v>50</v>
      </c>
      <c r="T3222" s="52">
        <v>45649.56981605324</v>
      </c>
      <c r="U3222" s="52">
        <v>45649.64292702546</v>
      </c>
      <c r="V3222" s="52">
        <v>45652.486897800925</v>
      </c>
      <c r="W3222" s="11"/>
      <c r="X3222" s="11"/>
      <c r="Y3222" s="45"/>
      <c r="Z3222" s="45"/>
      <c r="AA3222" s="31" t="s">
        <v>108</v>
      </c>
      <c r="AB3222" s="45" t="s">
        <v>12643</v>
      </c>
      <c r="AC3222" s="45"/>
    </row>
    <row r="3223" ht="18.75" customHeight="1">
      <c r="A3223" s="142" t="s">
        <v>12644</v>
      </c>
      <c r="B3223" s="19" t="s">
        <v>5469</v>
      </c>
      <c r="C3223" s="47">
        <v>1.0</v>
      </c>
      <c r="D3223" s="48" t="s">
        <v>12645</v>
      </c>
      <c r="E3223" s="27" t="s">
        <v>11712</v>
      </c>
      <c r="F3223" s="18" t="s">
        <v>48</v>
      </c>
      <c r="G3223" s="18" t="s">
        <v>35</v>
      </c>
      <c r="H3223" s="40" t="s">
        <v>35</v>
      </c>
      <c r="I3223" s="37" t="s">
        <v>36</v>
      </c>
      <c r="J3223" s="25" t="s">
        <v>49</v>
      </c>
      <c r="K3223" s="26" t="s">
        <v>38</v>
      </c>
      <c r="L3223" s="25">
        <v>12438.0</v>
      </c>
      <c r="M3223" s="49" t="s">
        <v>50</v>
      </c>
      <c r="N3223" s="42" t="s">
        <v>143</v>
      </c>
      <c r="O3223" s="50">
        <v>45672.618756550924</v>
      </c>
      <c r="P3223" s="26" t="s">
        <v>12646</v>
      </c>
      <c r="Q3223" s="13" t="s">
        <v>75</v>
      </c>
      <c r="R3223" s="13" t="s">
        <v>75</v>
      </c>
      <c r="S3223" s="13"/>
      <c r="T3223" s="52">
        <v>45649.6008147338</v>
      </c>
      <c r="U3223" s="52">
        <v>45649.68796333333</v>
      </c>
      <c r="V3223" s="52"/>
      <c r="W3223" s="11"/>
      <c r="X3223" s="11"/>
      <c r="Y3223" s="45"/>
      <c r="Z3223" s="45"/>
      <c r="AA3223" s="31" t="s">
        <v>102</v>
      </c>
      <c r="AB3223" s="45" t="s">
        <v>12647</v>
      </c>
      <c r="AC3223" s="45"/>
    </row>
    <row r="3224" ht="18.75" customHeight="1">
      <c r="A3224" s="142" t="s">
        <v>12648</v>
      </c>
      <c r="B3224" s="19" t="s">
        <v>8893</v>
      </c>
      <c r="C3224" s="20">
        <v>137.0</v>
      </c>
      <c r="D3224" s="48" t="s">
        <v>12649</v>
      </c>
      <c r="E3224" s="27" t="s">
        <v>85</v>
      </c>
      <c r="F3224" s="18" t="s">
        <v>48</v>
      </c>
      <c r="G3224" s="18" t="s">
        <v>35</v>
      </c>
      <c r="H3224" s="40" t="s">
        <v>35</v>
      </c>
      <c r="I3224" s="37" t="s">
        <v>36</v>
      </c>
      <c r="J3224" s="25" t="s">
        <v>49</v>
      </c>
      <c r="K3224" s="26" t="s">
        <v>38</v>
      </c>
      <c r="L3224" s="25">
        <v>12362.0</v>
      </c>
      <c r="M3224" s="49" t="s">
        <v>50</v>
      </c>
      <c r="N3224" s="42" t="s">
        <v>4183</v>
      </c>
      <c r="O3224" s="50">
        <v>45653.6930233912</v>
      </c>
      <c r="P3224" s="26" t="s">
        <v>12650</v>
      </c>
      <c r="Q3224" s="13" t="s">
        <v>75</v>
      </c>
      <c r="R3224" s="13" t="s">
        <v>75</v>
      </c>
      <c r="S3224" s="13" t="s">
        <v>50</v>
      </c>
      <c r="T3224" s="52">
        <v>45649.610345381945</v>
      </c>
      <c r="U3224" s="52">
        <v>45649.68806638889</v>
      </c>
      <c r="V3224" s="52">
        <v>45652.48691016204</v>
      </c>
      <c r="W3224" s="11"/>
      <c r="X3224" s="11"/>
      <c r="Y3224" s="45"/>
      <c r="Z3224" s="45"/>
      <c r="AA3224" s="31" t="s">
        <v>5199</v>
      </c>
      <c r="AB3224" s="45" t="s">
        <v>12651</v>
      </c>
      <c r="AC3224" s="45"/>
    </row>
    <row r="3225" ht="18.75" customHeight="1">
      <c r="A3225" s="142" t="s">
        <v>12652</v>
      </c>
      <c r="B3225" s="19" t="s">
        <v>11243</v>
      </c>
      <c r="C3225" s="20">
        <v>0.0</v>
      </c>
      <c r="D3225" s="48" t="s">
        <v>12653</v>
      </c>
      <c r="E3225" s="27" t="s">
        <v>7436</v>
      </c>
      <c r="F3225" s="18" t="s">
        <v>33</v>
      </c>
      <c r="G3225" s="18" t="s">
        <v>35</v>
      </c>
      <c r="H3225" s="40" t="s">
        <v>35</v>
      </c>
      <c r="I3225" s="37" t="s">
        <v>36</v>
      </c>
      <c r="J3225" s="25" t="s">
        <v>49</v>
      </c>
      <c r="K3225" s="26" t="s">
        <v>38</v>
      </c>
      <c r="L3225" s="25">
        <v>12487.0</v>
      </c>
      <c r="M3225" s="49" t="s">
        <v>50</v>
      </c>
      <c r="N3225" s="42" t="s">
        <v>143</v>
      </c>
      <c r="O3225" s="50">
        <v>45681.57041410879</v>
      </c>
      <c r="P3225" s="26" t="s">
        <v>12654</v>
      </c>
      <c r="Q3225" s="13" t="s">
        <v>75</v>
      </c>
      <c r="R3225" s="13" t="s">
        <v>75</v>
      </c>
      <c r="S3225" s="13" t="s">
        <v>101</v>
      </c>
      <c r="T3225" s="52">
        <v>45649.70581572916</v>
      </c>
      <c r="U3225" s="52">
        <v>45649.70735158565</v>
      </c>
      <c r="V3225" s="52">
        <v>45679.373044409724</v>
      </c>
      <c r="W3225" s="11"/>
      <c r="X3225" s="11"/>
      <c r="Y3225" s="45"/>
      <c r="Z3225" s="45"/>
      <c r="AA3225" s="31" t="s">
        <v>5199</v>
      </c>
      <c r="AB3225" s="45" t="s">
        <v>12655</v>
      </c>
      <c r="AC3225" s="45"/>
    </row>
    <row r="3226" ht="18.75" customHeight="1">
      <c r="A3226" s="142" t="s">
        <v>12656</v>
      </c>
      <c r="B3226" s="19" t="s">
        <v>5287</v>
      </c>
      <c r="C3226" s="20">
        <v>27.0</v>
      </c>
      <c r="D3226" s="39" t="s">
        <v>12657</v>
      </c>
      <c r="E3226" s="27" t="s">
        <v>72</v>
      </c>
      <c r="F3226" s="18" t="s">
        <v>48</v>
      </c>
      <c r="G3226" s="18" t="s">
        <v>35</v>
      </c>
      <c r="H3226" s="40" t="s">
        <v>35</v>
      </c>
      <c r="I3226" s="37" t="s">
        <v>36</v>
      </c>
      <c r="J3226" s="25" t="s">
        <v>49</v>
      </c>
      <c r="K3226" s="26" t="s">
        <v>12614</v>
      </c>
      <c r="L3226" s="25">
        <v>12363.0</v>
      </c>
      <c r="M3226" s="49" t="s">
        <v>50</v>
      </c>
      <c r="N3226" s="42" t="s">
        <v>4183</v>
      </c>
      <c r="O3226" s="50">
        <v>45653.692883854164</v>
      </c>
      <c r="P3226" s="26" t="s">
        <v>12658</v>
      </c>
      <c r="Q3226" s="13" t="s">
        <v>75</v>
      </c>
      <c r="R3226" s="13" t="s">
        <v>67</v>
      </c>
      <c r="S3226" s="13" t="s">
        <v>50</v>
      </c>
      <c r="T3226" s="52">
        <v>45649.61118784722</v>
      </c>
      <c r="U3226" s="52">
        <v>45650.362092916665</v>
      </c>
      <c r="V3226" s="52">
        <v>45652.4869262037</v>
      </c>
      <c r="W3226" s="11"/>
      <c r="X3226" s="11"/>
      <c r="Y3226" s="45"/>
      <c r="Z3226" s="45"/>
      <c r="AA3226" s="31" t="s">
        <v>5290</v>
      </c>
      <c r="AB3226" s="45" t="s">
        <v>12659</v>
      </c>
      <c r="AC3226" s="45"/>
    </row>
    <row r="3227" ht="18.75" customHeight="1">
      <c r="A3227" s="142" t="s">
        <v>12660</v>
      </c>
      <c r="B3227" s="19" t="s">
        <v>4035</v>
      </c>
      <c r="C3227" s="20">
        <v>90.0</v>
      </c>
      <c r="D3227" s="48" t="s">
        <v>12661</v>
      </c>
      <c r="E3227" s="27" t="s">
        <v>91</v>
      </c>
      <c r="F3227" s="18" t="s">
        <v>48</v>
      </c>
      <c r="G3227" s="18" t="s">
        <v>35</v>
      </c>
      <c r="H3227" s="40" t="s">
        <v>35</v>
      </c>
      <c r="I3227" s="37" t="s">
        <v>36</v>
      </c>
      <c r="J3227" s="25" t="s">
        <v>65</v>
      </c>
      <c r="K3227" s="26" t="s">
        <v>38</v>
      </c>
      <c r="L3227" s="25">
        <v>12371.0</v>
      </c>
      <c r="M3227" s="49" t="s">
        <v>50</v>
      </c>
      <c r="N3227" s="42" t="s">
        <v>10991</v>
      </c>
      <c r="O3227" s="50">
        <v>45653.444493449075</v>
      </c>
      <c r="P3227" s="26" t="s">
        <v>12662</v>
      </c>
      <c r="Q3227" s="13" t="s">
        <v>75</v>
      </c>
      <c r="R3227" s="13" t="s">
        <v>75</v>
      </c>
      <c r="S3227" s="13" t="s">
        <v>50</v>
      </c>
      <c r="T3227" s="52">
        <v>45649.61196372686</v>
      </c>
      <c r="U3227" s="52">
        <v>45652.35942782408</v>
      </c>
      <c r="V3227" s="52">
        <v>45652.64652055556</v>
      </c>
      <c r="W3227" s="11"/>
      <c r="X3227" s="11"/>
      <c r="Y3227" s="45"/>
      <c r="Z3227" s="45"/>
      <c r="AA3227" s="31" t="s">
        <v>94</v>
      </c>
      <c r="AB3227" s="45" t="s">
        <v>12663</v>
      </c>
      <c r="AC3227" s="45"/>
    </row>
    <row r="3228" ht="18.75" customHeight="1">
      <c r="A3228" s="142" t="s">
        <v>12664</v>
      </c>
      <c r="B3228" s="19" t="s">
        <v>12057</v>
      </c>
      <c r="C3228" s="20">
        <v>137.0</v>
      </c>
      <c r="D3228" s="48" t="s">
        <v>12665</v>
      </c>
      <c r="E3228" s="27" t="s">
        <v>85</v>
      </c>
      <c r="F3228" s="18" t="s">
        <v>48</v>
      </c>
      <c r="G3228" s="18" t="s">
        <v>35</v>
      </c>
      <c r="H3228" s="40" t="s">
        <v>35</v>
      </c>
      <c r="I3228" s="37" t="s">
        <v>36</v>
      </c>
      <c r="J3228" s="25" t="s">
        <v>65</v>
      </c>
      <c r="K3228" s="26" t="s">
        <v>38</v>
      </c>
      <c r="L3228" s="25">
        <v>12457.0</v>
      </c>
      <c r="M3228" s="49" t="s">
        <v>50</v>
      </c>
      <c r="N3228" s="42" t="s">
        <v>5618</v>
      </c>
      <c r="O3228" s="50">
        <v>45678.45948125</v>
      </c>
      <c r="P3228" s="26" t="s">
        <v>12666</v>
      </c>
      <c r="Q3228" s="13" t="s">
        <v>75</v>
      </c>
      <c r="R3228" s="13" t="s">
        <v>75</v>
      </c>
      <c r="S3228" s="13" t="s">
        <v>50</v>
      </c>
      <c r="T3228" s="52">
        <v>45649.65347943287</v>
      </c>
      <c r="U3228" s="52">
        <v>45673.400022870366</v>
      </c>
      <c r="V3228" s="52">
        <v>45674.58522822917</v>
      </c>
      <c r="W3228" s="11"/>
      <c r="X3228" s="11"/>
      <c r="Y3228" s="45"/>
      <c r="Z3228" s="45"/>
      <c r="AA3228" s="31" t="s">
        <v>94</v>
      </c>
      <c r="AB3228" s="45" t="s">
        <v>12667</v>
      </c>
      <c r="AC3228" s="45"/>
    </row>
    <row r="3229" ht="18.75" customHeight="1">
      <c r="A3229" s="142" t="s">
        <v>12668</v>
      </c>
      <c r="B3229" s="19" t="s">
        <v>4313</v>
      </c>
      <c r="C3229" s="20">
        <v>34.0</v>
      </c>
      <c r="D3229" s="48" t="s">
        <v>12669</v>
      </c>
      <c r="E3229" s="27" t="s">
        <v>47</v>
      </c>
      <c r="F3229" s="18" t="s">
        <v>48</v>
      </c>
      <c r="G3229" s="18" t="s">
        <v>35</v>
      </c>
      <c r="H3229" s="40" t="s">
        <v>35</v>
      </c>
      <c r="I3229" s="37" t="s">
        <v>36</v>
      </c>
      <c r="J3229" s="25" t="s">
        <v>92</v>
      </c>
      <c r="K3229" s="26" t="s">
        <v>38</v>
      </c>
      <c r="L3229" s="25">
        <v>12392.0</v>
      </c>
      <c r="M3229" s="49" t="s">
        <v>50</v>
      </c>
      <c r="N3229" s="42" t="s">
        <v>7077</v>
      </c>
      <c r="O3229" s="50">
        <v>45664.68888888889</v>
      </c>
      <c r="P3229" s="26" t="s">
        <v>12670</v>
      </c>
      <c r="Q3229" s="13" t="s">
        <v>75</v>
      </c>
      <c r="R3229" s="13" t="s">
        <v>75</v>
      </c>
      <c r="S3229" s="13" t="s">
        <v>50</v>
      </c>
      <c r="T3229" s="52">
        <v>45649.57061628472</v>
      </c>
      <c r="U3229" s="52">
        <v>45649.637487245374</v>
      </c>
      <c r="V3229" s="52">
        <v>45664.367531192125</v>
      </c>
      <c r="W3229" s="11"/>
      <c r="X3229" s="11"/>
      <c r="Y3229" s="45"/>
      <c r="Z3229" s="45"/>
      <c r="AA3229" s="31" t="s">
        <v>120</v>
      </c>
      <c r="AB3229" s="45" t="s">
        <v>12671</v>
      </c>
      <c r="AC3229" s="45"/>
    </row>
    <row r="3230" ht="18.75" customHeight="1">
      <c r="A3230" s="142" t="s">
        <v>12672</v>
      </c>
      <c r="B3230" s="19" t="s">
        <v>4313</v>
      </c>
      <c r="C3230" s="20">
        <v>1.0</v>
      </c>
      <c r="D3230" s="48" t="s">
        <v>12673</v>
      </c>
      <c r="E3230" s="27" t="s">
        <v>3395</v>
      </c>
      <c r="F3230" s="18" t="s">
        <v>48</v>
      </c>
      <c r="G3230" s="18" t="s">
        <v>35</v>
      </c>
      <c r="H3230" s="40" t="s">
        <v>35</v>
      </c>
      <c r="I3230" s="37" t="s">
        <v>36</v>
      </c>
      <c r="J3230" s="25" t="s">
        <v>92</v>
      </c>
      <c r="K3230" s="26" t="s">
        <v>38</v>
      </c>
      <c r="L3230" s="25">
        <v>12361.0</v>
      </c>
      <c r="M3230" s="49" t="s">
        <v>50</v>
      </c>
      <c r="N3230" s="42" t="s">
        <v>7077</v>
      </c>
      <c r="O3230" s="50">
        <v>45664.646527777775</v>
      </c>
      <c r="P3230" s="26" t="s">
        <v>12674</v>
      </c>
      <c r="Q3230" s="13" t="s">
        <v>75</v>
      </c>
      <c r="R3230" s="13" t="s">
        <v>75</v>
      </c>
      <c r="S3230" s="13" t="s">
        <v>50</v>
      </c>
      <c r="T3230" s="52">
        <v>45649.57118775463</v>
      </c>
      <c r="U3230" s="52">
        <v>45649.68821359954</v>
      </c>
      <c r="V3230" s="52">
        <v>45652.48691851852</v>
      </c>
      <c r="W3230" s="11"/>
      <c r="X3230" s="11"/>
      <c r="Y3230" s="45"/>
      <c r="Z3230" s="45"/>
      <c r="AA3230" s="31" t="s">
        <v>120</v>
      </c>
      <c r="AB3230" s="45" t="s">
        <v>12675</v>
      </c>
      <c r="AC3230" s="45"/>
    </row>
    <row r="3231" ht="18.75" customHeight="1">
      <c r="A3231" s="142" t="s">
        <v>12676</v>
      </c>
      <c r="B3231" s="19" t="s">
        <v>12677</v>
      </c>
      <c r="C3231" s="20">
        <v>27.0</v>
      </c>
      <c r="D3231" s="39" t="s">
        <v>12678</v>
      </c>
      <c r="E3231" s="27" t="s">
        <v>72</v>
      </c>
      <c r="F3231" s="18" t="s">
        <v>48</v>
      </c>
      <c r="G3231" s="18" t="s">
        <v>35</v>
      </c>
      <c r="H3231" s="40" t="s">
        <v>35</v>
      </c>
      <c r="I3231" s="37" t="s">
        <v>36</v>
      </c>
      <c r="J3231" s="25" t="s">
        <v>49</v>
      </c>
      <c r="K3231" s="26" t="s">
        <v>5954</v>
      </c>
      <c r="L3231" s="25">
        <v>12566.0</v>
      </c>
      <c r="M3231" s="49" t="s">
        <v>50</v>
      </c>
      <c r="N3231" s="42" t="s">
        <v>143</v>
      </c>
      <c r="O3231" s="50">
        <v>45692.59862322916</v>
      </c>
      <c r="P3231" s="26" t="s">
        <v>12679</v>
      </c>
      <c r="Q3231" s="13" t="s">
        <v>75</v>
      </c>
      <c r="R3231" s="13" t="s">
        <v>75</v>
      </c>
      <c r="S3231" s="13" t="s">
        <v>50</v>
      </c>
      <c r="T3231" s="52">
        <v>45672.40166201389</v>
      </c>
      <c r="U3231" s="52">
        <v>45692.35869230324</v>
      </c>
      <c r="V3231" s="52">
        <v>45692.36286129629</v>
      </c>
      <c r="W3231" s="11"/>
      <c r="X3231" s="11"/>
      <c r="Y3231" s="45"/>
      <c r="Z3231" s="45"/>
      <c r="AA3231" s="31" t="s">
        <v>127</v>
      </c>
      <c r="AB3231" s="45" t="s">
        <v>12680</v>
      </c>
      <c r="AC3231" s="45"/>
    </row>
    <row r="3232" ht="18.75" customHeight="1">
      <c r="A3232" s="142" t="s">
        <v>12681</v>
      </c>
      <c r="B3232" s="19" t="s">
        <v>12682</v>
      </c>
      <c r="C3232" s="20">
        <v>0.0</v>
      </c>
      <c r="D3232" s="48" t="s">
        <v>12683</v>
      </c>
      <c r="E3232" s="27" t="s">
        <v>3441</v>
      </c>
      <c r="F3232" s="18" t="s">
        <v>48</v>
      </c>
      <c r="G3232" s="18" t="s">
        <v>35</v>
      </c>
      <c r="H3232" s="40" t="s">
        <v>35</v>
      </c>
      <c r="I3232" s="37" t="s">
        <v>36</v>
      </c>
      <c r="J3232" s="25" t="s">
        <v>49</v>
      </c>
      <c r="K3232" s="26" t="s">
        <v>5954</v>
      </c>
      <c r="L3232" s="25">
        <v>12565.0</v>
      </c>
      <c r="M3232" s="49" t="s">
        <v>50</v>
      </c>
      <c r="N3232" s="42" t="s">
        <v>143</v>
      </c>
      <c r="O3232" s="50">
        <v>45692.59856883102</v>
      </c>
      <c r="P3232" s="26" t="s">
        <v>12684</v>
      </c>
      <c r="Q3232" s="13" t="s">
        <v>75</v>
      </c>
      <c r="R3232" s="13" t="s">
        <v>75</v>
      </c>
      <c r="S3232" s="13" t="s">
        <v>50</v>
      </c>
      <c r="T3232" s="52">
        <v>45672.39949591435</v>
      </c>
      <c r="U3232" s="52">
        <v>45692.35865820602</v>
      </c>
      <c r="V3232" s="52">
        <v>45692.362851342594</v>
      </c>
      <c r="W3232" s="11"/>
      <c r="X3232" s="11"/>
      <c r="Y3232" s="45"/>
      <c r="Z3232" s="45"/>
      <c r="AA3232" s="31" t="s">
        <v>127</v>
      </c>
      <c r="AB3232" s="45" t="s">
        <v>12685</v>
      </c>
      <c r="AC3232" s="45"/>
    </row>
    <row r="3233" ht="18.75" customHeight="1">
      <c r="A3233" s="142" t="s">
        <v>12686</v>
      </c>
      <c r="B3233" s="19" t="s">
        <v>12687</v>
      </c>
      <c r="C3233" s="20">
        <v>0.0</v>
      </c>
      <c r="D3233" s="48" t="s">
        <v>12688</v>
      </c>
      <c r="E3233" s="27" t="s">
        <v>135</v>
      </c>
      <c r="F3233" s="18" t="s">
        <v>48</v>
      </c>
      <c r="G3233" s="18" t="s">
        <v>35</v>
      </c>
      <c r="H3233" s="40" t="s">
        <v>35</v>
      </c>
      <c r="I3233" s="37" t="s">
        <v>36</v>
      </c>
      <c r="J3233" s="25" t="s">
        <v>518</v>
      </c>
      <c r="K3233" s="26" t="s">
        <v>38</v>
      </c>
      <c r="L3233" s="25">
        <v>12481.0</v>
      </c>
      <c r="M3233" s="49" t="s">
        <v>50</v>
      </c>
      <c r="N3233" s="42" t="s">
        <v>4616</v>
      </c>
      <c r="O3233" s="50">
        <v>45680.57140783565</v>
      </c>
      <c r="P3233" s="26" t="s">
        <v>12689</v>
      </c>
      <c r="Q3233" s="13" t="s">
        <v>75</v>
      </c>
      <c r="R3233" s="13" t="s">
        <v>67</v>
      </c>
      <c r="S3233" s="13"/>
      <c r="T3233" s="52">
        <v>45652.73440483796</v>
      </c>
      <c r="U3233" s="52">
        <v>45663.60437065973</v>
      </c>
      <c r="V3233" s="52"/>
      <c r="W3233" s="11"/>
      <c r="X3233" s="11"/>
      <c r="Y3233" s="45"/>
      <c r="Z3233" s="45"/>
      <c r="AA3233" s="31" t="s">
        <v>108</v>
      </c>
      <c r="AB3233" s="45" t="s">
        <v>12690</v>
      </c>
      <c r="AC3233" s="45"/>
    </row>
    <row r="3234" ht="18.75" customHeight="1">
      <c r="A3234" s="142" t="s">
        <v>12691</v>
      </c>
      <c r="B3234" s="19" t="s">
        <v>12692</v>
      </c>
      <c r="C3234" s="20">
        <v>90.0</v>
      </c>
      <c r="D3234" s="48" t="s">
        <v>12693</v>
      </c>
      <c r="E3234" s="27" t="s">
        <v>91</v>
      </c>
      <c r="F3234" s="18" t="s">
        <v>48</v>
      </c>
      <c r="G3234" s="18" t="s">
        <v>35</v>
      </c>
      <c r="H3234" s="40" t="s">
        <v>35</v>
      </c>
      <c r="I3234" s="24" t="s">
        <v>36</v>
      </c>
      <c r="J3234" s="25" t="s">
        <v>92</v>
      </c>
      <c r="K3234" s="26" t="s">
        <v>38</v>
      </c>
      <c r="L3234" s="25"/>
      <c r="M3234" s="49"/>
      <c r="N3234" s="42"/>
      <c r="O3234" s="50"/>
      <c r="P3234" s="26" t="s">
        <v>12694</v>
      </c>
      <c r="Q3234" s="13" t="s">
        <v>75</v>
      </c>
      <c r="R3234" s="13" t="s">
        <v>75</v>
      </c>
      <c r="S3234" s="13" t="s">
        <v>50</v>
      </c>
      <c r="T3234" s="52">
        <v>45652.725617766206</v>
      </c>
      <c r="U3234" s="52">
        <v>45659.40857658564</v>
      </c>
      <c r="V3234" s="52">
        <v>45659.46919125</v>
      </c>
      <c r="W3234" s="11"/>
      <c r="X3234" s="11"/>
      <c r="Y3234" s="45"/>
      <c r="Z3234" s="45"/>
      <c r="AA3234" s="31" t="s">
        <v>3059</v>
      </c>
      <c r="AB3234" s="45" t="s">
        <v>12695</v>
      </c>
      <c r="AC3234" s="45"/>
    </row>
    <row r="3235" ht="18.75" customHeight="1">
      <c r="A3235" s="142" t="s">
        <v>12696</v>
      </c>
      <c r="B3235" s="19" t="s">
        <v>12697</v>
      </c>
      <c r="C3235" s="20">
        <v>137.0</v>
      </c>
      <c r="D3235" s="48" t="s">
        <v>12698</v>
      </c>
      <c r="E3235" s="27" t="s">
        <v>85</v>
      </c>
      <c r="F3235" s="18" t="s">
        <v>48</v>
      </c>
      <c r="G3235" s="18" t="s">
        <v>35</v>
      </c>
      <c r="H3235" s="40" t="s">
        <v>35</v>
      </c>
      <c r="I3235" s="37" t="s">
        <v>36</v>
      </c>
      <c r="J3235" s="25" t="s">
        <v>49</v>
      </c>
      <c r="K3235" s="26" t="s">
        <v>518</v>
      </c>
      <c r="L3235" s="25">
        <v>12384.0</v>
      </c>
      <c r="M3235" s="49" t="s">
        <v>50</v>
      </c>
      <c r="N3235" s="42" t="s">
        <v>9953</v>
      </c>
      <c r="O3235" s="50">
        <v>45660.67650144676</v>
      </c>
      <c r="P3235" s="26" t="s">
        <v>12699</v>
      </c>
      <c r="Q3235" s="13" t="s">
        <v>75</v>
      </c>
      <c r="R3235" s="13" t="s">
        <v>75</v>
      </c>
      <c r="S3235" s="13" t="s">
        <v>50</v>
      </c>
      <c r="T3235" s="52">
        <v>45660.35334052083</v>
      </c>
      <c r="U3235" s="52">
        <v>45660.3534165625</v>
      </c>
      <c r="V3235" s="52">
        <v>45660.486287164356</v>
      </c>
      <c r="W3235" s="11"/>
      <c r="X3235" s="11"/>
      <c r="Y3235" s="45"/>
      <c r="Z3235" s="45"/>
      <c r="AA3235" s="31" t="s">
        <v>127</v>
      </c>
      <c r="AB3235" s="45" t="s">
        <v>12700</v>
      </c>
      <c r="AC3235" s="45"/>
    </row>
    <row r="3236" ht="18.75" customHeight="1">
      <c r="A3236" s="142" t="s">
        <v>12701</v>
      </c>
      <c r="B3236" s="19" t="s">
        <v>9970</v>
      </c>
      <c r="C3236" s="20">
        <v>0.0</v>
      </c>
      <c r="D3236" s="48" t="s">
        <v>12702</v>
      </c>
      <c r="E3236" s="27" t="s">
        <v>3441</v>
      </c>
      <c r="F3236" s="18" t="s">
        <v>48</v>
      </c>
      <c r="G3236" s="18" t="s">
        <v>35</v>
      </c>
      <c r="H3236" s="40" t="s">
        <v>35</v>
      </c>
      <c r="I3236" s="37" t="s">
        <v>36</v>
      </c>
      <c r="J3236" s="25" t="s">
        <v>65</v>
      </c>
      <c r="K3236" s="26" t="s">
        <v>38</v>
      </c>
      <c r="L3236" s="25">
        <v>12374.0</v>
      </c>
      <c r="M3236" s="49" t="s">
        <v>50</v>
      </c>
      <c r="N3236" s="42" t="s">
        <v>10991</v>
      </c>
      <c r="O3236" s="50">
        <v>45653.6912852199</v>
      </c>
      <c r="P3236" s="26" t="s">
        <v>12703</v>
      </c>
      <c r="Q3236" s="13" t="s">
        <v>75</v>
      </c>
      <c r="R3236" s="13" t="s">
        <v>75</v>
      </c>
      <c r="S3236" s="13" t="s">
        <v>50</v>
      </c>
      <c r="T3236" s="52">
        <v>45652.72742498842</v>
      </c>
      <c r="U3236" s="52">
        <v>45653.447178981485</v>
      </c>
      <c r="V3236" s="52">
        <v>45653.55976693287</v>
      </c>
      <c r="W3236" s="11"/>
      <c r="X3236" s="11"/>
      <c r="Y3236" s="45"/>
      <c r="Z3236" s="45"/>
      <c r="AA3236" s="31" t="s">
        <v>94</v>
      </c>
      <c r="AB3236" s="45" t="s">
        <v>12704</v>
      </c>
      <c r="AC3236" s="45"/>
    </row>
    <row r="3237" ht="18.75" customHeight="1">
      <c r="A3237" s="142" t="s">
        <v>12705</v>
      </c>
      <c r="B3237" s="19" t="s">
        <v>4711</v>
      </c>
      <c r="C3237" s="20">
        <v>90.0</v>
      </c>
      <c r="D3237" s="48" t="s">
        <v>12706</v>
      </c>
      <c r="E3237" s="27" t="s">
        <v>91</v>
      </c>
      <c r="F3237" s="18" t="s">
        <v>48</v>
      </c>
      <c r="G3237" s="18" t="s">
        <v>35</v>
      </c>
      <c r="H3237" s="40" t="s">
        <v>35</v>
      </c>
      <c r="I3237" s="37" t="s">
        <v>36</v>
      </c>
      <c r="J3237" s="25" t="s">
        <v>65</v>
      </c>
      <c r="K3237" s="26" t="s">
        <v>38</v>
      </c>
      <c r="L3237" s="25">
        <v>12376.0</v>
      </c>
      <c r="M3237" s="49" t="s">
        <v>50</v>
      </c>
      <c r="N3237" s="42" t="s">
        <v>5706</v>
      </c>
      <c r="O3237" s="50">
        <v>45656.69187274306</v>
      </c>
      <c r="P3237" s="26" t="s">
        <v>12707</v>
      </c>
      <c r="Q3237" s="13" t="s">
        <v>67</v>
      </c>
      <c r="R3237" s="13" t="s">
        <v>67</v>
      </c>
      <c r="S3237" s="13" t="s">
        <v>50</v>
      </c>
      <c r="T3237" s="52">
        <v>45653.571125856484</v>
      </c>
      <c r="U3237" s="52">
        <v>45653.62546268519</v>
      </c>
      <c r="V3237" s="52">
        <v>45653.63620833334</v>
      </c>
      <c r="W3237" s="11"/>
      <c r="X3237" s="11"/>
      <c r="Y3237" s="45"/>
      <c r="Z3237" s="45"/>
      <c r="AA3237" s="31" t="s">
        <v>94</v>
      </c>
      <c r="AB3237" s="45" t="s">
        <v>12708</v>
      </c>
      <c r="AC3237" s="45"/>
    </row>
    <row r="3238" ht="18.75" customHeight="1">
      <c r="A3238" s="18" t="s">
        <v>12709</v>
      </c>
      <c r="B3238" s="19" t="s">
        <v>12710</v>
      </c>
      <c r="C3238" s="20">
        <v>0.0</v>
      </c>
      <c r="D3238" s="48" t="s">
        <v>1234</v>
      </c>
      <c r="E3238" s="27" t="s">
        <v>1530</v>
      </c>
      <c r="F3238" s="18" t="s">
        <v>33</v>
      </c>
      <c r="G3238" s="18" t="s">
        <v>35</v>
      </c>
      <c r="H3238" s="40" t="s">
        <v>35</v>
      </c>
      <c r="I3238" s="37" t="s">
        <v>36</v>
      </c>
      <c r="J3238" s="25" t="s">
        <v>49</v>
      </c>
      <c r="K3238" s="26" t="s">
        <v>38</v>
      </c>
      <c r="L3238" s="25">
        <v>12591.0</v>
      </c>
      <c r="M3238" s="49" t="s">
        <v>50</v>
      </c>
      <c r="N3238" s="42" t="s">
        <v>143</v>
      </c>
      <c r="O3238" s="50">
        <v>45695.61138290509</v>
      </c>
      <c r="P3238" s="26" t="s">
        <v>12711</v>
      </c>
      <c r="Q3238" s="13" t="s">
        <v>75</v>
      </c>
      <c r="R3238" s="13" t="s">
        <v>75</v>
      </c>
      <c r="S3238" s="13" t="s">
        <v>101</v>
      </c>
      <c r="T3238" s="52">
        <v>45674.5590547801</v>
      </c>
      <c r="U3238" s="52">
        <v>45674.55913494213</v>
      </c>
      <c r="V3238" s="52">
        <v>45692.49116081018</v>
      </c>
      <c r="W3238" s="11"/>
      <c r="X3238" s="11"/>
      <c r="Y3238" s="45"/>
      <c r="Z3238" s="45"/>
      <c r="AA3238" s="31" t="s">
        <v>108</v>
      </c>
      <c r="AB3238" s="45" t="s">
        <v>12712</v>
      </c>
      <c r="AC3238" s="45"/>
    </row>
    <row r="3239" ht="18.75" customHeight="1">
      <c r="A3239" s="18" t="s">
        <v>12713</v>
      </c>
      <c r="B3239" s="19" t="s">
        <v>12710</v>
      </c>
      <c r="C3239" s="20">
        <v>0.0</v>
      </c>
      <c r="D3239" s="48" t="s">
        <v>1195</v>
      </c>
      <c r="E3239" s="27" t="s">
        <v>1530</v>
      </c>
      <c r="F3239" s="18" t="s">
        <v>33</v>
      </c>
      <c r="G3239" s="18" t="s">
        <v>35</v>
      </c>
      <c r="H3239" s="40" t="s">
        <v>35</v>
      </c>
      <c r="I3239" s="37" t="s">
        <v>36</v>
      </c>
      <c r="J3239" s="25" t="s">
        <v>49</v>
      </c>
      <c r="K3239" s="26" t="s">
        <v>38</v>
      </c>
      <c r="L3239" s="25">
        <v>12591.0</v>
      </c>
      <c r="M3239" s="49" t="s">
        <v>50</v>
      </c>
      <c r="N3239" s="42" t="s">
        <v>143</v>
      </c>
      <c r="O3239" s="50">
        <v>45695.61146547453</v>
      </c>
      <c r="P3239" s="26" t="s">
        <v>12711</v>
      </c>
      <c r="Q3239" s="13" t="s">
        <v>75</v>
      </c>
      <c r="R3239" s="13" t="s">
        <v>75</v>
      </c>
      <c r="S3239" s="13" t="s">
        <v>101</v>
      </c>
      <c r="T3239" s="52">
        <v>45674.55898288194</v>
      </c>
      <c r="U3239" s="52">
        <v>45674.55912684028</v>
      </c>
      <c r="V3239" s="52">
        <v>45691.45053771991</v>
      </c>
      <c r="W3239" s="11"/>
      <c r="X3239" s="11"/>
      <c r="Y3239" s="45"/>
      <c r="Z3239" s="45"/>
      <c r="AA3239" s="31" t="s">
        <v>108</v>
      </c>
      <c r="AB3239" s="45" t="s">
        <v>12714</v>
      </c>
      <c r="AC3239" s="45"/>
    </row>
    <row r="3240" ht="18.75" customHeight="1">
      <c r="A3240" s="18" t="s">
        <v>12715</v>
      </c>
      <c r="B3240" s="19" t="s">
        <v>12710</v>
      </c>
      <c r="C3240" s="20">
        <v>0.0</v>
      </c>
      <c r="D3240" s="48" t="s">
        <v>12716</v>
      </c>
      <c r="E3240" s="27" t="s">
        <v>1530</v>
      </c>
      <c r="F3240" s="18" t="s">
        <v>33</v>
      </c>
      <c r="G3240" s="18" t="s">
        <v>35</v>
      </c>
      <c r="H3240" s="40" t="s">
        <v>35</v>
      </c>
      <c r="I3240" s="37" t="s">
        <v>36</v>
      </c>
      <c r="J3240" s="25" t="s">
        <v>49</v>
      </c>
      <c r="K3240" s="26" t="s">
        <v>38</v>
      </c>
      <c r="L3240" s="25">
        <v>12591.0</v>
      </c>
      <c r="M3240" s="49" t="s">
        <v>50</v>
      </c>
      <c r="N3240" s="42" t="s">
        <v>143</v>
      </c>
      <c r="O3240" s="50">
        <v>45695.61153792824</v>
      </c>
      <c r="P3240" s="26" t="s">
        <v>12711</v>
      </c>
      <c r="Q3240" s="13" t="s">
        <v>75</v>
      </c>
      <c r="R3240" s="13" t="s">
        <v>75</v>
      </c>
      <c r="S3240" s="13" t="s">
        <v>101</v>
      </c>
      <c r="T3240" s="52">
        <v>45674.558902233795</v>
      </c>
      <c r="U3240" s="52">
        <v>45674.55912049768</v>
      </c>
      <c r="V3240" s="52">
        <v>45692.585891724535</v>
      </c>
      <c r="W3240" s="11"/>
      <c r="X3240" s="11"/>
      <c r="Y3240" s="45"/>
      <c r="Z3240" s="45"/>
      <c r="AA3240" s="31" t="s">
        <v>108</v>
      </c>
      <c r="AB3240" s="45" t="s">
        <v>12717</v>
      </c>
      <c r="AC3240" s="45"/>
    </row>
    <row r="3241" ht="18.75" customHeight="1">
      <c r="A3241" s="18" t="s">
        <v>12718</v>
      </c>
      <c r="B3241" s="19" t="s">
        <v>12710</v>
      </c>
      <c r="C3241" s="20">
        <v>0.0</v>
      </c>
      <c r="D3241" s="48" t="s">
        <v>1230</v>
      </c>
      <c r="E3241" s="27" t="s">
        <v>1530</v>
      </c>
      <c r="F3241" s="18" t="s">
        <v>33</v>
      </c>
      <c r="G3241" s="18" t="s">
        <v>35</v>
      </c>
      <c r="H3241" s="40" t="s">
        <v>35</v>
      </c>
      <c r="I3241" s="37" t="s">
        <v>36</v>
      </c>
      <c r="J3241" s="25" t="s">
        <v>49</v>
      </c>
      <c r="K3241" s="26" t="s">
        <v>38</v>
      </c>
      <c r="L3241" s="25">
        <v>12591.0</v>
      </c>
      <c r="M3241" s="49" t="s">
        <v>50</v>
      </c>
      <c r="N3241" s="42" t="s">
        <v>143</v>
      </c>
      <c r="O3241" s="50">
        <v>45695.61173725694</v>
      </c>
      <c r="P3241" s="26" t="s">
        <v>12711</v>
      </c>
      <c r="Q3241" s="13" t="s">
        <v>75</v>
      </c>
      <c r="R3241" s="13" t="s">
        <v>75</v>
      </c>
      <c r="S3241" s="13" t="s">
        <v>101</v>
      </c>
      <c r="T3241" s="52">
        <v>45674.55880326389</v>
      </c>
      <c r="U3241" s="52">
        <v>45674.55911484954</v>
      </c>
      <c r="V3241" s="52">
        <v>45692.490001909726</v>
      </c>
      <c r="W3241" s="11"/>
      <c r="X3241" s="11"/>
      <c r="Y3241" s="45"/>
      <c r="Z3241" s="45"/>
      <c r="AA3241" s="31" t="s">
        <v>108</v>
      </c>
      <c r="AB3241" s="45" t="s">
        <v>12719</v>
      </c>
      <c r="AC3241" s="45"/>
    </row>
    <row r="3242" ht="18.75" customHeight="1">
      <c r="A3242" s="18" t="s">
        <v>12720</v>
      </c>
      <c r="B3242" s="19" t="s">
        <v>12710</v>
      </c>
      <c r="C3242" s="20">
        <v>0.0</v>
      </c>
      <c r="D3242" s="48" t="s">
        <v>12721</v>
      </c>
      <c r="E3242" s="27" t="s">
        <v>1530</v>
      </c>
      <c r="F3242" s="18" t="s">
        <v>33</v>
      </c>
      <c r="G3242" s="18" t="s">
        <v>35</v>
      </c>
      <c r="H3242" s="40" t="s">
        <v>35</v>
      </c>
      <c r="I3242" s="37" t="s">
        <v>36</v>
      </c>
      <c r="J3242" s="25" t="s">
        <v>49</v>
      </c>
      <c r="K3242" s="26" t="s">
        <v>38</v>
      </c>
      <c r="L3242" s="25">
        <v>12591.0</v>
      </c>
      <c r="M3242" s="49" t="s">
        <v>50</v>
      </c>
      <c r="N3242" s="42" t="s">
        <v>143</v>
      </c>
      <c r="O3242" s="50">
        <v>45695.61160172454</v>
      </c>
      <c r="P3242" s="26" t="s">
        <v>12711</v>
      </c>
      <c r="Q3242" s="13" t="s">
        <v>75</v>
      </c>
      <c r="R3242" s="13" t="s">
        <v>75</v>
      </c>
      <c r="S3242" s="13" t="s">
        <v>101</v>
      </c>
      <c r="T3242" s="52">
        <v>45674.5587202662</v>
      </c>
      <c r="U3242" s="52">
        <v>45674.55910900463</v>
      </c>
      <c r="V3242" s="52">
        <v>45692.359795729164</v>
      </c>
      <c r="W3242" s="11"/>
      <c r="X3242" s="11"/>
      <c r="Y3242" s="45"/>
      <c r="Z3242" s="45"/>
      <c r="AA3242" s="31" t="s">
        <v>108</v>
      </c>
      <c r="AB3242" s="45" t="s">
        <v>12722</v>
      </c>
      <c r="AC3242" s="45"/>
    </row>
    <row r="3243" ht="18.75" customHeight="1">
      <c r="A3243" s="18" t="s">
        <v>12723</v>
      </c>
      <c r="B3243" s="19" t="s">
        <v>12710</v>
      </c>
      <c r="C3243" s="20">
        <v>0.0</v>
      </c>
      <c r="D3243" s="48" t="s">
        <v>12724</v>
      </c>
      <c r="E3243" s="27" t="s">
        <v>1530</v>
      </c>
      <c r="F3243" s="18" t="s">
        <v>33</v>
      </c>
      <c r="G3243" s="18" t="s">
        <v>35</v>
      </c>
      <c r="H3243" s="40" t="s">
        <v>35</v>
      </c>
      <c r="I3243" s="37" t="s">
        <v>36</v>
      </c>
      <c r="J3243" s="25" t="s">
        <v>49</v>
      </c>
      <c r="K3243" s="26" t="s">
        <v>38</v>
      </c>
      <c r="L3243" s="25">
        <v>12591.0</v>
      </c>
      <c r="M3243" s="49" t="s">
        <v>50</v>
      </c>
      <c r="N3243" s="42" t="s">
        <v>143</v>
      </c>
      <c r="O3243" s="50">
        <v>45695.61166627315</v>
      </c>
      <c r="P3243" s="26" t="s">
        <v>12711</v>
      </c>
      <c r="Q3243" s="13" t="s">
        <v>75</v>
      </c>
      <c r="R3243" s="13" t="s">
        <v>75</v>
      </c>
      <c r="S3243" s="13" t="s">
        <v>101</v>
      </c>
      <c r="T3243" s="52">
        <v>45674.55863223379</v>
      </c>
      <c r="U3243" s="52">
        <v>45674.55910255787</v>
      </c>
      <c r="V3243" s="52">
        <v>45692.48998849537</v>
      </c>
      <c r="W3243" s="11"/>
      <c r="X3243" s="11"/>
      <c r="Y3243" s="45"/>
      <c r="Z3243" s="45"/>
      <c r="AA3243" s="31" t="s">
        <v>108</v>
      </c>
      <c r="AB3243" s="45" t="s">
        <v>12725</v>
      </c>
      <c r="AC3243" s="45"/>
    </row>
    <row r="3244" ht="18.75" customHeight="1">
      <c r="A3244" s="18" t="s">
        <v>12726</v>
      </c>
      <c r="B3244" s="19" t="s">
        <v>12710</v>
      </c>
      <c r="C3244" s="20">
        <v>0.0</v>
      </c>
      <c r="D3244" s="48" t="s">
        <v>12727</v>
      </c>
      <c r="E3244" s="22" t="s">
        <v>2167</v>
      </c>
      <c r="F3244" s="18" t="s">
        <v>33</v>
      </c>
      <c r="G3244" s="18" t="s">
        <v>35</v>
      </c>
      <c r="H3244" s="40" t="s">
        <v>35</v>
      </c>
      <c r="I3244" s="37" t="s">
        <v>36</v>
      </c>
      <c r="J3244" s="25" t="s">
        <v>49</v>
      </c>
      <c r="K3244" s="26" t="s">
        <v>38</v>
      </c>
      <c r="L3244" s="25">
        <v>12736.0</v>
      </c>
      <c r="M3244" s="49" t="s">
        <v>73</v>
      </c>
      <c r="N3244" s="42" t="s">
        <v>143</v>
      </c>
      <c r="O3244" s="67">
        <v>45733.64667809028</v>
      </c>
      <c r="P3244" s="26" t="s">
        <v>12728</v>
      </c>
      <c r="Q3244" s="13" t="s">
        <v>75</v>
      </c>
      <c r="R3244" s="13" t="s">
        <v>75</v>
      </c>
      <c r="S3244" s="13"/>
      <c r="T3244" s="52">
        <v>45674.55855508102</v>
      </c>
      <c r="U3244" s="52">
        <v>45674.55909733796</v>
      </c>
      <c r="V3244" s="52"/>
      <c r="W3244" s="11"/>
      <c r="X3244" s="11"/>
      <c r="Y3244" s="45"/>
      <c r="Z3244" s="45"/>
      <c r="AA3244" s="31" t="s">
        <v>108</v>
      </c>
      <c r="AB3244" s="45" t="s">
        <v>12729</v>
      </c>
      <c r="AC3244" s="45"/>
    </row>
    <row r="3245" ht="18.75" customHeight="1">
      <c r="A3245" s="18" t="s">
        <v>12730</v>
      </c>
      <c r="B3245" s="19" t="s">
        <v>12710</v>
      </c>
      <c r="C3245" s="20">
        <v>0.0</v>
      </c>
      <c r="D3245" s="48" t="s">
        <v>12731</v>
      </c>
      <c r="E3245" s="22" t="s">
        <v>2167</v>
      </c>
      <c r="F3245" s="18" t="s">
        <v>33</v>
      </c>
      <c r="G3245" s="18" t="s">
        <v>35</v>
      </c>
      <c r="H3245" s="40" t="s">
        <v>35</v>
      </c>
      <c r="I3245" s="37" t="s">
        <v>36</v>
      </c>
      <c r="J3245" s="25" t="s">
        <v>49</v>
      </c>
      <c r="K3245" s="26" t="s">
        <v>38</v>
      </c>
      <c r="L3245" s="25">
        <v>12736.0</v>
      </c>
      <c r="M3245" s="49" t="s">
        <v>73</v>
      </c>
      <c r="N3245" s="42" t="s">
        <v>143</v>
      </c>
      <c r="O3245" s="67">
        <v>45733.64676040509</v>
      </c>
      <c r="P3245" s="26" t="s">
        <v>12728</v>
      </c>
      <c r="Q3245" s="13" t="s">
        <v>75</v>
      </c>
      <c r="R3245" s="13" t="s">
        <v>75</v>
      </c>
      <c r="S3245" s="13"/>
      <c r="T3245" s="52">
        <v>45674.55847690972</v>
      </c>
      <c r="U3245" s="52">
        <v>45674.5590912037</v>
      </c>
      <c r="V3245" s="52"/>
      <c r="W3245" s="11"/>
      <c r="X3245" s="11"/>
      <c r="Y3245" s="45"/>
      <c r="Z3245" s="45"/>
      <c r="AA3245" s="31" t="s">
        <v>108</v>
      </c>
      <c r="AB3245" s="45" t="s">
        <v>12732</v>
      </c>
      <c r="AC3245" s="45"/>
    </row>
    <row r="3246" ht="18.75" customHeight="1">
      <c r="A3246" s="18" t="s">
        <v>12733</v>
      </c>
      <c r="B3246" s="19" t="s">
        <v>12710</v>
      </c>
      <c r="C3246" s="20">
        <v>0.0</v>
      </c>
      <c r="D3246" s="48" t="s">
        <v>1186</v>
      </c>
      <c r="E3246" s="22" t="s">
        <v>2167</v>
      </c>
      <c r="F3246" s="18" t="s">
        <v>33</v>
      </c>
      <c r="G3246" s="18" t="s">
        <v>35</v>
      </c>
      <c r="H3246" s="40" t="s">
        <v>35</v>
      </c>
      <c r="I3246" s="37" t="s">
        <v>36</v>
      </c>
      <c r="J3246" s="25" t="s">
        <v>49</v>
      </c>
      <c r="K3246" s="26" t="s">
        <v>38</v>
      </c>
      <c r="L3246" s="25">
        <v>12736.0</v>
      </c>
      <c r="M3246" s="49" t="s">
        <v>73</v>
      </c>
      <c r="N3246" s="42" t="s">
        <v>143</v>
      </c>
      <c r="O3246" s="67">
        <v>45733.64682336806</v>
      </c>
      <c r="P3246" s="26" t="s">
        <v>12728</v>
      </c>
      <c r="Q3246" s="13" t="s">
        <v>75</v>
      </c>
      <c r="R3246" s="13" t="s">
        <v>75</v>
      </c>
      <c r="S3246" s="13"/>
      <c r="T3246" s="52">
        <v>45674.558390474536</v>
      </c>
      <c r="U3246" s="52">
        <v>45674.55908681713</v>
      </c>
      <c r="V3246" s="52"/>
      <c r="W3246" s="11"/>
      <c r="X3246" s="11"/>
      <c r="Y3246" s="45"/>
      <c r="Z3246" s="45"/>
      <c r="AA3246" s="31" t="s">
        <v>108</v>
      </c>
      <c r="AB3246" s="45" t="s">
        <v>12734</v>
      </c>
      <c r="AC3246" s="45"/>
    </row>
    <row r="3247" ht="18.75" customHeight="1">
      <c r="A3247" s="18" t="s">
        <v>12735</v>
      </c>
      <c r="B3247" s="19" t="s">
        <v>12710</v>
      </c>
      <c r="C3247" s="20">
        <v>0.0</v>
      </c>
      <c r="D3247" s="48" t="s">
        <v>12736</v>
      </c>
      <c r="E3247" s="22" t="s">
        <v>2167</v>
      </c>
      <c r="F3247" s="18" t="s">
        <v>33</v>
      </c>
      <c r="G3247" s="18" t="s">
        <v>35</v>
      </c>
      <c r="H3247" s="40" t="s">
        <v>35</v>
      </c>
      <c r="I3247" s="37" t="s">
        <v>36</v>
      </c>
      <c r="J3247" s="25" t="s">
        <v>49</v>
      </c>
      <c r="K3247" s="26" t="s">
        <v>38</v>
      </c>
      <c r="L3247" s="25">
        <v>12736.0</v>
      </c>
      <c r="M3247" s="49" t="s">
        <v>73</v>
      </c>
      <c r="N3247" s="42" t="s">
        <v>143</v>
      </c>
      <c r="O3247" s="67">
        <v>45733.64690368055</v>
      </c>
      <c r="P3247" s="26" t="s">
        <v>12728</v>
      </c>
      <c r="Q3247" s="13" t="s">
        <v>75</v>
      </c>
      <c r="R3247" s="13" t="s">
        <v>75</v>
      </c>
      <c r="S3247" s="13"/>
      <c r="T3247" s="52">
        <v>45674.558312407404</v>
      </c>
      <c r="U3247" s="52">
        <v>45674.55907761574</v>
      </c>
      <c r="V3247" s="52"/>
      <c r="W3247" s="11"/>
      <c r="X3247" s="11"/>
      <c r="Y3247" s="45"/>
      <c r="Z3247" s="45"/>
      <c r="AA3247" s="31" t="s">
        <v>108</v>
      </c>
      <c r="AB3247" s="45" t="s">
        <v>12737</v>
      </c>
      <c r="AC3247" s="45"/>
    </row>
    <row r="3248" ht="18.75" customHeight="1">
      <c r="A3248" s="18" t="s">
        <v>12738</v>
      </c>
      <c r="B3248" s="19" t="s">
        <v>12710</v>
      </c>
      <c r="C3248" s="20">
        <v>0.0</v>
      </c>
      <c r="D3248" s="48" t="s">
        <v>1191</v>
      </c>
      <c r="E3248" s="22" t="s">
        <v>2167</v>
      </c>
      <c r="F3248" s="18" t="s">
        <v>33</v>
      </c>
      <c r="G3248" s="18" t="s">
        <v>35</v>
      </c>
      <c r="H3248" s="40" t="s">
        <v>35</v>
      </c>
      <c r="I3248" s="37" t="s">
        <v>36</v>
      </c>
      <c r="J3248" s="25" t="s">
        <v>49</v>
      </c>
      <c r="K3248" s="26" t="s">
        <v>38</v>
      </c>
      <c r="L3248" s="25">
        <v>12736.0</v>
      </c>
      <c r="M3248" s="49" t="s">
        <v>73</v>
      </c>
      <c r="N3248" s="42" t="s">
        <v>143</v>
      </c>
      <c r="O3248" s="67">
        <v>45733.64699341435</v>
      </c>
      <c r="P3248" s="26" t="s">
        <v>12728</v>
      </c>
      <c r="Q3248" s="13" t="s">
        <v>75</v>
      </c>
      <c r="R3248" s="13" t="s">
        <v>75</v>
      </c>
      <c r="S3248" s="13"/>
      <c r="T3248" s="52">
        <v>45674.55822363426</v>
      </c>
      <c r="U3248" s="52">
        <v>45674.55907043982</v>
      </c>
      <c r="V3248" s="52"/>
      <c r="W3248" s="11"/>
      <c r="X3248" s="11"/>
      <c r="Y3248" s="45"/>
      <c r="Z3248" s="45"/>
      <c r="AA3248" s="31" t="s">
        <v>108</v>
      </c>
      <c r="AB3248" s="45" t="s">
        <v>12739</v>
      </c>
      <c r="AC3248" s="45"/>
    </row>
    <row r="3249" ht="18.75" customHeight="1">
      <c r="A3249" s="18" t="s">
        <v>12740</v>
      </c>
      <c r="B3249" s="19" t="s">
        <v>12710</v>
      </c>
      <c r="C3249" s="20">
        <v>0.0</v>
      </c>
      <c r="D3249" s="48" t="s">
        <v>12741</v>
      </c>
      <c r="E3249" s="22" t="s">
        <v>2167</v>
      </c>
      <c r="F3249" s="18" t="s">
        <v>33</v>
      </c>
      <c r="G3249" s="18" t="s">
        <v>35</v>
      </c>
      <c r="H3249" s="40" t="s">
        <v>35</v>
      </c>
      <c r="I3249" s="37" t="s">
        <v>36</v>
      </c>
      <c r="J3249" s="25" t="s">
        <v>49</v>
      </c>
      <c r="K3249" s="26" t="s">
        <v>38</v>
      </c>
      <c r="L3249" s="25">
        <v>12736.0</v>
      </c>
      <c r="M3249" s="49" t="s">
        <v>73</v>
      </c>
      <c r="N3249" s="42" t="s">
        <v>143</v>
      </c>
      <c r="O3249" s="67">
        <v>45733.647177719904</v>
      </c>
      <c r="P3249" s="26" t="s">
        <v>12728</v>
      </c>
      <c r="Q3249" s="13" t="s">
        <v>75</v>
      </c>
      <c r="R3249" s="13" t="s">
        <v>75</v>
      </c>
      <c r="S3249" s="13"/>
      <c r="T3249" s="52">
        <v>45674.55814140046</v>
      </c>
      <c r="U3249" s="52">
        <v>45674.55905648148</v>
      </c>
      <c r="V3249" s="52"/>
      <c r="W3249" s="11"/>
      <c r="X3249" s="11"/>
      <c r="Y3249" s="45"/>
      <c r="Z3249" s="45"/>
      <c r="AA3249" s="31" t="s">
        <v>108</v>
      </c>
      <c r="AB3249" s="45" t="s">
        <v>12742</v>
      </c>
      <c r="AC3249" s="45"/>
    </row>
    <row r="3250" ht="18.75" customHeight="1">
      <c r="A3250" s="142" t="s">
        <v>12743</v>
      </c>
      <c r="B3250" s="19" t="s">
        <v>12744</v>
      </c>
      <c r="C3250" s="20">
        <v>0.0</v>
      </c>
      <c r="D3250" s="48" t="s">
        <v>12745</v>
      </c>
      <c r="E3250" s="27" t="s">
        <v>3441</v>
      </c>
      <c r="F3250" s="18" t="s">
        <v>48</v>
      </c>
      <c r="G3250" s="18" t="s">
        <v>35</v>
      </c>
      <c r="H3250" s="40" t="s">
        <v>35</v>
      </c>
      <c r="I3250" s="37" t="s">
        <v>36</v>
      </c>
      <c r="J3250" s="25" t="s">
        <v>49</v>
      </c>
      <c r="K3250" s="26" t="s">
        <v>238</v>
      </c>
      <c r="L3250" s="25">
        <v>12385.0</v>
      </c>
      <c r="M3250" s="49" t="s">
        <v>50</v>
      </c>
      <c r="N3250" s="42" t="s">
        <v>9953</v>
      </c>
      <c r="O3250" s="50">
        <v>45660.67666949074</v>
      </c>
      <c r="P3250" s="26" t="s">
        <v>12746</v>
      </c>
      <c r="Q3250" s="13" t="s">
        <v>75</v>
      </c>
      <c r="R3250" s="13" t="s">
        <v>75</v>
      </c>
      <c r="S3250" s="13" t="s">
        <v>50</v>
      </c>
      <c r="T3250" s="52">
        <v>45656.36453238426</v>
      </c>
      <c r="U3250" s="52">
        <v>45660.3657800463</v>
      </c>
      <c r="V3250" s="52">
        <v>45660.48633789352</v>
      </c>
      <c r="W3250" s="11"/>
      <c r="X3250" s="11"/>
      <c r="Y3250" s="45"/>
      <c r="Z3250" s="45"/>
      <c r="AA3250" s="31" t="s">
        <v>3808</v>
      </c>
      <c r="AB3250" s="45" t="s">
        <v>12747</v>
      </c>
      <c r="AC3250" s="45"/>
    </row>
    <row r="3251" ht="18.75" customHeight="1">
      <c r="A3251" s="142" t="s">
        <v>12748</v>
      </c>
      <c r="B3251" s="19" t="s">
        <v>7703</v>
      </c>
      <c r="C3251" s="20">
        <v>34.0</v>
      </c>
      <c r="D3251" s="48" t="s">
        <v>12749</v>
      </c>
      <c r="E3251" s="27" t="s">
        <v>47</v>
      </c>
      <c r="F3251" s="18" t="s">
        <v>48</v>
      </c>
      <c r="G3251" s="18" t="s">
        <v>35</v>
      </c>
      <c r="H3251" s="40" t="s">
        <v>35</v>
      </c>
      <c r="I3251" s="37" t="s">
        <v>36</v>
      </c>
      <c r="J3251" s="25" t="s">
        <v>65</v>
      </c>
      <c r="K3251" s="26" t="s">
        <v>38</v>
      </c>
      <c r="L3251" s="25">
        <v>12381.0</v>
      </c>
      <c r="M3251" s="49" t="s">
        <v>50</v>
      </c>
      <c r="N3251" s="42" t="s">
        <v>5897</v>
      </c>
      <c r="O3251" s="50">
        <v>45660.66563740741</v>
      </c>
      <c r="P3251" s="26" t="s">
        <v>12750</v>
      </c>
      <c r="Q3251" s="13" t="s">
        <v>75</v>
      </c>
      <c r="R3251" s="13" t="s">
        <v>75</v>
      </c>
      <c r="S3251" s="13" t="s">
        <v>50</v>
      </c>
      <c r="T3251" s="52">
        <v>45659.382798969906</v>
      </c>
      <c r="U3251" s="52">
        <v>45659.41207061343</v>
      </c>
      <c r="V3251" s="52">
        <v>45660.46301280093</v>
      </c>
      <c r="W3251" s="11"/>
      <c r="X3251" s="11"/>
      <c r="Y3251" s="45"/>
      <c r="Z3251" s="45"/>
      <c r="AA3251" s="31" t="s">
        <v>3059</v>
      </c>
      <c r="AB3251" s="45" t="s">
        <v>12751</v>
      </c>
      <c r="AC3251" s="45"/>
    </row>
    <row r="3252" ht="18.75" customHeight="1">
      <c r="A3252" s="142" t="s">
        <v>12752</v>
      </c>
      <c r="B3252" s="19" t="s">
        <v>9280</v>
      </c>
      <c r="C3252" s="20">
        <v>0.0</v>
      </c>
      <c r="D3252" s="48" t="s">
        <v>12753</v>
      </c>
      <c r="E3252" s="27" t="s">
        <v>3441</v>
      </c>
      <c r="F3252" s="18" t="s">
        <v>48</v>
      </c>
      <c r="G3252" s="18" t="s">
        <v>35</v>
      </c>
      <c r="H3252" s="40" t="s">
        <v>35</v>
      </c>
      <c r="I3252" s="37" t="s">
        <v>36</v>
      </c>
      <c r="J3252" s="25" t="s">
        <v>49</v>
      </c>
      <c r="K3252" s="26" t="s">
        <v>38</v>
      </c>
      <c r="L3252" s="25">
        <v>12382.0</v>
      </c>
      <c r="M3252" s="49" t="s">
        <v>50</v>
      </c>
      <c r="N3252" s="42" t="s">
        <v>9953</v>
      </c>
      <c r="O3252" s="50">
        <v>45660.67638888889</v>
      </c>
      <c r="P3252" s="26" t="s">
        <v>12754</v>
      </c>
      <c r="Q3252" s="13" t="s">
        <v>75</v>
      </c>
      <c r="R3252" s="13" t="s">
        <v>75</v>
      </c>
      <c r="S3252" s="13" t="s">
        <v>50</v>
      </c>
      <c r="T3252" s="52">
        <v>45659.379833125</v>
      </c>
      <c r="U3252" s="52">
        <v>45659.47316009259</v>
      </c>
      <c r="V3252" s="52">
        <v>45660.475725173616</v>
      </c>
      <c r="W3252" s="11"/>
      <c r="X3252" s="11"/>
      <c r="Y3252" s="45"/>
      <c r="Z3252" s="45"/>
      <c r="AA3252" s="31" t="s">
        <v>127</v>
      </c>
      <c r="AB3252" s="45" t="s">
        <v>12755</v>
      </c>
      <c r="AC3252" s="45"/>
    </row>
    <row r="3253" ht="18.75" customHeight="1">
      <c r="A3253" s="142" t="s">
        <v>12756</v>
      </c>
      <c r="B3253" s="19" t="s">
        <v>12692</v>
      </c>
      <c r="C3253" s="20">
        <v>90.0</v>
      </c>
      <c r="D3253" s="48" t="s">
        <v>12757</v>
      </c>
      <c r="E3253" s="27" t="s">
        <v>91</v>
      </c>
      <c r="F3253" s="18" t="s">
        <v>48</v>
      </c>
      <c r="G3253" s="18" t="s">
        <v>35</v>
      </c>
      <c r="H3253" s="40" t="s">
        <v>35</v>
      </c>
      <c r="I3253" s="24" t="s">
        <v>36</v>
      </c>
      <c r="J3253" s="25" t="s">
        <v>92</v>
      </c>
      <c r="K3253" s="26" t="s">
        <v>38</v>
      </c>
      <c r="L3253" s="25"/>
      <c r="M3253" s="49"/>
      <c r="N3253" s="42"/>
      <c r="O3253" s="50"/>
      <c r="P3253" s="26" t="s">
        <v>12758</v>
      </c>
      <c r="Q3253" s="13" t="s">
        <v>75</v>
      </c>
      <c r="R3253" s="13" t="s">
        <v>75</v>
      </c>
      <c r="S3253" s="13" t="s">
        <v>50</v>
      </c>
      <c r="T3253" s="52">
        <v>45659.42837866898</v>
      </c>
      <c r="U3253" s="52">
        <v>45659.434545717595</v>
      </c>
      <c r="V3253" s="52">
        <v>45659.46941627315</v>
      </c>
      <c r="W3253" s="11"/>
      <c r="X3253" s="11"/>
      <c r="Y3253" s="45"/>
      <c r="Z3253" s="45"/>
      <c r="AA3253" s="31" t="s">
        <v>3059</v>
      </c>
      <c r="AB3253" s="45" t="s">
        <v>12759</v>
      </c>
      <c r="AC3253" s="45"/>
    </row>
    <row r="3254" ht="18.75" customHeight="1">
      <c r="A3254" s="142" t="s">
        <v>12760</v>
      </c>
      <c r="B3254" s="19" t="s">
        <v>6153</v>
      </c>
      <c r="C3254" s="20">
        <v>34.0</v>
      </c>
      <c r="D3254" s="48" t="s">
        <v>12761</v>
      </c>
      <c r="E3254" s="27" t="s">
        <v>47</v>
      </c>
      <c r="F3254" s="18" t="s">
        <v>48</v>
      </c>
      <c r="G3254" s="18" t="s">
        <v>35</v>
      </c>
      <c r="H3254" s="40" t="s">
        <v>35</v>
      </c>
      <c r="I3254" s="37" t="s">
        <v>36</v>
      </c>
      <c r="J3254" s="25" t="s">
        <v>65</v>
      </c>
      <c r="K3254" s="26" t="s">
        <v>38</v>
      </c>
      <c r="L3254" s="25">
        <v>12383.0</v>
      </c>
      <c r="M3254" s="49" t="s">
        <v>50</v>
      </c>
      <c r="N3254" s="42" t="s">
        <v>5897</v>
      </c>
      <c r="O3254" s="50">
        <v>45660.66583657407</v>
      </c>
      <c r="P3254" s="26" t="s">
        <v>12762</v>
      </c>
      <c r="Q3254" s="13" t="s">
        <v>75</v>
      </c>
      <c r="R3254" s="13" t="s">
        <v>75</v>
      </c>
      <c r="S3254" s="13" t="s">
        <v>50</v>
      </c>
      <c r="T3254" s="52">
        <v>45659.43803704861</v>
      </c>
      <c r="U3254" s="52">
        <v>45659.481270185184</v>
      </c>
      <c r="V3254" s="52">
        <v>45660.46365766204</v>
      </c>
      <c r="W3254" s="11"/>
      <c r="X3254" s="11"/>
      <c r="Y3254" s="45"/>
      <c r="Z3254" s="45"/>
      <c r="AA3254" s="31" t="s">
        <v>94</v>
      </c>
      <c r="AB3254" s="45" t="s">
        <v>12763</v>
      </c>
      <c r="AC3254" s="45"/>
    </row>
    <row r="3255" ht="18.75" customHeight="1">
      <c r="A3255" s="142" t="s">
        <v>12764</v>
      </c>
      <c r="B3255" s="19" t="s">
        <v>3636</v>
      </c>
      <c r="C3255" s="20">
        <v>0.0</v>
      </c>
      <c r="D3255" s="48" t="s">
        <v>12765</v>
      </c>
      <c r="E3255" s="27" t="s">
        <v>3441</v>
      </c>
      <c r="F3255" s="18" t="s">
        <v>48</v>
      </c>
      <c r="G3255" s="18" t="s">
        <v>35</v>
      </c>
      <c r="H3255" s="40" t="s">
        <v>35</v>
      </c>
      <c r="I3255" s="37" t="s">
        <v>36</v>
      </c>
      <c r="J3255" s="25" t="s">
        <v>49</v>
      </c>
      <c r="K3255" s="26" t="s">
        <v>9628</v>
      </c>
      <c r="L3255" s="25">
        <v>12387.0</v>
      </c>
      <c r="M3255" s="49" t="s">
        <v>50</v>
      </c>
      <c r="N3255" s="42" t="s">
        <v>143</v>
      </c>
      <c r="O3255" s="50">
        <v>45663.573362870375</v>
      </c>
      <c r="P3255" s="26" t="s">
        <v>12766</v>
      </c>
      <c r="Q3255" s="13" t="s">
        <v>75</v>
      </c>
      <c r="R3255" s="13" t="s">
        <v>75</v>
      </c>
      <c r="S3255" s="13" t="s">
        <v>50</v>
      </c>
      <c r="T3255" s="52">
        <v>45660.46072939815</v>
      </c>
      <c r="U3255" s="52">
        <v>45660.595178564814</v>
      </c>
      <c r="V3255" s="52">
        <v>45663.4676071412</v>
      </c>
      <c r="W3255" s="11"/>
      <c r="X3255" s="11"/>
      <c r="Y3255" s="45"/>
      <c r="Z3255" s="45"/>
      <c r="AA3255" s="31" t="s">
        <v>127</v>
      </c>
      <c r="AB3255" s="45" t="s">
        <v>12767</v>
      </c>
      <c r="AC3255" s="45"/>
    </row>
    <row r="3256" ht="18.75" customHeight="1">
      <c r="A3256" s="142" t="s">
        <v>12768</v>
      </c>
      <c r="B3256" s="19" t="s">
        <v>7703</v>
      </c>
      <c r="C3256" s="20">
        <v>1.0</v>
      </c>
      <c r="D3256" s="48" t="s">
        <v>12769</v>
      </c>
      <c r="E3256" s="27" t="s">
        <v>3395</v>
      </c>
      <c r="F3256" s="18" t="s">
        <v>48</v>
      </c>
      <c r="G3256" s="18" t="s">
        <v>35</v>
      </c>
      <c r="H3256" s="40" t="s">
        <v>35</v>
      </c>
      <c r="I3256" s="37" t="s">
        <v>36</v>
      </c>
      <c r="J3256" s="25" t="s">
        <v>65</v>
      </c>
      <c r="K3256" s="26" t="s">
        <v>38</v>
      </c>
      <c r="L3256" s="25">
        <v>12391.0</v>
      </c>
      <c r="M3256" s="49" t="s">
        <v>50</v>
      </c>
      <c r="N3256" s="42" t="s">
        <v>149</v>
      </c>
      <c r="O3256" s="50">
        <v>45664.58888888889</v>
      </c>
      <c r="P3256" s="26" t="s">
        <v>12770</v>
      </c>
      <c r="Q3256" s="13" t="s">
        <v>75</v>
      </c>
      <c r="R3256" s="13" t="s">
        <v>75</v>
      </c>
      <c r="S3256" s="13" t="s">
        <v>50</v>
      </c>
      <c r="T3256" s="52">
        <v>45663.491394502315</v>
      </c>
      <c r="U3256" s="52">
        <v>45663.63971665509</v>
      </c>
      <c r="V3256" s="52">
        <v>45664.35419755787</v>
      </c>
      <c r="W3256" s="11"/>
      <c r="X3256" s="11"/>
      <c r="Y3256" s="45"/>
      <c r="Z3256" s="45"/>
      <c r="AA3256" s="31" t="s">
        <v>3059</v>
      </c>
      <c r="AB3256" s="45" t="s">
        <v>12771</v>
      </c>
      <c r="AC3256" s="45"/>
    </row>
    <row r="3257" ht="18.75" customHeight="1">
      <c r="A3257" s="18" t="s">
        <v>12772</v>
      </c>
      <c r="B3257" s="19" t="s">
        <v>9796</v>
      </c>
      <c r="C3257" s="20">
        <v>0.0</v>
      </c>
      <c r="D3257" s="48" t="s">
        <v>1155</v>
      </c>
      <c r="E3257" s="27" t="s">
        <v>135</v>
      </c>
      <c r="F3257" s="18" t="s">
        <v>48</v>
      </c>
      <c r="G3257" s="18" t="s">
        <v>35</v>
      </c>
      <c r="H3257" s="40" t="s">
        <v>35</v>
      </c>
      <c r="I3257" s="37" t="s">
        <v>36</v>
      </c>
      <c r="J3257" s="25" t="s">
        <v>12773</v>
      </c>
      <c r="K3257" s="26" t="s">
        <v>38</v>
      </c>
      <c r="L3257" s="25">
        <v>12492.0</v>
      </c>
      <c r="M3257" s="49" t="s">
        <v>50</v>
      </c>
      <c r="N3257" s="42" t="s">
        <v>12774</v>
      </c>
      <c r="O3257" s="50">
        <v>45681.67096506944</v>
      </c>
      <c r="P3257" s="26" t="s">
        <v>12775</v>
      </c>
      <c r="Q3257" s="13" t="s">
        <v>75</v>
      </c>
      <c r="R3257" s="13" t="s">
        <v>75</v>
      </c>
      <c r="S3257" s="13"/>
      <c r="T3257" s="52">
        <v>45663.590135879625</v>
      </c>
      <c r="U3257" s="52">
        <v>45663.61136003472</v>
      </c>
      <c r="V3257" s="52"/>
      <c r="W3257" s="11"/>
      <c r="X3257" s="11"/>
      <c r="Y3257" s="45"/>
      <c r="Z3257" s="45"/>
      <c r="AA3257" s="31" t="s">
        <v>3059</v>
      </c>
      <c r="AB3257" s="45" t="s">
        <v>12776</v>
      </c>
      <c r="AC3257" s="45"/>
    </row>
    <row r="3258" ht="18.75" customHeight="1">
      <c r="A3258" s="18" t="s">
        <v>12777</v>
      </c>
      <c r="B3258" s="19" t="s">
        <v>9796</v>
      </c>
      <c r="C3258" s="20">
        <v>0.0</v>
      </c>
      <c r="D3258" s="48" t="s">
        <v>12778</v>
      </c>
      <c r="E3258" s="27" t="s">
        <v>135</v>
      </c>
      <c r="F3258" s="18" t="s">
        <v>48</v>
      </c>
      <c r="G3258" s="18" t="s">
        <v>35</v>
      </c>
      <c r="H3258" s="40" t="s">
        <v>35</v>
      </c>
      <c r="I3258" s="37" t="s">
        <v>36</v>
      </c>
      <c r="J3258" s="25" t="s">
        <v>12773</v>
      </c>
      <c r="K3258" s="26" t="s">
        <v>38</v>
      </c>
      <c r="L3258" s="25">
        <v>12492.0</v>
      </c>
      <c r="M3258" s="49" t="s">
        <v>50</v>
      </c>
      <c r="N3258" s="42" t="s">
        <v>12774</v>
      </c>
      <c r="O3258" s="50">
        <v>45681.67102878472</v>
      </c>
      <c r="P3258" s="26" t="s">
        <v>12775</v>
      </c>
      <c r="Q3258" s="13" t="s">
        <v>75</v>
      </c>
      <c r="R3258" s="13" t="s">
        <v>75</v>
      </c>
      <c r="S3258" s="13"/>
      <c r="T3258" s="52">
        <v>45663.59019849537</v>
      </c>
      <c r="U3258" s="52">
        <v>45663.61136740741</v>
      </c>
      <c r="V3258" s="52"/>
      <c r="W3258" s="11"/>
      <c r="X3258" s="11"/>
      <c r="Y3258" s="45"/>
      <c r="Z3258" s="45"/>
      <c r="AA3258" s="31" t="s">
        <v>3059</v>
      </c>
      <c r="AB3258" s="45" t="s">
        <v>12779</v>
      </c>
      <c r="AC3258" s="45"/>
    </row>
    <row r="3259" ht="18.75" customHeight="1">
      <c r="A3259" s="142" t="s">
        <v>12780</v>
      </c>
      <c r="B3259" s="19" t="s">
        <v>4716</v>
      </c>
      <c r="C3259" s="20">
        <v>0.0</v>
      </c>
      <c r="D3259" s="48"/>
      <c r="E3259" s="27" t="s">
        <v>12486</v>
      </c>
      <c r="F3259" s="18" t="s">
        <v>11504</v>
      </c>
      <c r="G3259" s="18" t="s">
        <v>35</v>
      </c>
      <c r="H3259" s="40" t="s">
        <v>35</v>
      </c>
      <c r="I3259" s="37" t="s">
        <v>36</v>
      </c>
      <c r="J3259" s="25" t="s">
        <v>420</v>
      </c>
      <c r="K3259" s="26" t="s">
        <v>38</v>
      </c>
      <c r="L3259" s="25">
        <v>12458.0</v>
      </c>
      <c r="M3259" s="49" t="s">
        <v>50</v>
      </c>
      <c r="N3259" s="42" t="s">
        <v>4031</v>
      </c>
      <c r="O3259" s="50">
        <v>45677.63901197916</v>
      </c>
      <c r="P3259" s="26" t="s">
        <v>12781</v>
      </c>
      <c r="Q3259" s="13" t="s">
        <v>75</v>
      </c>
      <c r="R3259" s="13" t="s">
        <v>67</v>
      </c>
      <c r="S3259" s="13"/>
      <c r="T3259" s="52">
        <v>45663.56568690972</v>
      </c>
      <c r="U3259" s="52">
        <v>45667.47299891204</v>
      </c>
      <c r="V3259" s="52"/>
      <c r="W3259" s="11"/>
      <c r="X3259" s="11"/>
      <c r="Y3259" s="45"/>
      <c r="Z3259" s="45"/>
      <c r="AA3259" s="31"/>
      <c r="AB3259" s="45" t="s">
        <v>12782</v>
      </c>
      <c r="AC3259" s="45"/>
    </row>
    <row r="3260" ht="18.75" customHeight="1">
      <c r="A3260" s="142" t="s">
        <v>12783</v>
      </c>
      <c r="B3260" s="19" t="s">
        <v>9796</v>
      </c>
      <c r="C3260" s="20">
        <v>11.0</v>
      </c>
      <c r="D3260" s="48" t="s">
        <v>12784</v>
      </c>
      <c r="E3260" s="27" t="s">
        <v>112</v>
      </c>
      <c r="F3260" s="18" t="s">
        <v>48</v>
      </c>
      <c r="G3260" s="18" t="s">
        <v>35</v>
      </c>
      <c r="H3260" s="40" t="s">
        <v>35</v>
      </c>
      <c r="I3260" s="37" t="s">
        <v>36</v>
      </c>
      <c r="J3260" s="25" t="s">
        <v>12773</v>
      </c>
      <c r="K3260" s="26" t="s">
        <v>38</v>
      </c>
      <c r="L3260" s="25">
        <v>12412.0</v>
      </c>
      <c r="M3260" s="49" t="s">
        <v>50</v>
      </c>
      <c r="N3260" s="42" t="s">
        <v>12774</v>
      </c>
      <c r="O3260" s="50">
        <v>45680.59162726851</v>
      </c>
      <c r="P3260" s="26" t="s">
        <v>12785</v>
      </c>
      <c r="Q3260" s="13" t="s">
        <v>75</v>
      </c>
      <c r="R3260" s="13" t="s">
        <v>75</v>
      </c>
      <c r="S3260" s="13" t="s">
        <v>50</v>
      </c>
      <c r="T3260" s="52">
        <v>45663.58088609954</v>
      </c>
      <c r="U3260" s="52">
        <v>45663.6118231713</v>
      </c>
      <c r="V3260" s="52">
        <v>45666.54660256945</v>
      </c>
      <c r="W3260" s="11"/>
      <c r="X3260" s="11"/>
      <c r="Y3260" s="45"/>
      <c r="Z3260" s="45"/>
      <c r="AA3260" s="31" t="s">
        <v>3059</v>
      </c>
      <c r="AB3260" s="45" t="s">
        <v>12786</v>
      </c>
      <c r="AC3260" s="45"/>
    </row>
    <row r="3261" ht="18.75" customHeight="1">
      <c r="A3261" s="142" t="s">
        <v>12787</v>
      </c>
      <c r="B3261" s="19" t="s">
        <v>63</v>
      </c>
      <c r="C3261" s="20">
        <v>90.0</v>
      </c>
      <c r="D3261" s="48" t="s">
        <v>12788</v>
      </c>
      <c r="E3261" s="27" t="s">
        <v>91</v>
      </c>
      <c r="F3261" s="18" t="s">
        <v>48</v>
      </c>
      <c r="G3261" s="18" t="s">
        <v>35</v>
      </c>
      <c r="H3261" s="40" t="s">
        <v>35</v>
      </c>
      <c r="I3261" s="37" t="s">
        <v>36</v>
      </c>
      <c r="J3261" s="34" t="s">
        <v>49</v>
      </c>
      <c r="K3261" s="26" t="s">
        <v>38</v>
      </c>
      <c r="L3261" s="25">
        <v>12408.0</v>
      </c>
      <c r="M3261" s="49" t="s">
        <v>50</v>
      </c>
      <c r="N3261" s="42" t="s">
        <v>143</v>
      </c>
      <c r="O3261" s="50">
        <v>45666.72125145834</v>
      </c>
      <c r="P3261" s="26" t="s">
        <v>12789</v>
      </c>
      <c r="Q3261" s="13" t="s">
        <v>67</v>
      </c>
      <c r="R3261" s="13" t="s">
        <v>67</v>
      </c>
      <c r="S3261" s="13" t="s">
        <v>50</v>
      </c>
      <c r="T3261" s="52">
        <v>45667.66615662037</v>
      </c>
      <c r="U3261" s="52">
        <v>45667.66631675926</v>
      </c>
      <c r="V3261" s="52">
        <v>45667.66687313658</v>
      </c>
      <c r="W3261" s="11"/>
      <c r="X3261" s="11"/>
      <c r="Y3261" s="45"/>
      <c r="Z3261" s="45"/>
      <c r="AA3261" s="31" t="s">
        <v>94</v>
      </c>
      <c r="AB3261" s="45" t="s">
        <v>12790</v>
      </c>
      <c r="AC3261" s="45"/>
    </row>
    <row r="3262" ht="18.75" customHeight="1">
      <c r="A3262" s="18" t="s">
        <v>12791</v>
      </c>
      <c r="B3262" s="19" t="s">
        <v>451</v>
      </c>
      <c r="C3262" s="20">
        <v>0.0</v>
      </c>
      <c r="D3262" s="48" t="s">
        <v>12792</v>
      </c>
      <c r="E3262" s="27" t="s">
        <v>2431</v>
      </c>
      <c r="F3262" s="18" t="s">
        <v>244</v>
      </c>
      <c r="G3262" s="18" t="s">
        <v>35</v>
      </c>
      <c r="H3262" s="40" t="s">
        <v>35</v>
      </c>
      <c r="I3262" s="37" t="s">
        <v>36</v>
      </c>
      <c r="J3262" s="25" t="s">
        <v>49</v>
      </c>
      <c r="K3262" s="26" t="s">
        <v>38</v>
      </c>
      <c r="L3262" s="25">
        <v>12426.0</v>
      </c>
      <c r="M3262" s="49" t="s">
        <v>50</v>
      </c>
      <c r="N3262" s="42" t="s">
        <v>143</v>
      </c>
      <c r="O3262" s="50">
        <v>45671.573597662034</v>
      </c>
      <c r="P3262" s="26" t="s">
        <v>12793</v>
      </c>
      <c r="Q3262" s="13" t="s">
        <v>75</v>
      </c>
      <c r="R3262" s="13" t="s">
        <v>75</v>
      </c>
      <c r="S3262" s="13" t="s">
        <v>50</v>
      </c>
      <c r="T3262" s="52">
        <v>45664.40687798611</v>
      </c>
      <c r="U3262" s="52">
        <v>45670.62912987269</v>
      </c>
      <c r="V3262" s="52">
        <v>45671.424910752314</v>
      </c>
      <c r="W3262" s="11"/>
      <c r="X3262" s="11"/>
      <c r="Y3262" s="45"/>
      <c r="Z3262" s="45"/>
      <c r="AA3262" s="31" t="s">
        <v>127</v>
      </c>
      <c r="AB3262" s="45" t="s">
        <v>12794</v>
      </c>
      <c r="AC3262" s="45"/>
    </row>
    <row r="3263" ht="18.75" customHeight="1">
      <c r="A3263" s="18" t="s">
        <v>12795</v>
      </c>
      <c r="B3263" s="19" t="s">
        <v>451</v>
      </c>
      <c r="C3263" s="20">
        <v>0.0</v>
      </c>
      <c r="D3263" s="61" t="s">
        <v>12796</v>
      </c>
      <c r="E3263" s="27" t="s">
        <v>2431</v>
      </c>
      <c r="F3263" s="18" t="s">
        <v>244</v>
      </c>
      <c r="G3263" s="18" t="s">
        <v>35</v>
      </c>
      <c r="H3263" s="40" t="s">
        <v>35</v>
      </c>
      <c r="I3263" s="37" t="s">
        <v>36</v>
      </c>
      <c r="J3263" s="25" t="s">
        <v>49</v>
      </c>
      <c r="K3263" s="26" t="s">
        <v>38</v>
      </c>
      <c r="L3263" s="25">
        <v>12426.0</v>
      </c>
      <c r="M3263" s="49" t="s">
        <v>50</v>
      </c>
      <c r="N3263" s="42" t="s">
        <v>143</v>
      </c>
      <c r="O3263" s="50">
        <v>45671.573458240746</v>
      </c>
      <c r="P3263" s="26" t="s">
        <v>12793</v>
      </c>
      <c r="Q3263" s="13" t="s">
        <v>75</v>
      </c>
      <c r="R3263" s="13" t="s">
        <v>75</v>
      </c>
      <c r="S3263" s="13" t="s">
        <v>101</v>
      </c>
      <c r="T3263" s="52">
        <v>45664.40693402778</v>
      </c>
      <c r="U3263" s="52">
        <v>45670.62909665509</v>
      </c>
      <c r="V3263" s="52">
        <v>45671.437257488426</v>
      </c>
      <c r="W3263" s="11"/>
      <c r="X3263" s="11"/>
      <c r="Y3263" s="45"/>
      <c r="Z3263" s="45"/>
      <c r="AA3263" s="31" t="s">
        <v>127</v>
      </c>
      <c r="AB3263" s="45" t="s">
        <v>12797</v>
      </c>
      <c r="AC3263" s="45"/>
    </row>
    <row r="3264" ht="18.75" customHeight="1">
      <c r="A3264" s="18" t="s">
        <v>12798</v>
      </c>
      <c r="B3264" s="19" t="s">
        <v>451</v>
      </c>
      <c r="C3264" s="20">
        <v>0.0</v>
      </c>
      <c r="D3264" s="61" t="s">
        <v>12799</v>
      </c>
      <c r="E3264" s="27" t="s">
        <v>2431</v>
      </c>
      <c r="F3264" s="18" t="s">
        <v>244</v>
      </c>
      <c r="G3264" s="18" t="s">
        <v>35</v>
      </c>
      <c r="H3264" s="40" t="s">
        <v>35</v>
      </c>
      <c r="I3264" s="37" t="s">
        <v>36</v>
      </c>
      <c r="J3264" s="25" t="s">
        <v>49</v>
      </c>
      <c r="K3264" s="26" t="s">
        <v>38</v>
      </c>
      <c r="L3264" s="25">
        <v>12426.0</v>
      </c>
      <c r="M3264" s="49" t="s">
        <v>50</v>
      </c>
      <c r="N3264" s="42" t="s">
        <v>143</v>
      </c>
      <c r="O3264" s="50">
        <v>45671.57352612268</v>
      </c>
      <c r="P3264" s="26" t="s">
        <v>12793</v>
      </c>
      <c r="Q3264" s="13" t="s">
        <v>75</v>
      </c>
      <c r="R3264" s="13" t="s">
        <v>75</v>
      </c>
      <c r="S3264" s="13" t="s">
        <v>101</v>
      </c>
      <c r="T3264" s="52">
        <v>45664.4070119213</v>
      </c>
      <c r="U3264" s="52">
        <v>45670.62912032407</v>
      </c>
      <c r="V3264" s="52">
        <v>45671.43726478009</v>
      </c>
      <c r="W3264" s="11"/>
      <c r="X3264" s="11"/>
      <c r="Y3264" s="45"/>
      <c r="Z3264" s="45"/>
      <c r="AA3264" s="31" t="s">
        <v>127</v>
      </c>
      <c r="AB3264" s="45" t="s">
        <v>12800</v>
      </c>
      <c r="AC3264" s="45"/>
    </row>
    <row r="3265" ht="18.75" customHeight="1">
      <c r="A3265" s="142" t="s">
        <v>12801</v>
      </c>
      <c r="B3265" s="19" t="s">
        <v>5287</v>
      </c>
      <c r="C3265" s="20">
        <v>27.0</v>
      </c>
      <c r="D3265" s="39" t="s">
        <v>12802</v>
      </c>
      <c r="E3265" s="27" t="s">
        <v>72</v>
      </c>
      <c r="F3265" s="18" t="s">
        <v>48</v>
      </c>
      <c r="G3265" s="18" t="s">
        <v>35</v>
      </c>
      <c r="H3265" s="40" t="s">
        <v>35</v>
      </c>
      <c r="I3265" s="37" t="s">
        <v>36</v>
      </c>
      <c r="J3265" s="25" t="s">
        <v>49</v>
      </c>
      <c r="K3265" s="26" t="s">
        <v>12614</v>
      </c>
      <c r="L3265" s="25">
        <v>12399.0</v>
      </c>
      <c r="M3265" s="49" t="s">
        <v>50</v>
      </c>
      <c r="N3265" s="42"/>
      <c r="O3265" s="50">
        <v>45666.49647077546</v>
      </c>
      <c r="P3265" s="26" t="s">
        <v>12803</v>
      </c>
      <c r="Q3265" s="13" t="s">
        <v>75</v>
      </c>
      <c r="R3265" s="13" t="s">
        <v>75</v>
      </c>
      <c r="S3265" s="13" t="s">
        <v>50</v>
      </c>
      <c r="T3265" s="52">
        <v>45664.40928842593</v>
      </c>
      <c r="U3265" s="52">
        <v>45664.621133865745</v>
      </c>
      <c r="V3265" s="52">
        <v>45665.422722233794</v>
      </c>
      <c r="W3265" s="11"/>
      <c r="X3265" s="11"/>
      <c r="Y3265" s="45"/>
      <c r="Z3265" s="45"/>
      <c r="AA3265" s="31" t="s">
        <v>5290</v>
      </c>
      <c r="AB3265" s="45" t="s">
        <v>12804</v>
      </c>
      <c r="AC3265" s="45"/>
    </row>
    <row r="3266" ht="18.75" customHeight="1">
      <c r="A3266" s="142" t="s">
        <v>12805</v>
      </c>
      <c r="B3266" s="19" t="s">
        <v>5521</v>
      </c>
      <c r="C3266" s="20">
        <v>1.0</v>
      </c>
      <c r="D3266" s="48" t="s">
        <v>12806</v>
      </c>
      <c r="E3266" s="27" t="s">
        <v>3395</v>
      </c>
      <c r="F3266" s="18" t="s">
        <v>48</v>
      </c>
      <c r="G3266" s="18" t="s">
        <v>35</v>
      </c>
      <c r="H3266" s="40" t="s">
        <v>35</v>
      </c>
      <c r="I3266" s="37" t="s">
        <v>36</v>
      </c>
      <c r="J3266" s="25" t="s">
        <v>49</v>
      </c>
      <c r="K3266" s="26" t="s">
        <v>38</v>
      </c>
      <c r="L3266" s="25">
        <v>12400.0</v>
      </c>
      <c r="M3266" s="49" t="s">
        <v>50</v>
      </c>
      <c r="N3266" s="42"/>
      <c r="O3266" s="50">
        <v>45666.49643625</v>
      </c>
      <c r="P3266" s="26" t="s">
        <v>12807</v>
      </c>
      <c r="Q3266" s="13" t="s">
        <v>75</v>
      </c>
      <c r="R3266" s="13" t="s">
        <v>75</v>
      </c>
      <c r="S3266" s="13" t="s">
        <v>50</v>
      </c>
      <c r="T3266" s="52">
        <v>45664.40994355324</v>
      </c>
      <c r="U3266" s="52">
        <v>45664.44646761574</v>
      </c>
      <c r="V3266" s="52">
        <v>45665.42271262732</v>
      </c>
      <c r="W3266" s="11"/>
      <c r="X3266" s="11"/>
      <c r="Y3266" s="45"/>
      <c r="Z3266" s="45"/>
      <c r="AA3266" s="31" t="s">
        <v>102</v>
      </c>
      <c r="AB3266" s="45" t="s">
        <v>12808</v>
      </c>
      <c r="AC3266" s="45"/>
    </row>
    <row r="3267" ht="18.75" customHeight="1">
      <c r="A3267" s="142" t="s">
        <v>12809</v>
      </c>
      <c r="B3267" s="19" t="s">
        <v>7592</v>
      </c>
      <c r="C3267" s="20">
        <v>34.0</v>
      </c>
      <c r="D3267" s="48" t="s">
        <v>12810</v>
      </c>
      <c r="E3267" s="27" t="s">
        <v>47</v>
      </c>
      <c r="F3267" s="18" t="s">
        <v>48</v>
      </c>
      <c r="G3267" s="18" t="s">
        <v>35</v>
      </c>
      <c r="H3267" s="40" t="s">
        <v>35</v>
      </c>
      <c r="I3267" s="37" t="s">
        <v>36</v>
      </c>
      <c r="J3267" s="25" t="s">
        <v>49</v>
      </c>
      <c r="K3267" s="26" t="s">
        <v>38</v>
      </c>
      <c r="L3267" s="25">
        <v>12414.0</v>
      </c>
      <c r="M3267" s="49" t="s">
        <v>50</v>
      </c>
      <c r="N3267" s="42" t="s">
        <v>143</v>
      </c>
      <c r="O3267" s="50">
        <v>45670.59371988426</v>
      </c>
      <c r="P3267" s="26" t="s">
        <v>12811</v>
      </c>
      <c r="Q3267" s="13" t="s">
        <v>75</v>
      </c>
      <c r="R3267" s="13" t="s">
        <v>75</v>
      </c>
      <c r="S3267" s="13" t="s">
        <v>50</v>
      </c>
      <c r="T3267" s="52">
        <v>45664.65538967593</v>
      </c>
      <c r="U3267" s="52">
        <v>45664.67595027778</v>
      </c>
      <c r="V3267" s="52">
        <v>45666.56921582176</v>
      </c>
      <c r="W3267" s="11"/>
      <c r="X3267" s="11"/>
      <c r="Y3267" s="45"/>
      <c r="Z3267" s="45"/>
      <c r="AA3267" s="31" t="s">
        <v>102</v>
      </c>
      <c r="AB3267" s="45" t="s">
        <v>12812</v>
      </c>
      <c r="AC3267" s="45"/>
    </row>
    <row r="3268" ht="18.75" customHeight="1">
      <c r="A3268" s="142" t="s">
        <v>12813</v>
      </c>
      <c r="B3268" s="19" t="s">
        <v>5323</v>
      </c>
      <c r="C3268" s="20">
        <v>34.0</v>
      </c>
      <c r="D3268" s="48" t="s">
        <v>12814</v>
      </c>
      <c r="E3268" s="27" t="s">
        <v>47</v>
      </c>
      <c r="F3268" s="18" t="s">
        <v>48</v>
      </c>
      <c r="G3268" s="18" t="s">
        <v>35</v>
      </c>
      <c r="H3268" s="40" t="s">
        <v>35</v>
      </c>
      <c r="I3268" s="37" t="s">
        <v>36</v>
      </c>
      <c r="J3268" s="25" t="s">
        <v>49</v>
      </c>
      <c r="K3268" s="26" t="s">
        <v>38</v>
      </c>
      <c r="L3268" s="25">
        <v>12411.0</v>
      </c>
      <c r="M3268" s="49" t="s">
        <v>50</v>
      </c>
      <c r="N3268" s="42" t="s">
        <v>5936</v>
      </c>
      <c r="O3268" s="50">
        <v>45666.649770601856</v>
      </c>
      <c r="P3268" s="26" t="s">
        <v>12815</v>
      </c>
      <c r="Q3268" s="13" t="s">
        <v>75</v>
      </c>
      <c r="R3268" s="13" t="s">
        <v>75</v>
      </c>
      <c r="S3268" s="13" t="s">
        <v>50</v>
      </c>
      <c r="T3268" s="52">
        <v>45664.614036875</v>
      </c>
      <c r="U3268" s="52">
        <v>45665.48253450231</v>
      </c>
      <c r="V3268" s="52">
        <v>45666.569225011575</v>
      </c>
      <c r="W3268" s="11"/>
      <c r="X3268" s="11"/>
      <c r="Y3268" s="45"/>
      <c r="Z3268" s="45"/>
      <c r="AA3268" s="31" t="s">
        <v>102</v>
      </c>
      <c r="AB3268" s="45" t="s">
        <v>12816</v>
      </c>
      <c r="AC3268" s="45"/>
    </row>
    <row r="3269" ht="18.75" customHeight="1">
      <c r="A3269" s="142" t="s">
        <v>12817</v>
      </c>
      <c r="B3269" s="19" t="s">
        <v>7868</v>
      </c>
      <c r="C3269" s="20">
        <v>27.0</v>
      </c>
      <c r="D3269" s="39" t="s">
        <v>12818</v>
      </c>
      <c r="E3269" s="27" t="s">
        <v>72</v>
      </c>
      <c r="F3269" s="18" t="s">
        <v>48</v>
      </c>
      <c r="G3269" s="18" t="s">
        <v>35</v>
      </c>
      <c r="H3269" s="40" t="s">
        <v>35</v>
      </c>
      <c r="I3269" s="37" t="s">
        <v>36</v>
      </c>
      <c r="J3269" s="25" t="s">
        <v>65</v>
      </c>
      <c r="K3269" s="26" t="s">
        <v>38</v>
      </c>
      <c r="L3269" s="25">
        <v>12420.0</v>
      </c>
      <c r="M3269" s="49" t="s">
        <v>50</v>
      </c>
      <c r="N3269" s="42" t="s">
        <v>5102</v>
      </c>
      <c r="O3269" s="50">
        <v>45670.696482280095</v>
      </c>
      <c r="P3269" s="26" t="s">
        <v>12819</v>
      </c>
      <c r="Q3269" s="13" t="s">
        <v>75</v>
      </c>
      <c r="R3269" s="13" t="s">
        <v>75</v>
      </c>
      <c r="S3269" s="13" t="s">
        <v>50</v>
      </c>
      <c r="T3269" s="52">
        <v>45664.6185065625</v>
      </c>
      <c r="U3269" s="52">
        <v>45667.36570541667</v>
      </c>
      <c r="V3269" s="52">
        <v>45670.32885064815</v>
      </c>
      <c r="W3269" s="11"/>
      <c r="X3269" s="11"/>
      <c r="Y3269" s="45"/>
      <c r="Z3269" s="45"/>
      <c r="AA3269" s="31" t="s">
        <v>94</v>
      </c>
      <c r="AB3269" s="45" t="s">
        <v>12820</v>
      </c>
      <c r="AC3269" s="45"/>
    </row>
    <row r="3270" ht="18.75" customHeight="1">
      <c r="A3270" s="142" t="s">
        <v>12821</v>
      </c>
      <c r="B3270" s="19" t="s">
        <v>12822</v>
      </c>
      <c r="C3270" s="20">
        <v>27.0</v>
      </c>
      <c r="D3270" s="39" t="s">
        <v>12823</v>
      </c>
      <c r="E3270" s="27" t="s">
        <v>72</v>
      </c>
      <c r="F3270" s="18" t="s">
        <v>48</v>
      </c>
      <c r="G3270" s="18" t="s">
        <v>35</v>
      </c>
      <c r="H3270" s="40" t="s">
        <v>35</v>
      </c>
      <c r="I3270" s="37" t="s">
        <v>36</v>
      </c>
      <c r="J3270" s="25" t="s">
        <v>49</v>
      </c>
      <c r="K3270" s="26" t="s">
        <v>238</v>
      </c>
      <c r="L3270" s="25">
        <v>12739.0</v>
      </c>
      <c r="M3270" s="49" t="s">
        <v>50</v>
      </c>
      <c r="N3270" s="42" t="s">
        <v>5936</v>
      </c>
      <c r="O3270" s="67">
        <v>45734.68288479166</v>
      </c>
      <c r="P3270" s="26" t="s">
        <v>12824</v>
      </c>
      <c r="Q3270" s="13" t="s">
        <v>75</v>
      </c>
      <c r="R3270" s="13" t="s">
        <v>75</v>
      </c>
      <c r="S3270" s="13" t="s">
        <v>50</v>
      </c>
      <c r="T3270" s="44">
        <v>45702.71707594907</v>
      </c>
      <c r="U3270" s="44">
        <v>45702.717828113426</v>
      </c>
      <c r="V3270" s="44">
        <v>45734.43449516204</v>
      </c>
      <c r="W3270" s="11"/>
      <c r="X3270" s="11"/>
      <c r="Y3270" s="45"/>
      <c r="Z3270" s="45"/>
      <c r="AA3270" s="31" t="s">
        <v>3808</v>
      </c>
      <c r="AB3270" s="45" t="s">
        <v>12825</v>
      </c>
      <c r="AC3270" s="45"/>
    </row>
    <row r="3271" ht="18.75" customHeight="1">
      <c r="A3271" s="18" t="s">
        <v>12826</v>
      </c>
      <c r="B3271" s="19" t="s">
        <v>4293</v>
      </c>
      <c r="C3271" s="20">
        <v>90.0</v>
      </c>
      <c r="D3271" s="48" t="s">
        <v>12827</v>
      </c>
      <c r="E3271" s="27" t="s">
        <v>91</v>
      </c>
      <c r="F3271" s="18" t="s">
        <v>48</v>
      </c>
      <c r="G3271" s="18" t="s">
        <v>35</v>
      </c>
      <c r="H3271" s="40" t="s">
        <v>35</v>
      </c>
      <c r="I3271" s="37" t="s">
        <v>36</v>
      </c>
      <c r="J3271" s="25" t="s">
        <v>65</v>
      </c>
      <c r="K3271" s="26" t="s">
        <v>38</v>
      </c>
      <c r="L3271" s="25">
        <v>12406.0</v>
      </c>
      <c r="M3271" s="49" t="s">
        <v>50</v>
      </c>
      <c r="N3271" s="42" t="s">
        <v>4908</v>
      </c>
      <c r="O3271" s="50">
        <v>45666.72187980324</v>
      </c>
      <c r="P3271" s="26" t="s">
        <v>12828</v>
      </c>
      <c r="Q3271" s="13" t="s">
        <v>75</v>
      </c>
      <c r="R3271" s="13" t="s">
        <v>75</v>
      </c>
      <c r="S3271" s="13" t="s">
        <v>50</v>
      </c>
      <c r="T3271" s="52">
        <v>45664.72367409722</v>
      </c>
      <c r="U3271" s="52">
        <v>45665.43467206019</v>
      </c>
      <c r="V3271" s="52">
        <v>45666.54745696759</v>
      </c>
      <c r="W3271" s="11"/>
      <c r="X3271" s="11"/>
      <c r="Y3271" s="45"/>
      <c r="Z3271" s="45"/>
      <c r="AA3271" s="31" t="s">
        <v>94</v>
      </c>
      <c r="AB3271" s="45" t="s">
        <v>12829</v>
      </c>
      <c r="AC3271" s="45"/>
    </row>
    <row r="3272" ht="18.75" customHeight="1">
      <c r="A3272" s="18" t="s">
        <v>12830</v>
      </c>
      <c r="B3272" s="19" t="s">
        <v>4293</v>
      </c>
      <c r="C3272" s="20">
        <v>90.0</v>
      </c>
      <c r="D3272" s="48" t="s">
        <v>12831</v>
      </c>
      <c r="E3272" s="27" t="s">
        <v>91</v>
      </c>
      <c r="F3272" s="18" t="s">
        <v>48</v>
      </c>
      <c r="G3272" s="18" t="s">
        <v>35</v>
      </c>
      <c r="H3272" s="40" t="s">
        <v>35</v>
      </c>
      <c r="I3272" s="37" t="s">
        <v>36</v>
      </c>
      <c r="J3272" s="25" t="s">
        <v>65</v>
      </c>
      <c r="K3272" s="26" t="s">
        <v>38</v>
      </c>
      <c r="L3272" s="25">
        <v>12406.0</v>
      </c>
      <c r="M3272" s="49" t="s">
        <v>50</v>
      </c>
      <c r="N3272" s="42" t="s">
        <v>4908</v>
      </c>
      <c r="O3272" s="50">
        <v>45666.721829155096</v>
      </c>
      <c r="P3272" s="26" t="s">
        <v>12828</v>
      </c>
      <c r="Q3272" s="13" t="s">
        <v>75</v>
      </c>
      <c r="R3272" s="13" t="s">
        <v>75</v>
      </c>
      <c r="S3272" s="13" t="s">
        <v>50</v>
      </c>
      <c r="T3272" s="52">
        <v>45664.72401818287</v>
      </c>
      <c r="U3272" s="52">
        <v>45665.43466482639</v>
      </c>
      <c r="V3272" s="52">
        <v>45666.54744674769</v>
      </c>
      <c r="W3272" s="11"/>
      <c r="X3272" s="11"/>
      <c r="Y3272" s="45"/>
      <c r="Z3272" s="45"/>
      <c r="AA3272" s="31" t="s">
        <v>94</v>
      </c>
      <c r="AB3272" s="45" t="s">
        <v>12832</v>
      </c>
      <c r="AC3272" s="45"/>
    </row>
    <row r="3273" ht="18.75" customHeight="1">
      <c r="A3273" s="18" t="s">
        <v>12833</v>
      </c>
      <c r="B3273" s="19" t="s">
        <v>4293</v>
      </c>
      <c r="C3273" s="20">
        <v>90.0</v>
      </c>
      <c r="D3273" s="48" t="s">
        <v>12834</v>
      </c>
      <c r="E3273" s="27" t="s">
        <v>91</v>
      </c>
      <c r="F3273" s="18" t="s">
        <v>48</v>
      </c>
      <c r="G3273" s="18" t="s">
        <v>35</v>
      </c>
      <c r="H3273" s="40" t="s">
        <v>35</v>
      </c>
      <c r="I3273" s="37" t="s">
        <v>36</v>
      </c>
      <c r="J3273" s="25" t="s">
        <v>65</v>
      </c>
      <c r="K3273" s="26" t="s">
        <v>38</v>
      </c>
      <c r="L3273" s="25">
        <v>12406.0</v>
      </c>
      <c r="M3273" s="49" t="s">
        <v>50</v>
      </c>
      <c r="N3273" s="42" t="s">
        <v>4908</v>
      </c>
      <c r="O3273" s="50">
        <v>45666.721558703706</v>
      </c>
      <c r="P3273" s="26" t="s">
        <v>12828</v>
      </c>
      <c r="Q3273" s="13" t="s">
        <v>75</v>
      </c>
      <c r="R3273" s="13" t="s">
        <v>75</v>
      </c>
      <c r="S3273" s="13" t="s">
        <v>50</v>
      </c>
      <c r="T3273" s="52">
        <v>45664.724080405096</v>
      </c>
      <c r="U3273" s="52">
        <v>45665.434616053244</v>
      </c>
      <c r="V3273" s="52">
        <v>45666.54718961805</v>
      </c>
      <c r="W3273" s="11"/>
      <c r="X3273" s="11"/>
      <c r="Y3273" s="45"/>
      <c r="Z3273" s="45"/>
      <c r="AA3273" s="31" t="s">
        <v>94</v>
      </c>
      <c r="AB3273" s="45" t="s">
        <v>12835</v>
      </c>
      <c r="AC3273" s="45"/>
    </row>
    <row r="3274" ht="18.75" customHeight="1">
      <c r="A3274" s="18" t="s">
        <v>12836</v>
      </c>
      <c r="B3274" s="19" t="s">
        <v>4293</v>
      </c>
      <c r="C3274" s="20">
        <v>90.0</v>
      </c>
      <c r="D3274" s="48" t="s">
        <v>12837</v>
      </c>
      <c r="E3274" s="27" t="s">
        <v>91</v>
      </c>
      <c r="F3274" s="18" t="s">
        <v>48</v>
      </c>
      <c r="G3274" s="18" t="s">
        <v>35</v>
      </c>
      <c r="H3274" s="40" t="s">
        <v>35</v>
      </c>
      <c r="I3274" s="37" t="s">
        <v>36</v>
      </c>
      <c r="J3274" s="25" t="s">
        <v>65</v>
      </c>
      <c r="K3274" s="26" t="s">
        <v>38</v>
      </c>
      <c r="L3274" s="25">
        <v>12406.0</v>
      </c>
      <c r="M3274" s="49" t="s">
        <v>50</v>
      </c>
      <c r="N3274" s="42" t="s">
        <v>4908</v>
      </c>
      <c r="O3274" s="50">
        <v>45666.721673622684</v>
      </c>
      <c r="P3274" s="26" t="s">
        <v>12828</v>
      </c>
      <c r="Q3274" s="13" t="s">
        <v>75</v>
      </c>
      <c r="R3274" s="13" t="s">
        <v>75</v>
      </c>
      <c r="S3274" s="13" t="s">
        <v>50</v>
      </c>
      <c r="T3274" s="52">
        <v>45664.72418837963</v>
      </c>
      <c r="U3274" s="52">
        <v>45665.43463670139</v>
      </c>
      <c r="V3274" s="52">
        <v>45666.54730586805</v>
      </c>
      <c r="W3274" s="11"/>
      <c r="X3274" s="11"/>
      <c r="Y3274" s="45"/>
      <c r="Z3274" s="45"/>
      <c r="AA3274" s="31" t="s">
        <v>94</v>
      </c>
      <c r="AB3274" s="45" t="s">
        <v>12838</v>
      </c>
      <c r="AC3274" s="45"/>
    </row>
    <row r="3275" ht="18.75" customHeight="1">
      <c r="A3275" s="18" t="s">
        <v>12839</v>
      </c>
      <c r="B3275" s="19" t="s">
        <v>4293</v>
      </c>
      <c r="C3275" s="20">
        <v>90.0</v>
      </c>
      <c r="D3275" s="48" t="s">
        <v>12840</v>
      </c>
      <c r="E3275" s="27" t="s">
        <v>91</v>
      </c>
      <c r="F3275" s="18" t="s">
        <v>48</v>
      </c>
      <c r="G3275" s="18" t="s">
        <v>35</v>
      </c>
      <c r="H3275" s="40" t="s">
        <v>35</v>
      </c>
      <c r="I3275" s="37" t="s">
        <v>36</v>
      </c>
      <c r="J3275" s="25" t="s">
        <v>65</v>
      </c>
      <c r="K3275" s="26" t="s">
        <v>38</v>
      </c>
      <c r="L3275" s="25">
        <v>12406.0</v>
      </c>
      <c r="M3275" s="49" t="s">
        <v>50</v>
      </c>
      <c r="N3275" s="42" t="s">
        <v>4908</v>
      </c>
      <c r="O3275" s="50">
        <v>45666.72132224537</v>
      </c>
      <c r="P3275" s="26" t="s">
        <v>12828</v>
      </c>
      <c r="Q3275" s="13" t="s">
        <v>75</v>
      </c>
      <c r="R3275" s="13" t="s">
        <v>75</v>
      </c>
      <c r="S3275" s="13" t="s">
        <v>50</v>
      </c>
      <c r="T3275" s="52">
        <v>45664.724299849535</v>
      </c>
      <c r="U3275" s="52">
        <v>45665.43457568287</v>
      </c>
      <c r="V3275" s="52">
        <v>45666.54704304398</v>
      </c>
      <c r="W3275" s="11"/>
      <c r="X3275" s="11"/>
      <c r="Y3275" s="45"/>
      <c r="Z3275" s="45"/>
      <c r="AA3275" s="31" t="s">
        <v>94</v>
      </c>
      <c r="AB3275" s="45" t="s">
        <v>12841</v>
      </c>
      <c r="AC3275" s="45"/>
    </row>
    <row r="3276" ht="18.75" customHeight="1">
      <c r="A3276" s="18" t="s">
        <v>12842</v>
      </c>
      <c r="B3276" s="19" t="s">
        <v>4293</v>
      </c>
      <c r="C3276" s="20">
        <v>90.0</v>
      </c>
      <c r="D3276" s="48" t="s">
        <v>12843</v>
      </c>
      <c r="E3276" s="27" t="s">
        <v>91</v>
      </c>
      <c r="F3276" s="18" t="s">
        <v>48</v>
      </c>
      <c r="G3276" s="18" t="s">
        <v>35</v>
      </c>
      <c r="H3276" s="40" t="s">
        <v>35</v>
      </c>
      <c r="I3276" s="37" t="s">
        <v>36</v>
      </c>
      <c r="J3276" s="25" t="s">
        <v>65</v>
      </c>
      <c r="K3276" s="26" t="s">
        <v>38</v>
      </c>
      <c r="L3276" s="25">
        <v>12406.0</v>
      </c>
      <c r="M3276" s="49" t="s">
        <v>50</v>
      </c>
      <c r="N3276" s="42" t="s">
        <v>4908</v>
      </c>
      <c r="O3276" s="50">
        <v>45666.721374733796</v>
      </c>
      <c r="P3276" s="26" t="s">
        <v>12828</v>
      </c>
      <c r="Q3276" s="13" t="s">
        <v>75</v>
      </c>
      <c r="R3276" s="13" t="s">
        <v>75</v>
      </c>
      <c r="S3276" s="13" t="s">
        <v>50</v>
      </c>
      <c r="T3276" s="52">
        <v>45664.72435956019</v>
      </c>
      <c r="U3276" s="52">
        <v>45665.43458913194</v>
      </c>
      <c r="V3276" s="52">
        <v>45666.54705340278</v>
      </c>
      <c r="W3276" s="11"/>
      <c r="X3276" s="11"/>
      <c r="Y3276" s="45"/>
      <c r="Z3276" s="45"/>
      <c r="AA3276" s="31" t="s">
        <v>94</v>
      </c>
      <c r="AB3276" s="45" t="s">
        <v>12844</v>
      </c>
      <c r="AC3276" s="45"/>
    </row>
    <row r="3277" ht="18.75" customHeight="1">
      <c r="A3277" s="18" t="s">
        <v>12845</v>
      </c>
      <c r="B3277" s="19" t="s">
        <v>4293</v>
      </c>
      <c r="C3277" s="20">
        <v>34.0</v>
      </c>
      <c r="D3277" s="48" t="s">
        <v>12846</v>
      </c>
      <c r="E3277" s="27" t="s">
        <v>47</v>
      </c>
      <c r="F3277" s="18" t="s">
        <v>48</v>
      </c>
      <c r="G3277" s="18" t="s">
        <v>35</v>
      </c>
      <c r="H3277" s="40" t="s">
        <v>35</v>
      </c>
      <c r="I3277" s="37" t="s">
        <v>36</v>
      </c>
      <c r="J3277" s="25" t="s">
        <v>65</v>
      </c>
      <c r="K3277" s="26" t="s">
        <v>38</v>
      </c>
      <c r="L3277" s="25">
        <v>12406.0</v>
      </c>
      <c r="M3277" s="49" t="s">
        <v>50</v>
      </c>
      <c r="N3277" s="42" t="s">
        <v>4908</v>
      </c>
      <c r="O3277" s="50">
        <v>45666.72142287037</v>
      </c>
      <c r="P3277" s="26" t="s">
        <v>12828</v>
      </c>
      <c r="Q3277" s="13" t="s">
        <v>75</v>
      </c>
      <c r="R3277" s="13" t="s">
        <v>75</v>
      </c>
      <c r="S3277" s="13" t="s">
        <v>50</v>
      </c>
      <c r="T3277" s="52">
        <v>45664.724709050926</v>
      </c>
      <c r="U3277" s="52">
        <v>45665.43459989583</v>
      </c>
      <c r="V3277" s="52">
        <v>45666.569036898145</v>
      </c>
      <c r="W3277" s="11"/>
      <c r="X3277" s="11"/>
      <c r="Y3277" s="45"/>
      <c r="Z3277" s="45"/>
      <c r="AA3277" s="31" t="s">
        <v>94</v>
      </c>
      <c r="AB3277" s="45" t="s">
        <v>12847</v>
      </c>
      <c r="AC3277" s="45"/>
    </row>
    <row r="3278" ht="18.75" customHeight="1">
      <c r="A3278" s="18" t="s">
        <v>12848</v>
      </c>
      <c r="B3278" s="19" t="s">
        <v>4293</v>
      </c>
      <c r="C3278" s="20">
        <v>34.0</v>
      </c>
      <c r="D3278" s="48" t="s">
        <v>12849</v>
      </c>
      <c r="E3278" s="27" t="s">
        <v>47</v>
      </c>
      <c r="F3278" s="18" t="s">
        <v>48</v>
      </c>
      <c r="G3278" s="18" t="s">
        <v>35</v>
      </c>
      <c r="H3278" s="40" t="s">
        <v>35</v>
      </c>
      <c r="I3278" s="37" t="s">
        <v>36</v>
      </c>
      <c r="J3278" s="25" t="s">
        <v>65</v>
      </c>
      <c r="K3278" s="26" t="s">
        <v>38</v>
      </c>
      <c r="L3278" s="25">
        <v>12406.0</v>
      </c>
      <c r="M3278" s="49" t="s">
        <v>50</v>
      </c>
      <c r="N3278" s="42" t="s">
        <v>4908</v>
      </c>
      <c r="O3278" s="50">
        <v>45666.72147099537</v>
      </c>
      <c r="P3278" s="26" t="s">
        <v>12828</v>
      </c>
      <c r="Q3278" s="13" t="s">
        <v>75</v>
      </c>
      <c r="R3278" s="13" t="s">
        <v>75</v>
      </c>
      <c r="S3278" s="13" t="s">
        <v>50</v>
      </c>
      <c r="T3278" s="52">
        <v>45664.72489434028</v>
      </c>
      <c r="U3278" s="52">
        <v>45665.434608703705</v>
      </c>
      <c r="V3278" s="52">
        <v>45666.56904703703</v>
      </c>
      <c r="W3278" s="11"/>
      <c r="X3278" s="11"/>
      <c r="Y3278" s="45"/>
      <c r="Z3278" s="45"/>
      <c r="AA3278" s="31" t="s">
        <v>94</v>
      </c>
      <c r="AB3278" s="45" t="s">
        <v>12850</v>
      </c>
      <c r="AC3278" s="45"/>
    </row>
    <row r="3279" ht="18.75" customHeight="1">
      <c r="A3279" s="18" t="s">
        <v>12851</v>
      </c>
      <c r="B3279" s="19" t="s">
        <v>4293</v>
      </c>
      <c r="C3279" s="20">
        <v>27.0</v>
      </c>
      <c r="D3279" s="39" t="s">
        <v>12852</v>
      </c>
      <c r="E3279" s="27" t="s">
        <v>72</v>
      </c>
      <c r="F3279" s="18" t="s">
        <v>48</v>
      </c>
      <c r="G3279" s="18" t="s">
        <v>35</v>
      </c>
      <c r="H3279" s="40" t="s">
        <v>35</v>
      </c>
      <c r="I3279" s="37" t="s">
        <v>36</v>
      </c>
      <c r="J3279" s="25" t="s">
        <v>65</v>
      </c>
      <c r="K3279" s="26" t="s">
        <v>38</v>
      </c>
      <c r="L3279" s="25">
        <v>12406.0</v>
      </c>
      <c r="M3279" s="49" t="s">
        <v>50</v>
      </c>
      <c r="N3279" s="42" t="s">
        <v>4908</v>
      </c>
      <c r="O3279" s="50">
        <v>45666.72160737269</v>
      </c>
      <c r="P3279" s="26" t="s">
        <v>12828</v>
      </c>
      <c r="Q3279" s="13" t="s">
        <v>75</v>
      </c>
      <c r="R3279" s="13" t="s">
        <v>75</v>
      </c>
      <c r="S3279" s="13" t="s">
        <v>50</v>
      </c>
      <c r="T3279" s="52">
        <v>45664.72515261574</v>
      </c>
      <c r="U3279" s="52">
        <v>45665.43462458333</v>
      </c>
      <c r="V3279" s="52">
        <v>45666.54841484954</v>
      </c>
      <c r="W3279" s="11"/>
      <c r="X3279" s="11"/>
      <c r="Y3279" s="45"/>
      <c r="Z3279" s="45"/>
      <c r="AA3279" s="31" t="s">
        <v>94</v>
      </c>
      <c r="AB3279" s="45" t="s">
        <v>12853</v>
      </c>
      <c r="AC3279" s="45"/>
    </row>
    <row r="3280" ht="18.75" customHeight="1">
      <c r="A3280" s="18" t="s">
        <v>12854</v>
      </c>
      <c r="B3280" s="19" t="s">
        <v>4293</v>
      </c>
      <c r="C3280" s="20">
        <v>27.0</v>
      </c>
      <c r="D3280" s="39" t="s">
        <v>12855</v>
      </c>
      <c r="E3280" s="27" t="s">
        <v>72</v>
      </c>
      <c r="F3280" s="18" t="s">
        <v>48</v>
      </c>
      <c r="G3280" s="18" t="s">
        <v>35</v>
      </c>
      <c r="H3280" s="40" t="s">
        <v>35</v>
      </c>
      <c r="I3280" s="37" t="s">
        <v>36</v>
      </c>
      <c r="J3280" s="25" t="s">
        <v>65</v>
      </c>
      <c r="K3280" s="26" t="s">
        <v>38</v>
      </c>
      <c r="L3280" s="25">
        <v>12406.0</v>
      </c>
      <c r="M3280" s="49" t="s">
        <v>50</v>
      </c>
      <c r="N3280" s="42" t="s">
        <v>4908</v>
      </c>
      <c r="O3280" s="50">
        <v>45666.72172108796</v>
      </c>
      <c r="P3280" s="26" t="s">
        <v>12828</v>
      </c>
      <c r="Q3280" s="13" t="s">
        <v>75</v>
      </c>
      <c r="R3280" s="13" t="s">
        <v>75</v>
      </c>
      <c r="S3280" s="13" t="s">
        <v>50</v>
      </c>
      <c r="T3280" s="52">
        <v>45664.725570069444</v>
      </c>
      <c r="U3280" s="52">
        <v>45665.434652627315</v>
      </c>
      <c r="V3280" s="52">
        <v>45666.54842517361</v>
      </c>
      <c r="W3280" s="11"/>
      <c r="X3280" s="11"/>
      <c r="Y3280" s="45"/>
      <c r="Z3280" s="45"/>
      <c r="AA3280" s="31" t="s">
        <v>94</v>
      </c>
      <c r="AB3280" s="45" t="s">
        <v>12856</v>
      </c>
      <c r="AC3280" s="45"/>
    </row>
    <row r="3281" ht="18.75" customHeight="1">
      <c r="A3281" s="18" t="s">
        <v>12857</v>
      </c>
      <c r="B3281" s="19" t="s">
        <v>4293</v>
      </c>
      <c r="C3281" s="20">
        <v>137.0</v>
      </c>
      <c r="D3281" s="48" t="s">
        <v>12858</v>
      </c>
      <c r="E3281" s="27" t="s">
        <v>85</v>
      </c>
      <c r="F3281" s="18" t="s">
        <v>48</v>
      </c>
      <c r="G3281" s="18" t="s">
        <v>35</v>
      </c>
      <c r="H3281" s="40" t="s">
        <v>35</v>
      </c>
      <c r="I3281" s="37" t="s">
        <v>36</v>
      </c>
      <c r="J3281" s="25" t="s">
        <v>65</v>
      </c>
      <c r="K3281" s="26" t="s">
        <v>38</v>
      </c>
      <c r="L3281" s="25">
        <v>12406.0</v>
      </c>
      <c r="M3281" s="49" t="s">
        <v>50</v>
      </c>
      <c r="N3281" s="42" t="s">
        <v>4908</v>
      </c>
      <c r="O3281" s="50">
        <v>45666.72177502315</v>
      </c>
      <c r="P3281" s="26" t="s">
        <v>12828</v>
      </c>
      <c r="Q3281" s="13" t="s">
        <v>75</v>
      </c>
      <c r="R3281" s="13" t="s">
        <v>75</v>
      </c>
      <c r="S3281" s="13" t="s">
        <v>50</v>
      </c>
      <c r="T3281" s="52">
        <v>45664.725778692125</v>
      </c>
      <c r="U3281" s="52">
        <v>45665.43465840278</v>
      </c>
      <c r="V3281" s="52">
        <v>45666.54870072917</v>
      </c>
      <c r="W3281" s="11"/>
      <c r="X3281" s="11"/>
      <c r="Y3281" s="45"/>
      <c r="Z3281" s="45"/>
      <c r="AA3281" s="31" t="s">
        <v>94</v>
      </c>
      <c r="AB3281" s="45" t="s">
        <v>12859</v>
      </c>
      <c r="AC3281" s="45"/>
    </row>
    <row r="3282" ht="18.75" customHeight="1">
      <c r="A3282" s="142" t="s">
        <v>12860</v>
      </c>
      <c r="B3282" s="19" t="s">
        <v>12861</v>
      </c>
      <c r="C3282" s="20">
        <v>90.0</v>
      </c>
      <c r="D3282" s="48" t="s">
        <v>12862</v>
      </c>
      <c r="E3282" s="27" t="s">
        <v>91</v>
      </c>
      <c r="F3282" s="18" t="s">
        <v>48</v>
      </c>
      <c r="G3282" s="18" t="s">
        <v>35</v>
      </c>
      <c r="H3282" s="40" t="s">
        <v>35</v>
      </c>
      <c r="I3282" s="37" t="s">
        <v>36</v>
      </c>
      <c r="J3282" s="25" t="s">
        <v>65</v>
      </c>
      <c r="K3282" s="26" t="s">
        <v>38</v>
      </c>
      <c r="L3282" s="25">
        <v>12407.0</v>
      </c>
      <c r="M3282" s="49" t="s">
        <v>50</v>
      </c>
      <c r="N3282" s="42" t="s">
        <v>4908</v>
      </c>
      <c r="O3282" s="50">
        <v>45666.721936608796</v>
      </c>
      <c r="P3282" s="26" t="s">
        <v>12863</v>
      </c>
      <c r="Q3282" s="13" t="s">
        <v>75</v>
      </c>
      <c r="R3282" s="13" t="s">
        <v>75</v>
      </c>
      <c r="S3282" s="13" t="s">
        <v>50</v>
      </c>
      <c r="T3282" s="52">
        <v>45666.42633364583</v>
      </c>
      <c r="U3282" s="52">
        <v>45666.565914652776</v>
      </c>
      <c r="V3282" s="52">
        <v>45666.56933488426</v>
      </c>
      <c r="W3282" s="11"/>
      <c r="X3282" s="11"/>
      <c r="Y3282" s="45"/>
      <c r="Z3282" s="45"/>
      <c r="AA3282" s="31" t="s">
        <v>3059</v>
      </c>
      <c r="AB3282" s="45" t="s">
        <v>12864</v>
      </c>
      <c r="AC3282" s="45"/>
    </row>
    <row r="3283" ht="18.75" customHeight="1">
      <c r="A3283" s="142" t="s">
        <v>12865</v>
      </c>
      <c r="B3283" s="19" t="s">
        <v>3709</v>
      </c>
      <c r="C3283" s="20">
        <v>137.0</v>
      </c>
      <c r="D3283" s="48" t="s">
        <v>12866</v>
      </c>
      <c r="E3283" s="27" t="s">
        <v>85</v>
      </c>
      <c r="F3283" s="18" t="s">
        <v>48</v>
      </c>
      <c r="G3283" s="18" t="s">
        <v>35</v>
      </c>
      <c r="H3283" s="40" t="s">
        <v>35</v>
      </c>
      <c r="I3283" s="37" t="s">
        <v>36</v>
      </c>
      <c r="J3283" s="34" t="s">
        <v>92</v>
      </c>
      <c r="K3283" s="26" t="s">
        <v>38</v>
      </c>
      <c r="L3283" s="25">
        <v>12415.0</v>
      </c>
      <c r="M3283" s="49" t="s">
        <v>50</v>
      </c>
      <c r="N3283" s="42" t="s">
        <v>10181</v>
      </c>
      <c r="O3283" s="50">
        <v>45667.64866747685</v>
      </c>
      <c r="P3283" s="26" t="s">
        <v>12867</v>
      </c>
      <c r="Q3283" s="13" t="s">
        <v>75</v>
      </c>
      <c r="R3283" s="13" t="s">
        <v>75</v>
      </c>
      <c r="S3283" s="13" t="s">
        <v>50</v>
      </c>
      <c r="T3283" s="52">
        <v>45666.440298587964</v>
      </c>
      <c r="U3283" s="52">
        <v>45667.37080805555</v>
      </c>
      <c r="V3283" s="52">
        <v>45667.493863599535</v>
      </c>
      <c r="W3283" s="11"/>
      <c r="X3283" s="11"/>
      <c r="Y3283" s="45"/>
      <c r="Z3283" s="45"/>
      <c r="AA3283" s="31" t="s">
        <v>120</v>
      </c>
      <c r="AB3283" s="45" t="s">
        <v>12868</v>
      </c>
      <c r="AC3283" s="45"/>
    </row>
    <row r="3284" ht="18.75" customHeight="1">
      <c r="A3284" s="142" t="s">
        <v>12869</v>
      </c>
      <c r="B3284" s="19" t="s">
        <v>4352</v>
      </c>
      <c r="C3284" s="20">
        <v>1.0</v>
      </c>
      <c r="D3284" s="48" t="s">
        <v>12870</v>
      </c>
      <c r="E3284" s="27" t="s">
        <v>3395</v>
      </c>
      <c r="F3284" s="18" t="s">
        <v>48</v>
      </c>
      <c r="G3284" s="18" t="s">
        <v>35</v>
      </c>
      <c r="H3284" s="40" t="s">
        <v>35</v>
      </c>
      <c r="I3284" s="37" t="s">
        <v>36</v>
      </c>
      <c r="J3284" s="25" t="s">
        <v>49</v>
      </c>
      <c r="K3284" s="26" t="s">
        <v>38</v>
      </c>
      <c r="L3284" s="25">
        <v>12410.0</v>
      </c>
      <c r="M3284" s="49" t="s">
        <v>50</v>
      </c>
      <c r="N3284" s="42" t="s">
        <v>5936</v>
      </c>
      <c r="O3284" s="50">
        <v>45666.6499365625</v>
      </c>
      <c r="P3284" s="26" t="s">
        <v>12871</v>
      </c>
      <c r="Q3284" s="13" t="s">
        <v>75</v>
      </c>
      <c r="R3284" s="13" t="s">
        <v>75</v>
      </c>
      <c r="S3284" s="13" t="s">
        <v>50</v>
      </c>
      <c r="T3284" s="52">
        <v>45666.356428680556</v>
      </c>
      <c r="U3284" s="52">
        <v>45666.56726122685</v>
      </c>
      <c r="V3284" s="52">
        <v>45666.57009032408</v>
      </c>
      <c r="W3284" s="11"/>
      <c r="X3284" s="11"/>
      <c r="Y3284" s="45"/>
      <c r="Z3284" s="45"/>
      <c r="AA3284" s="31" t="s">
        <v>127</v>
      </c>
      <c r="AB3284" s="45" t="s">
        <v>12872</v>
      </c>
      <c r="AC3284" s="45"/>
    </row>
    <row r="3285" ht="18.75" customHeight="1">
      <c r="A3285" s="142" t="s">
        <v>12873</v>
      </c>
      <c r="B3285" s="19" t="s">
        <v>802</v>
      </c>
      <c r="C3285" s="20">
        <v>34.0</v>
      </c>
      <c r="D3285" s="48" t="s">
        <v>12874</v>
      </c>
      <c r="E3285" s="27" t="s">
        <v>47</v>
      </c>
      <c r="F3285" s="18" t="s">
        <v>48</v>
      </c>
      <c r="G3285" s="18" t="s">
        <v>35</v>
      </c>
      <c r="H3285" s="40" t="s">
        <v>35</v>
      </c>
      <c r="I3285" s="37" t="s">
        <v>36</v>
      </c>
      <c r="J3285" s="25" t="s">
        <v>49</v>
      </c>
      <c r="K3285" s="26" t="s">
        <v>805</v>
      </c>
      <c r="L3285" s="25">
        <v>12483.0</v>
      </c>
      <c r="M3285" s="49" t="s">
        <v>50</v>
      </c>
      <c r="N3285" s="42" t="s">
        <v>143</v>
      </c>
      <c r="O3285" s="50">
        <v>45681.57034976852</v>
      </c>
      <c r="P3285" s="26" t="s">
        <v>12875</v>
      </c>
      <c r="Q3285" s="13" t="s">
        <v>75</v>
      </c>
      <c r="R3285" s="13" t="s">
        <v>75</v>
      </c>
      <c r="S3285" s="13" t="s">
        <v>50</v>
      </c>
      <c r="T3285" s="52">
        <v>45667.37987959491</v>
      </c>
      <c r="U3285" s="52">
        <v>45678.64555644676</v>
      </c>
      <c r="V3285" s="52">
        <v>45680.57522082176</v>
      </c>
      <c r="W3285" s="11"/>
      <c r="X3285" s="11"/>
      <c r="Y3285" s="45"/>
      <c r="Z3285" s="45"/>
      <c r="AA3285" s="31"/>
      <c r="AB3285" s="45" t="s">
        <v>12876</v>
      </c>
      <c r="AC3285" s="45"/>
    </row>
    <row r="3286" ht="18.75" customHeight="1">
      <c r="A3286" s="142" t="s">
        <v>12877</v>
      </c>
      <c r="B3286" s="19" t="s">
        <v>12878</v>
      </c>
      <c r="C3286" s="20">
        <v>1.0</v>
      </c>
      <c r="D3286" s="48" t="s">
        <v>12879</v>
      </c>
      <c r="E3286" s="27" t="s">
        <v>3395</v>
      </c>
      <c r="F3286" s="18" t="s">
        <v>48</v>
      </c>
      <c r="G3286" s="18" t="s">
        <v>35</v>
      </c>
      <c r="H3286" s="40" t="s">
        <v>35</v>
      </c>
      <c r="I3286" s="37" t="s">
        <v>36</v>
      </c>
      <c r="J3286" s="25" t="s">
        <v>65</v>
      </c>
      <c r="K3286" s="26" t="s">
        <v>38</v>
      </c>
      <c r="L3286" s="25">
        <v>12660.0</v>
      </c>
      <c r="M3286" s="49" t="s">
        <v>50</v>
      </c>
      <c r="N3286" s="42" t="s">
        <v>8104</v>
      </c>
      <c r="O3286" s="67">
        <v>45716.6290841088</v>
      </c>
      <c r="P3286" s="26" t="s">
        <v>12880</v>
      </c>
      <c r="Q3286" s="13" t="s">
        <v>75</v>
      </c>
      <c r="R3286" s="13" t="s">
        <v>75</v>
      </c>
      <c r="S3286" s="13" t="s">
        <v>50</v>
      </c>
      <c r="T3286" s="44">
        <v>45715.68051520833</v>
      </c>
      <c r="U3286" s="44">
        <v>45715.68074851852</v>
      </c>
      <c r="V3286" s="44">
        <v>45709.44495715278</v>
      </c>
      <c r="W3286" s="11"/>
      <c r="X3286" s="11"/>
      <c r="Y3286" s="45"/>
      <c r="Z3286" s="45"/>
      <c r="AA3286" s="31" t="s">
        <v>120</v>
      </c>
      <c r="AB3286" s="45" t="s">
        <v>12881</v>
      </c>
      <c r="AC3286" s="45"/>
    </row>
    <row r="3287" ht="18.75" customHeight="1">
      <c r="A3287" s="142" t="s">
        <v>12882</v>
      </c>
      <c r="B3287" s="19" t="s">
        <v>12883</v>
      </c>
      <c r="C3287" s="20">
        <v>137.0</v>
      </c>
      <c r="D3287" s="48" t="s">
        <v>12884</v>
      </c>
      <c r="E3287" s="27" t="s">
        <v>85</v>
      </c>
      <c r="F3287" s="18" t="s">
        <v>48</v>
      </c>
      <c r="G3287" s="18" t="s">
        <v>35</v>
      </c>
      <c r="H3287" s="40" t="s">
        <v>35</v>
      </c>
      <c r="I3287" s="37" t="s">
        <v>36</v>
      </c>
      <c r="J3287" s="25" t="s">
        <v>65</v>
      </c>
      <c r="K3287" s="26" t="s">
        <v>38</v>
      </c>
      <c r="L3287" s="25">
        <v>12417.0</v>
      </c>
      <c r="M3287" s="49" t="s">
        <v>50</v>
      </c>
      <c r="N3287" s="42" t="s">
        <v>80</v>
      </c>
      <c r="O3287" s="50">
        <v>45678.73134263889</v>
      </c>
      <c r="P3287" s="26" t="s">
        <v>12885</v>
      </c>
      <c r="Q3287" s="13" t="s">
        <v>75</v>
      </c>
      <c r="R3287" s="13" t="s">
        <v>67</v>
      </c>
      <c r="S3287" s="13" t="s">
        <v>50</v>
      </c>
      <c r="T3287" s="52">
        <v>45666.433671736115</v>
      </c>
      <c r="U3287" s="52">
        <v>45667.467431412035</v>
      </c>
      <c r="V3287" s="52">
        <v>45670.325605694445</v>
      </c>
      <c r="W3287" s="11"/>
      <c r="X3287" s="11"/>
      <c r="Y3287" s="45"/>
      <c r="Z3287" s="45"/>
      <c r="AA3287" s="31" t="s">
        <v>120</v>
      </c>
      <c r="AB3287" s="45" t="s">
        <v>12886</v>
      </c>
      <c r="AC3287" s="45"/>
    </row>
    <row r="3288" ht="18.75" customHeight="1">
      <c r="A3288" s="142" t="s">
        <v>12887</v>
      </c>
      <c r="B3288" s="19" t="s">
        <v>3289</v>
      </c>
      <c r="C3288" s="47">
        <v>0.0</v>
      </c>
      <c r="D3288" s="176" t="s">
        <v>12888</v>
      </c>
      <c r="E3288" s="27" t="s">
        <v>295</v>
      </c>
      <c r="F3288" s="18" t="s">
        <v>33</v>
      </c>
      <c r="G3288" s="18" t="s">
        <v>35</v>
      </c>
      <c r="H3288" s="40" t="s">
        <v>35</v>
      </c>
      <c r="I3288" s="37" t="s">
        <v>36</v>
      </c>
      <c r="J3288" s="25" t="s">
        <v>92</v>
      </c>
      <c r="K3288" s="26" t="s">
        <v>38</v>
      </c>
      <c r="L3288" s="25">
        <v>12432.0</v>
      </c>
      <c r="M3288" s="49" t="s">
        <v>50</v>
      </c>
      <c r="N3288" s="42" t="s">
        <v>7145</v>
      </c>
      <c r="O3288" s="50">
        <v>45673.36166685185</v>
      </c>
      <c r="P3288" s="26" t="s">
        <v>12889</v>
      </c>
      <c r="Q3288" s="13" t="s">
        <v>75</v>
      </c>
      <c r="R3288" s="13" t="s">
        <v>75</v>
      </c>
      <c r="S3288" s="13" t="s">
        <v>101</v>
      </c>
      <c r="T3288" s="52">
        <v>45666.44443120371</v>
      </c>
      <c r="U3288" s="52">
        <v>45667.37289267361</v>
      </c>
      <c r="V3288" s="52">
        <v>45671.451330138894</v>
      </c>
      <c r="W3288" s="11"/>
      <c r="X3288" s="11"/>
      <c r="Y3288" s="45"/>
      <c r="Z3288" s="45"/>
      <c r="AA3288" s="31" t="s">
        <v>120</v>
      </c>
      <c r="AB3288" s="45" t="s">
        <v>12890</v>
      </c>
      <c r="AC3288" s="45"/>
    </row>
    <row r="3289" ht="18.75" customHeight="1">
      <c r="A3289" s="142" t="s">
        <v>12891</v>
      </c>
      <c r="B3289" s="19" t="s">
        <v>7403</v>
      </c>
      <c r="C3289" s="20">
        <v>0.0</v>
      </c>
      <c r="D3289" s="48" t="s">
        <v>1160</v>
      </c>
      <c r="E3289" s="27" t="s">
        <v>491</v>
      </c>
      <c r="F3289" s="18" t="s">
        <v>33</v>
      </c>
      <c r="G3289" s="18" t="s">
        <v>35</v>
      </c>
      <c r="H3289" s="40" t="s">
        <v>35</v>
      </c>
      <c r="I3289" s="37" t="s">
        <v>36</v>
      </c>
      <c r="J3289" s="25" t="s">
        <v>420</v>
      </c>
      <c r="K3289" s="26" t="s">
        <v>38</v>
      </c>
      <c r="L3289" s="25">
        <v>12527.0</v>
      </c>
      <c r="M3289" s="49" t="s">
        <v>50</v>
      </c>
      <c r="N3289" s="42" t="s">
        <v>4031</v>
      </c>
      <c r="O3289" s="50">
        <v>45687.710690023145</v>
      </c>
      <c r="P3289" s="26" t="s">
        <v>12892</v>
      </c>
      <c r="Q3289" s="13" t="s">
        <v>75</v>
      </c>
      <c r="R3289" s="13" t="s">
        <v>75</v>
      </c>
      <c r="S3289" s="13" t="s">
        <v>101</v>
      </c>
      <c r="T3289" s="52">
        <v>45685.58042537037</v>
      </c>
      <c r="U3289" s="52">
        <v>45685.58042734954</v>
      </c>
      <c r="V3289" s="52">
        <v>45686.35229231481</v>
      </c>
      <c r="W3289" s="11"/>
      <c r="X3289" s="11"/>
      <c r="Y3289" s="45"/>
      <c r="Z3289" s="45"/>
      <c r="AA3289" s="31" t="s">
        <v>94</v>
      </c>
      <c r="AB3289" s="45" t="s">
        <v>12893</v>
      </c>
      <c r="AC3289" s="45"/>
    </row>
    <row r="3290" ht="18.75" customHeight="1">
      <c r="A3290" s="142" t="s">
        <v>12894</v>
      </c>
      <c r="B3290" s="19" t="s">
        <v>4711</v>
      </c>
      <c r="C3290" s="20">
        <v>90.0</v>
      </c>
      <c r="D3290" s="48" t="s">
        <v>12895</v>
      </c>
      <c r="E3290" s="27" t="s">
        <v>91</v>
      </c>
      <c r="F3290" s="18" t="s">
        <v>48</v>
      </c>
      <c r="G3290" s="18" t="s">
        <v>35</v>
      </c>
      <c r="H3290" s="40" t="s">
        <v>35</v>
      </c>
      <c r="I3290" s="37" t="s">
        <v>36</v>
      </c>
      <c r="J3290" s="25" t="s">
        <v>65</v>
      </c>
      <c r="K3290" s="26" t="s">
        <v>38</v>
      </c>
      <c r="L3290" s="25">
        <v>12424.0</v>
      </c>
      <c r="M3290" s="49" t="s">
        <v>50</v>
      </c>
      <c r="N3290" s="42" t="s">
        <v>3442</v>
      </c>
      <c r="O3290" s="50">
        <v>45670.69692947916</v>
      </c>
      <c r="P3290" s="26" t="s">
        <v>12896</v>
      </c>
      <c r="Q3290" s="13" t="s">
        <v>75</v>
      </c>
      <c r="R3290" s="13" t="s">
        <v>75</v>
      </c>
      <c r="S3290" s="13" t="s">
        <v>50</v>
      </c>
      <c r="T3290" s="52">
        <v>45667.39440921297</v>
      </c>
      <c r="U3290" s="52">
        <v>45667.54602695601</v>
      </c>
      <c r="V3290" s="52">
        <v>45670.32431791667</v>
      </c>
      <c r="W3290" s="11"/>
      <c r="X3290" s="11"/>
      <c r="Y3290" s="45"/>
      <c r="Z3290" s="45"/>
      <c r="AA3290" s="31" t="s">
        <v>94</v>
      </c>
      <c r="AB3290" s="45" t="s">
        <v>12897</v>
      </c>
      <c r="AC3290" s="45"/>
    </row>
    <row r="3291" ht="18.75" customHeight="1">
      <c r="A3291" s="18" t="s">
        <v>12898</v>
      </c>
      <c r="B3291" s="19" t="s">
        <v>8994</v>
      </c>
      <c r="C3291" s="20">
        <v>0.0</v>
      </c>
      <c r="D3291" s="48" t="s">
        <v>12899</v>
      </c>
      <c r="E3291" s="27" t="s">
        <v>12405</v>
      </c>
      <c r="F3291" s="18" t="s">
        <v>48</v>
      </c>
      <c r="G3291" s="18" t="s">
        <v>35</v>
      </c>
      <c r="H3291" s="40" t="s">
        <v>35</v>
      </c>
      <c r="I3291" s="37" t="s">
        <v>36</v>
      </c>
      <c r="J3291" s="25" t="s">
        <v>1170</v>
      </c>
      <c r="K3291" s="26" t="s">
        <v>38</v>
      </c>
      <c r="L3291" s="25">
        <v>12537.0</v>
      </c>
      <c r="M3291" s="49" t="s">
        <v>50</v>
      </c>
      <c r="N3291" s="42" t="s">
        <v>12900</v>
      </c>
      <c r="O3291" s="50">
        <v>45688.70675996528</v>
      </c>
      <c r="P3291" s="26" t="s">
        <v>12901</v>
      </c>
      <c r="Q3291" s="13" t="s">
        <v>75</v>
      </c>
      <c r="R3291" s="13" t="s">
        <v>75</v>
      </c>
      <c r="S3291" s="13"/>
      <c r="T3291" s="52">
        <v>45667.41241806713</v>
      </c>
      <c r="U3291" s="52">
        <v>45667.483401527774</v>
      </c>
      <c r="V3291" s="52"/>
      <c r="W3291" s="11"/>
      <c r="X3291" s="11"/>
      <c r="Y3291" s="45"/>
      <c r="Z3291" s="45"/>
      <c r="AA3291" s="31" t="s">
        <v>120</v>
      </c>
      <c r="AB3291" s="45" t="s">
        <v>12902</v>
      </c>
      <c r="AC3291" s="45"/>
    </row>
    <row r="3292" ht="18.75" customHeight="1">
      <c r="A3292" s="18" t="s">
        <v>12903</v>
      </c>
      <c r="B3292" s="19" t="s">
        <v>8994</v>
      </c>
      <c r="C3292" s="20">
        <v>1.0</v>
      </c>
      <c r="D3292" s="48"/>
      <c r="E3292" s="27" t="s">
        <v>11712</v>
      </c>
      <c r="F3292" s="18" t="s">
        <v>48</v>
      </c>
      <c r="G3292" s="18" t="s">
        <v>35</v>
      </c>
      <c r="H3292" s="40" t="s">
        <v>35</v>
      </c>
      <c r="I3292" s="24" t="s">
        <v>665</v>
      </c>
      <c r="J3292" s="25" t="s">
        <v>1170</v>
      </c>
      <c r="K3292" s="26" t="s">
        <v>38</v>
      </c>
      <c r="L3292" s="25">
        <v>12537.0</v>
      </c>
      <c r="M3292" s="49" t="s">
        <v>50</v>
      </c>
      <c r="N3292" s="42" t="s">
        <v>12900</v>
      </c>
      <c r="O3292" s="50">
        <v>45688.70666401621</v>
      </c>
      <c r="P3292" s="35" t="s">
        <v>12904</v>
      </c>
      <c r="Q3292" s="13" t="s">
        <v>75</v>
      </c>
      <c r="R3292" s="13" t="s">
        <v>75</v>
      </c>
      <c r="S3292" s="13"/>
      <c r="T3292" s="52">
        <v>45667.41263474537</v>
      </c>
      <c r="U3292" s="52">
        <v>45667.4833758912</v>
      </c>
      <c r="V3292" s="52"/>
      <c r="W3292" s="11"/>
      <c r="X3292" s="11"/>
      <c r="Y3292" s="45"/>
      <c r="Z3292" s="45"/>
      <c r="AA3292" s="31" t="s">
        <v>120</v>
      </c>
      <c r="AB3292" s="45" t="s">
        <v>12905</v>
      </c>
      <c r="AC3292" s="45"/>
    </row>
    <row r="3293" ht="18.75" customHeight="1">
      <c r="A3293" s="142" t="s">
        <v>12906</v>
      </c>
      <c r="B3293" s="19" t="s">
        <v>12907</v>
      </c>
      <c r="C3293" s="20">
        <v>137.0</v>
      </c>
      <c r="D3293" s="48" t="s">
        <v>12908</v>
      </c>
      <c r="E3293" s="27" t="s">
        <v>85</v>
      </c>
      <c r="F3293" s="18" t="s">
        <v>48</v>
      </c>
      <c r="G3293" s="18" t="s">
        <v>35</v>
      </c>
      <c r="H3293" s="40" t="s">
        <v>35</v>
      </c>
      <c r="I3293" s="37" t="s">
        <v>36</v>
      </c>
      <c r="J3293" s="25" t="s">
        <v>12909</v>
      </c>
      <c r="K3293" s="26" t="s">
        <v>38</v>
      </c>
      <c r="L3293" s="25">
        <v>12421.0</v>
      </c>
      <c r="M3293" s="49" t="s">
        <v>50</v>
      </c>
      <c r="N3293" s="42" t="s">
        <v>12910</v>
      </c>
      <c r="O3293" s="50">
        <v>45679.63101868056</v>
      </c>
      <c r="P3293" s="26" t="s">
        <v>12911</v>
      </c>
      <c r="Q3293" s="13" t="s">
        <v>75</v>
      </c>
      <c r="R3293" s="13" t="s">
        <v>75</v>
      </c>
      <c r="S3293" s="13" t="s">
        <v>50</v>
      </c>
      <c r="T3293" s="52">
        <v>45667.38815252315</v>
      </c>
      <c r="U3293" s="52">
        <v>45667.443773182866</v>
      </c>
      <c r="V3293" s="52">
        <v>45670.325491979165</v>
      </c>
      <c r="W3293" s="11"/>
      <c r="X3293" s="11"/>
      <c r="Y3293" s="45"/>
      <c r="Z3293" s="45"/>
      <c r="AA3293" s="31" t="s">
        <v>94</v>
      </c>
      <c r="AB3293" s="45" t="s">
        <v>12912</v>
      </c>
      <c r="AC3293" s="45"/>
    </row>
    <row r="3294" ht="18.75" customHeight="1">
      <c r="A3294" s="142" t="s">
        <v>12913</v>
      </c>
      <c r="B3294" s="19" t="s">
        <v>3289</v>
      </c>
      <c r="C3294" s="20">
        <v>27.0</v>
      </c>
      <c r="D3294" s="39" t="s">
        <v>12914</v>
      </c>
      <c r="E3294" s="27" t="s">
        <v>72</v>
      </c>
      <c r="F3294" s="18" t="s">
        <v>48</v>
      </c>
      <c r="G3294" s="18" t="s">
        <v>35</v>
      </c>
      <c r="H3294" s="40" t="s">
        <v>35</v>
      </c>
      <c r="I3294" s="37" t="s">
        <v>36</v>
      </c>
      <c r="J3294" s="25" t="s">
        <v>92</v>
      </c>
      <c r="K3294" s="26" t="s">
        <v>38</v>
      </c>
      <c r="L3294" s="25">
        <v>12418.0</v>
      </c>
      <c r="M3294" s="49" t="s">
        <v>50</v>
      </c>
      <c r="N3294" s="42" t="s">
        <v>7145</v>
      </c>
      <c r="O3294" s="50">
        <v>45673.36173736111</v>
      </c>
      <c r="P3294" s="26" t="s">
        <v>12915</v>
      </c>
      <c r="Q3294" s="13" t="s">
        <v>75</v>
      </c>
      <c r="R3294" s="13" t="s">
        <v>75</v>
      </c>
      <c r="S3294" s="13" t="s">
        <v>50</v>
      </c>
      <c r="T3294" s="52">
        <v>45667.389276898146</v>
      </c>
      <c r="U3294" s="52">
        <v>45667.44411303241</v>
      </c>
      <c r="V3294" s="52">
        <v>45670.333610601854</v>
      </c>
      <c r="W3294" s="11"/>
      <c r="X3294" s="11"/>
      <c r="Y3294" s="45"/>
      <c r="Z3294" s="45"/>
      <c r="AA3294" s="31" t="s">
        <v>120</v>
      </c>
      <c r="AB3294" s="45" t="s">
        <v>12916</v>
      </c>
      <c r="AC3294" s="45"/>
    </row>
    <row r="3295" ht="18.75" customHeight="1">
      <c r="A3295" s="142" t="s">
        <v>12917</v>
      </c>
      <c r="B3295" s="19" t="s">
        <v>115</v>
      </c>
      <c r="C3295" s="20">
        <v>27.0</v>
      </c>
      <c r="D3295" s="39" t="s">
        <v>12918</v>
      </c>
      <c r="E3295" s="27" t="s">
        <v>72</v>
      </c>
      <c r="F3295" s="18" t="s">
        <v>48</v>
      </c>
      <c r="G3295" s="18" t="s">
        <v>35</v>
      </c>
      <c r="H3295" s="40" t="s">
        <v>35</v>
      </c>
      <c r="I3295" s="37" t="s">
        <v>36</v>
      </c>
      <c r="J3295" s="25" t="s">
        <v>92</v>
      </c>
      <c r="K3295" s="26" t="s">
        <v>38</v>
      </c>
      <c r="L3295" s="25">
        <v>12419.0</v>
      </c>
      <c r="M3295" s="49" t="s">
        <v>50</v>
      </c>
      <c r="N3295" s="42" t="s">
        <v>10176</v>
      </c>
      <c r="O3295" s="50">
        <v>45677.632638888885</v>
      </c>
      <c r="P3295" s="26" t="s">
        <v>12919</v>
      </c>
      <c r="Q3295" s="13" t="s">
        <v>75</v>
      </c>
      <c r="R3295" s="13" t="s">
        <v>75</v>
      </c>
      <c r="S3295" s="13" t="s">
        <v>50</v>
      </c>
      <c r="T3295" s="52">
        <v>45667.39103971065</v>
      </c>
      <c r="U3295" s="52">
        <v>45667.44439395833</v>
      </c>
      <c r="V3295" s="52">
        <v>45670.333621365746</v>
      </c>
      <c r="W3295" s="11"/>
      <c r="X3295" s="11"/>
      <c r="Y3295" s="45"/>
      <c r="Z3295" s="45"/>
      <c r="AA3295" s="31" t="s">
        <v>120</v>
      </c>
      <c r="AB3295" s="45" t="s">
        <v>12920</v>
      </c>
      <c r="AC3295" s="45"/>
    </row>
    <row r="3296" ht="18.75" customHeight="1">
      <c r="A3296" s="18" t="s">
        <v>12921</v>
      </c>
      <c r="B3296" s="19" t="s">
        <v>543</v>
      </c>
      <c r="C3296" s="20">
        <v>1.0</v>
      </c>
      <c r="D3296" s="48" t="s">
        <v>12922</v>
      </c>
      <c r="E3296" s="27" t="s">
        <v>3395</v>
      </c>
      <c r="F3296" s="18" t="s">
        <v>48</v>
      </c>
      <c r="G3296" s="18" t="s">
        <v>35</v>
      </c>
      <c r="H3296" s="40" t="s">
        <v>35</v>
      </c>
      <c r="I3296" s="37" t="s">
        <v>36</v>
      </c>
      <c r="J3296" s="25" t="s">
        <v>420</v>
      </c>
      <c r="K3296" s="26" t="s">
        <v>38</v>
      </c>
      <c r="L3296" s="25">
        <v>12422.0</v>
      </c>
      <c r="M3296" s="49" t="s">
        <v>50</v>
      </c>
      <c r="N3296" s="42" t="s">
        <v>4031</v>
      </c>
      <c r="O3296" s="50">
        <v>45670.67882364584</v>
      </c>
      <c r="P3296" s="26" t="s">
        <v>12923</v>
      </c>
      <c r="Q3296" s="13" t="s">
        <v>75</v>
      </c>
      <c r="R3296" s="13" t="s">
        <v>75</v>
      </c>
      <c r="S3296" s="13" t="s">
        <v>50</v>
      </c>
      <c r="T3296" s="52">
        <v>45667.54063956019</v>
      </c>
      <c r="U3296" s="52">
        <v>45667.703641817134</v>
      </c>
      <c r="V3296" s="52">
        <v>45670.33044827546</v>
      </c>
      <c r="W3296" s="11"/>
      <c r="X3296" s="11"/>
      <c r="Y3296" s="45"/>
      <c r="Z3296" s="45"/>
      <c r="AA3296" s="31" t="s">
        <v>120</v>
      </c>
      <c r="AB3296" s="45" t="s">
        <v>12924</v>
      </c>
      <c r="AC3296" s="45"/>
    </row>
    <row r="3297" ht="18.75" customHeight="1">
      <c r="A3297" s="18" t="s">
        <v>12925</v>
      </c>
      <c r="B3297" s="19" t="s">
        <v>543</v>
      </c>
      <c r="C3297" s="20">
        <v>90.0</v>
      </c>
      <c r="D3297" s="48" t="s">
        <v>12926</v>
      </c>
      <c r="E3297" s="27" t="s">
        <v>91</v>
      </c>
      <c r="F3297" s="18" t="s">
        <v>48</v>
      </c>
      <c r="G3297" s="18" t="s">
        <v>35</v>
      </c>
      <c r="H3297" s="40" t="s">
        <v>35</v>
      </c>
      <c r="I3297" s="37" t="s">
        <v>36</v>
      </c>
      <c r="J3297" s="25" t="s">
        <v>420</v>
      </c>
      <c r="K3297" s="26" t="s">
        <v>38</v>
      </c>
      <c r="L3297" s="25">
        <v>12422.0</v>
      </c>
      <c r="M3297" s="49" t="s">
        <v>50</v>
      </c>
      <c r="N3297" s="42" t="s">
        <v>4031</v>
      </c>
      <c r="O3297" s="50">
        <v>45670.67891538194</v>
      </c>
      <c r="P3297" s="26" t="s">
        <v>12923</v>
      </c>
      <c r="Q3297" s="13" t="s">
        <v>75</v>
      </c>
      <c r="R3297" s="13" t="s">
        <v>75</v>
      </c>
      <c r="S3297" s="13" t="s">
        <v>50</v>
      </c>
      <c r="T3297" s="52">
        <v>45667.54082277778</v>
      </c>
      <c r="U3297" s="52">
        <v>45667.70375758102</v>
      </c>
      <c r="V3297" s="52">
        <v>45670.32440712963</v>
      </c>
      <c r="W3297" s="11"/>
      <c r="X3297" s="11"/>
      <c r="Y3297" s="45"/>
      <c r="Z3297" s="45"/>
      <c r="AA3297" s="31" t="s">
        <v>120</v>
      </c>
      <c r="AB3297" s="45" t="s">
        <v>12927</v>
      </c>
      <c r="AC3297" s="45"/>
    </row>
    <row r="3298" ht="18.75" customHeight="1">
      <c r="A3298" s="142" t="s">
        <v>12928</v>
      </c>
      <c r="B3298" s="19" t="s">
        <v>4308</v>
      </c>
      <c r="C3298" s="20">
        <v>11.0</v>
      </c>
      <c r="D3298" s="48" t="s">
        <v>12929</v>
      </c>
      <c r="E3298" s="27" t="s">
        <v>112</v>
      </c>
      <c r="F3298" s="18" t="s">
        <v>48</v>
      </c>
      <c r="G3298" s="18" t="s">
        <v>35</v>
      </c>
      <c r="H3298" s="40" t="s">
        <v>35</v>
      </c>
      <c r="I3298" s="37" t="s">
        <v>36</v>
      </c>
      <c r="J3298" s="25" t="s">
        <v>92</v>
      </c>
      <c r="K3298" s="26" t="s">
        <v>38</v>
      </c>
      <c r="L3298" s="25">
        <v>2.0</v>
      </c>
      <c r="M3298" s="49" t="s">
        <v>50</v>
      </c>
      <c r="N3298" s="42" t="s">
        <v>7638</v>
      </c>
      <c r="O3298" s="50">
        <v>45667.685790358795</v>
      </c>
      <c r="P3298" s="35" t="s">
        <v>12930</v>
      </c>
      <c r="Q3298" s="13" t="s">
        <v>75</v>
      </c>
      <c r="R3298" s="13" t="s">
        <v>75</v>
      </c>
      <c r="S3298" s="13" t="s">
        <v>50</v>
      </c>
      <c r="T3298" s="52">
        <v>45667.53860881944</v>
      </c>
      <c r="U3298" s="52">
        <v>45667.61141380787</v>
      </c>
      <c r="V3298" s="52">
        <v>45667.68209174769</v>
      </c>
      <c r="W3298" s="11"/>
      <c r="X3298" s="11"/>
      <c r="Y3298" s="45"/>
      <c r="Z3298" s="45"/>
      <c r="AA3298" s="31"/>
      <c r="AB3298" s="45" t="s">
        <v>12931</v>
      </c>
      <c r="AC3298" s="45"/>
    </row>
    <row r="3299" ht="18.75" customHeight="1">
      <c r="A3299" s="142" t="s">
        <v>12932</v>
      </c>
      <c r="B3299" s="19" t="s">
        <v>4716</v>
      </c>
      <c r="C3299" s="20">
        <v>0.0</v>
      </c>
      <c r="D3299" s="48" t="s">
        <v>12933</v>
      </c>
      <c r="E3299" s="27" t="s">
        <v>12486</v>
      </c>
      <c r="F3299" s="18" t="s">
        <v>11504</v>
      </c>
      <c r="G3299" s="18" t="s">
        <v>35</v>
      </c>
      <c r="H3299" s="40" t="s">
        <v>35</v>
      </c>
      <c r="I3299" s="37" t="s">
        <v>36</v>
      </c>
      <c r="J3299" s="25" t="s">
        <v>420</v>
      </c>
      <c r="K3299" s="26" t="s">
        <v>38</v>
      </c>
      <c r="L3299" s="25">
        <v>12583.0</v>
      </c>
      <c r="M3299" s="49" t="s">
        <v>50</v>
      </c>
      <c r="N3299" s="42" t="s">
        <v>4031</v>
      </c>
      <c r="O3299" s="50">
        <v>45694.577590879635</v>
      </c>
      <c r="P3299" s="26" t="s">
        <v>12934</v>
      </c>
      <c r="Q3299" s="13" t="s">
        <v>75</v>
      </c>
      <c r="R3299" s="13" t="s">
        <v>75</v>
      </c>
      <c r="S3299" s="13"/>
      <c r="T3299" s="52">
        <v>45685.62827878472</v>
      </c>
      <c r="U3299" s="52">
        <v>45685.62848476852</v>
      </c>
      <c r="V3299" s="52"/>
      <c r="W3299" s="11"/>
      <c r="X3299" s="11"/>
      <c r="Y3299" s="45"/>
      <c r="Z3299" s="45"/>
      <c r="AA3299" s="31"/>
      <c r="AB3299" s="45" t="s">
        <v>12935</v>
      </c>
      <c r="AC3299" s="45"/>
    </row>
    <row r="3300" ht="18.75" customHeight="1">
      <c r="A3300" s="142" t="s">
        <v>12936</v>
      </c>
      <c r="B3300" s="19" t="s">
        <v>12937</v>
      </c>
      <c r="C3300" s="20">
        <v>0.0</v>
      </c>
      <c r="D3300" s="48" t="s">
        <v>12938</v>
      </c>
      <c r="E3300" s="27" t="s">
        <v>3441</v>
      </c>
      <c r="F3300" s="18" t="s">
        <v>48</v>
      </c>
      <c r="G3300" s="18" t="s">
        <v>35</v>
      </c>
      <c r="H3300" s="40" t="s">
        <v>35</v>
      </c>
      <c r="I3300" s="37" t="s">
        <v>36</v>
      </c>
      <c r="J3300" s="25" t="s">
        <v>65</v>
      </c>
      <c r="K3300" s="26" t="s">
        <v>38</v>
      </c>
      <c r="L3300" s="25">
        <v>12423.0</v>
      </c>
      <c r="M3300" s="49" t="s">
        <v>50</v>
      </c>
      <c r="N3300" s="42" t="s">
        <v>3442</v>
      </c>
      <c r="O3300" s="50">
        <v>45670.69684866898</v>
      </c>
      <c r="P3300" s="26" t="s">
        <v>12939</v>
      </c>
      <c r="Q3300" s="13" t="s">
        <v>75</v>
      </c>
      <c r="R3300" s="13" t="s">
        <v>75</v>
      </c>
      <c r="S3300" s="13" t="s">
        <v>50</v>
      </c>
      <c r="T3300" s="52">
        <v>45667.544915763894</v>
      </c>
      <c r="U3300" s="52">
        <v>45670.356617627316</v>
      </c>
      <c r="V3300" s="52">
        <v>45670.36229613426</v>
      </c>
      <c r="W3300" s="11"/>
      <c r="X3300" s="11"/>
      <c r="Y3300" s="45"/>
      <c r="Z3300" s="45"/>
      <c r="AA3300" s="31" t="s">
        <v>3059</v>
      </c>
      <c r="AB3300" s="45" t="s">
        <v>12940</v>
      </c>
      <c r="AC3300" s="45"/>
    </row>
    <row r="3301" ht="18.75" customHeight="1">
      <c r="A3301" s="142" t="s">
        <v>12941</v>
      </c>
      <c r="B3301" s="19" t="s">
        <v>12942</v>
      </c>
      <c r="C3301" s="20">
        <v>11.0</v>
      </c>
      <c r="D3301" s="48" t="s">
        <v>12943</v>
      </c>
      <c r="E3301" s="27" t="s">
        <v>112</v>
      </c>
      <c r="F3301" s="18" t="s">
        <v>48</v>
      </c>
      <c r="G3301" s="18" t="s">
        <v>35</v>
      </c>
      <c r="H3301" s="40" t="s">
        <v>35</v>
      </c>
      <c r="I3301" s="37" t="s">
        <v>36</v>
      </c>
      <c r="J3301" s="25" t="s">
        <v>65</v>
      </c>
      <c r="K3301" s="26" t="s">
        <v>38</v>
      </c>
      <c r="L3301" s="25">
        <v>12445.0</v>
      </c>
      <c r="M3301" s="49" t="s">
        <v>50</v>
      </c>
      <c r="N3301" s="42" t="s">
        <v>149</v>
      </c>
      <c r="O3301" s="50">
        <v>45672.64797467593</v>
      </c>
      <c r="P3301" s="26" t="s">
        <v>12944</v>
      </c>
      <c r="Q3301" s="13" t="s">
        <v>75</v>
      </c>
      <c r="R3301" s="13" t="s">
        <v>75</v>
      </c>
      <c r="S3301" s="13" t="s">
        <v>50</v>
      </c>
      <c r="T3301" s="52">
        <v>45667.63718114584</v>
      </c>
      <c r="U3301" s="52">
        <v>45671.37504388889</v>
      </c>
      <c r="V3301" s="52">
        <v>45672.56216403935</v>
      </c>
      <c r="W3301" s="11"/>
      <c r="X3301" s="11"/>
      <c r="Y3301" s="45"/>
      <c r="Z3301" s="45"/>
      <c r="AA3301" s="31" t="s">
        <v>3059</v>
      </c>
      <c r="AB3301" s="45" t="s">
        <v>12945</v>
      </c>
      <c r="AC3301" s="45"/>
    </row>
    <row r="3302" ht="18.75" customHeight="1">
      <c r="A3302" s="18" t="s">
        <v>12946</v>
      </c>
      <c r="B3302" s="19" t="s">
        <v>12947</v>
      </c>
      <c r="C3302" s="20">
        <v>90.0</v>
      </c>
      <c r="D3302" s="48" t="s">
        <v>12948</v>
      </c>
      <c r="E3302" s="27" t="s">
        <v>91</v>
      </c>
      <c r="F3302" s="18" t="s">
        <v>48</v>
      </c>
      <c r="G3302" s="18" t="s">
        <v>35</v>
      </c>
      <c r="H3302" s="40" t="s">
        <v>35</v>
      </c>
      <c r="I3302" s="37" t="s">
        <v>36</v>
      </c>
      <c r="J3302" s="25" t="s">
        <v>65</v>
      </c>
      <c r="K3302" s="26" t="s">
        <v>38</v>
      </c>
      <c r="L3302" s="25">
        <v>12472.0</v>
      </c>
      <c r="M3302" s="49" t="s">
        <v>50</v>
      </c>
      <c r="N3302" s="42" t="s">
        <v>80</v>
      </c>
      <c r="O3302" s="50">
        <v>45679.73541666666</v>
      </c>
      <c r="P3302" s="26" t="s">
        <v>12949</v>
      </c>
      <c r="Q3302" s="13" t="s">
        <v>75</v>
      </c>
      <c r="R3302" s="13" t="s">
        <v>75</v>
      </c>
      <c r="S3302" s="13" t="s">
        <v>50</v>
      </c>
      <c r="T3302" s="52">
        <v>45678.699086354165</v>
      </c>
      <c r="U3302" s="52">
        <v>45678.69918623843</v>
      </c>
      <c r="V3302" s="52">
        <v>45679.43427315972</v>
      </c>
      <c r="W3302" s="11"/>
      <c r="X3302" s="11"/>
      <c r="Y3302" s="45"/>
      <c r="Z3302" s="45"/>
      <c r="AA3302" s="31" t="s">
        <v>3059</v>
      </c>
      <c r="AB3302" s="45" t="s">
        <v>12950</v>
      </c>
      <c r="AC3302" s="45"/>
    </row>
    <row r="3303" ht="18.75" customHeight="1">
      <c r="A3303" s="18" t="s">
        <v>12951</v>
      </c>
      <c r="B3303" s="19" t="s">
        <v>12947</v>
      </c>
      <c r="C3303" s="20">
        <v>90.0</v>
      </c>
      <c r="D3303" s="48" t="s">
        <v>12952</v>
      </c>
      <c r="E3303" s="27" t="s">
        <v>91</v>
      </c>
      <c r="F3303" s="18" t="s">
        <v>48</v>
      </c>
      <c r="G3303" s="18" t="s">
        <v>35</v>
      </c>
      <c r="H3303" s="40" t="s">
        <v>35</v>
      </c>
      <c r="I3303" s="37" t="s">
        <v>36</v>
      </c>
      <c r="J3303" s="25" t="s">
        <v>65</v>
      </c>
      <c r="K3303" s="26" t="s">
        <v>38</v>
      </c>
      <c r="L3303" s="25">
        <v>12472.0</v>
      </c>
      <c r="M3303" s="49" t="s">
        <v>50</v>
      </c>
      <c r="N3303" s="42" t="s">
        <v>80</v>
      </c>
      <c r="O3303" s="50">
        <v>45680.320319872684</v>
      </c>
      <c r="P3303" s="26" t="s">
        <v>12949</v>
      </c>
      <c r="Q3303" s="13" t="s">
        <v>75</v>
      </c>
      <c r="R3303" s="13" t="s">
        <v>75</v>
      </c>
      <c r="S3303" s="13" t="s">
        <v>50</v>
      </c>
      <c r="T3303" s="52">
        <v>45678.69915027778</v>
      </c>
      <c r="U3303" s="52">
        <v>45678.699215555556</v>
      </c>
      <c r="V3303" s="52">
        <v>45679.43428327546</v>
      </c>
      <c r="W3303" s="11"/>
      <c r="X3303" s="11"/>
      <c r="Y3303" s="45"/>
      <c r="Z3303" s="45"/>
      <c r="AA3303" s="31" t="s">
        <v>3059</v>
      </c>
      <c r="AB3303" s="45" t="s">
        <v>12953</v>
      </c>
      <c r="AC3303" s="45"/>
    </row>
    <row r="3304" ht="18.75" customHeight="1">
      <c r="A3304" s="18" t="s">
        <v>12954</v>
      </c>
      <c r="B3304" s="19" t="s">
        <v>11376</v>
      </c>
      <c r="C3304" s="20">
        <v>1.0</v>
      </c>
      <c r="D3304" s="48" t="s">
        <v>12955</v>
      </c>
      <c r="E3304" s="27" t="s">
        <v>3395</v>
      </c>
      <c r="F3304" s="18" t="s">
        <v>48</v>
      </c>
      <c r="G3304" s="18" t="s">
        <v>35</v>
      </c>
      <c r="H3304" s="40" t="s">
        <v>35</v>
      </c>
      <c r="I3304" s="37" t="s">
        <v>36</v>
      </c>
      <c r="J3304" s="25" t="s">
        <v>65</v>
      </c>
      <c r="K3304" s="26" t="s">
        <v>38</v>
      </c>
      <c r="L3304" s="25">
        <v>12425.0</v>
      </c>
      <c r="M3304" s="49" t="s">
        <v>50</v>
      </c>
      <c r="N3304" s="42" t="s">
        <v>3442</v>
      </c>
      <c r="O3304" s="50">
        <v>45670.69676637731</v>
      </c>
      <c r="P3304" s="26" t="s">
        <v>12956</v>
      </c>
      <c r="Q3304" s="13" t="s">
        <v>75</v>
      </c>
      <c r="R3304" s="13" t="s">
        <v>75</v>
      </c>
      <c r="S3304" s="13" t="s">
        <v>50</v>
      </c>
      <c r="T3304" s="52">
        <v>45667.64290523148</v>
      </c>
      <c r="U3304" s="52">
        <v>45667.71469763889</v>
      </c>
      <c r="V3304" s="52">
        <v>45670.4625678125</v>
      </c>
      <c r="W3304" s="11"/>
      <c r="X3304" s="11"/>
      <c r="Y3304" s="45"/>
      <c r="Z3304" s="45"/>
      <c r="AA3304" s="31" t="s">
        <v>3059</v>
      </c>
      <c r="AB3304" s="45" t="s">
        <v>12957</v>
      </c>
      <c r="AC3304" s="45"/>
    </row>
    <row r="3305" ht="18.75" customHeight="1">
      <c r="A3305" s="18" t="s">
        <v>12958</v>
      </c>
      <c r="B3305" s="19" t="s">
        <v>11376</v>
      </c>
      <c r="C3305" s="20">
        <v>0.0</v>
      </c>
      <c r="D3305" s="48" t="s">
        <v>12959</v>
      </c>
      <c r="E3305" s="27" t="s">
        <v>3441</v>
      </c>
      <c r="F3305" s="18" t="s">
        <v>48</v>
      </c>
      <c r="G3305" s="18" t="s">
        <v>35</v>
      </c>
      <c r="H3305" s="40" t="s">
        <v>35</v>
      </c>
      <c r="I3305" s="37" t="s">
        <v>36</v>
      </c>
      <c r="J3305" s="25" t="s">
        <v>65</v>
      </c>
      <c r="K3305" s="26" t="s">
        <v>38</v>
      </c>
      <c r="L3305" s="25">
        <v>12425.0</v>
      </c>
      <c r="M3305" s="49" t="s">
        <v>50</v>
      </c>
      <c r="N3305" s="42" t="s">
        <v>3442</v>
      </c>
      <c r="O3305" s="50">
        <v>45670.696690682875</v>
      </c>
      <c r="P3305" s="26" t="s">
        <v>12956</v>
      </c>
      <c r="Q3305" s="13" t="s">
        <v>75</v>
      </c>
      <c r="R3305" s="13" t="s">
        <v>75</v>
      </c>
      <c r="S3305" s="13" t="s">
        <v>50</v>
      </c>
      <c r="T3305" s="52">
        <v>45667.643055532404</v>
      </c>
      <c r="U3305" s="52">
        <v>45667.714669444445</v>
      </c>
      <c r="V3305" s="52">
        <v>45670.332027303244</v>
      </c>
      <c r="W3305" s="11"/>
      <c r="X3305" s="11"/>
      <c r="Y3305" s="45"/>
      <c r="Z3305" s="45"/>
      <c r="AA3305" s="31" t="s">
        <v>3059</v>
      </c>
      <c r="AB3305" s="45" t="s">
        <v>12960</v>
      </c>
      <c r="AC3305" s="45"/>
    </row>
    <row r="3306" ht="18.75" customHeight="1">
      <c r="A3306" s="142" t="s">
        <v>12961</v>
      </c>
      <c r="B3306" s="19" t="s">
        <v>3158</v>
      </c>
      <c r="C3306" s="47">
        <v>1.0</v>
      </c>
      <c r="D3306" s="48" t="s">
        <v>1275</v>
      </c>
      <c r="E3306" s="27" t="s">
        <v>11712</v>
      </c>
      <c r="F3306" s="18" t="s">
        <v>48</v>
      </c>
      <c r="G3306" s="18" t="s">
        <v>35</v>
      </c>
      <c r="H3306" s="40" t="s">
        <v>35</v>
      </c>
      <c r="I3306" s="37" t="s">
        <v>36</v>
      </c>
      <c r="J3306" s="34" t="s">
        <v>12962</v>
      </c>
      <c r="K3306" s="26" t="s">
        <v>38</v>
      </c>
      <c r="L3306" s="25">
        <v>12602.0</v>
      </c>
      <c r="M3306" s="49" t="s">
        <v>50</v>
      </c>
      <c r="N3306" s="42" t="s">
        <v>12963</v>
      </c>
      <c r="O3306" s="67">
        <v>45699.6051580787</v>
      </c>
      <c r="P3306" s="26" t="s">
        <v>12964</v>
      </c>
      <c r="Q3306" s="13" t="s">
        <v>75</v>
      </c>
      <c r="R3306" s="13" t="s">
        <v>75</v>
      </c>
      <c r="S3306" s="13"/>
      <c r="T3306" s="52">
        <v>45667.64483420139</v>
      </c>
      <c r="U3306" s="52">
        <v>45670.35614146991</v>
      </c>
      <c r="V3306" s="52"/>
      <c r="W3306" s="11"/>
      <c r="X3306" s="11"/>
      <c r="Y3306" s="45"/>
      <c r="Z3306" s="45"/>
      <c r="AA3306" s="31" t="s">
        <v>3059</v>
      </c>
      <c r="AB3306" s="45" t="s">
        <v>12965</v>
      </c>
      <c r="AC3306" s="45"/>
    </row>
    <row r="3307" ht="18.75" customHeight="1">
      <c r="A3307" s="142" t="s">
        <v>12966</v>
      </c>
      <c r="B3307" s="19" t="s">
        <v>3636</v>
      </c>
      <c r="C3307" s="20">
        <v>0.0</v>
      </c>
      <c r="D3307" s="48" t="s">
        <v>12967</v>
      </c>
      <c r="E3307" s="27" t="s">
        <v>3441</v>
      </c>
      <c r="F3307" s="18" t="s">
        <v>48</v>
      </c>
      <c r="G3307" s="18" t="s">
        <v>35</v>
      </c>
      <c r="H3307" s="40" t="s">
        <v>35</v>
      </c>
      <c r="I3307" s="37" t="s">
        <v>36</v>
      </c>
      <c r="J3307" s="25" t="s">
        <v>49</v>
      </c>
      <c r="K3307" s="26" t="s">
        <v>9628</v>
      </c>
      <c r="L3307" s="25">
        <v>12439.0</v>
      </c>
      <c r="M3307" s="49" t="s">
        <v>50</v>
      </c>
      <c r="N3307" s="42" t="s">
        <v>143</v>
      </c>
      <c r="O3307" s="50">
        <v>45672.61935288194</v>
      </c>
      <c r="P3307" s="26" t="s">
        <v>12968</v>
      </c>
      <c r="Q3307" s="13" t="s">
        <v>75</v>
      </c>
      <c r="R3307" s="13" t="s">
        <v>75</v>
      </c>
      <c r="S3307" s="13" t="s">
        <v>50</v>
      </c>
      <c r="T3307" s="52">
        <v>45670.62454072917</v>
      </c>
      <c r="U3307" s="52">
        <v>45670.63625163195</v>
      </c>
      <c r="V3307" s="52">
        <v>45672.561713055555</v>
      </c>
      <c r="W3307" s="11"/>
      <c r="X3307" s="11"/>
      <c r="Y3307" s="45"/>
      <c r="Z3307" s="45"/>
      <c r="AA3307" s="31" t="s">
        <v>127</v>
      </c>
      <c r="AB3307" s="45" t="s">
        <v>12969</v>
      </c>
      <c r="AC3307" s="45"/>
    </row>
    <row r="3308" ht="18.75" customHeight="1">
      <c r="A3308" s="142" t="s">
        <v>12970</v>
      </c>
      <c r="B3308" s="19" t="s">
        <v>12971</v>
      </c>
      <c r="C3308" s="20">
        <v>137.0</v>
      </c>
      <c r="D3308" s="48" t="s">
        <v>12972</v>
      </c>
      <c r="E3308" s="27" t="s">
        <v>85</v>
      </c>
      <c r="F3308" s="18" t="s">
        <v>48</v>
      </c>
      <c r="G3308" s="18" t="s">
        <v>35</v>
      </c>
      <c r="H3308" s="40" t="s">
        <v>35</v>
      </c>
      <c r="I3308" s="37" t="s">
        <v>36</v>
      </c>
      <c r="J3308" s="25" t="s">
        <v>49</v>
      </c>
      <c r="K3308" s="26" t="s">
        <v>12973</v>
      </c>
      <c r="L3308" s="25">
        <v>12440.0</v>
      </c>
      <c r="M3308" s="49" t="s">
        <v>50</v>
      </c>
      <c r="N3308" s="42" t="s">
        <v>143</v>
      </c>
      <c r="O3308" s="50">
        <v>45672.61928789352</v>
      </c>
      <c r="P3308" s="26" t="s">
        <v>12974</v>
      </c>
      <c r="Q3308" s="13" t="s">
        <v>75</v>
      </c>
      <c r="R3308" s="13" t="s">
        <v>75</v>
      </c>
      <c r="S3308" s="13" t="s">
        <v>50</v>
      </c>
      <c r="T3308" s="52">
        <v>45670.68377884259</v>
      </c>
      <c r="U3308" s="52">
        <v>45671.44494649305</v>
      </c>
      <c r="V3308" s="52">
        <v>45672.56193752315</v>
      </c>
      <c r="W3308" s="11"/>
      <c r="X3308" s="11"/>
      <c r="Y3308" s="45"/>
      <c r="Z3308" s="45"/>
      <c r="AA3308" s="31" t="s">
        <v>9317</v>
      </c>
      <c r="AB3308" s="45" t="s">
        <v>12975</v>
      </c>
      <c r="AC3308" s="45"/>
    </row>
    <row r="3309" ht="18.75" customHeight="1">
      <c r="A3309" s="142" t="s">
        <v>12976</v>
      </c>
      <c r="B3309" s="19" t="s">
        <v>4035</v>
      </c>
      <c r="C3309" s="20">
        <v>27.0</v>
      </c>
      <c r="D3309" s="39" t="s">
        <v>12977</v>
      </c>
      <c r="E3309" s="27" t="s">
        <v>72</v>
      </c>
      <c r="F3309" s="18" t="s">
        <v>48</v>
      </c>
      <c r="G3309" s="18" t="s">
        <v>35</v>
      </c>
      <c r="H3309" s="40" t="s">
        <v>35</v>
      </c>
      <c r="I3309" s="37" t="s">
        <v>36</v>
      </c>
      <c r="J3309" s="25" t="s">
        <v>65</v>
      </c>
      <c r="K3309" s="26" t="s">
        <v>38</v>
      </c>
      <c r="L3309" s="25">
        <v>12444.0</v>
      </c>
      <c r="M3309" s="49" t="s">
        <v>50</v>
      </c>
      <c r="N3309" s="42" t="s">
        <v>149</v>
      </c>
      <c r="O3309" s="50">
        <v>45672.64790116898</v>
      </c>
      <c r="P3309" s="26" t="s">
        <v>12978</v>
      </c>
      <c r="Q3309" s="13" t="s">
        <v>75</v>
      </c>
      <c r="R3309" s="13" t="s">
        <v>75</v>
      </c>
      <c r="S3309" s="13" t="s">
        <v>50</v>
      </c>
      <c r="T3309" s="52">
        <v>45670.70408297454</v>
      </c>
      <c r="U3309" s="52">
        <v>45670.72347923611</v>
      </c>
      <c r="V3309" s="52">
        <v>45672.56259939815</v>
      </c>
      <c r="W3309" s="11"/>
      <c r="X3309" s="11"/>
      <c r="Y3309" s="45"/>
      <c r="Z3309" s="45"/>
      <c r="AA3309" s="31" t="s">
        <v>94</v>
      </c>
      <c r="AB3309" s="45" t="s">
        <v>12979</v>
      </c>
      <c r="AC3309" s="45"/>
    </row>
    <row r="3310" ht="18.75" customHeight="1">
      <c r="A3310" s="142" t="s">
        <v>12980</v>
      </c>
      <c r="B3310" s="19" t="s">
        <v>5586</v>
      </c>
      <c r="C3310" s="20">
        <v>90.0</v>
      </c>
      <c r="D3310" s="48" t="s">
        <v>12981</v>
      </c>
      <c r="E3310" s="27" t="s">
        <v>91</v>
      </c>
      <c r="F3310" s="18" t="s">
        <v>48</v>
      </c>
      <c r="G3310" s="18" t="s">
        <v>35</v>
      </c>
      <c r="H3310" s="40" t="s">
        <v>35</v>
      </c>
      <c r="I3310" s="37" t="s">
        <v>36</v>
      </c>
      <c r="J3310" s="25" t="s">
        <v>49</v>
      </c>
      <c r="K3310" s="26" t="s">
        <v>12982</v>
      </c>
      <c r="L3310" s="25">
        <v>12441.0</v>
      </c>
      <c r="M3310" s="49" t="s">
        <v>50</v>
      </c>
      <c r="N3310" s="42" t="s">
        <v>143</v>
      </c>
      <c r="O3310" s="50">
        <v>45672.61921310185</v>
      </c>
      <c r="P3310" s="26" t="s">
        <v>12983</v>
      </c>
      <c r="Q3310" s="13" t="s">
        <v>75</v>
      </c>
      <c r="R3310" s="13" t="s">
        <v>75</v>
      </c>
      <c r="S3310" s="13" t="s">
        <v>50</v>
      </c>
      <c r="T3310" s="52">
        <v>45670.70666152777</v>
      </c>
      <c r="U3310" s="52">
        <v>45671.47751873842</v>
      </c>
      <c r="V3310" s="52">
        <v>45672.561096307865</v>
      </c>
      <c r="W3310" s="11"/>
      <c r="X3310" s="11"/>
      <c r="Y3310" s="45"/>
      <c r="Z3310" s="45"/>
      <c r="AA3310" s="31" t="s">
        <v>108</v>
      </c>
      <c r="AB3310" s="45" t="s">
        <v>12984</v>
      </c>
      <c r="AC3310" s="45"/>
    </row>
    <row r="3311" ht="18.75" customHeight="1">
      <c r="A3311" s="142" t="s">
        <v>12985</v>
      </c>
      <c r="B3311" s="19" t="s">
        <v>7608</v>
      </c>
      <c r="C3311" s="20">
        <v>1.0</v>
      </c>
      <c r="D3311" s="48" t="s">
        <v>12986</v>
      </c>
      <c r="E3311" s="27" t="s">
        <v>3395</v>
      </c>
      <c r="F3311" s="18" t="s">
        <v>48</v>
      </c>
      <c r="G3311" s="18" t="s">
        <v>35</v>
      </c>
      <c r="H3311" s="40" t="s">
        <v>35</v>
      </c>
      <c r="I3311" s="37" t="s">
        <v>36</v>
      </c>
      <c r="J3311" s="25" t="s">
        <v>49</v>
      </c>
      <c r="K3311" s="26" t="s">
        <v>518</v>
      </c>
      <c r="L3311" s="25">
        <v>12538.0</v>
      </c>
      <c r="M3311" s="49" t="s">
        <v>50</v>
      </c>
      <c r="N3311" s="42" t="s">
        <v>143</v>
      </c>
      <c r="O3311" s="50">
        <v>45688.5892509838</v>
      </c>
      <c r="P3311" s="26" t="s">
        <v>12987</v>
      </c>
      <c r="Q3311" s="13" t="s">
        <v>75</v>
      </c>
      <c r="R3311" s="13" t="s">
        <v>75</v>
      </c>
      <c r="S3311" s="13" t="s">
        <v>50</v>
      </c>
      <c r="T3311" s="52">
        <v>45672.39218041667</v>
      </c>
      <c r="U3311" s="52">
        <v>45687.67778118055</v>
      </c>
      <c r="V3311" s="52">
        <v>45688.3777478125</v>
      </c>
      <c r="W3311" s="11"/>
      <c r="X3311" s="11"/>
      <c r="Y3311" s="45"/>
      <c r="Z3311" s="45"/>
      <c r="AA3311" s="31" t="s">
        <v>108</v>
      </c>
      <c r="AB3311" s="45" t="s">
        <v>12988</v>
      </c>
      <c r="AC3311" s="45"/>
    </row>
    <row r="3312" ht="18.75" customHeight="1">
      <c r="A3312" s="18" t="s">
        <v>12989</v>
      </c>
      <c r="B3312" s="19" t="s">
        <v>8299</v>
      </c>
      <c r="C3312" s="20">
        <v>90.0</v>
      </c>
      <c r="D3312" s="48" t="s">
        <v>12990</v>
      </c>
      <c r="E3312" s="27" t="s">
        <v>91</v>
      </c>
      <c r="F3312" s="18" t="s">
        <v>48</v>
      </c>
      <c r="G3312" s="18" t="s">
        <v>35</v>
      </c>
      <c r="H3312" s="40" t="s">
        <v>35</v>
      </c>
      <c r="I3312" s="37" t="s">
        <v>36</v>
      </c>
      <c r="J3312" s="25" t="s">
        <v>65</v>
      </c>
      <c r="K3312" s="26" t="s">
        <v>38</v>
      </c>
      <c r="L3312" s="25">
        <v>12443.0</v>
      </c>
      <c r="M3312" s="49" t="s">
        <v>50</v>
      </c>
      <c r="N3312" s="42" t="s">
        <v>149</v>
      </c>
      <c r="O3312" s="50">
        <v>45672.647578993056</v>
      </c>
      <c r="P3312" s="26" t="s">
        <v>12991</v>
      </c>
      <c r="Q3312" s="13" t="s">
        <v>75</v>
      </c>
      <c r="R3312" s="13" t="s">
        <v>75</v>
      </c>
      <c r="S3312" s="13" t="s">
        <v>50</v>
      </c>
      <c r="T3312" s="52">
        <v>45672.40965444445</v>
      </c>
      <c r="U3312" s="52">
        <v>45672.46270396991</v>
      </c>
      <c r="V3312" s="52">
        <v>45672.561266261575</v>
      </c>
      <c r="W3312" s="11"/>
      <c r="X3312" s="11"/>
      <c r="Y3312" s="45"/>
      <c r="Z3312" s="45"/>
      <c r="AA3312" s="31" t="s">
        <v>94</v>
      </c>
      <c r="AB3312" s="45" t="s">
        <v>12992</v>
      </c>
      <c r="AC3312" s="45"/>
    </row>
    <row r="3313" ht="18.75" customHeight="1">
      <c r="A3313" s="18" t="s">
        <v>12993</v>
      </c>
      <c r="B3313" s="19" t="s">
        <v>8299</v>
      </c>
      <c r="C3313" s="20">
        <v>0.0</v>
      </c>
      <c r="D3313" s="48" t="s">
        <v>12994</v>
      </c>
      <c r="E3313" s="27" t="s">
        <v>3441</v>
      </c>
      <c r="F3313" s="18" t="s">
        <v>48</v>
      </c>
      <c r="G3313" s="18" t="s">
        <v>35</v>
      </c>
      <c r="H3313" s="40" t="s">
        <v>35</v>
      </c>
      <c r="I3313" s="37" t="s">
        <v>36</v>
      </c>
      <c r="J3313" s="25" t="s">
        <v>65</v>
      </c>
      <c r="K3313" s="26" t="s">
        <v>38</v>
      </c>
      <c r="L3313" s="25">
        <v>12443.0</v>
      </c>
      <c r="M3313" s="49" t="s">
        <v>50</v>
      </c>
      <c r="N3313" s="42" t="s">
        <v>149</v>
      </c>
      <c r="O3313" s="50">
        <v>45672.64765733796</v>
      </c>
      <c r="P3313" s="26" t="s">
        <v>12991</v>
      </c>
      <c r="Q3313" s="13" t="s">
        <v>75</v>
      </c>
      <c r="R3313" s="13" t="s">
        <v>75</v>
      </c>
      <c r="S3313" s="13" t="s">
        <v>50</v>
      </c>
      <c r="T3313" s="52">
        <v>45672.40993959491</v>
      </c>
      <c r="U3313" s="52">
        <v>45672.46265443287</v>
      </c>
      <c r="V3313" s="52">
        <v>45672.561516747686</v>
      </c>
      <c r="W3313" s="11"/>
      <c r="X3313" s="11"/>
      <c r="Y3313" s="45"/>
      <c r="Z3313" s="45"/>
      <c r="AA3313" s="31" t="s">
        <v>94</v>
      </c>
      <c r="AB3313" s="45" t="s">
        <v>12995</v>
      </c>
      <c r="AC3313" s="45"/>
    </row>
    <row r="3314" ht="18.75" customHeight="1">
      <c r="A3314" s="142" t="s">
        <v>12996</v>
      </c>
      <c r="B3314" s="19" t="s">
        <v>5531</v>
      </c>
      <c r="C3314" s="20">
        <v>0.0</v>
      </c>
      <c r="D3314" s="48" t="s">
        <v>12997</v>
      </c>
      <c r="E3314" s="27" t="s">
        <v>165</v>
      </c>
      <c r="F3314" s="18" t="s">
        <v>33</v>
      </c>
      <c r="G3314" s="18" t="s">
        <v>35</v>
      </c>
      <c r="H3314" s="40" t="s">
        <v>35</v>
      </c>
      <c r="I3314" s="37" t="s">
        <v>36</v>
      </c>
      <c r="J3314" s="25" t="s">
        <v>49</v>
      </c>
      <c r="K3314" s="26" t="s">
        <v>447</v>
      </c>
      <c r="L3314" s="25">
        <v>12471.0</v>
      </c>
      <c r="M3314" s="49" t="s">
        <v>50</v>
      </c>
      <c r="N3314" s="42" t="s">
        <v>5936</v>
      </c>
      <c r="O3314" s="50">
        <v>45679.631209479165</v>
      </c>
      <c r="P3314" s="26" t="s">
        <v>12998</v>
      </c>
      <c r="Q3314" s="13" t="s">
        <v>75</v>
      </c>
      <c r="R3314" s="13" t="s">
        <v>75</v>
      </c>
      <c r="S3314" s="13" t="s">
        <v>101</v>
      </c>
      <c r="T3314" s="52">
        <v>45672.49116366898</v>
      </c>
      <c r="U3314" s="52">
        <v>45672.49124337963</v>
      </c>
      <c r="V3314" s="52">
        <v>45677.64142001157</v>
      </c>
      <c r="W3314" s="11"/>
      <c r="X3314" s="11"/>
      <c r="Y3314" s="45"/>
      <c r="Z3314" s="45"/>
      <c r="AA3314" s="31" t="s">
        <v>108</v>
      </c>
      <c r="AB3314" s="45" t="s">
        <v>12999</v>
      </c>
      <c r="AC3314" s="45"/>
    </row>
    <row r="3315" ht="18.75" customHeight="1">
      <c r="A3315" s="142" t="s">
        <v>13000</v>
      </c>
      <c r="B3315" s="19" t="s">
        <v>11116</v>
      </c>
      <c r="C3315" s="20">
        <v>11.0</v>
      </c>
      <c r="D3315" s="48" t="s">
        <v>13001</v>
      </c>
      <c r="E3315" s="27" t="s">
        <v>112</v>
      </c>
      <c r="F3315" s="18" t="s">
        <v>48</v>
      </c>
      <c r="G3315" s="18" t="s">
        <v>35</v>
      </c>
      <c r="H3315" s="40" t="s">
        <v>35</v>
      </c>
      <c r="I3315" s="37" t="s">
        <v>36</v>
      </c>
      <c r="J3315" s="25" t="s">
        <v>49</v>
      </c>
      <c r="K3315" s="26" t="s">
        <v>447</v>
      </c>
      <c r="L3315" s="25">
        <v>12442.0</v>
      </c>
      <c r="M3315" s="49" t="s">
        <v>50</v>
      </c>
      <c r="N3315" s="42" t="s">
        <v>143</v>
      </c>
      <c r="O3315" s="50">
        <v>45672.61912209491</v>
      </c>
      <c r="P3315" s="26" t="s">
        <v>13002</v>
      </c>
      <c r="Q3315" s="13" t="s">
        <v>75</v>
      </c>
      <c r="R3315" s="13" t="s">
        <v>75</v>
      </c>
      <c r="S3315" s="13" t="s">
        <v>50</v>
      </c>
      <c r="T3315" s="52">
        <v>45672.4213765625</v>
      </c>
      <c r="U3315" s="52">
        <v>45672.45175979167</v>
      </c>
      <c r="V3315" s="52">
        <v>45672.5621745949</v>
      </c>
      <c r="W3315" s="11"/>
      <c r="X3315" s="11"/>
      <c r="Y3315" s="45"/>
      <c r="Z3315" s="45"/>
      <c r="AA3315" s="31" t="s">
        <v>108</v>
      </c>
      <c r="AB3315" s="45" t="s">
        <v>13003</v>
      </c>
      <c r="AC3315" s="45"/>
    </row>
    <row r="3316" ht="18.75" customHeight="1">
      <c r="A3316" s="142" t="s">
        <v>13004</v>
      </c>
      <c r="B3316" s="19" t="s">
        <v>13005</v>
      </c>
      <c r="C3316" s="20">
        <v>11.0</v>
      </c>
      <c r="D3316" s="48" t="s">
        <v>13006</v>
      </c>
      <c r="E3316" s="27" t="s">
        <v>112</v>
      </c>
      <c r="F3316" s="18" t="s">
        <v>48</v>
      </c>
      <c r="G3316" s="18" t="s">
        <v>35</v>
      </c>
      <c r="H3316" s="40" t="s">
        <v>35</v>
      </c>
      <c r="I3316" s="37" t="s">
        <v>36</v>
      </c>
      <c r="J3316" s="25" t="s">
        <v>49</v>
      </c>
      <c r="K3316" s="26" t="s">
        <v>13007</v>
      </c>
      <c r="L3316" s="25">
        <v>12473.0</v>
      </c>
      <c r="M3316" s="49" t="s">
        <v>50</v>
      </c>
      <c r="N3316" s="42" t="s">
        <v>5936</v>
      </c>
      <c r="O3316" s="50">
        <v>45679.631290694444</v>
      </c>
      <c r="P3316" s="26" t="s">
        <v>13008</v>
      </c>
      <c r="Q3316" s="13" t="s">
        <v>75</v>
      </c>
      <c r="R3316" s="13" t="s">
        <v>75</v>
      </c>
      <c r="S3316" s="13" t="s">
        <v>50</v>
      </c>
      <c r="T3316" s="52">
        <v>45678.64123728009</v>
      </c>
      <c r="U3316" s="52">
        <v>45678.641686840274</v>
      </c>
      <c r="V3316" s="52">
        <v>45679.44058622685</v>
      </c>
      <c r="W3316" s="11"/>
      <c r="X3316" s="11"/>
      <c r="Y3316" s="45"/>
      <c r="Z3316" s="45"/>
      <c r="AA3316" s="31" t="s">
        <v>108</v>
      </c>
      <c r="AB3316" s="45" t="s">
        <v>13009</v>
      </c>
      <c r="AC3316" s="45"/>
    </row>
    <row r="3317" ht="18.75" customHeight="1">
      <c r="A3317" s="142" t="s">
        <v>13010</v>
      </c>
      <c r="B3317" s="19" t="s">
        <v>2753</v>
      </c>
      <c r="C3317" s="20">
        <v>0.0</v>
      </c>
      <c r="D3317" s="48" t="s">
        <v>1178</v>
      </c>
      <c r="E3317" s="27" t="s">
        <v>79</v>
      </c>
      <c r="F3317" s="18" t="s">
        <v>33</v>
      </c>
      <c r="G3317" s="18" t="s">
        <v>35</v>
      </c>
      <c r="H3317" s="40" t="s">
        <v>35</v>
      </c>
      <c r="I3317" s="37" t="s">
        <v>36</v>
      </c>
      <c r="J3317" s="25" t="s">
        <v>65</v>
      </c>
      <c r="K3317" s="26" t="s">
        <v>38</v>
      </c>
      <c r="L3317" s="25">
        <v>12495.0</v>
      </c>
      <c r="M3317" s="49" t="s">
        <v>50</v>
      </c>
      <c r="N3317" s="42" t="s">
        <v>149</v>
      </c>
      <c r="O3317" s="50">
        <v>45684.647187650466</v>
      </c>
      <c r="P3317" s="26" t="s">
        <v>13011</v>
      </c>
      <c r="Q3317" s="13" t="s">
        <v>75</v>
      </c>
      <c r="R3317" s="13" t="s">
        <v>75</v>
      </c>
      <c r="S3317" s="13" t="s">
        <v>101</v>
      </c>
      <c r="T3317" s="52">
        <v>45673.54121922454</v>
      </c>
      <c r="U3317" s="52">
        <v>45673.682756863425</v>
      </c>
      <c r="V3317" s="52">
        <v>45680.6486725</v>
      </c>
      <c r="W3317" s="11"/>
      <c r="X3317" s="11"/>
      <c r="Y3317" s="45"/>
      <c r="Z3317" s="45"/>
      <c r="AA3317" s="31" t="s">
        <v>94</v>
      </c>
      <c r="AB3317" s="45" t="s">
        <v>13012</v>
      </c>
      <c r="AC3317" s="45"/>
    </row>
    <row r="3318" ht="18.75" customHeight="1">
      <c r="A3318" s="142" t="s">
        <v>13013</v>
      </c>
      <c r="B3318" s="19" t="s">
        <v>11288</v>
      </c>
      <c r="C3318" s="20">
        <v>90.0</v>
      </c>
      <c r="D3318" s="48" t="s">
        <v>13014</v>
      </c>
      <c r="E3318" s="27" t="s">
        <v>91</v>
      </c>
      <c r="F3318" s="18" t="s">
        <v>48</v>
      </c>
      <c r="G3318" s="18" t="s">
        <v>35</v>
      </c>
      <c r="H3318" s="40" t="s">
        <v>35</v>
      </c>
      <c r="I3318" s="37" t="s">
        <v>36</v>
      </c>
      <c r="J3318" s="25" t="s">
        <v>49</v>
      </c>
      <c r="K3318" s="26" t="s">
        <v>38</v>
      </c>
      <c r="L3318" s="25">
        <v>12451.0</v>
      </c>
      <c r="M3318" s="49" t="s">
        <v>50</v>
      </c>
      <c r="N3318" s="42" t="s">
        <v>4183</v>
      </c>
      <c r="O3318" s="50">
        <v>45677.62986111111</v>
      </c>
      <c r="P3318" s="26" t="s">
        <v>13015</v>
      </c>
      <c r="Q3318" s="13" t="s">
        <v>75</v>
      </c>
      <c r="R3318" s="13" t="s">
        <v>75</v>
      </c>
      <c r="S3318" s="13" t="s">
        <v>50</v>
      </c>
      <c r="T3318" s="52">
        <v>45673.52594280093</v>
      </c>
      <c r="U3318" s="52">
        <v>45673.52594649306</v>
      </c>
      <c r="V3318" s="52">
        <v>45677.350783738424</v>
      </c>
      <c r="W3318" s="11"/>
      <c r="X3318" s="11"/>
      <c r="Y3318" s="45"/>
      <c r="Z3318" s="45"/>
      <c r="AA3318" s="31" t="s">
        <v>102</v>
      </c>
      <c r="AB3318" s="45" t="s">
        <v>13016</v>
      </c>
      <c r="AC3318" s="45"/>
    </row>
    <row r="3319" ht="18.75" customHeight="1">
      <c r="A3319" s="142" t="s">
        <v>13017</v>
      </c>
      <c r="B3319" s="19" t="s">
        <v>1816</v>
      </c>
      <c r="C3319" s="20">
        <v>0.0</v>
      </c>
      <c r="D3319" s="48" t="s">
        <v>1182</v>
      </c>
      <c r="E3319" s="22" t="s">
        <v>1119</v>
      </c>
      <c r="F3319" s="18" t="s">
        <v>33</v>
      </c>
      <c r="G3319" s="18" t="s">
        <v>35</v>
      </c>
      <c r="H3319" s="40" t="s">
        <v>35</v>
      </c>
      <c r="I3319" s="37" t="s">
        <v>36</v>
      </c>
      <c r="J3319" s="25" t="s">
        <v>49</v>
      </c>
      <c r="K3319" s="26" t="s">
        <v>238</v>
      </c>
      <c r="L3319" s="25">
        <v>12494.0</v>
      </c>
      <c r="M3319" s="49" t="s">
        <v>50</v>
      </c>
      <c r="N3319" s="42" t="s">
        <v>4183</v>
      </c>
      <c r="O3319" s="50">
        <v>45684.602647569445</v>
      </c>
      <c r="P3319" s="26" t="s">
        <v>13018</v>
      </c>
      <c r="Q3319" s="13" t="s">
        <v>75</v>
      </c>
      <c r="R3319" s="13" t="s">
        <v>75</v>
      </c>
      <c r="S3319" s="13" t="s">
        <v>101</v>
      </c>
      <c r="T3319" s="52">
        <v>45673.43431837963</v>
      </c>
      <c r="U3319" s="52">
        <v>45673.684684374995</v>
      </c>
      <c r="V3319" s="52">
        <v>45681.601926076386</v>
      </c>
      <c r="W3319" s="11"/>
      <c r="X3319" s="11"/>
      <c r="Y3319" s="45"/>
      <c r="Z3319" s="45"/>
      <c r="AA3319" s="31" t="s">
        <v>3808</v>
      </c>
      <c r="AB3319" s="45" t="s">
        <v>13019</v>
      </c>
      <c r="AC3319" s="45"/>
    </row>
    <row r="3320" ht="18.75" customHeight="1">
      <c r="A3320" s="18" t="s">
        <v>13020</v>
      </c>
      <c r="B3320" s="19" t="s">
        <v>13021</v>
      </c>
      <c r="C3320" s="20">
        <v>0.0</v>
      </c>
      <c r="D3320" s="48" t="s">
        <v>1246</v>
      </c>
      <c r="E3320" s="27" t="s">
        <v>135</v>
      </c>
      <c r="F3320" s="18" t="s">
        <v>48</v>
      </c>
      <c r="G3320" s="18" t="s">
        <v>35</v>
      </c>
      <c r="H3320" s="40" t="s">
        <v>35</v>
      </c>
      <c r="I3320" s="37" t="s">
        <v>36</v>
      </c>
      <c r="J3320" s="25" t="s">
        <v>65</v>
      </c>
      <c r="K3320" s="26" t="s">
        <v>38</v>
      </c>
      <c r="L3320" s="25">
        <v>12526.0</v>
      </c>
      <c r="M3320" s="49" t="s">
        <v>50</v>
      </c>
      <c r="N3320" s="42" t="s">
        <v>8469</v>
      </c>
      <c r="O3320" s="50">
        <v>45687.7463007176</v>
      </c>
      <c r="P3320" s="26" t="s">
        <v>13022</v>
      </c>
      <c r="Q3320" s="13" t="s">
        <v>75</v>
      </c>
      <c r="R3320" s="13" t="s">
        <v>75</v>
      </c>
      <c r="S3320" s="13"/>
      <c r="T3320" s="52">
        <v>45673.80736082176</v>
      </c>
      <c r="U3320" s="52">
        <v>45677.58630265047</v>
      </c>
      <c r="V3320" s="52"/>
      <c r="W3320" s="11"/>
      <c r="X3320" s="11"/>
      <c r="Y3320" s="45"/>
      <c r="Z3320" s="45"/>
      <c r="AA3320" s="31" t="s">
        <v>3059</v>
      </c>
      <c r="AB3320" s="45" t="s">
        <v>13023</v>
      </c>
      <c r="AC3320" s="45"/>
    </row>
    <row r="3321" ht="18.75" customHeight="1">
      <c r="A3321" s="18" t="s">
        <v>13024</v>
      </c>
      <c r="B3321" s="19" t="s">
        <v>13021</v>
      </c>
      <c r="C3321" s="20">
        <v>0.0</v>
      </c>
      <c r="D3321" s="48" t="s">
        <v>13025</v>
      </c>
      <c r="E3321" s="27" t="s">
        <v>135</v>
      </c>
      <c r="F3321" s="18" t="s">
        <v>48</v>
      </c>
      <c r="G3321" s="18" t="s">
        <v>35</v>
      </c>
      <c r="H3321" s="40" t="s">
        <v>35</v>
      </c>
      <c r="I3321" s="37" t="s">
        <v>36</v>
      </c>
      <c r="J3321" s="25" t="s">
        <v>65</v>
      </c>
      <c r="K3321" s="26" t="s">
        <v>38</v>
      </c>
      <c r="L3321" s="25">
        <v>12526.0</v>
      </c>
      <c r="M3321" s="49" t="s">
        <v>50</v>
      </c>
      <c r="N3321" s="42" t="s">
        <v>8469</v>
      </c>
      <c r="O3321" s="50">
        <v>45687.746399537034</v>
      </c>
      <c r="P3321" s="26" t="s">
        <v>13022</v>
      </c>
      <c r="Q3321" s="13" t="s">
        <v>75</v>
      </c>
      <c r="R3321" s="13" t="s">
        <v>75</v>
      </c>
      <c r="S3321" s="13"/>
      <c r="T3321" s="52">
        <v>45673.80747854167</v>
      </c>
      <c r="U3321" s="52">
        <v>45677.58633168982</v>
      </c>
      <c r="V3321" s="52"/>
      <c r="W3321" s="11"/>
      <c r="X3321" s="11"/>
      <c r="Y3321" s="45"/>
      <c r="Z3321" s="45"/>
      <c r="AA3321" s="31" t="s">
        <v>3059</v>
      </c>
      <c r="AB3321" s="45" t="s">
        <v>13026</v>
      </c>
      <c r="AC3321" s="45"/>
    </row>
    <row r="3322" ht="18.75" customHeight="1">
      <c r="A3322" s="142" t="s">
        <v>13027</v>
      </c>
      <c r="B3322" s="19" t="s">
        <v>7945</v>
      </c>
      <c r="C3322" s="20">
        <v>0.0</v>
      </c>
      <c r="D3322" s="48" t="s">
        <v>13028</v>
      </c>
      <c r="E3322" s="27" t="s">
        <v>3441</v>
      </c>
      <c r="F3322" s="18" t="s">
        <v>48</v>
      </c>
      <c r="G3322" s="18" t="s">
        <v>35</v>
      </c>
      <c r="H3322" s="40" t="s">
        <v>35</v>
      </c>
      <c r="I3322" s="37" t="s">
        <v>36</v>
      </c>
      <c r="J3322" s="25" t="s">
        <v>49</v>
      </c>
      <c r="K3322" s="26" t="s">
        <v>1098</v>
      </c>
      <c r="L3322" s="25">
        <v>12461.0</v>
      </c>
      <c r="M3322" s="49" t="s">
        <v>50</v>
      </c>
      <c r="N3322" s="42" t="s">
        <v>143</v>
      </c>
      <c r="O3322" s="50">
        <v>45678.59699184028</v>
      </c>
      <c r="P3322" s="26" t="s">
        <v>13029</v>
      </c>
      <c r="Q3322" s="13" t="s">
        <v>75</v>
      </c>
      <c r="R3322" s="13" t="s">
        <v>75</v>
      </c>
      <c r="S3322" s="13" t="s">
        <v>50</v>
      </c>
      <c r="T3322" s="52">
        <v>45677.59685908565</v>
      </c>
      <c r="U3322" s="52">
        <v>45677.59686099537</v>
      </c>
      <c r="V3322" s="52">
        <v>45678.46120935185</v>
      </c>
      <c r="W3322" s="11"/>
      <c r="X3322" s="11"/>
      <c r="Y3322" s="45"/>
      <c r="Z3322" s="45"/>
      <c r="AA3322" s="31" t="s">
        <v>108</v>
      </c>
      <c r="AB3322" s="45" t="s">
        <v>13030</v>
      </c>
      <c r="AC3322" s="45"/>
    </row>
    <row r="3323" ht="18.75" customHeight="1">
      <c r="A3323" s="142" t="s">
        <v>13031</v>
      </c>
      <c r="B3323" s="19" t="s">
        <v>11376</v>
      </c>
      <c r="C3323" s="20">
        <v>1.0</v>
      </c>
      <c r="D3323" s="48" t="s">
        <v>13032</v>
      </c>
      <c r="E3323" s="27" t="s">
        <v>3395</v>
      </c>
      <c r="F3323" s="18" t="s">
        <v>48</v>
      </c>
      <c r="G3323" s="18" t="s">
        <v>35</v>
      </c>
      <c r="H3323" s="40" t="s">
        <v>35</v>
      </c>
      <c r="I3323" s="37" t="s">
        <v>36</v>
      </c>
      <c r="J3323" s="25" t="s">
        <v>65</v>
      </c>
      <c r="K3323" s="26" t="s">
        <v>38</v>
      </c>
      <c r="L3323" s="25">
        <v>12452.0</v>
      </c>
      <c r="M3323" s="49" t="s">
        <v>50</v>
      </c>
      <c r="N3323" s="42" t="s">
        <v>5618</v>
      </c>
      <c r="O3323" s="50">
        <v>45678.459380162036</v>
      </c>
      <c r="P3323" s="26" t="s">
        <v>13033</v>
      </c>
      <c r="Q3323" s="13" t="s">
        <v>75</v>
      </c>
      <c r="R3323" s="13" t="s">
        <v>75</v>
      </c>
      <c r="S3323" s="13" t="s">
        <v>50</v>
      </c>
      <c r="T3323" s="52">
        <v>45673.686406504625</v>
      </c>
      <c r="U3323" s="52">
        <v>45674.490049050924</v>
      </c>
      <c r="V3323" s="52">
        <v>45677.351511099536</v>
      </c>
      <c r="W3323" s="11"/>
      <c r="X3323" s="11"/>
      <c r="Y3323" s="45"/>
      <c r="Z3323" s="45"/>
      <c r="AA3323" s="31" t="s">
        <v>3059</v>
      </c>
      <c r="AB3323" s="45" t="s">
        <v>13034</v>
      </c>
      <c r="AC3323" s="45"/>
    </row>
    <row r="3324" ht="18.75" customHeight="1">
      <c r="A3324" s="142" t="s">
        <v>13035</v>
      </c>
      <c r="B3324" s="19" t="s">
        <v>746</v>
      </c>
      <c r="C3324" s="20">
        <v>137.0</v>
      </c>
      <c r="D3324" s="48" t="s">
        <v>13036</v>
      </c>
      <c r="E3324" s="27" t="s">
        <v>85</v>
      </c>
      <c r="F3324" s="18" t="s">
        <v>48</v>
      </c>
      <c r="G3324" s="18" t="s">
        <v>35</v>
      </c>
      <c r="H3324" s="40" t="s">
        <v>35</v>
      </c>
      <c r="I3324" s="37" t="s">
        <v>36</v>
      </c>
      <c r="J3324" s="25" t="s">
        <v>65</v>
      </c>
      <c r="K3324" s="26" t="s">
        <v>38</v>
      </c>
      <c r="L3324" s="25">
        <v>12453.0</v>
      </c>
      <c r="M3324" s="49" t="s">
        <v>50</v>
      </c>
      <c r="N3324" s="42" t="s">
        <v>5618</v>
      </c>
      <c r="O3324" s="50">
        <v>45678.45923599537</v>
      </c>
      <c r="P3324" s="26" t="s">
        <v>13037</v>
      </c>
      <c r="Q3324" s="13" t="s">
        <v>75</v>
      </c>
      <c r="R3324" s="13" t="s">
        <v>75</v>
      </c>
      <c r="S3324" s="13" t="s">
        <v>50</v>
      </c>
      <c r="T3324" s="52">
        <v>45673.744475011576</v>
      </c>
      <c r="U3324" s="52">
        <v>45674.340512986106</v>
      </c>
      <c r="V3324" s="52">
        <v>45677.35185409722</v>
      </c>
      <c r="W3324" s="11"/>
      <c r="X3324" s="11"/>
      <c r="Y3324" s="45"/>
      <c r="Z3324" s="45"/>
      <c r="AA3324" s="31" t="s">
        <v>94</v>
      </c>
      <c r="AB3324" s="45" t="s">
        <v>13038</v>
      </c>
      <c r="AC3324" s="45"/>
    </row>
    <row r="3325" ht="18.75" customHeight="1">
      <c r="A3325" s="18" t="s">
        <v>13039</v>
      </c>
      <c r="B3325" s="19" t="s">
        <v>4711</v>
      </c>
      <c r="C3325" s="20">
        <v>11.0</v>
      </c>
      <c r="D3325" s="48" t="s">
        <v>13040</v>
      </c>
      <c r="E3325" s="27" t="s">
        <v>112</v>
      </c>
      <c r="F3325" s="18" t="s">
        <v>48</v>
      </c>
      <c r="G3325" s="18" t="s">
        <v>35</v>
      </c>
      <c r="H3325" s="40" t="s">
        <v>35</v>
      </c>
      <c r="I3325" s="37" t="s">
        <v>36</v>
      </c>
      <c r="J3325" s="25" t="s">
        <v>65</v>
      </c>
      <c r="K3325" s="26" t="s">
        <v>38</v>
      </c>
      <c r="L3325" s="25">
        <v>12454.0</v>
      </c>
      <c r="M3325" s="49" t="s">
        <v>50</v>
      </c>
      <c r="N3325" s="42" t="s">
        <v>5618</v>
      </c>
      <c r="O3325" s="50">
        <v>45678.45882702546</v>
      </c>
      <c r="P3325" s="26" t="s">
        <v>13041</v>
      </c>
      <c r="Q3325" s="13" t="s">
        <v>75</v>
      </c>
      <c r="R3325" s="13" t="s">
        <v>75</v>
      </c>
      <c r="S3325" s="13" t="s">
        <v>50</v>
      </c>
      <c r="T3325" s="52">
        <v>45673.752372222225</v>
      </c>
      <c r="U3325" s="52">
        <v>45674.33992200231</v>
      </c>
      <c r="V3325" s="52">
        <v>45677.35205395833</v>
      </c>
      <c r="W3325" s="11"/>
      <c r="X3325" s="11"/>
      <c r="Y3325" s="45"/>
      <c r="Z3325" s="45"/>
      <c r="AA3325" s="31" t="s">
        <v>94</v>
      </c>
      <c r="AB3325" s="45" t="s">
        <v>13042</v>
      </c>
      <c r="AC3325" s="45"/>
    </row>
    <row r="3326" ht="18.75" customHeight="1">
      <c r="A3326" s="18" t="s">
        <v>13043</v>
      </c>
      <c r="B3326" s="19" t="s">
        <v>4711</v>
      </c>
      <c r="C3326" s="20">
        <v>90.0</v>
      </c>
      <c r="D3326" s="48" t="s">
        <v>13044</v>
      </c>
      <c r="E3326" s="27" t="s">
        <v>91</v>
      </c>
      <c r="F3326" s="18" t="s">
        <v>48</v>
      </c>
      <c r="G3326" s="18" t="s">
        <v>35</v>
      </c>
      <c r="H3326" s="40" t="s">
        <v>35</v>
      </c>
      <c r="I3326" s="37" t="s">
        <v>36</v>
      </c>
      <c r="J3326" s="25" t="s">
        <v>65</v>
      </c>
      <c r="K3326" s="26" t="s">
        <v>38</v>
      </c>
      <c r="L3326" s="25">
        <v>12454.0</v>
      </c>
      <c r="M3326" s="49" t="s">
        <v>50</v>
      </c>
      <c r="N3326" s="42" t="s">
        <v>5618</v>
      </c>
      <c r="O3326" s="50">
        <v>45678.4589778588</v>
      </c>
      <c r="P3326" s="26" t="s">
        <v>13041</v>
      </c>
      <c r="Q3326" s="13" t="s">
        <v>75</v>
      </c>
      <c r="R3326" s="13" t="s">
        <v>75</v>
      </c>
      <c r="S3326" s="13" t="s">
        <v>50</v>
      </c>
      <c r="T3326" s="52">
        <v>45673.75270667824</v>
      </c>
      <c r="U3326" s="52">
        <v>45674.33992997685</v>
      </c>
      <c r="V3326" s="52">
        <v>45677.35099555556</v>
      </c>
      <c r="W3326" s="11"/>
      <c r="X3326" s="11"/>
      <c r="Y3326" s="45"/>
      <c r="Z3326" s="45"/>
      <c r="AA3326" s="31" t="s">
        <v>94</v>
      </c>
      <c r="AB3326" s="45" t="s">
        <v>13045</v>
      </c>
      <c r="AC3326" s="45"/>
    </row>
    <row r="3327" ht="18.75" customHeight="1">
      <c r="A3327" s="142" t="s">
        <v>13046</v>
      </c>
      <c r="B3327" s="19" t="s">
        <v>4035</v>
      </c>
      <c r="C3327" s="20">
        <v>1.0</v>
      </c>
      <c r="D3327" s="48" t="s">
        <v>13047</v>
      </c>
      <c r="E3327" s="27" t="s">
        <v>3395</v>
      </c>
      <c r="F3327" s="18" t="s">
        <v>48</v>
      </c>
      <c r="G3327" s="18" t="s">
        <v>35</v>
      </c>
      <c r="H3327" s="40" t="s">
        <v>35</v>
      </c>
      <c r="I3327" s="37" t="s">
        <v>36</v>
      </c>
      <c r="J3327" s="25" t="s">
        <v>65</v>
      </c>
      <c r="K3327" s="26" t="s">
        <v>38</v>
      </c>
      <c r="L3327" s="25">
        <v>12455.0</v>
      </c>
      <c r="M3327" s="49" t="s">
        <v>50</v>
      </c>
      <c r="N3327" s="42" t="s">
        <v>5618</v>
      </c>
      <c r="O3327" s="50">
        <v>45678.459114247686</v>
      </c>
      <c r="P3327" s="26" t="s">
        <v>13048</v>
      </c>
      <c r="Q3327" s="13" t="s">
        <v>75</v>
      </c>
      <c r="R3327" s="13" t="s">
        <v>75</v>
      </c>
      <c r="S3327" s="13" t="s">
        <v>50</v>
      </c>
      <c r="T3327" s="52">
        <v>45673.75531126157</v>
      </c>
      <c r="U3327" s="52">
        <v>45674.34599967593</v>
      </c>
      <c r="V3327" s="52">
        <v>45677.35150200232</v>
      </c>
      <c r="W3327" s="11"/>
      <c r="X3327" s="11"/>
      <c r="Y3327" s="45"/>
      <c r="Z3327" s="45"/>
      <c r="AA3327" s="31" t="s">
        <v>94</v>
      </c>
      <c r="AB3327" s="45" t="s">
        <v>13049</v>
      </c>
      <c r="AC3327" s="45"/>
    </row>
    <row r="3328" ht="18.75" customHeight="1">
      <c r="A3328" s="142" t="s">
        <v>13050</v>
      </c>
      <c r="B3328" s="19" t="s">
        <v>4352</v>
      </c>
      <c r="C3328" s="20">
        <v>90.0</v>
      </c>
      <c r="D3328" s="48" t="s">
        <v>13051</v>
      </c>
      <c r="E3328" s="27" t="s">
        <v>91</v>
      </c>
      <c r="F3328" s="18" t="s">
        <v>48</v>
      </c>
      <c r="G3328" s="18" t="s">
        <v>35</v>
      </c>
      <c r="H3328" s="40" t="s">
        <v>35</v>
      </c>
      <c r="I3328" s="37" t="s">
        <v>36</v>
      </c>
      <c r="J3328" s="25" t="s">
        <v>49</v>
      </c>
      <c r="K3328" s="26" t="s">
        <v>38</v>
      </c>
      <c r="L3328" s="25">
        <v>12462.0</v>
      </c>
      <c r="M3328" s="49" t="s">
        <v>50</v>
      </c>
      <c r="N3328" s="42" t="s">
        <v>143</v>
      </c>
      <c r="O3328" s="50">
        <v>45678.597070104166</v>
      </c>
      <c r="P3328" s="26" t="s">
        <v>13052</v>
      </c>
      <c r="Q3328" s="13" t="s">
        <v>75</v>
      </c>
      <c r="R3328" s="13" t="s">
        <v>75</v>
      </c>
      <c r="S3328" s="13" t="s">
        <v>50</v>
      </c>
      <c r="T3328" s="52">
        <v>45674.65866127315</v>
      </c>
      <c r="U3328" s="52">
        <v>45677.59949346065</v>
      </c>
      <c r="V3328" s="52">
        <v>45678.461220717596</v>
      </c>
      <c r="W3328" s="11"/>
      <c r="X3328" s="11"/>
      <c r="Y3328" s="45"/>
      <c r="Z3328" s="45"/>
      <c r="AA3328" s="31" t="s">
        <v>127</v>
      </c>
      <c r="AB3328" s="45" t="s">
        <v>13053</v>
      </c>
      <c r="AC3328" s="45"/>
    </row>
    <row r="3329" ht="18.75" customHeight="1">
      <c r="A3329" s="142" t="s">
        <v>13054</v>
      </c>
      <c r="B3329" s="19" t="s">
        <v>5650</v>
      </c>
      <c r="C3329" s="20">
        <v>90.0</v>
      </c>
      <c r="D3329" s="48" t="s">
        <v>13055</v>
      </c>
      <c r="E3329" s="27" t="s">
        <v>91</v>
      </c>
      <c r="F3329" s="18" t="s">
        <v>48</v>
      </c>
      <c r="G3329" s="18" t="s">
        <v>35</v>
      </c>
      <c r="H3329" s="40" t="s">
        <v>35</v>
      </c>
      <c r="I3329" s="37" t="s">
        <v>36</v>
      </c>
      <c r="J3329" s="25" t="s">
        <v>49</v>
      </c>
      <c r="K3329" s="26" t="s">
        <v>38</v>
      </c>
      <c r="L3329" s="25">
        <v>12456.0</v>
      </c>
      <c r="M3329" s="49" t="s">
        <v>50</v>
      </c>
      <c r="N3329" s="42" t="s">
        <v>5936</v>
      </c>
      <c r="O3329" s="50">
        <v>45677.629166666666</v>
      </c>
      <c r="P3329" s="26" t="s">
        <v>13056</v>
      </c>
      <c r="Q3329" s="13" t="s">
        <v>75</v>
      </c>
      <c r="R3329" s="13" t="s">
        <v>75</v>
      </c>
      <c r="S3329" s="13" t="s">
        <v>50</v>
      </c>
      <c r="T3329" s="52">
        <v>45674.44779278935</v>
      </c>
      <c r="U3329" s="52">
        <v>45674.559946469904</v>
      </c>
      <c r="V3329" s="52">
        <v>45677.35120105324</v>
      </c>
      <c r="W3329" s="11"/>
      <c r="X3329" s="11"/>
      <c r="Y3329" s="45"/>
      <c r="Z3329" s="45"/>
      <c r="AA3329" s="31" t="s">
        <v>102</v>
      </c>
      <c r="AB3329" s="45" t="s">
        <v>13057</v>
      </c>
      <c r="AC3329" s="45"/>
    </row>
    <row r="3330" ht="18.75" customHeight="1">
      <c r="A3330" s="142" t="s">
        <v>13058</v>
      </c>
      <c r="B3330" s="19" t="s">
        <v>13059</v>
      </c>
      <c r="C3330" s="20">
        <v>90.0</v>
      </c>
      <c r="D3330" s="48" t="s">
        <v>13060</v>
      </c>
      <c r="E3330" s="27" t="s">
        <v>91</v>
      </c>
      <c r="F3330" s="18" t="s">
        <v>48</v>
      </c>
      <c r="G3330" s="18" t="s">
        <v>35</v>
      </c>
      <c r="H3330" s="40" t="s">
        <v>35</v>
      </c>
      <c r="I3330" s="37" t="s">
        <v>36</v>
      </c>
      <c r="J3330" s="25" t="s">
        <v>65</v>
      </c>
      <c r="K3330" s="26" t="s">
        <v>38</v>
      </c>
      <c r="L3330" s="25">
        <v>12463.0</v>
      </c>
      <c r="M3330" s="49" t="s">
        <v>50</v>
      </c>
      <c r="N3330" s="42" t="s">
        <v>80</v>
      </c>
      <c r="O3330" s="50">
        <v>45678.731439814816</v>
      </c>
      <c r="P3330" s="26" t="s">
        <v>13061</v>
      </c>
      <c r="Q3330" s="13" t="s">
        <v>75</v>
      </c>
      <c r="R3330" s="13" t="s">
        <v>75</v>
      </c>
      <c r="S3330" s="13" t="s">
        <v>50</v>
      </c>
      <c r="T3330" s="52">
        <v>45674.74570712963</v>
      </c>
      <c r="U3330" s="52">
        <v>45677.5850449537</v>
      </c>
      <c r="V3330" s="52">
        <v>45678.46119905093</v>
      </c>
      <c r="W3330" s="11"/>
      <c r="X3330" s="11"/>
      <c r="Y3330" s="45"/>
      <c r="Z3330" s="45"/>
      <c r="AA3330" s="31" t="s">
        <v>3059</v>
      </c>
      <c r="AB3330" s="45" t="s">
        <v>13062</v>
      </c>
      <c r="AC3330" s="45"/>
    </row>
    <row r="3331" ht="18.75" customHeight="1">
      <c r="A3331" s="18" t="s">
        <v>13063</v>
      </c>
      <c r="B3331" s="19" t="s">
        <v>8675</v>
      </c>
      <c r="C3331" s="20">
        <v>90.0</v>
      </c>
      <c r="D3331" s="48" t="s">
        <v>13064</v>
      </c>
      <c r="E3331" s="27" t="s">
        <v>91</v>
      </c>
      <c r="F3331" s="18" t="s">
        <v>48</v>
      </c>
      <c r="G3331" s="18" t="s">
        <v>35</v>
      </c>
      <c r="H3331" s="40" t="s">
        <v>35</v>
      </c>
      <c r="I3331" s="37" t="s">
        <v>36</v>
      </c>
      <c r="J3331" s="25" t="s">
        <v>49</v>
      </c>
      <c r="K3331" s="26" t="s">
        <v>10380</v>
      </c>
      <c r="L3331" s="25">
        <v>12464.0</v>
      </c>
      <c r="M3331" s="49" t="s">
        <v>50</v>
      </c>
      <c r="N3331" s="42" t="s">
        <v>143</v>
      </c>
      <c r="O3331" s="50">
        <v>45678.59722065972</v>
      </c>
      <c r="P3331" s="26" t="s">
        <v>13065</v>
      </c>
      <c r="Q3331" s="13" t="s">
        <v>75</v>
      </c>
      <c r="R3331" s="13" t="s">
        <v>75</v>
      </c>
      <c r="S3331" s="13" t="s">
        <v>50</v>
      </c>
      <c r="T3331" s="52">
        <v>45677.52051747685</v>
      </c>
      <c r="U3331" s="52">
        <v>45677.56892821759</v>
      </c>
      <c r="V3331" s="52">
        <v>45678.46117525463</v>
      </c>
      <c r="W3331" s="11"/>
      <c r="X3331" s="11"/>
      <c r="Y3331" s="45"/>
      <c r="Z3331" s="45"/>
      <c r="AA3331" s="31" t="s">
        <v>5290</v>
      </c>
      <c r="AB3331" s="45" t="s">
        <v>13066</v>
      </c>
      <c r="AC3331" s="45"/>
    </row>
    <row r="3332" ht="18.75" customHeight="1">
      <c r="A3332" s="18" t="s">
        <v>13067</v>
      </c>
      <c r="B3332" s="19" t="s">
        <v>8675</v>
      </c>
      <c r="C3332" s="20">
        <v>90.0</v>
      </c>
      <c r="D3332" s="48" t="s">
        <v>13068</v>
      </c>
      <c r="E3332" s="27" t="s">
        <v>91</v>
      </c>
      <c r="F3332" s="18" t="s">
        <v>48</v>
      </c>
      <c r="G3332" s="18" t="s">
        <v>35</v>
      </c>
      <c r="H3332" s="40" t="s">
        <v>35</v>
      </c>
      <c r="I3332" s="37" t="s">
        <v>36</v>
      </c>
      <c r="J3332" s="25" t="s">
        <v>49</v>
      </c>
      <c r="K3332" s="26" t="s">
        <v>10380</v>
      </c>
      <c r="L3332" s="25">
        <v>12464.0</v>
      </c>
      <c r="M3332" s="49" t="s">
        <v>50</v>
      </c>
      <c r="N3332" s="42" t="s">
        <v>143</v>
      </c>
      <c r="O3332" s="50">
        <v>45678.59727295139</v>
      </c>
      <c r="P3332" s="26" t="s">
        <v>13065</v>
      </c>
      <c r="Q3332" s="13" t="s">
        <v>75</v>
      </c>
      <c r="R3332" s="13" t="s">
        <v>75</v>
      </c>
      <c r="S3332" s="13" t="s">
        <v>50</v>
      </c>
      <c r="T3332" s="52">
        <v>45677.52067611111</v>
      </c>
      <c r="U3332" s="52">
        <v>45677.56894677083</v>
      </c>
      <c r="V3332" s="52">
        <v>45678.46118579862</v>
      </c>
      <c r="W3332" s="11"/>
      <c r="X3332" s="11"/>
      <c r="Y3332" s="45"/>
      <c r="Z3332" s="45"/>
      <c r="AA3332" s="31" t="s">
        <v>5290</v>
      </c>
      <c r="AB3332" s="45" t="s">
        <v>13069</v>
      </c>
      <c r="AC3332" s="45"/>
    </row>
    <row r="3333" ht="18.75" customHeight="1">
      <c r="A3333" s="142" t="s">
        <v>13070</v>
      </c>
      <c r="B3333" s="19" t="s">
        <v>4313</v>
      </c>
      <c r="C3333" s="20">
        <v>1.0</v>
      </c>
      <c r="D3333" s="48" t="s">
        <v>1130</v>
      </c>
      <c r="E3333" s="27" t="s">
        <v>155</v>
      </c>
      <c r="F3333" s="18" t="s">
        <v>48</v>
      </c>
      <c r="G3333" s="18" t="s">
        <v>35</v>
      </c>
      <c r="H3333" s="40" t="s">
        <v>35</v>
      </c>
      <c r="I3333" s="37" t="s">
        <v>36</v>
      </c>
      <c r="J3333" s="25" t="s">
        <v>92</v>
      </c>
      <c r="K3333" s="26" t="s">
        <v>38</v>
      </c>
      <c r="L3333" s="25">
        <v>12470.0</v>
      </c>
      <c r="M3333" s="49" t="s">
        <v>50</v>
      </c>
      <c r="N3333" s="42" t="s">
        <v>10176</v>
      </c>
      <c r="O3333" s="50">
        <v>45680.64291877315</v>
      </c>
      <c r="P3333" s="26" t="s">
        <v>13071</v>
      </c>
      <c r="Q3333" s="13" t="s">
        <v>75</v>
      </c>
      <c r="R3333" s="13" t="s">
        <v>75</v>
      </c>
      <c r="S3333" s="13" t="s">
        <v>101</v>
      </c>
      <c r="T3333" s="52">
        <v>45677.673836851856</v>
      </c>
      <c r="U3333" s="52">
        <v>45677.67427133102</v>
      </c>
      <c r="V3333" s="52">
        <v>45679.344430763886</v>
      </c>
      <c r="W3333" s="11"/>
      <c r="X3333" s="11"/>
      <c r="Y3333" s="45"/>
      <c r="Z3333" s="45"/>
      <c r="AA3333" s="31" t="s">
        <v>120</v>
      </c>
      <c r="AB3333" s="45" t="s">
        <v>13072</v>
      </c>
      <c r="AC3333" s="45"/>
    </row>
    <row r="3334" ht="18.75" customHeight="1">
      <c r="A3334" s="18" t="s">
        <v>13073</v>
      </c>
      <c r="B3334" s="19" t="s">
        <v>3645</v>
      </c>
      <c r="C3334" s="20">
        <v>27.0</v>
      </c>
      <c r="D3334" s="39" t="s">
        <v>13074</v>
      </c>
      <c r="E3334" s="27" t="s">
        <v>72</v>
      </c>
      <c r="F3334" s="18" t="s">
        <v>48</v>
      </c>
      <c r="G3334" s="18" t="s">
        <v>35</v>
      </c>
      <c r="H3334" s="40" t="s">
        <v>35</v>
      </c>
      <c r="I3334" s="37" t="s">
        <v>36</v>
      </c>
      <c r="J3334" s="25" t="s">
        <v>49</v>
      </c>
      <c r="K3334" s="26" t="s">
        <v>38</v>
      </c>
      <c r="L3334" s="25">
        <v>12466.0</v>
      </c>
      <c r="M3334" s="49" t="s">
        <v>50</v>
      </c>
      <c r="N3334" s="42" t="s">
        <v>143</v>
      </c>
      <c r="O3334" s="50">
        <v>45678.597321458336</v>
      </c>
      <c r="P3334" s="26" t="s">
        <v>13075</v>
      </c>
      <c r="Q3334" s="13" t="s">
        <v>75</v>
      </c>
      <c r="R3334" s="13" t="s">
        <v>75</v>
      </c>
      <c r="S3334" s="13" t="s">
        <v>50</v>
      </c>
      <c r="T3334" s="52">
        <v>45678.393196770834</v>
      </c>
      <c r="U3334" s="52">
        <v>45678.47644140046</v>
      </c>
      <c r="V3334" s="52">
        <v>45678.486507939815</v>
      </c>
      <c r="W3334" s="11"/>
      <c r="X3334" s="11"/>
      <c r="Y3334" s="45"/>
      <c r="Z3334" s="45"/>
      <c r="AA3334" s="31" t="s">
        <v>127</v>
      </c>
      <c r="AB3334" s="45" t="s">
        <v>13076</v>
      </c>
      <c r="AC3334" s="45"/>
    </row>
    <row r="3335" ht="18.75" customHeight="1">
      <c r="A3335" s="18" t="s">
        <v>13077</v>
      </c>
      <c r="B3335" s="19" t="s">
        <v>3645</v>
      </c>
      <c r="C3335" s="20">
        <v>27.0</v>
      </c>
      <c r="D3335" s="39" t="s">
        <v>13078</v>
      </c>
      <c r="E3335" s="27" t="s">
        <v>72</v>
      </c>
      <c r="F3335" s="18" t="s">
        <v>48</v>
      </c>
      <c r="G3335" s="18" t="s">
        <v>35</v>
      </c>
      <c r="H3335" s="40" t="s">
        <v>35</v>
      </c>
      <c r="I3335" s="37" t="s">
        <v>36</v>
      </c>
      <c r="J3335" s="25" t="s">
        <v>49</v>
      </c>
      <c r="K3335" s="26" t="s">
        <v>38</v>
      </c>
      <c r="L3335" s="25">
        <v>12466.0</v>
      </c>
      <c r="M3335" s="49" t="s">
        <v>50</v>
      </c>
      <c r="N3335" s="42" t="s">
        <v>143</v>
      </c>
      <c r="O3335" s="50">
        <v>45678.597369490744</v>
      </c>
      <c r="P3335" s="26" t="s">
        <v>13075</v>
      </c>
      <c r="Q3335" s="13" t="s">
        <v>75</v>
      </c>
      <c r="R3335" s="13" t="s">
        <v>75</v>
      </c>
      <c r="S3335" s="13" t="s">
        <v>50</v>
      </c>
      <c r="T3335" s="52">
        <v>45678.39325887732</v>
      </c>
      <c r="U3335" s="52">
        <v>45678.47645962963</v>
      </c>
      <c r="V3335" s="52">
        <v>45678.48651722222</v>
      </c>
      <c r="W3335" s="11"/>
      <c r="X3335" s="11"/>
      <c r="Y3335" s="45"/>
      <c r="Z3335" s="45"/>
      <c r="AA3335" s="31" t="s">
        <v>127</v>
      </c>
      <c r="AB3335" s="45" t="s">
        <v>13079</v>
      </c>
      <c r="AC3335" s="45"/>
    </row>
    <row r="3336" ht="18.75" customHeight="1">
      <c r="A3336" s="18" t="s">
        <v>13080</v>
      </c>
      <c r="B3336" s="19" t="s">
        <v>3645</v>
      </c>
      <c r="C3336" s="20">
        <v>137.0</v>
      </c>
      <c r="D3336" s="48" t="s">
        <v>13081</v>
      </c>
      <c r="E3336" s="27" t="s">
        <v>85</v>
      </c>
      <c r="F3336" s="18" t="s">
        <v>48</v>
      </c>
      <c r="G3336" s="18" t="s">
        <v>35</v>
      </c>
      <c r="H3336" s="40" t="s">
        <v>35</v>
      </c>
      <c r="I3336" s="37" t="s">
        <v>36</v>
      </c>
      <c r="J3336" s="25" t="s">
        <v>49</v>
      </c>
      <c r="K3336" s="26" t="s">
        <v>38</v>
      </c>
      <c r="L3336" s="25">
        <v>12466.0</v>
      </c>
      <c r="M3336" s="49" t="s">
        <v>50</v>
      </c>
      <c r="N3336" s="42" t="s">
        <v>143</v>
      </c>
      <c r="O3336" s="50">
        <v>45678.59746563657</v>
      </c>
      <c r="P3336" s="26" t="s">
        <v>13075</v>
      </c>
      <c r="Q3336" s="13" t="s">
        <v>75</v>
      </c>
      <c r="R3336" s="13" t="s">
        <v>75</v>
      </c>
      <c r="S3336" s="13" t="s">
        <v>50</v>
      </c>
      <c r="T3336" s="52">
        <v>45678.39347322917</v>
      </c>
      <c r="U3336" s="52">
        <v>45678.47647559027</v>
      </c>
      <c r="V3336" s="52">
        <v>45678.48680200231</v>
      </c>
      <c r="W3336" s="11"/>
      <c r="X3336" s="11"/>
      <c r="Y3336" s="45"/>
      <c r="Z3336" s="45"/>
      <c r="AA3336" s="31" t="s">
        <v>127</v>
      </c>
      <c r="AB3336" s="45" t="s">
        <v>13082</v>
      </c>
      <c r="AC3336" s="45"/>
    </row>
    <row r="3337" ht="18.75" customHeight="1">
      <c r="A3337" s="18" t="s">
        <v>13083</v>
      </c>
      <c r="B3337" s="19" t="s">
        <v>3645</v>
      </c>
      <c r="C3337" s="20">
        <v>137.0</v>
      </c>
      <c r="D3337" s="48" t="s">
        <v>13084</v>
      </c>
      <c r="E3337" s="27" t="s">
        <v>85</v>
      </c>
      <c r="F3337" s="18" t="s">
        <v>48</v>
      </c>
      <c r="G3337" s="18" t="s">
        <v>35</v>
      </c>
      <c r="H3337" s="40" t="s">
        <v>35</v>
      </c>
      <c r="I3337" s="37" t="s">
        <v>36</v>
      </c>
      <c r="J3337" s="25" t="s">
        <v>49</v>
      </c>
      <c r="K3337" s="26" t="s">
        <v>38</v>
      </c>
      <c r="L3337" s="25">
        <v>12466.0</v>
      </c>
      <c r="M3337" s="49" t="s">
        <v>50</v>
      </c>
      <c r="N3337" s="42" t="s">
        <v>143</v>
      </c>
      <c r="O3337" s="50">
        <v>45678.59765289351</v>
      </c>
      <c r="P3337" s="26" t="s">
        <v>13075</v>
      </c>
      <c r="Q3337" s="13" t="s">
        <v>75</v>
      </c>
      <c r="R3337" s="13" t="s">
        <v>75</v>
      </c>
      <c r="S3337" s="13" t="s">
        <v>50</v>
      </c>
      <c r="T3337" s="52">
        <v>45678.393642361116</v>
      </c>
      <c r="U3337" s="52">
        <v>45678.47649431713</v>
      </c>
      <c r="V3337" s="52">
        <v>45678.48711</v>
      </c>
      <c r="W3337" s="11"/>
      <c r="X3337" s="11"/>
      <c r="Y3337" s="45"/>
      <c r="Z3337" s="45"/>
      <c r="AA3337" s="31" t="s">
        <v>127</v>
      </c>
      <c r="AB3337" s="45" t="s">
        <v>13085</v>
      </c>
      <c r="AC3337" s="45"/>
    </row>
    <row r="3338" ht="18.75" customHeight="1">
      <c r="A3338" s="18" t="s">
        <v>13086</v>
      </c>
      <c r="B3338" s="19" t="s">
        <v>3645</v>
      </c>
      <c r="C3338" s="20">
        <v>90.0</v>
      </c>
      <c r="D3338" s="48" t="s">
        <v>13087</v>
      </c>
      <c r="E3338" s="27" t="s">
        <v>91</v>
      </c>
      <c r="F3338" s="18" t="s">
        <v>48</v>
      </c>
      <c r="G3338" s="18" t="s">
        <v>35</v>
      </c>
      <c r="H3338" s="40" t="s">
        <v>35</v>
      </c>
      <c r="I3338" s="37" t="s">
        <v>36</v>
      </c>
      <c r="J3338" s="25" t="s">
        <v>49</v>
      </c>
      <c r="K3338" s="26" t="s">
        <v>38</v>
      </c>
      <c r="L3338" s="25">
        <v>12466.0</v>
      </c>
      <c r="M3338" s="49" t="s">
        <v>50</v>
      </c>
      <c r="N3338" s="42" t="s">
        <v>143</v>
      </c>
      <c r="O3338" s="50">
        <v>45678.59741743056</v>
      </c>
      <c r="P3338" s="26" t="s">
        <v>13075</v>
      </c>
      <c r="Q3338" s="13" t="s">
        <v>75</v>
      </c>
      <c r="R3338" s="13" t="s">
        <v>75</v>
      </c>
      <c r="S3338" s="13" t="s">
        <v>50</v>
      </c>
      <c r="T3338" s="52">
        <v>45678.39398435185</v>
      </c>
      <c r="U3338" s="52">
        <v>45678.47646721065</v>
      </c>
      <c r="V3338" s="52">
        <v>45678.48668671296</v>
      </c>
      <c r="W3338" s="11"/>
      <c r="X3338" s="11"/>
      <c r="Y3338" s="45"/>
      <c r="Z3338" s="45"/>
      <c r="AA3338" s="31" t="s">
        <v>127</v>
      </c>
      <c r="AB3338" s="45" t="s">
        <v>13088</v>
      </c>
      <c r="AC3338" s="45"/>
    </row>
    <row r="3339" ht="18.75" customHeight="1">
      <c r="A3339" s="18" t="s">
        <v>13089</v>
      </c>
      <c r="B3339" s="19" t="s">
        <v>3645</v>
      </c>
      <c r="C3339" s="20">
        <v>90.0</v>
      </c>
      <c r="D3339" s="48" t="s">
        <v>13090</v>
      </c>
      <c r="E3339" s="27" t="s">
        <v>91</v>
      </c>
      <c r="F3339" s="18" t="s">
        <v>48</v>
      </c>
      <c r="G3339" s="18" t="s">
        <v>35</v>
      </c>
      <c r="H3339" s="40" t="s">
        <v>35</v>
      </c>
      <c r="I3339" s="37" t="s">
        <v>36</v>
      </c>
      <c r="J3339" s="25" t="s">
        <v>49</v>
      </c>
      <c r="K3339" s="26" t="s">
        <v>38</v>
      </c>
      <c r="L3339" s="25">
        <v>12466.0</v>
      </c>
      <c r="M3339" s="49" t="s">
        <v>50</v>
      </c>
      <c r="N3339" s="42" t="s">
        <v>143</v>
      </c>
      <c r="O3339" s="50">
        <v>45678.59755832176</v>
      </c>
      <c r="P3339" s="26" t="s">
        <v>13075</v>
      </c>
      <c r="Q3339" s="13" t="s">
        <v>75</v>
      </c>
      <c r="R3339" s="13" t="s">
        <v>75</v>
      </c>
      <c r="S3339" s="13" t="s">
        <v>50</v>
      </c>
      <c r="T3339" s="52">
        <v>45678.39413035879</v>
      </c>
      <c r="U3339" s="52">
        <v>45678.47648171296</v>
      </c>
      <c r="V3339" s="52">
        <v>45678.48691547454</v>
      </c>
      <c r="W3339" s="11"/>
      <c r="X3339" s="11"/>
      <c r="Y3339" s="45"/>
      <c r="Z3339" s="45"/>
      <c r="AA3339" s="31" t="s">
        <v>127</v>
      </c>
      <c r="AB3339" s="45" t="s">
        <v>13091</v>
      </c>
      <c r="AC3339" s="45"/>
    </row>
    <row r="3340" ht="18.75" customHeight="1">
      <c r="A3340" s="18" t="s">
        <v>13092</v>
      </c>
      <c r="B3340" s="19" t="s">
        <v>3645</v>
      </c>
      <c r="C3340" s="20">
        <v>11.0</v>
      </c>
      <c r="D3340" s="48" t="s">
        <v>13093</v>
      </c>
      <c r="E3340" s="27" t="s">
        <v>112</v>
      </c>
      <c r="F3340" s="18" t="s">
        <v>48</v>
      </c>
      <c r="G3340" s="18" t="s">
        <v>35</v>
      </c>
      <c r="H3340" s="40" t="s">
        <v>35</v>
      </c>
      <c r="I3340" s="37" t="s">
        <v>36</v>
      </c>
      <c r="J3340" s="25" t="s">
        <v>49</v>
      </c>
      <c r="K3340" s="26" t="s">
        <v>38</v>
      </c>
      <c r="L3340" s="25">
        <v>12466.0</v>
      </c>
      <c r="M3340" s="49" t="s">
        <v>50</v>
      </c>
      <c r="N3340" s="42" t="s">
        <v>143</v>
      </c>
      <c r="O3340" s="50">
        <v>45678.59760622685</v>
      </c>
      <c r="P3340" s="26" t="s">
        <v>13075</v>
      </c>
      <c r="Q3340" s="13" t="s">
        <v>75</v>
      </c>
      <c r="R3340" s="13" t="s">
        <v>75</v>
      </c>
      <c r="S3340" s="13" t="s">
        <v>50</v>
      </c>
      <c r="T3340" s="52">
        <v>45678.39451107639</v>
      </c>
      <c r="U3340" s="52">
        <v>45678.47648790509</v>
      </c>
      <c r="V3340" s="52">
        <v>45678.487098206024</v>
      </c>
      <c r="W3340" s="11"/>
      <c r="X3340" s="11"/>
      <c r="Y3340" s="45"/>
      <c r="Z3340" s="45"/>
      <c r="AA3340" s="31" t="s">
        <v>127</v>
      </c>
      <c r="AB3340" s="45" t="s">
        <v>13094</v>
      </c>
      <c r="AC3340" s="45"/>
    </row>
    <row r="3341" ht="18.75" customHeight="1">
      <c r="A3341" s="18" t="s">
        <v>13095</v>
      </c>
      <c r="B3341" s="19" t="s">
        <v>3645</v>
      </c>
      <c r="C3341" s="20">
        <v>11.0</v>
      </c>
      <c r="D3341" s="48" t="s">
        <v>13096</v>
      </c>
      <c r="E3341" s="27" t="s">
        <v>112</v>
      </c>
      <c r="F3341" s="18" t="s">
        <v>48</v>
      </c>
      <c r="G3341" s="18" t="s">
        <v>35</v>
      </c>
      <c r="H3341" s="40" t="s">
        <v>35</v>
      </c>
      <c r="I3341" s="37" t="s">
        <v>36</v>
      </c>
      <c r="J3341" s="25" t="s">
        <v>49</v>
      </c>
      <c r="K3341" s="26" t="s">
        <v>38</v>
      </c>
      <c r="L3341" s="25">
        <v>12466.0</v>
      </c>
      <c r="M3341" s="49" t="s">
        <v>50</v>
      </c>
      <c r="N3341" s="42" t="s">
        <v>143</v>
      </c>
      <c r="O3341" s="50">
        <v>45678.59769638889</v>
      </c>
      <c r="P3341" s="26" t="s">
        <v>13075</v>
      </c>
      <c r="Q3341" s="13" t="s">
        <v>75</v>
      </c>
      <c r="R3341" s="13" t="s">
        <v>75</v>
      </c>
      <c r="S3341" s="13" t="s">
        <v>50</v>
      </c>
      <c r="T3341" s="52">
        <v>45678.39470596064</v>
      </c>
      <c r="U3341" s="52">
        <v>45678.47650402778</v>
      </c>
      <c r="V3341" s="52">
        <v>45678.48711908565</v>
      </c>
      <c r="W3341" s="11"/>
      <c r="X3341" s="11"/>
      <c r="Y3341" s="45"/>
      <c r="Z3341" s="45"/>
      <c r="AA3341" s="31" t="s">
        <v>127</v>
      </c>
      <c r="AB3341" s="45" t="s">
        <v>13097</v>
      </c>
      <c r="AC3341" s="45"/>
    </row>
    <row r="3342" ht="18.75" customHeight="1">
      <c r="A3342" s="18" t="s">
        <v>13098</v>
      </c>
      <c r="B3342" s="19" t="s">
        <v>9336</v>
      </c>
      <c r="C3342" s="20">
        <v>0.0</v>
      </c>
      <c r="D3342" s="48" t="s">
        <v>13099</v>
      </c>
      <c r="E3342" s="27" t="s">
        <v>3441</v>
      </c>
      <c r="F3342" s="18" t="s">
        <v>48</v>
      </c>
      <c r="G3342" s="18" t="s">
        <v>35</v>
      </c>
      <c r="H3342" s="40" t="s">
        <v>35</v>
      </c>
      <c r="I3342" s="37" t="s">
        <v>36</v>
      </c>
      <c r="J3342" s="25" t="s">
        <v>65</v>
      </c>
      <c r="K3342" s="26" t="s">
        <v>38</v>
      </c>
      <c r="L3342" s="25">
        <v>12465.0</v>
      </c>
      <c r="M3342" s="49" t="s">
        <v>50</v>
      </c>
      <c r="N3342" s="42" t="s">
        <v>80</v>
      </c>
      <c r="O3342" s="50">
        <v>45678.73159215278</v>
      </c>
      <c r="P3342" s="26" t="s">
        <v>13100</v>
      </c>
      <c r="Q3342" s="13" t="s">
        <v>75</v>
      </c>
      <c r="R3342" s="13" t="s">
        <v>75</v>
      </c>
      <c r="S3342" s="13" t="s">
        <v>50</v>
      </c>
      <c r="T3342" s="52">
        <v>45678.397127881944</v>
      </c>
      <c r="U3342" s="52">
        <v>45678.46918516204</v>
      </c>
      <c r="V3342" s="52">
        <v>45678.472574907406</v>
      </c>
      <c r="W3342" s="11"/>
      <c r="X3342" s="11"/>
      <c r="Y3342" s="45"/>
      <c r="Z3342" s="45"/>
      <c r="AA3342" s="31" t="s">
        <v>3059</v>
      </c>
      <c r="AB3342" s="45" t="s">
        <v>13101</v>
      </c>
      <c r="AC3342" s="45"/>
    </row>
    <row r="3343" ht="18.75" customHeight="1">
      <c r="A3343" s="18" t="s">
        <v>13102</v>
      </c>
      <c r="B3343" s="19" t="s">
        <v>9336</v>
      </c>
      <c r="C3343" s="20">
        <v>0.0</v>
      </c>
      <c r="D3343" s="48" t="s">
        <v>13103</v>
      </c>
      <c r="E3343" s="27" t="s">
        <v>3441</v>
      </c>
      <c r="F3343" s="18" t="s">
        <v>48</v>
      </c>
      <c r="G3343" s="18" t="s">
        <v>35</v>
      </c>
      <c r="H3343" s="40" t="s">
        <v>35</v>
      </c>
      <c r="I3343" s="37" t="s">
        <v>36</v>
      </c>
      <c r="J3343" s="25" t="s">
        <v>65</v>
      </c>
      <c r="K3343" s="26" t="s">
        <v>38</v>
      </c>
      <c r="L3343" s="25">
        <v>12465.0</v>
      </c>
      <c r="M3343" s="49" t="s">
        <v>50</v>
      </c>
      <c r="N3343" s="42" t="s">
        <v>80</v>
      </c>
      <c r="O3343" s="50">
        <v>45678.73151945602</v>
      </c>
      <c r="P3343" s="26" t="s">
        <v>13100</v>
      </c>
      <c r="Q3343" s="13" t="s">
        <v>75</v>
      </c>
      <c r="R3343" s="13" t="s">
        <v>75</v>
      </c>
      <c r="S3343" s="13" t="s">
        <v>50</v>
      </c>
      <c r="T3343" s="52">
        <v>45678.397249733796</v>
      </c>
      <c r="U3343" s="52">
        <v>45678.469168125</v>
      </c>
      <c r="V3343" s="52">
        <v>45678.47256174769</v>
      </c>
      <c r="W3343" s="11"/>
      <c r="X3343" s="11"/>
      <c r="Y3343" s="45"/>
      <c r="Z3343" s="45"/>
      <c r="AA3343" s="31" t="s">
        <v>3059</v>
      </c>
      <c r="AB3343" s="45" t="s">
        <v>13104</v>
      </c>
      <c r="AC3343" s="45"/>
    </row>
    <row r="3344" ht="18.75" customHeight="1">
      <c r="A3344" s="142" t="s">
        <v>13105</v>
      </c>
      <c r="B3344" s="19" t="s">
        <v>9101</v>
      </c>
      <c r="C3344" s="20">
        <v>90.0</v>
      </c>
      <c r="D3344" s="48" t="s">
        <v>13106</v>
      </c>
      <c r="E3344" s="27" t="s">
        <v>91</v>
      </c>
      <c r="F3344" s="18" t="s">
        <v>48</v>
      </c>
      <c r="G3344" s="18" t="s">
        <v>35</v>
      </c>
      <c r="H3344" s="40" t="s">
        <v>35</v>
      </c>
      <c r="I3344" s="37" t="s">
        <v>36</v>
      </c>
      <c r="J3344" s="25" t="s">
        <v>65</v>
      </c>
      <c r="K3344" s="26" t="s">
        <v>38</v>
      </c>
      <c r="L3344" s="25">
        <v>12467.0</v>
      </c>
      <c r="M3344" s="49" t="s">
        <v>50</v>
      </c>
      <c r="N3344" s="42" t="s">
        <v>80</v>
      </c>
      <c r="O3344" s="50">
        <v>45678.7316612963</v>
      </c>
      <c r="P3344" s="26" t="s">
        <v>13107</v>
      </c>
      <c r="Q3344" s="13" t="s">
        <v>75</v>
      </c>
      <c r="R3344" s="13" t="s">
        <v>75</v>
      </c>
      <c r="S3344" s="13" t="s">
        <v>50</v>
      </c>
      <c r="T3344" s="52">
        <v>45678.40064570602</v>
      </c>
      <c r="U3344" s="52">
        <v>45678.48364142361</v>
      </c>
      <c r="V3344" s="52">
        <v>45678.60590545139</v>
      </c>
      <c r="W3344" s="11"/>
      <c r="X3344" s="11"/>
      <c r="Y3344" s="45"/>
      <c r="Z3344" s="45"/>
      <c r="AA3344" s="31" t="s">
        <v>94</v>
      </c>
      <c r="AB3344" s="45" t="s">
        <v>13108</v>
      </c>
      <c r="AC3344" s="45"/>
    </row>
    <row r="3345" ht="18.75" customHeight="1">
      <c r="A3345" s="142" t="s">
        <v>13109</v>
      </c>
      <c r="B3345" s="19" t="s">
        <v>11116</v>
      </c>
      <c r="C3345" s="20">
        <v>1.0</v>
      </c>
      <c r="D3345" s="48" t="s">
        <v>13110</v>
      </c>
      <c r="E3345" s="27" t="s">
        <v>3395</v>
      </c>
      <c r="F3345" s="18" t="s">
        <v>48</v>
      </c>
      <c r="G3345" s="18" t="s">
        <v>35</v>
      </c>
      <c r="H3345" s="40" t="s">
        <v>35</v>
      </c>
      <c r="I3345" s="37" t="s">
        <v>36</v>
      </c>
      <c r="J3345" s="25" t="s">
        <v>49</v>
      </c>
      <c r="K3345" s="26" t="s">
        <v>447</v>
      </c>
      <c r="L3345" s="25">
        <v>12474.0</v>
      </c>
      <c r="M3345" s="49" t="s">
        <v>50</v>
      </c>
      <c r="N3345" s="42" t="s">
        <v>5936</v>
      </c>
      <c r="O3345" s="50">
        <v>45679.63140300926</v>
      </c>
      <c r="P3345" s="26" t="s">
        <v>13111</v>
      </c>
      <c r="Q3345" s="13" t="s">
        <v>75</v>
      </c>
      <c r="R3345" s="13" t="s">
        <v>75</v>
      </c>
      <c r="S3345" s="13" t="s">
        <v>50</v>
      </c>
      <c r="T3345" s="52">
        <v>45678.452700231486</v>
      </c>
      <c r="U3345" s="52">
        <v>45678.70756444444</v>
      </c>
      <c r="V3345" s="52">
        <v>45679.43704842593</v>
      </c>
      <c r="W3345" s="11"/>
      <c r="X3345" s="11"/>
      <c r="Y3345" s="45"/>
      <c r="Z3345" s="45"/>
      <c r="AA3345" s="31" t="s">
        <v>108</v>
      </c>
      <c r="AB3345" s="45" t="s">
        <v>13112</v>
      </c>
      <c r="AC3345" s="45"/>
    </row>
    <row r="3346" ht="18.75" customHeight="1">
      <c r="A3346" s="142" t="s">
        <v>13113</v>
      </c>
      <c r="B3346" s="19" t="s">
        <v>8666</v>
      </c>
      <c r="C3346" s="20">
        <v>0.0</v>
      </c>
      <c r="D3346" s="48" t="s">
        <v>13114</v>
      </c>
      <c r="E3346" s="27" t="s">
        <v>5944</v>
      </c>
      <c r="F3346" s="18" t="s">
        <v>244</v>
      </c>
      <c r="G3346" s="18" t="s">
        <v>35</v>
      </c>
      <c r="H3346" s="40" t="s">
        <v>35</v>
      </c>
      <c r="I3346" s="37" t="s">
        <v>36</v>
      </c>
      <c r="J3346" s="25" t="s">
        <v>49</v>
      </c>
      <c r="K3346" s="26" t="s">
        <v>38</v>
      </c>
      <c r="L3346" s="25">
        <v>12511.0</v>
      </c>
      <c r="M3346" s="49" t="s">
        <v>50</v>
      </c>
      <c r="N3346" s="42" t="s">
        <v>143</v>
      </c>
      <c r="O3346" s="50">
        <v>45685.637041423615</v>
      </c>
      <c r="P3346" s="26" t="s">
        <v>13115</v>
      </c>
      <c r="Q3346" s="13" t="s">
        <v>75</v>
      </c>
      <c r="R3346" s="13" t="s">
        <v>75</v>
      </c>
      <c r="S3346" s="13" t="s">
        <v>101</v>
      </c>
      <c r="T3346" s="52">
        <v>45678.45729324074</v>
      </c>
      <c r="U3346" s="52">
        <v>45679.4391490625</v>
      </c>
      <c r="V3346" s="52">
        <v>45684.633981493054</v>
      </c>
      <c r="W3346" s="11"/>
      <c r="X3346" s="11"/>
      <c r="Y3346" s="45"/>
      <c r="Z3346" s="45"/>
      <c r="AA3346" s="31" t="s">
        <v>5199</v>
      </c>
      <c r="AB3346" s="45" t="s">
        <v>13116</v>
      </c>
      <c r="AC3346" s="45"/>
    </row>
    <row r="3347" ht="18.75" customHeight="1">
      <c r="A3347" s="142" t="s">
        <v>13117</v>
      </c>
      <c r="B3347" s="19" t="s">
        <v>8426</v>
      </c>
      <c r="C3347" s="20">
        <v>0.0</v>
      </c>
      <c r="D3347" s="48" t="s">
        <v>1251</v>
      </c>
      <c r="E3347" s="27" t="s">
        <v>1595</v>
      </c>
      <c r="F3347" s="18" t="s">
        <v>33</v>
      </c>
      <c r="G3347" s="18" t="s">
        <v>35</v>
      </c>
      <c r="H3347" s="40" t="s">
        <v>35</v>
      </c>
      <c r="I3347" s="37" t="s">
        <v>36</v>
      </c>
      <c r="J3347" s="25" t="s">
        <v>49</v>
      </c>
      <c r="K3347" s="26" t="s">
        <v>38</v>
      </c>
      <c r="L3347" s="25">
        <v>12529.0</v>
      </c>
      <c r="M3347" s="49" t="s">
        <v>50</v>
      </c>
      <c r="N3347" s="42" t="s">
        <v>143</v>
      </c>
      <c r="O3347" s="50">
        <v>45687.585363564816</v>
      </c>
      <c r="P3347" s="26" t="s">
        <v>13118</v>
      </c>
      <c r="Q3347" s="13" t="s">
        <v>75</v>
      </c>
      <c r="R3347" s="13" t="s">
        <v>75</v>
      </c>
      <c r="S3347" s="13" t="s">
        <v>101</v>
      </c>
      <c r="T3347" s="52">
        <v>45678.71038979167</v>
      </c>
      <c r="U3347" s="52">
        <v>45679.429450358795</v>
      </c>
      <c r="V3347" s="52">
        <v>45684.63529755787</v>
      </c>
      <c r="W3347" s="11"/>
      <c r="X3347" s="11"/>
      <c r="Y3347" s="45"/>
      <c r="Z3347" s="45"/>
      <c r="AA3347" s="31" t="s">
        <v>102</v>
      </c>
      <c r="AB3347" s="45" t="s">
        <v>13119</v>
      </c>
      <c r="AC3347" s="45"/>
    </row>
    <row r="3348" ht="18.75" customHeight="1">
      <c r="A3348" s="142" t="s">
        <v>13120</v>
      </c>
      <c r="B3348" s="19" t="s">
        <v>9970</v>
      </c>
      <c r="C3348" s="20">
        <v>27.0</v>
      </c>
      <c r="D3348" s="39" t="s">
        <v>13121</v>
      </c>
      <c r="E3348" s="27" t="s">
        <v>72</v>
      </c>
      <c r="F3348" s="18" t="s">
        <v>48</v>
      </c>
      <c r="G3348" s="18" t="s">
        <v>35</v>
      </c>
      <c r="H3348" s="40" t="s">
        <v>35</v>
      </c>
      <c r="I3348" s="37" t="s">
        <v>36</v>
      </c>
      <c r="J3348" s="25" t="s">
        <v>65</v>
      </c>
      <c r="K3348" s="26" t="s">
        <v>38</v>
      </c>
      <c r="L3348" s="25">
        <v>12475.0</v>
      </c>
      <c r="M3348" s="49" t="s">
        <v>50</v>
      </c>
      <c r="N3348" s="42" t="s">
        <v>80</v>
      </c>
      <c r="O3348" s="50">
        <v>45679.736805555556</v>
      </c>
      <c r="P3348" s="26" t="s">
        <v>13122</v>
      </c>
      <c r="Q3348" s="13" t="s">
        <v>75</v>
      </c>
      <c r="R3348" s="13" t="s">
        <v>75</v>
      </c>
      <c r="S3348" s="13" t="s">
        <v>50</v>
      </c>
      <c r="T3348" s="52">
        <v>45678.71721101852</v>
      </c>
      <c r="U3348" s="52">
        <v>45679.433663055555</v>
      </c>
      <c r="V3348" s="52">
        <v>45679.437061689816</v>
      </c>
      <c r="W3348" s="11"/>
      <c r="X3348" s="11"/>
      <c r="Y3348" s="45"/>
      <c r="Z3348" s="45"/>
      <c r="AA3348" s="31" t="s">
        <v>94</v>
      </c>
      <c r="AB3348" s="45" t="s">
        <v>13123</v>
      </c>
      <c r="AC3348" s="45"/>
    </row>
    <row r="3349" ht="18.75" customHeight="1">
      <c r="A3349" s="142" t="s">
        <v>13124</v>
      </c>
      <c r="B3349" s="19" t="s">
        <v>4352</v>
      </c>
      <c r="C3349" s="20">
        <v>27.0</v>
      </c>
      <c r="D3349" s="39" t="s">
        <v>13125</v>
      </c>
      <c r="E3349" s="27" t="s">
        <v>72</v>
      </c>
      <c r="F3349" s="18" t="s">
        <v>48</v>
      </c>
      <c r="G3349" s="18" t="s">
        <v>35</v>
      </c>
      <c r="H3349" s="40" t="s">
        <v>35</v>
      </c>
      <c r="I3349" s="37" t="s">
        <v>36</v>
      </c>
      <c r="J3349" s="25" t="s">
        <v>49</v>
      </c>
      <c r="K3349" s="26" t="s">
        <v>38</v>
      </c>
      <c r="L3349" s="25">
        <v>12480.0</v>
      </c>
      <c r="M3349" s="49" t="s">
        <v>50</v>
      </c>
      <c r="N3349" s="42" t="s">
        <v>143</v>
      </c>
      <c r="O3349" s="50">
        <v>45680.579046631945</v>
      </c>
      <c r="P3349" s="26" t="s">
        <v>13126</v>
      </c>
      <c r="Q3349" s="13" t="s">
        <v>75</v>
      </c>
      <c r="R3349" s="13" t="s">
        <v>75</v>
      </c>
      <c r="S3349" s="13" t="s">
        <v>50</v>
      </c>
      <c r="T3349" s="52">
        <v>45678.718894074074</v>
      </c>
      <c r="U3349" s="52">
        <v>45679.58509158565</v>
      </c>
      <c r="V3349" s="52">
        <v>45680.41414637731</v>
      </c>
      <c r="W3349" s="11"/>
      <c r="X3349" s="11"/>
      <c r="Y3349" s="45"/>
      <c r="Z3349" s="45"/>
      <c r="AA3349" s="31" t="s">
        <v>127</v>
      </c>
      <c r="AB3349" s="45" t="s">
        <v>13127</v>
      </c>
      <c r="AC3349" s="45"/>
    </row>
    <row r="3350" ht="18.75" customHeight="1">
      <c r="A3350" s="142" t="s">
        <v>13128</v>
      </c>
      <c r="B3350" s="19" t="s">
        <v>9101</v>
      </c>
      <c r="C3350" s="20">
        <v>27.0</v>
      </c>
      <c r="D3350" s="39" t="s">
        <v>13129</v>
      </c>
      <c r="E3350" s="27" t="s">
        <v>72</v>
      </c>
      <c r="F3350" s="18" t="s">
        <v>48</v>
      </c>
      <c r="G3350" s="18" t="s">
        <v>35</v>
      </c>
      <c r="H3350" s="40" t="s">
        <v>35</v>
      </c>
      <c r="I3350" s="37" t="s">
        <v>36</v>
      </c>
      <c r="J3350" s="25" t="s">
        <v>65</v>
      </c>
      <c r="K3350" s="26" t="s">
        <v>38</v>
      </c>
      <c r="L3350" s="25">
        <v>12478.0</v>
      </c>
      <c r="M3350" s="49" t="s">
        <v>50</v>
      </c>
      <c r="N3350" s="42" t="s">
        <v>80</v>
      </c>
      <c r="O3350" s="50">
        <v>45679.736805555556</v>
      </c>
      <c r="P3350" s="26" t="s">
        <v>13130</v>
      </c>
      <c r="Q3350" s="13" t="s">
        <v>75</v>
      </c>
      <c r="R3350" s="13" t="s">
        <v>75</v>
      </c>
      <c r="S3350" s="13" t="s">
        <v>50</v>
      </c>
      <c r="T3350" s="52">
        <v>45678.72042065972</v>
      </c>
      <c r="U3350" s="52">
        <v>45679.441417546295</v>
      </c>
      <c r="V3350" s="52">
        <v>45679.45498229167</v>
      </c>
      <c r="W3350" s="11"/>
      <c r="X3350" s="11"/>
      <c r="Y3350" s="45"/>
      <c r="Z3350" s="45"/>
      <c r="AA3350" s="31" t="s">
        <v>94</v>
      </c>
      <c r="AB3350" s="45" t="s">
        <v>13131</v>
      </c>
      <c r="AC3350" s="45"/>
    </row>
    <row r="3351" ht="18.75" customHeight="1">
      <c r="A3351" s="18" t="s">
        <v>13132</v>
      </c>
      <c r="B3351" s="19" t="s">
        <v>3888</v>
      </c>
      <c r="C3351" s="20">
        <v>1.0</v>
      </c>
      <c r="D3351" s="48" t="s">
        <v>13133</v>
      </c>
      <c r="E3351" s="27" t="s">
        <v>3395</v>
      </c>
      <c r="F3351" s="18" t="s">
        <v>48</v>
      </c>
      <c r="G3351" s="18" t="s">
        <v>35</v>
      </c>
      <c r="H3351" s="40" t="s">
        <v>35</v>
      </c>
      <c r="I3351" s="37" t="s">
        <v>36</v>
      </c>
      <c r="J3351" s="25" t="s">
        <v>49</v>
      </c>
      <c r="K3351" s="26" t="s">
        <v>2978</v>
      </c>
      <c r="L3351" s="25">
        <v>12476.0</v>
      </c>
      <c r="M3351" s="49" t="s">
        <v>50</v>
      </c>
      <c r="N3351" s="42" t="s">
        <v>5936</v>
      </c>
      <c r="O3351" s="50">
        <v>45679.63146464121</v>
      </c>
      <c r="P3351" s="26" t="s">
        <v>13134</v>
      </c>
      <c r="Q3351" s="13" t="s">
        <v>75</v>
      </c>
      <c r="R3351" s="13" t="s">
        <v>75</v>
      </c>
      <c r="S3351" s="13" t="s">
        <v>50</v>
      </c>
      <c r="T3351" s="52">
        <v>45678.73055467593</v>
      </c>
      <c r="U3351" s="52">
        <v>45679.43968270833</v>
      </c>
      <c r="V3351" s="52">
        <v>45679.44141936343</v>
      </c>
      <c r="W3351" s="11"/>
      <c r="X3351" s="11"/>
      <c r="Y3351" s="45"/>
      <c r="Z3351" s="45"/>
      <c r="AA3351" s="31" t="s">
        <v>108</v>
      </c>
      <c r="AB3351" s="45" t="s">
        <v>13135</v>
      </c>
      <c r="AC3351" s="45"/>
    </row>
    <row r="3352" ht="18.75" customHeight="1">
      <c r="A3352" s="18" t="s">
        <v>13136</v>
      </c>
      <c r="B3352" s="19" t="s">
        <v>3888</v>
      </c>
      <c r="C3352" s="20">
        <v>137.0</v>
      </c>
      <c r="D3352" s="48" t="s">
        <v>13137</v>
      </c>
      <c r="E3352" s="27" t="s">
        <v>85</v>
      </c>
      <c r="F3352" s="18" t="s">
        <v>48</v>
      </c>
      <c r="G3352" s="18" t="s">
        <v>35</v>
      </c>
      <c r="H3352" s="40" t="s">
        <v>35</v>
      </c>
      <c r="I3352" s="37" t="s">
        <v>36</v>
      </c>
      <c r="J3352" s="25" t="s">
        <v>49</v>
      </c>
      <c r="K3352" s="26" t="s">
        <v>2978</v>
      </c>
      <c r="L3352" s="25">
        <v>12476.0</v>
      </c>
      <c r="M3352" s="49" t="s">
        <v>50</v>
      </c>
      <c r="N3352" s="42" t="s">
        <v>5936</v>
      </c>
      <c r="O3352" s="50">
        <v>45679.63152592593</v>
      </c>
      <c r="P3352" s="26" t="s">
        <v>13134</v>
      </c>
      <c r="Q3352" s="13" t="s">
        <v>75</v>
      </c>
      <c r="R3352" s="13" t="s">
        <v>75</v>
      </c>
      <c r="S3352" s="13" t="s">
        <v>50</v>
      </c>
      <c r="T3352" s="52">
        <v>45678.73084744213</v>
      </c>
      <c r="U3352" s="52">
        <v>45679.43970631945</v>
      </c>
      <c r="V3352" s="52">
        <v>45679.44142920139</v>
      </c>
      <c r="W3352" s="11"/>
      <c r="X3352" s="11"/>
      <c r="Y3352" s="45"/>
      <c r="Z3352" s="45"/>
      <c r="AA3352" s="31" t="s">
        <v>108</v>
      </c>
      <c r="AB3352" s="45" t="s">
        <v>13138</v>
      </c>
      <c r="AC3352" s="45"/>
    </row>
    <row r="3353" ht="18.75" customHeight="1">
      <c r="A3353" s="142" t="s">
        <v>13139</v>
      </c>
      <c r="B3353" s="19" t="s">
        <v>3164</v>
      </c>
      <c r="C3353" s="20">
        <v>0.0</v>
      </c>
      <c r="D3353" s="48" t="s">
        <v>13140</v>
      </c>
      <c r="E3353" s="27" t="s">
        <v>408</v>
      </c>
      <c r="F3353" s="18" t="s">
        <v>33</v>
      </c>
      <c r="G3353" s="18" t="s">
        <v>35</v>
      </c>
      <c r="H3353" s="40" t="s">
        <v>35</v>
      </c>
      <c r="I3353" s="37" t="s">
        <v>36</v>
      </c>
      <c r="J3353" s="25" t="s">
        <v>49</v>
      </c>
      <c r="K3353" s="26" t="s">
        <v>38</v>
      </c>
      <c r="L3353" s="25">
        <v>12567.0</v>
      </c>
      <c r="M3353" s="49" t="s">
        <v>50</v>
      </c>
      <c r="N3353" s="42" t="s">
        <v>143</v>
      </c>
      <c r="O3353" s="50">
        <v>45692.59867178241</v>
      </c>
      <c r="P3353" s="26" t="s">
        <v>13141</v>
      </c>
      <c r="Q3353" s="13" t="s">
        <v>75</v>
      </c>
      <c r="R3353" s="13" t="s">
        <v>75</v>
      </c>
      <c r="S3353" s="13" t="s">
        <v>101</v>
      </c>
      <c r="T3353" s="52">
        <v>45678.73253813657</v>
      </c>
      <c r="U3353" s="52">
        <v>45685.64915600694</v>
      </c>
      <c r="V3353" s="52">
        <v>45688.4703066088</v>
      </c>
      <c r="W3353" s="11"/>
      <c r="X3353" s="11"/>
      <c r="Y3353" s="45"/>
      <c r="Z3353" s="45"/>
      <c r="AA3353" s="31" t="s">
        <v>108</v>
      </c>
      <c r="AB3353" s="45" t="s">
        <v>13142</v>
      </c>
      <c r="AC3353" s="45"/>
    </row>
    <row r="3354" ht="18.75" customHeight="1">
      <c r="A3354" s="142" t="s">
        <v>13143</v>
      </c>
      <c r="B3354" s="19" t="s">
        <v>10366</v>
      </c>
      <c r="C3354" s="20">
        <v>0.0</v>
      </c>
      <c r="D3354" s="48" t="s">
        <v>13144</v>
      </c>
      <c r="E3354" s="22" t="s">
        <v>213</v>
      </c>
      <c r="F3354" s="18" t="s">
        <v>33</v>
      </c>
      <c r="G3354" s="18" t="s">
        <v>35</v>
      </c>
      <c r="H3354" s="40" t="s">
        <v>35</v>
      </c>
      <c r="I3354" s="37" t="s">
        <v>36</v>
      </c>
      <c r="J3354" s="25" t="s">
        <v>49</v>
      </c>
      <c r="K3354" s="26" t="s">
        <v>447</v>
      </c>
      <c r="L3354" s="25">
        <v>12534.0</v>
      </c>
      <c r="M3354" s="49" t="s">
        <v>50</v>
      </c>
      <c r="N3354" s="42" t="s">
        <v>143</v>
      </c>
      <c r="O3354" s="50">
        <v>45687.58543699074</v>
      </c>
      <c r="P3354" s="26" t="s">
        <v>13145</v>
      </c>
      <c r="Q3354" s="13" t="s">
        <v>75</v>
      </c>
      <c r="R3354" s="13" t="s">
        <v>75</v>
      </c>
      <c r="S3354" s="13" t="s">
        <v>101</v>
      </c>
      <c r="T3354" s="52">
        <v>45679.424113553236</v>
      </c>
      <c r="U3354" s="52">
        <v>45680.415350034724</v>
      </c>
      <c r="V3354" s="52">
        <v>45687.444206562504</v>
      </c>
      <c r="W3354" s="11"/>
      <c r="X3354" s="11"/>
      <c r="Y3354" s="45"/>
      <c r="Z3354" s="45"/>
      <c r="AA3354" s="31" t="s">
        <v>108</v>
      </c>
      <c r="AB3354" s="45" t="s">
        <v>13146</v>
      </c>
      <c r="AC3354" s="45"/>
    </row>
    <row r="3355" ht="18.75" customHeight="1">
      <c r="A3355" s="142" t="s">
        <v>13147</v>
      </c>
      <c r="B3355" s="19" t="s">
        <v>3888</v>
      </c>
      <c r="C3355" s="20">
        <v>0.0</v>
      </c>
      <c r="D3355" s="48" t="s">
        <v>13148</v>
      </c>
      <c r="E3355" s="27" t="s">
        <v>3441</v>
      </c>
      <c r="F3355" s="18" t="s">
        <v>48</v>
      </c>
      <c r="G3355" s="18" t="s">
        <v>35</v>
      </c>
      <c r="H3355" s="40" t="s">
        <v>35</v>
      </c>
      <c r="I3355" s="37" t="s">
        <v>36</v>
      </c>
      <c r="J3355" s="25" t="s">
        <v>49</v>
      </c>
      <c r="K3355" s="26" t="s">
        <v>2978</v>
      </c>
      <c r="L3355" s="25">
        <v>12515.0</v>
      </c>
      <c r="M3355" s="49" t="s">
        <v>50</v>
      </c>
      <c r="N3355" s="42" t="s">
        <v>143</v>
      </c>
      <c r="O3355" s="50">
        <v>45686.58846425926</v>
      </c>
      <c r="P3355" s="26" t="s">
        <v>13149</v>
      </c>
      <c r="Q3355" s="13" t="s">
        <v>75</v>
      </c>
      <c r="R3355" s="13" t="s">
        <v>75</v>
      </c>
      <c r="S3355" s="13" t="s">
        <v>50</v>
      </c>
      <c r="T3355" s="52">
        <v>45679.427448206014</v>
      </c>
      <c r="U3355" s="52">
        <v>45685.643262557875</v>
      </c>
      <c r="V3355" s="52">
        <v>45686.40580445602</v>
      </c>
      <c r="W3355" s="11"/>
      <c r="X3355" s="11"/>
      <c r="Y3355" s="45"/>
      <c r="Z3355" s="45"/>
      <c r="AA3355" s="31" t="s">
        <v>108</v>
      </c>
      <c r="AB3355" s="45" t="s">
        <v>13150</v>
      </c>
      <c r="AC3355" s="45"/>
    </row>
    <row r="3356" ht="18.75" customHeight="1">
      <c r="A3356" s="142" t="s">
        <v>13151</v>
      </c>
      <c r="B3356" s="19" t="s">
        <v>13152</v>
      </c>
      <c r="C3356" s="20">
        <v>11.0</v>
      </c>
      <c r="D3356" s="48" t="s">
        <v>13153</v>
      </c>
      <c r="E3356" s="27" t="s">
        <v>112</v>
      </c>
      <c r="F3356" s="18" t="s">
        <v>48</v>
      </c>
      <c r="G3356" s="18" t="s">
        <v>35</v>
      </c>
      <c r="H3356" s="40" t="s">
        <v>35</v>
      </c>
      <c r="I3356" s="37" t="s">
        <v>36</v>
      </c>
      <c r="J3356" s="25" t="s">
        <v>65</v>
      </c>
      <c r="K3356" s="26" t="s">
        <v>38</v>
      </c>
      <c r="L3356" s="25">
        <v>12493.0</v>
      </c>
      <c r="M3356" s="49" t="s">
        <v>50</v>
      </c>
      <c r="N3356" s="42" t="s">
        <v>149</v>
      </c>
      <c r="O3356" s="50">
        <v>45681.61327206019</v>
      </c>
      <c r="P3356" s="26" t="s">
        <v>13154</v>
      </c>
      <c r="Q3356" s="13" t="s">
        <v>75</v>
      </c>
      <c r="R3356" s="13" t="s">
        <v>75</v>
      </c>
      <c r="S3356" s="13" t="s">
        <v>50</v>
      </c>
      <c r="T3356" s="52">
        <v>45679.65135061342</v>
      </c>
      <c r="U3356" s="52">
        <v>45680.43243266204</v>
      </c>
      <c r="V3356" s="52">
        <v>45681.357607060185</v>
      </c>
      <c r="W3356" s="11"/>
      <c r="X3356" s="11"/>
      <c r="Y3356" s="45"/>
      <c r="Z3356" s="45"/>
      <c r="AA3356" s="31"/>
      <c r="AB3356" s="45" t="s">
        <v>13155</v>
      </c>
      <c r="AC3356" s="45"/>
    </row>
    <row r="3357" ht="18.75" customHeight="1">
      <c r="A3357" s="18" t="s">
        <v>13156</v>
      </c>
      <c r="B3357" s="19" t="s">
        <v>1299</v>
      </c>
      <c r="C3357" s="20">
        <v>0.0</v>
      </c>
      <c r="D3357" s="48"/>
      <c r="E3357" s="27" t="s">
        <v>12486</v>
      </c>
      <c r="F3357" s="18" t="s">
        <v>11504</v>
      </c>
      <c r="G3357" s="18" t="s">
        <v>35</v>
      </c>
      <c r="H3357" s="40" t="s">
        <v>35</v>
      </c>
      <c r="I3357" s="37" t="s">
        <v>36</v>
      </c>
      <c r="J3357" s="25" t="s">
        <v>92</v>
      </c>
      <c r="K3357" s="26" t="s">
        <v>38</v>
      </c>
      <c r="L3357" s="25">
        <v>12485.0</v>
      </c>
      <c r="M3357" s="49" t="s">
        <v>50</v>
      </c>
      <c r="N3357" s="42" t="s">
        <v>7561</v>
      </c>
      <c r="O3357" s="50">
        <v>45680.66588818287</v>
      </c>
      <c r="P3357" s="26" t="s">
        <v>13157</v>
      </c>
      <c r="Q3357" s="13" t="s">
        <v>75</v>
      </c>
      <c r="R3357" s="13" t="s">
        <v>75</v>
      </c>
      <c r="S3357" s="13"/>
      <c r="T3357" s="52">
        <v>45680.35641158565</v>
      </c>
      <c r="U3357" s="52">
        <v>45680.46479534722</v>
      </c>
      <c r="V3357" s="52"/>
      <c r="W3357" s="11"/>
      <c r="X3357" s="11"/>
      <c r="Y3357" s="45"/>
      <c r="Z3357" s="45"/>
      <c r="AA3357" s="31"/>
      <c r="AB3357" s="45" t="s">
        <v>13158</v>
      </c>
      <c r="AC3357" s="45"/>
    </row>
    <row r="3358" ht="18.75" customHeight="1">
      <c r="A3358" s="18" t="s">
        <v>13159</v>
      </c>
      <c r="B3358" s="19" t="s">
        <v>1299</v>
      </c>
      <c r="C3358" s="20">
        <v>0.0</v>
      </c>
      <c r="D3358" s="48"/>
      <c r="E3358" s="27" t="s">
        <v>12486</v>
      </c>
      <c r="F3358" s="18" t="s">
        <v>11504</v>
      </c>
      <c r="G3358" s="18" t="s">
        <v>35</v>
      </c>
      <c r="H3358" s="40" t="s">
        <v>35</v>
      </c>
      <c r="I3358" s="37" t="s">
        <v>36</v>
      </c>
      <c r="J3358" s="25" t="s">
        <v>92</v>
      </c>
      <c r="K3358" s="26" t="s">
        <v>38</v>
      </c>
      <c r="L3358" s="25">
        <v>12485.0</v>
      </c>
      <c r="M3358" s="49" t="s">
        <v>50</v>
      </c>
      <c r="N3358" s="42" t="s">
        <v>7561</v>
      </c>
      <c r="O3358" s="50">
        <v>45680.665811666666</v>
      </c>
      <c r="P3358" s="26" t="s">
        <v>13157</v>
      </c>
      <c r="Q3358" s="13" t="s">
        <v>75</v>
      </c>
      <c r="R3358" s="13" t="s">
        <v>75</v>
      </c>
      <c r="S3358" s="13"/>
      <c r="T3358" s="52">
        <v>45680.35653337963</v>
      </c>
      <c r="U3358" s="52">
        <v>45680.46475792824</v>
      </c>
      <c r="V3358" s="52"/>
      <c r="W3358" s="11"/>
      <c r="X3358" s="11"/>
      <c r="Y3358" s="45"/>
      <c r="Z3358" s="45"/>
      <c r="AA3358" s="31"/>
      <c r="AB3358" s="45" t="s">
        <v>13160</v>
      </c>
      <c r="AC3358" s="45"/>
    </row>
    <row r="3359" ht="18.75" customHeight="1">
      <c r="A3359" s="142" t="s">
        <v>13161</v>
      </c>
      <c r="B3359" s="19" t="s">
        <v>13162</v>
      </c>
      <c r="C3359" s="20">
        <v>1.0</v>
      </c>
      <c r="D3359" s="48" t="s">
        <v>13163</v>
      </c>
      <c r="E3359" s="27" t="s">
        <v>3395</v>
      </c>
      <c r="F3359" s="18" t="s">
        <v>48</v>
      </c>
      <c r="G3359" s="18" t="s">
        <v>35</v>
      </c>
      <c r="H3359" s="40" t="s">
        <v>35</v>
      </c>
      <c r="I3359" s="37" t="s">
        <v>36</v>
      </c>
      <c r="J3359" s="25" t="s">
        <v>65</v>
      </c>
      <c r="K3359" s="26" t="s">
        <v>38</v>
      </c>
      <c r="L3359" s="25">
        <v>12489.0</v>
      </c>
      <c r="M3359" s="49" t="s">
        <v>50</v>
      </c>
      <c r="N3359" s="42" t="s">
        <v>149</v>
      </c>
      <c r="O3359" s="50">
        <v>45681.613358206014</v>
      </c>
      <c r="P3359" s="26" t="s">
        <v>13164</v>
      </c>
      <c r="Q3359" s="13" t="s">
        <v>75</v>
      </c>
      <c r="R3359" s="13" t="s">
        <v>75</v>
      </c>
      <c r="S3359" s="13" t="s">
        <v>50</v>
      </c>
      <c r="T3359" s="52">
        <v>45679.65433881944</v>
      </c>
      <c r="U3359" s="52">
        <v>45680.4538778125</v>
      </c>
      <c r="V3359" s="52">
        <v>45681.35761892361</v>
      </c>
      <c r="W3359" s="11"/>
      <c r="X3359" s="11"/>
      <c r="Y3359" s="45"/>
      <c r="Z3359" s="45"/>
      <c r="AA3359" s="31" t="s">
        <v>94</v>
      </c>
      <c r="AB3359" s="45" t="s">
        <v>13165</v>
      </c>
      <c r="AC3359" s="45"/>
    </row>
    <row r="3360" ht="18.75" customHeight="1">
      <c r="A3360" s="18" t="s">
        <v>13166</v>
      </c>
      <c r="B3360" s="19" t="s">
        <v>8203</v>
      </c>
      <c r="C3360" s="20">
        <v>27.0</v>
      </c>
      <c r="D3360" s="39" t="s">
        <v>13167</v>
      </c>
      <c r="E3360" s="27" t="s">
        <v>72</v>
      </c>
      <c r="F3360" s="18" t="s">
        <v>48</v>
      </c>
      <c r="G3360" s="18" t="s">
        <v>35</v>
      </c>
      <c r="H3360" s="40" t="s">
        <v>35</v>
      </c>
      <c r="I3360" s="37" t="s">
        <v>36</v>
      </c>
      <c r="J3360" s="25" t="s">
        <v>65</v>
      </c>
      <c r="K3360" s="26" t="s">
        <v>38</v>
      </c>
      <c r="L3360" s="25">
        <v>12490.0</v>
      </c>
      <c r="M3360" s="49" t="s">
        <v>50</v>
      </c>
      <c r="N3360" s="42" t="s">
        <v>149</v>
      </c>
      <c r="O3360" s="50">
        <v>45681.61348859954</v>
      </c>
      <c r="P3360" s="26" t="s">
        <v>13168</v>
      </c>
      <c r="Q3360" s="13" t="s">
        <v>75</v>
      </c>
      <c r="R3360" s="13" t="s">
        <v>75</v>
      </c>
      <c r="S3360" s="13" t="s">
        <v>50</v>
      </c>
      <c r="T3360" s="52">
        <v>45680.35928019676</v>
      </c>
      <c r="U3360" s="52">
        <v>45680.4637515162</v>
      </c>
      <c r="V3360" s="52">
        <v>45681.36045917824</v>
      </c>
      <c r="W3360" s="11"/>
      <c r="X3360" s="11"/>
      <c r="Y3360" s="45"/>
      <c r="Z3360" s="45"/>
      <c r="AA3360" s="31" t="s">
        <v>3059</v>
      </c>
      <c r="AB3360" s="45" t="s">
        <v>13169</v>
      </c>
      <c r="AC3360" s="45"/>
    </row>
    <row r="3361" ht="18.75" customHeight="1">
      <c r="A3361" s="18" t="s">
        <v>13170</v>
      </c>
      <c r="B3361" s="19" t="s">
        <v>8203</v>
      </c>
      <c r="C3361" s="20">
        <v>27.0</v>
      </c>
      <c r="D3361" s="39" t="s">
        <v>13171</v>
      </c>
      <c r="E3361" s="27" t="s">
        <v>72</v>
      </c>
      <c r="F3361" s="18" t="s">
        <v>48</v>
      </c>
      <c r="G3361" s="18" t="s">
        <v>35</v>
      </c>
      <c r="H3361" s="40" t="s">
        <v>35</v>
      </c>
      <c r="I3361" s="37" t="s">
        <v>36</v>
      </c>
      <c r="J3361" s="25" t="s">
        <v>65</v>
      </c>
      <c r="K3361" s="26" t="s">
        <v>38</v>
      </c>
      <c r="L3361" s="25">
        <v>12490.0</v>
      </c>
      <c r="M3361" s="49" t="s">
        <v>50</v>
      </c>
      <c r="N3361" s="42" t="s">
        <v>149</v>
      </c>
      <c r="O3361" s="50">
        <v>45681.61342079861</v>
      </c>
      <c r="P3361" s="26" t="s">
        <v>13168</v>
      </c>
      <c r="Q3361" s="13" t="s">
        <v>75</v>
      </c>
      <c r="R3361" s="13" t="s">
        <v>75</v>
      </c>
      <c r="S3361" s="13" t="s">
        <v>50</v>
      </c>
      <c r="T3361" s="52">
        <v>45680.359372997686</v>
      </c>
      <c r="U3361" s="52">
        <v>45680.46368266204</v>
      </c>
      <c r="V3361" s="52">
        <v>45681.36044752315</v>
      </c>
      <c r="W3361" s="11"/>
      <c r="X3361" s="11"/>
      <c r="Y3361" s="45"/>
      <c r="Z3361" s="45"/>
      <c r="AA3361" s="31" t="s">
        <v>3059</v>
      </c>
      <c r="AB3361" s="45" t="s">
        <v>13172</v>
      </c>
      <c r="AC3361" s="45"/>
    </row>
    <row r="3362" ht="18.75" customHeight="1">
      <c r="A3362" s="142" t="s">
        <v>13173</v>
      </c>
      <c r="B3362" s="19" t="s">
        <v>13174</v>
      </c>
      <c r="C3362" s="20">
        <v>11.0</v>
      </c>
      <c r="D3362" s="48" t="s">
        <v>13175</v>
      </c>
      <c r="E3362" s="27" t="s">
        <v>112</v>
      </c>
      <c r="F3362" s="18" t="s">
        <v>48</v>
      </c>
      <c r="G3362" s="18" t="s">
        <v>35</v>
      </c>
      <c r="H3362" s="40" t="s">
        <v>35</v>
      </c>
      <c r="I3362" s="37" t="s">
        <v>36</v>
      </c>
      <c r="J3362" s="25" t="s">
        <v>65</v>
      </c>
      <c r="K3362" s="26" t="s">
        <v>38</v>
      </c>
      <c r="L3362" s="25">
        <v>12496.0</v>
      </c>
      <c r="M3362" s="49" t="s">
        <v>50</v>
      </c>
      <c r="N3362" s="42" t="s">
        <v>149</v>
      </c>
      <c r="O3362" s="50">
        <v>45684.64726989584</v>
      </c>
      <c r="P3362" s="26" t="s">
        <v>13176</v>
      </c>
      <c r="Q3362" s="13" t="s">
        <v>75</v>
      </c>
      <c r="R3362" s="13" t="s">
        <v>75</v>
      </c>
      <c r="S3362" s="13" t="s">
        <v>50</v>
      </c>
      <c r="T3362" s="52">
        <v>45681.37972744213</v>
      </c>
      <c r="U3362" s="52">
        <v>45681.4843324074</v>
      </c>
      <c r="V3362" s="52">
        <v>45684.435026736115</v>
      </c>
      <c r="W3362" s="11"/>
      <c r="X3362" s="11"/>
      <c r="Y3362" s="45"/>
      <c r="Z3362" s="45"/>
      <c r="AA3362" s="31" t="s">
        <v>94</v>
      </c>
      <c r="AB3362" s="45" t="s">
        <v>13177</v>
      </c>
      <c r="AC3362" s="45"/>
    </row>
    <row r="3363" ht="18.75" customHeight="1">
      <c r="A3363" s="142" t="s">
        <v>13178</v>
      </c>
      <c r="B3363" s="19" t="s">
        <v>13179</v>
      </c>
      <c r="C3363" s="20">
        <v>137.0</v>
      </c>
      <c r="D3363" s="48" t="s">
        <v>13180</v>
      </c>
      <c r="E3363" s="27" t="s">
        <v>85</v>
      </c>
      <c r="F3363" s="18" t="s">
        <v>48</v>
      </c>
      <c r="G3363" s="18" t="s">
        <v>35</v>
      </c>
      <c r="H3363" s="40" t="s">
        <v>35</v>
      </c>
      <c r="I3363" s="37" t="s">
        <v>36</v>
      </c>
      <c r="J3363" s="25" t="s">
        <v>49</v>
      </c>
      <c r="K3363" s="26" t="s">
        <v>238</v>
      </c>
      <c r="L3363" s="25">
        <v>12497.0</v>
      </c>
      <c r="M3363" s="49" t="s">
        <v>50</v>
      </c>
      <c r="N3363" s="42" t="s">
        <v>4183</v>
      </c>
      <c r="O3363" s="50">
        <v>45684.60257877315</v>
      </c>
      <c r="P3363" s="26" t="s">
        <v>13181</v>
      </c>
      <c r="Q3363" s="13" t="s">
        <v>75</v>
      </c>
      <c r="R3363" s="13" t="s">
        <v>75</v>
      </c>
      <c r="S3363" s="13" t="s">
        <v>50</v>
      </c>
      <c r="T3363" s="52">
        <v>45681.39593297454</v>
      </c>
      <c r="U3363" s="52">
        <v>45681.63020497686</v>
      </c>
      <c r="V3363" s="52">
        <v>45684.43503778936</v>
      </c>
      <c r="W3363" s="11"/>
      <c r="X3363" s="11"/>
      <c r="Y3363" s="45"/>
      <c r="Z3363" s="45"/>
      <c r="AA3363" s="31" t="s">
        <v>3808</v>
      </c>
      <c r="AB3363" s="45" t="s">
        <v>13182</v>
      </c>
      <c r="AC3363" s="45"/>
    </row>
    <row r="3364" ht="18.75" customHeight="1">
      <c r="A3364" s="142" t="s">
        <v>13183</v>
      </c>
      <c r="B3364" s="19" t="s">
        <v>11376</v>
      </c>
      <c r="C3364" s="20">
        <v>27.0</v>
      </c>
      <c r="D3364" s="39" t="s">
        <v>13184</v>
      </c>
      <c r="E3364" s="27" t="s">
        <v>72</v>
      </c>
      <c r="F3364" s="18" t="s">
        <v>48</v>
      </c>
      <c r="G3364" s="18" t="s">
        <v>35</v>
      </c>
      <c r="H3364" s="40" t="s">
        <v>35</v>
      </c>
      <c r="I3364" s="37" t="s">
        <v>36</v>
      </c>
      <c r="J3364" s="25" t="s">
        <v>65</v>
      </c>
      <c r="K3364" s="26" t="s">
        <v>38</v>
      </c>
      <c r="L3364" s="25">
        <v>12502.0</v>
      </c>
      <c r="M3364" s="49" t="s">
        <v>50</v>
      </c>
      <c r="N3364" s="42" t="s">
        <v>8104</v>
      </c>
      <c r="O3364" s="50">
        <v>45685.65713952546</v>
      </c>
      <c r="P3364" s="26" t="s">
        <v>13185</v>
      </c>
      <c r="Q3364" s="13" t="s">
        <v>75</v>
      </c>
      <c r="R3364" s="13" t="s">
        <v>75</v>
      </c>
      <c r="S3364" s="13" t="s">
        <v>50</v>
      </c>
      <c r="T3364" s="52">
        <v>45681.39641219907</v>
      </c>
      <c r="U3364" s="52">
        <v>45684.469132488426</v>
      </c>
      <c r="V3364" s="52">
        <v>45685.446745775465</v>
      </c>
      <c r="W3364" s="11"/>
      <c r="X3364" s="11"/>
      <c r="Y3364" s="45"/>
      <c r="Z3364" s="45"/>
      <c r="AA3364" s="31" t="s">
        <v>3059</v>
      </c>
      <c r="AB3364" s="45" t="s">
        <v>13186</v>
      </c>
      <c r="AC3364" s="45"/>
    </row>
    <row r="3365" ht="18.75" customHeight="1">
      <c r="A3365" s="142" t="s">
        <v>13187</v>
      </c>
      <c r="B3365" s="19" t="s">
        <v>3636</v>
      </c>
      <c r="C3365" s="20">
        <v>27.0</v>
      </c>
      <c r="D3365" s="39" t="s">
        <v>13188</v>
      </c>
      <c r="E3365" s="27" t="s">
        <v>72</v>
      </c>
      <c r="F3365" s="18" t="s">
        <v>48</v>
      </c>
      <c r="G3365" s="18" t="s">
        <v>35</v>
      </c>
      <c r="H3365" s="40" t="s">
        <v>35</v>
      </c>
      <c r="I3365" s="37" t="s">
        <v>36</v>
      </c>
      <c r="J3365" s="25" t="s">
        <v>49</v>
      </c>
      <c r="K3365" s="26" t="s">
        <v>9628</v>
      </c>
      <c r="L3365" s="25">
        <v>12498.0</v>
      </c>
      <c r="M3365" s="49" t="s">
        <v>50</v>
      </c>
      <c r="N3365" s="42" t="s">
        <v>4183</v>
      </c>
      <c r="O3365" s="50">
        <v>45684.60250418981</v>
      </c>
      <c r="P3365" s="26" t="s">
        <v>13189</v>
      </c>
      <c r="Q3365" s="13" t="s">
        <v>75</v>
      </c>
      <c r="R3365" s="13" t="s">
        <v>75</v>
      </c>
      <c r="S3365" s="13" t="s">
        <v>50</v>
      </c>
      <c r="T3365" s="52">
        <v>45681.420666805556</v>
      </c>
      <c r="U3365" s="52">
        <v>45681.708590787035</v>
      </c>
      <c r="V3365" s="52">
        <v>45684.435046388884</v>
      </c>
      <c r="W3365" s="11"/>
      <c r="X3365" s="11"/>
      <c r="Y3365" s="45"/>
      <c r="Z3365" s="45"/>
      <c r="AA3365" s="31" t="s">
        <v>127</v>
      </c>
      <c r="AB3365" s="45" t="s">
        <v>13190</v>
      </c>
      <c r="AC3365" s="45"/>
    </row>
    <row r="3366" ht="18.75" customHeight="1">
      <c r="A3366" s="18" t="s">
        <v>13191</v>
      </c>
      <c r="B3366" s="19" t="s">
        <v>7780</v>
      </c>
      <c r="C3366" s="20">
        <v>90.0</v>
      </c>
      <c r="D3366" s="48" t="s">
        <v>13192</v>
      </c>
      <c r="E3366" s="27" t="s">
        <v>91</v>
      </c>
      <c r="F3366" s="18" t="s">
        <v>48</v>
      </c>
      <c r="G3366" s="18" t="s">
        <v>35</v>
      </c>
      <c r="H3366" s="40" t="s">
        <v>35</v>
      </c>
      <c r="I3366" s="37" t="s">
        <v>36</v>
      </c>
      <c r="J3366" s="25" t="s">
        <v>65</v>
      </c>
      <c r="K3366" s="26" t="s">
        <v>38</v>
      </c>
      <c r="L3366" s="25">
        <v>12530.0</v>
      </c>
      <c r="M3366" s="49" t="s">
        <v>50</v>
      </c>
      <c r="N3366" s="42" t="s">
        <v>8469</v>
      </c>
      <c r="O3366" s="50">
        <v>45687.746772280094</v>
      </c>
      <c r="P3366" s="26" t="s">
        <v>13193</v>
      </c>
      <c r="Q3366" s="13" t="s">
        <v>75</v>
      </c>
      <c r="R3366" s="13" t="s">
        <v>75</v>
      </c>
      <c r="S3366" s="13" t="s">
        <v>50</v>
      </c>
      <c r="T3366" s="52">
        <v>45684.37412533565</v>
      </c>
      <c r="U3366" s="52">
        <v>45686.71768930556</v>
      </c>
      <c r="V3366" s="52">
        <v>45687.44406645834</v>
      </c>
      <c r="W3366" s="11"/>
      <c r="X3366" s="11"/>
      <c r="Y3366" s="45"/>
      <c r="Z3366" s="45"/>
      <c r="AA3366" s="31" t="s">
        <v>94</v>
      </c>
      <c r="AB3366" s="45" t="s">
        <v>13194</v>
      </c>
      <c r="AC3366" s="45"/>
    </row>
    <row r="3367" ht="18.75" customHeight="1">
      <c r="A3367" s="18" t="s">
        <v>13195</v>
      </c>
      <c r="B3367" s="19" t="s">
        <v>7780</v>
      </c>
      <c r="C3367" s="20">
        <v>0.0</v>
      </c>
      <c r="D3367" s="48" t="s">
        <v>13196</v>
      </c>
      <c r="E3367" s="27" t="s">
        <v>3441</v>
      </c>
      <c r="F3367" s="18" t="s">
        <v>48</v>
      </c>
      <c r="G3367" s="18" t="s">
        <v>35</v>
      </c>
      <c r="H3367" s="40" t="s">
        <v>35</v>
      </c>
      <c r="I3367" s="37" t="s">
        <v>36</v>
      </c>
      <c r="J3367" s="25" t="s">
        <v>65</v>
      </c>
      <c r="K3367" s="26" t="s">
        <v>38</v>
      </c>
      <c r="L3367" s="25">
        <v>12530.0</v>
      </c>
      <c r="M3367" s="49" t="s">
        <v>50</v>
      </c>
      <c r="N3367" s="42" t="s">
        <v>8469</v>
      </c>
      <c r="O3367" s="50">
        <v>45687.74667247685</v>
      </c>
      <c r="P3367" s="26" t="s">
        <v>13193</v>
      </c>
      <c r="Q3367" s="13" t="s">
        <v>75</v>
      </c>
      <c r="R3367" s="13" t="s">
        <v>75</v>
      </c>
      <c r="S3367" s="13" t="s">
        <v>50</v>
      </c>
      <c r="T3367" s="52">
        <v>45684.37436844908</v>
      </c>
      <c r="U3367" s="52">
        <v>45686.71766511574</v>
      </c>
      <c r="V3367" s="52">
        <v>45687.44387012732</v>
      </c>
      <c r="W3367" s="11"/>
      <c r="X3367" s="11"/>
      <c r="Y3367" s="45"/>
      <c r="Z3367" s="45"/>
      <c r="AA3367" s="31" t="s">
        <v>94</v>
      </c>
      <c r="AB3367" s="45" t="s">
        <v>13197</v>
      </c>
      <c r="AC3367" s="45"/>
    </row>
    <row r="3368" ht="18.75" customHeight="1">
      <c r="A3368" s="142" t="s">
        <v>13198</v>
      </c>
      <c r="B3368" s="19" t="s">
        <v>8041</v>
      </c>
      <c r="C3368" s="20">
        <v>34.0</v>
      </c>
      <c r="D3368" s="48" t="s">
        <v>13199</v>
      </c>
      <c r="E3368" s="27" t="s">
        <v>47</v>
      </c>
      <c r="F3368" s="18" t="s">
        <v>48</v>
      </c>
      <c r="G3368" s="18" t="s">
        <v>35</v>
      </c>
      <c r="H3368" s="40" t="s">
        <v>35</v>
      </c>
      <c r="I3368" s="37" t="s">
        <v>36</v>
      </c>
      <c r="J3368" s="25" t="s">
        <v>49</v>
      </c>
      <c r="K3368" s="26" t="s">
        <v>38</v>
      </c>
      <c r="L3368" s="25">
        <v>12505.0</v>
      </c>
      <c r="M3368" s="49" t="s">
        <v>50</v>
      </c>
      <c r="N3368" s="42" t="s">
        <v>143</v>
      </c>
      <c r="O3368" s="50">
        <v>45685.63696762732</v>
      </c>
      <c r="P3368" s="26" t="s">
        <v>13200</v>
      </c>
      <c r="Q3368" s="13" t="s">
        <v>75</v>
      </c>
      <c r="R3368" s="13" t="s">
        <v>75</v>
      </c>
      <c r="S3368" s="13" t="s">
        <v>50</v>
      </c>
      <c r="T3368" s="52">
        <v>45684.37712590278</v>
      </c>
      <c r="U3368" s="52">
        <v>45684.462321643514</v>
      </c>
      <c r="V3368" s="52">
        <v>45685.47225634259</v>
      </c>
      <c r="W3368" s="11"/>
      <c r="X3368" s="11"/>
      <c r="Y3368" s="45"/>
      <c r="Z3368" s="45"/>
      <c r="AA3368" s="31" t="s">
        <v>102</v>
      </c>
      <c r="AB3368" s="45" t="s">
        <v>13201</v>
      </c>
      <c r="AC3368" s="45"/>
    </row>
    <row r="3369" ht="18.75" customHeight="1">
      <c r="A3369" s="142" t="s">
        <v>13202</v>
      </c>
      <c r="B3369" s="19" t="s">
        <v>477</v>
      </c>
      <c r="C3369" s="20">
        <v>1.0</v>
      </c>
      <c r="D3369" s="48" t="s">
        <v>13203</v>
      </c>
      <c r="E3369" s="27" t="s">
        <v>155</v>
      </c>
      <c r="F3369" s="18" t="s">
        <v>48</v>
      </c>
      <c r="G3369" s="18" t="s">
        <v>35</v>
      </c>
      <c r="H3369" s="40" t="s">
        <v>35</v>
      </c>
      <c r="I3369" s="37" t="s">
        <v>36</v>
      </c>
      <c r="J3369" s="25" t="s">
        <v>65</v>
      </c>
      <c r="K3369" s="26" t="s">
        <v>38</v>
      </c>
      <c r="L3369" s="25">
        <v>12646.0</v>
      </c>
      <c r="M3369" s="49" t="s">
        <v>50</v>
      </c>
      <c r="N3369" s="42" t="s">
        <v>80</v>
      </c>
      <c r="O3369" s="67">
        <v>45708.700435335646</v>
      </c>
      <c r="P3369" s="26" t="s">
        <v>13204</v>
      </c>
      <c r="Q3369" s="13" t="s">
        <v>75</v>
      </c>
      <c r="R3369" s="13" t="s">
        <v>75</v>
      </c>
      <c r="S3369" s="13"/>
      <c r="T3369" s="52">
        <v>45684.44460886574</v>
      </c>
      <c r="U3369" s="52">
        <v>45684.55782915509</v>
      </c>
      <c r="V3369" s="52"/>
      <c r="W3369" s="11"/>
      <c r="X3369" s="11"/>
      <c r="Y3369" s="45"/>
      <c r="Z3369" s="45"/>
      <c r="AA3369" s="31"/>
      <c r="AB3369" s="45" t="s">
        <v>13205</v>
      </c>
      <c r="AC3369" s="45"/>
    </row>
    <row r="3370" ht="18.75" customHeight="1">
      <c r="A3370" s="142" t="s">
        <v>13206</v>
      </c>
      <c r="B3370" s="19" t="s">
        <v>3289</v>
      </c>
      <c r="C3370" s="20">
        <v>1.0</v>
      </c>
      <c r="D3370" s="48" t="s">
        <v>13207</v>
      </c>
      <c r="E3370" s="27" t="s">
        <v>3395</v>
      </c>
      <c r="F3370" s="18" t="s">
        <v>48</v>
      </c>
      <c r="G3370" s="18" t="s">
        <v>35</v>
      </c>
      <c r="H3370" s="40" t="s">
        <v>35</v>
      </c>
      <c r="I3370" s="37" t="s">
        <v>36</v>
      </c>
      <c r="J3370" s="25" t="s">
        <v>92</v>
      </c>
      <c r="K3370" s="26" t="s">
        <v>38</v>
      </c>
      <c r="L3370" s="25">
        <v>12512.0</v>
      </c>
      <c r="M3370" s="49" t="s">
        <v>50</v>
      </c>
      <c r="N3370" s="42" t="s">
        <v>4362</v>
      </c>
      <c r="O3370" s="50">
        <v>45686.35602560185</v>
      </c>
      <c r="P3370" s="26" t="s">
        <v>13208</v>
      </c>
      <c r="Q3370" s="13" t="s">
        <v>75</v>
      </c>
      <c r="R3370" s="13" t="s">
        <v>75</v>
      </c>
      <c r="S3370" s="13" t="s">
        <v>50</v>
      </c>
      <c r="T3370" s="52">
        <v>45684.59210012732</v>
      </c>
      <c r="U3370" s="52">
        <v>45685.496265</v>
      </c>
      <c r="V3370" s="52">
        <v>45686.3264184838</v>
      </c>
      <c r="W3370" s="11"/>
      <c r="X3370" s="11"/>
      <c r="Y3370" s="45"/>
      <c r="Z3370" s="45"/>
      <c r="AA3370" s="31" t="s">
        <v>120</v>
      </c>
      <c r="AB3370" s="45" t="s">
        <v>13209</v>
      </c>
      <c r="AC3370" s="45"/>
    </row>
    <row r="3371" ht="18.75" customHeight="1">
      <c r="A3371" s="142" t="s">
        <v>13210</v>
      </c>
      <c r="B3371" s="19" t="s">
        <v>7868</v>
      </c>
      <c r="C3371" s="20">
        <v>34.0</v>
      </c>
      <c r="D3371" s="48" t="s">
        <v>13211</v>
      </c>
      <c r="E3371" s="27" t="s">
        <v>47</v>
      </c>
      <c r="F3371" s="18" t="s">
        <v>48</v>
      </c>
      <c r="G3371" s="18" t="s">
        <v>35</v>
      </c>
      <c r="H3371" s="40" t="s">
        <v>35</v>
      </c>
      <c r="I3371" s="37" t="s">
        <v>36</v>
      </c>
      <c r="J3371" s="25" t="s">
        <v>65</v>
      </c>
      <c r="K3371" s="26" t="s">
        <v>38</v>
      </c>
      <c r="L3371" s="25">
        <v>12506.0</v>
      </c>
      <c r="M3371" s="49" t="s">
        <v>50</v>
      </c>
      <c r="N3371" s="42" t="s">
        <v>8104</v>
      </c>
      <c r="O3371" s="50">
        <v>45685.65725087963</v>
      </c>
      <c r="P3371" s="26" t="s">
        <v>13212</v>
      </c>
      <c r="Q3371" s="13" t="s">
        <v>75</v>
      </c>
      <c r="R3371" s="13" t="s">
        <v>75</v>
      </c>
      <c r="S3371" s="13" t="s">
        <v>50</v>
      </c>
      <c r="T3371" s="52">
        <v>45684.594341828706</v>
      </c>
      <c r="U3371" s="52">
        <v>45685.42506304398</v>
      </c>
      <c r="V3371" s="52">
        <v>45685.47226684028</v>
      </c>
      <c r="W3371" s="11"/>
      <c r="X3371" s="11"/>
      <c r="Y3371" s="45"/>
      <c r="Z3371" s="45"/>
      <c r="AA3371" s="31" t="s">
        <v>94</v>
      </c>
      <c r="AB3371" s="45" t="s">
        <v>13213</v>
      </c>
      <c r="AC3371" s="45"/>
    </row>
    <row r="3372" ht="18.75" customHeight="1">
      <c r="A3372" s="142" t="s">
        <v>13214</v>
      </c>
      <c r="B3372" s="19" t="s">
        <v>13215</v>
      </c>
      <c r="C3372" s="20">
        <v>1.0</v>
      </c>
      <c r="D3372" s="48" t="s">
        <v>13216</v>
      </c>
      <c r="E3372" s="27" t="s">
        <v>3395</v>
      </c>
      <c r="F3372" s="18" t="s">
        <v>48</v>
      </c>
      <c r="G3372" s="18" t="s">
        <v>35</v>
      </c>
      <c r="H3372" s="40" t="s">
        <v>35</v>
      </c>
      <c r="I3372" s="37" t="s">
        <v>36</v>
      </c>
      <c r="J3372" s="25" t="s">
        <v>49</v>
      </c>
      <c r="K3372" s="26" t="s">
        <v>13217</v>
      </c>
      <c r="L3372" s="25">
        <v>12514.0</v>
      </c>
      <c r="M3372" s="49" t="s">
        <v>50</v>
      </c>
      <c r="N3372" s="42" t="s">
        <v>143</v>
      </c>
      <c r="O3372" s="50">
        <v>45686.58851710648</v>
      </c>
      <c r="P3372" s="26" t="s">
        <v>13218</v>
      </c>
      <c r="Q3372" s="13" t="s">
        <v>75</v>
      </c>
      <c r="R3372" s="13" t="s">
        <v>75</v>
      </c>
      <c r="S3372" s="13" t="s">
        <v>50</v>
      </c>
      <c r="T3372" s="52">
        <v>45684.72883184028</v>
      </c>
      <c r="U3372" s="52">
        <v>45685.71521763889</v>
      </c>
      <c r="V3372" s="52">
        <v>45686.40552623842</v>
      </c>
      <c r="W3372" s="11"/>
      <c r="X3372" s="11"/>
      <c r="Y3372" s="45"/>
      <c r="Z3372" s="45"/>
      <c r="AA3372" s="31" t="s">
        <v>127</v>
      </c>
      <c r="AB3372" s="45" t="s">
        <v>13219</v>
      </c>
      <c r="AC3372" s="45"/>
    </row>
    <row r="3373" ht="18.75" customHeight="1">
      <c r="A3373" s="142" t="s">
        <v>13220</v>
      </c>
      <c r="B3373" s="19" t="s">
        <v>6847</v>
      </c>
      <c r="C3373" s="20">
        <v>11.0</v>
      </c>
      <c r="D3373" s="48" t="s">
        <v>13221</v>
      </c>
      <c r="E3373" s="27" t="s">
        <v>112</v>
      </c>
      <c r="F3373" s="18" t="s">
        <v>48</v>
      </c>
      <c r="G3373" s="18" t="s">
        <v>35</v>
      </c>
      <c r="H3373" s="40" t="s">
        <v>35</v>
      </c>
      <c r="I3373" s="37" t="s">
        <v>36</v>
      </c>
      <c r="J3373" s="25" t="s">
        <v>49</v>
      </c>
      <c r="K3373" s="26" t="s">
        <v>13222</v>
      </c>
      <c r="L3373" s="25">
        <v>12573.0</v>
      </c>
      <c r="M3373" s="49" t="s">
        <v>50</v>
      </c>
      <c r="N3373" s="42" t="s">
        <v>5936</v>
      </c>
      <c r="O3373" s="50">
        <v>45693.62736592593</v>
      </c>
      <c r="P3373" s="26" t="s">
        <v>13223</v>
      </c>
      <c r="Q3373" s="13" t="s">
        <v>75</v>
      </c>
      <c r="R3373" s="13" t="s">
        <v>75</v>
      </c>
      <c r="S3373" s="13" t="s">
        <v>50</v>
      </c>
      <c r="T3373" s="52">
        <v>45684.72530244213</v>
      </c>
      <c r="U3373" s="52">
        <v>45692.49045974537</v>
      </c>
      <c r="V3373" s="52">
        <v>45693.35918372685</v>
      </c>
      <c r="W3373" s="11"/>
      <c r="X3373" s="11"/>
      <c r="Y3373" s="45"/>
      <c r="Z3373" s="45"/>
      <c r="AA3373" s="31" t="s">
        <v>127</v>
      </c>
      <c r="AB3373" s="45" t="s">
        <v>13224</v>
      </c>
      <c r="AC3373" s="45"/>
    </row>
    <row r="3374" ht="18.75" customHeight="1">
      <c r="A3374" s="18" t="s">
        <v>13225</v>
      </c>
      <c r="B3374" s="19" t="s">
        <v>4313</v>
      </c>
      <c r="C3374" s="20">
        <v>1.0</v>
      </c>
      <c r="D3374" s="48" t="s">
        <v>13226</v>
      </c>
      <c r="E3374" s="27" t="s">
        <v>3395</v>
      </c>
      <c r="F3374" s="18" t="s">
        <v>48</v>
      </c>
      <c r="G3374" s="18" t="s">
        <v>35</v>
      </c>
      <c r="H3374" s="40" t="s">
        <v>35</v>
      </c>
      <c r="I3374" s="37" t="s">
        <v>36</v>
      </c>
      <c r="J3374" s="25" t="s">
        <v>92</v>
      </c>
      <c r="K3374" s="26" t="s">
        <v>38</v>
      </c>
      <c r="L3374" s="25">
        <v>12525.0</v>
      </c>
      <c r="M3374" s="49" t="s">
        <v>50</v>
      </c>
      <c r="N3374" s="42" t="s">
        <v>10176</v>
      </c>
      <c r="O3374" s="50">
        <v>45694.62312989583</v>
      </c>
      <c r="P3374" s="26" t="s">
        <v>13227</v>
      </c>
      <c r="Q3374" s="13" t="s">
        <v>75</v>
      </c>
      <c r="R3374" s="13" t="s">
        <v>75</v>
      </c>
      <c r="S3374" s="13" t="s">
        <v>50</v>
      </c>
      <c r="T3374" s="52">
        <v>45685.38388196759</v>
      </c>
      <c r="U3374" s="52">
        <v>45685.478799861114</v>
      </c>
      <c r="V3374" s="52">
        <v>45686.40868422454</v>
      </c>
      <c r="W3374" s="11"/>
      <c r="X3374" s="11"/>
      <c r="Y3374" s="45"/>
      <c r="Z3374" s="45"/>
      <c r="AA3374" s="31" t="s">
        <v>120</v>
      </c>
      <c r="AB3374" s="45" t="s">
        <v>13228</v>
      </c>
      <c r="AC3374" s="45"/>
    </row>
    <row r="3375" ht="18.75" customHeight="1">
      <c r="A3375" s="18" t="s">
        <v>13229</v>
      </c>
      <c r="B3375" s="19" t="s">
        <v>4313</v>
      </c>
      <c r="C3375" s="20">
        <v>34.0</v>
      </c>
      <c r="D3375" s="48" t="s">
        <v>13230</v>
      </c>
      <c r="E3375" s="27" t="s">
        <v>47</v>
      </c>
      <c r="F3375" s="18" t="s">
        <v>48</v>
      </c>
      <c r="G3375" s="18" t="s">
        <v>35</v>
      </c>
      <c r="H3375" s="40" t="s">
        <v>35</v>
      </c>
      <c r="I3375" s="37" t="s">
        <v>36</v>
      </c>
      <c r="J3375" s="25" t="s">
        <v>92</v>
      </c>
      <c r="K3375" s="26" t="s">
        <v>38</v>
      </c>
      <c r="L3375" s="25">
        <v>12525.0</v>
      </c>
      <c r="M3375" s="49" t="s">
        <v>50</v>
      </c>
      <c r="N3375" s="42" t="s">
        <v>10176</v>
      </c>
      <c r="O3375" s="50">
        <v>45694.623012662036</v>
      </c>
      <c r="P3375" s="26" t="s">
        <v>13227</v>
      </c>
      <c r="Q3375" s="13" t="s">
        <v>75</v>
      </c>
      <c r="R3375" s="13" t="s">
        <v>75</v>
      </c>
      <c r="S3375" s="13" t="s">
        <v>50</v>
      </c>
      <c r="T3375" s="52">
        <v>45685.38455021991</v>
      </c>
      <c r="U3375" s="52">
        <v>45685.478766562504</v>
      </c>
      <c r="V3375" s="52">
        <v>45687.430652627314</v>
      </c>
      <c r="W3375" s="11"/>
      <c r="X3375" s="11"/>
      <c r="Y3375" s="45"/>
      <c r="Z3375" s="45"/>
      <c r="AA3375" s="31" t="s">
        <v>120</v>
      </c>
      <c r="AB3375" s="45" t="s">
        <v>13231</v>
      </c>
      <c r="AC3375" s="45"/>
    </row>
    <row r="3376" ht="18.75" customHeight="1">
      <c r="A3376" s="142" t="s">
        <v>13232</v>
      </c>
      <c r="B3376" s="19" t="s">
        <v>4313</v>
      </c>
      <c r="C3376" s="20">
        <v>11.0</v>
      </c>
      <c r="D3376" s="48" t="s">
        <v>13233</v>
      </c>
      <c r="E3376" s="27" t="s">
        <v>112</v>
      </c>
      <c r="F3376" s="18" t="s">
        <v>48</v>
      </c>
      <c r="G3376" s="18" t="s">
        <v>35</v>
      </c>
      <c r="H3376" s="40" t="s">
        <v>35</v>
      </c>
      <c r="I3376" s="37" t="s">
        <v>36</v>
      </c>
      <c r="J3376" s="25" t="s">
        <v>92</v>
      </c>
      <c r="K3376" s="26" t="s">
        <v>38</v>
      </c>
      <c r="L3376" s="25">
        <v>12513.0</v>
      </c>
      <c r="M3376" s="49" t="s">
        <v>50</v>
      </c>
      <c r="N3376" s="42" t="s">
        <v>10176</v>
      </c>
      <c r="O3376" s="50">
        <v>45687.63562728009</v>
      </c>
      <c r="P3376" s="26" t="s">
        <v>13234</v>
      </c>
      <c r="Q3376" s="13" t="s">
        <v>75</v>
      </c>
      <c r="R3376" s="13" t="s">
        <v>75</v>
      </c>
      <c r="S3376" s="13" t="s">
        <v>50</v>
      </c>
      <c r="T3376" s="52">
        <v>45685.38541001157</v>
      </c>
      <c r="U3376" s="52">
        <v>45685.47904746528</v>
      </c>
      <c r="V3376" s="52">
        <v>45686.406076666666</v>
      </c>
      <c r="W3376" s="11"/>
      <c r="X3376" s="11"/>
      <c r="Y3376" s="45"/>
      <c r="Z3376" s="45"/>
      <c r="AA3376" s="31" t="s">
        <v>120</v>
      </c>
      <c r="AB3376" s="45" t="s">
        <v>13235</v>
      </c>
      <c r="AC3376" s="45"/>
    </row>
    <row r="3377" ht="18.75" customHeight="1">
      <c r="A3377" s="142" t="s">
        <v>13236</v>
      </c>
      <c r="B3377" s="19" t="s">
        <v>8888</v>
      </c>
      <c r="C3377" s="20">
        <v>0.0</v>
      </c>
      <c r="D3377" s="48" t="s">
        <v>1293</v>
      </c>
      <c r="E3377" s="22" t="s">
        <v>731</v>
      </c>
      <c r="F3377" s="18" t="s">
        <v>33</v>
      </c>
      <c r="G3377" s="18" t="s">
        <v>35</v>
      </c>
      <c r="H3377" s="40" t="s">
        <v>35</v>
      </c>
      <c r="I3377" s="37" t="s">
        <v>36</v>
      </c>
      <c r="J3377" s="25" t="s">
        <v>49</v>
      </c>
      <c r="K3377" s="26" t="s">
        <v>38</v>
      </c>
      <c r="L3377" s="25">
        <v>12654.0</v>
      </c>
      <c r="M3377" s="49" t="s">
        <v>50</v>
      </c>
      <c r="N3377" s="42" t="s">
        <v>5936</v>
      </c>
      <c r="O3377" s="67">
        <v>45709.61268131944</v>
      </c>
      <c r="P3377" s="26" t="s">
        <v>13237</v>
      </c>
      <c r="Q3377" s="13" t="s">
        <v>75</v>
      </c>
      <c r="R3377" s="13" t="s">
        <v>75</v>
      </c>
      <c r="S3377" s="13" t="s">
        <v>101</v>
      </c>
      <c r="T3377" s="52">
        <v>45685.39551627314</v>
      </c>
      <c r="U3377" s="52">
        <v>45692.57869649306</v>
      </c>
      <c r="V3377" s="44">
        <v>45699.71188446759</v>
      </c>
      <c r="W3377" s="11"/>
      <c r="X3377" s="11"/>
      <c r="Y3377" s="45"/>
      <c r="Z3377" s="45"/>
      <c r="AA3377" s="31" t="s">
        <v>127</v>
      </c>
      <c r="AB3377" s="45" t="s">
        <v>13238</v>
      </c>
      <c r="AC3377" s="45"/>
    </row>
    <row r="3378" ht="18.75" customHeight="1">
      <c r="A3378" s="142" t="s">
        <v>13239</v>
      </c>
      <c r="B3378" s="19" t="s">
        <v>8299</v>
      </c>
      <c r="C3378" s="20">
        <v>27.0</v>
      </c>
      <c r="D3378" s="39" t="s">
        <v>13240</v>
      </c>
      <c r="E3378" s="27" t="s">
        <v>72</v>
      </c>
      <c r="F3378" s="18" t="s">
        <v>48</v>
      </c>
      <c r="G3378" s="18" t="s">
        <v>35</v>
      </c>
      <c r="H3378" s="40" t="s">
        <v>35</v>
      </c>
      <c r="I3378" s="37" t="s">
        <v>36</v>
      </c>
      <c r="J3378" s="25" t="s">
        <v>65</v>
      </c>
      <c r="K3378" s="26" t="s">
        <v>38</v>
      </c>
      <c r="L3378" s="25">
        <v>12531.0</v>
      </c>
      <c r="M3378" s="49" t="s">
        <v>50</v>
      </c>
      <c r="N3378" s="42" t="s">
        <v>8469</v>
      </c>
      <c r="O3378" s="50">
        <v>45687.74685488426</v>
      </c>
      <c r="P3378" s="26" t="s">
        <v>13241</v>
      </c>
      <c r="Q3378" s="13" t="s">
        <v>75</v>
      </c>
      <c r="R3378" s="13" t="s">
        <v>75</v>
      </c>
      <c r="S3378" s="13" t="s">
        <v>50</v>
      </c>
      <c r="T3378" s="52">
        <v>45685.39692221065</v>
      </c>
      <c r="U3378" s="52">
        <v>45686.403591678245</v>
      </c>
      <c r="V3378" s="52">
        <v>45687.44444078703</v>
      </c>
      <c r="W3378" s="11"/>
      <c r="X3378" s="11"/>
      <c r="Y3378" s="45"/>
      <c r="Z3378" s="45"/>
      <c r="AA3378" s="31" t="s">
        <v>94</v>
      </c>
      <c r="AB3378" s="45" t="s">
        <v>13242</v>
      </c>
      <c r="AC3378" s="45"/>
    </row>
    <row r="3379" ht="18.75" customHeight="1">
      <c r="A3379" s="142" t="s">
        <v>13243</v>
      </c>
      <c r="B3379" s="19" t="s">
        <v>13244</v>
      </c>
      <c r="C3379" s="20">
        <v>90.0</v>
      </c>
      <c r="D3379" s="48" t="s">
        <v>13245</v>
      </c>
      <c r="E3379" s="27" t="s">
        <v>91</v>
      </c>
      <c r="F3379" s="18" t="s">
        <v>48</v>
      </c>
      <c r="G3379" s="18" t="s">
        <v>35</v>
      </c>
      <c r="H3379" s="40" t="s">
        <v>35</v>
      </c>
      <c r="I3379" s="37" t="s">
        <v>36</v>
      </c>
      <c r="J3379" s="25" t="s">
        <v>49</v>
      </c>
      <c r="K3379" s="26" t="s">
        <v>13246</v>
      </c>
      <c r="L3379" s="25">
        <v>12503.0</v>
      </c>
      <c r="M3379" s="49" t="s">
        <v>50</v>
      </c>
      <c r="N3379" s="42" t="s">
        <v>143</v>
      </c>
      <c r="O3379" s="50">
        <v>45685.63688884259</v>
      </c>
      <c r="P3379" s="26" t="s">
        <v>13247</v>
      </c>
      <c r="Q3379" s="13" t="s">
        <v>75</v>
      </c>
      <c r="R3379" s="13" t="s">
        <v>75</v>
      </c>
      <c r="S3379" s="13" t="s">
        <v>50</v>
      </c>
      <c r="T3379" s="52">
        <v>45685.36792215278</v>
      </c>
      <c r="U3379" s="52">
        <v>45685.4261478588</v>
      </c>
      <c r="V3379" s="52">
        <v>45685.44684550926</v>
      </c>
      <c r="W3379" s="11"/>
      <c r="X3379" s="11"/>
      <c r="Y3379" s="45"/>
      <c r="Z3379" s="45"/>
      <c r="AA3379" s="31" t="s">
        <v>108</v>
      </c>
      <c r="AB3379" s="45" t="s">
        <v>13248</v>
      </c>
      <c r="AC3379" s="45"/>
    </row>
    <row r="3380" ht="18.75" customHeight="1">
      <c r="A3380" s="142" t="s">
        <v>13249</v>
      </c>
      <c r="B3380" s="19" t="s">
        <v>12591</v>
      </c>
      <c r="C3380" s="20">
        <v>137.0</v>
      </c>
      <c r="D3380" s="48" t="s">
        <v>13250</v>
      </c>
      <c r="E3380" s="27" t="s">
        <v>85</v>
      </c>
      <c r="F3380" s="18" t="s">
        <v>48</v>
      </c>
      <c r="G3380" s="18" t="s">
        <v>35</v>
      </c>
      <c r="H3380" s="40" t="s">
        <v>35</v>
      </c>
      <c r="I3380" s="37" t="s">
        <v>36</v>
      </c>
      <c r="J3380" s="25" t="s">
        <v>49</v>
      </c>
      <c r="K3380" s="26" t="s">
        <v>38</v>
      </c>
      <c r="L3380" s="25">
        <v>12516.0</v>
      </c>
      <c r="M3380" s="49" t="s">
        <v>50</v>
      </c>
      <c r="N3380" s="42" t="s">
        <v>143</v>
      </c>
      <c r="O3380" s="50">
        <v>45686.58856233796</v>
      </c>
      <c r="P3380" s="26" t="s">
        <v>13251</v>
      </c>
      <c r="Q3380" s="13" t="s">
        <v>75</v>
      </c>
      <c r="R3380" s="13" t="s">
        <v>75</v>
      </c>
      <c r="S3380" s="13" t="s">
        <v>50</v>
      </c>
      <c r="T3380" s="52">
        <v>45685.40063878472</v>
      </c>
      <c r="U3380" s="52">
        <v>45686.410080127316</v>
      </c>
      <c r="V3380" s="52">
        <v>45686.41291939815</v>
      </c>
      <c r="W3380" s="11"/>
      <c r="X3380" s="11"/>
      <c r="Y3380" s="45"/>
      <c r="Z3380" s="45"/>
      <c r="AA3380" s="31" t="s">
        <v>102</v>
      </c>
      <c r="AB3380" s="45" t="s">
        <v>13252</v>
      </c>
      <c r="AC3380" s="45"/>
    </row>
    <row r="3381" ht="18.75" customHeight="1">
      <c r="A3381" s="18" t="s">
        <v>13253</v>
      </c>
      <c r="B3381" s="19" t="s">
        <v>3121</v>
      </c>
      <c r="C3381" s="20">
        <v>90.0</v>
      </c>
      <c r="D3381" s="48" t="s">
        <v>13254</v>
      </c>
      <c r="E3381" s="27" t="s">
        <v>91</v>
      </c>
      <c r="F3381" s="18" t="s">
        <v>48</v>
      </c>
      <c r="G3381" s="18" t="s">
        <v>35</v>
      </c>
      <c r="H3381" s="40" t="s">
        <v>35</v>
      </c>
      <c r="I3381" s="37" t="s">
        <v>36</v>
      </c>
      <c r="J3381" s="25" t="s">
        <v>92</v>
      </c>
      <c r="K3381" s="26" t="s">
        <v>38</v>
      </c>
      <c r="L3381" s="25">
        <v>12592.0</v>
      </c>
      <c r="M3381" s="49" t="s">
        <v>50</v>
      </c>
      <c r="N3381" s="42" t="s">
        <v>13255</v>
      </c>
      <c r="O3381" s="50">
        <v>45695.61744195602</v>
      </c>
      <c r="P3381" s="26" t="s">
        <v>13256</v>
      </c>
      <c r="Q3381" s="13" t="s">
        <v>75</v>
      </c>
      <c r="R3381" s="13" t="s">
        <v>75</v>
      </c>
      <c r="S3381" s="13" t="s">
        <v>50</v>
      </c>
      <c r="T3381" s="52">
        <v>45685.46132018519</v>
      </c>
      <c r="U3381" s="52">
        <v>45695.56387537037</v>
      </c>
      <c r="V3381" s="52">
        <v>45695.57899033565</v>
      </c>
      <c r="W3381" s="11"/>
      <c r="X3381" s="11"/>
      <c r="Y3381" s="45"/>
      <c r="Z3381" s="45"/>
      <c r="AA3381" s="31" t="s">
        <v>120</v>
      </c>
      <c r="AB3381" s="45" t="s">
        <v>13257</v>
      </c>
      <c r="AC3381" s="45"/>
    </row>
    <row r="3382" ht="18.75" customHeight="1">
      <c r="A3382" s="18" t="s">
        <v>13258</v>
      </c>
      <c r="B3382" s="19" t="s">
        <v>3121</v>
      </c>
      <c r="C3382" s="20">
        <v>0.0</v>
      </c>
      <c r="D3382" s="48" t="s">
        <v>13259</v>
      </c>
      <c r="E3382" s="27" t="s">
        <v>3441</v>
      </c>
      <c r="F3382" s="18" t="s">
        <v>48</v>
      </c>
      <c r="G3382" s="18" t="s">
        <v>35</v>
      </c>
      <c r="H3382" s="40" t="s">
        <v>35</v>
      </c>
      <c r="I3382" s="37" t="s">
        <v>36</v>
      </c>
      <c r="J3382" s="25" t="s">
        <v>92</v>
      </c>
      <c r="K3382" s="26" t="s">
        <v>38</v>
      </c>
      <c r="L3382" s="25">
        <v>12592.0</v>
      </c>
      <c r="M3382" s="49" t="s">
        <v>50</v>
      </c>
      <c r="N3382" s="42" t="s">
        <v>13255</v>
      </c>
      <c r="O3382" s="50">
        <v>45695.61735623842</v>
      </c>
      <c r="P3382" s="26" t="s">
        <v>13256</v>
      </c>
      <c r="Q3382" s="13" t="s">
        <v>75</v>
      </c>
      <c r="R3382" s="13" t="s">
        <v>75</v>
      </c>
      <c r="S3382" s="13" t="s">
        <v>50</v>
      </c>
      <c r="T3382" s="52">
        <v>45685.46148021991</v>
      </c>
      <c r="U3382" s="52">
        <v>45695.5638008449</v>
      </c>
      <c r="V3382" s="52">
        <v>45695.578971180556</v>
      </c>
      <c r="W3382" s="11"/>
      <c r="X3382" s="11"/>
      <c r="Y3382" s="45"/>
      <c r="Z3382" s="45"/>
      <c r="AA3382" s="31" t="s">
        <v>120</v>
      </c>
      <c r="AB3382" s="45" t="s">
        <v>13260</v>
      </c>
      <c r="AC3382" s="45"/>
    </row>
    <row r="3383" ht="18.75" customHeight="1">
      <c r="A3383" s="142" t="s">
        <v>13261</v>
      </c>
      <c r="B3383" s="19" t="s">
        <v>122</v>
      </c>
      <c r="C3383" s="20">
        <v>90.0</v>
      </c>
      <c r="D3383" s="48" t="s">
        <v>13262</v>
      </c>
      <c r="E3383" s="27" t="s">
        <v>91</v>
      </c>
      <c r="F3383" s="18" t="s">
        <v>48</v>
      </c>
      <c r="G3383" s="18" t="s">
        <v>35</v>
      </c>
      <c r="H3383" s="40" t="s">
        <v>35</v>
      </c>
      <c r="I3383" s="37" t="s">
        <v>36</v>
      </c>
      <c r="J3383" s="25" t="s">
        <v>49</v>
      </c>
      <c r="K3383" s="26" t="s">
        <v>38</v>
      </c>
      <c r="L3383" s="25">
        <v>12504.0</v>
      </c>
      <c r="M3383" s="49" t="s">
        <v>50</v>
      </c>
      <c r="N3383" s="42" t="s">
        <v>143</v>
      </c>
      <c r="O3383" s="50">
        <v>45685.6367344676</v>
      </c>
      <c r="P3383" s="26" t="s">
        <v>13263</v>
      </c>
      <c r="Q3383" s="13" t="s">
        <v>75</v>
      </c>
      <c r="R3383" s="13" t="s">
        <v>75</v>
      </c>
      <c r="S3383" s="13" t="s">
        <v>50</v>
      </c>
      <c r="T3383" s="52">
        <v>45685.45626818287</v>
      </c>
      <c r="U3383" s="52">
        <v>45685.456269270835</v>
      </c>
      <c r="V3383" s="52">
        <v>45685.46451318287</v>
      </c>
      <c r="W3383" s="11"/>
      <c r="X3383" s="11"/>
      <c r="Y3383" s="45"/>
      <c r="Z3383" s="45"/>
      <c r="AA3383" s="31" t="s">
        <v>127</v>
      </c>
      <c r="AB3383" s="45" t="s">
        <v>13264</v>
      </c>
      <c r="AC3383" s="45"/>
    </row>
    <row r="3384" ht="18.75" customHeight="1">
      <c r="A3384" s="142" t="s">
        <v>13265</v>
      </c>
      <c r="B3384" s="19" t="s">
        <v>13266</v>
      </c>
      <c r="C3384" s="20">
        <v>90.0</v>
      </c>
      <c r="D3384" s="48" t="s">
        <v>13267</v>
      </c>
      <c r="E3384" s="27" t="s">
        <v>91</v>
      </c>
      <c r="F3384" s="18" t="s">
        <v>48</v>
      </c>
      <c r="G3384" s="18" t="s">
        <v>35</v>
      </c>
      <c r="H3384" s="40" t="s">
        <v>35</v>
      </c>
      <c r="I3384" s="37" t="s">
        <v>36</v>
      </c>
      <c r="J3384" s="25" t="s">
        <v>49</v>
      </c>
      <c r="K3384" s="26" t="s">
        <v>13268</v>
      </c>
      <c r="L3384" s="25">
        <v>12508.0</v>
      </c>
      <c r="M3384" s="49" t="s">
        <v>50</v>
      </c>
      <c r="N3384" s="42" t="s">
        <v>143</v>
      </c>
      <c r="O3384" s="50">
        <v>45685.63680521991</v>
      </c>
      <c r="P3384" s="26" t="s">
        <v>13269</v>
      </c>
      <c r="Q3384" s="13" t="s">
        <v>75</v>
      </c>
      <c r="R3384" s="13" t="s">
        <v>75</v>
      </c>
      <c r="S3384" s="13" t="s">
        <v>50</v>
      </c>
      <c r="T3384" s="52">
        <v>45685.4144581713</v>
      </c>
      <c r="U3384" s="52">
        <v>45685.480067743054</v>
      </c>
      <c r="V3384" s="52">
        <v>45685.48378288194</v>
      </c>
      <c r="W3384" s="11"/>
      <c r="X3384" s="11"/>
      <c r="Y3384" s="45"/>
      <c r="Z3384" s="45"/>
      <c r="AA3384" s="31" t="s">
        <v>5290</v>
      </c>
      <c r="AB3384" s="45" t="s">
        <v>13270</v>
      </c>
      <c r="AC3384" s="45"/>
    </row>
    <row r="3385" ht="18.75" customHeight="1">
      <c r="A3385" s="142" t="s">
        <v>13271</v>
      </c>
      <c r="B3385" s="19" t="s">
        <v>1428</v>
      </c>
      <c r="C3385" s="20">
        <v>33.0</v>
      </c>
      <c r="D3385" s="48" t="s">
        <v>13272</v>
      </c>
      <c r="E3385" s="27" t="s">
        <v>6133</v>
      </c>
      <c r="F3385" s="18" t="s">
        <v>48</v>
      </c>
      <c r="G3385" s="18" t="s">
        <v>35</v>
      </c>
      <c r="H3385" s="40" t="s">
        <v>35</v>
      </c>
      <c r="I3385" s="37" t="s">
        <v>36</v>
      </c>
      <c r="J3385" s="25" t="s">
        <v>49</v>
      </c>
      <c r="K3385" s="26" t="s">
        <v>1430</v>
      </c>
      <c r="L3385" s="25">
        <v>12532.0</v>
      </c>
      <c r="M3385" s="49" t="s">
        <v>50</v>
      </c>
      <c r="N3385" s="42" t="s">
        <v>143</v>
      </c>
      <c r="O3385" s="50">
        <v>45687.58550696759</v>
      </c>
      <c r="P3385" s="26" t="s">
        <v>13273</v>
      </c>
      <c r="Q3385" s="13" t="s">
        <v>75</v>
      </c>
      <c r="R3385" s="13" t="s">
        <v>75</v>
      </c>
      <c r="S3385" s="13" t="s">
        <v>50</v>
      </c>
      <c r="T3385" s="52">
        <v>45685.57248403935</v>
      </c>
      <c r="U3385" s="52">
        <v>45686.532683819445</v>
      </c>
      <c r="V3385" s="52">
        <v>45687.44487980324</v>
      </c>
      <c r="W3385" s="11"/>
      <c r="X3385" s="11"/>
      <c r="Y3385" s="45"/>
      <c r="Z3385" s="45"/>
      <c r="AA3385" s="31" t="s">
        <v>9317</v>
      </c>
      <c r="AB3385" s="45" t="s">
        <v>13274</v>
      </c>
      <c r="AC3385" s="45"/>
    </row>
    <row r="3386" ht="18.75" customHeight="1">
      <c r="A3386" s="142" t="s">
        <v>13275</v>
      </c>
      <c r="B3386" s="19" t="s">
        <v>13276</v>
      </c>
      <c r="C3386" s="20">
        <v>0.0</v>
      </c>
      <c r="D3386" s="48" t="s">
        <v>13277</v>
      </c>
      <c r="E3386" s="27" t="s">
        <v>3441</v>
      </c>
      <c r="F3386" s="18" t="s">
        <v>48</v>
      </c>
      <c r="G3386" s="18" t="s">
        <v>35</v>
      </c>
      <c r="H3386" s="40" t="s">
        <v>35</v>
      </c>
      <c r="I3386" s="37" t="s">
        <v>36</v>
      </c>
      <c r="J3386" s="25" t="s">
        <v>92</v>
      </c>
      <c r="K3386" s="26" t="s">
        <v>38</v>
      </c>
      <c r="L3386" s="25">
        <v>12533.0</v>
      </c>
      <c r="M3386" s="49" t="s">
        <v>50</v>
      </c>
      <c r="N3386" s="42" t="s">
        <v>13278</v>
      </c>
      <c r="O3386" s="50">
        <v>45692.44607225695</v>
      </c>
      <c r="P3386" s="26" t="s">
        <v>13279</v>
      </c>
      <c r="Q3386" s="13" t="s">
        <v>75</v>
      </c>
      <c r="R3386" s="13" t="s">
        <v>75</v>
      </c>
      <c r="S3386" s="13" t="s">
        <v>50</v>
      </c>
      <c r="T3386" s="52">
        <v>45685.71992215278</v>
      </c>
      <c r="U3386" s="52">
        <v>45686.63685415509</v>
      </c>
      <c r="V3386" s="52">
        <v>45687.44385574074</v>
      </c>
      <c r="W3386" s="11"/>
      <c r="X3386" s="11"/>
      <c r="Y3386" s="45"/>
      <c r="Z3386" s="45"/>
      <c r="AA3386" s="31" t="s">
        <v>120</v>
      </c>
      <c r="AB3386" s="45" t="s">
        <v>13280</v>
      </c>
      <c r="AC3386" s="45"/>
    </row>
    <row r="3387" ht="18.75" customHeight="1">
      <c r="A3387" s="142" t="s">
        <v>13281</v>
      </c>
      <c r="B3387" s="19" t="s">
        <v>13282</v>
      </c>
      <c r="C3387" s="20">
        <v>90.0</v>
      </c>
      <c r="D3387" s="48"/>
      <c r="E3387" s="27" t="s">
        <v>91</v>
      </c>
      <c r="F3387" s="18" t="s">
        <v>48</v>
      </c>
      <c r="G3387" s="18" t="s">
        <v>35</v>
      </c>
      <c r="H3387" s="40" t="s">
        <v>35</v>
      </c>
      <c r="I3387" s="37" t="s">
        <v>984</v>
      </c>
      <c r="J3387" s="25" t="s">
        <v>65</v>
      </c>
      <c r="K3387" s="26" t="s">
        <v>38</v>
      </c>
      <c r="L3387" s="25">
        <v>-12520.0</v>
      </c>
      <c r="M3387" s="49"/>
      <c r="N3387" s="42"/>
      <c r="O3387" s="50"/>
      <c r="P3387" s="26" t="s">
        <v>13283</v>
      </c>
      <c r="Q3387" s="13" t="s">
        <v>75</v>
      </c>
      <c r="R3387" s="13"/>
      <c r="S3387" s="13"/>
      <c r="T3387" s="52">
        <v>45686.56474752315</v>
      </c>
      <c r="U3387" s="52"/>
      <c r="V3387" s="52"/>
      <c r="W3387" s="11"/>
      <c r="X3387" s="148">
        <v>45901.0</v>
      </c>
      <c r="Y3387" s="45"/>
      <c r="Z3387" s="45"/>
      <c r="AA3387" s="31" t="s">
        <v>3059</v>
      </c>
      <c r="AB3387" s="45" t="s">
        <v>13284</v>
      </c>
      <c r="AC3387" s="45"/>
    </row>
    <row r="3388" ht="18.75" customHeight="1">
      <c r="A3388" s="142" t="s">
        <v>13285</v>
      </c>
      <c r="B3388" s="19" t="s">
        <v>3674</v>
      </c>
      <c r="C3388" s="20">
        <v>1.0</v>
      </c>
      <c r="D3388" s="177" t="s">
        <v>13286</v>
      </c>
      <c r="E3388" s="27" t="s">
        <v>11712</v>
      </c>
      <c r="F3388" s="18" t="s">
        <v>48</v>
      </c>
      <c r="G3388" s="18" t="s">
        <v>35</v>
      </c>
      <c r="H3388" s="40" t="s">
        <v>35</v>
      </c>
      <c r="I3388" s="37" t="s">
        <v>36</v>
      </c>
      <c r="J3388" s="25" t="s">
        <v>65</v>
      </c>
      <c r="K3388" s="26" t="s">
        <v>38</v>
      </c>
      <c r="L3388" s="25">
        <v>12657.0</v>
      </c>
      <c r="M3388" s="49" t="s">
        <v>50</v>
      </c>
      <c r="N3388" s="42" t="s">
        <v>10703</v>
      </c>
      <c r="O3388" s="67">
        <v>45709.64413528935</v>
      </c>
      <c r="P3388" s="26" t="s">
        <v>13287</v>
      </c>
      <c r="Q3388" s="13" t="s">
        <v>75</v>
      </c>
      <c r="R3388" s="13" t="s">
        <v>75</v>
      </c>
      <c r="S3388" s="13" t="s">
        <v>50</v>
      </c>
      <c r="T3388" s="52">
        <v>45686.64217554398</v>
      </c>
      <c r="U3388" s="44">
        <v>45709.456793854166</v>
      </c>
      <c r="V3388" s="44">
        <v>45709.47276495371</v>
      </c>
      <c r="W3388" s="11"/>
      <c r="X3388" s="11"/>
      <c r="Y3388" s="45"/>
      <c r="Z3388" s="45"/>
      <c r="AA3388" s="31" t="s">
        <v>94</v>
      </c>
      <c r="AB3388" s="45" t="s">
        <v>13288</v>
      </c>
      <c r="AC3388" s="45"/>
    </row>
    <row r="3389" ht="18.75" customHeight="1">
      <c r="A3389" s="18" t="s">
        <v>13289</v>
      </c>
      <c r="B3389" s="19" t="s">
        <v>13290</v>
      </c>
      <c r="C3389" s="20">
        <v>34.0</v>
      </c>
      <c r="D3389" s="48"/>
      <c r="E3389" s="27" t="s">
        <v>47</v>
      </c>
      <c r="F3389" s="18" t="s">
        <v>48</v>
      </c>
      <c r="G3389" s="18" t="s">
        <v>35</v>
      </c>
      <c r="H3389" s="40" t="s">
        <v>35</v>
      </c>
      <c r="I3389" s="37" t="s">
        <v>984</v>
      </c>
      <c r="J3389" s="25" t="s">
        <v>65</v>
      </c>
      <c r="K3389" s="26" t="s">
        <v>38</v>
      </c>
      <c r="L3389" s="25">
        <v>-13081.0</v>
      </c>
      <c r="M3389" s="49"/>
      <c r="N3389" s="42"/>
      <c r="O3389" s="50"/>
      <c r="P3389" s="26" t="s">
        <v>13291</v>
      </c>
      <c r="Q3389" s="13" t="s">
        <v>75</v>
      </c>
      <c r="R3389" s="13" t="s">
        <v>75</v>
      </c>
      <c r="S3389" s="13"/>
      <c r="T3389" s="52">
        <v>45686.640113368056</v>
      </c>
      <c r="U3389" s="44">
        <v>45792.46719600694</v>
      </c>
      <c r="V3389" s="52"/>
      <c r="W3389" s="11"/>
      <c r="X3389" s="148">
        <v>45870.0</v>
      </c>
      <c r="Y3389" s="45"/>
      <c r="Z3389" s="45"/>
      <c r="AA3389" s="31"/>
      <c r="AB3389" s="45" t="s">
        <v>13292</v>
      </c>
      <c r="AC3389" s="45"/>
    </row>
    <row r="3390" ht="18.75" customHeight="1">
      <c r="A3390" s="18" t="s">
        <v>13293</v>
      </c>
      <c r="B3390" s="19" t="s">
        <v>13290</v>
      </c>
      <c r="C3390" s="20">
        <v>137.0</v>
      </c>
      <c r="D3390" s="48"/>
      <c r="E3390" s="27" t="s">
        <v>85</v>
      </c>
      <c r="F3390" s="18" t="s">
        <v>48</v>
      </c>
      <c r="G3390" s="18" t="s">
        <v>35</v>
      </c>
      <c r="H3390" s="40" t="s">
        <v>35</v>
      </c>
      <c r="I3390" s="37" t="s">
        <v>984</v>
      </c>
      <c r="J3390" s="25" t="s">
        <v>65</v>
      </c>
      <c r="K3390" s="26" t="s">
        <v>38</v>
      </c>
      <c r="L3390" s="25">
        <v>-13081.0</v>
      </c>
      <c r="M3390" s="49"/>
      <c r="N3390" s="42"/>
      <c r="O3390" s="50"/>
      <c r="P3390" s="26" t="s">
        <v>13291</v>
      </c>
      <c r="Q3390" s="13" t="s">
        <v>75</v>
      </c>
      <c r="R3390" s="13" t="s">
        <v>75</v>
      </c>
      <c r="S3390" s="13"/>
      <c r="T3390" s="52">
        <v>45686.64037306713</v>
      </c>
      <c r="U3390" s="44">
        <v>45792.46710487269</v>
      </c>
      <c r="V3390" s="52"/>
      <c r="W3390" s="11"/>
      <c r="X3390" s="148">
        <v>45870.0</v>
      </c>
      <c r="Y3390" s="45"/>
      <c r="Z3390" s="45"/>
      <c r="AA3390" s="31"/>
      <c r="AB3390" s="45" t="s">
        <v>13294</v>
      </c>
      <c r="AC3390" s="45"/>
    </row>
    <row r="3391" ht="18.75" customHeight="1">
      <c r="A3391" s="18" t="s">
        <v>13295</v>
      </c>
      <c r="B3391" s="19" t="s">
        <v>13290</v>
      </c>
      <c r="C3391" s="20">
        <v>137.0</v>
      </c>
      <c r="D3391" s="48"/>
      <c r="E3391" s="27" t="s">
        <v>85</v>
      </c>
      <c r="F3391" s="18" t="s">
        <v>48</v>
      </c>
      <c r="G3391" s="18" t="s">
        <v>35</v>
      </c>
      <c r="H3391" s="40" t="s">
        <v>35</v>
      </c>
      <c r="I3391" s="37" t="s">
        <v>984</v>
      </c>
      <c r="J3391" s="25" t="s">
        <v>65</v>
      </c>
      <c r="K3391" s="26" t="s">
        <v>38</v>
      </c>
      <c r="L3391" s="25">
        <v>-13081.0</v>
      </c>
      <c r="M3391" s="49"/>
      <c r="N3391" s="42"/>
      <c r="O3391" s="50"/>
      <c r="P3391" s="26" t="s">
        <v>13291</v>
      </c>
      <c r="Q3391" s="13" t="s">
        <v>75</v>
      </c>
      <c r="R3391" s="13" t="s">
        <v>75</v>
      </c>
      <c r="S3391" s="13"/>
      <c r="T3391" s="52">
        <v>45686.64050329861</v>
      </c>
      <c r="U3391" s="44">
        <v>45792.46715386574</v>
      </c>
      <c r="V3391" s="52"/>
      <c r="W3391" s="11"/>
      <c r="X3391" s="148">
        <v>45870.0</v>
      </c>
      <c r="Y3391" s="45"/>
      <c r="Z3391" s="45"/>
      <c r="AA3391" s="31"/>
      <c r="AB3391" s="45" t="s">
        <v>13296</v>
      </c>
      <c r="AC3391" s="45"/>
    </row>
    <row r="3392" ht="18.75" customHeight="1">
      <c r="A3392" s="142" t="s">
        <v>13297</v>
      </c>
      <c r="B3392" s="19" t="s">
        <v>4035</v>
      </c>
      <c r="C3392" s="20">
        <v>1.0</v>
      </c>
      <c r="D3392" s="48" t="s">
        <v>13298</v>
      </c>
      <c r="E3392" s="27" t="s">
        <v>3395</v>
      </c>
      <c r="F3392" s="18" t="s">
        <v>48</v>
      </c>
      <c r="G3392" s="18" t="s">
        <v>35</v>
      </c>
      <c r="H3392" s="40" t="s">
        <v>35</v>
      </c>
      <c r="I3392" s="37" t="s">
        <v>36</v>
      </c>
      <c r="J3392" s="25" t="s">
        <v>65</v>
      </c>
      <c r="K3392" s="26" t="s">
        <v>38</v>
      </c>
      <c r="L3392" s="25">
        <v>12581.0</v>
      </c>
      <c r="M3392" s="49" t="s">
        <v>50</v>
      </c>
      <c r="N3392" s="42" t="s">
        <v>149</v>
      </c>
      <c r="O3392" s="50">
        <v>45694.59777840278</v>
      </c>
      <c r="P3392" s="26" t="s">
        <v>13299</v>
      </c>
      <c r="Q3392" s="13" t="s">
        <v>75</v>
      </c>
      <c r="R3392" s="13" t="s">
        <v>75</v>
      </c>
      <c r="S3392" s="13" t="s">
        <v>50</v>
      </c>
      <c r="T3392" s="52">
        <v>45686.64381858797</v>
      </c>
      <c r="U3392" s="52">
        <v>45693.48715744213</v>
      </c>
      <c r="V3392" s="52">
        <v>45694.35540528935</v>
      </c>
      <c r="W3392" s="11"/>
      <c r="X3392" s="11"/>
      <c r="Y3392" s="45"/>
      <c r="Z3392" s="45"/>
      <c r="AA3392" s="31" t="s">
        <v>94</v>
      </c>
      <c r="AB3392" s="45" t="s">
        <v>13300</v>
      </c>
      <c r="AC3392" s="45"/>
    </row>
    <row r="3393" ht="18.75" customHeight="1">
      <c r="A3393" s="142" t="s">
        <v>13301</v>
      </c>
      <c r="B3393" s="19" t="s">
        <v>3211</v>
      </c>
      <c r="C3393" s="20">
        <v>0.0</v>
      </c>
      <c r="D3393" s="48" t="s">
        <v>13302</v>
      </c>
      <c r="E3393" s="27" t="s">
        <v>13303</v>
      </c>
      <c r="F3393" s="18" t="s">
        <v>48</v>
      </c>
      <c r="G3393" s="18" t="s">
        <v>35</v>
      </c>
      <c r="H3393" s="40" t="s">
        <v>35</v>
      </c>
      <c r="I3393" s="37" t="s">
        <v>36</v>
      </c>
      <c r="J3393" s="25" t="s">
        <v>92</v>
      </c>
      <c r="K3393" s="26" t="s">
        <v>38</v>
      </c>
      <c r="L3393" s="25">
        <v>12564.0</v>
      </c>
      <c r="M3393" s="49" t="s">
        <v>50</v>
      </c>
      <c r="N3393" s="42" t="s">
        <v>7145</v>
      </c>
      <c r="O3393" s="50">
        <v>45691.72801627315</v>
      </c>
      <c r="P3393" s="26" t="s">
        <v>13304</v>
      </c>
      <c r="Q3393" s="13" t="s">
        <v>75</v>
      </c>
      <c r="R3393" s="13" t="s">
        <v>75</v>
      </c>
      <c r="S3393" s="13" t="s">
        <v>101</v>
      </c>
      <c r="T3393" s="52">
        <v>45687.382003287035</v>
      </c>
      <c r="U3393" s="52">
        <v>45691.651698773145</v>
      </c>
      <c r="V3393" s="52">
        <v>45691.0</v>
      </c>
      <c r="W3393" s="11"/>
      <c r="X3393" s="11"/>
      <c r="Y3393" s="45"/>
      <c r="Z3393" s="45"/>
      <c r="AA3393" s="31" t="s">
        <v>120</v>
      </c>
      <c r="AB3393" s="45" t="s">
        <v>13305</v>
      </c>
      <c r="AC3393" s="45"/>
    </row>
    <row r="3394" ht="18.75" customHeight="1">
      <c r="A3394" s="142" t="s">
        <v>13306</v>
      </c>
      <c r="B3394" s="19" t="s">
        <v>115</v>
      </c>
      <c r="C3394" s="20">
        <v>0.0</v>
      </c>
      <c r="D3394" s="48" t="s">
        <v>13307</v>
      </c>
      <c r="E3394" s="27" t="s">
        <v>701</v>
      </c>
      <c r="F3394" s="18" t="s">
        <v>33</v>
      </c>
      <c r="G3394" s="18" t="s">
        <v>35</v>
      </c>
      <c r="H3394" s="40" t="s">
        <v>35</v>
      </c>
      <c r="I3394" s="37" t="s">
        <v>36</v>
      </c>
      <c r="J3394" s="25" t="s">
        <v>92</v>
      </c>
      <c r="K3394" s="26" t="s">
        <v>38</v>
      </c>
      <c r="L3394" s="25">
        <v>12585.0</v>
      </c>
      <c r="M3394" s="49" t="s">
        <v>50</v>
      </c>
      <c r="N3394" s="42" t="s">
        <v>10176</v>
      </c>
      <c r="O3394" s="67">
        <v>45701.5808037963</v>
      </c>
      <c r="P3394" s="26" t="s">
        <v>13308</v>
      </c>
      <c r="Q3394" s="13" t="s">
        <v>75</v>
      </c>
      <c r="R3394" s="13" t="s">
        <v>75</v>
      </c>
      <c r="S3394" s="13" t="s">
        <v>101</v>
      </c>
      <c r="T3394" s="52">
        <v>45687.384858414356</v>
      </c>
      <c r="U3394" s="52">
        <v>45687.518484872686</v>
      </c>
      <c r="V3394" s="52">
        <v>45688.57450077546</v>
      </c>
      <c r="W3394" s="11"/>
      <c r="X3394" s="11"/>
      <c r="Y3394" s="45"/>
      <c r="Z3394" s="45"/>
      <c r="AA3394" s="31" t="s">
        <v>120</v>
      </c>
      <c r="AB3394" s="45" t="s">
        <v>13309</v>
      </c>
      <c r="AC3394" s="45"/>
    </row>
    <row r="3395" ht="18.75" customHeight="1">
      <c r="A3395" s="142" t="s">
        <v>13310</v>
      </c>
      <c r="B3395" s="19" t="s">
        <v>13311</v>
      </c>
      <c r="C3395" s="20">
        <v>0.0</v>
      </c>
      <c r="D3395" s="48" t="s">
        <v>13312</v>
      </c>
      <c r="E3395" s="22" t="s">
        <v>1119</v>
      </c>
      <c r="F3395" s="18" t="s">
        <v>33</v>
      </c>
      <c r="G3395" s="18" t="s">
        <v>35</v>
      </c>
      <c r="H3395" s="40" t="s">
        <v>35</v>
      </c>
      <c r="I3395" s="37" t="s">
        <v>36</v>
      </c>
      <c r="J3395" s="25" t="s">
        <v>92</v>
      </c>
      <c r="K3395" s="26" t="s">
        <v>38</v>
      </c>
      <c r="L3395" s="25">
        <v>12609.0</v>
      </c>
      <c r="M3395" s="49" t="s">
        <v>50</v>
      </c>
      <c r="N3395" s="42" t="s">
        <v>5465</v>
      </c>
      <c r="O3395" s="67">
        <v>45783.405565486115</v>
      </c>
      <c r="P3395" s="26" t="s">
        <v>13313</v>
      </c>
      <c r="Q3395" s="13" t="s">
        <v>75</v>
      </c>
      <c r="R3395" s="13" t="s">
        <v>75</v>
      </c>
      <c r="S3395" s="13" t="s">
        <v>101</v>
      </c>
      <c r="T3395" s="52">
        <v>45687.605973356476</v>
      </c>
      <c r="U3395" s="52">
        <v>45687.70231840278</v>
      </c>
      <c r="V3395" s="52">
        <v>45695.580044131944</v>
      </c>
      <c r="W3395" s="11"/>
      <c r="X3395" s="11"/>
      <c r="Y3395" s="45"/>
      <c r="Z3395" s="45"/>
      <c r="AA3395" s="31"/>
      <c r="AB3395" s="45" t="s">
        <v>13314</v>
      </c>
      <c r="AC3395" s="45"/>
    </row>
    <row r="3396" ht="18.75" customHeight="1">
      <c r="A3396" s="142" t="s">
        <v>13315</v>
      </c>
      <c r="B3396" s="19" t="s">
        <v>13316</v>
      </c>
      <c r="C3396" s="20">
        <v>0.0</v>
      </c>
      <c r="D3396" s="48" t="s">
        <v>13317</v>
      </c>
      <c r="E3396" s="27" t="s">
        <v>3441</v>
      </c>
      <c r="F3396" s="18" t="s">
        <v>48</v>
      </c>
      <c r="G3396" s="18" t="s">
        <v>35</v>
      </c>
      <c r="H3396" s="40" t="s">
        <v>35</v>
      </c>
      <c r="I3396" s="37" t="s">
        <v>36</v>
      </c>
      <c r="J3396" s="25" t="s">
        <v>65</v>
      </c>
      <c r="K3396" s="26" t="s">
        <v>38</v>
      </c>
      <c r="L3396" s="25">
        <v>12562.0</v>
      </c>
      <c r="M3396" s="49" t="s">
        <v>50</v>
      </c>
      <c r="N3396" s="42" t="s">
        <v>149</v>
      </c>
      <c r="O3396" s="50">
        <v>45691.6461434838</v>
      </c>
      <c r="P3396" s="26" t="s">
        <v>13318</v>
      </c>
      <c r="Q3396" s="13" t="s">
        <v>75</v>
      </c>
      <c r="R3396" s="13" t="s">
        <v>75</v>
      </c>
      <c r="S3396" s="13" t="s">
        <v>50</v>
      </c>
      <c r="T3396" s="52">
        <v>45687.57811122685</v>
      </c>
      <c r="U3396" s="52">
        <v>45687.593869178236</v>
      </c>
      <c r="V3396" s="52">
        <v>45691.4813441088</v>
      </c>
      <c r="W3396" s="11"/>
      <c r="X3396" s="11"/>
      <c r="Y3396" s="45"/>
      <c r="Z3396" s="45"/>
      <c r="AA3396" s="31" t="s">
        <v>94</v>
      </c>
      <c r="AB3396" s="45" t="s">
        <v>13319</v>
      </c>
      <c r="AC3396" s="45"/>
    </row>
    <row r="3397" ht="18.75" customHeight="1">
      <c r="A3397" s="142" t="s">
        <v>13320</v>
      </c>
      <c r="B3397" s="19" t="s">
        <v>4313</v>
      </c>
      <c r="C3397" s="20">
        <v>1.0</v>
      </c>
      <c r="D3397" s="48" t="s">
        <v>13321</v>
      </c>
      <c r="E3397" s="27" t="s">
        <v>11712</v>
      </c>
      <c r="F3397" s="18" t="s">
        <v>48</v>
      </c>
      <c r="G3397" s="18" t="s">
        <v>35</v>
      </c>
      <c r="H3397" s="40" t="s">
        <v>35</v>
      </c>
      <c r="I3397" s="37" t="s">
        <v>36</v>
      </c>
      <c r="J3397" s="25" t="s">
        <v>92</v>
      </c>
      <c r="K3397" s="26" t="s">
        <v>38</v>
      </c>
      <c r="L3397" s="25">
        <v>12634.0</v>
      </c>
      <c r="M3397" s="49" t="s">
        <v>50</v>
      </c>
      <c r="N3397" s="42" t="s">
        <v>7145</v>
      </c>
      <c r="O3397" s="67">
        <v>45707.513273344906</v>
      </c>
      <c r="P3397" s="26" t="s">
        <v>13322</v>
      </c>
      <c r="Q3397" s="13" t="s">
        <v>75</v>
      </c>
      <c r="R3397" s="13" t="s">
        <v>75</v>
      </c>
      <c r="S3397" s="13"/>
      <c r="T3397" s="52">
        <v>45687.60714931713</v>
      </c>
      <c r="U3397" s="52">
        <v>45687.70324697917</v>
      </c>
      <c r="V3397" s="52"/>
      <c r="W3397" s="11"/>
      <c r="X3397" s="11"/>
      <c r="Y3397" s="45"/>
      <c r="Z3397" s="45"/>
      <c r="AA3397" s="31" t="s">
        <v>120</v>
      </c>
      <c r="AB3397" s="45" t="s">
        <v>13323</v>
      </c>
      <c r="AC3397" s="45"/>
    </row>
    <row r="3398" ht="18.75" customHeight="1">
      <c r="A3398" s="142" t="s">
        <v>13324</v>
      </c>
      <c r="B3398" s="19" t="s">
        <v>7780</v>
      </c>
      <c r="C3398" s="20">
        <v>27.0</v>
      </c>
      <c r="D3398" s="39" t="s">
        <v>13325</v>
      </c>
      <c r="E3398" s="27" t="s">
        <v>72</v>
      </c>
      <c r="F3398" s="18" t="s">
        <v>48</v>
      </c>
      <c r="G3398" s="18" t="s">
        <v>35</v>
      </c>
      <c r="H3398" s="40" t="s">
        <v>35</v>
      </c>
      <c r="I3398" s="37" t="s">
        <v>36</v>
      </c>
      <c r="J3398" s="25" t="s">
        <v>65</v>
      </c>
      <c r="K3398" s="26" t="s">
        <v>38</v>
      </c>
      <c r="L3398" s="25">
        <v>12535.0</v>
      </c>
      <c r="M3398" s="49" t="s">
        <v>50</v>
      </c>
      <c r="N3398" s="42" t="s">
        <v>8469</v>
      </c>
      <c r="O3398" s="50">
        <v>45687.74692292824</v>
      </c>
      <c r="P3398" s="26" t="s">
        <v>13326</v>
      </c>
      <c r="Q3398" s="13" t="s">
        <v>75</v>
      </c>
      <c r="R3398" s="13" t="s">
        <v>75</v>
      </c>
      <c r="S3398" s="13" t="s">
        <v>50</v>
      </c>
      <c r="T3398" s="52">
        <v>45687.49403030092</v>
      </c>
      <c r="U3398" s="52">
        <v>45687.57160229167</v>
      </c>
      <c r="V3398" s="52">
        <v>45687.58735878472</v>
      </c>
      <c r="W3398" s="11"/>
      <c r="X3398" s="11"/>
      <c r="Y3398" s="45"/>
      <c r="Z3398" s="45"/>
      <c r="AA3398" s="31" t="s">
        <v>94</v>
      </c>
      <c r="AB3398" s="45" t="s">
        <v>13327</v>
      </c>
      <c r="AC3398" s="45"/>
    </row>
    <row r="3399" ht="18.75" customHeight="1">
      <c r="A3399" s="142" t="s">
        <v>13328</v>
      </c>
      <c r="B3399" s="19" t="s">
        <v>11376</v>
      </c>
      <c r="C3399" s="20">
        <v>1.0</v>
      </c>
      <c r="D3399" s="48" t="s">
        <v>13329</v>
      </c>
      <c r="E3399" s="27" t="s">
        <v>3395</v>
      </c>
      <c r="F3399" s="18" t="s">
        <v>48</v>
      </c>
      <c r="G3399" s="18" t="s">
        <v>35</v>
      </c>
      <c r="H3399" s="40" t="s">
        <v>35</v>
      </c>
      <c r="I3399" s="37" t="s">
        <v>36</v>
      </c>
      <c r="J3399" s="25" t="s">
        <v>65</v>
      </c>
      <c r="K3399" s="26" t="s">
        <v>38</v>
      </c>
      <c r="L3399" s="25">
        <v>12539.0</v>
      </c>
      <c r="M3399" s="49" t="s">
        <v>50</v>
      </c>
      <c r="N3399" s="42" t="s">
        <v>3461</v>
      </c>
      <c r="O3399" s="50">
        <v>45688.700656319445</v>
      </c>
      <c r="P3399" s="26" t="s">
        <v>13330</v>
      </c>
      <c r="Q3399" s="13" t="s">
        <v>75</v>
      </c>
      <c r="R3399" s="13" t="s">
        <v>75</v>
      </c>
      <c r="S3399" s="13" t="s">
        <v>50</v>
      </c>
      <c r="T3399" s="52">
        <v>45687.48831158565</v>
      </c>
      <c r="U3399" s="52">
        <v>45687.687156238426</v>
      </c>
      <c r="V3399" s="52">
        <v>45688.37772885417</v>
      </c>
      <c r="W3399" s="11"/>
      <c r="X3399" s="11"/>
      <c r="Y3399" s="45"/>
      <c r="Z3399" s="45"/>
      <c r="AA3399" s="31" t="s">
        <v>3059</v>
      </c>
      <c r="AB3399" s="45" t="s">
        <v>13331</v>
      </c>
      <c r="AC3399" s="45"/>
    </row>
    <row r="3400" ht="18.75" customHeight="1">
      <c r="A3400" s="142" t="s">
        <v>13332</v>
      </c>
      <c r="B3400" s="19" t="s">
        <v>7703</v>
      </c>
      <c r="C3400" s="20">
        <v>27.0</v>
      </c>
      <c r="D3400" s="39" t="s">
        <v>13333</v>
      </c>
      <c r="E3400" s="27" t="s">
        <v>72</v>
      </c>
      <c r="F3400" s="18" t="s">
        <v>48</v>
      </c>
      <c r="G3400" s="18" t="s">
        <v>35</v>
      </c>
      <c r="H3400" s="40" t="s">
        <v>35</v>
      </c>
      <c r="I3400" s="37" t="s">
        <v>36</v>
      </c>
      <c r="J3400" s="25" t="s">
        <v>65</v>
      </c>
      <c r="K3400" s="26" t="s">
        <v>38</v>
      </c>
      <c r="L3400" s="25">
        <v>12540.0</v>
      </c>
      <c r="M3400" s="49" t="s">
        <v>50</v>
      </c>
      <c r="N3400" s="42" t="s">
        <v>3461</v>
      </c>
      <c r="O3400" s="50">
        <v>45688.70059084491</v>
      </c>
      <c r="P3400" s="26" t="s">
        <v>13334</v>
      </c>
      <c r="Q3400" s="13" t="s">
        <v>75</v>
      </c>
      <c r="R3400" s="13" t="s">
        <v>75</v>
      </c>
      <c r="S3400" s="13" t="s">
        <v>50</v>
      </c>
      <c r="T3400" s="52">
        <v>45687.5122472338</v>
      </c>
      <c r="U3400" s="52">
        <v>45687.57390870371</v>
      </c>
      <c r="V3400" s="52">
        <v>45688.37853002315</v>
      </c>
      <c r="W3400" s="11"/>
      <c r="X3400" s="11"/>
      <c r="Y3400" s="45"/>
      <c r="Z3400" s="45"/>
      <c r="AA3400" s="31" t="s">
        <v>3059</v>
      </c>
      <c r="AB3400" s="45" t="s">
        <v>13335</v>
      </c>
      <c r="AC3400" s="45"/>
    </row>
    <row r="3401" ht="18.75" customHeight="1">
      <c r="A3401" s="142" t="s">
        <v>13336</v>
      </c>
      <c r="B3401" s="19" t="s">
        <v>11733</v>
      </c>
      <c r="C3401" s="20">
        <v>34.0</v>
      </c>
      <c r="D3401" s="48" t="s">
        <v>13337</v>
      </c>
      <c r="E3401" s="27" t="s">
        <v>47</v>
      </c>
      <c r="F3401" s="18" t="s">
        <v>48</v>
      </c>
      <c r="G3401" s="18" t="s">
        <v>35</v>
      </c>
      <c r="H3401" s="40" t="s">
        <v>35</v>
      </c>
      <c r="I3401" s="37" t="s">
        <v>36</v>
      </c>
      <c r="J3401" s="25" t="s">
        <v>49</v>
      </c>
      <c r="K3401" s="26" t="s">
        <v>38</v>
      </c>
      <c r="L3401" s="25">
        <v>12561.0</v>
      </c>
      <c r="M3401" s="49" t="s">
        <v>50</v>
      </c>
      <c r="N3401" s="42" t="s">
        <v>143</v>
      </c>
      <c r="O3401" s="50">
        <v>45691.595452442125</v>
      </c>
      <c r="P3401" s="26" t="s">
        <v>13338</v>
      </c>
      <c r="Q3401" s="13" t="s">
        <v>75</v>
      </c>
      <c r="R3401" s="13" t="s">
        <v>75</v>
      </c>
      <c r="S3401" s="13" t="s">
        <v>50</v>
      </c>
      <c r="T3401" s="52">
        <v>45687.63128621528</v>
      </c>
      <c r="U3401" s="52">
        <v>45688.451268634264</v>
      </c>
      <c r="V3401" s="52">
        <v>45691.48136376157</v>
      </c>
      <c r="W3401" s="11"/>
      <c r="X3401" s="11"/>
      <c r="Y3401" s="45"/>
      <c r="Z3401" s="45"/>
      <c r="AA3401" s="31" t="s">
        <v>127</v>
      </c>
      <c r="AB3401" s="45" t="s">
        <v>13339</v>
      </c>
      <c r="AC3401" s="45"/>
    </row>
    <row r="3402" ht="18.75" customHeight="1">
      <c r="A3402" s="18" t="s">
        <v>13340</v>
      </c>
      <c r="B3402" s="19" t="s">
        <v>104</v>
      </c>
      <c r="C3402" s="20">
        <v>1.0</v>
      </c>
      <c r="D3402" s="48" t="s">
        <v>13341</v>
      </c>
      <c r="E3402" s="27" t="s">
        <v>3395</v>
      </c>
      <c r="F3402" s="18" t="s">
        <v>48</v>
      </c>
      <c r="G3402" s="18" t="s">
        <v>35</v>
      </c>
      <c r="H3402" s="40" t="s">
        <v>35</v>
      </c>
      <c r="I3402" s="37" t="s">
        <v>36</v>
      </c>
      <c r="J3402" s="25" t="s">
        <v>49</v>
      </c>
      <c r="K3402" s="26" t="s">
        <v>1184</v>
      </c>
      <c r="L3402" s="25">
        <v>12541.0</v>
      </c>
      <c r="M3402" s="49" t="s">
        <v>50</v>
      </c>
      <c r="N3402" s="42" t="s">
        <v>9953</v>
      </c>
      <c r="O3402" s="50">
        <v>45688.589345127315</v>
      </c>
      <c r="P3402" s="26" t="s">
        <v>13342</v>
      </c>
      <c r="Q3402" s="13" t="s">
        <v>75</v>
      </c>
      <c r="R3402" s="13" t="s">
        <v>75</v>
      </c>
      <c r="S3402" s="13" t="s">
        <v>50</v>
      </c>
      <c r="T3402" s="52">
        <v>45687.612709699075</v>
      </c>
      <c r="U3402" s="52">
        <v>45687.67905435185</v>
      </c>
      <c r="V3402" s="52">
        <v>45688.37775677083</v>
      </c>
      <c r="W3402" s="11"/>
      <c r="X3402" s="11"/>
      <c r="Y3402" s="45"/>
      <c r="Z3402" s="45"/>
      <c r="AA3402" s="31" t="s">
        <v>108</v>
      </c>
      <c r="AB3402" s="45" t="s">
        <v>13343</v>
      </c>
      <c r="AC3402" s="45"/>
    </row>
    <row r="3403" ht="18.75" customHeight="1">
      <c r="A3403" s="18" t="s">
        <v>13344</v>
      </c>
      <c r="B3403" s="19" t="s">
        <v>104</v>
      </c>
      <c r="C3403" s="20">
        <v>27.0</v>
      </c>
      <c r="D3403" s="39" t="s">
        <v>13345</v>
      </c>
      <c r="E3403" s="27" t="s">
        <v>72</v>
      </c>
      <c r="F3403" s="18" t="s">
        <v>48</v>
      </c>
      <c r="G3403" s="18" t="s">
        <v>35</v>
      </c>
      <c r="H3403" s="40" t="s">
        <v>35</v>
      </c>
      <c r="I3403" s="37" t="s">
        <v>36</v>
      </c>
      <c r="J3403" s="25" t="s">
        <v>49</v>
      </c>
      <c r="K3403" s="26" t="s">
        <v>1184</v>
      </c>
      <c r="L3403" s="25">
        <v>12541.0</v>
      </c>
      <c r="M3403" s="49" t="s">
        <v>50</v>
      </c>
      <c r="N3403" s="42" t="s">
        <v>9953</v>
      </c>
      <c r="O3403" s="50">
        <v>45688.58940370371</v>
      </c>
      <c r="P3403" s="26" t="s">
        <v>13342</v>
      </c>
      <c r="Q3403" s="13" t="s">
        <v>75</v>
      </c>
      <c r="R3403" s="13" t="s">
        <v>75</v>
      </c>
      <c r="S3403" s="13" t="s">
        <v>50</v>
      </c>
      <c r="T3403" s="52">
        <v>45687.61292061342</v>
      </c>
      <c r="U3403" s="52">
        <v>45687.67912244213</v>
      </c>
      <c r="V3403" s="52">
        <v>45688.37890135417</v>
      </c>
      <c r="W3403" s="11"/>
      <c r="X3403" s="11"/>
      <c r="Y3403" s="45"/>
      <c r="Z3403" s="45"/>
      <c r="AA3403" s="31" t="s">
        <v>108</v>
      </c>
      <c r="AB3403" s="45" t="s">
        <v>13346</v>
      </c>
      <c r="AC3403" s="45"/>
    </row>
    <row r="3404" ht="18.75" customHeight="1">
      <c r="A3404" s="142" t="s">
        <v>13347</v>
      </c>
      <c r="B3404" s="19" t="s">
        <v>4313</v>
      </c>
      <c r="C3404" s="20">
        <v>90.0</v>
      </c>
      <c r="D3404" s="48" t="s">
        <v>13348</v>
      </c>
      <c r="E3404" s="27" t="s">
        <v>91</v>
      </c>
      <c r="F3404" s="18" t="s">
        <v>48</v>
      </c>
      <c r="G3404" s="18" t="s">
        <v>35</v>
      </c>
      <c r="H3404" s="40" t="s">
        <v>35</v>
      </c>
      <c r="I3404" s="37" t="s">
        <v>36</v>
      </c>
      <c r="J3404" s="25" t="s">
        <v>92</v>
      </c>
      <c r="K3404" s="26" t="s">
        <v>38</v>
      </c>
      <c r="L3404" s="25">
        <v>12536.0</v>
      </c>
      <c r="M3404" s="49" t="s">
        <v>50</v>
      </c>
      <c r="N3404" s="42" t="s">
        <v>10176</v>
      </c>
      <c r="O3404" s="50">
        <v>45687.6358899537</v>
      </c>
      <c r="P3404" s="26" t="s">
        <v>13349</v>
      </c>
      <c r="Q3404" s="13" t="s">
        <v>75</v>
      </c>
      <c r="R3404" s="13"/>
      <c r="S3404" s="13" t="s">
        <v>50</v>
      </c>
      <c r="T3404" s="52">
        <v>45687.59752445602</v>
      </c>
      <c r="U3404" s="52"/>
      <c r="V3404" s="52">
        <v>45687.632759050925</v>
      </c>
      <c r="W3404" s="11"/>
      <c r="X3404" s="11"/>
      <c r="Y3404" s="45"/>
      <c r="Z3404" s="45"/>
      <c r="AA3404" s="31" t="s">
        <v>120</v>
      </c>
      <c r="AB3404" s="45" t="s">
        <v>13350</v>
      </c>
      <c r="AC3404" s="45"/>
    </row>
    <row r="3405" ht="18.75" customHeight="1">
      <c r="A3405" s="18" t="s">
        <v>13351</v>
      </c>
      <c r="B3405" s="19" t="s">
        <v>4313</v>
      </c>
      <c r="C3405" s="20">
        <v>0.0</v>
      </c>
      <c r="D3405" s="48" t="s">
        <v>13352</v>
      </c>
      <c r="E3405" s="27" t="s">
        <v>12486</v>
      </c>
      <c r="F3405" s="18" t="s">
        <v>11504</v>
      </c>
      <c r="G3405" s="18" t="s">
        <v>35</v>
      </c>
      <c r="H3405" s="40" t="s">
        <v>35</v>
      </c>
      <c r="I3405" s="37" t="s">
        <v>36</v>
      </c>
      <c r="J3405" s="25" t="s">
        <v>92</v>
      </c>
      <c r="K3405" s="26" t="s">
        <v>38</v>
      </c>
      <c r="L3405" s="25">
        <v>12584.0</v>
      </c>
      <c r="M3405" s="49" t="s">
        <v>50</v>
      </c>
      <c r="N3405" s="42" t="s">
        <v>10176</v>
      </c>
      <c r="O3405" s="50">
        <v>45694.62335633102</v>
      </c>
      <c r="P3405" s="26" t="s">
        <v>13353</v>
      </c>
      <c r="Q3405" s="13" t="s">
        <v>75</v>
      </c>
      <c r="R3405" s="13" t="s">
        <v>75</v>
      </c>
      <c r="S3405" s="13"/>
      <c r="T3405" s="52">
        <v>45687.613677500005</v>
      </c>
      <c r="U3405" s="52">
        <v>45687.702839606485</v>
      </c>
      <c r="V3405" s="52"/>
      <c r="W3405" s="11"/>
      <c r="X3405" s="11"/>
      <c r="Y3405" s="45"/>
      <c r="Z3405" s="45"/>
      <c r="AA3405" s="31"/>
      <c r="AB3405" s="45" t="s">
        <v>13354</v>
      </c>
      <c r="AC3405" s="45"/>
    </row>
    <row r="3406" ht="18.75" customHeight="1">
      <c r="A3406" s="18" t="s">
        <v>13355</v>
      </c>
      <c r="B3406" s="19" t="s">
        <v>4313</v>
      </c>
      <c r="C3406" s="20">
        <v>0.0</v>
      </c>
      <c r="D3406" s="48" t="s">
        <v>13352</v>
      </c>
      <c r="E3406" s="27" t="s">
        <v>11503</v>
      </c>
      <c r="F3406" s="18" t="s">
        <v>11504</v>
      </c>
      <c r="G3406" s="18" t="s">
        <v>35</v>
      </c>
      <c r="H3406" s="40" t="s">
        <v>35</v>
      </c>
      <c r="I3406" s="37" t="s">
        <v>36</v>
      </c>
      <c r="J3406" s="25" t="s">
        <v>92</v>
      </c>
      <c r="K3406" s="26" t="s">
        <v>38</v>
      </c>
      <c r="L3406" s="25">
        <v>12584.0</v>
      </c>
      <c r="M3406" s="49" t="s">
        <v>50</v>
      </c>
      <c r="N3406" s="42" t="s">
        <v>10176</v>
      </c>
      <c r="O3406" s="50">
        <v>45694.62329270833</v>
      </c>
      <c r="P3406" s="26" t="s">
        <v>13353</v>
      </c>
      <c r="Q3406" s="13" t="s">
        <v>75</v>
      </c>
      <c r="R3406" s="13" t="s">
        <v>75</v>
      </c>
      <c r="S3406" s="13"/>
      <c r="T3406" s="52">
        <v>45687.61394909723</v>
      </c>
      <c r="U3406" s="52">
        <v>45687.70280825232</v>
      </c>
      <c r="V3406" s="52"/>
      <c r="W3406" s="11"/>
      <c r="X3406" s="11"/>
      <c r="Y3406" s="45"/>
      <c r="Z3406" s="45"/>
      <c r="AA3406" s="31"/>
      <c r="AB3406" s="45" t="s">
        <v>13356</v>
      </c>
      <c r="AC3406" s="45"/>
    </row>
    <row r="3407" ht="18.75" customHeight="1">
      <c r="A3407" s="142" t="s">
        <v>13357</v>
      </c>
      <c r="B3407" s="19" t="s">
        <v>147</v>
      </c>
      <c r="C3407" s="20">
        <v>11.0</v>
      </c>
      <c r="D3407" s="48" t="s">
        <v>13358</v>
      </c>
      <c r="E3407" s="27" t="s">
        <v>112</v>
      </c>
      <c r="F3407" s="18" t="s">
        <v>48</v>
      </c>
      <c r="G3407" s="18" t="s">
        <v>35</v>
      </c>
      <c r="H3407" s="40" t="s">
        <v>35</v>
      </c>
      <c r="I3407" s="37" t="s">
        <v>36</v>
      </c>
      <c r="J3407" s="25" t="s">
        <v>65</v>
      </c>
      <c r="K3407" s="26" t="s">
        <v>38</v>
      </c>
      <c r="L3407" s="25">
        <v>12542.0</v>
      </c>
      <c r="M3407" s="49" t="s">
        <v>50</v>
      </c>
      <c r="N3407" s="42" t="s">
        <v>3461</v>
      </c>
      <c r="O3407" s="50">
        <v>45688.70045662037</v>
      </c>
      <c r="P3407" s="26" t="s">
        <v>13359</v>
      </c>
      <c r="Q3407" s="13" t="s">
        <v>75</v>
      </c>
      <c r="R3407" s="13" t="s">
        <v>75</v>
      </c>
      <c r="S3407" s="13" t="s">
        <v>50</v>
      </c>
      <c r="T3407" s="52">
        <v>45687.621455949076</v>
      </c>
      <c r="U3407" s="52">
        <v>45687.68129603009</v>
      </c>
      <c r="V3407" s="52">
        <v>45688.37924203704</v>
      </c>
      <c r="W3407" s="11"/>
      <c r="X3407" s="11"/>
      <c r="Y3407" s="45"/>
      <c r="Z3407" s="45"/>
      <c r="AA3407" s="31"/>
      <c r="AB3407" s="45" t="s">
        <v>13360</v>
      </c>
      <c r="AC3407" s="45"/>
    </row>
    <row r="3408" ht="18.75" customHeight="1">
      <c r="A3408" s="142" t="s">
        <v>13361</v>
      </c>
      <c r="B3408" s="19" t="s">
        <v>4711</v>
      </c>
      <c r="C3408" s="20">
        <v>0.0</v>
      </c>
      <c r="D3408" s="48" t="s">
        <v>13362</v>
      </c>
      <c r="E3408" s="27" t="s">
        <v>117</v>
      </c>
      <c r="F3408" s="18" t="s">
        <v>33</v>
      </c>
      <c r="G3408" s="18" t="s">
        <v>35</v>
      </c>
      <c r="H3408" s="40" t="s">
        <v>35</v>
      </c>
      <c r="I3408" s="37" t="s">
        <v>36</v>
      </c>
      <c r="J3408" s="25" t="s">
        <v>65</v>
      </c>
      <c r="K3408" s="26" t="s">
        <v>38</v>
      </c>
      <c r="L3408" s="25">
        <v>12590.0</v>
      </c>
      <c r="M3408" s="49" t="s">
        <v>50</v>
      </c>
      <c r="N3408" s="42" t="s">
        <v>149</v>
      </c>
      <c r="O3408" s="50">
        <v>45695.61082086805</v>
      </c>
      <c r="P3408" s="26" t="s">
        <v>13363</v>
      </c>
      <c r="Q3408" s="13" t="s">
        <v>75</v>
      </c>
      <c r="R3408" s="13" t="s">
        <v>75</v>
      </c>
      <c r="S3408" s="13" t="s">
        <v>101</v>
      </c>
      <c r="T3408" s="52">
        <v>45687.6253830787</v>
      </c>
      <c r="U3408" s="52">
        <v>45687.68104652778</v>
      </c>
      <c r="V3408" s="52">
        <v>45694.716212581014</v>
      </c>
      <c r="W3408" s="11"/>
      <c r="X3408" s="11"/>
      <c r="Y3408" s="45"/>
      <c r="Z3408" s="45"/>
      <c r="AA3408" s="31" t="s">
        <v>94</v>
      </c>
      <c r="AB3408" s="45" t="s">
        <v>13364</v>
      </c>
      <c r="AC3408" s="45"/>
    </row>
    <row r="3409" ht="18.75" customHeight="1">
      <c r="A3409" s="142" t="s">
        <v>13365</v>
      </c>
      <c r="B3409" s="19" t="s">
        <v>3289</v>
      </c>
      <c r="C3409" s="20">
        <v>90.0</v>
      </c>
      <c r="D3409" s="48" t="s">
        <v>13366</v>
      </c>
      <c r="E3409" s="27" t="s">
        <v>91</v>
      </c>
      <c r="F3409" s="18" t="s">
        <v>48</v>
      </c>
      <c r="G3409" s="18" t="s">
        <v>35</v>
      </c>
      <c r="H3409" s="40" t="s">
        <v>35</v>
      </c>
      <c r="I3409" s="37" t="s">
        <v>36</v>
      </c>
      <c r="J3409" s="25" t="s">
        <v>92</v>
      </c>
      <c r="K3409" s="26" t="s">
        <v>38</v>
      </c>
      <c r="L3409" s="25">
        <v>12543.0</v>
      </c>
      <c r="M3409" s="49" t="s">
        <v>50</v>
      </c>
      <c r="N3409" s="42" t="s">
        <v>4362</v>
      </c>
      <c r="O3409" s="67">
        <v>45705.43950487269</v>
      </c>
      <c r="P3409" s="26" t="s">
        <v>13367</v>
      </c>
      <c r="Q3409" s="13" t="s">
        <v>75</v>
      </c>
      <c r="R3409" s="13" t="s">
        <v>75</v>
      </c>
      <c r="S3409" s="13" t="s">
        <v>50</v>
      </c>
      <c r="T3409" s="52">
        <v>45687.70949479166</v>
      </c>
      <c r="U3409" s="52">
        <v>45687.722082465276</v>
      </c>
      <c r="V3409" s="52">
        <v>45688.37983622686</v>
      </c>
      <c r="W3409" s="11"/>
      <c r="X3409" s="11"/>
      <c r="Y3409" s="45"/>
      <c r="Z3409" s="45"/>
      <c r="AA3409" s="31" t="s">
        <v>120</v>
      </c>
      <c r="AB3409" s="45" t="s">
        <v>13368</v>
      </c>
      <c r="AC3409" s="45"/>
    </row>
    <row r="3410" ht="18.75" customHeight="1">
      <c r="A3410" s="142" t="s">
        <v>13369</v>
      </c>
      <c r="B3410" s="19" t="s">
        <v>104</v>
      </c>
      <c r="C3410" s="20">
        <v>27.0</v>
      </c>
      <c r="D3410" s="39" t="s">
        <v>13370</v>
      </c>
      <c r="E3410" s="27" t="s">
        <v>72</v>
      </c>
      <c r="F3410" s="18" t="s">
        <v>48</v>
      </c>
      <c r="G3410" s="18" t="s">
        <v>35</v>
      </c>
      <c r="H3410" s="40" t="s">
        <v>35</v>
      </c>
      <c r="I3410" s="37" t="s">
        <v>36</v>
      </c>
      <c r="J3410" s="25" t="s">
        <v>49</v>
      </c>
      <c r="K3410" s="26" t="s">
        <v>1184</v>
      </c>
      <c r="L3410" s="25">
        <v>12544.0</v>
      </c>
      <c r="M3410" s="49" t="s">
        <v>50</v>
      </c>
      <c r="N3410" s="42" t="s">
        <v>9953</v>
      </c>
      <c r="O3410" s="50">
        <v>45688.58946120371</v>
      </c>
      <c r="P3410" s="26" t="s">
        <v>13371</v>
      </c>
      <c r="Q3410" s="13" t="s">
        <v>75</v>
      </c>
      <c r="R3410" s="13" t="s">
        <v>75</v>
      </c>
      <c r="S3410" s="13" t="s">
        <v>50</v>
      </c>
      <c r="T3410" s="52">
        <v>45687.71078876157</v>
      </c>
      <c r="U3410" s="52">
        <v>45688.370101990746</v>
      </c>
      <c r="V3410" s="52">
        <v>45688.38360298611</v>
      </c>
      <c r="W3410" s="11"/>
      <c r="X3410" s="11"/>
      <c r="Y3410" s="45"/>
      <c r="Z3410" s="45"/>
      <c r="AA3410" s="31" t="s">
        <v>108</v>
      </c>
      <c r="AB3410" s="45" t="s">
        <v>13372</v>
      </c>
      <c r="AC3410" s="45"/>
    </row>
    <row r="3411" ht="18.75" customHeight="1">
      <c r="A3411" s="18" t="s">
        <v>13373</v>
      </c>
      <c r="B3411" s="19" t="s">
        <v>746</v>
      </c>
      <c r="C3411" s="20">
        <v>90.0</v>
      </c>
      <c r="D3411" s="48" t="s">
        <v>13374</v>
      </c>
      <c r="E3411" s="27" t="s">
        <v>91</v>
      </c>
      <c r="F3411" s="18" t="s">
        <v>48</v>
      </c>
      <c r="G3411" s="18" t="s">
        <v>35</v>
      </c>
      <c r="H3411" s="40" t="s">
        <v>35</v>
      </c>
      <c r="I3411" s="37" t="s">
        <v>36</v>
      </c>
      <c r="J3411" s="25" t="s">
        <v>65</v>
      </c>
      <c r="K3411" s="26" t="s">
        <v>38</v>
      </c>
      <c r="L3411" s="25">
        <v>12553.0</v>
      </c>
      <c r="M3411" s="49" t="s">
        <v>50</v>
      </c>
      <c r="N3411" s="42" t="s">
        <v>3461</v>
      </c>
      <c r="O3411" s="50">
        <v>45688.70019899306</v>
      </c>
      <c r="P3411" s="26" t="s">
        <v>13375</v>
      </c>
      <c r="Q3411" s="13" t="s">
        <v>75</v>
      </c>
      <c r="R3411" s="13" t="s">
        <v>75</v>
      </c>
      <c r="S3411" s="13" t="s">
        <v>50</v>
      </c>
      <c r="T3411" s="52">
        <v>45687.72581670139</v>
      </c>
      <c r="U3411" s="52">
        <v>45688.47819900463</v>
      </c>
      <c r="V3411" s="52">
        <v>45688.65604255787</v>
      </c>
      <c r="W3411" s="11"/>
      <c r="X3411" s="11"/>
      <c r="Y3411" s="45"/>
      <c r="Z3411" s="45"/>
      <c r="AA3411" s="31" t="s">
        <v>94</v>
      </c>
      <c r="AB3411" s="45" t="s">
        <v>13376</v>
      </c>
      <c r="AC3411" s="45"/>
    </row>
    <row r="3412" ht="18.75" customHeight="1">
      <c r="A3412" s="18" t="s">
        <v>13377</v>
      </c>
      <c r="B3412" s="19" t="s">
        <v>746</v>
      </c>
      <c r="C3412" s="20">
        <v>90.0</v>
      </c>
      <c r="D3412" s="48" t="s">
        <v>13378</v>
      </c>
      <c r="E3412" s="27" t="s">
        <v>91</v>
      </c>
      <c r="F3412" s="18" t="s">
        <v>48</v>
      </c>
      <c r="G3412" s="18" t="s">
        <v>35</v>
      </c>
      <c r="H3412" s="40" t="s">
        <v>35</v>
      </c>
      <c r="I3412" s="37" t="s">
        <v>36</v>
      </c>
      <c r="J3412" s="25" t="s">
        <v>65</v>
      </c>
      <c r="K3412" s="26" t="s">
        <v>38</v>
      </c>
      <c r="L3412" s="25">
        <v>12553.0</v>
      </c>
      <c r="M3412" s="49" t="s">
        <v>50</v>
      </c>
      <c r="N3412" s="42" t="s">
        <v>3461</v>
      </c>
      <c r="O3412" s="50">
        <v>45688.700122002316</v>
      </c>
      <c r="P3412" s="26" t="s">
        <v>13375</v>
      </c>
      <c r="Q3412" s="13" t="s">
        <v>75</v>
      </c>
      <c r="R3412" s="13" t="s">
        <v>75</v>
      </c>
      <c r="S3412" s="13" t="s">
        <v>50</v>
      </c>
      <c r="T3412" s="52">
        <v>45687.725895868054</v>
      </c>
      <c r="U3412" s="52">
        <v>45688.47821826389</v>
      </c>
      <c r="V3412" s="52">
        <v>45688.65604902778</v>
      </c>
      <c r="W3412" s="11"/>
      <c r="X3412" s="11"/>
      <c r="Y3412" s="45"/>
      <c r="Z3412" s="45"/>
      <c r="AA3412" s="31" t="s">
        <v>94</v>
      </c>
      <c r="AB3412" s="45" t="s">
        <v>13379</v>
      </c>
      <c r="AC3412" s="45"/>
    </row>
    <row r="3413" ht="18.75" customHeight="1">
      <c r="A3413" s="18" t="s">
        <v>13380</v>
      </c>
      <c r="B3413" s="19" t="s">
        <v>4885</v>
      </c>
      <c r="C3413" s="20">
        <v>0.0</v>
      </c>
      <c r="D3413" s="48" t="s">
        <v>13381</v>
      </c>
      <c r="E3413" s="27" t="s">
        <v>4430</v>
      </c>
      <c r="F3413" s="18" t="s">
        <v>48</v>
      </c>
      <c r="G3413" s="18" t="s">
        <v>35</v>
      </c>
      <c r="H3413" s="40" t="s">
        <v>35</v>
      </c>
      <c r="I3413" s="37" t="s">
        <v>36</v>
      </c>
      <c r="J3413" s="25" t="s">
        <v>92</v>
      </c>
      <c r="K3413" s="26" t="s">
        <v>38</v>
      </c>
      <c r="L3413" s="25">
        <v>12557.0</v>
      </c>
      <c r="M3413" s="49" t="s">
        <v>50</v>
      </c>
      <c r="N3413" s="42" t="s">
        <v>7145</v>
      </c>
      <c r="O3413" s="67">
        <v>45776.552238425924</v>
      </c>
      <c r="P3413" s="26" t="s">
        <v>13382</v>
      </c>
      <c r="Q3413" s="13" t="s">
        <v>75</v>
      </c>
      <c r="R3413" s="13" t="s">
        <v>75</v>
      </c>
      <c r="S3413" s="13" t="s">
        <v>50</v>
      </c>
      <c r="T3413" s="52">
        <v>45687.72694491898</v>
      </c>
      <c r="U3413" s="52">
        <v>45688.388889062495</v>
      </c>
      <c r="V3413" s="52">
        <v>45691.48135469908</v>
      </c>
      <c r="W3413" s="11"/>
      <c r="X3413" s="11"/>
      <c r="Y3413" s="45"/>
      <c r="Z3413" s="45"/>
      <c r="AA3413" s="31" t="s">
        <v>120</v>
      </c>
      <c r="AB3413" s="45" t="s">
        <v>13383</v>
      </c>
      <c r="AC3413" s="45"/>
    </row>
    <row r="3414" ht="18.75" customHeight="1">
      <c r="A3414" s="18" t="s">
        <v>13384</v>
      </c>
      <c r="B3414" s="19" t="s">
        <v>4885</v>
      </c>
      <c r="C3414" s="20">
        <v>90.0</v>
      </c>
      <c r="D3414" s="48" t="s">
        <v>13385</v>
      </c>
      <c r="E3414" s="27" t="s">
        <v>91</v>
      </c>
      <c r="F3414" s="18" t="s">
        <v>48</v>
      </c>
      <c r="G3414" s="18" t="s">
        <v>35</v>
      </c>
      <c r="H3414" s="40" t="s">
        <v>35</v>
      </c>
      <c r="I3414" s="37" t="s">
        <v>36</v>
      </c>
      <c r="J3414" s="25" t="s">
        <v>92</v>
      </c>
      <c r="K3414" s="26" t="s">
        <v>38</v>
      </c>
      <c r="L3414" s="25">
        <v>12557.0</v>
      </c>
      <c r="M3414" s="49" t="s">
        <v>50</v>
      </c>
      <c r="N3414" s="42" t="s">
        <v>7145</v>
      </c>
      <c r="O3414" s="67">
        <v>45776.55204061343</v>
      </c>
      <c r="P3414" s="26" t="s">
        <v>13382</v>
      </c>
      <c r="Q3414" s="13" t="s">
        <v>75</v>
      </c>
      <c r="R3414" s="13" t="s">
        <v>75</v>
      </c>
      <c r="S3414" s="13" t="s">
        <v>50</v>
      </c>
      <c r="T3414" s="52">
        <v>45687.727194907406</v>
      </c>
      <c r="U3414" s="52">
        <v>45688.388883182866</v>
      </c>
      <c r="V3414" s="52">
        <v>45691.35951221065</v>
      </c>
      <c r="W3414" s="11"/>
      <c r="X3414" s="11"/>
      <c r="Y3414" s="45"/>
      <c r="Z3414" s="45"/>
      <c r="AA3414" s="31" t="s">
        <v>120</v>
      </c>
      <c r="AB3414" s="45" t="s">
        <v>13386</v>
      </c>
      <c r="AC3414" s="45"/>
    </row>
    <row r="3415" ht="18.75" customHeight="1">
      <c r="A3415" s="18" t="s">
        <v>13387</v>
      </c>
      <c r="B3415" s="19" t="s">
        <v>3888</v>
      </c>
      <c r="C3415" s="20">
        <v>0.0</v>
      </c>
      <c r="D3415" s="48" t="s">
        <v>13388</v>
      </c>
      <c r="E3415" s="27" t="s">
        <v>3441</v>
      </c>
      <c r="F3415" s="18" t="s">
        <v>48</v>
      </c>
      <c r="G3415" s="18" t="s">
        <v>35</v>
      </c>
      <c r="H3415" s="40" t="s">
        <v>35</v>
      </c>
      <c r="I3415" s="37" t="s">
        <v>36</v>
      </c>
      <c r="J3415" s="25" t="s">
        <v>49</v>
      </c>
      <c r="K3415" s="26" t="s">
        <v>2978</v>
      </c>
      <c r="L3415" s="25">
        <v>12558.0</v>
      </c>
      <c r="M3415" s="49" t="s">
        <v>50</v>
      </c>
      <c r="N3415" s="42" t="s">
        <v>143</v>
      </c>
      <c r="O3415" s="50">
        <v>45691.59540013889</v>
      </c>
      <c r="P3415" s="26" t="s">
        <v>13389</v>
      </c>
      <c r="Q3415" s="13" t="s">
        <v>75</v>
      </c>
      <c r="R3415" s="13" t="s">
        <v>75</v>
      </c>
      <c r="S3415" s="13" t="s">
        <v>50</v>
      </c>
      <c r="T3415" s="52">
        <v>45688.44685366898</v>
      </c>
      <c r="U3415" s="52">
        <v>45688.63379043981</v>
      </c>
      <c r="V3415" s="52">
        <v>45691.48137688657</v>
      </c>
      <c r="W3415" s="11"/>
      <c r="X3415" s="11"/>
      <c r="Y3415" s="45"/>
      <c r="Z3415" s="45"/>
      <c r="AA3415" s="31" t="s">
        <v>108</v>
      </c>
      <c r="AB3415" s="45" t="s">
        <v>13390</v>
      </c>
      <c r="AC3415" s="45"/>
    </row>
    <row r="3416" ht="18.75" customHeight="1">
      <c r="A3416" s="18" t="s">
        <v>13391</v>
      </c>
      <c r="B3416" s="19" t="s">
        <v>3888</v>
      </c>
      <c r="C3416" s="20">
        <v>0.0</v>
      </c>
      <c r="D3416" s="48" t="s">
        <v>13392</v>
      </c>
      <c r="E3416" s="27" t="s">
        <v>3441</v>
      </c>
      <c r="F3416" s="18" t="s">
        <v>48</v>
      </c>
      <c r="G3416" s="18" t="s">
        <v>35</v>
      </c>
      <c r="H3416" s="40" t="s">
        <v>35</v>
      </c>
      <c r="I3416" s="37" t="s">
        <v>36</v>
      </c>
      <c r="J3416" s="25" t="s">
        <v>49</v>
      </c>
      <c r="K3416" s="26" t="s">
        <v>2978</v>
      </c>
      <c r="L3416" s="25">
        <v>12558.0</v>
      </c>
      <c r="M3416" s="49" t="s">
        <v>50</v>
      </c>
      <c r="N3416" s="42" t="s">
        <v>143</v>
      </c>
      <c r="O3416" s="50">
        <v>45691.59534829861</v>
      </c>
      <c r="P3416" s="26" t="s">
        <v>13389</v>
      </c>
      <c r="Q3416" s="13" t="s">
        <v>75</v>
      </c>
      <c r="R3416" s="13" t="s">
        <v>75</v>
      </c>
      <c r="S3416" s="13" t="s">
        <v>50</v>
      </c>
      <c r="T3416" s="52">
        <v>45688.63415334491</v>
      </c>
      <c r="U3416" s="52">
        <v>45688.634155266205</v>
      </c>
      <c r="V3416" s="52">
        <v>45691.48139065973</v>
      </c>
      <c r="W3416" s="11"/>
      <c r="X3416" s="11"/>
      <c r="Y3416" s="45"/>
      <c r="Z3416" s="45"/>
      <c r="AA3416" s="31" t="s">
        <v>108</v>
      </c>
      <c r="AB3416" s="45" t="s">
        <v>13393</v>
      </c>
      <c r="AC3416" s="45"/>
    </row>
    <row r="3417" ht="18.75" customHeight="1">
      <c r="A3417" s="18" t="s">
        <v>13394</v>
      </c>
      <c r="B3417" s="19" t="s">
        <v>4313</v>
      </c>
      <c r="C3417" s="20">
        <v>0.0</v>
      </c>
      <c r="D3417" s="48" t="s">
        <v>13395</v>
      </c>
      <c r="E3417" s="27" t="s">
        <v>3441</v>
      </c>
      <c r="F3417" s="18" t="s">
        <v>48</v>
      </c>
      <c r="G3417" s="18" t="s">
        <v>35</v>
      </c>
      <c r="H3417" s="40" t="s">
        <v>35</v>
      </c>
      <c r="I3417" s="37" t="s">
        <v>36</v>
      </c>
      <c r="J3417" s="25" t="s">
        <v>92</v>
      </c>
      <c r="K3417" s="26" t="s">
        <v>38</v>
      </c>
      <c r="L3417" s="25">
        <v>12552.0</v>
      </c>
      <c r="M3417" s="49" t="s">
        <v>50</v>
      </c>
      <c r="N3417" s="42" t="s">
        <v>7561</v>
      </c>
      <c r="O3417" s="50">
        <v>45688.6203665625</v>
      </c>
      <c r="P3417" s="26" t="s">
        <v>13396</v>
      </c>
      <c r="Q3417" s="13" t="s">
        <v>75</v>
      </c>
      <c r="R3417" s="13" t="s">
        <v>75</v>
      </c>
      <c r="S3417" s="13" t="s">
        <v>50</v>
      </c>
      <c r="T3417" s="52">
        <v>45688.61337517361</v>
      </c>
      <c r="U3417" s="52">
        <v>45688.613753275466</v>
      </c>
      <c r="V3417" s="52">
        <v>45688.61757770833</v>
      </c>
      <c r="W3417" s="11"/>
      <c r="X3417" s="11"/>
      <c r="Y3417" s="45"/>
      <c r="Z3417" s="45"/>
      <c r="AA3417" s="31" t="s">
        <v>120</v>
      </c>
      <c r="AB3417" s="45" t="s">
        <v>13397</v>
      </c>
      <c r="AC3417" s="45"/>
    </row>
    <row r="3418" ht="18.75" customHeight="1">
      <c r="A3418" s="18" t="s">
        <v>13398</v>
      </c>
      <c r="B3418" s="19" t="s">
        <v>4313</v>
      </c>
      <c r="C3418" s="20">
        <v>90.0</v>
      </c>
      <c r="D3418" s="48" t="s">
        <v>13399</v>
      </c>
      <c r="E3418" s="27" t="s">
        <v>91</v>
      </c>
      <c r="F3418" s="18" t="s">
        <v>48</v>
      </c>
      <c r="G3418" s="18" t="s">
        <v>35</v>
      </c>
      <c r="H3418" s="40" t="s">
        <v>35</v>
      </c>
      <c r="I3418" s="24" t="s">
        <v>36</v>
      </c>
      <c r="J3418" s="25" t="s">
        <v>92</v>
      </c>
      <c r="K3418" s="26" t="s">
        <v>38</v>
      </c>
      <c r="L3418" s="25">
        <v>12552.0</v>
      </c>
      <c r="M3418" s="49" t="s">
        <v>50</v>
      </c>
      <c r="N3418" s="42" t="s">
        <v>7561</v>
      </c>
      <c r="O3418" s="50">
        <v>45688.620267199076</v>
      </c>
      <c r="P3418" s="26" t="s">
        <v>13396</v>
      </c>
      <c r="Q3418" s="13" t="s">
        <v>75</v>
      </c>
      <c r="R3418" s="13" t="s">
        <v>75</v>
      </c>
      <c r="S3418" s="13" t="s">
        <v>50</v>
      </c>
      <c r="T3418" s="52">
        <v>45688.620771030095</v>
      </c>
      <c r="U3418" s="52">
        <v>45688.613651631946</v>
      </c>
      <c r="V3418" s="52">
        <v>45688.61740752315</v>
      </c>
      <c r="W3418" s="11"/>
      <c r="X3418" s="11"/>
      <c r="Y3418" s="45"/>
      <c r="Z3418" s="45"/>
      <c r="AA3418" s="31" t="s">
        <v>120</v>
      </c>
      <c r="AB3418" s="45" t="s">
        <v>13400</v>
      </c>
      <c r="AC3418" s="45"/>
    </row>
    <row r="3419" ht="18.75" customHeight="1">
      <c r="A3419" s="142" t="s">
        <v>13401</v>
      </c>
      <c r="B3419" s="19" t="s">
        <v>911</v>
      </c>
      <c r="C3419" s="20">
        <v>0.0</v>
      </c>
      <c r="D3419" s="48" t="s">
        <v>13402</v>
      </c>
      <c r="E3419" s="27" t="s">
        <v>4430</v>
      </c>
      <c r="F3419" s="18" t="s">
        <v>48</v>
      </c>
      <c r="G3419" s="18" t="s">
        <v>35</v>
      </c>
      <c r="H3419" s="40" t="s">
        <v>35</v>
      </c>
      <c r="I3419" s="37" t="s">
        <v>36</v>
      </c>
      <c r="J3419" s="25" t="s">
        <v>49</v>
      </c>
      <c r="K3419" s="26" t="s">
        <v>38</v>
      </c>
      <c r="L3419" s="25">
        <v>12559.0</v>
      </c>
      <c r="M3419" s="49" t="s">
        <v>50</v>
      </c>
      <c r="N3419" s="42" t="s">
        <v>143</v>
      </c>
      <c r="O3419" s="50">
        <v>45691.59524912037</v>
      </c>
      <c r="P3419" s="26" t="s">
        <v>13403</v>
      </c>
      <c r="Q3419" s="13" t="s">
        <v>75</v>
      </c>
      <c r="R3419" s="13" t="s">
        <v>75</v>
      </c>
      <c r="S3419" s="13" t="s">
        <v>50</v>
      </c>
      <c r="T3419" s="52">
        <v>45688.64900239583</v>
      </c>
      <c r="U3419" s="52">
        <v>45688.66415978009</v>
      </c>
      <c r="V3419" s="52">
        <v>45691.48140351852</v>
      </c>
      <c r="W3419" s="11"/>
      <c r="X3419" s="11"/>
      <c r="Y3419" s="45"/>
      <c r="Z3419" s="45"/>
      <c r="AA3419" s="31" t="s">
        <v>3053</v>
      </c>
      <c r="AB3419" s="45" t="s">
        <v>13404</v>
      </c>
      <c r="AC3419" s="45"/>
    </row>
    <row r="3420" ht="18.75" customHeight="1">
      <c r="A3420" s="142" t="s">
        <v>13405</v>
      </c>
      <c r="B3420" s="19" t="s">
        <v>63</v>
      </c>
      <c r="C3420" s="20">
        <v>90.0</v>
      </c>
      <c r="D3420" s="48" t="s">
        <v>13406</v>
      </c>
      <c r="E3420" s="27" t="s">
        <v>91</v>
      </c>
      <c r="F3420" s="18" t="s">
        <v>48</v>
      </c>
      <c r="G3420" s="18" t="s">
        <v>35</v>
      </c>
      <c r="H3420" s="40" t="s">
        <v>35</v>
      </c>
      <c r="I3420" s="37" t="s">
        <v>36</v>
      </c>
      <c r="J3420" s="25" t="s">
        <v>49</v>
      </c>
      <c r="K3420" s="26" t="s">
        <v>38</v>
      </c>
      <c r="L3420" s="25">
        <v>12555.0</v>
      </c>
      <c r="M3420" s="49" t="s">
        <v>50</v>
      </c>
      <c r="N3420" s="42" t="s">
        <v>143</v>
      </c>
      <c r="O3420" s="50">
        <v>45691.59520398148</v>
      </c>
      <c r="P3420" s="26" t="s">
        <v>13407</v>
      </c>
      <c r="Q3420" s="13" t="s">
        <v>75</v>
      </c>
      <c r="R3420" s="13" t="s">
        <v>75</v>
      </c>
      <c r="S3420" s="13" t="s">
        <v>50</v>
      </c>
      <c r="T3420" s="52">
        <v>45688.71015064815</v>
      </c>
      <c r="U3420" s="52">
        <v>45691.362435104165</v>
      </c>
      <c r="V3420" s="52">
        <v>45691.37432894676</v>
      </c>
      <c r="W3420" s="11"/>
      <c r="X3420" s="11"/>
      <c r="Y3420" s="45"/>
      <c r="Z3420" s="45"/>
      <c r="AA3420" s="31" t="s">
        <v>94</v>
      </c>
      <c r="AB3420" s="45" t="s">
        <v>13408</v>
      </c>
      <c r="AC3420" s="45"/>
    </row>
    <row r="3421" ht="18.75" customHeight="1">
      <c r="A3421" s="18" t="s">
        <v>13409</v>
      </c>
      <c r="B3421" s="19" t="s">
        <v>802</v>
      </c>
      <c r="C3421" s="20">
        <v>90.0</v>
      </c>
      <c r="D3421" s="48" t="s">
        <v>13410</v>
      </c>
      <c r="E3421" s="27" t="s">
        <v>91</v>
      </c>
      <c r="F3421" s="18" t="s">
        <v>48</v>
      </c>
      <c r="G3421" s="18" t="s">
        <v>35</v>
      </c>
      <c r="H3421" s="40" t="s">
        <v>35</v>
      </c>
      <c r="I3421" s="37" t="s">
        <v>36</v>
      </c>
      <c r="J3421" s="25" t="s">
        <v>49</v>
      </c>
      <c r="K3421" s="26" t="s">
        <v>805</v>
      </c>
      <c r="L3421" s="25">
        <v>12571.0</v>
      </c>
      <c r="M3421" s="49" t="s">
        <v>50</v>
      </c>
      <c r="N3421" s="42" t="s">
        <v>143</v>
      </c>
      <c r="O3421" s="50">
        <v>45692.59877322917</v>
      </c>
      <c r="P3421" s="26" t="s">
        <v>13411</v>
      </c>
      <c r="Q3421" s="13" t="s">
        <v>75</v>
      </c>
      <c r="R3421" s="13" t="s">
        <v>75</v>
      </c>
      <c r="S3421" s="13" t="s">
        <v>50</v>
      </c>
      <c r="T3421" s="52">
        <v>45691.38318335648</v>
      </c>
      <c r="U3421" s="52">
        <v>45692.49867884259</v>
      </c>
      <c r="V3421" s="52">
        <v>45692.573984675924</v>
      </c>
      <c r="W3421" s="11"/>
      <c r="X3421" s="11"/>
      <c r="Y3421" s="45"/>
      <c r="Z3421" s="45"/>
      <c r="AA3421" s="31" t="s">
        <v>3385</v>
      </c>
      <c r="AB3421" s="45" t="s">
        <v>13412</v>
      </c>
      <c r="AC3421" s="45"/>
    </row>
    <row r="3422" ht="18.75" customHeight="1">
      <c r="A3422" s="18" t="s">
        <v>13413</v>
      </c>
      <c r="B3422" s="19" t="s">
        <v>802</v>
      </c>
      <c r="C3422" s="20">
        <v>90.0</v>
      </c>
      <c r="D3422" s="48" t="s">
        <v>13414</v>
      </c>
      <c r="E3422" s="27" t="s">
        <v>91</v>
      </c>
      <c r="F3422" s="18" t="s">
        <v>48</v>
      </c>
      <c r="G3422" s="18" t="s">
        <v>35</v>
      </c>
      <c r="H3422" s="40" t="s">
        <v>35</v>
      </c>
      <c r="I3422" s="37" t="s">
        <v>36</v>
      </c>
      <c r="J3422" s="25" t="s">
        <v>49</v>
      </c>
      <c r="K3422" s="26" t="s">
        <v>805</v>
      </c>
      <c r="L3422" s="25">
        <v>12571.0</v>
      </c>
      <c r="M3422" s="49" t="s">
        <v>50</v>
      </c>
      <c r="N3422" s="42" t="s">
        <v>143</v>
      </c>
      <c r="O3422" s="50">
        <v>45692.59872285879</v>
      </c>
      <c r="P3422" s="26" t="s">
        <v>13411</v>
      </c>
      <c r="Q3422" s="13" t="s">
        <v>75</v>
      </c>
      <c r="R3422" s="13" t="s">
        <v>75</v>
      </c>
      <c r="S3422" s="13" t="s">
        <v>50</v>
      </c>
      <c r="T3422" s="52">
        <v>45691.383062928246</v>
      </c>
      <c r="U3422" s="52">
        <v>45692.498660613426</v>
      </c>
      <c r="V3422" s="52">
        <v>45692.57396537037</v>
      </c>
      <c r="W3422" s="11"/>
      <c r="X3422" s="11"/>
      <c r="Y3422" s="45"/>
      <c r="Z3422" s="45"/>
      <c r="AA3422" s="31" t="s">
        <v>3385</v>
      </c>
      <c r="AB3422" s="45" t="s">
        <v>13415</v>
      </c>
      <c r="AC3422" s="45"/>
    </row>
    <row r="3423" ht="18.75" customHeight="1">
      <c r="A3423" s="142" t="s">
        <v>13416</v>
      </c>
      <c r="B3423" s="19" t="s">
        <v>9554</v>
      </c>
      <c r="C3423" s="20">
        <v>1.0</v>
      </c>
      <c r="D3423" s="48" t="s">
        <v>13417</v>
      </c>
      <c r="E3423" s="27" t="s">
        <v>3395</v>
      </c>
      <c r="F3423" s="18" t="s">
        <v>48</v>
      </c>
      <c r="G3423" s="18" t="s">
        <v>35</v>
      </c>
      <c r="H3423" s="40" t="s">
        <v>35</v>
      </c>
      <c r="I3423" s="37" t="s">
        <v>36</v>
      </c>
      <c r="J3423" s="25" t="s">
        <v>49</v>
      </c>
      <c r="K3423" s="26" t="s">
        <v>9556</v>
      </c>
      <c r="L3423" s="25">
        <v>12556.0</v>
      </c>
      <c r="M3423" s="49" t="s">
        <v>50</v>
      </c>
      <c r="N3423" s="42" t="s">
        <v>143</v>
      </c>
      <c r="O3423" s="50">
        <v>45691.59515769676</v>
      </c>
      <c r="P3423" s="26" t="s">
        <v>13418</v>
      </c>
      <c r="Q3423" s="13" t="s">
        <v>75</v>
      </c>
      <c r="R3423" s="13" t="s">
        <v>75</v>
      </c>
      <c r="S3423" s="13" t="s">
        <v>50</v>
      </c>
      <c r="T3423" s="52">
        <v>45688.72721221065</v>
      </c>
      <c r="U3423" s="52">
        <v>45691.36327795139</v>
      </c>
      <c r="V3423" s="52">
        <v>45691.374341828705</v>
      </c>
      <c r="W3423" s="11"/>
      <c r="X3423" s="11"/>
      <c r="Y3423" s="45"/>
      <c r="Z3423" s="45"/>
      <c r="AA3423" s="31" t="s">
        <v>3053</v>
      </c>
      <c r="AB3423" s="45" t="s">
        <v>13419</v>
      </c>
      <c r="AC3423" s="45"/>
    </row>
    <row r="3424" ht="18.75" customHeight="1">
      <c r="A3424" s="142" t="s">
        <v>13420</v>
      </c>
      <c r="B3424" s="19" t="s">
        <v>12692</v>
      </c>
      <c r="C3424" s="20">
        <v>0.0</v>
      </c>
      <c r="D3424" s="48" t="s">
        <v>13421</v>
      </c>
      <c r="E3424" s="27" t="s">
        <v>13303</v>
      </c>
      <c r="F3424" s="18" t="s">
        <v>48</v>
      </c>
      <c r="G3424" s="18" t="s">
        <v>35</v>
      </c>
      <c r="H3424" s="40" t="s">
        <v>35</v>
      </c>
      <c r="I3424" s="37" t="s">
        <v>36</v>
      </c>
      <c r="J3424" s="25" t="s">
        <v>92</v>
      </c>
      <c r="K3424" s="26" t="s">
        <v>38</v>
      </c>
      <c r="L3424" s="25">
        <v>12601.0</v>
      </c>
      <c r="M3424" s="49" t="s">
        <v>50</v>
      </c>
      <c r="N3424" s="42" t="s">
        <v>13422</v>
      </c>
      <c r="O3424" s="67">
        <v>45699.48289133102</v>
      </c>
      <c r="P3424" s="26" t="s">
        <v>13423</v>
      </c>
      <c r="Q3424" s="13" t="s">
        <v>75</v>
      </c>
      <c r="R3424" s="13" t="s">
        <v>75</v>
      </c>
      <c r="S3424" s="13" t="s">
        <v>101</v>
      </c>
      <c r="T3424" s="52">
        <v>45691.420707708334</v>
      </c>
      <c r="U3424" s="52">
        <v>45691.569917754634</v>
      </c>
      <c r="V3424" s="44">
        <v>45698.6597662037</v>
      </c>
      <c r="W3424" s="11"/>
      <c r="X3424" s="11"/>
      <c r="Y3424" s="45"/>
      <c r="Z3424" s="45"/>
      <c r="AA3424" s="31" t="s">
        <v>3059</v>
      </c>
      <c r="AB3424" s="45" t="s">
        <v>13424</v>
      </c>
      <c r="AC3424" s="45"/>
    </row>
    <row r="3425" ht="18.75" customHeight="1">
      <c r="A3425" s="18" t="s">
        <v>13425</v>
      </c>
      <c r="B3425" s="19" t="s">
        <v>8743</v>
      </c>
      <c r="C3425" s="20">
        <v>137.0</v>
      </c>
      <c r="D3425" s="48" t="s">
        <v>13426</v>
      </c>
      <c r="E3425" s="27" t="s">
        <v>85</v>
      </c>
      <c r="F3425" s="18" t="s">
        <v>48</v>
      </c>
      <c r="G3425" s="18" t="s">
        <v>35</v>
      </c>
      <c r="H3425" s="40" t="s">
        <v>35</v>
      </c>
      <c r="I3425" s="37" t="s">
        <v>36</v>
      </c>
      <c r="J3425" s="25" t="s">
        <v>65</v>
      </c>
      <c r="K3425" s="26" t="s">
        <v>38</v>
      </c>
      <c r="L3425" s="25">
        <v>12568.0</v>
      </c>
      <c r="M3425" s="49" t="s">
        <v>50</v>
      </c>
      <c r="N3425" s="42" t="s">
        <v>149</v>
      </c>
      <c r="O3425" s="50">
        <v>45693.49642509259</v>
      </c>
      <c r="P3425" s="26" t="s">
        <v>13427</v>
      </c>
      <c r="Q3425" s="13" t="s">
        <v>75</v>
      </c>
      <c r="R3425" s="13" t="s">
        <v>75</v>
      </c>
      <c r="S3425" s="13" t="s">
        <v>50</v>
      </c>
      <c r="T3425" s="52">
        <v>45691.39480952546</v>
      </c>
      <c r="U3425" s="52">
        <v>45692.46683771991</v>
      </c>
      <c r="V3425" s="52">
        <v>45692.57572582176</v>
      </c>
      <c r="W3425" s="11"/>
      <c r="X3425" s="11"/>
      <c r="Y3425" s="45"/>
      <c r="Z3425" s="45"/>
      <c r="AA3425" s="31" t="s">
        <v>3059</v>
      </c>
      <c r="AB3425" s="45" t="s">
        <v>13428</v>
      </c>
      <c r="AC3425" s="45"/>
    </row>
    <row r="3426" ht="18.75" customHeight="1">
      <c r="A3426" s="18" t="s">
        <v>13429</v>
      </c>
      <c r="B3426" s="19" t="s">
        <v>8743</v>
      </c>
      <c r="C3426" s="20">
        <v>90.0</v>
      </c>
      <c r="D3426" s="48" t="s">
        <v>13430</v>
      </c>
      <c r="E3426" s="27" t="s">
        <v>91</v>
      </c>
      <c r="F3426" s="18" t="s">
        <v>48</v>
      </c>
      <c r="G3426" s="18" t="s">
        <v>35</v>
      </c>
      <c r="H3426" s="40" t="s">
        <v>35</v>
      </c>
      <c r="I3426" s="37" t="s">
        <v>36</v>
      </c>
      <c r="J3426" s="25" t="s">
        <v>65</v>
      </c>
      <c r="K3426" s="26" t="s">
        <v>38</v>
      </c>
      <c r="L3426" s="25">
        <v>12568.0</v>
      </c>
      <c r="M3426" s="49" t="s">
        <v>50</v>
      </c>
      <c r="N3426" s="42" t="s">
        <v>149</v>
      </c>
      <c r="O3426" s="50">
        <v>45693.49633502315</v>
      </c>
      <c r="P3426" s="26" t="s">
        <v>13427</v>
      </c>
      <c r="Q3426" s="13" t="s">
        <v>75</v>
      </c>
      <c r="R3426" s="13" t="s">
        <v>75</v>
      </c>
      <c r="S3426" s="13" t="s">
        <v>50</v>
      </c>
      <c r="T3426" s="52">
        <v>45691.395033113426</v>
      </c>
      <c r="U3426" s="52">
        <v>45692.46676201389</v>
      </c>
      <c r="V3426" s="52">
        <v>45692.57360590278</v>
      </c>
      <c r="W3426" s="11"/>
      <c r="X3426" s="11"/>
      <c r="Y3426" s="45"/>
      <c r="Z3426" s="45"/>
      <c r="AA3426" s="31" t="s">
        <v>3059</v>
      </c>
      <c r="AB3426" s="45" t="s">
        <v>13431</v>
      </c>
      <c r="AC3426" s="45"/>
    </row>
    <row r="3427" ht="18.75" customHeight="1">
      <c r="A3427" s="18" t="s">
        <v>13432</v>
      </c>
      <c r="B3427" s="19" t="s">
        <v>13433</v>
      </c>
      <c r="C3427" s="20">
        <v>34.0</v>
      </c>
      <c r="D3427" s="48" t="s">
        <v>13434</v>
      </c>
      <c r="E3427" s="27" t="s">
        <v>47</v>
      </c>
      <c r="F3427" s="18" t="s">
        <v>48</v>
      </c>
      <c r="G3427" s="18" t="s">
        <v>35</v>
      </c>
      <c r="H3427" s="40" t="s">
        <v>35</v>
      </c>
      <c r="I3427" s="37" t="s">
        <v>36</v>
      </c>
      <c r="J3427" s="25" t="s">
        <v>49</v>
      </c>
      <c r="K3427" s="26" t="s">
        <v>13435</v>
      </c>
      <c r="L3427" s="25">
        <v>12560.0</v>
      </c>
      <c r="M3427" s="49" t="s">
        <v>50</v>
      </c>
      <c r="N3427" s="42" t="s">
        <v>143</v>
      </c>
      <c r="O3427" s="50">
        <v>45691.59476961805</v>
      </c>
      <c r="P3427" s="26" t="s">
        <v>13436</v>
      </c>
      <c r="Q3427" s="13" t="s">
        <v>75</v>
      </c>
      <c r="R3427" s="13" t="s">
        <v>75</v>
      </c>
      <c r="S3427" s="13" t="s">
        <v>50</v>
      </c>
      <c r="T3427" s="52">
        <v>45691.4288916088</v>
      </c>
      <c r="U3427" s="52">
        <v>45691.44446844907</v>
      </c>
      <c r="V3427" s="52">
        <v>45691.48132460648</v>
      </c>
      <c r="W3427" s="11"/>
      <c r="X3427" s="11"/>
      <c r="Y3427" s="45"/>
      <c r="Z3427" s="45"/>
      <c r="AA3427" s="31" t="s">
        <v>5290</v>
      </c>
      <c r="AB3427" s="45" t="s">
        <v>13437</v>
      </c>
      <c r="AC3427" s="45"/>
    </row>
    <row r="3428" ht="18.75" customHeight="1">
      <c r="A3428" s="18" t="s">
        <v>13438</v>
      </c>
      <c r="B3428" s="19" t="s">
        <v>13433</v>
      </c>
      <c r="C3428" s="20">
        <v>27.0</v>
      </c>
      <c r="D3428" s="39" t="s">
        <v>13439</v>
      </c>
      <c r="E3428" s="27" t="s">
        <v>72</v>
      </c>
      <c r="F3428" s="18" t="s">
        <v>48</v>
      </c>
      <c r="G3428" s="18" t="s">
        <v>35</v>
      </c>
      <c r="H3428" s="40" t="s">
        <v>35</v>
      </c>
      <c r="I3428" s="37" t="s">
        <v>36</v>
      </c>
      <c r="J3428" s="25" t="s">
        <v>49</v>
      </c>
      <c r="K3428" s="26" t="s">
        <v>13435</v>
      </c>
      <c r="L3428" s="25">
        <v>12560.0</v>
      </c>
      <c r="M3428" s="49" t="s">
        <v>50</v>
      </c>
      <c r="N3428" s="42" t="s">
        <v>143</v>
      </c>
      <c r="O3428" s="50">
        <v>45691.595031018514</v>
      </c>
      <c r="P3428" s="26" t="s">
        <v>13436</v>
      </c>
      <c r="Q3428" s="13" t="s">
        <v>75</v>
      </c>
      <c r="R3428" s="13" t="s">
        <v>75</v>
      </c>
      <c r="S3428" s="13" t="s">
        <v>50</v>
      </c>
      <c r="T3428" s="52">
        <v>45691.42879287037</v>
      </c>
      <c r="U3428" s="52">
        <v>45691.444448912036</v>
      </c>
      <c r="V3428" s="52">
        <v>45691.48260578704</v>
      </c>
      <c r="W3428" s="11"/>
      <c r="X3428" s="11"/>
      <c r="Y3428" s="45"/>
      <c r="Z3428" s="45"/>
      <c r="AA3428" s="31" t="s">
        <v>5290</v>
      </c>
      <c r="AB3428" s="45" t="s">
        <v>13440</v>
      </c>
      <c r="AC3428" s="45"/>
    </row>
    <row r="3429" ht="18.75" customHeight="1">
      <c r="A3429" s="18" t="s">
        <v>13441</v>
      </c>
      <c r="B3429" s="19" t="s">
        <v>13433</v>
      </c>
      <c r="C3429" s="20">
        <v>11.0</v>
      </c>
      <c r="D3429" s="48" t="s">
        <v>13442</v>
      </c>
      <c r="E3429" s="27" t="s">
        <v>112</v>
      </c>
      <c r="F3429" s="18" t="s">
        <v>48</v>
      </c>
      <c r="G3429" s="18" t="s">
        <v>35</v>
      </c>
      <c r="H3429" s="40" t="s">
        <v>35</v>
      </c>
      <c r="I3429" s="37" t="s">
        <v>36</v>
      </c>
      <c r="J3429" s="25" t="s">
        <v>49</v>
      </c>
      <c r="K3429" s="26" t="s">
        <v>13435</v>
      </c>
      <c r="L3429" s="25">
        <v>12560.0</v>
      </c>
      <c r="M3429" s="49" t="s">
        <v>50</v>
      </c>
      <c r="N3429" s="42" t="s">
        <v>143</v>
      </c>
      <c r="O3429" s="50">
        <v>45691.59496877315</v>
      </c>
      <c r="P3429" s="26" t="s">
        <v>13436</v>
      </c>
      <c r="Q3429" s="13" t="s">
        <v>75</v>
      </c>
      <c r="R3429" s="13" t="s">
        <v>75</v>
      </c>
      <c r="S3429" s="13" t="s">
        <v>50</v>
      </c>
      <c r="T3429" s="52">
        <v>45691.42916478009</v>
      </c>
      <c r="U3429" s="52">
        <v>45691.444462534724</v>
      </c>
      <c r="V3429" s="52">
        <v>45691.482053541666</v>
      </c>
      <c r="W3429" s="11"/>
      <c r="X3429" s="11"/>
      <c r="Y3429" s="45"/>
      <c r="Z3429" s="45"/>
      <c r="AA3429" s="31" t="s">
        <v>5290</v>
      </c>
      <c r="AB3429" s="45" t="s">
        <v>13443</v>
      </c>
      <c r="AC3429" s="45"/>
    </row>
    <row r="3430" ht="18.75" customHeight="1">
      <c r="A3430" s="18" t="s">
        <v>13444</v>
      </c>
      <c r="B3430" s="19" t="s">
        <v>13445</v>
      </c>
      <c r="C3430" s="20">
        <v>0.0</v>
      </c>
      <c r="D3430" s="48" t="s">
        <v>1427</v>
      </c>
      <c r="E3430" s="27" t="s">
        <v>213</v>
      </c>
      <c r="F3430" s="18" t="s">
        <v>33</v>
      </c>
      <c r="G3430" s="18" t="s">
        <v>35</v>
      </c>
      <c r="H3430" s="40" t="s">
        <v>35</v>
      </c>
      <c r="I3430" s="37" t="s">
        <v>36</v>
      </c>
      <c r="J3430" s="25" t="s">
        <v>49</v>
      </c>
      <c r="K3430" s="26" t="s">
        <v>238</v>
      </c>
      <c r="L3430" s="25">
        <v>12727.0</v>
      </c>
      <c r="M3430" s="49" t="s">
        <v>50</v>
      </c>
      <c r="N3430" s="42" t="s">
        <v>5936</v>
      </c>
      <c r="O3430" s="67">
        <v>45730.72276447917</v>
      </c>
      <c r="P3430" s="26" t="s">
        <v>13446</v>
      </c>
      <c r="Q3430" s="13" t="s">
        <v>75</v>
      </c>
      <c r="R3430" s="13" t="s">
        <v>75</v>
      </c>
      <c r="S3430" s="13" t="s">
        <v>50</v>
      </c>
      <c r="T3430" s="44">
        <v>45715.41476641204</v>
      </c>
      <c r="U3430" s="44">
        <v>45715.414866377316</v>
      </c>
      <c r="V3430" s="44">
        <v>45730.48617416667</v>
      </c>
      <c r="W3430" s="11"/>
      <c r="X3430" s="148">
        <v>45714.0</v>
      </c>
      <c r="Y3430" s="45"/>
      <c r="Z3430" s="45"/>
      <c r="AA3430" s="31" t="s">
        <v>3808</v>
      </c>
      <c r="AB3430" s="45" t="s">
        <v>13447</v>
      </c>
      <c r="AC3430" s="45"/>
    </row>
    <row r="3431" ht="18.75" customHeight="1">
      <c r="A3431" s="18" t="s">
        <v>13448</v>
      </c>
      <c r="B3431" s="19" t="s">
        <v>13445</v>
      </c>
      <c r="C3431" s="20">
        <v>0.0</v>
      </c>
      <c r="D3431" s="48" t="s">
        <v>1396</v>
      </c>
      <c r="E3431" s="27" t="s">
        <v>251</v>
      </c>
      <c r="F3431" s="18" t="s">
        <v>33</v>
      </c>
      <c r="G3431" s="18" t="s">
        <v>35</v>
      </c>
      <c r="H3431" s="40" t="s">
        <v>35</v>
      </c>
      <c r="I3431" s="37" t="s">
        <v>36</v>
      </c>
      <c r="J3431" s="25" t="s">
        <v>49</v>
      </c>
      <c r="K3431" s="26" t="s">
        <v>238</v>
      </c>
      <c r="L3431" s="25">
        <v>12727.0</v>
      </c>
      <c r="M3431" s="49" t="s">
        <v>50</v>
      </c>
      <c r="N3431" s="42" t="s">
        <v>5936</v>
      </c>
      <c r="O3431" s="67">
        <v>45730.72262900463</v>
      </c>
      <c r="P3431" s="26" t="s">
        <v>13446</v>
      </c>
      <c r="Q3431" s="13" t="s">
        <v>75</v>
      </c>
      <c r="R3431" s="13" t="s">
        <v>75</v>
      </c>
      <c r="S3431" s="13" t="s">
        <v>101</v>
      </c>
      <c r="T3431" s="44">
        <v>45715.41473496528</v>
      </c>
      <c r="U3431" s="44">
        <v>45715.41485133102</v>
      </c>
      <c r="V3431" s="44">
        <v>45721.42201282407</v>
      </c>
      <c r="W3431" s="11"/>
      <c r="X3431" s="148">
        <v>45714.0</v>
      </c>
      <c r="Y3431" s="45"/>
      <c r="Z3431" s="45"/>
      <c r="AA3431" s="31" t="s">
        <v>3808</v>
      </c>
      <c r="AB3431" s="45" t="s">
        <v>13449</v>
      </c>
      <c r="AC3431" s="45"/>
    </row>
    <row r="3432" ht="18.75" customHeight="1">
      <c r="A3432" s="18" t="s">
        <v>13450</v>
      </c>
      <c r="B3432" s="19" t="s">
        <v>13445</v>
      </c>
      <c r="C3432" s="20">
        <v>0.0</v>
      </c>
      <c r="D3432" s="48" t="s">
        <v>13451</v>
      </c>
      <c r="E3432" s="22" t="s">
        <v>1119</v>
      </c>
      <c r="F3432" s="18" t="s">
        <v>33</v>
      </c>
      <c r="G3432" s="18" t="s">
        <v>35</v>
      </c>
      <c r="H3432" s="40" t="s">
        <v>35</v>
      </c>
      <c r="I3432" s="37" t="s">
        <v>36</v>
      </c>
      <c r="J3432" s="25" t="s">
        <v>49</v>
      </c>
      <c r="K3432" s="26" t="s">
        <v>238</v>
      </c>
      <c r="L3432" s="25">
        <v>12727.0</v>
      </c>
      <c r="M3432" s="49" t="s">
        <v>50</v>
      </c>
      <c r="N3432" s="42" t="s">
        <v>5936</v>
      </c>
      <c r="O3432" s="67">
        <v>45730.72288702546</v>
      </c>
      <c r="P3432" s="26" t="s">
        <v>13446</v>
      </c>
      <c r="Q3432" s="13" t="s">
        <v>75</v>
      </c>
      <c r="R3432" s="13" t="s">
        <v>75</v>
      </c>
      <c r="S3432" s="13" t="s">
        <v>101</v>
      </c>
      <c r="T3432" s="44">
        <v>45715.41479865741</v>
      </c>
      <c r="U3432" s="44">
        <v>45715.41487094907</v>
      </c>
      <c r="V3432" s="44">
        <v>45726.41979996528</v>
      </c>
      <c r="W3432" s="11"/>
      <c r="X3432" s="148">
        <v>45714.0</v>
      </c>
      <c r="Y3432" s="45"/>
      <c r="Z3432" s="45"/>
      <c r="AA3432" s="31" t="s">
        <v>3808</v>
      </c>
      <c r="AB3432" s="45" t="s">
        <v>13452</v>
      </c>
      <c r="AC3432" s="45"/>
    </row>
    <row r="3433" ht="18.75" customHeight="1">
      <c r="A3433" s="142" t="s">
        <v>13453</v>
      </c>
      <c r="B3433" s="19" t="s">
        <v>3289</v>
      </c>
      <c r="C3433" s="20">
        <v>0.0</v>
      </c>
      <c r="D3433" s="48" t="s">
        <v>1265</v>
      </c>
      <c r="E3433" s="27" t="s">
        <v>701</v>
      </c>
      <c r="F3433" s="18" t="s">
        <v>33</v>
      </c>
      <c r="G3433" s="18" t="s">
        <v>35</v>
      </c>
      <c r="H3433" s="40" t="s">
        <v>35</v>
      </c>
      <c r="I3433" s="37" t="s">
        <v>36</v>
      </c>
      <c r="J3433" s="25" t="s">
        <v>92</v>
      </c>
      <c r="K3433" s="26" t="s">
        <v>38</v>
      </c>
      <c r="L3433" s="25">
        <v>12563.0</v>
      </c>
      <c r="M3433" s="49" t="s">
        <v>50</v>
      </c>
      <c r="N3433" s="42" t="s">
        <v>4362</v>
      </c>
      <c r="O3433" s="50">
        <v>45691.64729395833</v>
      </c>
      <c r="P3433" s="26" t="s">
        <v>13454</v>
      </c>
      <c r="Q3433" s="13" t="s">
        <v>75</v>
      </c>
      <c r="R3433" s="13" t="s">
        <v>75</v>
      </c>
      <c r="S3433" s="13" t="s">
        <v>50</v>
      </c>
      <c r="T3433" s="52">
        <v>45691.63311674769</v>
      </c>
      <c r="U3433" s="52">
        <v>45691.63311780093</v>
      </c>
      <c r="V3433" s="52">
        <v>45691.64633033564</v>
      </c>
      <c r="W3433" s="11"/>
      <c r="X3433" s="11"/>
      <c r="Y3433" s="45"/>
      <c r="Z3433" s="45"/>
      <c r="AA3433" s="31" t="s">
        <v>120</v>
      </c>
      <c r="AB3433" s="45" t="s">
        <v>13455</v>
      </c>
      <c r="AC3433" s="45"/>
    </row>
    <row r="3434" ht="18.75" customHeight="1">
      <c r="A3434" s="142" t="s">
        <v>13456</v>
      </c>
      <c r="B3434" s="19" t="s">
        <v>8071</v>
      </c>
      <c r="C3434" s="20">
        <v>27.0</v>
      </c>
      <c r="D3434" s="39" t="s">
        <v>13457</v>
      </c>
      <c r="E3434" s="27" t="s">
        <v>72</v>
      </c>
      <c r="F3434" s="18" t="s">
        <v>48</v>
      </c>
      <c r="G3434" s="18" t="s">
        <v>35</v>
      </c>
      <c r="H3434" s="40" t="s">
        <v>35</v>
      </c>
      <c r="I3434" s="37" t="s">
        <v>36</v>
      </c>
      <c r="J3434" s="25" t="s">
        <v>49</v>
      </c>
      <c r="K3434" s="26" t="s">
        <v>38</v>
      </c>
      <c r="L3434" s="25">
        <v>12569.0</v>
      </c>
      <c r="M3434" s="49" t="s">
        <v>50</v>
      </c>
      <c r="N3434" s="42" t="s">
        <v>143</v>
      </c>
      <c r="O3434" s="50">
        <v>45692.598865555556</v>
      </c>
      <c r="P3434" s="26" t="s">
        <v>13458</v>
      </c>
      <c r="Q3434" s="13" t="s">
        <v>75</v>
      </c>
      <c r="R3434" s="13" t="s">
        <v>75</v>
      </c>
      <c r="S3434" s="13" t="s">
        <v>50</v>
      </c>
      <c r="T3434" s="52">
        <v>45692.404854293985</v>
      </c>
      <c r="U3434" s="52">
        <v>45692.45579091435</v>
      </c>
      <c r="V3434" s="52">
        <v>45692.5759984375</v>
      </c>
      <c r="W3434" s="11"/>
      <c r="X3434" s="11"/>
      <c r="Y3434" s="45"/>
      <c r="Z3434" s="45"/>
      <c r="AA3434" s="31" t="s">
        <v>127</v>
      </c>
      <c r="AB3434" s="45" t="s">
        <v>13459</v>
      </c>
      <c r="AC3434" s="45"/>
    </row>
    <row r="3435" ht="18.75" customHeight="1">
      <c r="A3435" s="142" t="s">
        <v>13460</v>
      </c>
      <c r="B3435" s="19" t="s">
        <v>1428</v>
      </c>
      <c r="C3435" s="20">
        <v>11.0</v>
      </c>
      <c r="D3435" s="48" t="s">
        <v>13461</v>
      </c>
      <c r="E3435" s="27" t="s">
        <v>112</v>
      </c>
      <c r="F3435" s="18" t="s">
        <v>48</v>
      </c>
      <c r="G3435" s="18" t="s">
        <v>35</v>
      </c>
      <c r="H3435" s="40" t="s">
        <v>35</v>
      </c>
      <c r="I3435" s="37" t="s">
        <v>36</v>
      </c>
      <c r="J3435" s="25" t="s">
        <v>49</v>
      </c>
      <c r="K3435" s="26" t="s">
        <v>1430</v>
      </c>
      <c r="L3435" s="25">
        <v>12574.0</v>
      </c>
      <c r="M3435" s="49" t="s">
        <v>50</v>
      </c>
      <c r="N3435" s="42" t="s">
        <v>5936</v>
      </c>
      <c r="O3435" s="50">
        <v>45693.6274333912</v>
      </c>
      <c r="P3435" s="26" t="s">
        <v>13462</v>
      </c>
      <c r="Q3435" s="13" t="s">
        <v>75</v>
      </c>
      <c r="R3435" s="13" t="s">
        <v>75</v>
      </c>
      <c r="S3435" s="13" t="s">
        <v>50</v>
      </c>
      <c r="T3435" s="52">
        <v>45692.406508217595</v>
      </c>
      <c r="U3435" s="52">
        <v>45692.469553020834</v>
      </c>
      <c r="V3435" s="52">
        <v>45693.35917038194</v>
      </c>
      <c r="W3435" s="11"/>
      <c r="X3435" s="11"/>
      <c r="Y3435" s="45"/>
      <c r="Z3435" s="45"/>
      <c r="AA3435" s="31" t="s">
        <v>9317</v>
      </c>
      <c r="AB3435" s="45" t="s">
        <v>13463</v>
      </c>
      <c r="AC3435" s="45"/>
    </row>
    <row r="3436" ht="18.75" customHeight="1">
      <c r="A3436" s="142" t="s">
        <v>13464</v>
      </c>
      <c r="B3436" s="19" t="s">
        <v>13465</v>
      </c>
      <c r="C3436" s="20">
        <v>90.0</v>
      </c>
      <c r="D3436" s="48" t="s">
        <v>13466</v>
      </c>
      <c r="E3436" s="27" t="s">
        <v>91</v>
      </c>
      <c r="F3436" s="18" t="s">
        <v>48</v>
      </c>
      <c r="G3436" s="18" t="s">
        <v>35</v>
      </c>
      <c r="H3436" s="40" t="s">
        <v>35</v>
      </c>
      <c r="I3436" s="37" t="s">
        <v>36</v>
      </c>
      <c r="J3436" s="25" t="s">
        <v>65</v>
      </c>
      <c r="K3436" s="26" t="s">
        <v>447</v>
      </c>
      <c r="L3436" s="25">
        <v>12570.0</v>
      </c>
      <c r="M3436" s="49" t="s">
        <v>50</v>
      </c>
      <c r="N3436" s="42" t="s">
        <v>149</v>
      </c>
      <c r="O3436" s="50">
        <v>45693.496497291664</v>
      </c>
      <c r="P3436" s="26" t="s">
        <v>13467</v>
      </c>
      <c r="Q3436" s="13" t="s">
        <v>75</v>
      </c>
      <c r="R3436" s="13" t="s">
        <v>75</v>
      </c>
      <c r="S3436" s="13" t="s">
        <v>50</v>
      </c>
      <c r="T3436" s="52">
        <v>45692.41074990741</v>
      </c>
      <c r="U3436" s="52">
        <v>45692.49532570602</v>
      </c>
      <c r="V3436" s="52">
        <v>45692.57395428241</v>
      </c>
      <c r="W3436" s="11"/>
      <c r="X3436" s="11"/>
      <c r="Y3436" s="45"/>
      <c r="Z3436" s="45"/>
      <c r="AA3436" s="31" t="s">
        <v>3059</v>
      </c>
      <c r="AB3436" s="45" t="s">
        <v>13468</v>
      </c>
      <c r="AC3436" s="45"/>
    </row>
    <row r="3437" ht="18.75" customHeight="1">
      <c r="A3437" s="142" t="s">
        <v>13469</v>
      </c>
      <c r="B3437" s="19" t="s">
        <v>1428</v>
      </c>
      <c r="C3437" s="20">
        <v>27.0</v>
      </c>
      <c r="D3437" s="39" t="s">
        <v>13470</v>
      </c>
      <c r="E3437" s="27" t="s">
        <v>72</v>
      </c>
      <c r="F3437" s="18" t="s">
        <v>48</v>
      </c>
      <c r="G3437" s="18" t="s">
        <v>35</v>
      </c>
      <c r="H3437" s="40" t="s">
        <v>35</v>
      </c>
      <c r="I3437" s="37" t="s">
        <v>36</v>
      </c>
      <c r="J3437" s="25" t="s">
        <v>49</v>
      </c>
      <c r="K3437" s="26" t="s">
        <v>1430</v>
      </c>
      <c r="L3437" s="25">
        <v>12575.0</v>
      </c>
      <c r="M3437" s="49" t="s">
        <v>50</v>
      </c>
      <c r="N3437" s="42" t="s">
        <v>5936</v>
      </c>
      <c r="O3437" s="50">
        <v>45693.627544166666</v>
      </c>
      <c r="P3437" s="26" t="s">
        <v>13471</v>
      </c>
      <c r="Q3437" s="13" t="s">
        <v>75</v>
      </c>
      <c r="R3437" s="13" t="s">
        <v>75</v>
      </c>
      <c r="S3437" s="13" t="s">
        <v>50</v>
      </c>
      <c r="T3437" s="52">
        <v>45692.42218974537</v>
      </c>
      <c r="U3437" s="52">
        <v>45692.46890685185</v>
      </c>
      <c r="V3437" s="52">
        <v>45693.35916006945</v>
      </c>
      <c r="W3437" s="11"/>
      <c r="X3437" s="11"/>
      <c r="Y3437" s="45"/>
      <c r="Z3437" s="45"/>
      <c r="AA3437" s="31" t="s">
        <v>9317</v>
      </c>
      <c r="AB3437" s="45" t="s">
        <v>13472</v>
      </c>
      <c r="AC3437" s="45"/>
    </row>
    <row r="3438" ht="18.75" customHeight="1">
      <c r="A3438" s="142" t="s">
        <v>13473</v>
      </c>
      <c r="B3438" s="19" t="s">
        <v>7490</v>
      </c>
      <c r="C3438" s="20">
        <v>0.0</v>
      </c>
      <c r="D3438" s="48" t="s">
        <v>13474</v>
      </c>
      <c r="E3438" s="27" t="s">
        <v>1530</v>
      </c>
      <c r="F3438" s="18" t="s">
        <v>33</v>
      </c>
      <c r="G3438" s="18" t="s">
        <v>35</v>
      </c>
      <c r="H3438" s="40" t="s">
        <v>35</v>
      </c>
      <c r="I3438" s="37" t="s">
        <v>36</v>
      </c>
      <c r="J3438" s="25" t="s">
        <v>92</v>
      </c>
      <c r="K3438" s="26" t="s">
        <v>38</v>
      </c>
      <c r="L3438" s="25">
        <v>12610.0</v>
      </c>
      <c r="M3438" s="41" t="s">
        <v>73</v>
      </c>
      <c r="N3438" s="42" t="s">
        <v>6840</v>
      </c>
      <c r="O3438" s="67">
        <v>45721.47497365741</v>
      </c>
      <c r="P3438" s="26" t="s">
        <v>13475</v>
      </c>
      <c r="Q3438" s="13" t="s">
        <v>75</v>
      </c>
      <c r="R3438" s="13" t="s">
        <v>75</v>
      </c>
      <c r="S3438" s="13" t="s">
        <v>101</v>
      </c>
      <c r="T3438" s="52">
        <v>45693.433562314814</v>
      </c>
      <c r="U3438" s="52">
        <v>45694.3740583912</v>
      </c>
      <c r="V3438" s="52">
        <v>45695.69600315973</v>
      </c>
      <c r="W3438" s="11"/>
      <c r="X3438" s="11"/>
      <c r="Y3438" s="45"/>
      <c r="Z3438" s="45"/>
      <c r="AA3438" s="31" t="s">
        <v>120</v>
      </c>
      <c r="AB3438" s="45" t="s">
        <v>13476</v>
      </c>
      <c r="AC3438" s="45"/>
    </row>
    <row r="3439" ht="18.75" customHeight="1">
      <c r="A3439" s="142" t="s">
        <v>13477</v>
      </c>
      <c r="B3439" s="19" t="s">
        <v>13478</v>
      </c>
      <c r="C3439" s="20">
        <v>0.0</v>
      </c>
      <c r="D3439" s="48" t="s">
        <v>13479</v>
      </c>
      <c r="E3439" s="27" t="s">
        <v>511</v>
      </c>
      <c r="F3439" s="18" t="s">
        <v>33</v>
      </c>
      <c r="G3439" s="18" t="s">
        <v>35</v>
      </c>
      <c r="H3439" s="40" t="s">
        <v>35</v>
      </c>
      <c r="I3439" s="37" t="s">
        <v>36</v>
      </c>
      <c r="J3439" s="25" t="s">
        <v>92</v>
      </c>
      <c r="K3439" s="26" t="s">
        <v>38</v>
      </c>
      <c r="L3439" s="25">
        <v>12611.0</v>
      </c>
      <c r="M3439" s="49" t="s">
        <v>50</v>
      </c>
      <c r="N3439" s="42" t="s">
        <v>5465</v>
      </c>
      <c r="O3439" s="67">
        <v>45733.461111111115</v>
      </c>
      <c r="P3439" s="26" t="s">
        <v>13480</v>
      </c>
      <c r="Q3439" s="13" t="s">
        <v>75</v>
      </c>
      <c r="R3439" s="13" t="s">
        <v>75</v>
      </c>
      <c r="S3439" s="13" t="s">
        <v>101</v>
      </c>
      <c r="T3439" s="52">
        <v>45693.43858619213</v>
      </c>
      <c r="U3439" s="52">
        <v>45694.373714201385</v>
      </c>
      <c r="V3439" s="52">
        <v>45695.696015995374</v>
      </c>
      <c r="W3439" s="11"/>
      <c r="X3439" s="11"/>
      <c r="Y3439" s="45"/>
      <c r="Z3439" s="45"/>
      <c r="AA3439" s="31" t="s">
        <v>120</v>
      </c>
      <c r="AB3439" s="45" t="s">
        <v>13481</v>
      </c>
      <c r="AC3439" s="45"/>
    </row>
    <row r="3440" ht="18.75" customHeight="1">
      <c r="A3440" s="18" t="s">
        <v>13482</v>
      </c>
      <c r="B3440" s="19" t="s">
        <v>8652</v>
      </c>
      <c r="C3440" s="20">
        <v>0.0</v>
      </c>
      <c r="D3440" s="48" t="s">
        <v>13483</v>
      </c>
      <c r="E3440" s="27" t="s">
        <v>713</v>
      </c>
      <c r="F3440" s="18" t="s">
        <v>33</v>
      </c>
      <c r="G3440" s="18" t="s">
        <v>35</v>
      </c>
      <c r="H3440" s="40" t="s">
        <v>35</v>
      </c>
      <c r="I3440" s="37" t="s">
        <v>36</v>
      </c>
      <c r="J3440" s="25" t="s">
        <v>65</v>
      </c>
      <c r="K3440" s="26" t="s">
        <v>38</v>
      </c>
      <c r="L3440" s="25">
        <v>12605.0</v>
      </c>
      <c r="M3440" s="49" t="s">
        <v>50</v>
      </c>
      <c r="N3440" s="42" t="s">
        <v>3461</v>
      </c>
      <c r="O3440" s="67">
        <v>45700.69397833334</v>
      </c>
      <c r="P3440" s="26" t="s">
        <v>13484</v>
      </c>
      <c r="Q3440" s="13" t="s">
        <v>75</v>
      </c>
      <c r="R3440" s="13" t="s">
        <v>75</v>
      </c>
      <c r="S3440" s="13" t="s">
        <v>101</v>
      </c>
      <c r="T3440" s="52">
        <v>45693.443207662036</v>
      </c>
      <c r="U3440" s="52">
        <v>45693.576459918986</v>
      </c>
      <c r="V3440" s="44">
        <v>45698.72581127315</v>
      </c>
      <c r="W3440" s="11"/>
      <c r="X3440" s="11"/>
      <c r="Y3440" s="45"/>
      <c r="Z3440" s="45"/>
      <c r="AA3440" s="31" t="s">
        <v>3059</v>
      </c>
      <c r="AB3440" s="45" t="s">
        <v>13485</v>
      </c>
      <c r="AC3440" s="45"/>
    </row>
    <row r="3441" ht="18.75" customHeight="1">
      <c r="A3441" s="18" t="s">
        <v>13486</v>
      </c>
      <c r="B3441" s="19" t="s">
        <v>8652</v>
      </c>
      <c r="C3441" s="20">
        <v>0.0</v>
      </c>
      <c r="D3441" s="48" t="s">
        <v>1298</v>
      </c>
      <c r="E3441" s="27" t="s">
        <v>713</v>
      </c>
      <c r="F3441" s="18" t="s">
        <v>33</v>
      </c>
      <c r="G3441" s="18" t="s">
        <v>35</v>
      </c>
      <c r="H3441" s="40" t="s">
        <v>35</v>
      </c>
      <c r="I3441" s="37" t="s">
        <v>36</v>
      </c>
      <c r="J3441" s="25" t="s">
        <v>65</v>
      </c>
      <c r="K3441" s="26" t="s">
        <v>38</v>
      </c>
      <c r="L3441" s="25">
        <v>12605.0</v>
      </c>
      <c r="M3441" s="49" t="s">
        <v>50</v>
      </c>
      <c r="N3441" s="42" t="s">
        <v>3461</v>
      </c>
      <c r="O3441" s="67">
        <v>45700.69405634259</v>
      </c>
      <c r="P3441" s="26" t="s">
        <v>13484</v>
      </c>
      <c r="Q3441" s="13" t="s">
        <v>75</v>
      </c>
      <c r="R3441" s="13" t="s">
        <v>75</v>
      </c>
      <c r="S3441" s="13" t="s">
        <v>101</v>
      </c>
      <c r="T3441" s="52">
        <v>45693.44337032408</v>
      </c>
      <c r="U3441" s="52">
        <v>45693.57648549769</v>
      </c>
      <c r="V3441" s="44">
        <v>45698.59201891204</v>
      </c>
      <c r="W3441" s="11"/>
      <c r="X3441" s="11"/>
      <c r="Y3441" s="45"/>
      <c r="Z3441" s="45"/>
      <c r="AA3441" s="31" t="s">
        <v>3059</v>
      </c>
      <c r="AB3441" s="45" t="s">
        <v>13487</v>
      </c>
      <c r="AC3441" s="45"/>
    </row>
    <row r="3442" ht="18.75" customHeight="1">
      <c r="A3442" s="142" t="s">
        <v>13488</v>
      </c>
      <c r="B3442" s="19" t="s">
        <v>3888</v>
      </c>
      <c r="C3442" s="20">
        <v>0.0</v>
      </c>
      <c r="D3442" s="48" t="s">
        <v>1302</v>
      </c>
      <c r="E3442" s="27" t="s">
        <v>1097</v>
      </c>
      <c r="F3442" s="18" t="s">
        <v>33</v>
      </c>
      <c r="G3442" s="18" t="s">
        <v>34</v>
      </c>
      <c r="H3442" s="40" t="s">
        <v>35</v>
      </c>
      <c r="I3442" s="37" t="s">
        <v>36</v>
      </c>
      <c r="J3442" s="25" t="s">
        <v>49</v>
      </c>
      <c r="K3442" s="26" t="s">
        <v>2978</v>
      </c>
      <c r="L3442" s="25">
        <v>12673.0</v>
      </c>
      <c r="M3442" s="49" t="s">
        <v>50</v>
      </c>
      <c r="N3442" s="42" t="s">
        <v>5936</v>
      </c>
      <c r="O3442" s="67">
        <v>45713.71108732639</v>
      </c>
      <c r="P3442" s="26" t="s">
        <v>13489</v>
      </c>
      <c r="Q3442" s="13" t="s">
        <v>75</v>
      </c>
      <c r="R3442" s="13" t="s">
        <v>75</v>
      </c>
      <c r="S3442" s="13"/>
      <c r="T3442" s="52">
        <v>45693.44511305555</v>
      </c>
      <c r="U3442" s="52">
        <v>45693.47138778935</v>
      </c>
      <c r="V3442" s="52"/>
      <c r="W3442" s="11"/>
      <c r="X3442" s="11"/>
      <c r="Y3442" s="45"/>
      <c r="Z3442" s="45"/>
      <c r="AA3442" s="31" t="s">
        <v>108</v>
      </c>
      <c r="AB3442" s="45" t="s">
        <v>13490</v>
      </c>
      <c r="AC3442" s="45"/>
    </row>
    <row r="3443" ht="18.75" customHeight="1">
      <c r="A3443" s="142" t="s">
        <v>13491</v>
      </c>
      <c r="B3443" s="19" t="s">
        <v>5469</v>
      </c>
      <c r="C3443" s="20">
        <v>1.0</v>
      </c>
      <c r="D3443" s="48" t="s">
        <v>1503</v>
      </c>
      <c r="E3443" s="27" t="s">
        <v>11712</v>
      </c>
      <c r="F3443" s="18" t="s">
        <v>48</v>
      </c>
      <c r="G3443" s="18" t="s">
        <v>35</v>
      </c>
      <c r="H3443" s="40" t="s">
        <v>35</v>
      </c>
      <c r="I3443" s="37" t="s">
        <v>36</v>
      </c>
      <c r="J3443" s="25" t="s">
        <v>49</v>
      </c>
      <c r="K3443" s="26" t="s">
        <v>38</v>
      </c>
      <c r="L3443" s="25">
        <v>12653.0</v>
      </c>
      <c r="M3443" s="49" t="s">
        <v>50</v>
      </c>
      <c r="N3443" s="42" t="s">
        <v>5936</v>
      </c>
      <c r="O3443" s="67">
        <v>45709.61259762732</v>
      </c>
      <c r="P3443" s="26" t="s">
        <v>13492</v>
      </c>
      <c r="Q3443" s="13" t="s">
        <v>75</v>
      </c>
      <c r="R3443" s="13" t="s">
        <v>75</v>
      </c>
      <c r="S3443" s="13"/>
      <c r="T3443" s="52">
        <v>45693.583666122686</v>
      </c>
      <c r="U3443" s="44">
        <v>45701.68499609954</v>
      </c>
      <c r="V3443" s="52"/>
      <c r="W3443" s="11"/>
      <c r="X3443" s="11"/>
      <c r="Y3443" s="45"/>
      <c r="Z3443" s="45"/>
      <c r="AA3443" s="31" t="s">
        <v>102</v>
      </c>
      <c r="AB3443" s="45" t="s">
        <v>13493</v>
      </c>
      <c r="AC3443" s="45"/>
    </row>
    <row r="3444" ht="18.75" customHeight="1">
      <c r="A3444" s="142" t="s">
        <v>13494</v>
      </c>
      <c r="B3444" s="19" t="s">
        <v>4090</v>
      </c>
      <c r="C3444" s="20">
        <v>90.0</v>
      </c>
      <c r="D3444" s="48" t="s">
        <v>13495</v>
      </c>
      <c r="E3444" s="27" t="s">
        <v>91</v>
      </c>
      <c r="F3444" s="18" t="s">
        <v>48</v>
      </c>
      <c r="G3444" s="18" t="s">
        <v>35</v>
      </c>
      <c r="H3444" s="40" t="s">
        <v>35</v>
      </c>
      <c r="I3444" s="37" t="s">
        <v>36</v>
      </c>
      <c r="J3444" s="25" t="s">
        <v>49</v>
      </c>
      <c r="K3444" s="26" t="s">
        <v>38</v>
      </c>
      <c r="L3444" s="25">
        <v>12582.0</v>
      </c>
      <c r="M3444" s="49" t="s">
        <v>50</v>
      </c>
      <c r="N3444" s="42" t="s">
        <v>5936</v>
      </c>
      <c r="O3444" s="50">
        <v>45694.651501388886</v>
      </c>
      <c r="P3444" s="26" t="s">
        <v>13496</v>
      </c>
      <c r="Q3444" s="13" t="s">
        <v>75</v>
      </c>
      <c r="R3444" s="13" t="s">
        <v>75</v>
      </c>
      <c r="S3444" s="13" t="s">
        <v>50</v>
      </c>
      <c r="T3444" s="52">
        <v>45693.60429603009</v>
      </c>
      <c r="U3444" s="52">
        <v>45693.61147556713</v>
      </c>
      <c r="V3444" s="52">
        <v>45694.36444770833</v>
      </c>
      <c r="W3444" s="11"/>
      <c r="X3444" s="11"/>
      <c r="Y3444" s="45"/>
      <c r="Z3444" s="45"/>
      <c r="AA3444" s="31" t="s">
        <v>127</v>
      </c>
      <c r="AB3444" s="45" t="s">
        <v>13497</v>
      </c>
      <c r="AC3444" s="45"/>
    </row>
    <row r="3445" ht="18.75" customHeight="1">
      <c r="A3445" s="142" t="s">
        <v>13498</v>
      </c>
      <c r="B3445" s="19" t="s">
        <v>5650</v>
      </c>
      <c r="C3445" s="20">
        <v>137.0</v>
      </c>
      <c r="D3445" s="48" t="s">
        <v>13499</v>
      </c>
      <c r="E3445" s="27" t="s">
        <v>85</v>
      </c>
      <c r="F3445" s="18" t="s">
        <v>48</v>
      </c>
      <c r="G3445" s="18" t="s">
        <v>35</v>
      </c>
      <c r="H3445" s="40" t="s">
        <v>35</v>
      </c>
      <c r="I3445" s="37" t="s">
        <v>36</v>
      </c>
      <c r="J3445" s="25" t="s">
        <v>49</v>
      </c>
      <c r="K3445" s="26" t="s">
        <v>38</v>
      </c>
      <c r="L3445" s="25">
        <v>12587.0</v>
      </c>
      <c r="M3445" s="49" t="s">
        <v>50</v>
      </c>
      <c r="N3445" s="42" t="s">
        <v>5936</v>
      </c>
      <c r="O3445" s="50">
        <v>45694.65157410879</v>
      </c>
      <c r="P3445" s="26" t="s">
        <v>13500</v>
      </c>
      <c r="Q3445" s="13" t="s">
        <v>75</v>
      </c>
      <c r="R3445" s="13" t="s">
        <v>75</v>
      </c>
      <c r="S3445" s="13" t="s">
        <v>50</v>
      </c>
      <c r="T3445" s="52">
        <v>45694.380094340275</v>
      </c>
      <c r="U3445" s="52">
        <v>45694.452413935185</v>
      </c>
      <c r="V3445" s="52">
        <v>45694.49751623842</v>
      </c>
      <c r="W3445" s="11"/>
      <c r="X3445" s="11"/>
      <c r="Y3445" s="45"/>
      <c r="Z3445" s="45"/>
      <c r="AA3445" s="31" t="s">
        <v>102</v>
      </c>
      <c r="AB3445" s="45" t="s">
        <v>13501</v>
      </c>
      <c r="AC3445" s="45"/>
    </row>
    <row r="3446" ht="18.75" customHeight="1">
      <c r="A3446" s="142" t="s">
        <v>13502</v>
      </c>
      <c r="B3446" s="19" t="s">
        <v>4744</v>
      </c>
      <c r="C3446" s="20">
        <v>90.0</v>
      </c>
      <c r="D3446" s="48" t="s">
        <v>13503</v>
      </c>
      <c r="E3446" s="27" t="s">
        <v>91</v>
      </c>
      <c r="F3446" s="18" t="s">
        <v>48</v>
      </c>
      <c r="G3446" s="18" t="s">
        <v>35</v>
      </c>
      <c r="H3446" s="40" t="s">
        <v>35</v>
      </c>
      <c r="I3446" s="37" t="s">
        <v>36</v>
      </c>
      <c r="J3446" s="25" t="s">
        <v>49</v>
      </c>
      <c r="K3446" s="26" t="s">
        <v>38</v>
      </c>
      <c r="L3446" s="25">
        <v>12586.0</v>
      </c>
      <c r="M3446" s="49" t="s">
        <v>50</v>
      </c>
      <c r="N3446" s="42" t="s">
        <v>5936</v>
      </c>
      <c r="O3446" s="50">
        <v>45694.65163512732</v>
      </c>
      <c r="P3446" s="26" t="s">
        <v>13504</v>
      </c>
      <c r="Q3446" s="13" t="s">
        <v>75</v>
      </c>
      <c r="R3446" s="13" t="s">
        <v>75</v>
      </c>
      <c r="S3446" s="13" t="s">
        <v>50</v>
      </c>
      <c r="T3446" s="52">
        <v>45694.38603386574</v>
      </c>
      <c r="U3446" s="52">
        <v>45694.426140428244</v>
      </c>
      <c r="V3446" s="52">
        <v>45694.434608842595</v>
      </c>
      <c r="W3446" s="11"/>
      <c r="X3446" s="11"/>
      <c r="Y3446" s="45"/>
      <c r="Z3446" s="45"/>
      <c r="AA3446" s="31" t="s">
        <v>102</v>
      </c>
      <c r="AB3446" s="45" t="s">
        <v>13505</v>
      </c>
      <c r="AC3446" s="45"/>
    </row>
    <row r="3447" ht="18.75" customHeight="1">
      <c r="A3447" s="142" t="s">
        <v>13506</v>
      </c>
      <c r="B3447" s="19" t="s">
        <v>13507</v>
      </c>
      <c r="C3447" s="20">
        <v>34.0</v>
      </c>
      <c r="D3447" s="48" t="s">
        <v>13508</v>
      </c>
      <c r="E3447" s="27" t="s">
        <v>47</v>
      </c>
      <c r="F3447" s="18" t="s">
        <v>48</v>
      </c>
      <c r="G3447" s="18" t="s">
        <v>35</v>
      </c>
      <c r="H3447" s="40" t="s">
        <v>35</v>
      </c>
      <c r="I3447" s="37" t="s">
        <v>36</v>
      </c>
      <c r="J3447" s="25" t="s">
        <v>92</v>
      </c>
      <c r="K3447" s="26" t="s">
        <v>38</v>
      </c>
      <c r="L3447" s="25">
        <v>12579.0</v>
      </c>
      <c r="M3447" s="49" t="s">
        <v>50</v>
      </c>
      <c r="N3447" s="42" t="s">
        <v>13509</v>
      </c>
      <c r="O3447" s="50">
        <v>45694.34273204861</v>
      </c>
      <c r="P3447" s="26" t="s">
        <v>13510</v>
      </c>
      <c r="Q3447" s="13" t="s">
        <v>73</v>
      </c>
      <c r="R3447" s="13" t="s">
        <v>73</v>
      </c>
      <c r="S3447" s="13" t="s">
        <v>50</v>
      </c>
      <c r="T3447" s="52">
        <v>45694.33758277778</v>
      </c>
      <c r="U3447" s="52">
        <v>45694.337671967594</v>
      </c>
      <c r="V3447" s="52">
        <v>45694.33857317129</v>
      </c>
      <c r="W3447" s="11"/>
      <c r="X3447" s="11"/>
      <c r="Y3447" s="45"/>
      <c r="Z3447" s="45"/>
      <c r="AA3447" s="31" t="s">
        <v>94</v>
      </c>
      <c r="AB3447" s="45" t="s">
        <v>13511</v>
      </c>
      <c r="AC3447" s="45"/>
    </row>
    <row r="3448" ht="18.75" customHeight="1">
      <c r="A3448" s="142" t="s">
        <v>13512</v>
      </c>
      <c r="B3448" s="19" t="s">
        <v>8426</v>
      </c>
      <c r="C3448" s="20">
        <v>0.0</v>
      </c>
      <c r="D3448" s="48" t="s">
        <v>13513</v>
      </c>
      <c r="E3448" s="27" t="s">
        <v>301</v>
      </c>
      <c r="F3448" s="18" t="s">
        <v>33</v>
      </c>
      <c r="G3448" s="18" t="s">
        <v>35</v>
      </c>
      <c r="H3448" s="40" t="s">
        <v>35</v>
      </c>
      <c r="I3448" s="37" t="s">
        <v>36</v>
      </c>
      <c r="J3448" s="25" t="s">
        <v>49</v>
      </c>
      <c r="K3448" s="26" t="s">
        <v>38</v>
      </c>
      <c r="L3448" s="25">
        <v>12708.0</v>
      </c>
      <c r="M3448" s="41" t="s">
        <v>73</v>
      </c>
      <c r="N3448" s="42" t="s">
        <v>5936</v>
      </c>
      <c r="O3448" s="67">
        <v>45726.626006886574</v>
      </c>
      <c r="P3448" s="26" t="s">
        <v>13514</v>
      </c>
      <c r="Q3448" s="13" t="s">
        <v>75</v>
      </c>
      <c r="R3448" s="13" t="s">
        <v>75</v>
      </c>
      <c r="S3448" s="13" t="s">
        <v>101</v>
      </c>
      <c r="T3448" s="52">
        <v>45694.40254016204</v>
      </c>
      <c r="U3448" s="52">
        <v>45694.45316012732</v>
      </c>
      <c r="V3448" s="44">
        <v>45709.66486179398</v>
      </c>
      <c r="W3448" s="11"/>
      <c r="X3448" s="11"/>
      <c r="Y3448" s="45"/>
      <c r="Z3448" s="45"/>
      <c r="AA3448" s="31" t="s">
        <v>102</v>
      </c>
      <c r="AB3448" s="45" t="s">
        <v>13515</v>
      </c>
      <c r="AC3448" s="45"/>
    </row>
    <row r="3449" ht="18.75" customHeight="1">
      <c r="A3449" s="142" t="s">
        <v>13516</v>
      </c>
      <c r="B3449" s="19" t="s">
        <v>4313</v>
      </c>
      <c r="C3449" s="20">
        <v>0.0</v>
      </c>
      <c r="D3449" s="48" t="s">
        <v>13517</v>
      </c>
      <c r="E3449" s="27" t="s">
        <v>11503</v>
      </c>
      <c r="F3449" s="18" t="s">
        <v>11504</v>
      </c>
      <c r="G3449" s="18" t="s">
        <v>35</v>
      </c>
      <c r="H3449" s="40" t="s">
        <v>35</v>
      </c>
      <c r="I3449" s="37" t="s">
        <v>36</v>
      </c>
      <c r="J3449" s="25" t="s">
        <v>92</v>
      </c>
      <c r="K3449" s="26" t="s">
        <v>38</v>
      </c>
      <c r="L3449" s="25">
        <v>12603.0</v>
      </c>
      <c r="M3449" s="49" t="s">
        <v>50</v>
      </c>
      <c r="N3449" s="42" t="s">
        <v>10176</v>
      </c>
      <c r="O3449" s="67">
        <v>45699.64019528935</v>
      </c>
      <c r="P3449" s="26" t="s">
        <v>13518</v>
      </c>
      <c r="Q3449" s="13" t="s">
        <v>75</v>
      </c>
      <c r="R3449" s="13" t="s">
        <v>75</v>
      </c>
      <c r="S3449" s="13" t="s">
        <v>50</v>
      </c>
      <c r="T3449" s="52">
        <v>45695.49285693287</v>
      </c>
      <c r="U3449" s="44">
        <v>45699.6384888426</v>
      </c>
      <c r="V3449" s="44">
        <v>45699.63908287037</v>
      </c>
      <c r="W3449" s="11"/>
      <c r="X3449" s="11"/>
      <c r="Y3449" s="45"/>
      <c r="Z3449" s="45"/>
      <c r="AA3449" s="31"/>
      <c r="AB3449" s="45" t="s">
        <v>13519</v>
      </c>
      <c r="AC3449" s="45"/>
    </row>
    <row r="3450" ht="18.75" customHeight="1">
      <c r="A3450" s="142" t="s">
        <v>13520</v>
      </c>
      <c r="B3450" s="19" t="s">
        <v>4352</v>
      </c>
      <c r="C3450" s="20">
        <v>137.0</v>
      </c>
      <c r="D3450" s="48" t="s">
        <v>13521</v>
      </c>
      <c r="E3450" s="27" t="s">
        <v>85</v>
      </c>
      <c r="F3450" s="18" t="s">
        <v>48</v>
      </c>
      <c r="G3450" s="18" t="s">
        <v>35</v>
      </c>
      <c r="H3450" s="40" t="s">
        <v>35</v>
      </c>
      <c r="I3450" s="37" t="s">
        <v>36</v>
      </c>
      <c r="J3450" s="25" t="s">
        <v>49</v>
      </c>
      <c r="K3450" s="26" t="s">
        <v>38</v>
      </c>
      <c r="L3450" s="72">
        <v>12598.0</v>
      </c>
      <c r="M3450" s="49" t="s">
        <v>50</v>
      </c>
      <c r="N3450" s="42" t="s">
        <v>5936</v>
      </c>
      <c r="O3450" s="67">
        <v>45699.64730773148</v>
      </c>
      <c r="P3450" s="26" t="s">
        <v>13522</v>
      </c>
      <c r="Q3450" s="13" t="s">
        <v>75</v>
      </c>
      <c r="R3450" s="13" t="s">
        <v>75</v>
      </c>
      <c r="S3450" s="13" t="s">
        <v>50</v>
      </c>
      <c r="T3450" s="52">
        <v>45695.49529475694</v>
      </c>
      <c r="U3450" s="44">
        <v>45698.530473136576</v>
      </c>
      <c r="V3450" s="44">
        <v>45698.62923193287</v>
      </c>
      <c r="W3450" s="11"/>
      <c r="X3450" s="11"/>
      <c r="Y3450" s="45"/>
      <c r="Z3450" s="45"/>
      <c r="AA3450" s="31" t="s">
        <v>127</v>
      </c>
      <c r="AB3450" s="45" t="s">
        <v>13523</v>
      </c>
      <c r="AC3450" s="45"/>
    </row>
    <row r="3451" ht="18.75" customHeight="1">
      <c r="A3451" s="142" t="s">
        <v>13524</v>
      </c>
      <c r="B3451" s="19" t="s">
        <v>9750</v>
      </c>
      <c r="C3451" s="20">
        <v>137.0</v>
      </c>
      <c r="D3451" s="48" t="s">
        <v>13525</v>
      </c>
      <c r="E3451" s="27" t="s">
        <v>85</v>
      </c>
      <c r="F3451" s="18" t="s">
        <v>48</v>
      </c>
      <c r="G3451" s="18" t="s">
        <v>35</v>
      </c>
      <c r="H3451" s="40" t="s">
        <v>35</v>
      </c>
      <c r="I3451" s="37" t="s">
        <v>36</v>
      </c>
      <c r="J3451" s="25" t="s">
        <v>65</v>
      </c>
      <c r="K3451" s="26" t="s">
        <v>38</v>
      </c>
      <c r="L3451" s="25">
        <v>12593.0</v>
      </c>
      <c r="M3451" s="49" t="s">
        <v>50</v>
      </c>
      <c r="N3451" s="42" t="s">
        <v>149</v>
      </c>
      <c r="O3451" s="67">
        <v>45698.614751319445</v>
      </c>
      <c r="P3451" s="26" t="s">
        <v>13526</v>
      </c>
      <c r="Q3451" s="13" t="s">
        <v>75</v>
      </c>
      <c r="R3451" s="13" t="s">
        <v>75</v>
      </c>
      <c r="S3451" s="13" t="s">
        <v>50</v>
      </c>
      <c r="T3451" s="52">
        <v>45695.5031674537</v>
      </c>
      <c r="U3451" s="52">
        <v>45695.59147630787</v>
      </c>
      <c r="V3451" s="52">
        <v>45698.34620547453</v>
      </c>
      <c r="W3451" s="11"/>
      <c r="X3451" s="11"/>
      <c r="Y3451" s="45"/>
      <c r="Z3451" s="45"/>
      <c r="AA3451" s="31" t="s">
        <v>3059</v>
      </c>
      <c r="AB3451" s="45" t="s">
        <v>13527</v>
      </c>
      <c r="AC3451" s="45"/>
    </row>
    <row r="3452" ht="18.75" customHeight="1">
      <c r="A3452" s="18" t="s">
        <v>13528</v>
      </c>
      <c r="B3452" s="19" t="s">
        <v>5180</v>
      </c>
      <c r="C3452" s="20">
        <v>27.0</v>
      </c>
      <c r="D3452" s="39" t="s">
        <v>13529</v>
      </c>
      <c r="E3452" s="27" t="s">
        <v>72</v>
      </c>
      <c r="F3452" s="18" t="s">
        <v>48</v>
      </c>
      <c r="G3452" s="18" t="s">
        <v>35</v>
      </c>
      <c r="H3452" s="40" t="s">
        <v>35</v>
      </c>
      <c r="I3452" s="37" t="s">
        <v>36</v>
      </c>
      <c r="J3452" s="25" t="s">
        <v>65</v>
      </c>
      <c r="K3452" s="26" t="s">
        <v>38</v>
      </c>
      <c r="L3452" s="25">
        <v>12594.0</v>
      </c>
      <c r="M3452" s="49" t="s">
        <v>50</v>
      </c>
      <c r="N3452" s="42" t="s">
        <v>149</v>
      </c>
      <c r="O3452" s="67">
        <v>45698.61489376157</v>
      </c>
      <c r="P3452" s="26" t="s">
        <v>13530</v>
      </c>
      <c r="Q3452" s="13" t="s">
        <v>75</v>
      </c>
      <c r="R3452" s="13" t="s">
        <v>75</v>
      </c>
      <c r="S3452" s="13" t="s">
        <v>50</v>
      </c>
      <c r="T3452" s="52">
        <v>45695.504021747685</v>
      </c>
      <c r="U3452" s="52">
        <v>45695.562613472226</v>
      </c>
      <c r="V3452" s="52">
        <v>45698.346193206016</v>
      </c>
      <c r="W3452" s="11"/>
      <c r="X3452" s="11"/>
      <c r="Y3452" s="45"/>
      <c r="Z3452" s="45"/>
      <c r="AA3452" s="31" t="s">
        <v>94</v>
      </c>
      <c r="AB3452" s="45" t="s">
        <v>13531</v>
      </c>
      <c r="AC3452" s="45"/>
    </row>
    <row r="3453" ht="18.75" customHeight="1">
      <c r="A3453" s="18" t="s">
        <v>13532</v>
      </c>
      <c r="B3453" s="19" t="s">
        <v>5180</v>
      </c>
      <c r="C3453" s="20">
        <v>0.0</v>
      </c>
      <c r="D3453" s="48" t="s">
        <v>13533</v>
      </c>
      <c r="E3453" s="27" t="s">
        <v>3441</v>
      </c>
      <c r="F3453" s="18" t="s">
        <v>48</v>
      </c>
      <c r="G3453" s="18" t="s">
        <v>35</v>
      </c>
      <c r="H3453" s="40" t="s">
        <v>35</v>
      </c>
      <c r="I3453" s="37" t="s">
        <v>36</v>
      </c>
      <c r="J3453" s="25" t="s">
        <v>65</v>
      </c>
      <c r="K3453" s="26" t="s">
        <v>38</v>
      </c>
      <c r="L3453" s="25">
        <v>12594.0</v>
      </c>
      <c r="M3453" s="49" t="s">
        <v>50</v>
      </c>
      <c r="N3453" s="42" t="s">
        <v>149</v>
      </c>
      <c r="O3453" s="67">
        <v>45698.614830011575</v>
      </c>
      <c r="P3453" s="26" t="s">
        <v>13530</v>
      </c>
      <c r="Q3453" s="13" t="s">
        <v>75</v>
      </c>
      <c r="R3453" s="13" t="s">
        <v>75</v>
      </c>
      <c r="S3453" s="13" t="s">
        <v>50</v>
      </c>
      <c r="T3453" s="52">
        <v>45695.50550900463</v>
      </c>
      <c r="U3453" s="52">
        <v>45695.56252787037</v>
      </c>
      <c r="V3453" s="52">
        <v>45698.34154246528</v>
      </c>
      <c r="W3453" s="11"/>
      <c r="X3453" s="11"/>
      <c r="Y3453" s="45"/>
      <c r="Z3453" s="45"/>
      <c r="AA3453" s="31" t="s">
        <v>94</v>
      </c>
      <c r="AB3453" s="45" t="s">
        <v>13534</v>
      </c>
      <c r="AC3453" s="45"/>
    </row>
    <row r="3454" ht="18.75" customHeight="1">
      <c r="A3454" s="142" t="s">
        <v>13535</v>
      </c>
      <c r="B3454" s="19" t="s">
        <v>115</v>
      </c>
      <c r="C3454" s="20">
        <v>137.0</v>
      </c>
      <c r="D3454" s="48" t="s">
        <v>13536</v>
      </c>
      <c r="E3454" s="27" t="s">
        <v>85</v>
      </c>
      <c r="F3454" s="18" t="s">
        <v>48</v>
      </c>
      <c r="G3454" s="18" t="s">
        <v>35</v>
      </c>
      <c r="H3454" s="40" t="s">
        <v>35</v>
      </c>
      <c r="I3454" s="37" t="s">
        <v>36</v>
      </c>
      <c r="J3454" s="25" t="s">
        <v>92</v>
      </c>
      <c r="K3454" s="26" t="s">
        <v>38</v>
      </c>
      <c r="L3454" s="25">
        <v>12600.0</v>
      </c>
      <c r="M3454" s="49" t="s">
        <v>50</v>
      </c>
      <c r="N3454" s="42" t="s">
        <v>10176</v>
      </c>
      <c r="O3454" s="67">
        <v>45699.64010063658</v>
      </c>
      <c r="P3454" s="26" t="s">
        <v>13537</v>
      </c>
      <c r="Q3454" s="13" t="s">
        <v>75</v>
      </c>
      <c r="R3454" s="13" t="s">
        <v>75</v>
      </c>
      <c r="S3454" s="13" t="s">
        <v>50</v>
      </c>
      <c r="T3454" s="52">
        <v>45698.49142928241</v>
      </c>
      <c r="U3454" s="44">
        <v>45698.58400796296</v>
      </c>
      <c r="V3454" s="44">
        <v>45699.34657432871</v>
      </c>
      <c r="W3454" s="11"/>
      <c r="X3454" s="11"/>
      <c r="Y3454" s="45"/>
      <c r="Z3454" s="45"/>
      <c r="AA3454" s="31" t="s">
        <v>120</v>
      </c>
      <c r="AB3454" s="45" t="s">
        <v>13538</v>
      </c>
      <c r="AC3454" s="45"/>
    </row>
    <row r="3455" ht="18.75" customHeight="1">
      <c r="A3455" s="18" t="s">
        <v>13539</v>
      </c>
      <c r="B3455" s="19" t="s">
        <v>1192</v>
      </c>
      <c r="C3455" s="20">
        <v>27.0</v>
      </c>
      <c r="D3455" s="39" t="s">
        <v>13540</v>
      </c>
      <c r="E3455" s="27" t="s">
        <v>72</v>
      </c>
      <c r="F3455" s="18" t="s">
        <v>48</v>
      </c>
      <c r="G3455" s="18" t="s">
        <v>35</v>
      </c>
      <c r="H3455" s="40" t="s">
        <v>35</v>
      </c>
      <c r="I3455" s="37" t="s">
        <v>36</v>
      </c>
      <c r="J3455" s="25" t="s">
        <v>65</v>
      </c>
      <c r="K3455" s="26" t="s">
        <v>38</v>
      </c>
      <c r="L3455" s="72">
        <v>12597.0</v>
      </c>
      <c r="M3455" s="49" t="s">
        <v>50</v>
      </c>
      <c r="N3455" s="42" t="s">
        <v>149</v>
      </c>
      <c r="O3455" s="67">
        <v>45699.6050809838</v>
      </c>
      <c r="P3455" s="26" t="s">
        <v>13541</v>
      </c>
      <c r="Q3455" s="13" t="s">
        <v>75</v>
      </c>
      <c r="R3455" s="13" t="s">
        <v>75</v>
      </c>
      <c r="S3455" s="13" t="s">
        <v>50</v>
      </c>
      <c r="T3455" s="52">
        <v>45698.49331871528</v>
      </c>
      <c r="U3455" s="44">
        <v>45698.57159287037</v>
      </c>
      <c r="V3455" s="44">
        <v>45698.62985596065</v>
      </c>
      <c r="W3455" s="11"/>
      <c r="X3455" s="11"/>
      <c r="Y3455" s="45"/>
      <c r="Z3455" s="45"/>
      <c r="AA3455" s="31" t="s">
        <v>94</v>
      </c>
      <c r="AB3455" s="45" t="s">
        <v>13542</v>
      </c>
      <c r="AC3455" s="45"/>
    </row>
    <row r="3456" ht="18.75" customHeight="1">
      <c r="A3456" s="18" t="s">
        <v>13543</v>
      </c>
      <c r="B3456" s="19" t="s">
        <v>1192</v>
      </c>
      <c r="C3456" s="20">
        <v>0.0</v>
      </c>
      <c r="D3456" s="48" t="s">
        <v>13544</v>
      </c>
      <c r="E3456" s="27" t="s">
        <v>3441</v>
      </c>
      <c r="F3456" s="18" t="s">
        <v>48</v>
      </c>
      <c r="G3456" s="18" t="s">
        <v>35</v>
      </c>
      <c r="H3456" s="40" t="s">
        <v>35</v>
      </c>
      <c r="I3456" s="37" t="s">
        <v>36</v>
      </c>
      <c r="J3456" s="25" t="s">
        <v>65</v>
      </c>
      <c r="K3456" s="26" t="s">
        <v>38</v>
      </c>
      <c r="L3456" s="72">
        <v>12597.0</v>
      </c>
      <c r="M3456" s="49" t="s">
        <v>50</v>
      </c>
      <c r="N3456" s="42" t="s">
        <v>149</v>
      </c>
      <c r="O3456" s="67">
        <v>45699.604996180555</v>
      </c>
      <c r="P3456" s="26" t="s">
        <v>13541</v>
      </c>
      <c r="Q3456" s="13" t="s">
        <v>75</v>
      </c>
      <c r="R3456" s="13" t="s">
        <v>75</v>
      </c>
      <c r="S3456" s="13" t="s">
        <v>50</v>
      </c>
      <c r="T3456" s="52">
        <v>45698.49452165509</v>
      </c>
      <c r="U3456" s="44">
        <v>45698.57161358796</v>
      </c>
      <c r="V3456" s="44">
        <v>45698.62946740741</v>
      </c>
      <c r="W3456" s="11"/>
      <c r="X3456" s="11"/>
      <c r="Y3456" s="45"/>
      <c r="Z3456" s="45"/>
      <c r="AA3456" s="31" t="s">
        <v>94</v>
      </c>
      <c r="AB3456" s="45" t="s">
        <v>13545</v>
      </c>
      <c r="AC3456" s="45"/>
    </row>
    <row r="3457" ht="18.75" customHeight="1">
      <c r="A3457" s="142" t="s">
        <v>13546</v>
      </c>
      <c r="B3457" s="19" t="s">
        <v>5287</v>
      </c>
      <c r="C3457" s="20">
        <v>137.0</v>
      </c>
      <c r="D3457" s="48" t="s">
        <v>13547</v>
      </c>
      <c r="E3457" s="27" t="s">
        <v>85</v>
      </c>
      <c r="F3457" s="18" t="s">
        <v>48</v>
      </c>
      <c r="G3457" s="18" t="s">
        <v>35</v>
      </c>
      <c r="H3457" s="40" t="s">
        <v>35</v>
      </c>
      <c r="I3457" s="37" t="s">
        <v>36</v>
      </c>
      <c r="J3457" s="25" t="s">
        <v>49</v>
      </c>
      <c r="K3457" s="26" t="s">
        <v>12614</v>
      </c>
      <c r="L3457" s="25">
        <v>12599.0</v>
      </c>
      <c r="M3457" s="49" t="s">
        <v>50</v>
      </c>
      <c r="N3457" s="42" t="s">
        <v>5936</v>
      </c>
      <c r="O3457" s="67">
        <v>45699.64738314815</v>
      </c>
      <c r="P3457" s="26" t="s">
        <v>13548</v>
      </c>
      <c r="Q3457" s="13" t="s">
        <v>75</v>
      </c>
      <c r="R3457" s="13" t="s">
        <v>75</v>
      </c>
      <c r="S3457" s="13" t="s">
        <v>50</v>
      </c>
      <c r="T3457" s="52">
        <v>45698.498706631945</v>
      </c>
      <c r="U3457" s="44">
        <v>45698.536728900464</v>
      </c>
      <c r="V3457" s="44">
        <v>45699.346130578706</v>
      </c>
      <c r="W3457" s="11"/>
      <c r="X3457" s="11"/>
      <c r="Y3457" s="45"/>
      <c r="Z3457" s="45"/>
      <c r="AA3457" s="31" t="s">
        <v>5290</v>
      </c>
      <c r="AB3457" s="45" t="s">
        <v>13549</v>
      </c>
      <c r="AC3457" s="45"/>
    </row>
    <row r="3458" ht="18.75" customHeight="1">
      <c r="A3458" s="142" t="s">
        <v>13550</v>
      </c>
      <c r="B3458" s="19" t="s">
        <v>9895</v>
      </c>
      <c r="C3458" s="20">
        <v>90.0</v>
      </c>
      <c r="D3458" s="48" t="s">
        <v>13551</v>
      </c>
      <c r="E3458" s="27" t="s">
        <v>91</v>
      </c>
      <c r="F3458" s="18" t="s">
        <v>48</v>
      </c>
      <c r="G3458" s="18" t="s">
        <v>35</v>
      </c>
      <c r="H3458" s="40" t="s">
        <v>35</v>
      </c>
      <c r="I3458" s="37" t="s">
        <v>36</v>
      </c>
      <c r="J3458" s="25" t="s">
        <v>49</v>
      </c>
      <c r="K3458" s="26" t="s">
        <v>38</v>
      </c>
      <c r="L3458" s="25">
        <v>12604.0</v>
      </c>
      <c r="M3458" s="49" t="s">
        <v>50</v>
      </c>
      <c r="N3458" s="42" t="s">
        <v>5936</v>
      </c>
      <c r="O3458" s="67">
        <v>45700.59365166667</v>
      </c>
      <c r="P3458" s="26" t="s">
        <v>13552</v>
      </c>
      <c r="Q3458" s="13" t="s">
        <v>75</v>
      </c>
      <c r="R3458" s="13" t="s">
        <v>75</v>
      </c>
      <c r="S3458" s="13" t="s">
        <v>50</v>
      </c>
      <c r="T3458" s="44">
        <v>45699.49374371528</v>
      </c>
      <c r="U3458" s="44">
        <v>45699.576862222224</v>
      </c>
      <c r="V3458" s="44">
        <v>45700.32540163194</v>
      </c>
      <c r="W3458" s="11"/>
      <c r="X3458" s="11"/>
      <c r="Y3458" s="45"/>
      <c r="Z3458" s="45"/>
      <c r="AA3458" s="31" t="s">
        <v>127</v>
      </c>
      <c r="AB3458" s="45" t="s">
        <v>13553</v>
      </c>
      <c r="AC3458" s="45"/>
    </row>
    <row r="3459" ht="18.75" customHeight="1">
      <c r="A3459" s="142" t="s">
        <v>13554</v>
      </c>
      <c r="B3459" s="19" t="s">
        <v>4293</v>
      </c>
      <c r="C3459" s="20">
        <v>0.0</v>
      </c>
      <c r="D3459" s="48"/>
      <c r="E3459" s="27" t="s">
        <v>4430</v>
      </c>
      <c r="F3459" s="18" t="s">
        <v>48</v>
      </c>
      <c r="G3459" s="18" t="s">
        <v>35</v>
      </c>
      <c r="H3459" s="40" t="s">
        <v>35</v>
      </c>
      <c r="I3459" s="24" t="s">
        <v>665</v>
      </c>
      <c r="J3459" s="25" t="s">
        <v>65</v>
      </c>
      <c r="K3459" s="26" t="s">
        <v>38</v>
      </c>
      <c r="L3459" s="25">
        <v>12647.0</v>
      </c>
      <c r="M3459" s="49" t="s">
        <v>50</v>
      </c>
      <c r="N3459" s="42" t="s">
        <v>80</v>
      </c>
      <c r="O3459" s="67">
        <v>45708.70049858796</v>
      </c>
      <c r="P3459" s="35" t="s">
        <v>13555</v>
      </c>
      <c r="Q3459" s="13" t="s">
        <v>75</v>
      </c>
      <c r="R3459" s="13" t="s">
        <v>75</v>
      </c>
      <c r="S3459" s="13" t="s">
        <v>50</v>
      </c>
      <c r="T3459" s="44">
        <v>45700.67813421296</v>
      </c>
      <c r="U3459" s="44">
        <v>45707.73328259259</v>
      </c>
      <c r="V3459" s="44">
        <v>45708.49205961806</v>
      </c>
      <c r="W3459" s="11"/>
      <c r="X3459" s="11"/>
      <c r="Y3459" s="45"/>
      <c r="Z3459" s="45"/>
      <c r="AA3459" s="31" t="s">
        <v>94</v>
      </c>
      <c r="AB3459" s="45" t="s">
        <v>13556</v>
      </c>
      <c r="AC3459" s="45"/>
    </row>
    <row r="3460" ht="18.75" customHeight="1">
      <c r="A3460" s="142" t="s">
        <v>13557</v>
      </c>
      <c r="B3460" s="19" t="s">
        <v>13266</v>
      </c>
      <c r="C3460" s="20">
        <v>90.0</v>
      </c>
      <c r="D3460" s="48" t="s">
        <v>13558</v>
      </c>
      <c r="E3460" s="27" t="s">
        <v>91</v>
      </c>
      <c r="F3460" s="18" t="s">
        <v>48</v>
      </c>
      <c r="G3460" s="18" t="s">
        <v>35</v>
      </c>
      <c r="H3460" s="40" t="s">
        <v>35</v>
      </c>
      <c r="I3460" s="37" t="s">
        <v>36</v>
      </c>
      <c r="J3460" s="25" t="s">
        <v>49</v>
      </c>
      <c r="K3460" s="26" t="s">
        <v>13268</v>
      </c>
      <c r="L3460" s="25">
        <v>12613.0</v>
      </c>
      <c r="M3460" s="49" t="s">
        <v>50</v>
      </c>
      <c r="N3460" s="42" t="s">
        <v>5936</v>
      </c>
      <c r="O3460" s="67">
        <v>45701.6884720949</v>
      </c>
      <c r="P3460" s="26" t="s">
        <v>13559</v>
      </c>
      <c r="Q3460" s="13" t="s">
        <v>75</v>
      </c>
      <c r="R3460" s="13" t="s">
        <v>75</v>
      </c>
      <c r="S3460" s="13" t="s">
        <v>50</v>
      </c>
      <c r="T3460" s="44">
        <v>45699.67749188657</v>
      </c>
      <c r="U3460" s="44">
        <v>45700.47965357639</v>
      </c>
      <c r="V3460" s="44">
        <v>45701.3359596875</v>
      </c>
      <c r="W3460" s="11"/>
      <c r="X3460" s="11"/>
      <c r="Y3460" s="45"/>
      <c r="Z3460" s="45"/>
      <c r="AA3460" s="31" t="s">
        <v>5290</v>
      </c>
      <c r="AB3460" s="45" t="s">
        <v>13560</v>
      </c>
      <c r="AC3460" s="45"/>
    </row>
    <row r="3461" ht="18.75" customHeight="1">
      <c r="A3461" s="18" t="s">
        <v>13561</v>
      </c>
      <c r="B3461" s="19" t="s">
        <v>7178</v>
      </c>
      <c r="C3461" s="20">
        <v>27.0</v>
      </c>
      <c r="D3461" s="39" t="s">
        <v>13562</v>
      </c>
      <c r="E3461" s="27" t="s">
        <v>72</v>
      </c>
      <c r="F3461" s="18" t="s">
        <v>48</v>
      </c>
      <c r="G3461" s="18" t="s">
        <v>35</v>
      </c>
      <c r="H3461" s="40" t="s">
        <v>35</v>
      </c>
      <c r="I3461" s="37" t="s">
        <v>36</v>
      </c>
      <c r="J3461" s="25" t="s">
        <v>49</v>
      </c>
      <c r="K3461" s="26" t="s">
        <v>38</v>
      </c>
      <c r="L3461" s="25">
        <v>12614.0</v>
      </c>
      <c r="M3461" s="49" t="s">
        <v>50</v>
      </c>
      <c r="N3461" s="42" t="s">
        <v>5936</v>
      </c>
      <c r="O3461" s="67">
        <v>45701.68833311343</v>
      </c>
      <c r="P3461" s="26" t="s">
        <v>13563</v>
      </c>
      <c r="Q3461" s="13" t="s">
        <v>75</v>
      </c>
      <c r="R3461" s="13" t="s">
        <v>75</v>
      </c>
      <c r="S3461" s="13" t="s">
        <v>50</v>
      </c>
      <c r="T3461" s="44">
        <v>45699.67995578704</v>
      </c>
      <c r="U3461" s="44">
        <v>45700.490468923614</v>
      </c>
      <c r="V3461" s="44">
        <v>45701.420406805555</v>
      </c>
      <c r="W3461" s="11"/>
      <c r="X3461" s="11"/>
      <c r="Y3461" s="45"/>
      <c r="Z3461" s="45"/>
      <c r="AA3461" s="31" t="s">
        <v>127</v>
      </c>
      <c r="AB3461" s="45" t="s">
        <v>13564</v>
      </c>
      <c r="AC3461" s="45"/>
    </row>
    <row r="3462" ht="18.75" customHeight="1">
      <c r="A3462" s="18" t="s">
        <v>13565</v>
      </c>
      <c r="B3462" s="19" t="s">
        <v>7178</v>
      </c>
      <c r="C3462" s="20">
        <v>90.0</v>
      </c>
      <c r="D3462" s="48" t="s">
        <v>13566</v>
      </c>
      <c r="E3462" s="27" t="s">
        <v>91</v>
      </c>
      <c r="F3462" s="18" t="s">
        <v>48</v>
      </c>
      <c r="G3462" s="18" t="s">
        <v>35</v>
      </c>
      <c r="H3462" s="40" t="s">
        <v>35</v>
      </c>
      <c r="I3462" s="37" t="s">
        <v>36</v>
      </c>
      <c r="J3462" s="25" t="s">
        <v>49</v>
      </c>
      <c r="K3462" s="26" t="s">
        <v>38</v>
      </c>
      <c r="L3462" s="25">
        <v>12614.0</v>
      </c>
      <c r="M3462" s="49" t="s">
        <v>50</v>
      </c>
      <c r="N3462" s="42" t="s">
        <v>5936</v>
      </c>
      <c r="O3462" s="67">
        <v>45701.68840417824</v>
      </c>
      <c r="P3462" s="26" t="s">
        <v>13563</v>
      </c>
      <c r="Q3462" s="13" t="s">
        <v>75</v>
      </c>
      <c r="R3462" s="13" t="s">
        <v>75</v>
      </c>
      <c r="S3462" s="13" t="s">
        <v>50</v>
      </c>
      <c r="T3462" s="44">
        <v>45699.68017605324</v>
      </c>
      <c r="U3462" s="44">
        <v>45700.490420671296</v>
      </c>
      <c r="V3462" s="44">
        <v>45701.33599634259</v>
      </c>
      <c r="W3462" s="11"/>
      <c r="X3462" s="11"/>
      <c r="Y3462" s="45"/>
      <c r="Z3462" s="45"/>
      <c r="AA3462" s="31" t="s">
        <v>127</v>
      </c>
      <c r="AB3462" s="45" t="s">
        <v>13567</v>
      </c>
      <c r="AC3462" s="45"/>
    </row>
    <row r="3463" ht="18.75" customHeight="1">
      <c r="A3463" s="142" t="s">
        <v>13568</v>
      </c>
      <c r="B3463" s="19" t="s">
        <v>4450</v>
      </c>
      <c r="C3463" s="20">
        <v>137.0</v>
      </c>
      <c r="D3463" s="48" t="s">
        <v>13569</v>
      </c>
      <c r="E3463" s="27" t="s">
        <v>85</v>
      </c>
      <c r="F3463" s="18" t="s">
        <v>48</v>
      </c>
      <c r="G3463" s="18" t="s">
        <v>35</v>
      </c>
      <c r="H3463" s="40" t="s">
        <v>35</v>
      </c>
      <c r="I3463" s="37" t="s">
        <v>36</v>
      </c>
      <c r="J3463" s="25" t="s">
        <v>420</v>
      </c>
      <c r="K3463" s="26" t="s">
        <v>38</v>
      </c>
      <c r="L3463" s="25">
        <v>12615.0</v>
      </c>
      <c r="M3463" s="49" t="s">
        <v>50</v>
      </c>
      <c r="N3463" s="42" t="s">
        <v>4031</v>
      </c>
      <c r="O3463" s="67">
        <v>45701.657737222224</v>
      </c>
      <c r="P3463" s="26" t="s">
        <v>13570</v>
      </c>
      <c r="Q3463" s="13" t="s">
        <v>75</v>
      </c>
      <c r="R3463" s="13" t="s">
        <v>75</v>
      </c>
      <c r="S3463" s="13" t="s">
        <v>50</v>
      </c>
      <c r="T3463" s="44">
        <v>45700.37595050926</v>
      </c>
      <c r="U3463" s="44">
        <v>45700.70106614583</v>
      </c>
      <c r="V3463" s="44">
        <v>45701.3360182176</v>
      </c>
      <c r="W3463" s="11"/>
      <c r="X3463" s="11"/>
      <c r="Y3463" s="45"/>
      <c r="Z3463" s="45"/>
      <c r="AA3463" s="31" t="s">
        <v>120</v>
      </c>
      <c r="AB3463" s="45" t="s">
        <v>13571</v>
      </c>
      <c r="AC3463" s="45"/>
    </row>
    <row r="3464" ht="18.75" customHeight="1">
      <c r="A3464" s="142" t="s">
        <v>13572</v>
      </c>
      <c r="B3464" s="19" t="s">
        <v>3289</v>
      </c>
      <c r="C3464" s="20">
        <v>137.0</v>
      </c>
      <c r="D3464" s="48" t="s">
        <v>13573</v>
      </c>
      <c r="E3464" s="27" t="s">
        <v>85</v>
      </c>
      <c r="F3464" s="18" t="s">
        <v>48</v>
      </c>
      <c r="G3464" s="18" t="s">
        <v>35</v>
      </c>
      <c r="H3464" s="40" t="s">
        <v>35</v>
      </c>
      <c r="I3464" s="37" t="s">
        <v>36</v>
      </c>
      <c r="J3464" s="25" t="s">
        <v>92</v>
      </c>
      <c r="K3464" s="26" t="s">
        <v>38</v>
      </c>
      <c r="L3464" s="25">
        <v>17067.0</v>
      </c>
      <c r="M3464" s="49" t="s">
        <v>50</v>
      </c>
      <c r="N3464" s="42" t="s">
        <v>4362</v>
      </c>
      <c r="O3464" s="67">
        <v>45700.413711099536</v>
      </c>
      <c r="P3464" s="35" t="s">
        <v>13574</v>
      </c>
      <c r="Q3464" s="13" t="s">
        <v>75</v>
      </c>
      <c r="R3464" s="13" t="s">
        <v>75</v>
      </c>
      <c r="S3464" s="13" t="s">
        <v>50</v>
      </c>
      <c r="T3464" s="44">
        <v>45700.38294978009</v>
      </c>
      <c r="U3464" s="44">
        <v>45700.38295087963</v>
      </c>
      <c r="V3464" s="44">
        <v>45700.41320638889</v>
      </c>
      <c r="W3464" s="11"/>
      <c r="X3464" s="11"/>
      <c r="Y3464" s="45"/>
      <c r="Z3464" s="45"/>
      <c r="AA3464" s="31" t="s">
        <v>120</v>
      </c>
      <c r="AB3464" s="45" t="s">
        <v>13575</v>
      </c>
      <c r="AC3464" s="45"/>
    </row>
    <row r="3465" ht="18.75" customHeight="1">
      <c r="A3465" s="142" t="s">
        <v>13576</v>
      </c>
      <c r="B3465" s="19" t="s">
        <v>13507</v>
      </c>
      <c r="C3465" s="20">
        <v>34.0</v>
      </c>
      <c r="D3465" s="48" t="s">
        <v>13577</v>
      </c>
      <c r="E3465" s="27" t="s">
        <v>47</v>
      </c>
      <c r="F3465" s="18" t="s">
        <v>48</v>
      </c>
      <c r="G3465" s="18" t="s">
        <v>35</v>
      </c>
      <c r="H3465" s="40" t="s">
        <v>35</v>
      </c>
      <c r="I3465" s="37" t="s">
        <v>36</v>
      </c>
      <c r="J3465" s="25" t="s">
        <v>65</v>
      </c>
      <c r="K3465" s="26" t="s">
        <v>38</v>
      </c>
      <c r="L3465" s="25">
        <v>12620.0</v>
      </c>
      <c r="M3465" s="49" t="s">
        <v>50</v>
      </c>
      <c r="N3465" s="42" t="s">
        <v>3461</v>
      </c>
      <c r="O3465" s="67">
        <v>45702.675247314815</v>
      </c>
      <c r="P3465" s="26" t="s">
        <v>13578</v>
      </c>
      <c r="Q3465" s="13" t="s">
        <v>75</v>
      </c>
      <c r="R3465" s="13" t="s">
        <v>75</v>
      </c>
      <c r="S3465" s="13" t="s">
        <v>50</v>
      </c>
      <c r="T3465" s="44">
        <v>45701.35104523148</v>
      </c>
      <c r="U3465" s="44">
        <v>45701.681986145835</v>
      </c>
      <c r="V3465" s="44">
        <v>45702.48147244213</v>
      </c>
      <c r="W3465" s="11"/>
      <c r="X3465" s="11"/>
      <c r="Y3465" s="45"/>
      <c r="Z3465" s="45"/>
      <c r="AA3465" s="31" t="s">
        <v>94</v>
      </c>
      <c r="AB3465" s="45" t="s">
        <v>13579</v>
      </c>
      <c r="AC3465" s="45"/>
    </row>
    <row r="3466" ht="18.75" customHeight="1">
      <c r="A3466" s="142" t="s">
        <v>13580</v>
      </c>
      <c r="B3466" s="19" t="s">
        <v>13581</v>
      </c>
      <c r="C3466" s="20">
        <v>0.0</v>
      </c>
      <c r="D3466" s="178" t="s">
        <v>13582</v>
      </c>
      <c r="E3466" s="27" t="s">
        <v>13303</v>
      </c>
      <c r="F3466" s="18" t="s">
        <v>48</v>
      </c>
      <c r="G3466" s="18" t="s">
        <v>35</v>
      </c>
      <c r="H3466" s="40" t="s">
        <v>35</v>
      </c>
      <c r="I3466" s="37" t="s">
        <v>36</v>
      </c>
      <c r="J3466" s="25" t="s">
        <v>92</v>
      </c>
      <c r="K3466" s="26" t="s">
        <v>38</v>
      </c>
      <c r="L3466" s="25">
        <v>12699.0</v>
      </c>
      <c r="M3466" s="41" t="s">
        <v>73</v>
      </c>
      <c r="N3466" s="42" t="s">
        <v>5465</v>
      </c>
      <c r="O3466" s="67">
        <v>45722.55223666667</v>
      </c>
      <c r="P3466" s="26" t="s">
        <v>13583</v>
      </c>
      <c r="Q3466" s="13" t="s">
        <v>75</v>
      </c>
      <c r="R3466" s="13" t="s">
        <v>75</v>
      </c>
      <c r="S3466" s="13"/>
      <c r="T3466" s="44">
        <v>45701.36084025463</v>
      </c>
      <c r="U3466" s="44">
        <v>45701.39599078704</v>
      </c>
      <c r="V3466" s="13"/>
      <c r="W3466" s="11"/>
      <c r="X3466" s="11"/>
      <c r="Y3466" s="45"/>
      <c r="Z3466" s="45"/>
      <c r="AA3466" s="31" t="s">
        <v>120</v>
      </c>
      <c r="AB3466" s="45" t="s">
        <v>13584</v>
      </c>
      <c r="AC3466" s="45"/>
    </row>
    <row r="3467" ht="18.75" customHeight="1">
      <c r="A3467" s="142" t="s">
        <v>13585</v>
      </c>
      <c r="B3467" s="19" t="s">
        <v>4215</v>
      </c>
      <c r="C3467" s="20">
        <v>0.0</v>
      </c>
      <c r="D3467" s="48" t="s">
        <v>13586</v>
      </c>
      <c r="E3467" s="22" t="s">
        <v>913</v>
      </c>
      <c r="F3467" s="18" t="s">
        <v>33</v>
      </c>
      <c r="G3467" s="18" t="s">
        <v>34</v>
      </c>
      <c r="H3467" s="40" t="s">
        <v>35</v>
      </c>
      <c r="I3467" s="37" t="s">
        <v>36</v>
      </c>
      <c r="J3467" s="25" t="s">
        <v>37</v>
      </c>
      <c r="K3467" s="26" t="s">
        <v>38</v>
      </c>
      <c r="L3467" s="25">
        <v>12670.0</v>
      </c>
      <c r="M3467" s="49" t="s">
        <v>50</v>
      </c>
      <c r="N3467" s="42" t="s">
        <v>41</v>
      </c>
      <c r="O3467" s="67">
        <v>45712.626749629635</v>
      </c>
      <c r="P3467" s="26" t="s">
        <v>13587</v>
      </c>
      <c r="Q3467" s="13" t="s">
        <v>75</v>
      </c>
      <c r="R3467" s="13" t="s">
        <v>75</v>
      </c>
      <c r="S3467" s="13" t="s">
        <v>101</v>
      </c>
      <c r="T3467" s="44">
        <v>45701.37875462963</v>
      </c>
      <c r="U3467" s="44">
        <v>45701.48626849537</v>
      </c>
      <c r="V3467" s="44">
        <v>45707.55944997685</v>
      </c>
      <c r="W3467" s="11"/>
      <c r="X3467" s="11"/>
      <c r="Y3467" s="45"/>
      <c r="Z3467" s="45"/>
      <c r="AA3467" s="31" t="s">
        <v>120</v>
      </c>
      <c r="AB3467" s="45" t="s">
        <v>13588</v>
      </c>
      <c r="AC3467" s="45"/>
    </row>
    <row r="3468" ht="18.75" customHeight="1">
      <c r="A3468" s="142" t="s">
        <v>13589</v>
      </c>
      <c r="B3468" s="19" t="s">
        <v>11733</v>
      </c>
      <c r="C3468" s="20">
        <v>0.0</v>
      </c>
      <c r="D3468" s="48" t="s">
        <v>13590</v>
      </c>
      <c r="E3468" s="27" t="s">
        <v>3441</v>
      </c>
      <c r="F3468" s="18" t="s">
        <v>48</v>
      </c>
      <c r="G3468" s="18" t="s">
        <v>35</v>
      </c>
      <c r="H3468" s="40" t="s">
        <v>35</v>
      </c>
      <c r="I3468" s="37" t="s">
        <v>36</v>
      </c>
      <c r="J3468" s="25" t="s">
        <v>49</v>
      </c>
      <c r="K3468" s="26" t="s">
        <v>38</v>
      </c>
      <c r="L3468" s="25">
        <v>12623.0</v>
      </c>
      <c r="M3468" s="49" t="s">
        <v>50</v>
      </c>
      <c r="N3468" s="42" t="s">
        <v>5936</v>
      </c>
      <c r="O3468" s="67">
        <v>45702.61003902778</v>
      </c>
      <c r="P3468" s="26" t="s">
        <v>13591</v>
      </c>
      <c r="Q3468" s="13" t="s">
        <v>75</v>
      </c>
      <c r="R3468" s="13" t="s">
        <v>75</v>
      </c>
      <c r="S3468" s="13" t="s">
        <v>50</v>
      </c>
      <c r="T3468" s="44">
        <v>45701.381161412035</v>
      </c>
      <c r="U3468" s="44">
        <v>45701.655481423615</v>
      </c>
      <c r="V3468" s="44">
        <v>45702.46391119213</v>
      </c>
      <c r="W3468" s="11"/>
      <c r="X3468" s="11"/>
      <c r="Y3468" s="45"/>
      <c r="Z3468" s="45"/>
      <c r="AA3468" s="31" t="s">
        <v>127</v>
      </c>
      <c r="AB3468" s="45" t="s">
        <v>13592</v>
      </c>
      <c r="AC3468" s="45"/>
    </row>
    <row r="3469" ht="18.75" customHeight="1">
      <c r="A3469" s="142" t="s">
        <v>13593</v>
      </c>
      <c r="B3469" s="19" t="s">
        <v>122</v>
      </c>
      <c r="C3469" s="20">
        <v>90.0</v>
      </c>
      <c r="D3469" s="48" t="s">
        <v>13594</v>
      </c>
      <c r="E3469" s="27" t="s">
        <v>91</v>
      </c>
      <c r="F3469" s="18" t="s">
        <v>48</v>
      </c>
      <c r="G3469" s="18" t="s">
        <v>35</v>
      </c>
      <c r="H3469" s="40" t="s">
        <v>35</v>
      </c>
      <c r="I3469" s="37" t="s">
        <v>36</v>
      </c>
      <c r="J3469" s="25" t="s">
        <v>49</v>
      </c>
      <c r="K3469" s="26" t="s">
        <v>38</v>
      </c>
      <c r="L3469" s="25">
        <v>12621.0</v>
      </c>
      <c r="M3469" s="49" t="s">
        <v>50</v>
      </c>
      <c r="N3469" s="42" t="s">
        <v>5936</v>
      </c>
      <c r="O3469" s="67">
        <v>45702.61020086806</v>
      </c>
      <c r="P3469" s="26" t="s">
        <v>13595</v>
      </c>
      <c r="Q3469" s="13" t="s">
        <v>75</v>
      </c>
      <c r="R3469" s="13" t="s">
        <v>75</v>
      </c>
      <c r="S3469" s="13" t="s">
        <v>50</v>
      </c>
      <c r="T3469" s="44">
        <v>45701.38284200232</v>
      </c>
      <c r="U3469" s="44">
        <v>45701.65513422454</v>
      </c>
      <c r="V3469" s="44">
        <v>45702.46390164352</v>
      </c>
      <c r="W3469" s="11"/>
      <c r="X3469" s="11"/>
      <c r="Y3469" s="45"/>
      <c r="Z3469" s="45"/>
      <c r="AA3469" s="31" t="s">
        <v>127</v>
      </c>
      <c r="AB3469" s="45" t="s">
        <v>13596</v>
      </c>
      <c r="AC3469" s="45"/>
    </row>
    <row r="3470" ht="18.75" customHeight="1">
      <c r="A3470" s="142" t="s">
        <v>13597</v>
      </c>
      <c r="B3470" s="19" t="s">
        <v>122</v>
      </c>
      <c r="C3470" s="20">
        <v>27.0</v>
      </c>
      <c r="D3470" s="39" t="s">
        <v>13598</v>
      </c>
      <c r="E3470" s="27" t="s">
        <v>72</v>
      </c>
      <c r="F3470" s="18" t="s">
        <v>48</v>
      </c>
      <c r="G3470" s="18" t="s">
        <v>35</v>
      </c>
      <c r="H3470" s="40" t="s">
        <v>35</v>
      </c>
      <c r="I3470" s="37" t="s">
        <v>36</v>
      </c>
      <c r="J3470" s="25" t="s">
        <v>49</v>
      </c>
      <c r="K3470" s="26" t="s">
        <v>38</v>
      </c>
      <c r="L3470" s="25">
        <v>12740.0</v>
      </c>
      <c r="M3470" s="49" t="s">
        <v>50</v>
      </c>
      <c r="N3470" s="42" t="s">
        <v>5936</v>
      </c>
      <c r="O3470" s="67">
        <v>45734.68308898148</v>
      </c>
      <c r="P3470" s="26" t="s">
        <v>13599</v>
      </c>
      <c r="Q3470" s="13" t="s">
        <v>75</v>
      </c>
      <c r="R3470" s="13" t="s">
        <v>75</v>
      </c>
      <c r="S3470" s="13" t="s">
        <v>50</v>
      </c>
      <c r="T3470" s="44">
        <v>45701.66810042824</v>
      </c>
      <c r="U3470" s="44">
        <v>45701.67123641203</v>
      </c>
      <c r="V3470" s="44">
        <v>45734.434444502316</v>
      </c>
      <c r="W3470" s="11"/>
      <c r="X3470" s="11"/>
      <c r="Y3470" s="45"/>
      <c r="Z3470" s="45"/>
      <c r="AA3470" s="31" t="s">
        <v>127</v>
      </c>
      <c r="AB3470" s="45" t="s">
        <v>13600</v>
      </c>
      <c r="AC3470" s="45"/>
    </row>
    <row r="3471" ht="18.75" customHeight="1">
      <c r="A3471" s="32" t="s">
        <v>13601</v>
      </c>
      <c r="B3471" s="19" t="s">
        <v>5287</v>
      </c>
      <c r="C3471" s="20">
        <v>27.0</v>
      </c>
      <c r="D3471" s="39" t="s">
        <v>13602</v>
      </c>
      <c r="E3471" s="27" t="s">
        <v>72</v>
      </c>
      <c r="F3471" s="18" t="s">
        <v>48</v>
      </c>
      <c r="G3471" s="18" t="s">
        <v>35</v>
      </c>
      <c r="H3471" s="40" t="s">
        <v>35</v>
      </c>
      <c r="I3471" s="37" t="s">
        <v>36</v>
      </c>
      <c r="J3471" s="25" t="s">
        <v>49</v>
      </c>
      <c r="K3471" s="26" t="s">
        <v>12614</v>
      </c>
      <c r="L3471" s="25">
        <v>12720.0</v>
      </c>
      <c r="M3471" s="49" t="s">
        <v>50</v>
      </c>
      <c r="N3471" s="42" t="s">
        <v>9953</v>
      </c>
      <c r="O3471" s="67">
        <v>45729.69375</v>
      </c>
      <c r="P3471" s="26" t="s">
        <v>13603</v>
      </c>
      <c r="Q3471" s="13" t="s">
        <v>75</v>
      </c>
      <c r="R3471" s="13" t="s">
        <v>75</v>
      </c>
      <c r="S3471" s="13" t="s">
        <v>50</v>
      </c>
      <c r="T3471" s="44">
        <v>45699.674290740746</v>
      </c>
      <c r="U3471" s="44">
        <v>45700.48054853009</v>
      </c>
      <c r="V3471" s="44">
        <v>45729.41650302084</v>
      </c>
      <c r="W3471" s="11"/>
      <c r="X3471" s="11"/>
      <c r="Y3471" s="45"/>
      <c r="Z3471" s="45"/>
      <c r="AA3471" s="31" t="s">
        <v>5290</v>
      </c>
      <c r="AB3471" s="45" t="s">
        <v>13604</v>
      </c>
      <c r="AC3471" s="45"/>
    </row>
    <row r="3472" ht="18.75" customHeight="1">
      <c r="A3472" s="32" t="s">
        <v>13605</v>
      </c>
      <c r="B3472" s="19" t="s">
        <v>5287</v>
      </c>
      <c r="C3472" s="20">
        <v>27.0</v>
      </c>
      <c r="D3472" s="39" t="s">
        <v>13606</v>
      </c>
      <c r="E3472" s="27" t="s">
        <v>72</v>
      </c>
      <c r="F3472" s="18" t="s">
        <v>48</v>
      </c>
      <c r="G3472" s="18" t="s">
        <v>35</v>
      </c>
      <c r="H3472" s="40" t="s">
        <v>35</v>
      </c>
      <c r="I3472" s="37" t="s">
        <v>36</v>
      </c>
      <c r="J3472" s="25" t="s">
        <v>49</v>
      </c>
      <c r="K3472" s="26" t="s">
        <v>12614</v>
      </c>
      <c r="L3472" s="25">
        <v>12720.0</v>
      </c>
      <c r="M3472" s="49" t="s">
        <v>50</v>
      </c>
      <c r="N3472" s="42" t="s">
        <v>9953</v>
      </c>
      <c r="O3472" s="67">
        <v>45730.36082165509</v>
      </c>
      <c r="P3472" s="26" t="s">
        <v>13603</v>
      </c>
      <c r="Q3472" s="13" t="s">
        <v>75</v>
      </c>
      <c r="R3472" s="13" t="s">
        <v>75</v>
      </c>
      <c r="S3472" s="13" t="s">
        <v>50</v>
      </c>
      <c r="T3472" s="44">
        <v>45699.67437908565</v>
      </c>
      <c r="U3472" s="44">
        <v>45700.48052568287</v>
      </c>
      <c r="V3472" s="44">
        <v>45729.41648049769</v>
      </c>
      <c r="W3472" s="11"/>
      <c r="X3472" s="11"/>
      <c r="Y3472" s="45"/>
      <c r="Z3472" s="45"/>
      <c r="AA3472" s="31" t="s">
        <v>5290</v>
      </c>
      <c r="AB3472" s="45" t="s">
        <v>13607</v>
      </c>
      <c r="AC3472" s="45"/>
    </row>
    <row r="3473" ht="18.75" customHeight="1">
      <c r="A3473" s="18" t="s">
        <v>13608</v>
      </c>
      <c r="B3473" s="19" t="s">
        <v>10529</v>
      </c>
      <c r="C3473" s="20">
        <v>0.0</v>
      </c>
      <c r="D3473" s="48" t="s">
        <v>13609</v>
      </c>
      <c r="E3473" s="27" t="s">
        <v>9172</v>
      </c>
      <c r="F3473" s="18" t="s">
        <v>33</v>
      </c>
      <c r="G3473" s="18" t="s">
        <v>35</v>
      </c>
      <c r="H3473" s="40" t="s">
        <v>35</v>
      </c>
      <c r="I3473" s="37" t="s">
        <v>36</v>
      </c>
      <c r="J3473" s="25" t="s">
        <v>92</v>
      </c>
      <c r="K3473" s="26" t="s">
        <v>38</v>
      </c>
      <c r="L3473" s="25">
        <v>12715.0</v>
      </c>
      <c r="M3473" s="49" t="s">
        <v>50</v>
      </c>
      <c r="N3473" s="42" t="s">
        <v>13610</v>
      </c>
      <c r="O3473" s="67">
        <v>45730.60942140046</v>
      </c>
      <c r="P3473" s="35" t="s">
        <v>13574</v>
      </c>
      <c r="Q3473" s="13" t="s">
        <v>75</v>
      </c>
      <c r="R3473" s="13" t="s">
        <v>75</v>
      </c>
      <c r="S3473" s="13" t="s">
        <v>101</v>
      </c>
      <c r="T3473" s="44">
        <v>45702.355790497684</v>
      </c>
      <c r="U3473" s="44">
        <v>45707.71572763889</v>
      </c>
      <c r="V3473" s="44">
        <v>45726.70444035879</v>
      </c>
      <c r="W3473" s="11"/>
      <c r="X3473" s="11"/>
      <c r="Y3473" s="45"/>
      <c r="Z3473" s="45"/>
      <c r="AA3473" s="31" t="s">
        <v>120</v>
      </c>
      <c r="AB3473" s="45" t="s">
        <v>13611</v>
      </c>
      <c r="AC3473" s="45"/>
    </row>
    <row r="3474" ht="18.75" customHeight="1">
      <c r="A3474" s="18" t="s">
        <v>13612</v>
      </c>
      <c r="B3474" s="19" t="s">
        <v>10529</v>
      </c>
      <c r="C3474" s="20">
        <v>0.0</v>
      </c>
      <c r="D3474" s="48" t="s">
        <v>13613</v>
      </c>
      <c r="E3474" s="27" t="s">
        <v>9172</v>
      </c>
      <c r="F3474" s="18" t="s">
        <v>33</v>
      </c>
      <c r="G3474" s="18" t="s">
        <v>35</v>
      </c>
      <c r="H3474" s="40" t="s">
        <v>35</v>
      </c>
      <c r="I3474" s="37" t="s">
        <v>36</v>
      </c>
      <c r="J3474" s="25" t="s">
        <v>92</v>
      </c>
      <c r="K3474" s="26" t="s">
        <v>38</v>
      </c>
      <c r="L3474" s="25">
        <v>12715.0</v>
      </c>
      <c r="M3474" s="49" t="s">
        <v>50</v>
      </c>
      <c r="N3474" s="42" t="s">
        <v>13610</v>
      </c>
      <c r="O3474" s="67">
        <v>45730.60991745371</v>
      </c>
      <c r="P3474" s="35" t="s">
        <v>13574</v>
      </c>
      <c r="Q3474" s="13" t="s">
        <v>75</v>
      </c>
      <c r="R3474" s="13" t="s">
        <v>75</v>
      </c>
      <c r="S3474" s="13" t="s">
        <v>101</v>
      </c>
      <c r="T3474" s="44">
        <v>45702.357065358796</v>
      </c>
      <c r="U3474" s="44">
        <v>45707.71575824074</v>
      </c>
      <c r="V3474" s="44">
        <v>45723.70108324074</v>
      </c>
      <c r="W3474" s="11"/>
      <c r="X3474" s="11"/>
      <c r="Y3474" s="45"/>
      <c r="Z3474" s="45"/>
      <c r="AA3474" s="31" t="s">
        <v>120</v>
      </c>
      <c r="AB3474" s="45" t="s">
        <v>13614</v>
      </c>
      <c r="AC3474" s="45"/>
    </row>
    <row r="3475" ht="18.75" customHeight="1">
      <c r="A3475" s="18" t="s">
        <v>13615</v>
      </c>
      <c r="B3475" s="19" t="s">
        <v>10529</v>
      </c>
      <c r="C3475" s="20">
        <v>0.0</v>
      </c>
      <c r="D3475" s="48" t="s">
        <v>13616</v>
      </c>
      <c r="E3475" s="27" t="s">
        <v>9172</v>
      </c>
      <c r="F3475" s="18" t="s">
        <v>33</v>
      </c>
      <c r="G3475" s="18" t="s">
        <v>35</v>
      </c>
      <c r="H3475" s="40" t="s">
        <v>35</v>
      </c>
      <c r="I3475" s="37" t="s">
        <v>36</v>
      </c>
      <c r="J3475" s="25" t="s">
        <v>92</v>
      </c>
      <c r="K3475" s="26" t="s">
        <v>38</v>
      </c>
      <c r="L3475" s="25">
        <v>12715.0</v>
      </c>
      <c r="M3475" s="49" t="s">
        <v>50</v>
      </c>
      <c r="N3475" s="42" t="s">
        <v>13610</v>
      </c>
      <c r="O3475" s="67">
        <v>45730.610052592594</v>
      </c>
      <c r="P3475" s="35" t="s">
        <v>13574</v>
      </c>
      <c r="Q3475" s="13" t="s">
        <v>75</v>
      </c>
      <c r="R3475" s="13" t="s">
        <v>75</v>
      </c>
      <c r="S3475" s="13" t="s">
        <v>101</v>
      </c>
      <c r="T3475" s="44">
        <v>45702.35599689815</v>
      </c>
      <c r="U3475" s="44">
        <v>45707.71576537037</v>
      </c>
      <c r="V3475" s="44">
        <v>45726.70449315972</v>
      </c>
      <c r="W3475" s="11"/>
      <c r="X3475" s="11"/>
      <c r="Y3475" s="45"/>
      <c r="Z3475" s="45"/>
      <c r="AA3475" s="31" t="s">
        <v>120</v>
      </c>
      <c r="AB3475" s="45" t="s">
        <v>13617</v>
      </c>
      <c r="AC3475" s="45"/>
    </row>
    <row r="3476" ht="18.75" customHeight="1">
      <c r="A3476" s="18" t="s">
        <v>13618</v>
      </c>
      <c r="B3476" s="19" t="s">
        <v>10529</v>
      </c>
      <c r="C3476" s="20">
        <v>0.0</v>
      </c>
      <c r="D3476" s="48" t="s">
        <v>13619</v>
      </c>
      <c r="E3476" s="27" t="s">
        <v>9172</v>
      </c>
      <c r="F3476" s="18" t="s">
        <v>33</v>
      </c>
      <c r="G3476" s="18" t="s">
        <v>35</v>
      </c>
      <c r="H3476" s="40" t="s">
        <v>35</v>
      </c>
      <c r="I3476" s="37" t="s">
        <v>36</v>
      </c>
      <c r="J3476" s="25" t="s">
        <v>92</v>
      </c>
      <c r="K3476" s="26" t="s">
        <v>38</v>
      </c>
      <c r="L3476" s="25">
        <v>12715.0</v>
      </c>
      <c r="M3476" s="49" t="s">
        <v>50</v>
      </c>
      <c r="N3476" s="42" t="s">
        <v>13610</v>
      </c>
      <c r="O3476" s="67">
        <v>45730.60971991898</v>
      </c>
      <c r="P3476" s="35" t="s">
        <v>13574</v>
      </c>
      <c r="Q3476" s="13" t="s">
        <v>75</v>
      </c>
      <c r="R3476" s="13" t="s">
        <v>75</v>
      </c>
      <c r="S3476" s="13"/>
      <c r="T3476" s="44">
        <v>45702.356154305555</v>
      </c>
      <c r="U3476" s="44">
        <v>45707.71575253472</v>
      </c>
      <c r="V3476" s="13"/>
      <c r="W3476" s="11"/>
      <c r="X3476" s="11"/>
      <c r="Y3476" s="45"/>
      <c r="Z3476" s="45"/>
      <c r="AA3476" s="31" t="s">
        <v>120</v>
      </c>
      <c r="AB3476" s="45" t="s">
        <v>13620</v>
      </c>
      <c r="AC3476" s="45"/>
    </row>
    <row r="3477" ht="18.75" customHeight="1">
      <c r="A3477" s="18" t="s">
        <v>13621</v>
      </c>
      <c r="B3477" s="19" t="s">
        <v>4147</v>
      </c>
      <c r="C3477" s="20">
        <v>90.0</v>
      </c>
      <c r="D3477" s="48" t="s">
        <v>13622</v>
      </c>
      <c r="E3477" s="27" t="s">
        <v>91</v>
      </c>
      <c r="F3477" s="18" t="s">
        <v>48</v>
      </c>
      <c r="G3477" s="18" t="s">
        <v>35</v>
      </c>
      <c r="H3477" s="40" t="s">
        <v>35</v>
      </c>
      <c r="I3477" s="37" t="s">
        <v>36</v>
      </c>
      <c r="J3477" s="25" t="s">
        <v>49</v>
      </c>
      <c r="K3477" s="26" t="s">
        <v>38</v>
      </c>
      <c r="L3477" s="25">
        <v>12622.0</v>
      </c>
      <c r="M3477" s="49" t="s">
        <v>50</v>
      </c>
      <c r="N3477" s="42" t="s">
        <v>5936</v>
      </c>
      <c r="O3477" s="67">
        <v>45702.61025028935</v>
      </c>
      <c r="P3477" s="26" t="s">
        <v>13623</v>
      </c>
      <c r="Q3477" s="13" t="s">
        <v>75</v>
      </c>
      <c r="R3477" s="13" t="s">
        <v>75</v>
      </c>
      <c r="S3477" s="13" t="s">
        <v>50</v>
      </c>
      <c r="T3477" s="44">
        <v>45702.36608947917</v>
      </c>
      <c r="U3477" s="44">
        <v>45702.408554849535</v>
      </c>
      <c r="V3477" s="44">
        <v>45702.463922870375</v>
      </c>
      <c r="W3477" s="11"/>
      <c r="X3477" s="11"/>
      <c r="Y3477" s="45"/>
      <c r="Z3477" s="45"/>
      <c r="AA3477" s="31" t="s">
        <v>127</v>
      </c>
      <c r="AB3477" s="45" t="s">
        <v>13624</v>
      </c>
      <c r="AC3477" s="45"/>
    </row>
    <row r="3478" ht="18.75" customHeight="1">
      <c r="A3478" s="18" t="s">
        <v>13625</v>
      </c>
      <c r="B3478" s="19" t="s">
        <v>4147</v>
      </c>
      <c r="C3478" s="20">
        <v>90.0</v>
      </c>
      <c r="D3478" s="48" t="s">
        <v>13626</v>
      </c>
      <c r="E3478" s="27" t="s">
        <v>91</v>
      </c>
      <c r="F3478" s="18" t="s">
        <v>48</v>
      </c>
      <c r="G3478" s="18" t="s">
        <v>35</v>
      </c>
      <c r="H3478" s="40" t="s">
        <v>35</v>
      </c>
      <c r="I3478" s="37" t="s">
        <v>36</v>
      </c>
      <c r="J3478" s="25" t="s">
        <v>49</v>
      </c>
      <c r="K3478" s="26" t="s">
        <v>38</v>
      </c>
      <c r="L3478" s="25">
        <v>12622.0</v>
      </c>
      <c r="M3478" s="49" t="s">
        <v>50</v>
      </c>
      <c r="N3478" s="42" t="s">
        <v>5936</v>
      </c>
      <c r="O3478" s="67">
        <v>45702.61029776621</v>
      </c>
      <c r="P3478" s="26" t="s">
        <v>13623</v>
      </c>
      <c r="Q3478" s="13" t="s">
        <v>75</v>
      </c>
      <c r="R3478" s="13" t="s">
        <v>75</v>
      </c>
      <c r="S3478" s="13" t="s">
        <v>50</v>
      </c>
      <c r="T3478" s="44">
        <v>45702.366210162036</v>
      </c>
      <c r="U3478" s="44">
        <v>45702.40858216435</v>
      </c>
      <c r="V3478" s="44">
        <v>45702.463930474536</v>
      </c>
      <c r="W3478" s="11"/>
      <c r="X3478" s="11"/>
      <c r="Y3478" s="45"/>
      <c r="Z3478" s="45"/>
      <c r="AA3478" s="31" t="s">
        <v>127</v>
      </c>
      <c r="AB3478" s="45" t="s">
        <v>13627</v>
      </c>
      <c r="AC3478" s="45"/>
    </row>
    <row r="3479" ht="18.75" customHeight="1">
      <c r="A3479" s="142" t="s">
        <v>13628</v>
      </c>
      <c r="B3479" s="19" t="s">
        <v>96</v>
      </c>
      <c r="C3479" s="20">
        <v>0.0</v>
      </c>
      <c r="D3479" s="48" t="s">
        <v>13629</v>
      </c>
      <c r="E3479" s="27" t="s">
        <v>251</v>
      </c>
      <c r="F3479" s="18" t="s">
        <v>33</v>
      </c>
      <c r="G3479" s="18" t="s">
        <v>34</v>
      </c>
      <c r="H3479" s="40" t="s">
        <v>35</v>
      </c>
      <c r="I3479" s="37" t="s">
        <v>36</v>
      </c>
      <c r="J3479" s="25" t="s">
        <v>49</v>
      </c>
      <c r="K3479" s="26" t="s">
        <v>38</v>
      </c>
      <c r="L3479" s="25">
        <v>12655.0</v>
      </c>
      <c r="M3479" s="49" t="s">
        <v>50</v>
      </c>
      <c r="N3479" s="42" t="s">
        <v>5936</v>
      </c>
      <c r="O3479" s="67">
        <v>45709.61250949074</v>
      </c>
      <c r="P3479" s="26" t="s">
        <v>13630</v>
      </c>
      <c r="Q3479" s="13" t="s">
        <v>75</v>
      </c>
      <c r="R3479" s="13" t="s">
        <v>75</v>
      </c>
      <c r="S3479" s="13" t="s">
        <v>101</v>
      </c>
      <c r="T3479" s="44">
        <v>45702.37098746528</v>
      </c>
      <c r="U3479" s="44">
        <v>45702.43713126157</v>
      </c>
      <c r="V3479" s="44">
        <v>45707.476964016205</v>
      </c>
      <c r="W3479" s="11"/>
      <c r="X3479" s="11"/>
      <c r="Y3479" s="45"/>
      <c r="Z3479" s="45"/>
      <c r="AA3479" s="31" t="s">
        <v>102</v>
      </c>
      <c r="AB3479" s="45" t="s">
        <v>13631</v>
      </c>
      <c r="AC3479" s="45"/>
    </row>
    <row r="3480" ht="18.75" customHeight="1">
      <c r="A3480" s="142" t="s">
        <v>13632</v>
      </c>
      <c r="B3480" s="19" t="s">
        <v>96</v>
      </c>
      <c r="C3480" s="20">
        <v>90.0</v>
      </c>
      <c r="D3480" s="48" t="s">
        <v>13633</v>
      </c>
      <c r="E3480" s="27" t="s">
        <v>91</v>
      </c>
      <c r="F3480" s="18" t="s">
        <v>48</v>
      </c>
      <c r="G3480" s="18" t="s">
        <v>35</v>
      </c>
      <c r="H3480" s="40" t="s">
        <v>35</v>
      </c>
      <c r="I3480" s="37" t="s">
        <v>36</v>
      </c>
      <c r="J3480" s="25" t="s">
        <v>49</v>
      </c>
      <c r="K3480" s="26" t="s">
        <v>38</v>
      </c>
      <c r="L3480" s="25">
        <v>12624.0</v>
      </c>
      <c r="M3480" s="49" t="s">
        <v>50</v>
      </c>
      <c r="N3480" s="42" t="s">
        <v>5936</v>
      </c>
      <c r="O3480" s="67">
        <v>45702.61035008101</v>
      </c>
      <c r="P3480" s="26" t="s">
        <v>13634</v>
      </c>
      <c r="Q3480" s="13" t="s">
        <v>75</v>
      </c>
      <c r="R3480" s="13" t="s">
        <v>75</v>
      </c>
      <c r="S3480" s="13" t="s">
        <v>50</v>
      </c>
      <c r="T3480" s="44">
        <v>45702.37293834491</v>
      </c>
      <c r="U3480" s="44">
        <v>45702.4372911574</v>
      </c>
      <c r="V3480" s="44">
        <v>45702.46393708333</v>
      </c>
      <c r="W3480" s="11"/>
      <c r="X3480" s="11"/>
      <c r="Y3480" s="45"/>
      <c r="Z3480" s="45"/>
      <c r="AA3480" s="31" t="s">
        <v>102</v>
      </c>
      <c r="AB3480" s="45" t="s">
        <v>13635</v>
      </c>
      <c r="AC3480" s="45"/>
    </row>
    <row r="3481" ht="18.75" customHeight="1">
      <c r="A3481" s="18" t="s">
        <v>13636</v>
      </c>
      <c r="B3481" s="19" t="s">
        <v>96</v>
      </c>
      <c r="C3481" s="20">
        <v>90.0</v>
      </c>
      <c r="D3481" s="48" t="s">
        <v>13637</v>
      </c>
      <c r="E3481" s="27" t="s">
        <v>91</v>
      </c>
      <c r="F3481" s="18" t="s">
        <v>48</v>
      </c>
      <c r="G3481" s="18" t="s">
        <v>35</v>
      </c>
      <c r="H3481" s="40" t="s">
        <v>35</v>
      </c>
      <c r="I3481" s="37" t="s">
        <v>36</v>
      </c>
      <c r="J3481" s="25" t="s">
        <v>49</v>
      </c>
      <c r="K3481" s="26" t="s">
        <v>38</v>
      </c>
      <c r="L3481" s="25">
        <v>12625.0</v>
      </c>
      <c r="M3481" s="49" t="s">
        <v>50</v>
      </c>
      <c r="N3481" s="42" t="s">
        <v>5936</v>
      </c>
      <c r="O3481" s="67">
        <v>45702.61039903935</v>
      </c>
      <c r="P3481" s="26" t="s">
        <v>13638</v>
      </c>
      <c r="Q3481" s="13" t="s">
        <v>75</v>
      </c>
      <c r="R3481" s="13" t="s">
        <v>75</v>
      </c>
      <c r="S3481" s="13" t="s">
        <v>50</v>
      </c>
      <c r="T3481" s="44">
        <v>45702.3782741551</v>
      </c>
      <c r="U3481" s="44">
        <v>45702.43732761574</v>
      </c>
      <c r="V3481" s="44">
        <v>45702.46394260417</v>
      </c>
      <c r="W3481" s="11"/>
      <c r="X3481" s="11"/>
      <c r="Y3481" s="45"/>
      <c r="Z3481" s="45"/>
      <c r="AA3481" s="31" t="s">
        <v>102</v>
      </c>
      <c r="AB3481" s="45" t="s">
        <v>13639</v>
      </c>
      <c r="AC3481" s="45"/>
    </row>
    <row r="3482" ht="18.75" customHeight="1">
      <c r="A3482" s="18" t="s">
        <v>13640</v>
      </c>
      <c r="B3482" s="19" t="s">
        <v>96</v>
      </c>
      <c r="C3482" s="20">
        <v>90.0</v>
      </c>
      <c r="D3482" s="48" t="s">
        <v>13641</v>
      </c>
      <c r="E3482" s="27" t="s">
        <v>91</v>
      </c>
      <c r="F3482" s="18" t="s">
        <v>48</v>
      </c>
      <c r="G3482" s="18" t="s">
        <v>35</v>
      </c>
      <c r="H3482" s="40" t="s">
        <v>35</v>
      </c>
      <c r="I3482" s="37" t="s">
        <v>36</v>
      </c>
      <c r="J3482" s="25" t="s">
        <v>49</v>
      </c>
      <c r="K3482" s="26" t="s">
        <v>38</v>
      </c>
      <c r="L3482" s="25">
        <v>12625.0</v>
      </c>
      <c r="M3482" s="49" t="s">
        <v>50</v>
      </c>
      <c r="N3482" s="42" t="s">
        <v>5936</v>
      </c>
      <c r="O3482" s="67">
        <v>45702.61044611111</v>
      </c>
      <c r="P3482" s="26" t="s">
        <v>13638</v>
      </c>
      <c r="Q3482" s="13" t="s">
        <v>75</v>
      </c>
      <c r="R3482" s="13" t="s">
        <v>75</v>
      </c>
      <c r="S3482" s="13" t="s">
        <v>50</v>
      </c>
      <c r="T3482" s="44">
        <v>45702.37838587963</v>
      </c>
      <c r="U3482" s="44">
        <v>45702.43734553241</v>
      </c>
      <c r="V3482" s="44">
        <v>45702.46395690972</v>
      </c>
      <c r="W3482" s="11"/>
      <c r="X3482" s="11"/>
      <c r="Y3482" s="45"/>
      <c r="Z3482" s="45"/>
      <c r="AA3482" s="31" t="s">
        <v>102</v>
      </c>
      <c r="AB3482" s="45" t="s">
        <v>13642</v>
      </c>
      <c r="AC3482" s="45"/>
    </row>
    <row r="3483" ht="18.75" customHeight="1">
      <c r="A3483" s="142" t="s">
        <v>13643</v>
      </c>
      <c r="B3483" s="19" t="s">
        <v>8902</v>
      </c>
      <c r="C3483" s="20">
        <v>34.0</v>
      </c>
      <c r="D3483" s="48" t="s">
        <v>13644</v>
      </c>
      <c r="E3483" s="27" t="s">
        <v>47</v>
      </c>
      <c r="F3483" s="18" t="s">
        <v>48</v>
      </c>
      <c r="G3483" s="18" t="s">
        <v>35</v>
      </c>
      <c r="H3483" s="40" t="s">
        <v>35</v>
      </c>
      <c r="I3483" s="37" t="s">
        <v>36</v>
      </c>
      <c r="J3483" s="25" t="s">
        <v>49</v>
      </c>
      <c r="K3483" s="26" t="s">
        <v>38</v>
      </c>
      <c r="L3483" s="25">
        <v>12626.0</v>
      </c>
      <c r="M3483" s="49" t="s">
        <v>50</v>
      </c>
      <c r="N3483" s="42" t="s">
        <v>5936</v>
      </c>
      <c r="O3483" s="67">
        <v>45702.610495416666</v>
      </c>
      <c r="P3483" s="26" t="s">
        <v>13645</v>
      </c>
      <c r="Q3483" s="13" t="s">
        <v>75</v>
      </c>
      <c r="R3483" s="13" t="s">
        <v>75</v>
      </c>
      <c r="S3483" s="13" t="s">
        <v>50</v>
      </c>
      <c r="T3483" s="44">
        <v>45702.383557928246</v>
      </c>
      <c r="U3483" s="44">
        <v>45702.43738815973</v>
      </c>
      <c r="V3483" s="44">
        <v>45702.48148567129</v>
      </c>
      <c r="W3483" s="11"/>
      <c r="X3483" s="11"/>
      <c r="Y3483" s="45"/>
      <c r="Z3483" s="45"/>
      <c r="AA3483" s="31" t="s">
        <v>102</v>
      </c>
      <c r="AB3483" s="45" t="s">
        <v>13646</v>
      </c>
      <c r="AC3483" s="45"/>
    </row>
    <row r="3484" ht="18.75" customHeight="1">
      <c r="A3484" s="142" t="s">
        <v>13647</v>
      </c>
      <c r="B3484" s="19" t="s">
        <v>7403</v>
      </c>
      <c r="C3484" s="20">
        <v>90.0</v>
      </c>
      <c r="D3484" s="48" t="s">
        <v>13648</v>
      </c>
      <c r="E3484" s="27" t="s">
        <v>91</v>
      </c>
      <c r="F3484" s="18" t="s">
        <v>48</v>
      </c>
      <c r="G3484" s="18" t="s">
        <v>35</v>
      </c>
      <c r="H3484" s="40" t="s">
        <v>35</v>
      </c>
      <c r="I3484" s="37" t="s">
        <v>36</v>
      </c>
      <c r="J3484" s="25" t="s">
        <v>65</v>
      </c>
      <c r="K3484" s="26" t="s">
        <v>38</v>
      </c>
      <c r="L3484" s="25">
        <v>12630.0</v>
      </c>
      <c r="M3484" s="49" t="s">
        <v>50</v>
      </c>
      <c r="N3484" s="42" t="s">
        <v>80</v>
      </c>
      <c r="O3484" s="67">
        <v>45708.70065138889</v>
      </c>
      <c r="P3484" s="26" t="s">
        <v>13649</v>
      </c>
      <c r="Q3484" s="13" t="s">
        <v>75</v>
      </c>
      <c r="R3484" s="13" t="s">
        <v>75</v>
      </c>
      <c r="S3484" s="13" t="s">
        <v>50</v>
      </c>
      <c r="T3484" s="44">
        <v>45702.38660331018</v>
      </c>
      <c r="U3484" s="44">
        <v>45705.56426706018</v>
      </c>
      <c r="V3484" s="44">
        <v>45706.32758700231</v>
      </c>
      <c r="W3484" s="11"/>
      <c r="X3484" s="11"/>
      <c r="Y3484" s="45"/>
      <c r="Z3484" s="45"/>
      <c r="AA3484" s="31" t="s">
        <v>94</v>
      </c>
      <c r="AB3484" s="45" t="s">
        <v>13650</v>
      </c>
      <c r="AC3484" s="45"/>
    </row>
    <row r="3485" ht="18.75" customHeight="1">
      <c r="A3485" s="142" t="s">
        <v>13651</v>
      </c>
      <c r="B3485" s="19" t="s">
        <v>115</v>
      </c>
      <c r="C3485" s="20">
        <v>0.0</v>
      </c>
      <c r="D3485" s="48" t="s">
        <v>1258</v>
      </c>
      <c r="E3485" s="27" t="s">
        <v>135</v>
      </c>
      <c r="F3485" s="18" t="s">
        <v>48</v>
      </c>
      <c r="G3485" s="18" t="s">
        <v>35</v>
      </c>
      <c r="H3485" s="40" t="s">
        <v>35</v>
      </c>
      <c r="I3485" s="37" t="s">
        <v>36</v>
      </c>
      <c r="J3485" s="25" t="s">
        <v>92</v>
      </c>
      <c r="K3485" s="26" t="s">
        <v>38</v>
      </c>
      <c r="L3485" s="25">
        <v>12633.0</v>
      </c>
      <c r="M3485" s="49" t="s">
        <v>73</v>
      </c>
      <c r="N3485" s="42" t="s">
        <v>7145</v>
      </c>
      <c r="O3485" s="67">
        <v>45707.36336768519</v>
      </c>
      <c r="P3485" s="26" t="s">
        <v>13652</v>
      </c>
      <c r="Q3485" s="13" t="s">
        <v>75</v>
      </c>
      <c r="R3485" s="13" t="s">
        <v>75</v>
      </c>
      <c r="S3485" s="13"/>
      <c r="T3485" s="44">
        <v>45702.388412326385</v>
      </c>
      <c r="U3485" s="44">
        <v>45702.418322881946</v>
      </c>
      <c r="V3485" s="13"/>
      <c r="W3485" s="11"/>
      <c r="X3485" s="11"/>
      <c r="Y3485" s="45"/>
      <c r="Z3485" s="45"/>
      <c r="AA3485" s="31" t="s">
        <v>120</v>
      </c>
      <c r="AB3485" s="45" t="s">
        <v>13653</v>
      </c>
      <c r="AC3485" s="45"/>
    </row>
    <row r="3486" ht="18.75" customHeight="1">
      <c r="A3486" s="142" t="s">
        <v>13654</v>
      </c>
      <c r="B3486" s="19" t="s">
        <v>7403</v>
      </c>
      <c r="C3486" s="20">
        <v>11.0</v>
      </c>
      <c r="D3486" s="48" t="s">
        <v>13655</v>
      </c>
      <c r="E3486" s="27" t="s">
        <v>112</v>
      </c>
      <c r="F3486" s="18" t="s">
        <v>48</v>
      </c>
      <c r="G3486" s="18" t="s">
        <v>35</v>
      </c>
      <c r="H3486" s="40" t="s">
        <v>35</v>
      </c>
      <c r="I3486" s="37" t="s">
        <v>36</v>
      </c>
      <c r="J3486" s="25" t="s">
        <v>65</v>
      </c>
      <c r="K3486" s="26" t="s">
        <v>38</v>
      </c>
      <c r="L3486" s="25">
        <v>12747.0</v>
      </c>
      <c r="M3486" s="49" t="s">
        <v>50</v>
      </c>
      <c r="N3486" s="42" t="s">
        <v>10703</v>
      </c>
      <c r="O3486" s="67">
        <v>45734.698408055556</v>
      </c>
      <c r="P3486" s="26" t="s">
        <v>13656</v>
      </c>
      <c r="Q3486" s="13" t="s">
        <v>75</v>
      </c>
      <c r="R3486" s="13" t="s">
        <v>75</v>
      </c>
      <c r="S3486" s="13" t="s">
        <v>50</v>
      </c>
      <c r="T3486" s="44">
        <v>45705.36475690972</v>
      </c>
      <c r="U3486" s="44">
        <v>45706.350486932875</v>
      </c>
      <c r="V3486" s="44">
        <v>45734.45237932871</v>
      </c>
      <c r="W3486" s="11"/>
      <c r="X3486" s="11"/>
      <c r="Y3486" s="45"/>
      <c r="Z3486" s="45"/>
      <c r="AA3486" s="31" t="s">
        <v>94</v>
      </c>
      <c r="AB3486" s="45" t="s">
        <v>13657</v>
      </c>
      <c r="AC3486" s="45"/>
    </row>
    <row r="3487" ht="18.75" customHeight="1">
      <c r="A3487" s="142" t="s">
        <v>13658</v>
      </c>
      <c r="B3487" s="19" t="s">
        <v>147</v>
      </c>
      <c r="C3487" s="20">
        <v>90.0</v>
      </c>
      <c r="D3487" s="48" t="s">
        <v>13659</v>
      </c>
      <c r="E3487" s="27" t="s">
        <v>91</v>
      </c>
      <c r="F3487" s="18" t="s">
        <v>48</v>
      </c>
      <c r="G3487" s="18" t="s">
        <v>35</v>
      </c>
      <c r="H3487" s="40" t="s">
        <v>35</v>
      </c>
      <c r="I3487" s="37" t="s">
        <v>36</v>
      </c>
      <c r="J3487" s="25" t="s">
        <v>65</v>
      </c>
      <c r="K3487" s="26" t="s">
        <v>38</v>
      </c>
      <c r="L3487" s="25">
        <v>12639.0</v>
      </c>
      <c r="M3487" s="49" t="s">
        <v>50</v>
      </c>
      <c r="N3487" s="42" t="s">
        <v>80</v>
      </c>
      <c r="O3487" s="67">
        <v>45708.70070393519</v>
      </c>
      <c r="P3487" s="26" t="s">
        <v>13660</v>
      </c>
      <c r="Q3487" s="13" t="s">
        <v>75</v>
      </c>
      <c r="R3487" s="13" t="s">
        <v>75</v>
      </c>
      <c r="S3487" s="13" t="s">
        <v>50</v>
      </c>
      <c r="T3487" s="44">
        <v>45705.5857133449</v>
      </c>
      <c r="U3487" s="44">
        <v>45706.38000101852</v>
      </c>
      <c r="V3487" s="44">
        <v>45708.370827418985</v>
      </c>
      <c r="W3487" s="11"/>
      <c r="X3487" s="11"/>
      <c r="Y3487" s="45"/>
      <c r="Z3487" s="45"/>
      <c r="AA3487" s="31" t="s">
        <v>94</v>
      </c>
      <c r="AB3487" s="45" t="s">
        <v>13661</v>
      </c>
      <c r="AC3487" s="45"/>
    </row>
    <row r="3488" ht="18.75" customHeight="1">
      <c r="A3488" s="142" t="s">
        <v>13662</v>
      </c>
      <c r="B3488" s="19" t="s">
        <v>10055</v>
      </c>
      <c r="C3488" s="20">
        <v>90.0</v>
      </c>
      <c r="D3488" s="48" t="s">
        <v>13663</v>
      </c>
      <c r="E3488" s="27" t="s">
        <v>91</v>
      </c>
      <c r="F3488" s="18" t="s">
        <v>48</v>
      </c>
      <c r="G3488" s="18" t="s">
        <v>35</v>
      </c>
      <c r="H3488" s="40" t="s">
        <v>35</v>
      </c>
      <c r="I3488" s="37" t="s">
        <v>36</v>
      </c>
      <c r="J3488" s="25" t="s">
        <v>65</v>
      </c>
      <c r="K3488" s="26" t="s">
        <v>38</v>
      </c>
      <c r="L3488" s="25">
        <v>12640.0</v>
      </c>
      <c r="M3488" s="49" t="s">
        <v>50</v>
      </c>
      <c r="N3488" s="42" t="s">
        <v>80</v>
      </c>
      <c r="O3488" s="67">
        <v>45708.70091151621</v>
      </c>
      <c r="P3488" s="26" t="s">
        <v>13664</v>
      </c>
      <c r="Q3488" s="13" t="s">
        <v>75</v>
      </c>
      <c r="R3488" s="13" t="s">
        <v>75</v>
      </c>
      <c r="S3488" s="13" t="s">
        <v>50</v>
      </c>
      <c r="T3488" s="44">
        <v>45705.36933991898</v>
      </c>
      <c r="U3488" s="44">
        <v>45706.58307835648</v>
      </c>
      <c r="V3488" s="44">
        <v>45708.37085197917</v>
      </c>
      <c r="W3488" s="11"/>
      <c r="X3488" s="11"/>
      <c r="Y3488" s="45"/>
      <c r="Z3488" s="45"/>
      <c r="AA3488" s="31" t="s">
        <v>94</v>
      </c>
      <c r="AB3488" s="45" t="s">
        <v>13665</v>
      </c>
      <c r="AC3488" s="45"/>
    </row>
    <row r="3489" ht="18.75" customHeight="1">
      <c r="A3489" s="142" t="s">
        <v>13666</v>
      </c>
      <c r="B3489" s="19" t="s">
        <v>1299</v>
      </c>
      <c r="C3489" s="20">
        <v>11.0</v>
      </c>
      <c r="D3489" s="48" t="s">
        <v>13667</v>
      </c>
      <c r="E3489" s="27" t="s">
        <v>112</v>
      </c>
      <c r="F3489" s="18" t="s">
        <v>48</v>
      </c>
      <c r="G3489" s="18" t="s">
        <v>35</v>
      </c>
      <c r="H3489" s="40" t="s">
        <v>35</v>
      </c>
      <c r="I3489" s="37" t="s">
        <v>36</v>
      </c>
      <c r="J3489" s="25" t="s">
        <v>92</v>
      </c>
      <c r="K3489" s="26" t="s">
        <v>38</v>
      </c>
      <c r="L3489" s="25">
        <v>12628.0</v>
      </c>
      <c r="M3489" s="49" t="s">
        <v>73</v>
      </c>
      <c r="N3489" s="42" t="s">
        <v>7145</v>
      </c>
      <c r="O3489" s="67">
        <v>45707.38672917824</v>
      </c>
      <c r="P3489" s="26" t="s">
        <v>13668</v>
      </c>
      <c r="Q3489" s="13" t="s">
        <v>75</v>
      </c>
      <c r="R3489" s="13" t="s">
        <v>75</v>
      </c>
      <c r="S3489" s="13" t="s">
        <v>50</v>
      </c>
      <c r="T3489" s="44">
        <v>45705.39904365741</v>
      </c>
      <c r="U3489" s="44">
        <v>45705.448692881946</v>
      </c>
      <c r="V3489" s="44">
        <v>45705.48278925926</v>
      </c>
      <c r="W3489" s="11"/>
      <c r="X3489" s="11"/>
      <c r="Y3489" s="45"/>
      <c r="Z3489" s="45"/>
      <c r="AA3489" s="31" t="s">
        <v>120</v>
      </c>
      <c r="AB3489" s="45" t="s">
        <v>13669</v>
      </c>
      <c r="AC3489" s="45"/>
    </row>
    <row r="3490" ht="18.75" customHeight="1">
      <c r="A3490" s="18" t="s">
        <v>13670</v>
      </c>
      <c r="B3490" s="19" t="s">
        <v>1299</v>
      </c>
      <c r="C3490" s="20">
        <v>0.0</v>
      </c>
      <c r="D3490" s="48" t="s">
        <v>13671</v>
      </c>
      <c r="E3490" s="27" t="s">
        <v>3441</v>
      </c>
      <c r="F3490" s="18" t="s">
        <v>48</v>
      </c>
      <c r="G3490" s="18" t="s">
        <v>35</v>
      </c>
      <c r="H3490" s="40" t="s">
        <v>35</v>
      </c>
      <c r="I3490" s="37" t="s">
        <v>36</v>
      </c>
      <c r="J3490" s="25" t="s">
        <v>92</v>
      </c>
      <c r="K3490" s="26" t="s">
        <v>38</v>
      </c>
      <c r="L3490" s="25">
        <v>12627.0</v>
      </c>
      <c r="M3490" s="49" t="s">
        <v>73</v>
      </c>
      <c r="N3490" s="42" t="s">
        <v>7145</v>
      </c>
      <c r="O3490" s="67">
        <v>45707.386860949075</v>
      </c>
      <c r="P3490" s="26" t="s">
        <v>13672</v>
      </c>
      <c r="Q3490" s="13" t="s">
        <v>75</v>
      </c>
      <c r="R3490" s="13" t="s">
        <v>75</v>
      </c>
      <c r="S3490" s="13" t="s">
        <v>50</v>
      </c>
      <c r="T3490" s="44">
        <v>45705.40053909722</v>
      </c>
      <c r="U3490" s="44">
        <v>45705.44878265046</v>
      </c>
      <c r="V3490" s="44">
        <v>45705.4675216551</v>
      </c>
      <c r="W3490" s="11"/>
      <c r="X3490" s="11"/>
      <c r="Y3490" s="45"/>
      <c r="Z3490" s="45"/>
      <c r="AA3490" s="31" t="s">
        <v>120</v>
      </c>
      <c r="AB3490" s="45" t="s">
        <v>13673</v>
      </c>
      <c r="AC3490" s="45"/>
    </row>
    <row r="3491" ht="18.75" customHeight="1">
      <c r="A3491" s="18" t="s">
        <v>13674</v>
      </c>
      <c r="B3491" s="19" t="s">
        <v>1299</v>
      </c>
      <c r="C3491" s="20">
        <v>90.0</v>
      </c>
      <c r="D3491" s="48" t="s">
        <v>13675</v>
      </c>
      <c r="E3491" s="27" t="s">
        <v>91</v>
      </c>
      <c r="F3491" s="18" t="s">
        <v>48</v>
      </c>
      <c r="G3491" s="18" t="s">
        <v>35</v>
      </c>
      <c r="H3491" s="40" t="s">
        <v>35</v>
      </c>
      <c r="I3491" s="37" t="s">
        <v>36</v>
      </c>
      <c r="J3491" s="25" t="s">
        <v>92</v>
      </c>
      <c r="K3491" s="26" t="s">
        <v>38</v>
      </c>
      <c r="L3491" s="25">
        <v>12627.0</v>
      </c>
      <c r="M3491" s="49" t="s">
        <v>73</v>
      </c>
      <c r="N3491" s="42" t="s">
        <v>7145</v>
      </c>
      <c r="O3491" s="67">
        <v>45707.38693091435</v>
      </c>
      <c r="P3491" s="26" t="s">
        <v>13672</v>
      </c>
      <c r="Q3491" s="13" t="s">
        <v>75</v>
      </c>
      <c r="R3491" s="13" t="s">
        <v>75</v>
      </c>
      <c r="S3491" s="13" t="s">
        <v>50</v>
      </c>
      <c r="T3491" s="44">
        <v>45705.40077418981</v>
      </c>
      <c r="U3491" s="44">
        <v>45705.44877134259</v>
      </c>
      <c r="V3491" s="44">
        <v>45705.467512372685</v>
      </c>
      <c r="W3491" s="11"/>
      <c r="X3491" s="11"/>
      <c r="Y3491" s="45"/>
      <c r="Z3491" s="45"/>
      <c r="AA3491" s="31" t="s">
        <v>120</v>
      </c>
      <c r="AB3491" s="45" t="s">
        <v>13676</v>
      </c>
      <c r="AC3491" s="45"/>
    </row>
    <row r="3492" ht="18.75" customHeight="1">
      <c r="A3492" s="18" t="s">
        <v>13677</v>
      </c>
      <c r="B3492" s="19" t="s">
        <v>1299</v>
      </c>
      <c r="C3492" s="20">
        <v>90.0</v>
      </c>
      <c r="D3492" s="48" t="s">
        <v>13678</v>
      </c>
      <c r="E3492" s="27" t="s">
        <v>91</v>
      </c>
      <c r="F3492" s="18" t="s">
        <v>48</v>
      </c>
      <c r="G3492" s="18" t="s">
        <v>35</v>
      </c>
      <c r="H3492" s="40" t="s">
        <v>35</v>
      </c>
      <c r="I3492" s="37" t="s">
        <v>36</v>
      </c>
      <c r="J3492" s="25" t="s">
        <v>92</v>
      </c>
      <c r="K3492" s="26" t="s">
        <v>38</v>
      </c>
      <c r="L3492" s="25">
        <v>12627.0</v>
      </c>
      <c r="M3492" s="49" t="s">
        <v>73</v>
      </c>
      <c r="N3492" s="42" t="s">
        <v>7145</v>
      </c>
      <c r="O3492" s="67">
        <v>45707.386793645834</v>
      </c>
      <c r="P3492" s="26" t="s">
        <v>13672</v>
      </c>
      <c r="Q3492" s="13" t="s">
        <v>75</v>
      </c>
      <c r="R3492" s="13" t="s">
        <v>75</v>
      </c>
      <c r="S3492" s="13" t="s">
        <v>50</v>
      </c>
      <c r="T3492" s="44">
        <v>45705.400952048614</v>
      </c>
      <c r="U3492" s="44">
        <v>45705.44880864583</v>
      </c>
      <c r="V3492" s="44">
        <v>45705.467562997685</v>
      </c>
      <c r="W3492" s="11"/>
      <c r="X3492" s="11"/>
      <c r="Y3492" s="45"/>
      <c r="Z3492" s="45"/>
      <c r="AA3492" s="31" t="s">
        <v>120</v>
      </c>
      <c r="AB3492" s="45" t="s">
        <v>13679</v>
      </c>
      <c r="AC3492" s="45"/>
    </row>
    <row r="3493" ht="18.75" customHeight="1">
      <c r="A3493" s="18" t="s">
        <v>13680</v>
      </c>
      <c r="B3493" s="19" t="s">
        <v>1299</v>
      </c>
      <c r="C3493" s="20">
        <v>90.0</v>
      </c>
      <c r="D3493" s="48" t="s">
        <v>13681</v>
      </c>
      <c r="E3493" s="27" t="s">
        <v>91</v>
      </c>
      <c r="F3493" s="18" t="s">
        <v>48</v>
      </c>
      <c r="G3493" s="18" t="s">
        <v>35</v>
      </c>
      <c r="H3493" s="40" t="s">
        <v>35</v>
      </c>
      <c r="I3493" s="37" t="s">
        <v>36</v>
      </c>
      <c r="J3493" s="25" t="s">
        <v>92</v>
      </c>
      <c r="K3493" s="26" t="s">
        <v>38</v>
      </c>
      <c r="L3493" s="25">
        <v>12627.0</v>
      </c>
      <c r="M3493" s="49" t="s">
        <v>73</v>
      </c>
      <c r="N3493" s="42" t="s">
        <v>7145</v>
      </c>
      <c r="O3493" s="67">
        <v>45707.38699804398</v>
      </c>
      <c r="P3493" s="26" t="s">
        <v>13672</v>
      </c>
      <c r="Q3493" s="13" t="s">
        <v>75</v>
      </c>
      <c r="R3493" s="13" t="s">
        <v>75</v>
      </c>
      <c r="S3493" s="13" t="s">
        <v>50</v>
      </c>
      <c r="T3493" s="44">
        <v>45705.401091168984</v>
      </c>
      <c r="U3493" s="44">
        <v>45705.44875429398</v>
      </c>
      <c r="V3493" s="44">
        <v>45705.46749434028</v>
      </c>
      <c r="W3493" s="11"/>
      <c r="X3493" s="11"/>
      <c r="Y3493" s="45"/>
      <c r="Z3493" s="45"/>
      <c r="AA3493" s="31" t="s">
        <v>120</v>
      </c>
      <c r="AB3493" s="45" t="s">
        <v>13682</v>
      </c>
      <c r="AC3493" s="45"/>
    </row>
    <row r="3494" ht="18.75" customHeight="1">
      <c r="A3494" s="142" t="s">
        <v>13683</v>
      </c>
      <c r="B3494" s="19" t="s">
        <v>96</v>
      </c>
      <c r="C3494" s="20">
        <v>0.0</v>
      </c>
      <c r="D3494" s="48" t="s">
        <v>13684</v>
      </c>
      <c r="E3494" s="27" t="s">
        <v>268</v>
      </c>
      <c r="F3494" s="18" t="s">
        <v>33</v>
      </c>
      <c r="G3494" s="18" t="s">
        <v>35</v>
      </c>
      <c r="H3494" s="40" t="s">
        <v>35</v>
      </c>
      <c r="I3494" s="37" t="s">
        <v>36</v>
      </c>
      <c r="J3494" s="25" t="s">
        <v>49</v>
      </c>
      <c r="K3494" s="26" t="s">
        <v>38</v>
      </c>
      <c r="L3494" s="25">
        <v>12948.0</v>
      </c>
      <c r="M3494" s="49" t="s">
        <v>50</v>
      </c>
      <c r="N3494" s="42" t="s">
        <v>5936</v>
      </c>
      <c r="O3494" s="67">
        <v>45776.65126601852</v>
      </c>
      <c r="P3494" s="35" t="s">
        <v>13685</v>
      </c>
      <c r="Q3494" s="13" t="s">
        <v>75</v>
      </c>
      <c r="R3494" s="13" t="s">
        <v>75</v>
      </c>
      <c r="S3494" s="13"/>
      <c r="T3494" s="44">
        <v>45757.705625358794</v>
      </c>
      <c r="U3494" s="44">
        <v>45757.705640775464</v>
      </c>
      <c r="V3494" s="13"/>
      <c r="W3494" s="11"/>
      <c r="X3494" s="11"/>
      <c r="Y3494" s="45"/>
      <c r="Z3494" s="45"/>
      <c r="AA3494" s="31" t="s">
        <v>102</v>
      </c>
      <c r="AB3494" s="45" t="s">
        <v>13686</v>
      </c>
      <c r="AC3494" s="45"/>
    </row>
    <row r="3495" ht="18.75" customHeight="1">
      <c r="A3495" s="18" t="s">
        <v>13687</v>
      </c>
      <c r="B3495" s="19" t="s">
        <v>96</v>
      </c>
      <c r="C3495" s="20">
        <v>0.0</v>
      </c>
      <c r="D3495" s="48" t="s">
        <v>13688</v>
      </c>
      <c r="E3495" s="27" t="s">
        <v>165</v>
      </c>
      <c r="F3495" s="18" t="s">
        <v>33</v>
      </c>
      <c r="G3495" s="18" t="s">
        <v>35</v>
      </c>
      <c r="H3495" s="40" t="s">
        <v>35</v>
      </c>
      <c r="I3495" s="37" t="s">
        <v>36</v>
      </c>
      <c r="J3495" s="25" t="s">
        <v>49</v>
      </c>
      <c r="K3495" s="26" t="s">
        <v>38</v>
      </c>
      <c r="L3495" s="25">
        <v>12662.0</v>
      </c>
      <c r="M3495" s="49" t="s">
        <v>50</v>
      </c>
      <c r="N3495" s="42" t="s">
        <v>143</v>
      </c>
      <c r="O3495" s="67">
        <v>45712.62708417824</v>
      </c>
      <c r="P3495" s="35" t="s">
        <v>13685</v>
      </c>
      <c r="Q3495" s="13" t="s">
        <v>75</v>
      </c>
      <c r="R3495" s="13" t="s">
        <v>75</v>
      </c>
      <c r="S3495" s="13" t="s">
        <v>101</v>
      </c>
      <c r="T3495" s="44">
        <v>45705.451190023145</v>
      </c>
      <c r="U3495" s="44">
        <v>45705.47083976852</v>
      </c>
      <c r="V3495" s="44">
        <v>45708.70839383102</v>
      </c>
      <c r="W3495" s="11"/>
      <c r="X3495" s="11"/>
      <c r="Y3495" s="45"/>
      <c r="Z3495" s="45"/>
      <c r="AA3495" s="31" t="s">
        <v>102</v>
      </c>
      <c r="AB3495" s="45" t="s">
        <v>13689</v>
      </c>
      <c r="AC3495" s="45"/>
    </row>
    <row r="3496" ht="18.75" customHeight="1">
      <c r="A3496" s="18" t="s">
        <v>13690</v>
      </c>
      <c r="B3496" s="19" t="s">
        <v>96</v>
      </c>
      <c r="C3496" s="20">
        <v>0.0</v>
      </c>
      <c r="D3496" s="48" t="s">
        <v>13691</v>
      </c>
      <c r="E3496" s="27" t="s">
        <v>165</v>
      </c>
      <c r="F3496" s="18" t="s">
        <v>33</v>
      </c>
      <c r="G3496" s="18" t="s">
        <v>35</v>
      </c>
      <c r="H3496" s="40" t="s">
        <v>35</v>
      </c>
      <c r="I3496" s="37" t="s">
        <v>36</v>
      </c>
      <c r="J3496" s="25" t="s">
        <v>49</v>
      </c>
      <c r="K3496" s="26" t="s">
        <v>38</v>
      </c>
      <c r="L3496" s="25">
        <v>12662.0</v>
      </c>
      <c r="M3496" s="49" t="s">
        <v>50</v>
      </c>
      <c r="N3496" s="42" t="s">
        <v>143</v>
      </c>
      <c r="O3496" s="67">
        <v>45712.62697755787</v>
      </c>
      <c r="P3496" s="35" t="s">
        <v>13685</v>
      </c>
      <c r="Q3496" s="13" t="s">
        <v>75</v>
      </c>
      <c r="R3496" s="13" t="s">
        <v>75</v>
      </c>
      <c r="S3496" s="13" t="s">
        <v>101</v>
      </c>
      <c r="T3496" s="44">
        <v>45705.451305740746</v>
      </c>
      <c r="U3496" s="44">
        <v>45705.47085491898</v>
      </c>
      <c r="V3496" s="44">
        <v>45708.70840238426</v>
      </c>
      <c r="W3496" s="11"/>
      <c r="X3496" s="11"/>
      <c r="Y3496" s="45"/>
      <c r="Z3496" s="45"/>
      <c r="AA3496" s="31" t="s">
        <v>102</v>
      </c>
      <c r="AB3496" s="45" t="s">
        <v>13692</v>
      </c>
      <c r="AC3496" s="45"/>
    </row>
    <row r="3497" ht="18.75" customHeight="1">
      <c r="A3497" s="18" t="s">
        <v>13693</v>
      </c>
      <c r="B3497" s="19" t="s">
        <v>96</v>
      </c>
      <c r="C3497" s="20">
        <v>0.0</v>
      </c>
      <c r="D3497" s="48" t="s">
        <v>1367</v>
      </c>
      <c r="E3497" s="27" t="s">
        <v>1595</v>
      </c>
      <c r="F3497" s="18" t="s">
        <v>33</v>
      </c>
      <c r="G3497" s="18" t="s">
        <v>35</v>
      </c>
      <c r="H3497" s="40" t="s">
        <v>35</v>
      </c>
      <c r="I3497" s="37" t="s">
        <v>36</v>
      </c>
      <c r="J3497" s="25" t="s">
        <v>49</v>
      </c>
      <c r="K3497" s="26" t="s">
        <v>38</v>
      </c>
      <c r="L3497" s="25">
        <v>12662.0</v>
      </c>
      <c r="M3497" s="49" t="s">
        <v>50</v>
      </c>
      <c r="N3497" s="42" t="s">
        <v>143</v>
      </c>
      <c r="O3497" s="67">
        <v>45712.62703236111</v>
      </c>
      <c r="P3497" s="35" t="s">
        <v>13685</v>
      </c>
      <c r="Q3497" s="13" t="s">
        <v>75</v>
      </c>
      <c r="R3497" s="13" t="s">
        <v>75</v>
      </c>
      <c r="S3497" s="13" t="s">
        <v>101</v>
      </c>
      <c r="T3497" s="44">
        <v>45705.45154216435</v>
      </c>
      <c r="U3497" s="44">
        <v>45705.47084731481</v>
      </c>
      <c r="V3497" s="44">
        <v>45708.708397685186</v>
      </c>
      <c r="W3497" s="11"/>
      <c r="X3497" s="11"/>
      <c r="Y3497" s="45"/>
      <c r="Z3497" s="45"/>
      <c r="AA3497" s="31" t="s">
        <v>102</v>
      </c>
      <c r="AB3497" s="45" t="s">
        <v>13694</v>
      </c>
      <c r="AC3497" s="45"/>
    </row>
    <row r="3498" ht="18.75" customHeight="1">
      <c r="A3498" s="18" t="s">
        <v>13695</v>
      </c>
      <c r="B3498" s="19" t="s">
        <v>96</v>
      </c>
      <c r="C3498" s="20">
        <v>0.0</v>
      </c>
      <c r="D3498" s="48" t="s">
        <v>13696</v>
      </c>
      <c r="E3498" s="27" t="s">
        <v>701</v>
      </c>
      <c r="F3498" s="18" t="s">
        <v>33</v>
      </c>
      <c r="G3498" s="18" t="s">
        <v>35</v>
      </c>
      <c r="H3498" s="40" t="s">
        <v>35</v>
      </c>
      <c r="I3498" s="37" t="s">
        <v>36</v>
      </c>
      <c r="J3498" s="25" t="s">
        <v>49</v>
      </c>
      <c r="K3498" s="26" t="s">
        <v>38</v>
      </c>
      <c r="L3498" s="25">
        <v>12662.0</v>
      </c>
      <c r="M3498" s="49" t="s">
        <v>50</v>
      </c>
      <c r="N3498" s="42" t="s">
        <v>143</v>
      </c>
      <c r="O3498" s="67">
        <v>45712.62683628472</v>
      </c>
      <c r="P3498" s="35" t="s">
        <v>13685</v>
      </c>
      <c r="Q3498" s="13" t="s">
        <v>75</v>
      </c>
      <c r="R3498" s="13" t="s">
        <v>75</v>
      </c>
      <c r="S3498" s="13"/>
      <c r="T3498" s="44">
        <v>45705.45172520833</v>
      </c>
      <c r="U3498" s="44">
        <v>45705.47086635417</v>
      </c>
      <c r="V3498" s="13"/>
      <c r="W3498" s="11"/>
      <c r="X3498" s="11"/>
      <c r="Y3498" s="45"/>
      <c r="Z3498" s="45"/>
      <c r="AA3498" s="31" t="s">
        <v>102</v>
      </c>
      <c r="AB3498" s="45" t="s">
        <v>13697</v>
      </c>
      <c r="AC3498" s="45"/>
    </row>
    <row r="3499" ht="18.75" customHeight="1">
      <c r="A3499" s="18" t="s">
        <v>13698</v>
      </c>
      <c r="B3499" s="19" t="s">
        <v>96</v>
      </c>
      <c r="C3499" s="20">
        <v>0.0</v>
      </c>
      <c r="D3499" s="48" t="s">
        <v>13699</v>
      </c>
      <c r="E3499" s="27" t="s">
        <v>165</v>
      </c>
      <c r="F3499" s="18" t="s">
        <v>33</v>
      </c>
      <c r="G3499" s="18" t="s">
        <v>35</v>
      </c>
      <c r="H3499" s="40" t="s">
        <v>35</v>
      </c>
      <c r="I3499" s="37" t="s">
        <v>36</v>
      </c>
      <c r="J3499" s="25" t="s">
        <v>49</v>
      </c>
      <c r="K3499" s="26" t="s">
        <v>38</v>
      </c>
      <c r="L3499" s="72">
        <v>13374.0</v>
      </c>
      <c r="M3499" s="49" t="s">
        <v>50</v>
      </c>
      <c r="N3499" s="42" t="s">
        <v>143</v>
      </c>
      <c r="O3499" s="67">
        <v>45847.601654363425</v>
      </c>
      <c r="P3499" s="35" t="s">
        <v>13685</v>
      </c>
      <c r="Q3499" s="13" t="s">
        <v>75</v>
      </c>
      <c r="R3499" s="13" t="s">
        <v>75</v>
      </c>
      <c r="S3499" s="13" t="s">
        <v>9620</v>
      </c>
      <c r="T3499" s="44">
        <v>45842.44400564815</v>
      </c>
      <c r="U3499" s="44">
        <v>45842.444082291666</v>
      </c>
      <c r="V3499" s="44">
        <v>45846.517596261576</v>
      </c>
      <c r="W3499" s="11"/>
      <c r="X3499" s="11"/>
      <c r="Y3499" s="45">
        <v>302.0</v>
      </c>
      <c r="Z3499" s="45" t="s">
        <v>13700</v>
      </c>
      <c r="AA3499" s="31" t="s">
        <v>102</v>
      </c>
      <c r="AB3499" s="45" t="s">
        <v>13701</v>
      </c>
      <c r="AC3499" s="45"/>
    </row>
    <row r="3500" ht="18.75" customHeight="1">
      <c r="A3500" s="18" t="s">
        <v>13702</v>
      </c>
      <c r="B3500" s="19" t="s">
        <v>96</v>
      </c>
      <c r="C3500" s="20">
        <v>0.0</v>
      </c>
      <c r="D3500" s="48"/>
      <c r="E3500" s="27" t="s">
        <v>165</v>
      </c>
      <c r="F3500" s="18" t="s">
        <v>33</v>
      </c>
      <c r="G3500" s="18" t="s">
        <v>35</v>
      </c>
      <c r="H3500" s="40" t="s">
        <v>35</v>
      </c>
      <c r="I3500" s="37" t="s">
        <v>984</v>
      </c>
      <c r="J3500" s="25" t="s">
        <v>49</v>
      </c>
      <c r="K3500" s="26" t="s">
        <v>38</v>
      </c>
      <c r="L3500" s="25">
        <v>-12665.0</v>
      </c>
      <c r="M3500" s="49"/>
      <c r="N3500" s="42"/>
      <c r="O3500" s="68"/>
      <c r="P3500" s="35" t="s">
        <v>13685</v>
      </c>
      <c r="Q3500" s="13" t="s">
        <v>75</v>
      </c>
      <c r="R3500" s="13" t="s">
        <v>75</v>
      </c>
      <c r="S3500" s="13"/>
      <c r="T3500" s="44">
        <v>45712.55560467593</v>
      </c>
      <c r="U3500" s="44">
        <v>45712.555586250004</v>
      </c>
      <c r="V3500" s="13"/>
      <c r="W3500" s="11"/>
      <c r="X3500" s="11"/>
      <c r="Y3500" s="45"/>
      <c r="Z3500" s="45"/>
      <c r="AA3500" s="31" t="s">
        <v>102</v>
      </c>
      <c r="AB3500" s="45" t="s">
        <v>13703</v>
      </c>
      <c r="AC3500" s="45"/>
    </row>
    <row r="3501" ht="18.75" customHeight="1">
      <c r="A3501" s="142" t="s">
        <v>13704</v>
      </c>
      <c r="B3501" s="19" t="s">
        <v>96</v>
      </c>
      <c r="C3501" s="20">
        <v>0.0</v>
      </c>
      <c r="D3501" s="48" t="s">
        <v>13705</v>
      </c>
      <c r="E3501" s="27" t="s">
        <v>79</v>
      </c>
      <c r="F3501" s="18" t="s">
        <v>33</v>
      </c>
      <c r="G3501" s="18" t="s">
        <v>35</v>
      </c>
      <c r="H3501" s="40" t="s">
        <v>35</v>
      </c>
      <c r="I3501" s="37" t="s">
        <v>36</v>
      </c>
      <c r="J3501" s="25" t="s">
        <v>49</v>
      </c>
      <c r="K3501" s="26" t="s">
        <v>38</v>
      </c>
      <c r="L3501" s="25">
        <v>12707.0</v>
      </c>
      <c r="M3501" s="41" t="s">
        <v>73</v>
      </c>
      <c r="N3501" s="42" t="s">
        <v>5936</v>
      </c>
      <c r="O3501" s="67">
        <v>45726.625893749995</v>
      </c>
      <c r="P3501" s="35" t="s">
        <v>13685</v>
      </c>
      <c r="Q3501" s="13" t="s">
        <v>75</v>
      </c>
      <c r="R3501" s="13" t="s">
        <v>75</v>
      </c>
      <c r="S3501" s="13" t="s">
        <v>101</v>
      </c>
      <c r="T3501" s="44">
        <v>45705.472446423606</v>
      </c>
      <c r="U3501" s="44">
        <v>45713.38308047454</v>
      </c>
      <c r="V3501" s="44">
        <v>45716.380387997684</v>
      </c>
      <c r="W3501" s="11"/>
      <c r="X3501" s="11"/>
      <c r="Y3501" s="45"/>
      <c r="Z3501" s="45"/>
      <c r="AA3501" s="31" t="s">
        <v>102</v>
      </c>
      <c r="AB3501" s="45" t="s">
        <v>13706</v>
      </c>
      <c r="AC3501" s="45"/>
    </row>
    <row r="3502" ht="18.75" customHeight="1">
      <c r="A3502" s="142" t="s">
        <v>13707</v>
      </c>
      <c r="B3502" s="19" t="s">
        <v>8459</v>
      </c>
      <c r="C3502" s="20">
        <v>90.0</v>
      </c>
      <c r="D3502" s="48" t="s">
        <v>13708</v>
      </c>
      <c r="E3502" s="27" t="s">
        <v>91</v>
      </c>
      <c r="F3502" s="18" t="s">
        <v>48</v>
      </c>
      <c r="G3502" s="18" t="s">
        <v>35</v>
      </c>
      <c r="H3502" s="40" t="s">
        <v>35</v>
      </c>
      <c r="I3502" s="37" t="s">
        <v>36</v>
      </c>
      <c r="J3502" s="25" t="s">
        <v>49</v>
      </c>
      <c r="K3502" s="26" t="s">
        <v>1506</v>
      </c>
      <c r="L3502" s="25">
        <v>12642.0</v>
      </c>
      <c r="M3502" s="49" t="s">
        <v>50</v>
      </c>
      <c r="N3502" s="42" t="s">
        <v>143</v>
      </c>
      <c r="O3502" s="67">
        <v>45708.59570449074</v>
      </c>
      <c r="P3502" s="26" t="s">
        <v>13709</v>
      </c>
      <c r="Q3502" s="13" t="s">
        <v>75</v>
      </c>
      <c r="R3502" s="13" t="s">
        <v>75</v>
      </c>
      <c r="S3502" s="13" t="s">
        <v>50</v>
      </c>
      <c r="T3502" s="44">
        <v>45706.399416388886</v>
      </c>
      <c r="U3502" s="44">
        <v>45706.46703784722</v>
      </c>
      <c r="V3502" s="44">
        <v>45708.370839166666</v>
      </c>
      <c r="W3502" s="11"/>
      <c r="X3502" s="11"/>
      <c r="Y3502" s="45"/>
      <c r="Z3502" s="45"/>
      <c r="AA3502" s="31" t="s">
        <v>3053</v>
      </c>
      <c r="AB3502" s="45" t="s">
        <v>13710</v>
      </c>
      <c r="AC3502" s="45"/>
    </row>
    <row r="3503" ht="18.75" customHeight="1">
      <c r="A3503" s="142" t="s">
        <v>13711</v>
      </c>
      <c r="B3503" s="19" t="s">
        <v>12937</v>
      </c>
      <c r="C3503" s="20">
        <v>0.0</v>
      </c>
      <c r="D3503" s="48" t="s">
        <v>13712</v>
      </c>
      <c r="E3503" s="27" t="s">
        <v>3441</v>
      </c>
      <c r="F3503" s="18" t="s">
        <v>48</v>
      </c>
      <c r="G3503" s="18" t="s">
        <v>35</v>
      </c>
      <c r="H3503" s="40" t="s">
        <v>35</v>
      </c>
      <c r="I3503" s="37" t="s">
        <v>36</v>
      </c>
      <c r="J3503" s="25" t="s">
        <v>65</v>
      </c>
      <c r="K3503" s="26" t="s">
        <v>38</v>
      </c>
      <c r="L3503" s="25">
        <v>12632.0</v>
      </c>
      <c r="M3503" s="49" t="s">
        <v>50</v>
      </c>
      <c r="N3503" s="42" t="s">
        <v>80</v>
      </c>
      <c r="O3503" s="67">
        <v>45708.700959027774</v>
      </c>
      <c r="P3503" s="26" t="s">
        <v>13713</v>
      </c>
      <c r="Q3503" s="13" t="s">
        <v>75</v>
      </c>
      <c r="R3503" s="13" t="s">
        <v>75</v>
      </c>
      <c r="S3503" s="13" t="s">
        <v>50</v>
      </c>
      <c r="T3503" s="44">
        <v>45706.40117979167</v>
      </c>
      <c r="U3503" s="44">
        <v>45706.46534377315</v>
      </c>
      <c r="V3503" s="44">
        <v>45706.59003695602</v>
      </c>
      <c r="W3503" s="11"/>
      <c r="X3503" s="11"/>
      <c r="Y3503" s="45"/>
      <c r="Z3503" s="45"/>
      <c r="AA3503" s="31" t="s">
        <v>3059</v>
      </c>
      <c r="AB3503" s="45" t="s">
        <v>13714</v>
      </c>
      <c r="AC3503" s="45"/>
    </row>
    <row r="3504" ht="18.75" customHeight="1">
      <c r="A3504" s="142" t="s">
        <v>13715</v>
      </c>
      <c r="B3504" s="19" t="s">
        <v>13716</v>
      </c>
      <c r="C3504" s="20">
        <v>0.0</v>
      </c>
      <c r="D3504" s="48" t="s">
        <v>13717</v>
      </c>
      <c r="E3504" s="27" t="s">
        <v>3441</v>
      </c>
      <c r="F3504" s="18" t="s">
        <v>48</v>
      </c>
      <c r="G3504" s="18" t="s">
        <v>35</v>
      </c>
      <c r="H3504" s="40" t="s">
        <v>35</v>
      </c>
      <c r="I3504" s="37" t="s">
        <v>36</v>
      </c>
      <c r="J3504" s="25" t="s">
        <v>518</v>
      </c>
      <c r="K3504" s="26" t="s">
        <v>38</v>
      </c>
      <c r="L3504" s="25">
        <v>12648.0</v>
      </c>
      <c r="M3504" s="49" t="s">
        <v>50</v>
      </c>
      <c r="N3504" s="42" t="s">
        <v>4616</v>
      </c>
      <c r="O3504" s="67">
        <v>45708.57458173611</v>
      </c>
      <c r="P3504" s="26" t="s">
        <v>13718</v>
      </c>
      <c r="Q3504" s="13" t="s">
        <v>75</v>
      </c>
      <c r="R3504" s="13" t="s">
        <v>75</v>
      </c>
      <c r="S3504" s="13" t="s">
        <v>50</v>
      </c>
      <c r="T3504" s="44">
        <v>45708.57015486111</v>
      </c>
      <c r="U3504" s="44">
        <v>45708.57030082176</v>
      </c>
      <c r="V3504" s="44">
        <v>45708.57181084491</v>
      </c>
      <c r="W3504" s="11"/>
      <c r="X3504" s="148">
        <v>45706.0</v>
      </c>
      <c r="Y3504" s="45"/>
      <c r="Z3504" s="45"/>
      <c r="AA3504" s="31" t="s">
        <v>108</v>
      </c>
      <c r="AB3504" s="45" t="s">
        <v>13719</v>
      </c>
      <c r="AC3504" s="45"/>
    </row>
    <row r="3505" ht="18.75" customHeight="1">
      <c r="A3505" s="142" t="s">
        <v>13720</v>
      </c>
      <c r="B3505" s="19" t="s">
        <v>13721</v>
      </c>
      <c r="C3505" s="20">
        <v>27.0</v>
      </c>
      <c r="D3505" s="39" t="s">
        <v>13722</v>
      </c>
      <c r="E3505" s="27" t="s">
        <v>72</v>
      </c>
      <c r="F3505" s="18" t="s">
        <v>48</v>
      </c>
      <c r="G3505" s="18" t="s">
        <v>35</v>
      </c>
      <c r="H3505" s="40" t="s">
        <v>35</v>
      </c>
      <c r="I3505" s="37" t="s">
        <v>36</v>
      </c>
      <c r="J3505" s="25" t="s">
        <v>49</v>
      </c>
      <c r="K3505" s="26" t="s">
        <v>238</v>
      </c>
      <c r="L3505" s="25">
        <v>12741.0</v>
      </c>
      <c r="M3505" s="49" t="s">
        <v>50</v>
      </c>
      <c r="N3505" s="42" t="s">
        <v>5936</v>
      </c>
      <c r="O3505" s="67">
        <v>45734.68315829861</v>
      </c>
      <c r="P3505" s="26" t="s">
        <v>13723</v>
      </c>
      <c r="Q3505" s="13" t="s">
        <v>75</v>
      </c>
      <c r="R3505" s="13" t="s">
        <v>75</v>
      </c>
      <c r="S3505" s="13" t="s">
        <v>50</v>
      </c>
      <c r="T3505" s="44">
        <v>45708.416900729164</v>
      </c>
      <c r="U3505" s="44">
        <v>45708.41690271991</v>
      </c>
      <c r="V3505" s="44">
        <v>45734.434503564815</v>
      </c>
      <c r="W3505" s="11"/>
      <c r="X3505" s="11"/>
      <c r="Y3505" s="45"/>
      <c r="Z3505" s="45"/>
      <c r="AA3505" s="31" t="s">
        <v>3808</v>
      </c>
      <c r="AB3505" s="45" t="s">
        <v>13724</v>
      </c>
      <c r="AC3505" s="45"/>
    </row>
    <row r="3506" ht="18.75" customHeight="1">
      <c r="A3506" s="142" t="s">
        <v>13725</v>
      </c>
      <c r="B3506" s="19" t="s">
        <v>4941</v>
      </c>
      <c r="C3506" s="20">
        <v>11.0</v>
      </c>
      <c r="D3506" s="48" t="s">
        <v>13726</v>
      </c>
      <c r="E3506" s="27" t="s">
        <v>112</v>
      </c>
      <c r="F3506" s="18" t="s">
        <v>48</v>
      </c>
      <c r="G3506" s="18" t="s">
        <v>35</v>
      </c>
      <c r="H3506" s="40" t="s">
        <v>35</v>
      </c>
      <c r="I3506" s="37" t="s">
        <v>36</v>
      </c>
      <c r="J3506" s="25" t="s">
        <v>49</v>
      </c>
      <c r="K3506" s="26" t="s">
        <v>38</v>
      </c>
      <c r="L3506" s="25">
        <v>12748.0</v>
      </c>
      <c r="M3506" s="49" t="s">
        <v>50</v>
      </c>
      <c r="N3506" s="42" t="s">
        <v>5936</v>
      </c>
      <c r="O3506" s="67">
        <v>45734.683270740745</v>
      </c>
      <c r="P3506" s="26" t="s">
        <v>13727</v>
      </c>
      <c r="Q3506" s="13" t="s">
        <v>75</v>
      </c>
      <c r="R3506" s="13" t="s">
        <v>75</v>
      </c>
      <c r="S3506" s="13" t="s">
        <v>50</v>
      </c>
      <c r="T3506" s="44">
        <v>45707.45596548611</v>
      </c>
      <c r="U3506" s="44">
        <v>45712.36716144676</v>
      </c>
      <c r="V3506" s="44">
        <v>45734.45239878472</v>
      </c>
      <c r="W3506" s="11"/>
      <c r="X3506" s="11"/>
      <c r="Y3506" s="45"/>
      <c r="Z3506" s="45"/>
      <c r="AA3506" s="31" t="s">
        <v>94</v>
      </c>
      <c r="AB3506" s="45" t="s">
        <v>13728</v>
      </c>
      <c r="AC3506" s="45"/>
    </row>
    <row r="3507" ht="18.75" customHeight="1">
      <c r="A3507" s="18" t="s">
        <v>13729</v>
      </c>
      <c r="B3507" s="19" t="s">
        <v>4313</v>
      </c>
      <c r="C3507" s="20">
        <v>0.0</v>
      </c>
      <c r="D3507" s="48" t="s">
        <v>1261</v>
      </c>
      <c r="E3507" s="27" t="s">
        <v>135</v>
      </c>
      <c r="F3507" s="18" t="s">
        <v>48</v>
      </c>
      <c r="G3507" s="18" t="s">
        <v>35</v>
      </c>
      <c r="H3507" s="40" t="s">
        <v>35</v>
      </c>
      <c r="I3507" s="37" t="s">
        <v>36</v>
      </c>
      <c r="J3507" s="25" t="s">
        <v>92</v>
      </c>
      <c r="K3507" s="26" t="s">
        <v>38</v>
      </c>
      <c r="L3507" s="25">
        <v>12664.0</v>
      </c>
      <c r="M3507" s="49" t="s">
        <v>50</v>
      </c>
      <c r="N3507" s="42" t="s">
        <v>10176</v>
      </c>
      <c r="O3507" s="67">
        <v>45751.45909892361</v>
      </c>
      <c r="P3507" s="26" t="s">
        <v>13730</v>
      </c>
      <c r="Q3507" s="13" t="s">
        <v>75</v>
      </c>
      <c r="R3507" s="13" t="s">
        <v>75</v>
      </c>
      <c r="S3507" s="13" t="s">
        <v>101</v>
      </c>
      <c r="T3507" s="44">
        <v>45707.4599225</v>
      </c>
      <c r="U3507" s="44">
        <v>45707.704335787035</v>
      </c>
      <c r="V3507" s="44">
        <v>45708.499181226856</v>
      </c>
      <c r="W3507" s="11"/>
      <c r="X3507" s="11"/>
      <c r="Y3507" s="45"/>
      <c r="Z3507" s="45"/>
      <c r="AA3507" s="31" t="s">
        <v>120</v>
      </c>
      <c r="AB3507" s="45" t="s">
        <v>13731</v>
      </c>
      <c r="AC3507" s="45"/>
    </row>
    <row r="3508" ht="18.75" customHeight="1">
      <c r="A3508" s="18" t="s">
        <v>13732</v>
      </c>
      <c r="B3508" s="19" t="s">
        <v>4313</v>
      </c>
      <c r="C3508" s="20">
        <v>0.0</v>
      </c>
      <c r="D3508" s="48" t="s">
        <v>13733</v>
      </c>
      <c r="E3508" s="27" t="s">
        <v>135</v>
      </c>
      <c r="F3508" s="18" t="s">
        <v>48</v>
      </c>
      <c r="G3508" s="18" t="s">
        <v>35</v>
      </c>
      <c r="H3508" s="40" t="s">
        <v>35</v>
      </c>
      <c r="I3508" s="37" t="s">
        <v>36</v>
      </c>
      <c r="J3508" s="25" t="s">
        <v>92</v>
      </c>
      <c r="K3508" s="26" t="s">
        <v>38</v>
      </c>
      <c r="L3508" s="25">
        <v>12664.0</v>
      </c>
      <c r="M3508" s="49" t="s">
        <v>50</v>
      </c>
      <c r="N3508" s="42" t="s">
        <v>10176</v>
      </c>
      <c r="O3508" s="67">
        <v>45713.64300592593</v>
      </c>
      <c r="P3508" s="26" t="s">
        <v>13730</v>
      </c>
      <c r="Q3508" s="13" t="s">
        <v>75</v>
      </c>
      <c r="R3508" s="13" t="s">
        <v>75</v>
      </c>
      <c r="S3508" s="13" t="s">
        <v>101</v>
      </c>
      <c r="T3508" s="44">
        <v>45707.4601375</v>
      </c>
      <c r="U3508" s="44">
        <v>45707.70435623842</v>
      </c>
      <c r="V3508" s="44">
        <v>45708.609121851856</v>
      </c>
      <c r="W3508" s="11"/>
      <c r="X3508" s="11"/>
      <c r="Y3508" s="45"/>
      <c r="Z3508" s="45"/>
      <c r="AA3508" s="31" t="s">
        <v>120</v>
      </c>
      <c r="AB3508" s="45" t="s">
        <v>13734</v>
      </c>
      <c r="AC3508" s="45"/>
    </row>
    <row r="3509" ht="18.75" customHeight="1">
      <c r="A3509" s="142" t="s">
        <v>13735</v>
      </c>
      <c r="B3509" s="19" t="s">
        <v>3289</v>
      </c>
      <c r="C3509" s="20">
        <v>0.0</v>
      </c>
      <c r="D3509" s="48" t="s">
        <v>13736</v>
      </c>
      <c r="E3509" s="27" t="s">
        <v>511</v>
      </c>
      <c r="F3509" s="18" t="s">
        <v>33</v>
      </c>
      <c r="G3509" s="18" t="s">
        <v>35</v>
      </c>
      <c r="H3509" s="40" t="s">
        <v>35</v>
      </c>
      <c r="I3509" s="37" t="s">
        <v>36</v>
      </c>
      <c r="J3509" s="25" t="s">
        <v>92</v>
      </c>
      <c r="K3509" s="26" t="s">
        <v>38</v>
      </c>
      <c r="L3509" s="25">
        <v>12671.0</v>
      </c>
      <c r="M3509" s="41" t="s">
        <v>73</v>
      </c>
      <c r="N3509" s="42" t="s">
        <v>4362</v>
      </c>
      <c r="O3509" s="67">
        <v>45723.475694444445</v>
      </c>
      <c r="P3509" s="26" t="s">
        <v>13737</v>
      </c>
      <c r="Q3509" s="13" t="s">
        <v>75</v>
      </c>
      <c r="R3509" s="13" t="s">
        <v>75</v>
      </c>
      <c r="S3509" s="13"/>
      <c r="T3509" s="44">
        <v>45707.46157300926</v>
      </c>
      <c r="U3509" s="44">
        <v>45707.494141284726</v>
      </c>
      <c r="V3509" s="13"/>
      <c r="W3509" s="11"/>
      <c r="X3509" s="11"/>
      <c r="Y3509" s="45"/>
      <c r="Z3509" s="45"/>
      <c r="AA3509" s="31" t="s">
        <v>120</v>
      </c>
      <c r="AB3509" s="45" t="s">
        <v>13738</v>
      </c>
      <c r="AC3509" s="45"/>
    </row>
    <row r="3510" ht="18.75" customHeight="1">
      <c r="A3510" s="142" t="s">
        <v>13739</v>
      </c>
      <c r="B3510" s="19" t="s">
        <v>4352</v>
      </c>
      <c r="C3510" s="20">
        <v>90.0</v>
      </c>
      <c r="D3510" s="48" t="s">
        <v>13740</v>
      </c>
      <c r="E3510" s="27" t="s">
        <v>91</v>
      </c>
      <c r="F3510" s="18" t="s">
        <v>48</v>
      </c>
      <c r="G3510" s="18" t="s">
        <v>35</v>
      </c>
      <c r="H3510" s="40" t="s">
        <v>35</v>
      </c>
      <c r="I3510" s="37" t="s">
        <v>36</v>
      </c>
      <c r="J3510" s="25" t="s">
        <v>49</v>
      </c>
      <c r="K3510" s="26" t="s">
        <v>38</v>
      </c>
      <c r="L3510" s="25">
        <v>12643.0</v>
      </c>
      <c r="M3510" s="49" t="s">
        <v>50</v>
      </c>
      <c r="N3510" s="42" t="s">
        <v>143</v>
      </c>
      <c r="O3510" s="67">
        <v>45708.59576855324</v>
      </c>
      <c r="P3510" s="26" t="s">
        <v>13741</v>
      </c>
      <c r="Q3510" s="13" t="s">
        <v>75</v>
      </c>
      <c r="R3510" s="13" t="s">
        <v>75</v>
      </c>
      <c r="S3510" s="13" t="s">
        <v>50</v>
      </c>
      <c r="T3510" s="44">
        <v>45707.629635000005</v>
      </c>
      <c r="U3510" s="44">
        <v>45708.38458391203</v>
      </c>
      <c r="V3510" s="44">
        <v>45708.41135325232</v>
      </c>
      <c r="W3510" s="11"/>
      <c r="X3510" s="11"/>
      <c r="Y3510" s="45"/>
      <c r="Z3510" s="45"/>
      <c r="AA3510" s="31" t="s">
        <v>127</v>
      </c>
      <c r="AB3510" s="45" t="s">
        <v>13742</v>
      </c>
      <c r="AC3510" s="45"/>
    </row>
    <row r="3511" ht="18.75" customHeight="1">
      <c r="A3511" s="142" t="s">
        <v>13743</v>
      </c>
      <c r="B3511" s="19" t="s">
        <v>4308</v>
      </c>
      <c r="C3511" s="20">
        <v>0.0</v>
      </c>
      <c r="D3511" s="48" t="s">
        <v>13744</v>
      </c>
      <c r="E3511" s="27" t="s">
        <v>3441</v>
      </c>
      <c r="F3511" s="18" t="s">
        <v>48</v>
      </c>
      <c r="G3511" s="18" t="s">
        <v>35</v>
      </c>
      <c r="H3511" s="40" t="s">
        <v>35</v>
      </c>
      <c r="I3511" s="37" t="s">
        <v>36</v>
      </c>
      <c r="J3511" s="25" t="s">
        <v>92</v>
      </c>
      <c r="K3511" s="26" t="s">
        <v>38</v>
      </c>
      <c r="L3511" s="25">
        <v>12641.0</v>
      </c>
      <c r="M3511" s="49" t="s">
        <v>50</v>
      </c>
      <c r="N3511" s="42" t="s">
        <v>7638</v>
      </c>
      <c r="O3511" s="67">
        <v>45708.43556729167</v>
      </c>
      <c r="P3511" s="26" t="s">
        <v>13745</v>
      </c>
      <c r="Q3511" s="13" t="s">
        <v>75</v>
      </c>
      <c r="R3511" s="13" t="s">
        <v>75</v>
      </c>
      <c r="S3511" s="13" t="s">
        <v>50</v>
      </c>
      <c r="T3511" s="44">
        <v>45708.36171216435</v>
      </c>
      <c r="U3511" s="44">
        <v>45708.361885844904</v>
      </c>
      <c r="V3511" s="44">
        <v>45708.37130601852</v>
      </c>
      <c r="W3511" s="11"/>
      <c r="X3511" s="11"/>
      <c r="Y3511" s="45"/>
      <c r="Z3511" s="45"/>
      <c r="AA3511" s="31"/>
      <c r="AB3511" s="45" t="s">
        <v>13746</v>
      </c>
      <c r="AC3511" s="45"/>
    </row>
    <row r="3512" ht="18.75" customHeight="1">
      <c r="A3512" s="142" t="s">
        <v>13747</v>
      </c>
      <c r="B3512" s="19" t="s">
        <v>1359</v>
      </c>
      <c r="C3512" s="20">
        <v>1.0</v>
      </c>
      <c r="D3512" s="48" t="s">
        <v>13748</v>
      </c>
      <c r="E3512" s="27" t="s">
        <v>3395</v>
      </c>
      <c r="F3512" s="18" t="s">
        <v>48</v>
      </c>
      <c r="G3512" s="18" t="s">
        <v>35</v>
      </c>
      <c r="H3512" s="23" t="s">
        <v>35</v>
      </c>
      <c r="I3512" s="37" t="s">
        <v>36</v>
      </c>
      <c r="J3512" s="25" t="s">
        <v>420</v>
      </c>
      <c r="K3512" s="26" t="s">
        <v>38</v>
      </c>
      <c r="L3512" s="25">
        <v>12656.0</v>
      </c>
      <c r="M3512" s="49" t="s">
        <v>50</v>
      </c>
      <c r="N3512" s="42" t="s">
        <v>4031</v>
      </c>
      <c r="O3512" s="67">
        <v>45709.56149950231</v>
      </c>
      <c r="P3512" s="26" t="s">
        <v>13749</v>
      </c>
      <c r="Q3512" s="13" t="s">
        <v>75</v>
      </c>
      <c r="R3512" s="13" t="s">
        <v>75</v>
      </c>
      <c r="S3512" s="13" t="s">
        <v>50</v>
      </c>
      <c r="T3512" s="44">
        <v>45708.36623561343</v>
      </c>
      <c r="U3512" s="44">
        <v>45708.706836770834</v>
      </c>
      <c r="V3512" s="44">
        <v>45709.44725001157</v>
      </c>
      <c r="W3512" s="11"/>
      <c r="X3512" s="11"/>
      <c r="Y3512" s="45"/>
      <c r="Z3512" s="45"/>
      <c r="AA3512" s="31" t="s">
        <v>120</v>
      </c>
      <c r="AB3512" s="45" t="s">
        <v>13750</v>
      </c>
      <c r="AC3512" s="45"/>
    </row>
    <row r="3513" ht="18.75" customHeight="1">
      <c r="A3513" s="142" t="s">
        <v>13751</v>
      </c>
      <c r="B3513" s="19" t="s">
        <v>4352</v>
      </c>
      <c r="C3513" s="20">
        <v>137.0</v>
      </c>
      <c r="D3513" s="48" t="s">
        <v>13752</v>
      </c>
      <c r="E3513" s="27" t="s">
        <v>85</v>
      </c>
      <c r="F3513" s="18" t="s">
        <v>48</v>
      </c>
      <c r="G3513" s="18" t="s">
        <v>35</v>
      </c>
      <c r="H3513" s="40" t="s">
        <v>35</v>
      </c>
      <c r="I3513" s="37" t="s">
        <v>36</v>
      </c>
      <c r="J3513" s="25" t="s">
        <v>49</v>
      </c>
      <c r="K3513" s="26" t="s">
        <v>38</v>
      </c>
      <c r="L3513" s="25">
        <v>12644.0</v>
      </c>
      <c r="M3513" s="49" t="s">
        <v>50</v>
      </c>
      <c r="N3513" s="42" t="s">
        <v>143</v>
      </c>
      <c r="O3513" s="67">
        <v>45708.595836064815</v>
      </c>
      <c r="P3513" s="26" t="s">
        <v>13753</v>
      </c>
      <c r="Q3513" s="13" t="s">
        <v>75</v>
      </c>
      <c r="R3513" s="13" t="s">
        <v>75</v>
      </c>
      <c r="S3513" s="13" t="s">
        <v>50</v>
      </c>
      <c r="T3513" s="44">
        <v>45708.36854945602</v>
      </c>
      <c r="U3513" s="44">
        <v>45708.38447560185</v>
      </c>
      <c r="V3513" s="44">
        <v>45708.41133820602</v>
      </c>
      <c r="W3513" s="11"/>
      <c r="X3513" s="11"/>
      <c r="Y3513" s="45"/>
      <c r="Z3513" s="45"/>
      <c r="AA3513" s="31" t="s">
        <v>127</v>
      </c>
      <c r="AB3513" s="45" t="s">
        <v>13754</v>
      </c>
      <c r="AC3513" s="45"/>
    </row>
    <row r="3514" ht="18.75" customHeight="1">
      <c r="A3514" s="142" t="s">
        <v>13755</v>
      </c>
      <c r="B3514" s="19" t="s">
        <v>3289</v>
      </c>
      <c r="C3514" s="20">
        <v>0.0</v>
      </c>
      <c r="D3514" s="48" t="s">
        <v>13756</v>
      </c>
      <c r="E3514" s="22" t="s">
        <v>2167</v>
      </c>
      <c r="F3514" s="18" t="s">
        <v>33</v>
      </c>
      <c r="G3514" s="18" t="s">
        <v>35</v>
      </c>
      <c r="H3514" s="40" t="s">
        <v>35</v>
      </c>
      <c r="I3514" s="37" t="s">
        <v>36</v>
      </c>
      <c r="J3514" s="25" t="s">
        <v>92</v>
      </c>
      <c r="K3514" s="26" t="s">
        <v>38</v>
      </c>
      <c r="L3514" s="25">
        <v>12672.0</v>
      </c>
      <c r="M3514" s="41" t="s">
        <v>73</v>
      </c>
      <c r="N3514" s="42" t="s">
        <v>4362</v>
      </c>
      <c r="O3514" s="67">
        <v>45723.472916666666</v>
      </c>
      <c r="P3514" s="26" t="s">
        <v>13757</v>
      </c>
      <c r="Q3514" s="13" t="s">
        <v>75</v>
      </c>
      <c r="R3514" s="13" t="s">
        <v>75</v>
      </c>
      <c r="S3514" s="13"/>
      <c r="T3514" s="44">
        <v>45708.40616978009</v>
      </c>
      <c r="U3514" s="44">
        <v>45708.70644572917</v>
      </c>
      <c r="V3514" s="13"/>
      <c r="W3514" s="11"/>
      <c r="X3514" s="11"/>
      <c r="Y3514" s="45"/>
      <c r="Z3514" s="45"/>
      <c r="AA3514" s="31" t="s">
        <v>120</v>
      </c>
      <c r="AB3514" s="45" t="s">
        <v>13758</v>
      </c>
      <c r="AC3514" s="45"/>
    </row>
    <row r="3515" ht="18.75" customHeight="1">
      <c r="A3515" s="142" t="s">
        <v>13759</v>
      </c>
      <c r="B3515" s="19" t="s">
        <v>1299</v>
      </c>
      <c r="C3515" s="20">
        <v>0.0</v>
      </c>
      <c r="D3515" s="48" t="s">
        <v>13760</v>
      </c>
      <c r="E3515" s="27" t="s">
        <v>251</v>
      </c>
      <c r="F3515" s="18" t="s">
        <v>33</v>
      </c>
      <c r="G3515" s="18" t="s">
        <v>35</v>
      </c>
      <c r="H3515" s="40" t="s">
        <v>35</v>
      </c>
      <c r="I3515" s="37" t="s">
        <v>36</v>
      </c>
      <c r="J3515" s="25" t="s">
        <v>92</v>
      </c>
      <c r="K3515" s="26" t="s">
        <v>38</v>
      </c>
      <c r="L3515" s="25" t="s">
        <v>13761</v>
      </c>
      <c r="M3515" s="49" t="s">
        <v>73</v>
      </c>
      <c r="N3515" s="42" t="s">
        <v>4767</v>
      </c>
      <c r="O3515" s="67">
        <v>45763.55705077546</v>
      </c>
      <c r="P3515" s="26" t="s">
        <v>13762</v>
      </c>
      <c r="Q3515" s="13" t="s">
        <v>75</v>
      </c>
      <c r="R3515" s="13" t="s">
        <v>75</v>
      </c>
      <c r="S3515" s="13"/>
      <c r="T3515" s="44">
        <v>45716.65506239583</v>
      </c>
      <c r="U3515" s="44">
        <v>45716.65506457176</v>
      </c>
      <c r="V3515" s="13"/>
      <c r="W3515" s="11"/>
      <c r="X3515" s="11"/>
      <c r="Y3515" s="45"/>
      <c r="Z3515" s="45"/>
      <c r="AA3515" s="31"/>
      <c r="AB3515" s="45" t="s">
        <v>13763</v>
      </c>
      <c r="AC3515" s="45"/>
    </row>
    <row r="3516" ht="18.75" customHeight="1">
      <c r="A3516" s="142" t="s">
        <v>13764</v>
      </c>
      <c r="B3516" s="19" t="s">
        <v>7173</v>
      </c>
      <c r="C3516" s="20">
        <v>33.0</v>
      </c>
      <c r="D3516" s="48" t="s">
        <v>13765</v>
      </c>
      <c r="E3516" s="27" t="s">
        <v>6133</v>
      </c>
      <c r="F3516" s="18" t="s">
        <v>48</v>
      </c>
      <c r="G3516" s="18" t="s">
        <v>35</v>
      </c>
      <c r="H3516" s="40" t="s">
        <v>35</v>
      </c>
      <c r="I3516" s="37" t="s">
        <v>36</v>
      </c>
      <c r="J3516" s="25" t="s">
        <v>65</v>
      </c>
      <c r="K3516" s="26" t="s">
        <v>38</v>
      </c>
      <c r="L3516" s="25">
        <v>12667.0</v>
      </c>
      <c r="M3516" s="49" t="s">
        <v>50</v>
      </c>
      <c r="N3516" s="42" t="s">
        <v>10703</v>
      </c>
      <c r="O3516" s="67">
        <v>45712.63086690972</v>
      </c>
      <c r="P3516" s="26" t="s">
        <v>13766</v>
      </c>
      <c r="Q3516" s="13" t="s">
        <v>75</v>
      </c>
      <c r="R3516" s="13" t="s">
        <v>75</v>
      </c>
      <c r="S3516" s="13" t="s">
        <v>50</v>
      </c>
      <c r="T3516" s="44">
        <v>45709.370709166666</v>
      </c>
      <c r="U3516" s="44">
        <v>45712.37439048611</v>
      </c>
      <c r="V3516" s="44">
        <v>45712.485897314815</v>
      </c>
      <c r="W3516" s="11"/>
      <c r="X3516" s="11"/>
      <c r="Y3516" s="45"/>
      <c r="Z3516" s="45"/>
      <c r="AA3516" s="31" t="s">
        <v>94</v>
      </c>
      <c r="AB3516" s="45" t="s">
        <v>13767</v>
      </c>
      <c r="AC3516" s="45"/>
    </row>
    <row r="3517" ht="18.75" customHeight="1">
      <c r="A3517" s="142" t="s">
        <v>13768</v>
      </c>
      <c r="B3517" s="19" t="s">
        <v>5313</v>
      </c>
      <c r="C3517" s="20">
        <v>0.0</v>
      </c>
      <c r="D3517" s="48" t="s">
        <v>13769</v>
      </c>
      <c r="E3517" s="27" t="s">
        <v>3441</v>
      </c>
      <c r="F3517" s="18" t="s">
        <v>48</v>
      </c>
      <c r="G3517" s="18" t="s">
        <v>35</v>
      </c>
      <c r="H3517" s="40" t="s">
        <v>35</v>
      </c>
      <c r="I3517" s="37" t="s">
        <v>36</v>
      </c>
      <c r="J3517" s="25" t="s">
        <v>65</v>
      </c>
      <c r="K3517" s="26" t="s">
        <v>38</v>
      </c>
      <c r="L3517" s="25">
        <v>12661.0</v>
      </c>
      <c r="M3517" s="49" t="s">
        <v>50</v>
      </c>
      <c r="N3517" s="42" t="s">
        <v>10703</v>
      </c>
      <c r="O3517" s="67">
        <v>45712.630939317125</v>
      </c>
      <c r="P3517" s="26" t="s">
        <v>13770</v>
      </c>
      <c r="Q3517" s="13" t="s">
        <v>75</v>
      </c>
      <c r="R3517" s="13" t="s">
        <v>75</v>
      </c>
      <c r="S3517" s="13" t="s">
        <v>50</v>
      </c>
      <c r="T3517" s="44">
        <v>45709.38852226852</v>
      </c>
      <c r="U3517" s="44">
        <v>45709.57635392361</v>
      </c>
      <c r="V3517" s="44">
        <v>45712.36867979167</v>
      </c>
      <c r="W3517" s="11"/>
      <c r="X3517" s="11"/>
      <c r="Y3517" s="45"/>
      <c r="Z3517" s="45"/>
      <c r="AA3517" s="31" t="s">
        <v>94</v>
      </c>
      <c r="AB3517" s="45" t="s">
        <v>13771</v>
      </c>
      <c r="AC3517" s="45"/>
    </row>
    <row r="3518" ht="18.75" customHeight="1">
      <c r="A3518" s="18" t="s">
        <v>13772</v>
      </c>
      <c r="B3518" s="19" t="s">
        <v>4957</v>
      </c>
      <c r="C3518" s="20">
        <v>90.0</v>
      </c>
      <c r="D3518" s="48" t="s">
        <v>13773</v>
      </c>
      <c r="E3518" s="27" t="s">
        <v>91</v>
      </c>
      <c r="F3518" s="18" t="s">
        <v>48</v>
      </c>
      <c r="G3518" s="18" t="s">
        <v>35</v>
      </c>
      <c r="H3518" s="40" t="s">
        <v>35</v>
      </c>
      <c r="I3518" s="37" t="s">
        <v>36</v>
      </c>
      <c r="J3518" s="25" t="s">
        <v>65</v>
      </c>
      <c r="K3518" s="26" t="s">
        <v>38</v>
      </c>
      <c r="L3518" s="25">
        <v>12683.0</v>
      </c>
      <c r="M3518" s="49" t="s">
        <v>50</v>
      </c>
      <c r="N3518" s="42" t="s">
        <v>8104</v>
      </c>
      <c r="O3518" s="67">
        <v>45716.6292522338</v>
      </c>
      <c r="P3518" s="26" t="s">
        <v>13774</v>
      </c>
      <c r="Q3518" s="13" t="s">
        <v>75</v>
      </c>
      <c r="R3518" s="13" t="s">
        <v>75</v>
      </c>
      <c r="S3518" s="13" t="s">
        <v>50</v>
      </c>
      <c r="T3518" s="44">
        <v>45709.390386238425</v>
      </c>
      <c r="U3518" s="44">
        <v>45715.57246645833</v>
      </c>
      <c r="V3518" s="44">
        <v>45716.349124305554</v>
      </c>
      <c r="W3518" s="11"/>
      <c r="X3518" s="11"/>
      <c r="Y3518" s="45"/>
      <c r="Z3518" s="45"/>
      <c r="AA3518" s="31" t="s">
        <v>94</v>
      </c>
      <c r="AB3518" s="45" t="s">
        <v>13775</v>
      </c>
      <c r="AC3518" s="45"/>
    </row>
    <row r="3519" ht="18.75" customHeight="1">
      <c r="A3519" s="18" t="s">
        <v>13776</v>
      </c>
      <c r="B3519" s="19" t="s">
        <v>4957</v>
      </c>
      <c r="C3519" s="20">
        <v>90.0</v>
      </c>
      <c r="D3519" s="48" t="s">
        <v>13777</v>
      </c>
      <c r="E3519" s="27" t="s">
        <v>91</v>
      </c>
      <c r="F3519" s="18" t="s">
        <v>48</v>
      </c>
      <c r="G3519" s="18" t="s">
        <v>35</v>
      </c>
      <c r="H3519" s="40" t="s">
        <v>35</v>
      </c>
      <c r="I3519" s="37" t="s">
        <v>36</v>
      </c>
      <c r="J3519" s="25" t="s">
        <v>65</v>
      </c>
      <c r="K3519" s="26" t="s">
        <v>38</v>
      </c>
      <c r="L3519" s="25">
        <v>12683.0</v>
      </c>
      <c r="M3519" s="49" t="s">
        <v>50</v>
      </c>
      <c r="N3519" s="42" t="s">
        <v>8104</v>
      </c>
      <c r="O3519" s="67">
        <v>45716.62932010417</v>
      </c>
      <c r="P3519" s="26" t="s">
        <v>13774</v>
      </c>
      <c r="Q3519" s="13" t="s">
        <v>75</v>
      </c>
      <c r="R3519" s="13" t="s">
        <v>75</v>
      </c>
      <c r="S3519" s="13" t="s">
        <v>50</v>
      </c>
      <c r="T3519" s="44">
        <v>45709.39056164352</v>
      </c>
      <c r="U3519" s="44">
        <v>45715.572495625005</v>
      </c>
      <c r="V3519" s="44">
        <v>45716.34914769676</v>
      </c>
      <c r="W3519" s="11"/>
      <c r="X3519" s="11"/>
      <c r="Y3519" s="45"/>
      <c r="Z3519" s="45"/>
      <c r="AA3519" s="31" t="s">
        <v>94</v>
      </c>
      <c r="AB3519" s="45" t="s">
        <v>13778</v>
      </c>
      <c r="AC3519" s="45"/>
    </row>
    <row r="3520" ht="18.75" customHeight="1">
      <c r="A3520" s="142" t="s">
        <v>13779</v>
      </c>
      <c r="B3520" s="19" t="s">
        <v>8757</v>
      </c>
      <c r="C3520" s="20">
        <v>0.0</v>
      </c>
      <c r="D3520" s="48" t="s">
        <v>13780</v>
      </c>
      <c r="E3520" s="27" t="s">
        <v>13781</v>
      </c>
      <c r="F3520" s="18" t="s">
        <v>48</v>
      </c>
      <c r="G3520" s="18" t="s">
        <v>35</v>
      </c>
      <c r="H3520" s="40" t="s">
        <v>35</v>
      </c>
      <c r="I3520" s="37" t="s">
        <v>36</v>
      </c>
      <c r="J3520" s="25" t="s">
        <v>65</v>
      </c>
      <c r="K3520" s="26" t="s">
        <v>38</v>
      </c>
      <c r="L3520" s="25">
        <v>12737.0</v>
      </c>
      <c r="M3520" s="49" t="s">
        <v>50</v>
      </c>
      <c r="N3520" s="42" t="s">
        <v>10703</v>
      </c>
      <c r="O3520" s="67">
        <v>45734.69852430555</v>
      </c>
      <c r="P3520" s="26" t="s">
        <v>13782</v>
      </c>
      <c r="Q3520" s="13" t="s">
        <v>75</v>
      </c>
      <c r="R3520" s="13" t="s">
        <v>75</v>
      </c>
      <c r="S3520" s="13"/>
      <c r="T3520" s="44">
        <v>45716.67264614583</v>
      </c>
      <c r="U3520" s="44">
        <v>45716.67264833333</v>
      </c>
      <c r="V3520" s="13"/>
      <c r="W3520" s="11"/>
      <c r="X3520" s="11"/>
      <c r="Y3520" s="45"/>
      <c r="Z3520" s="45"/>
      <c r="AA3520" s="31" t="s">
        <v>94</v>
      </c>
      <c r="AB3520" s="45" t="s">
        <v>13783</v>
      </c>
      <c r="AC3520" s="45"/>
    </row>
    <row r="3521" ht="18.75" customHeight="1">
      <c r="A3521" s="142" t="s">
        <v>13784</v>
      </c>
      <c r="B3521" s="19" t="s">
        <v>13785</v>
      </c>
      <c r="C3521" s="20">
        <v>0.0</v>
      </c>
      <c r="D3521" s="48" t="s">
        <v>13786</v>
      </c>
      <c r="E3521" s="27" t="s">
        <v>3441</v>
      </c>
      <c r="F3521" s="18" t="s">
        <v>48</v>
      </c>
      <c r="G3521" s="18" t="s">
        <v>35</v>
      </c>
      <c r="H3521" s="40" t="s">
        <v>35</v>
      </c>
      <c r="I3521" s="37" t="s">
        <v>36</v>
      </c>
      <c r="J3521" s="25" t="s">
        <v>65</v>
      </c>
      <c r="K3521" s="26" t="s">
        <v>38</v>
      </c>
      <c r="L3521" s="25">
        <v>12674.0</v>
      </c>
      <c r="M3521" s="49" t="s">
        <v>50</v>
      </c>
      <c r="N3521" s="42" t="s">
        <v>80</v>
      </c>
      <c r="O3521" s="67">
        <v>45714.583580833336</v>
      </c>
      <c r="P3521" s="26" t="s">
        <v>13787</v>
      </c>
      <c r="Q3521" s="13" t="s">
        <v>75</v>
      </c>
      <c r="R3521" s="13" t="s">
        <v>75</v>
      </c>
      <c r="S3521" s="13" t="s">
        <v>50</v>
      </c>
      <c r="T3521" s="44">
        <v>45709.5860965162</v>
      </c>
      <c r="U3521" s="44">
        <v>45713.70238141203</v>
      </c>
      <c r="V3521" s="44">
        <v>45714.32690112268</v>
      </c>
      <c r="W3521" s="11"/>
      <c r="X3521" s="11"/>
      <c r="Y3521" s="45"/>
      <c r="Z3521" s="45"/>
      <c r="AA3521" s="31" t="s">
        <v>3059</v>
      </c>
      <c r="AB3521" s="45" t="s">
        <v>13788</v>
      </c>
      <c r="AC3521" s="45"/>
    </row>
    <row r="3522" ht="18.75" customHeight="1">
      <c r="A3522" s="142" t="s">
        <v>13789</v>
      </c>
      <c r="B3522" s="19" t="s">
        <v>7868</v>
      </c>
      <c r="C3522" s="20">
        <v>34.0</v>
      </c>
      <c r="D3522" s="48" t="s">
        <v>13790</v>
      </c>
      <c r="E3522" s="27" t="s">
        <v>47</v>
      </c>
      <c r="F3522" s="18" t="s">
        <v>48</v>
      </c>
      <c r="G3522" s="18" t="s">
        <v>35</v>
      </c>
      <c r="H3522" s="40" t="s">
        <v>35</v>
      </c>
      <c r="I3522" s="37" t="s">
        <v>36</v>
      </c>
      <c r="J3522" s="25" t="s">
        <v>65</v>
      </c>
      <c r="K3522" s="26" t="s">
        <v>38</v>
      </c>
      <c r="L3522" s="25">
        <v>12668.0</v>
      </c>
      <c r="M3522" s="49" t="s">
        <v>50</v>
      </c>
      <c r="N3522" s="42" t="s">
        <v>10703</v>
      </c>
      <c r="O3522" s="67">
        <v>45712.63100850694</v>
      </c>
      <c r="P3522" s="26" t="s">
        <v>13791</v>
      </c>
      <c r="Q3522" s="13" t="s">
        <v>75</v>
      </c>
      <c r="R3522" s="13" t="s">
        <v>75</v>
      </c>
      <c r="S3522" s="13" t="s">
        <v>50</v>
      </c>
      <c r="T3522" s="44">
        <v>45712.38589287037</v>
      </c>
      <c r="U3522" s="44">
        <v>45712.4267675463</v>
      </c>
      <c r="V3522" s="44">
        <v>45712.485914930556</v>
      </c>
      <c r="W3522" s="11"/>
      <c r="X3522" s="11"/>
      <c r="Y3522" s="45"/>
      <c r="Z3522" s="45"/>
      <c r="AA3522" s="31" t="s">
        <v>94</v>
      </c>
      <c r="AB3522" s="45" t="s">
        <v>13792</v>
      </c>
      <c r="AC3522" s="45"/>
    </row>
    <row r="3523" ht="18.75" customHeight="1">
      <c r="A3523" s="18" t="s">
        <v>13793</v>
      </c>
      <c r="B3523" s="19" t="s">
        <v>911</v>
      </c>
      <c r="C3523" s="20">
        <v>0.0</v>
      </c>
      <c r="D3523" s="48" t="s">
        <v>1409</v>
      </c>
      <c r="E3523" s="22" t="s">
        <v>913</v>
      </c>
      <c r="F3523" s="18" t="s">
        <v>33</v>
      </c>
      <c r="G3523" s="18" t="s">
        <v>35</v>
      </c>
      <c r="H3523" s="40" t="s">
        <v>35</v>
      </c>
      <c r="I3523" s="37" t="s">
        <v>36</v>
      </c>
      <c r="J3523" s="25" t="s">
        <v>49</v>
      </c>
      <c r="K3523" s="26" t="s">
        <v>38</v>
      </c>
      <c r="L3523" s="25">
        <v>12716.0</v>
      </c>
      <c r="M3523" s="49" t="s">
        <v>50</v>
      </c>
      <c r="N3523" s="42" t="s">
        <v>9953</v>
      </c>
      <c r="O3523" s="67">
        <v>45729.694444444445</v>
      </c>
      <c r="P3523" s="26" t="s">
        <v>13794</v>
      </c>
      <c r="Q3523" s="13" t="s">
        <v>75</v>
      </c>
      <c r="R3523" s="13" t="s">
        <v>75</v>
      </c>
      <c r="S3523" s="13" t="s">
        <v>101</v>
      </c>
      <c r="T3523" s="44">
        <v>45712.69451782407</v>
      </c>
      <c r="U3523" s="44">
        <v>45712.713689745375</v>
      </c>
      <c r="V3523" s="44">
        <v>45727.670307569446</v>
      </c>
      <c r="W3523" s="11"/>
      <c r="X3523" s="11"/>
      <c r="Y3523" s="45"/>
      <c r="Z3523" s="45"/>
      <c r="AA3523" s="31" t="s">
        <v>3053</v>
      </c>
      <c r="AB3523" s="45" t="s">
        <v>13795</v>
      </c>
      <c r="AC3523" s="45"/>
    </row>
    <row r="3524" ht="18.75" customHeight="1">
      <c r="A3524" s="18" t="s">
        <v>13796</v>
      </c>
      <c r="B3524" s="19" t="s">
        <v>911</v>
      </c>
      <c r="C3524" s="20">
        <v>0.0</v>
      </c>
      <c r="D3524" s="48" t="s">
        <v>13797</v>
      </c>
      <c r="E3524" s="22" t="s">
        <v>913</v>
      </c>
      <c r="F3524" s="18" t="s">
        <v>33</v>
      </c>
      <c r="G3524" s="18" t="s">
        <v>35</v>
      </c>
      <c r="H3524" s="40" t="s">
        <v>35</v>
      </c>
      <c r="I3524" s="37" t="s">
        <v>36</v>
      </c>
      <c r="J3524" s="25" t="s">
        <v>49</v>
      </c>
      <c r="K3524" s="26" t="s">
        <v>38</v>
      </c>
      <c r="L3524" s="25">
        <v>12716.0</v>
      </c>
      <c r="M3524" s="49" t="s">
        <v>50</v>
      </c>
      <c r="N3524" s="42" t="s">
        <v>9953</v>
      </c>
      <c r="O3524" s="67">
        <v>45729.694444444445</v>
      </c>
      <c r="P3524" s="26" t="s">
        <v>13794</v>
      </c>
      <c r="Q3524" s="13" t="s">
        <v>75</v>
      </c>
      <c r="R3524" s="13" t="s">
        <v>75</v>
      </c>
      <c r="S3524" s="13" t="s">
        <v>50</v>
      </c>
      <c r="T3524" s="44">
        <v>45712.69454866898</v>
      </c>
      <c r="U3524" s="44">
        <v>45712.7137318287</v>
      </c>
      <c r="V3524" s="44">
        <v>45729.37769075231</v>
      </c>
      <c r="W3524" s="11"/>
      <c r="X3524" s="11"/>
      <c r="Y3524" s="45"/>
      <c r="Z3524" s="45"/>
      <c r="AA3524" s="31" t="s">
        <v>3053</v>
      </c>
      <c r="AB3524" s="45" t="s">
        <v>13798</v>
      </c>
      <c r="AC3524" s="45"/>
    </row>
    <row r="3525" ht="18.75" customHeight="1">
      <c r="A3525" s="18" t="s">
        <v>13799</v>
      </c>
      <c r="B3525" s="19" t="s">
        <v>911</v>
      </c>
      <c r="C3525" s="20">
        <v>0.0</v>
      </c>
      <c r="D3525" s="48" t="s">
        <v>13800</v>
      </c>
      <c r="E3525" s="22" t="s">
        <v>913</v>
      </c>
      <c r="F3525" s="18" t="s">
        <v>33</v>
      </c>
      <c r="G3525" s="18" t="s">
        <v>35</v>
      </c>
      <c r="H3525" s="40" t="s">
        <v>35</v>
      </c>
      <c r="I3525" s="37" t="s">
        <v>36</v>
      </c>
      <c r="J3525" s="25" t="s">
        <v>49</v>
      </c>
      <c r="K3525" s="26" t="s">
        <v>38</v>
      </c>
      <c r="L3525" s="25">
        <v>12716.0</v>
      </c>
      <c r="M3525" s="49" t="s">
        <v>50</v>
      </c>
      <c r="N3525" s="42" t="s">
        <v>9953</v>
      </c>
      <c r="O3525" s="67">
        <v>45729.695138888885</v>
      </c>
      <c r="P3525" s="26" t="s">
        <v>13794</v>
      </c>
      <c r="Q3525" s="13" t="s">
        <v>75</v>
      </c>
      <c r="R3525" s="13" t="s">
        <v>75</v>
      </c>
      <c r="S3525" s="13" t="s">
        <v>50</v>
      </c>
      <c r="T3525" s="44">
        <v>45712.69463061343</v>
      </c>
      <c r="U3525" s="44">
        <v>45712.71375784722</v>
      </c>
      <c r="V3525" s="44">
        <v>45729.377702673606</v>
      </c>
      <c r="W3525" s="11"/>
      <c r="X3525" s="11"/>
      <c r="Y3525" s="45"/>
      <c r="Z3525" s="45"/>
      <c r="AA3525" s="31" t="s">
        <v>3053</v>
      </c>
      <c r="AB3525" s="45" t="s">
        <v>13801</v>
      </c>
      <c r="AC3525" s="45"/>
    </row>
    <row r="3526" ht="18.75" customHeight="1">
      <c r="A3526" s="18" t="s">
        <v>13802</v>
      </c>
      <c r="B3526" s="19" t="s">
        <v>911</v>
      </c>
      <c r="C3526" s="20">
        <v>0.0</v>
      </c>
      <c r="D3526" s="48" t="s">
        <v>13803</v>
      </c>
      <c r="E3526" s="22" t="s">
        <v>913</v>
      </c>
      <c r="F3526" s="18" t="s">
        <v>33</v>
      </c>
      <c r="G3526" s="18" t="s">
        <v>35</v>
      </c>
      <c r="H3526" s="40" t="s">
        <v>35</v>
      </c>
      <c r="I3526" s="37" t="s">
        <v>36</v>
      </c>
      <c r="J3526" s="25" t="s">
        <v>49</v>
      </c>
      <c r="K3526" s="26" t="s">
        <v>38</v>
      </c>
      <c r="L3526" s="25">
        <v>12716.0</v>
      </c>
      <c r="M3526" s="49" t="s">
        <v>50</v>
      </c>
      <c r="N3526" s="42" t="s">
        <v>9953</v>
      </c>
      <c r="O3526" s="67">
        <v>45730.361395914355</v>
      </c>
      <c r="P3526" s="26" t="s">
        <v>13794</v>
      </c>
      <c r="Q3526" s="13" t="s">
        <v>75</v>
      </c>
      <c r="R3526" s="13" t="s">
        <v>75</v>
      </c>
      <c r="S3526" s="13" t="s">
        <v>50</v>
      </c>
      <c r="T3526" s="44">
        <v>45712.694588495375</v>
      </c>
      <c r="U3526" s="44">
        <v>45712.71374535879</v>
      </c>
      <c r="V3526" s="44">
        <v>45729.37769783565</v>
      </c>
      <c r="W3526" s="11"/>
      <c r="X3526" s="11"/>
      <c r="Y3526" s="45"/>
      <c r="Z3526" s="45"/>
      <c r="AA3526" s="31" t="s">
        <v>3053</v>
      </c>
      <c r="AB3526" s="45" t="s">
        <v>13804</v>
      </c>
      <c r="AC3526" s="45"/>
    </row>
    <row r="3527" ht="18.75" customHeight="1">
      <c r="A3527" s="142" t="s">
        <v>13805</v>
      </c>
      <c r="B3527" s="19" t="s">
        <v>13806</v>
      </c>
      <c r="C3527" s="20">
        <v>0.0</v>
      </c>
      <c r="D3527" s="48" t="s">
        <v>13807</v>
      </c>
      <c r="E3527" s="27" t="s">
        <v>3441</v>
      </c>
      <c r="F3527" s="18" t="s">
        <v>48</v>
      </c>
      <c r="G3527" s="18" t="s">
        <v>35</v>
      </c>
      <c r="H3527" s="40" t="s">
        <v>35</v>
      </c>
      <c r="I3527" s="37" t="s">
        <v>36</v>
      </c>
      <c r="J3527" s="25" t="s">
        <v>65</v>
      </c>
      <c r="K3527" s="26" t="s">
        <v>38</v>
      </c>
      <c r="L3527" s="25">
        <v>12675.0</v>
      </c>
      <c r="M3527" s="49" t="s">
        <v>50</v>
      </c>
      <c r="N3527" s="42" t="s">
        <v>80</v>
      </c>
      <c r="O3527" s="67">
        <v>45714.58364890046</v>
      </c>
      <c r="P3527" s="26" t="s">
        <v>13808</v>
      </c>
      <c r="Q3527" s="13" t="s">
        <v>75</v>
      </c>
      <c r="R3527" s="13" t="s">
        <v>75</v>
      </c>
      <c r="S3527" s="13" t="s">
        <v>50</v>
      </c>
      <c r="T3527" s="44">
        <v>45712.7232015162</v>
      </c>
      <c r="U3527" s="44">
        <v>45713.48437803241</v>
      </c>
      <c r="V3527" s="44">
        <v>45714.32688912037</v>
      </c>
      <c r="W3527" s="11"/>
      <c r="X3527" s="11"/>
      <c r="Y3527" s="45"/>
      <c r="Z3527" s="45"/>
      <c r="AA3527" s="31" t="s">
        <v>3059</v>
      </c>
      <c r="AB3527" s="45" t="s">
        <v>13809</v>
      </c>
      <c r="AC3527" s="45"/>
    </row>
    <row r="3528" ht="18.75" customHeight="1">
      <c r="A3528" s="142" t="s">
        <v>13810</v>
      </c>
      <c r="B3528" s="19" t="s">
        <v>96</v>
      </c>
      <c r="C3528" s="20">
        <v>0.0</v>
      </c>
      <c r="D3528" s="48" t="s">
        <v>13811</v>
      </c>
      <c r="E3528" s="27" t="s">
        <v>213</v>
      </c>
      <c r="F3528" s="18" t="s">
        <v>33</v>
      </c>
      <c r="G3528" s="18" t="s">
        <v>35</v>
      </c>
      <c r="H3528" s="40" t="s">
        <v>35</v>
      </c>
      <c r="I3528" s="37" t="s">
        <v>36</v>
      </c>
      <c r="J3528" s="25" t="s">
        <v>49</v>
      </c>
      <c r="K3528" s="26" t="s">
        <v>38</v>
      </c>
      <c r="L3528" s="25">
        <v>12734.0</v>
      </c>
      <c r="M3528" s="49" t="s">
        <v>73</v>
      </c>
      <c r="N3528" s="42" t="s">
        <v>143</v>
      </c>
      <c r="O3528" s="67">
        <v>45733.64731796297</v>
      </c>
      <c r="P3528" s="26" t="s">
        <v>13812</v>
      </c>
      <c r="Q3528" s="13" t="s">
        <v>75</v>
      </c>
      <c r="R3528" s="13" t="s">
        <v>75</v>
      </c>
      <c r="S3528" s="13" t="s">
        <v>50</v>
      </c>
      <c r="T3528" s="44">
        <v>45712.73537605324</v>
      </c>
      <c r="U3528" s="44">
        <v>45713.408428587965</v>
      </c>
      <c r="V3528" s="44">
        <v>45730.6617408912</v>
      </c>
      <c r="W3528" s="11"/>
      <c r="X3528" s="11"/>
      <c r="Y3528" s="45"/>
      <c r="Z3528" s="45"/>
      <c r="AA3528" s="31" t="s">
        <v>102</v>
      </c>
      <c r="AB3528" s="45" t="s">
        <v>13813</v>
      </c>
      <c r="AC3528" s="45"/>
    </row>
    <row r="3529" ht="18.75" customHeight="1">
      <c r="A3529" s="18" t="s">
        <v>13814</v>
      </c>
      <c r="B3529" s="19" t="s">
        <v>13815</v>
      </c>
      <c r="C3529" s="20">
        <v>0.0</v>
      </c>
      <c r="D3529" s="48" t="s">
        <v>13816</v>
      </c>
      <c r="E3529" s="22" t="s">
        <v>8230</v>
      </c>
      <c r="F3529" s="18" t="s">
        <v>33</v>
      </c>
      <c r="G3529" s="18" t="s">
        <v>34</v>
      </c>
      <c r="H3529" s="40" t="s">
        <v>35</v>
      </c>
      <c r="I3529" s="37" t="s">
        <v>36</v>
      </c>
      <c r="J3529" s="25" t="s">
        <v>49</v>
      </c>
      <c r="K3529" s="26" t="s">
        <v>13817</v>
      </c>
      <c r="L3529" s="25">
        <v>12773.0</v>
      </c>
      <c r="M3529" s="49" t="s">
        <v>50</v>
      </c>
      <c r="N3529" s="42" t="s">
        <v>9953</v>
      </c>
      <c r="O3529" s="67">
        <v>45740.80466313657</v>
      </c>
      <c r="P3529" s="26" t="s">
        <v>13818</v>
      </c>
      <c r="Q3529" s="13" t="s">
        <v>75</v>
      </c>
      <c r="R3529" s="13" t="s">
        <v>75</v>
      </c>
      <c r="S3529" s="13" t="s">
        <v>101</v>
      </c>
      <c r="T3529" s="44">
        <v>45740.451247777775</v>
      </c>
      <c r="U3529" s="44">
        <v>45740.451267384255</v>
      </c>
      <c r="V3529" s="44">
        <v>45740.46396241898</v>
      </c>
      <c r="W3529" s="11"/>
      <c r="X3529" s="11"/>
      <c r="Y3529" s="45"/>
      <c r="Z3529" s="45"/>
      <c r="AA3529" s="31" t="s">
        <v>145</v>
      </c>
      <c r="AB3529" s="45" t="s">
        <v>13819</v>
      </c>
      <c r="AC3529" s="45"/>
    </row>
    <row r="3530" ht="18.75" customHeight="1">
      <c r="A3530" s="18" t="s">
        <v>13820</v>
      </c>
      <c r="B3530" s="19" t="s">
        <v>13815</v>
      </c>
      <c r="C3530" s="20">
        <v>0.0</v>
      </c>
      <c r="D3530" s="48" t="s">
        <v>1438</v>
      </c>
      <c r="E3530" s="22" t="s">
        <v>8230</v>
      </c>
      <c r="F3530" s="18" t="s">
        <v>33</v>
      </c>
      <c r="G3530" s="18" t="s">
        <v>34</v>
      </c>
      <c r="H3530" s="40" t="s">
        <v>35</v>
      </c>
      <c r="I3530" s="37" t="s">
        <v>36</v>
      </c>
      <c r="J3530" s="25" t="s">
        <v>49</v>
      </c>
      <c r="K3530" s="26" t="s">
        <v>13817</v>
      </c>
      <c r="L3530" s="25">
        <v>12773.0</v>
      </c>
      <c r="M3530" s="49" t="s">
        <v>50</v>
      </c>
      <c r="N3530" s="42" t="s">
        <v>9953</v>
      </c>
      <c r="O3530" s="67">
        <v>45740.80458674769</v>
      </c>
      <c r="P3530" s="26" t="s">
        <v>13818</v>
      </c>
      <c r="Q3530" s="13" t="s">
        <v>75</v>
      </c>
      <c r="R3530" s="13" t="s">
        <v>75</v>
      </c>
      <c r="S3530" s="13" t="s">
        <v>101</v>
      </c>
      <c r="T3530" s="44">
        <v>45740.45118837963</v>
      </c>
      <c r="U3530" s="44">
        <v>45740.451249618054</v>
      </c>
      <c r="V3530" s="44">
        <v>45740.70866016204</v>
      </c>
      <c r="W3530" s="11"/>
      <c r="X3530" s="11"/>
      <c r="Y3530" s="45"/>
      <c r="Z3530" s="45"/>
      <c r="AA3530" s="31" t="s">
        <v>145</v>
      </c>
      <c r="AB3530" s="45" t="s">
        <v>13821</v>
      </c>
      <c r="AC3530" s="45"/>
    </row>
    <row r="3531" ht="18.75" customHeight="1">
      <c r="A3531" s="142" t="s">
        <v>13822</v>
      </c>
      <c r="B3531" s="19" t="s">
        <v>13823</v>
      </c>
      <c r="C3531" s="20">
        <v>0.0</v>
      </c>
      <c r="D3531" s="48" t="s">
        <v>13824</v>
      </c>
      <c r="E3531" s="27" t="s">
        <v>1097</v>
      </c>
      <c r="F3531" s="18" t="s">
        <v>33</v>
      </c>
      <c r="G3531" s="18" t="s">
        <v>35</v>
      </c>
      <c r="H3531" s="40" t="s">
        <v>35</v>
      </c>
      <c r="I3531" s="37" t="s">
        <v>36</v>
      </c>
      <c r="J3531" s="25" t="s">
        <v>13825</v>
      </c>
      <c r="K3531" s="26" t="s">
        <v>38</v>
      </c>
      <c r="L3531" s="25">
        <v>12761.0</v>
      </c>
      <c r="M3531" s="49" t="s">
        <v>50</v>
      </c>
      <c r="N3531" s="42" t="s">
        <v>149</v>
      </c>
      <c r="O3531" s="67">
        <v>45740.80481939815</v>
      </c>
      <c r="P3531" s="35" t="s">
        <v>13826</v>
      </c>
      <c r="Q3531" s="13" t="s">
        <v>75</v>
      </c>
      <c r="R3531" s="13" t="s">
        <v>75</v>
      </c>
      <c r="S3531" s="13"/>
      <c r="T3531" s="44">
        <v>45713.621730694445</v>
      </c>
      <c r="U3531" s="44">
        <v>45727.369715023146</v>
      </c>
      <c r="V3531" s="13"/>
      <c r="W3531" s="11"/>
      <c r="X3531" s="11"/>
      <c r="Y3531" s="45"/>
      <c r="Z3531" s="45"/>
      <c r="AA3531" s="31"/>
      <c r="AB3531" s="45" t="s">
        <v>13827</v>
      </c>
      <c r="AC3531" s="45"/>
    </row>
    <row r="3532" ht="18.75" customHeight="1">
      <c r="A3532" s="142" t="s">
        <v>13828</v>
      </c>
      <c r="B3532" s="19" t="s">
        <v>1299</v>
      </c>
      <c r="C3532" s="20">
        <v>0.0</v>
      </c>
      <c r="D3532" s="48" t="s">
        <v>1421</v>
      </c>
      <c r="E3532" s="27" t="s">
        <v>12486</v>
      </c>
      <c r="F3532" s="18" t="s">
        <v>11504</v>
      </c>
      <c r="G3532" s="18" t="s">
        <v>35</v>
      </c>
      <c r="H3532" s="40" t="s">
        <v>35</v>
      </c>
      <c r="I3532" s="37" t="s">
        <v>36</v>
      </c>
      <c r="J3532" s="25" t="s">
        <v>92</v>
      </c>
      <c r="K3532" s="26" t="s">
        <v>38</v>
      </c>
      <c r="L3532" s="25">
        <v>12689.0</v>
      </c>
      <c r="M3532" s="41" t="s">
        <v>73</v>
      </c>
      <c r="N3532" s="42" t="s">
        <v>4767</v>
      </c>
      <c r="O3532" s="67">
        <v>45722.36098877314</v>
      </c>
      <c r="P3532" s="26" t="s">
        <v>13829</v>
      </c>
      <c r="Q3532" s="13" t="s">
        <v>75</v>
      </c>
      <c r="R3532" s="13" t="s">
        <v>75</v>
      </c>
      <c r="S3532" s="13"/>
      <c r="T3532" s="44">
        <v>45714.589600625</v>
      </c>
      <c r="U3532" s="44">
        <v>45715.357967233795</v>
      </c>
      <c r="V3532" s="13"/>
      <c r="W3532" s="11"/>
      <c r="X3532" s="11"/>
      <c r="Y3532" s="45"/>
      <c r="Z3532" s="45"/>
      <c r="AA3532" s="31"/>
      <c r="AB3532" s="45" t="s">
        <v>13830</v>
      </c>
      <c r="AC3532" s="45"/>
    </row>
    <row r="3533" ht="18.75" customHeight="1">
      <c r="A3533" s="142" t="s">
        <v>13831</v>
      </c>
      <c r="B3533" s="19" t="s">
        <v>4352</v>
      </c>
      <c r="C3533" s="20">
        <v>0.0</v>
      </c>
      <c r="D3533" s="48" t="s">
        <v>13832</v>
      </c>
      <c r="E3533" s="27" t="s">
        <v>3441</v>
      </c>
      <c r="F3533" s="18" t="s">
        <v>48</v>
      </c>
      <c r="G3533" s="18" t="s">
        <v>35</v>
      </c>
      <c r="H3533" s="40" t="s">
        <v>35</v>
      </c>
      <c r="I3533" s="37" t="s">
        <v>36</v>
      </c>
      <c r="J3533" s="25" t="s">
        <v>49</v>
      </c>
      <c r="K3533" s="26" t="s">
        <v>38</v>
      </c>
      <c r="L3533" s="25">
        <v>12684.0</v>
      </c>
      <c r="M3533" s="49" t="s">
        <v>50</v>
      </c>
      <c r="N3533" s="42" t="s">
        <v>5936</v>
      </c>
      <c r="O3533" s="67">
        <v>45716.6775384375</v>
      </c>
      <c r="P3533" s="26" t="s">
        <v>13833</v>
      </c>
      <c r="Q3533" s="13" t="s">
        <v>75</v>
      </c>
      <c r="R3533" s="13" t="s">
        <v>75</v>
      </c>
      <c r="S3533" s="13" t="s">
        <v>50</v>
      </c>
      <c r="T3533" s="44">
        <v>45714.65358709491</v>
      </c>
      <c r="U3533" s="44">
        <v>45715.359076423614</v>
      </c>
      <c r="V3533" s="44">
        <v>45716.348135</v>
      </c>
      <c r="W3533" s="11"/>
      <c r="X3533" s="11"/>
      <c r="Y3533" s="45"/>
      <c r="Z3533" s="45"/>
      <c r="AA3533" s="31" t="s">
        <v>127</v>
      </c>
      <c r="AB3533" s="45" t="s">
        <v>13834</v>
      </c>
      <c r="AC3533" s="45"/>
    </row>
    <row r="3534" ht="18.75" customHeight="1">
      <c r="A3534" s="142" t="s">
        <v>13835</v>
      </c>
      <c r="B3534" s="19" t="s">
        <v>4450</v>
      </c>
      <c r="C3534" s="20">
        <v>0.0</v>
      </c>
      <c r="D3534" s="48" t="s">
        <v>13836</v>
      </c>
      <c r="E3534" s="27" t="s">
        <v>3441</v>
      </c>
      <c r="F3534" s="18" t="s">
        <v>48</v>
      </c>
      <c r="G3534" s="18" t="s">
        <v>35</v>
      </c>
      <c r="H3534" s="40" t="s">
        <v>35</v>
      </c>
      <c r="I3534" s="37" t="s">
        <v>36</v>
      </c>
      <c r="J3534" s="25" t="s">
        <v>92</v>
      </c>
      <c r="K3534" s="26" t="s">
        <v>38</v>
      </c>
      <c r="L3534" s="25">
        <v>12679.0</v>
      </c>
      <c r="M3534" s="49" t="s">
        <v>50</v>
      </c>
      <c r="N3534" s="42" t="s">
        <v>13837</v>
      </c>
      <c r="O3534" s="67">
        <v>45740.49253349537</v>
      </c>
      <c r="P3534" s="26" t="s">
        <v>13838</v>
      </c>
      <c r="Q3534" s="13" t="s">
        <v>75</v>
      </c>
      <c r="R3534" s="13" t="s">
        <v>75</v>
      </c>
      <c r="S3534" s="13" t="s">
        <v>50</v>
      </c>
      <c r="T3534" s="44">
        <v>45714.675915405096</v>
      </c>
      <c r="U3534" s="44">
        <v>45714.67845954861</v>
      </c>
      <c r="V3534" s="44">
        <v>45715.32043688657</v>
      </c>
      <c r="W3534" s="11"/>
      <c r="X3534" s="11"/>
      <c r="Y3534" s="45"/>
      <c r="Z3534" s="45"/>
      <c r="AA3534" s="31" t="s">
        <v>120</v>
      </c>
      <c r="AB3534" s="45" t="s">
        <v>13839</v>
      </c>
      <c r="AC3534" s="45"/>
    </row>
    <row r="3535" ht="16.5" customHeight="1">
      <c r="A3535" s="18" t="s">
        <v>13840</v>
      </c>
      <c r="B3535" s="19" t="s">
        <v>10447</v>
      </c>
      <c r="C3535" s="20">
        <v>90.0</v>
      </c>
      <c r="D3535" s="48" t="s">
        <v>13841</v>
      </c>
      <c r="E3535" s="27" t="s">
        <v>91</v>
      </c>
      <c r="F3535" s="18" t="s">
        <v>48</v>
      </c>
      <c r="G3535" s="18" t="s">
        <v>35</v>
      </c>
      <c r="H3535" s="40" t="s">
        <v>35</v>
      </c>
      <c r="I3535" s="37" t="s">
        <v>36</v>
      </c>
      <c r="J3535" s="25" t="s">
        <v>65</v>
      </c>
      <c r="K3535" s="26" t="s">
        <v>38</v>
      </c>
      <c r="L3535" s="25">
        <v>12686.0</v>
      </c>
      <c r="M3535" s="49" t="s">
        <v>50</v>
      </c>
      <c r="N3535" s="42" t="s">
        <v>8104</v>
      </c>
      <c r="O3535" s="67">
        <v>45716.62938474537</v>
      </c>
      <c r="P3535" s="26" t="s">
        <v>13842</v>
      </c>
      <c r="Q3535" s="13" t="s">
        <v>75</v>
      </c>
      <c r="R3535" s="13" t="s">
        <v>75</v>
      </c>
      <c r="S3535" s="13" t="s">
        <v>50</v>
      </c>
      <c r="T3535" s="44">
        <v>45714.680652696756</v>
      </c>
      <c r="U3535" s="44">
        <v>45715.35831604167</v>
      </c>
      <c r="V3535" s="44">
        <v>45716.34876065972</v>
      </c>
      <c r="W3535" s="11"/>
      <c r="X3535" s="11"/>
      <c r="Y3535" s="45"/>
      <c r="Z3535" s="45"/>
      <c r="AA3535" s="31" t="s">
        <v>120</v>
      </c>
      <c r="AB3535" s="45" t="s">
        <v>13843</v>
      </c>
      <c r="AC3535" s="45"/>
    </row>
    <row r="3536" ht="15.75" customHeight="1">
      <c r="A3536" s="18" t="s">
        <v>13844</v>
      </c>
      <c r="B3536" s="19" t="s">
        <v>10447</v>
      </c>
      <c r="C3536" s="20">
        <v>0.0</v>
      </c>
      <c r="D3536" s="48" t="s">
        <v>1424</v>
      </c>
      <c r="E3536" s="27" t="s">
        <v>11503</v>
      </c>
      <c r="F3536" s="18" t="s">
        <v>11504</v>
      </c>
      <c r="G3536" s="18" t="s">
        <v>35</v>
      </c>
      <c r="H3536" s="40" t="s">
        <v>35</v>
      </c>
      <c r="I3536" s="37" t="s">
        <v>36</v>
      </c>
      <c r="J3536" s="25" t="s">
        <v>65</v>
      </c>
      <c r="K3536" s="26" t="s">
        <v>38</v>
      </c>
      <c r="L3536" s="25">
        <v>12686.0</v>
      </c>
      <c r="M3536" s="49" t="s">
        <v>50</v>
      </c>
      <c r="N3536" s="42" t="s">
        <v>8104</v>
      </c>
      <c r="O3536" s="67">
        <v>45716.62944116898</v>
      </c>
      <c r="P3536" s="26" t="s">
        <v>13842</v>
      </c>
      <c r="Q3536" s="13" t="s">
        <v>75</v>
      </c>
      <c r="R3536" s="13" t="s">
        <v>75</v>
      </c>
      <c r="S3536" s="13"/>
      <c r="T3536" s="44">
        <v>45714.68527707176</v>
      </c>
      <c r="U3536" s="44">
        <v>45715.35834643518</v>
      </c>
      <c r="V3536" s="13"/>
      <c r="W3536" s="11"/>
      <c r="X3536" s="11"/>
      <c r="Y3536" s="45"/>
      <c r="Z3536" s="45"/>
      <c r="AA3536" s="31" t="s">
        <v>120</v>
      </c>
      <c r="AB3536" s="45" t="s">
        <v>13845</v>
      </c>
      <c r="AC3536" s="45"/>
    </row>
    <row r="3537" ht="18.75" customHeight="1">
      <c r="A3537" s="18" t="s">
        <v>13846</v>
      </c>
      <c r="B3537" s="19" t="s">
        <v>10447</v>
      </c>
      <c r="C3537" s="20">
        <v>0.0</v>
      </c>
      <c r="D3537" s="48" t="s">
        <v>13847</v>
      </c>
      <c r="E3537" s="27" t="s">
        <v>11503</v>
      </c>
      <c r="F3537" s="18" t="s">
        <v>11504</v>
      </c>
      <c r="G3537" s="18" t="s">
        <v>35</v>
      </c>
      <c r="H3537" s="40" t="s">
        <v>35</v>
      </c>
      <c r="I3537" s="37" t="s">
        <v>36</v>
      </c>
      <c r="J3537" s="25" t="s">
        <v>65</v>
      </c>
      <c r="K3537" s="26" t="s">
        <v>38</v>
      </c>
      <c r="L3537" s="25">
        <v>12686.0</v>
      </c>
      <c r="M3537" s="49" t="s">
        <v>50</v>
      </c>
      <c r="N3537" s="42" t="s">
        <v>8104</v>
      </c>
      <c r="O3537" s="67">
        <v>45716.62948969907</v>
      </c>
      <c r="P3537" s="26" t="s">
        <v>13842</v>
      </c>
      <c r="Q3537" s="13" t="s">
        <v>75</v>
      </c>
      <c r="R3537" s="13" t="s">
        <v>75</v>
      </c>
      <c r="S3537" s="13"/>
      <c r="T3537" s="44">
        <v>45714.68542789352</v>
      </c>
      <c r="U3537" s="44">
        <v>45715.35835167824</v>
      </c>
      <c r="V3537" s="13"/>
      <c r="W3537" s="11"/>
      <c r="X3537" s="11"/>
      <c r="Y3537" s="45"/>
      <c r="Z3537" s="45"/>
      <c r="AA3537" s="31" t="s">
        <v>120</v>
      </c>
      <c r="AB3537" s="45" t="s">
        <v>13848</v>
      </c>
      <c r="AC3537" s="45"/>
    </row>
    <row r="3538" ht="18.75" customHeight="1">
      <c r="A3538" s="18" t="s">
        <v>13849</v>
      </c>
      <c r="B3538" s="19" t="s">
        <v>4313</v>
      </c>
      <c r="C3538" s="20">
        <v>137.0</v>
      </c>
      <c r="D3538" s="48" t="s">
        <v>13850</v>
      </c>
      <c r="E3538" s="27" t="s">
        <v>85</v>
      </c>
      <c r="F3538" s="18" t="s">
        <v>48</v>
      </c>
      <c r="G3538" s="18" t="s">
        <v>35</v>
      </c>
      <c r="H3538" s="40" t="s">
        <v>35</v>
      </c>
      <c r="I3538" s="37" t="s">
        <v>36</v>
      </c>
      <c r="J3538" s="25" t="s">
        <v>92</v>
      </c>
      <c r="K3538" s="26" t="s">
        <v>38</v>
      </c>
      <c r="L3538" s="25">
        <v>12685.0</v>
      </c>
      <c r="M3538" s="41" t="s">
        <v>73</v>
      </c>
      <c r="N3538" s="42" t="s">
        <v>10176</v>
      </c>
      <c r="O3538" s="67">
        <v>45721.63680555555</v>
      </c>
      <c r="P3538" s="26" t="s">
        <v>13851</v>
      </c>
      <c r="Q3538" s="13" t="s">
        <v>75</v>
      </c>
      <c r="R3538" s="13" t="s">
        <v>75</v>
      </c>
      <c r="S3538" s="13" t="s">
        <v>73</v>
      </c>
      <c r="T3538" s="44">
        <v>45714.669230671294</v>
      </c>
      <c r="U3538" s="44">
        <v>45715.357225115746</v>
      </c>
      <c r="V3538" s="44">
        <v>45716.3532671875</v>
      </c>
      <c r="W3538" s="11"/>
      <c r="X3538" s="11"/>
      <c r="Y3538" s="45"/>
      <c r="Z3538" s="45"/>
      <c r="AA3538" s="31" t="s">
        <v>120</v>
      </c>
      <c r="AB3538" s="45" t="s">
        <v>13852</v>
      </c>
      <c r="AC3538" s="45"/>
    </row>
    <row r="3539" ht="18.75" customHeight="1">
      <c r="A3539" s="18" t="s">
        <v>13853</v>
      </c>
      <c r="B3539" s="19" t="s">
        <v>4313</v>
      </c>
      <c r="C3539" s="20">
        <v>0.0</v>
      </c>
      <c r="D3539" s="48" t="s">
        <v>13854</v>
      </c>
      <c r="E3539" s="27" t="s">
        <v>11503</v>
      </c>
      <c r="F3539" s="18" t="s">
        <v>11504</v>
      </c>
      <c r="G3539" s="18" t="s">
        <v>35</v>
      </c>
      <c r="H3539" s="40" t="s">
        <v>35</v>
      </c>
      <c r="I3539" s="37" t="s">
        <v>36</v>
      </c>
      <c r="J3539" s="25" t="s">
        <v>92</v>
      </c>
      <c r="K3539" s="26" t="s">
        <v>38</v>
      </c>
      <c r="L3539" s="25">
        <v>12685.0</v>
      </c>
      <c r="M3539" s="41" t="s">
        <v>73</v>
      </c>
      <c r="N3539" s="42" t="s">
        <v>10176</v>
      </c>
      <c r="O3539" s="67">
        <v>45721.63611111111</v>
      </c>
      <c r="P3539" s="26" t="s">
        <v>13851</v>
      </c>
      <c r="Q3539" s="13" t="s">
        <v>75</v>
      </c>
      <c r="R3539" s="13" t="s">
        <v>75</v>
      </c>
      <c r="S3539" s="13"/>
      <c r="T3539" s="44">
        <v>45714.669561608796</v>
      </c>
      <c r="U3539" s="44">
        <v>45715.357207719906</v>
      </c>
      <c r="V3539" s="13"/>
      <c r="W3539" s="11"/>
      <c r="X3539" s="11"/>
      <c r="Y3539" s="45"/>
      <c r="Z3539" s="45"/>
      <c r="AA3539" s="31" t="s">
        <v>120</v>
      </c>
      <c r="AB3539" s="45" t="s">
        <v>13855</v>
      </c>
      <c r="AC3539" s="45"/>
    </row>
    <row r="3540" ht="18.75" customHeight="1">
      <c r="A3540" s="18" t="s">
        <v>13856</v>
      </c>
      <c r="B3540" s="19" t="s">
        <v>13857</v>
      </c>
      <c r="C3540" s="20">
        <v>34.0</v>
      </c>
      <c r="D3540" s="48"/>
      <c r="E3540" s="27" t="s">
        <v>47</v>
      </c>
      <c r="F3540" s="18" t="s">
        <v>48</v>
      </c>
      <c r="G3540" s="18" t="s">
        <v>35</v>
      </c>
      <c r="H3540" s="40" t="s">
        <v>35</v>
      </c>
      <c r="I3540" s="37" t="s">
        <v>984</v>
      </c>
      <c r="J3540" s="25" t="s">
        <v>65</v>
      </c>
      <c r="K3540" s="26" t="s">
        <v>38</v>
      </c>
      <c r="L3540" s="25">
        <v>-12680.0</v>
      </c>
      <c r="M3540" s="49"/>
      <c r="N3540" s="42"/>
      <c r="O3540" s="68"/>
      <c r="P3540" s="26" t="s">
        <v>13858</v>
      </c>
      <c r="Q3540" s="13" t="s">
        <v>75</v>
      </c>
      <c r="R3540" s="13"/>
      <c r="S3540" s="13"/>
      <c r="T3540" s="44">
        <v>45714.69646601852</v>
      </c>
      <c r="U3540" s="13"/>
      <c r="V3540" s="13"/>
      <c r="W3540" s="11"/>
      <c r="X3540" s="148">
        <v>45833.0</v>
      </c>
      <c r="Y3540" s="45"/>
      <c r="Z3540" s="45"/>
      <c r="AA3540" s="31"/>
      <c r="AB3540" s="45" t="s">
        <v>13859</v>
      </c>
      <c r="AC3540" s="45"/>
    </row>
    <row r="3541" ht="18.75" customHeight="1">
      <c r="A3541" s="18" t="s">
        <v>13860</v>
      </c>
      <c r="B3541" s="19" t="s">
        <v>13857</v>
      </c>
      <c r="C3541" s="20">
        <v>34.0</v>
      </c>
      <c r="D3541" s="48"/>
      <c r="E3541" s="27" t="s">
        <v>47</v>
      </c>
      <c r="F3541" s="18" t="s">
        <v>48</v>
      </c>
      <c r="G3541" s="18" t="s">
        <v>35</v>
      </c>
      <c r="H3541" s="40" t="s">
        <v>35</v>
      </c>
      <c r="I3541" s="37" t="s">
        <v>984</v>
      </c>
      <c r="J3541" s="25" t="s">
        <v>65</v>
      </c>
      <c r="K3541" s="26" t="s">
        <v>38</v>
      </c>
      <c r="L3541" s="25">
        <v>-12680.0</v>
      </c>
      <c r="M3541" s="49"/>
      <c r="N3541" s="42"/>
      <c r="O3541" s="68"/>
      <c r="P3541" s="26" t="s">
        <v>13858</v>
      </c>
      <c r="Q3541" s="13" t="s">
        <v>75</v>
      </c>
      <c r="R3541" s="13"/>
      <c r="S3541" s="13"/>
      <c r="T3541" s="44">
        <v>45714.696551030094</v>
      </c>
      <c r="U3541" s="13"/>
      <c r="V3541" s="13"/>
      <c r="W3541" s="11"/>
      <c r="X3541" s="148">
        <v>45833.0</v>
      </c>
      <c r="Y3541" s="45"/>
      <c r="Z3541" s="45"/>
      <c r="AA3541" s="31"/>
      <c r="AB3541" s="45" t="s">
        <v>13861</v>
      </c>
      <c r="AC3541" s="45"/>
    </row>
    <row r="3542" ht="18.75" customHeight="1">
      <c r="A3542" s="18" t="s">
        <v>13862</v>
      </c>
      <c r="B3542" s="19" t="s">
        <v>3121</v>
      </c>
      <c r="C3542" s="20">
        <v>34.0</v>
      </c>
      <c r="D3542" s="48" t="s">
        <v>13863</v>
      </c>
      <c r="E3542" s="27" t="s">
        <v>47</v>
      </c>
      <c r="F3542" s="18" t="s">
        <v>48</v>
      </c>
      <c r="G3542" s="18" t="s">
        <v>35</v>
      </c>
      <c r="H3542" s="40" t="s">
        <v>35</v>
      </c>
      <c r="I3542" s="37" t="s">
        <v>36</v>
      </c>
      <c r="J3542" s="25" t="s">
        <v>92</v>
      </c>
      <c r="K3542" s="26" t="s">
        <v>38</v>
      </c>
      <c r="L3542" s="25">
        <v>12687.0</v>
      </c>
      <c r="M3542" s="49" t="s">
        <v>73</v>
      </c>
      <c r="N3542" s="42" t="s">
        <v>13864</v>
      </c>
      <c r="O3542" s="67">
        <v>45751.341734918984</v>
      </c>
      <c r="P3542" s="26" t="s">
        <v>13865</v>
      </c>
      <c r="Q3542" s="13" t="s">
        <v>75</v>
      </c>
      <c r="R3542" s="13" t="s">
        <v>75</v>
      </c>
      <c r="S3542" s="13" t="s">
        <v>50</v>
      </c>
      <c r="T3542" s="44">
        <v>45715.44546924769</v>
      </c>
      <c r="U3542" s="44">
        <v>45715.56132368055</v>
      </c>
      <c r="V3542" s="44">
        <v>45716.34851085648</v>
      </c>
      <c r="W3542" s="11"/>
      <c r="X3542" s="11"/>
      <c r="Y3542" s="45"/>
      <c r="Z3542" s="45"/>
      <c r="AA3542" s="31" t="s">
        <v>120</v>
      </c>
      <c r="AB3542" s="45" t="s">
        <v>13866</v>
      </c>
      <c r="AC3542" s="45"/>
    </row>
    <row r="3543" ht="18.75" customHeight="1">
      <c r="A3543" s="18" t="s">
        <v>13867</v>
      </c>
      <c r="B3543" s="19" t="s">
        <v>3121</v>
      </c>
      <c r="C3543" s="20">
        <v>90.0</v>
      </c>
      <c r="D3543" s="48" t="s">
        <v>13868</v>
      </c>
      <c r="E3543" s="27" t="s">
        <v>91</v>
      </c>
      <c r="F3543" s="18" t="s">
        <v>48</v>
      </c>
      <c r="G3543" s="18" t="s">
        <v>35</v>
      </c>
      <c r="H3543" s="40" t="s">
        <v>35</v>
      </c>
      <c r="I3543" s="37" t="s">
        <v>36</v>
      </c>
      <c r="J3543" s="25" t="s">
        <v>92</v>
      </c>
      <c r="K3543" s="26" t="s">
        <v>38</v>
      </c>
      <c r="L3543" s="25">
        <v>12687.0</v>
      </c>
      <c r="M3543" s="49" t="s">
        <v>73</v>
      </c>
      <c r="N3543" s="42" t="s">
        <v>13864</v>
      </c>
      <c r="O3543" s="67">
        <v>45751.34184790509</v>
      </c>
      <c r="P3543" s="26" t="s">
        <v>13865</v>
      </c>
      <c r="Q3543" s="13" t="s">
        <v>75</v>
      </c>
      <c r="R3543" s="13" t="s">
        <v>75</v>
      </c>
      <c r="S3543" s="13" t="s">
        <v>50</v>
      </c>
      <c r="T3543" s="44">
        <v>45715.44611150463</v>
      </c>
      <c r="U3543" s="44">
        <v>45715.56133829861</v>
      </c>
      <c r="V3543" s="44">
        <v>45716.348885405096</v>
      </c>
      <c r="W3543" s="11"/>
      <c r="X3543" s="11"/>
      <c r="Y3543" s="45"/>
      <c r="Z3543" s="45"/>
      <c r="AA3543" s="31" t="s">
        <v>120</v>
      </c>
      <c r="AB3543" s="45" t="s">
        <v>13869</v>
      </c>
      <c r="AC3543" s="45"/>
    </row>
    <row r="3544" ht="18.75" customHeight="1">
      <c r="A3544" s="18" t="s">
        <v>13870</v>
      </c>
      <c r="B3544" s="19" t="s">
        <v>3121</v>
      </c>
      <c r="C3544" s="20">
        <v>1.0</v>
      </c>
      <c r="D3544" s="48" t="s">
        <v>13871</v>
      </c>
      <c r="E3544" s="27" t="s">
        <v>3395</v>
      </c>
      <c r="F3544" s="18" t="s">
        <v>48</v>
      </c>
      <c r="G3544" s="18" t="s">
        <v>35</v>
      </c>
      <c r="H3544" s="40" t="s">
        <v>35</v>
      </c>
      <c r="I3544" s="37" t="s">
        <v>36</v>
      </c>
      <c r="J3544" s="25" t="s">
        <v>92</v>
      </c>
      <c r="K3544" s="26" t="s">
        <v>38</v>
      </c>
      <c r="L3544" s="25">
        <v>12687.0</v>
      </c>
      <c r="M3544" s="49" t="s">
        <v>73</v>
      </c>
      <c r="N3544" s="42" t="s">
        <v>13864</v>
      </c>
      <c r="O3544" s="67">
        <v>45751.34191861111</v>
      </c>
      <c r="P3544" s="26" t="s">
        <v>13865</v>
      </c>
      <c r="Q3544" s="13" t="s">
        <v>75</v>
      </c>
      <c r="R3544" s="13" t="s">
        <v>75</v>
      </c>
      <c r="S3544" s="13" t="s">
        <v>50</v>
      </c>
      <c r="T3544" s="44">
        <v>45715.44653638889</v>
      </c>
      <c r="U3544" s="44">
        <v>45715.56135256945</v>
      </c>
      <c r="V3544" s="44">
        <v>45716.34829967593</v>
      </c>
      <c r="W3544" s="11"/>
      <c r="X3544" s="11"/>
      <c r="Y3544" s="45"/>
      <c r="Z3544" s="45"/>
      <c r="AA3544" s="31" t="s">
        <v>120</v>
      </c>
      <c r="AB3544" s="45" t="s">
        <v>13872</v>
      </c>
      <c r="AC3544" s="45"/>
    </row>
    <row r="3545" ht="18.75" customHeight="1">
      <c r="A3545" s="142" t="s">
        <v>13873</v>
      </c>
      <c r="B3545" s="19" t="s">
        <v>3121</v>
      </c>
      <c r="C3545" s="20">
        <v>11.0</v>
      </c>
      <c r="D3545" s="48" t="s">
        <v>13874</v>
      </c>
      <c r="E3545" s="27" t="s">
        <v>112</v>
      </c>
      <c r="F3545" s="18" t="s">
        <v>48</v>
      </c>
      <c r="G3545" s="18" t="s">
        <v>35</v>
      </c>
      <c r="H3545" s="40" t="s">
        <v>35</v>
      </c>
      <c r="I3545" s="37" t="s">
        <v>36</v>
      </c>
      <c r="J3545" s="25" t="s">
        <v>92</v>
      </c>
      <c r="K3545" s="26" t="s">
        <v>38</v>
      </c>
      <c r="L3545" s="25">
        <v>12749.0</v>
      </c>
      <c r="M3545" s="49" t="s">
        <v>73</v>
      </c>
      <c r="N3545" s="42" t="s">
        <v>13864</v>
      </c>
      <c r="O3545" s="67">
        <v>45751.341995787036</v>
      </c>
      <c r="P3545" s="26" t="s">
        <v>13875</v>
      </c>
      <c r="Q3545" s="13" t="s">
        <v>75</v>
      </c>
      <c r="R3545" s="13" t="s">
        <v>75</v>
      </c>
      <c r="S3545" s="13" t="s">
        <v>50</v>
      </c>
      <c r="T3545" s="44">
        <v>45715.45083192129</v>
      </c>
      <c r="U3545" s="44">
        <v>45715.561439513884</v>
      </c>
      <c r="V3545" s="44">
        <v>45734.45241099537</v>
      </c>
      <c r="W3545" s="11"/>
      <c r="X3545" s="11"/>
      <c r="Y3545" s="45"/>
      <c r="Z3545" s="45"/>
      <c r="AA3545" s="31" t="s">
        <v>120</v>
      </c>
      <c r="AB3545" s="45" t="s">
        <v>13876</v>
      </c>
      <c r="AC3545" s="45"/>
    </row>
    <row r="3546" ht="18.75" customHeight="1">
      <c r="A3546" s="142" t="s">
        <v>13877</v>
      </c>
      <c r="B3546" s="19" t="s">
        <v>13878</v>
      </c>
      <c r="C3546" s="20">
        <v>90.0</v>
      </c>
      <c r="D3546" s="48" t="s">
        <v>13879</v>
      </c>
      <c r="E3546" s="27" t="s">
        <v>91</v>
      </c>
      <c r="F3546" s="18" t="s">
        <v>48</v>
      </c>
      <c r="G3546" s="18" t="s">
        <v>35</v>
      </c>
      <c r="H3546" s="40" t="s">
        <v>35</v>
      </c>
      <c r="I3546" s="37" t="s">
        <v>36</v>
      </c>
      <c r="J3546" s="25" t="s">
        <v>65</v>
      </c>
      <c r="K3546" s="26" t="s">
        <v>38</v>
      </c>
      <c r="L3546" s="25">
        <v>12691.0</v>
      </c>
      <c r="M3546" s="49" t="s">
        <v>50</v>
      </c>
      <c r="N3546" s="42" t="s">
        <v>8104</v>
      </c>
      <c r="O3546" s="67">
        <v>45716.62954105324</v>
      </c>
      <c r="P3546" s="26" t="s">
        <v>13880</v>
      </c>
      <c r="Q3546" s="13" t="s">
        <v>75</v>
      </c>
      <c r="R3546" s="13" t="s">
        <v>75</v>
      </c>
      <c r="S3546" s="13" t="s">
        <v>50</v>
      </c>
      <c r="T3546" s="44">
        <v>45715.47296667824</v>
      </c>
      <c r="U3546" s="44">
        <v>45716.41441402778</v>
      </c>
      <c r="V3546" s="44">
        <v>45716.42299824074</v>
      </c>
      <c r="W3546" s="11"/>
      <c r="X3546" s="11"/>
      <c r="Y3546" s="45"/>
      <c r="Z3546" s="45"/>
      <c r="AA3546" s="31" t="s">
        <v>3059</v>
      </c>
      <c r="AB3546" s="45" t="s">
        <v>13881</v>
      </c>
      <c r="AC3546" s="45"/>
    </row>
    <row r="3547" ht="18.75" customHeight="1">
      <c r="A3547" s="18" t="s">
        <v>13882</v>
      </c>
      <c r="B3547" s="19" t="s">
        <v>147</v>
      </c>
      <c r="C3547" s="20">
        <v>1.0</v>
      </c>
      <c r="D3547" s="48" t="s">
        <v>13883</v>
      </c>
      <c r="E3547" s="27" t="s">
        <v>3395</v>
      </c>
      <c r="F3547" s="18" t="s">
        <v>48</v>
      </c>
      <c r="G3547" s="18" t="s">
        <v>35</v>
      </c>
      <c r="H3547" s="40" t="s">
        <v>35</v>
      </c>
      <c r="I3547" s="37" t="s">
        <v>36</v>
      </c>
      <c r="J3547" s="25" t="s">
        <v>65</v>
      </c>
      <c r="K3547" s="26" t="s">
        <v>38</v>
      </c>
      <c r="L3547" s="25">
        <v>12700.0</v>
      </c>
      <c r="M3547" s="41" t="s">
        <v>73</v>
      </c>
      <c r="N3547" s="42" t="s">
        <v>149</v>
      </c>
      <c r="O3547" s="67">
        <v>45723.59190943287</v>
      </c>
      <c r="P3547" s="26" t="s">
        <v>13884</v>
      </c>
      <c r="Q3547" s="13" t="s">
        <v>75</v>
      </c>
      <c r="R3547" s="13" t="s">
        <v>75</v>
      </c>
      <c r="S3547" s="13" t="s">
        <v>73</v>
      </c>
      <c r="T3547" s="44">
        <v>45715.47415440972</v>
      </c>
      <c r="U3547" s="44">
        <v>45716.63726802083</v>
      </c>
      <c r="V3547" s="44">
        <v>45721.67149931713</v>
      </c>
      <c r="W3547" s="11"/>
      <c r="X3547" s="11"/>
      <c r="Y3547" s="45"/>
      <c r="Z3547" s="45"/>
      <c r="AA3547" s="31" t="s">
        <v>94</v>
      </c>
      <c r="AB3547" s="45" t="s">
        <v>13885</v>
      </c>
      <c r="AC3547" s="45"/>
    </row>
    <row r="3548" ht="18.75" customHeight="1">
      <c r="A3548" s="18" t="s">
        <v>13886</v>
      </c>
      <c r="B3548" s="19" t="s">
        <v>147</v>
      </c>
      <c r="C3548" s="20">
        <v>0.0</v>
      </c>
      <c r="D3548" s="48" t="s">
        <v>13887</v>
      </c>
      <c r="E3548" s="27" t="s">
        <v>3441</v>
      </c>
      <c r="F3548" s="18" t="s">
        <v>48</v>
      </c>
      <c r="G3548" s="18" t="s">
        <v>35</v>
      </c>
      <c r="H3548" s="40" t="s">
        <v>35</v>
      </c>
      <c r="I3548" s="37" t="s">
        <v>36</v>
      </c>
      <c r="J3548" s="25" t="s">
        <v>65</v>
      </c>
      <c r="K3548" s="26" t="s">
        <v>38</v>
      </c>
      <c r="L3548" s="25">
        <v>12700.0</v>
      </c>
      <c r="M3548" s="41" t="s">
        <v>73</v>
      </c>
      <c r="N3548" s="42" t="s">
        <v>149</v>
      </c>
      <c r="O3548" s="67">
        <v>45723.59200287037</v>
      </c>
      <c r="P3548" s="26" t="s">
        <v>13884</v>
      </c>
      <c r="Q3548" s="13" t="s">
        <v>75</v>
      </c>
      <c r="R3548" s="13" t="s">
        <v>75</v>
      </c>
      <c r="S3548" s="13" t="s">
        <v>73</v>
      </c>
      <c r="T3548" s="44">
        <v>45715.474458993056</v>
      </c>
      <c r="U3548" s="44">
        <v>45716.637347881944</v>
      </c>
      <c r="V3548" s="44">
        <v>45721.55309444445</v>
      </c>
      <c r="W3548" s="11"/>
      <c r="X3548" s="11"/>
      <c r="Y3548" s="45"/>
      <c r="Z3548" s="45"/>
      <c r="AA3548" s="31" t="s">
        <v>94</v>
      </c>
      <c r="AB3548" s="45" t="s">
        <v>13888</v>
      </c>
      <c r="AC3548" s="45"/>
    </row>
    <row r="3549" ht="18.75" customHeight="1">
      <c r="A3549" s="142" t="s">
        <v>13889</v>
      </c>
      <c r="B3549" s="19" t="s">
        <v>10447</v>
      </c>
      <c r="C3549" s="20">
        <v>137.0</v>
      </c>
      <c r="D3549" s="48" t="s">
        <v>13890</v>
      </c>
      <c r="E3549" s="27" t="s">
        <v>85</v>
      </c>
      <c r="F3549" s="18" t="s">
        <v>48</v>
      </c>
      <c r="G3549" s="18" t="s">
        <v>35</v>
      </c>
      <c r="H3549" s="40" t="s">
        <v>35</v>
      </c>
      <c r="I3549" s="37" t="s">
        <v>36</v>
      </c>
      <c r="J3549" s="25" t="s">
        <v>65</v>
      </c>
      <c r="K3549" s="26" t="s">
        <v>38</v>
      </c>
      <c r="L3549" s="25">
        <v>12690.0</v>
      </c>
      <c r="M3549" s="49" t="s">
        <v>50</v>
      </c>
      <c r="N3549" s="42" t="s">
        <v>8104</v>
      </c>
      <c r="O3549" s="67">
        <v>45716.629607766205</v>
      </c>
      <c r="P3549" s="26" t="s">
        <v>13891</v>
      </c>
      <c r="Q3549" s="13" t="s">
        <v>75</v>
      </c>
      <c r="R3549" s="13" t="s">
        <v>75</v>
      </c>
      <c r="S3549" s="13" t="s">
        <v>50</v>
      </c>
      <c r="T3549" s="44">
        <v>45715.475706296296</v>
      </c>
      <c r="U3549" s="44">
        <v>45715.5609765625</v>
      </c>
      <c r="V3549" s="44">
        <v>45716.35327736111</v>
      </c>
      <c r="W3549" s="11"/>
      <c r="X3549" s="11"/>
      <c r="Y3549" s="45"/>
      <c r="Z3549" s="45"/>
      <c r="AA3549" s="31" t="s">
        <v>120</v>
      </c>
      <c r="AB3549" s="45" t="s">
        <v>13892</v>
      </c>
      <c r="AC3549" s="45"/>
    </row>
    <row r="3550" ht="18.75" customHeight="1">
      <c r="A3550" s="142" t="s">
        <v>13893</v>
      </c>
      <c r="B3550" s="19" t="s">
        <v>12493</v>
      </c>
      <c r="C3550" s="20">
        <v>27.0</v>
      </c>
      <c r="D3550" s="39" t="s">
        <v>13894</v>
      </c>
      <c r="E3550" s="27" t="s">
        <v>72</v>
      </c>
      <c r="F3550" s="18" t="s">
        <v>48</v>
      </c>
      <c r="G3550" s="18" t="s">
        <v>35</v>
      </c>
      <c r="H3550" s="40" t="s">
        <v>35</v>
      </c>
      <c r="I3550" s="37" t="s">
        <v>36</v>
      </c>
      <c r="J3550" s="25" t="s">
        <v>65</v>
      </c>
      <c r="K3550" s="26" t="s">
        <v>38</v>
      </c>
      <c r="L3550" s="25">
        <v>12742.0</v>
      </c>
      <c r="M3550" s="49" t="s">
        <v>50</v>
      </c>
      <c r="N3550" s="42" t="s">
        <v>10703</v>
      </c>
      <c r="O3550" s="67">
        <v>45734.69884788194</v>
      </c>
      <c r="P3550" s="35" t="s">
        <v>13895</v>
      </c>
      <c r="Q3550" s="13" t="s">
        <v>75</v>
      </c>
      <c r="R3550" s="13" t="s">
        <v>75</v>
      </c>
      <c r="S3550" s="13" t="s">
        <v>50</v>
      </c>
      <c r="T3550" s="44">
        <v>45715.48148185185</v>
      </c>
      <c r="U3550" s="44">
        <v>45715.50578170139</v>
      </c>
      <c r="V3550" s="44">
        <v>45734.43451446759</v>
      </c>
      <c r="W3550" s="11"/>
      <c r="X3550" s="11"/>
      <c r="Y3550" s="45"/>
      <c r="Z3550" s="45"/>
      <c r="AA3550" s="31" t="s">
        <v>3059</v>
      </c>
      <c r="AB3550" s="45" t="s">
        <v>13896</v>
      </c>
      <c r="AC3550" s="45"/>
    </row>
    <row r="3551" ht="18.75" customHeight="1">
      <c r="A3551" s="32">
        <v>18681.0</v>
      </c>
      <c r="B3551" s="19" t="s">
        <v>13897</v>
      </c>
      <c r="C3551" s="20">
        <v>137.0</v>
      </c>
      <c r="D3551" s="39" t="s">
        <v>13898</v>
      </c>
      <c r="E3551" s="27" t="s">
        <v>85</v>
      </c>
      <c r="F3551" s="27" t="s">
        <v>48</v>
      </c>
      <c r="G3551" s="18" t="s">
        <v>35</v>
      </c>
      <c r="H3551" s="40" t="s">
        <v>35</v>
      </c>
      <c r="I3551" s="37" t="s">
        <v>36</v>
      </c>
      <c r="J3551" s="25" t="s">
        <v>65</v>
      </c>
      <c r="K3551" s="26" t="s">
        <v>38</v>
      </c>
      <c r="L3551" s="72">
        <v>14025.0</v>
      </c>
      <c r="M3551" s="49" t="s">
        <v>50</v>
      </c>
      <c r="N3551" s="42" t="s">
        <v>3461</v>
      </c>
      <c r="O3551" s="67">
        <v>45888.329066805556</v>
      </c>
      <c r="P3551" s="35" t="s">
        <v>13899</v>
      </c>
      <c r="Q3551" s="13" t="s">
        <v>75</v>
      </c>
      <c r="R3551" s="13" t="s">
        <v>75</v>
      </c>
      <c r="S3551" s="13" t="s">
        <v>50</v>
      </c>
      <c r="T3551" s="44">
        <v>45884.613341550925</v>
      </c>
      <c r="U3551" s="44">
        <v>45887.43672002315</v>
      </c>
      <c r="V3551" s="44">
        <v>45887.443149189814</v>
      </c>
      <c r="W3551" s="11"/>
      <c r="X3551" s="11"/>
      <c r="Y3551" s="45">
        <v>302.0</v>
      </c>
      <c r="Z3551" s="45" t="s">
        <v>13900</v>
      </c>
      <c r="AA3551" s="31"/>
      <c r="AB3551" s="45" t="s">
        <v>13901</v>
      </c>
      <c r="AC3551" s="45"/>
    </row>
    <row r="3552" ht="18.75" customHeight="1">
      <c r="A3552" s="18" t="s">
        <v>13902</v>
      </c>
      <c r="B3552" s="19" t="s">
        <v>13903</v>
      </c>
      <c r="C3552" s="20">
        <v>0.0</v>
      </c>
      <c r="D3552" s="48"/>
      <c r="E3552" s="27" t="s">
        <v>213</v>
      </c>
      <c r="F3552" s="18" t="s">
        <v>33</v>
      </c>
      <c r="G3552" s="18" t="s">
        <v>35</v>
      </c>
      <c r="H3552" s="40" t="s">
        <v>35</v>
      </c>
      <c r="I3552" s="37" t="s">
        <v>984</v>
      </c>
      <c r="J3552" s="25" t="s">
        <v>49</v>
      </c>
      <c r="K3552" s="26" t="s">
        <v>38</v>
      </c>
      <c r="L3552" s="25">
        <v>-12693.0</v>
      </c>
      <c r="M3552" s="49"/>
      <c r="N3552" s="42"/>
      <c r="O3552" s="68"/>
      <c r="P3552" s="26" t="s">
        <v>13904</v>
      </c>
      <c r="Q3552" s="13" t="s">
        <v>6028</v>
      </c>
      <c r="R3552" s="13" t="s">
        <v>6028</v>
      </c>
      <c r="S3552" s="13"/>
      <c r="T3552" s="44">
        <v>45944.411316655096</v>
      </c>
      <c r="U3552" s="44">
        <v>45944.41833717593</v>
      </c>
      <c r="V3552" s="13"/>
      <c r="W3552" s="11"/>
      <c r="X3552" s="148">
        <v>45931.0</v>
      </c>
      <c r="Y3552" s="45"/>
      <c r="Z3552" s="45"/>
      <c r="AA3552" s="31" t="s">
        <v>5199</v>
      </c>
      <c r="AB3552" s="45" t="s">
        <v>13905</v>
      </c>
      <c r="AC3552" s="45"/>
    </row>
    <row r="3553" ht="18.75" customHeight="1">
      <c r="A3553" s="18" t="s">
        <v>13906</v>
      </c>
      <c r="B3553" s="33" t="s">
        <v>13903</v>
      </c>
      <c r="C3553" s="20">
        <v>0.0</v>
      </c>
      <c r="D3553" s="39"/>
      <c r="E3553" s="27" t="s">
        <v>213</v>
      </c>
      <c r="F3553" s="27" t="s">
        <v>33</v>
      </c>
      <c r="G3553" s="18" t="s">
        <v>35</v>
      </c>
      <c r="H3553" s="40" t="s">
        <v>35</v>
      </c>
      <c r="I3553" s="37" t="s">
        <v>984</v>
      </c>
      <c r="J3553" s="25" t="s">
        <v>49</v>
      </c>
      <c r="K3553" s="26" t="s">
        <v>38</v>
      </c>
      <c r="L3553" s="25">
        <v>-12693.0</v>
      </c>
      <c r="M3553" s="49"/>
      <c r="N3553" s="42"/>
      <c r="O3553" s="68"/>
      <c r="P3553" s="26" t="s">
        <v>13904</v>
      </c>
      <c r="Q3553" s="13" t="s">
        <v>6028</v>
      </c>
      <c r="R3553" s="13" t="s">
        <v>6028</v>
      </c>
      <c r="S3553" s="13" t="s">
        <v>6028</v>
      </c>
      <c r="T3553" s="44">
        <v>45944.41137292824</v>
      </c>
      <c r="U3553" s="44">
        <v>45944.41839868056</v>
      </c>
      <c r="V3553" s="13"/>
      <c r="W3553" s="11"/>
      <c r="X3553" s="11"/>
      <c r="Y3553" s="45"/>
      <c r="Z3553" s="45"/>
      <c r="AA3553" s="31"/>
      <c r="AB3553" s="45" t="s">
        <v>13907</v>
      </c>
      <c r="AC3553" s="45"/>
    </row>
    <row r="3554" ht="18.75" customHeight="1">
      <c r="A3554" s="18" t="s">
        <v>13908</v>
      </c>
      <c r="B3554" s="33" t="s">
        <v>13903</v>
      </c>
      <c r="C3554" s="20">
        <v>0.0</v>
      </c>
      <c r="D3554" s="179" t="s">
        <v>13909</v>
      </c>
      <c r="E3554" s="27" t="s">
        <v>98</v>
      </c>
      <c r="F3554" s="27" t="s">
        <v>33</v>
      </c>
      <c r="G3554" s="18" t="s">
        <v>35</v>
      </c>
      <c r="H3554" s="40" t="s">
        <v>35</v>
      </c>
      <c r="I3554" s="37" t="s">
        <v>984</v>
      </c>
      <c r="J3554" s="25" t="s">
        <v>49</v>
      </c>
      <c r="K3554" s="26" t="s">
        <v>38</v>
      </c>
      <c r="L3554" s="25">
        <v>-12693.0</v>
      </c>
      <c r="M3554" s="49"/>
      <c r="N3554" s="42"/>
      <c r="O3554" s="68"/>
      <c r="P3554" s="26" t="s">
        <v>13904</v>
      </c>
      <c r="Q3554" s="13" t="s">
        <v>6028</v>
      </c>
      <c r="R3554" s="13" t="s">
        <v>6028</v>
      </c>
      <c r="S3554" s="13" t="s">
        <v>6028</v>
      </c>
      <c r="T3554" s="44">
        <v>45944.41311569445</v>
      </c>
      <c r="U3554" s="44">
        <v>45944.41845028935</v>
      </c>
      <c r="V3554" s="13"/>
      <c r="W3554" s="11"/>
      <c r="X3554" s="11"/>
      <c r="Y3554" s="45"/>
      <c r="Z3554" s="45"/>
      <c r="AA3554" s="31"/>
      <c r="AB3554" s="45" t="s">
        <v>13910</v>
      </c>
      <c r="AC3554" s="45"/>
    </row>
    <row r="3555" ht="18.75" customHeight="1">
      <c r="A3555" s="18" t="s">
        <v>13911</v>
      </c>
      <c r="B3555" s="33" t="s">
        <v>13903</v>
      </c>
      <c r="C3555" s="20">
        <v>0.0</v>
      </c>
      <c r="D3555" s="179" t="s">
        <v>13909</v>
      </c>
      <c r="E3555" s="27" t="s">
        <v>98</v>
      </c>
      <c r="F3555" s="27" t="s">
        <v>33</v>
      </c>
      <c r="G3555" s="18" t="s">
        <v>35</v>
      </c>
      <c r="H3555" s="40" t="s">
        <v>35</v>
      </c>
      <c r="I3555" s="37" t="s">
        <v>984</v>
      </c>
      <c r="J3555" s="25" t="s">
        <v>49</v>
      </c>
      <c r="K3555" s="26" t="s">
        <v>38</v>
      </c>
      <c r="L3555" s="25">
        <v>-12693.0</v>
      </c>
      <c r="M3555" s="49"/>
      <c r="N3555" s="42"/>
      <c r="O3555" s="68"/>
      <c r="P3555" s="26" t="s">
        <v>13904</v>
      </c>
      <c r="Q3555" s="13" t="s">
        <v>6028</v>
      </c>
      <c r="R3555" s="13" t="s">
        <v>6028</v>
      </c>
      <c r="S3555" s="13" t="s">
        <v>6028</v>
      </c>
      <c r="T3555" s="44">
        <v>45944.41193412037</v>
      </c>
      <c r="U3555" s="44">
        <v>45944.418486608796</v>
      </c>
      <c r="V3555" s="13"/>
      <c r="W3555" s="11"/>
      <c r="X3555" s="11"/>
      <c r="Y3555" s="45"/>
      <c r="Z3555" s="45"/>
      <c r="AA3555" s="31"/>
      <c r="AB3555" s="45" t="s">
        <v>13912</v>
      </c>
      <c r="AC3555" s="45"/>
    </row>
    <row r="3556" ht="18.75" customHeight="1">
      <c r="A3556" s="18" t="s">
        <v>13913</v>
      </c>
      <c r="B3556" s="33" t="s">
        <v>13903</v>
      </c>
      <c r="C3556" s="20">
        <v>0.0</v>
      </c>
      <c r="D3556" s="179" t="s">
        <v>13909</v>
      </c>
      <c r="E3556" s="27" t="s">
        <v>98</v>
      </c>
      <c r="F3556" s="27" t="s">
        <v>33</v>
      </c>
      <c r="G3556" s="18" t="s">
        <v>35</v>
      </c>
      <c r="H3556" s="40" t="s">
        <v>35</v>
      </c>
      <c r="I3556" s="37" t="s">
        <v>984</v>
      </c>
      <c r="J3556" s="25" t="s">
        <v>49</v>
      </c>
      <c r="K3556" s="26" t="s">
        <v>38</v>
      </c>
      <c r="L3556" s="25">
        <v>-12693.0</v>
      </c>
      <c r="M3556" s="49"/>
      <c r="N3556" s="42"/>
      <c r="O3556" s="68"/>
      <c r="P3556" s="26" t="s">
        <v>13904</v>
      </c>
      <c r="Q3556" s="13" t="s">
        <v>6028</v>
      </c>
      <c r="R3556" s="13" t="s">
        <v>6028</v>
      </c>
      <c r="S3556" s="13" t="s">
        <v>6028</v>
      </c>
      <c r="T3556" s="44">
        <v>45944.41203445602</v>
      </c>
      <c r="U3556" s="44">
        <v>45944.418527222224</v>
      </c>
      <c r="V3556" s="13"/>
      <c r="W3556" s="11"/>
      <c r="X3556" s="11"/>
      <c r="Y3556" s="45"/>
      <c r="Z3556" s="45"/>
      <c r="AA3556" s="31"/>
      <c r="AB3556" s="45" t="s">
        <v>13914</v>
      </c>
      <c r="AC3556" s="45"/>
    </row>
    <row r="3557" ht="18.75" customHeight="1">
      <c r="A3557" s="18" t="s">
        <v>13915</v>
      </c>
      <c r="B3557" s="33" t="s">
        <v>13903</v>
      </c>
      <c r="C3557" s="20">
        <v>0.0</v>
      </c>
      <c r="D3557" s="179" t="s">
        <v>13909</v>
      </c>
      <c r="E3557" s="27" t="s">
        <v>98</v>
      </c>
      <c r="F3557" s="27" t="s">
        <v>33</v>
      </c>
      <c r="G3557" s="18" t="s">
        <v>35</v>
      </c>
      <c r="H3557" s="40" t="s">
        <v>35</v>
      </c>
      <c r="I3557" s="37" t="s">
        <v>984</v>
      </c>
      <c r="J3557" s="25" t="s">
        <v>49</v>
      </c>
      <c r="K3557" s="26" t="s">
        <v>38</v>
      </c>
      <c r="L3557" s="25">
        <v>-12693.0</v>
      </c>
      <c r="M3557" s="49"/>
      <c r="N3557" s="42"/>
      <c r="O3557" s="68"/>
      <c r="P3557" s="26" t="s">
        <v>13904</v>
      </c>
      <c r="Q3557" s="13" t="s">
        <v>6028</v>
      </c>
      <c r="R3557" s="13" t="s">
        <v>6028</v>
      </c>
      <c r="S3557" s="13" t="s">
        <v>6028</v>
      </c>
      <c r="T3557" s="44">
        <v>45944.41212903935</v>
      </c>
      <c r="U3557" s="44">
        <v>45944.41857170139</v>
      </c>
      <c r="V3557" s="13"/>
      <c r="W3557" s="11"/>
      <c r="X3557" s="11"/>
      <c r="Y3557" s="45"/>
      <c r="Z3557" s="45"/>
      <c r="AA3557" s="31"/>
      <c r="AB3557" s="45" t="s">
        <v>13916</v>
      </c>
      <c r="AC3557" s="45"/>
    </row>
    <row r="3558" ht="18.75" customHeight="1">
      <c r="A3558" s="18" t="s">
        <v>13917</v>
      </c>
      <c r="B3558" s="33" t="s">
        <v>13903</v>
      </c>
      <c r="C3558" s="20">
        <v>0.0</v>
      </c>
      <c r="D3558" s="179" t="s">
        <v>13909</v>
      </c>
      <c r="E3558" s="27" t="s">
        <v>98</v>
      </c>
      <c r="F3558" s="27" t="s">
        <v>33</v>
      </c>
      <c r="G3558" s="18" t="s">
        <v>35</v>
      </c>
      <c r="H3558" s="40" t="s">
        <v>35</v>
      </c>
      <c r="I3558" s="37" t="s">
        <v>984</v>
      </c>
      <c r="J3558" s="25" t="s">
        <v>49</v>
      </c>
      <c r="K3558" s="26" t="s">
        <v>38</v>
      </c>
      <c r="L3558" s="25">
        <v>-12693.0</v>
      </c>
      <c r="M3558" s="49"/>
      <c r="N3558" s="42"/>
      <c r="O3558" s="68"/>
      <c r="P3558" s="26" t="s">
        <v>13904</v>
      </c>
      <c r="Q3558" s="13" t="s">
        <v>6028</v>
      </c>
      <c r="R3558" s="13" t="s">
        <v>6028</v>
      </c>
      <c r="S3558" s="13" t="s">
        <v>6028</v>
      </c>
      <c r="T3558" s="44">
        <v>45944.412234386575</v>
      </c>
      <c r="U3558" s="44">
        <v>45944.41862082176</v>
      </c>
      <c r="V3558" s="13"/>
      <c r="W3558" s="11"/>
      <c r="X3558" s="11"/>
      <c r="Y3558" s="45"/>
      <c r="Z3558" s="45"/>
      <c r="AA3558" s="31"/>
      <c r="AB3558" s="45" t="s">
        <v>13918</v>
      </c>
      <c r="AC3558" s="45"/>
    </row>
    <row r="3559" ht="18.75" customHeight="1">
      <c r="A3559" s="18" t="s">
        <v>13919</v>
      </c>
      <c r="B3559" s="33" t="s">
        <v>13903</v>
      </c>
      <c r="C3559" s="20">
        <v>0.0</v>
      </c>
      <c r="D3559" s="179" t="s">
        <v>13909</v>
      </c>
      <c r="E3559" s="27" t="s">
        <v>98</v>
      </c>
      <c r="F3559" s="27" t="s">
        <v>33</v>
      </c>
      <c r="G3559" s="18" t="s">
        <v>35</v>
      </c>
      <c r="H3559" s="40" t="s">
        <v>35</v>
      </c>
      <c r="I3559" s="37" t="s">
        <v>984</v>
      </c>
      <c r="J3559" s="25" t="s">
        <v>49</v>
      </c>
      <c r="K3559" s="26" t="s">
        <v>38</v>
      </c>
      <c r="L3559" s="25">
        <v>-12693.0</v>
      </c>
      <c r="M3559" s="49"/>
      <c r="N3559" s="42"/>
      <c r="O3559" s="68"/>
      <c r="P3559" s="26" t="s">
        <v>13904</v>
      </c>
      <c r="Q3559" s="13" t="s">
        <v>6028</v>
      </c>
      <c r="R3559" s="13" t="s">
        <v>6028</v>
      </c>
      <c r="S3559" s="13" t="s">
        <v>6028</v>
      </c>
      <c r="T3559" s="44">
        <v>45944.41233171296</v>
      </c>
      <c r="U3559" s="44">
        <v>45944.41878490741</v>
      </c>
      <c r="V3559" s="13"/>
      <c r="W3559" s="11"/>
      <c r="X3559" s="148">
        <v>45962.0</v>
      </c>
      <c r="Y3559" s="45"/>
      <c r="Z3559" s="45"/>
      <c r="AA3559" s="31"/>
      <c r="AB3559" s="45" t="s">
        <v>13920</v>
      </c>
      <c r="AC3559" s="45"/>
    </row>
    <row r="3560" ht="18.75" customHeight="1">
      <c r="A3560" s="18" t="s">
        <v>13921</v>
      </c>
      <c r="B3560" s="33" t="s">
        <v>13903</v>
      </c>
      <c r="C3560" s="20">
        <v>0.0</v>
      </c>
      <c r="D3560" s="179" t="s">
        <v>13909</v>
      </c>
      <c r="E3560" s="27" t="s">
        <v>98</v>
      </c>
      <c r="F3560" s="27" t="s">
        <v>33</v>
      </c>
      <c r="G3560" s="18" t="s">
        <v>35</v>
      </c>
      <c r="H3560" s="40" t="s">
        <v>35</v>
      </c>
      <c r="I3560" s="37" t="s">
        <v>984</v>
      </c>
      <c r="J3560" s="25" t="s">
        <v>49</v>
      </c>
      <c r="K3560" s="26" t="s">
        <v>38</v>
      </c>
      <c r="L3560" s="25">
        <v>-12693.0</v>
      </c>
      <c r="M3560" s="49"/>
      <c r="N3560" s="42"/>
      <c r="O3560" s="68"/>
      <c r="P3560" s="26" t="s">
        <v>13904</v>
      </c>
      <c r="Q3560" s="13" t="s">
        <v>6028</v>
      </c>
      <c r="R3560" s="13" t="s">
        <v>6028</v>
      </c>
      <c r="S3560" s="13" t="s">
        <v>6028</v>
      </c>
      <c r="T3560" s="44">
        <v>45944.41242731482</v>
      </c>
      <c r="U3560" s="44">
        <v>45944.41890056713</v>
      </c>
      <c r="V3560" s="13"/>
      <c r="W3560" s="11"/>
      <c r="X3560" s="148">
        <v>45962.0</v>
      </c>
      <c r="Y3560" s="45"/>
      <c r="Z3560" s="45"/>
      <c r="AA3560" s="31"/>
      <c r="AB3560" s="45" t="s">
        <v>13922</v>
      </c>
      <c r="AC3560" s="45"/>
    </row>
    <row r="3561" ht="18.75" customHeight="1">
      <c r="A3561" s="18" t="s">
        <v>13923</v>
      </c>
      <c r="B3561" s="33" t="s">
        <v>13903</v>
      </c>
      <c r="C3561" s="20">
        <v>0.0</v>
      </c>
      <c r="D3561" s="179" t="s">
        <v>13909</v>
      </c>
      <c r="E3561" s="27" t="s">
        <v>98</v>
      </c>
      <c r="F3561" s="27" t="s">
        <v>33</v>
      </c>
      <c r="G3561" s="18" t="s">
        <v>35</v>
      </c>
      <c r="H3561" s="40" t="s">
        <v>35</v>
      </c>
      <c r="I3561" s="37" t="s">
        <v>984</v>
      </c>
      <c r="J3561" s="25" t="s">
        <v>49</v>
      </c>
      <c r="K3561" s="26" t="s">
        <v>38</v>
      </c>
      <c r="L3561" s="25">
        <v>-12693.0</v>
      </c>
      <c r="M3561" s="49"/>
      <c r="N3561" s="42"/>
      <c r="O3561" s="68"/>
      <c r="P3561" s="26" t="s">
        <v>13904</v>
      </c>
      <c r="Q3561" s="13" t="s">
        <v>6028</v>
      </c>
      <c r="R3561" s="13" t="s">
        <v>6028</v>
      </c>
      <c r="S3561" s="13" t="s">
        <v>6028</v>
      </c>
      <c r="T3561" s="44">
        <v>45944.41252612269</v>
      </c>
      <c r="U3561" s="44">
        <v>45944.41919295139</v>
      </c>
      <c r="V3561" s="13"/>
      <c r="W3561" s="11"/>
      <c r="X3561" s="148">
        <v>45962.0</v>
      </c>
      <c r="Y3561" s="45"/>
      <c r="Z3561" s="45"/>
      <c r="AA3561" s="31"/>
      <c r="AB3561" s="45" t="s">
        <v>13924</v>
      </c>
      <c r="AC3561" s="45"/>
    </row>
    <row r="3562" ht="18.75" customHeight="1">
      <c r="A3562" s="18" t="s">
        <v>13925</v>
      </c>
      <c r="B3562" s="33" t="s">
        <v>13903</v>
      </c>
      <c r="C3562" s="20">
        <v>0.0</v>
      </c>
      <c r="D3562" s="179" t="s">
        <v>13909</v>
      </c>
      <c r="E3562" s="27" t="s">
        <v>98</v>
      </c>
      <c r="F3562" s="27" t="s">
        <v>33</v>
      </c>
      <c r="G3562" s="18" t="s">
        <v>35</v>
      </c>
      <c r="H3562" s="40" t="s">
        <v>35</v>
      </c>
      <c r="I3562" s="37" t="s">
        <v>984</v>
      </c>
      <c r="J3562" s="25" t="s">
        <v>49</v>
      </c>
      <c r="K3562" s="26" t="s">
        <v>38</v>
      </c>
      <c r="L3562" s="25">
        <v>-12693.0</v>
      </c>
      <c r="M3562" s="49"/>
      <c r="N3562" s="42"/>
      <c r="O3562" s="68"/>
      <c r="P3562" s="26" t="s">
        <v>13904</v>
      </c>
      <c r="Q3562" s="13" t="s">
        <v>6028</v>
      </c>
      <c r="R3562" s="13" t="s">
        <v>6028</v>
      </c>
      <c r="S3562" s="13" t="s">
        <v>6028</v>
      </c>
      <c r="T3562" s="44">
        <v>45944.41263846065</v>
      </c>
      <c r="U3562" s="44">
        <v>45944.419279699076</v>
      </c>
      <c r="V3562" s="13"/>
      <c r="W3562" s="11"/>
      <c r="X3562" s="148">
        <v>45962.0</v>
      </c>
      <c r="Y3562" s="45"/>
      <c r="Z3562" s="45"/>
      <c r="AA3562" s="31"/>
      <c r="AB3562" s="45" t="s">
        <v>13926</v>
      </c>
      <c r="AC3562" s="45"/>
    </row>
    <row r="3563" ht="18.75" customHeight="1">
      <c r="A3563" s="18" t="s">
        <v>13927</v>
      </c>
      <c r="B3563" s="33" t="s">
        <v>13903</v>
      </c>
      <c r="C3563" s="20">
        <v>0.0</v>
      </c>
      <c r="D3563" s="179" t="s">
        <v>13909</v>
      </c>
      <c r="E3563" s="27" t="s">
        <v>98</v>
      </c>
      <c r="F3563" s="27" t="s">
        <v>33</v>
      </c>
      <c r="G3563" s="18" t="s">
        <v>35</v>
      </c>
      <c r="H3563" s="40" t="s">
        <v>35</v>
      </c>
      <c r="I3563" s="37" t="s">
        <v>984</v>
      </c>
      <c r="J3563" s="25" t="s">
        <v>49</v>
      </c>
      <c r="K3563" s="26" t="s">
        <v>38</v>
      </c>
      <c r="L3563" s="25">
        <v>-12693.0</v>
      </c>
      <c r="M3563" s="49"/>
      <c r="N3563" s="42"/>
      <c r="O3563" s="68"/>
      <c r="P3563" s="26" t="s">
        <v>13904</v>
      </c>
      <c r="Q3563" s="13" t="s">
        <v>6028</v>
      </c>
      <c r="R3563" s="13" t="s">
        <v>6028</v>
      </c>
      <c r="S3563" s="13" t="s">
        <v>6028</v>
      </c>
      <c r="T3563" s="44">
        <v>45944.412753032404</v>
      </c>
      <c r="U3563" s="44">
        <v>45944.41937877315</v>
      </c>
      <c r="V3563" s="13"/>
      <c r="W3563" s="11"/>
      <c r="X3563" s="148">
        <v>45962.0</v>
      </c>
      <c r="Y3563" s="45"/>
      <c r="Z3563" s="45"/>
      <c r="AA3563" s="31"/>
      <c r="AB3563" s="45" t="s">
        <v>13928</v>
      </c>
      <c r="AC3563" s="45"/>
    </row>
    <row r="3564" ht="18.75" customHeight="1">
      <c r="A3564" s="18" t="s">
        <v>13929</v>
      </c>
      <c r="B3564" s="33" t="s">
        <v>13903</v>
      </c>
      <c r="C3564" s="20">
        <v>0.0</v>
      </c>
      <c r="D3564" s="179" t="s">
        <v>13909</v>
      </c>
      <c r="E3564" s="27" t="s">
        <v>98</v>
      </c>
      <c r="F3564" s="27" t="s">
        <v>33</v>
      </c>
      <c r="G3564" s="18" t="s">
        <v>35</v>
      </c>
      <c r="H3564" s="40" t="s">
        <v>35</v>
      </c>
      <c r="I3564" s="37" t="s">
        <v>984</v>
      </c>
      <c r="J3564" s="25" t="s">
        <v>49</v>
      </c>
      <c r="K3564" s="26" t="s">
        <v>38</v>
      </c>
      <c r="L3564" s="25">
        <v>-12693.0</v>
      </c>
      <c r="M3564" s="49"/>
      <c r="N3564" s="42"/>
      <c r="O3564" s="68"/>
      <c r="P3564" s="26" t="s">
        <v>13904</v>
      </c>
      <c r="Q3564" s="13" t="s">
        <v>6028</v>
      </c>
      <c r="R3564" s="13" t="s">
        <v>6028</v>
      </c>
      <c r="S3564" s="13" t="s">
        <v>6028</v>
      </c>
      <c r="T3564" s="44">
        <v>45944.41285559028</v>
      </c>
      <c r="U3564" s="44">
        <v>45944.4194799074</v>
      </c>
      <c r="V3564" s="13"/>
      <c r="W3564" s="11"/>
      <c r="X3564" s="148">
        <v>45962.0</v>
      </c>
      <c r="Y3564" s="45"/>
      <c r="Z3564" s="45"/>
      <c r="AA3564" s="31"/>
      <c r="AB3564" s="45" t="s">
        <v>13930</v>
      </c>
      <c r="AC3564" s="45"/>
    </row>
    <row r="3565" ht="18.75" customHeight="1">
      <c r="A3565" s="18" t="s">
        <v>13931</v>
      </c>
      <c r="B3565" s="33" t="s">
        <v>13903</v>
      </c>
      <c r="C3565" s="20">
        <v>0.0</v>
      </c>
      <c r="D3565" s="179" t="s">
        <v>13909</v>
      </c>
      <c r="E3565" s="27" t="s">
        <v>98</v>
      </c>
      <c r="F3565" s="27" t="s">
        <v>33</v>
      </c>
      <c r="G3565" s="18" t="s">
        <v>35</v>
      </c>
      <c r="H3565" s="40" t="s">
        <v>35</v>
      </c>
      <c r="I3565" s="37" t="s">
        <v>984</v>
      </c>
      <c r="J3565" s="25" t="s">
        <v>49</v>
      </c>
      <c r="K3565" s="26" t="s">
        <v>38</v>
      </c>
      <c r="L3565" s="25">
        <v>-12693.0</v>
      </c>
      <c r="M3565" s="49"/>
      <c r="N3565" s="42"/>
      <c r="O3565" s="68"/>
      <c r="P3565" s="26" t="s">
        <v>13904</v>
      </c>
      <c r="Q3565" s="13" t="s">
        <v>6028</v>
      </c>
      <c r="R3565" s="13" t="s">
        <v>6028</v>
      </c>
      <c r="S3565" s="13" t="s">
        <v>6028</v>
      </c>
      <c r="T3565" s="44">
        <v>45944.41295189815</v>
      </c>
      <c r="U3565" s="44">
        <v>45944.41959502315</v>
      </c>
      <c r="V3565" s="13"/>
      <c r="W3565" s="11"/>
      <c r="X3565" s="148">
        <v>45962.0</v>
      </c>
      <c r="Y3565" s="45"/>
      <c r="Z3565" s="45"/>
      <c r="AA3565" s="31"/>
      <c r="AB3565" s="45" t="s">
        <v>13932</v>
      </c>
      <c r="AC3565" s="45"/>
    </row>
    <row r="3566" ht="18.75" customHeight="1">
      <c r="A3566" s="18" t="s">
        <v>13933</v>
      </c>
      <c r="B3566" s="33" t="s">
        <v>13903</v>
      </c>
      <c r="C3566" s="20">
        <v>0.0</v>
      </c>
      <c r="D3566" s="179" t="s">
        <v>13909</v>
      </c>
      <c r="E3566" s="27" t="s">
        <v>98</v>
      </c>
      <c r="F3566" s="27" t="s">
        <v>33</v>
      </c>
      <c r="G3566" s="18" t="s">
        <v>35</v>
      </c>
      <c r="H3566" s="40" t="s">
        <v>35</v>
      </c>
      <c r="I3566" s="37" t="s">
        <v>984</v>
      </c>
      <c r="J3566" s="25" t="s">
        <v>49</v>
      </c>
      <c r="K3566" s="26" t="s">
        <v>38</v>
      </c>
      <c r="L3566" s="25">
        <v>-12693.0</v>
      </c>
      <c r="M3566" s="49"/>
      <c r="N3566" s="42"/>
      <c r="O3566" s="68"/>
      <c r="P3566" s="26" t="s">
        <v>13904</v>
      </c>
      <c r="Q3566" s="13" t="s">
        <v>6028</v>
      </c>
      <c r="R3566" s="13" t="s">
        <v>6028</v>
      </c>
      <c r="S3566" s="13" t="s">
        <v>6028</v>
      </c>
      <c r="T3566" s="44">
        <v>45944.41340454861</v>
      </c>
      <c r="U3566" s="44">
        <v>45944.41971086805</v>
      </c>
      <c r="V3566" s="13"/>
      <c r="W3566" s="11"/>
      <c r="X3566" s="148">
        <v>45962.0</v>
      </c>
      <c r="Y3566" s="45"/>
      <c r="Z3566" s="45"/>
      <c r="AA3566" s="31"/>
      <c r="AB3566" s="45" t="s">
        <v>13934</v>
      </c>
      <c r="AC3566" s="45"/>
    </row>
    <row r="3567" ht="18.75" customHeight="1">
      <c r="A3567" s="18" t="s">
        <v>13935</v>
      </c>
      <c r="B3567" s="33" t="s">
        <v>13903</v>
      </c>
      <c r="C3567" s="20">
        <v>0.0</v>
      </c>
      <c r="D3567" s="179" t="s">
        <v>13909</v>
      </c>
      <c r="E3567" s="27" t="s">
        <v>98</v>
      </c>
      <c r="F3567" s="27" t="s">
        <v>33</v>
      </c>
      <c r="G3567" s="18" t="s">
        <v>35</v>
      </c>
      <c r="H3567" s="40" t="s">
        <v>35</v>
      </c>
      <c r="I3567" s="37" t="s">
        <v>984</v>
      </c>
      <c r="J3567" s="25" t="s">
        <v>49</v>
      </c>
      <c r="K3567" s="26" t="s">
        <v>38</v>
      </c>
      <c r="L3567" s="25">
        <v>-12693.0</v>
      </c>
      <c r="M3567" s="49"/>
      <c r="N3567" s="42"/>
      <c r="O3567" s="68"/>
      <c r="P3567" s="26" t="s">
        <v>13904</v>
      </c>
      <c r="Q3567" s="13" t="s">
        <v>6028</v>
      </c>
      <c r="R3567" s="13" t="s">
        <v>6028</v>
      </c>
      <c r="S3567" s="13" t="s">
        <v>6028</v>
      </c>
      <c r="T3567" s="44">
        <v>45944.41347306713</v>
      </c>
      <c r="U3567" s="44">
        <v>45944.4198641088</v>
      </c>
      <c r="V3567" s="13"/>
      <c r="W3567" s="11"/>
      <c r="X3567" s="148">
        <v>45962.0</v>
      </c>
      <c r="Y3567" s="45"/>
      <c r="Z3567" s="45"/>
      <c r="AA3567" s="31"/>
      <c r="AB3567" s="45" t="s">
        <v>13936</v>
      </c>
      <c r="AC3567" s="45"/>
    </row>
    <row r="3568" ht="18.75" customHeight="1">
      <c r="A3568" s="18" t="s">
        <v>13937</v>
      </c>
      <c r="B3568" s="33" t="s">
        <v>13903</v>
      </c>
      <c r="C3568" s="20">
        <v>0.0</v>
      </c>
      <c r="D3568" s="179" t="s">
        <v>13909</v>
      </c>
      <c r="E3568" s="27" t="s">
        <v>98</v>
      </c>
      <c r="F3568" s="27" t="s">
        <v>33</v>
      </c>
      <c r="G3568" s="18" t="s">
        <v>35</v>
      </c>
      <c r="H3568" s="40" t="s">
        <v>35</v>
      </c>
      <c r="I3568" s="37" t="s">
        <v>984</v>
      </c>
      <c r="J3568" s="25" t="s">
        <v>49</v>
      </c>
      <c r="K3568" s="26" t="s">
        <v>38</v>
      </c>
      <c r="L3568" s="25">
        <v>-12693.0</v>
      </c>
      <c r="M3568" s="49"/>
      <c r="N3568" s="42"/>
      <c r="O3568" s="68"/>
      <c r="P3568" s="26" t="s">
        <v>13904</v>
      </c>
      <c r="Q3568" s="13" t="s">
        <v>6028</v>
      </c>
      <c r="R3568" s="13" t="s">
        <v>6028</v>
      </c>
      <c r="S3568" s="13" t="s">
        <v>6028</v>
      </c>
      <c r="T3568" s="44">
        <v>45944.41351975694</v>
      </c>
      <c r="U3568" s="44">
        <v>45944.41982638889</v>
      </c>
      <c r="V3568" s="13"/>
      <c r="W3568" s="11"/>
      <c r="X3568" s="148">
        <v>45962.0</v>
      </c>
      <c r="Y3568" s="45"/>
      <c r="Z3568" s="45"/>
      <c r="AA3568" s="31"/>
      <c r="AB3568" s="45" t="s">
        <v>13938</v>
      </c>
      <c r="AC3568" s="45"/>
    </row>
    <row r="3569" ht="18.75" customHeight="1">
      <c r="A3569" s="18" t="s">
        <v>13939</v>
      </c>
      <c r="B3569" s="33" t="s">
        <v>13903</v>
      </c>
      <c r="C3569" s="20">
        <v>0.0</v>
      </c>
      <c r="D3569" s="179" t="s">
        <v>13909</v>
      </c>
      <c r="E3569" s="27" t="s">
        <v>98</v>
      </c>
      <c r="F3569" s="27" t="s">
        <v>33</v>
      </c>
      <c r="G3569" s="18" t="s">
        <v>35</v>
      </c>
      <c r="H3569" s="40" t="s">
        <v>35</v>
      </c>
      <c r="I3569" s="37" t="s">
        <v>984</v>
      </c>
      <c r="J3569" s="25" t="s">
        <v>49</v>
      </c>
      <c r="K3569" s="26" t="s">
        <v>38</v>
      </c>
      <c r="L3569" s="25">
        <v>-12693.0</v>
      </c>
      <c r="M3569" s="49"/>
      <c r="N3569" s="42"/>
      <c r="O3569" s="68"/>
      <c r="P3569" s="26" t="s">
        <v>13904</v>
      </c>
      <c r="Q3569" s="13" t="s">
        <v>6028</v>
      </c>
      <c r="R3569" s="13" t="s">
        <v>6028</v>
      </c>
      <c r="S3569" s="13" t="s">
        <v>6028</v>
      </c>
      <c r="T3569" s="44">
        <v>45944.41358493056</v>
      </c>
      <c r="U3569" s="44">
        <v>45944.41994905093</v>
      </c>
      <c r="V3569" s="13"/>
      <c r="W3569" s="11"/>
      <c r="X3569" s="148">
        <v>45962.0</v>
      </c>
      <c r="Y3569" s="45"/>
      <c r="Z3569" s="45"/>
      <c r="AA3569" s="31"/>
      <c r="AB3569" s="45" t="s">
        <v>13940</v>
      </c>
      <c r="AC3569" s="45"/>
    </row>
    <row r="3570" ht="18.75" customHeight="1">
      <c r="A3570" s="18" t="s">
        <v>13941</v>
      </c>
      <c r="B3570" s="33" t="s">
        <v>13903</v>
      </c>
      <c r="C3570" s="20">
        <v>0.0</v>
      </c>
      <c r="D3570" s="179" t="s">
        <v>13909</v>
      </c>
      <c r="E3570" s="27" t="s">
        <v>98</v>
      </c>
      <c r="F3570" s="27" t="s">
        <v>33</v>
      </c>
      <c r="G3570" s="18" t="s">
        <v>35</v>
      </c>
      <c r="H3570" s="40" t="s">
        <v>35</v>
      </c>
      <c r="I3570" s="37" t="s">
        <v>984</v>
      </c>
      <c r="J3570" s="25" t="s">
        <v>49</v>
      </c>
      <c r="K3570" s="26" t="s">
        <v>38</v>
      </c>
      <c r="L3570" s="25">
        <v>-12693.0</v>
      </c>
      <c r="M3570" s="49"/>
      <c r="N3570" s="42"/>
      <c r="O3570" s="68"/>
      <c r="P3570" s="26" t="s">
        <v>13904</v>
      </c>
      <c r="Q3570" s="13" t="s">
        <v>6028</v>
      </c>
      <c r="R3570" s="13" t="s">
        <v>6028</v>
      </c>
      <c r="S3570" s="13" t="s">
        <v>6028</v>
      </c>
      <c r="T3570" s="44">
        <v>45944.413627546295</v>
      </c>
      <c r="U3570" s="44">
        <v>45944.42030070601</v>
      </c>
      <c r="V3570" s="13"/>
      <c r="W3570" s="11"/>
      <c r="X3570" s="148">
        <v>45962.0</v>
      </c>
      <c r="Y3570" s="45"/>
      <c r="Z3570" s="45"/>
      <c r="AA3570" s="31"/>
      <c r="AB3570" s="45" t="s">
        <v>13942</v>
      </c>
      <c r="AC3570" s="45"/>
    </row>
    <row r="3571" ht="18.75" customHeight="1">
      <c r="A3571" s="18" t="s">
        <v>13943</v>
      </c>
      <c r="B3571" s="33" t="s">
        <v>13903</v>
      </c>
      <c r="C3571" s="20">
        <v>0.0</v>
      </c>
      <c r="D3571" s="179" t="s">
        <v>13909</v>
      </c>
      <c r="E3571" s="27" t="s">
        <v>98</v>
      </c>
      <c r="F3571" s="27" t="s">
        <v>33</v>
      </c>
      <c r="G3571" s="18" t="s">
        <v>35</v>
      </c>
      <c r="H3571" s="40" t="s">
        <v>35</v>
      </c>
      <c r="I3571" s="37" t="s">
        <v>984</v>
      </c>
      <c r="J3571" s="25" t="s">
        <v>49</v>
      </c>
      <c r="K3571" s="26" t="s">
        <v>38</v>
      </c>
      <c r="L3571" s="25">
        <v>-12693.0</v>
      </c>
      <c r="M3571" s="49"/>
      <c r="N3571" s="42"/>
      <c r="O3571" s="68"/>
      <c r="P3571" s="26" t="s">
        <v>13904</v>
      </c>
      <c r="Q3571" s="13" t="s">
        <v>6028</v>
      </c>
      <c r="R3571" s="13" t="s">
        <v>6028</v>
      </c>
      <c r="S3571" s="13" t="s">
        <v>6028</v>
      </c>
      <c r="T3571" s="44">
        <v>45944.41367819444</v>
      </c>
      <c r="U3571" s="44">
        <v>45944.462346631946</v>
      </c>
      <c r="V3571" s="13"/>
      <c r="W3571" s="11"/>
      <c r="X3571" s="148">
        <v>45962.0</v>
      </c>
      <c r="Y3571" s="45"/>
      <c r="Z3571" s="45"/>
      <c r="AA3571" s="31"/>
      <c r="AB3571" s="45" t="s">
        <v>13944</v>
      </c>
      <c r="AC3571" s="45"/>
    </row>
    <row r="3572" ht="18.75" customHeight="1">
      <c r="A3572" s="18" t="s">
        <v>13945</v>
      </c>
      <c r="B3572" s="33" t="s">
        <v>13903</v>
      </c>
      <c r="C3572" s="20">
        <v>0.0</v>
      </c>
      <c r="D3572" s="179" t="s">
        <v>13909</v>
      </c>
      <c r="E3572" s="27" t="s">
        <v>98</v>
      </c>
      <c r="F3572" s="27" t="s">
        <v>33</v>
      </c>
      <c r="G3572" s="18" t="s">
        <v>35</v>
      </c>
      <c r="H3572" s="40" t="s">
        <v>35</v>
      </c>
      <c r="I3572" s="37" t="s">
        <v>984</v>
      </c>
      <c r="J3572" s="25" t="s">
        <v>49</v>
      </c>
      <c r="K3572" s="26" t="s">
        <v>38</v>
      </c>
      <c r="L3572" s="25">
        <v>-12693.0</v>
      </c>
      <c r="M3572" s="49"/>
      <c r="N3572" s="42"/>
      <c r="O3572" s="68"/>
      <c r="P3572" s="26" t="s">
        <v>13904</v>
      </c>
      <c r="Q3572" s="13" t="s">
        <v>6028</v>
      </c>
      <c r="R3572" s="13" t="s">
        <v>6028</v>
      </c>
      <c r="S3572" s="13" t="s">
        <v>6028</v>
      </c>
      <c r="T3572" s="44">
        <v>45944.41373763889</v>
      </c>
      <c r="U3572" s="44">
        <v>45944.42023053241</v>
      </c>
      <c r="V3572" s="13"/>
      <c r="W3572" s="11"/>
      <c r="X3572" s="148">
        <v>45962.0</v>
      </c>
      <c r="Y3572" s="45"/>
      <c r="Z3572" s="45"/>
      <c r="AA3572" s="31"/>
      <c r="AB3572" s="45" t="s">
        <v>13946</v>
      </c>
      <c r="AC3572" s="45"/>
    </row>
    <row r="3573" ht="18.75" customHeight="1">
      <c r="A3573" s="18" t="s">
        <v>13947</v>
      </c>
      <c r="B3573" s="33" t="s">
        <v>13903</v>
      </c>
      <c r="C3573" s="20">
        <v>0.0</v>
      </c>
      <c r="D3573" s="179" t="s">
        <v>13909</v>
      </c>
      <c r="E3573" s="27" t="s">
        <v>98</v>
      </c>
      <c r="F3573" s="27" t="s">
        <v>33</v>
      </c>
      <c r="G3573" s="18" t="s">
        <v>35</v>
      </c>
      <c r="H3573" s="40" t="s">
        <v>35</v>
      </c>
      <c r="I3573" s="37" t="s">
        <v>984</v>
      </c>
      <c r="J3573" s="25" t="s">
        <v>49</v>
      </c>
      <c r="K3573" s="26" t="s">
        <v>38</v>
      </c>
      <c r="L3573" s="25">
        <v>-12693.0</v>
      </c>
      <c r="M3573" s="49"/>
      <c r="N3573" s="42"/>
      <c r="O3573" s="68"/>
      <c r="P3573" s="26" t="s">
        <v>13904</v>
      </c>
      <c r="Q3573" s="13" t="s">
        <v>6028</v>
      </c>
      <c r="R3573" s="13" t="s">
        <v>6028</v>
      </c>
      <c r="S3573" s="13" t="s">
        <v>6028</v>
      </c>
      <c r="T3573" s="44">
        <v>45944.4137831713</v>
      </c>
      <c r="U3573" s="44">
        <v>45944.42040508102</v>
      </c>
      <c r="V3573" s="13"/>
      <c r="W3573" s="11"/>
      <c r="X3573" s="148">
        <v>45962.0</v>
      </c>
      <c r="Y3573" s="45"/>
      <c r="Z3573" s="45"/>
      <c r="AA3573" s="31"/>
      <c r="AB3573" s="45" t="s">
        <v>13948</v>
      </c>
      <c r="AC3573" s="45"/>
    </row>
    <row r="3574" ht="18.75" customHeight="1">
      <c r="A3574" s="18" t="s">
        <v>13949</v>
      </c>
      <c r="B3574" s="33" t="s">
        <v>13903</v>
      </c>
      <c r="C3574" s="20">
        <v>0.0</v>
      </c>
      <c r="D3574" s="179" t="s">
        <v>13909</v>
      </c>
      <c r="E3574" s="27" t="s">
        <v>98</v>
      </c>
      <c r="F3574" s="27" t="s">
        <v>33</v>
      </c>
      <c r="G3574" s="18" t="s">
        <v>35</v>
      </c>
      <c r="H3574" s="40" t="s">
        <v>35</v>
      </c>
      <c r="I3574" s="37" t="s">
        <v>984</v>
      </c>
      <c r="J3574" s="25" t="s">
        <v>49</v>
      </c>
      <c r="K3574" s="26" t="s">
        <v>38</v>
      </c>
      <c r="L3574" s="25">
        <v>-12693.0</v>
      </c>
      <c r="M3574" s="49"/>
      <c r="N3574" s="42"/>
      <c r="O3574" s="68"/>
      <c r="P3574" s="26" t="s">
        <v>13904</v>
      </c>
      <c r="Q3574" s="13" t="s">
        <v>6028</v>
      </c>
      <c r="R3574" s="13" t="s">
        <v>6028</v>
      </c>
      <c r="S3574" s="13" t="s">
        <v>6028</v>
      </c>
      <c r="T3574" s="44">
        <v>45944.413878368054</v>
      </c>
      <c r="U3574" s="44">
        <v>45944.46239943287</v>
      </c>
      <c r="V3574" s="13"/>
      <c r="W3574" s="11"/>
      <c r="X3574" s="148">
        <v>45962.0</v>
      </c>
      <c r="Y3574" s="45"/>
      <c r="Z3574" s="45"/>
      <c r="AA3574" s="31"/>
      <c r="AB3574" s="45" t="s">
        <v>13950</v>
      </c>
      <c r="AC3574" s="45"/>
    </row>
    <row r="3575" ht="18.75" customHeight="1">
      <c r="A3575" s="18" t="s">
        <v>13951</v>
      </c>
      <c r="B3575" s="19" t="s">
        <v>8893</v>
      </c>
      <c r="C3575" s="20">
        <v>0.0</v>
      </c>
      <c r="D3575" s="48" t="s">
        <v>13952</v>
      </c>
      <c r="E3575" s="27" t="s">
        <v>3441</v>
      </c>
      <c r="F3575" s="18" t="s">
        <v>48</v>
      </c>
      <c r="G3575" s="18" t="s">
        <v>35</v>
      </c>
      <c r="H3575" s="40" t="s">
        <v>35</v>
      </c>
      <c r="I3575" s="37" t="s">
        <v>36</v>
      </c>
      <c r="J3575" s="25" t="s">
        <v>49</v>
      </c>
      <c r="K3575" s="26" t="s">
        <v>38</v>
      </c>
      <c r="L3575" s="25">
        <v>12692.0</v>
      </c>
      <c r="M3575" s="49" t="s">
        <v>50</v>
      </c>
      <c r="N3575" s="42" t="s">
        <v>5936</v>
      </c>
      <c r="O3575" s="67">
        <v>45716.67764342592</v>
      </c>
      <c r="P3575" s="26" t="s">
        <v>13953</v>
      </c>
      <c r="Q3575" s="13" t="s">
        <v>75</v>
      </c>
      <c r="R3575" s="13" t="s">
        <v>75</v>
      </c>
      <c r="S3575" s="13" t="s">
        <v>50</v>
      </c>
      <c r="T3575" s="44">
        <v>45716.42379077546</v>
      </c>
      <c r="U3575" s="44">
        <v>45716.43767665509</v>
      </c>
      <c r="V3575" s="44">
        <v>45716.44490234954</v>
      </c>
      <c r="W3575" s="11"/>
      <c r="X3575" s="11"/>
      <c r="Y3575" s="45"/>
      <c r="Z3575" s="45"/>
      <c r="AA3575" s="31" t="s">
        <v>5199</v>
      </c>
      <c r="AB3575" s="45" t="s">
        <v>13954</v>
      </c>
      <c r="AC3575" s="45"/>
    </row>
    <row r="3576" ht="18.75" customHeight="1">
      <c r="A3576" s="18" t="s">
        <v>13955</v>
      </c>
      <c r="B3576" s="19" t="s">
        <v>8893</v>
      </c>
      <c r="C3576" s="20">
        <v>90.0</v>
      </c>
      <c r="D3576" s="48" t="s">
        <v>13956</v>
      </c>
      <c r="E3576" s="27" t="s">
        <v>91</v>
      </c>
      <c r="F3576" s="18" t="s">
        <v>48</v>
      </c>
      <c r="G3576" s="18" t="s">
        <v>35</v>
      </c>
      <c r="H3576" s="40" t="s">
        <v>35</v>
      </c>
      <c r="I3576" s="37" t="s">
        <v>36</v>
      </c>
      <c r="J3576" s="25" t="s">
        <v>49</v>
      </c>
      <c r="K3576" s="26" t="s">
        <v>38</v>
      </c>
      <c r="L3576" s="25">
        <v>12692.0</v>
      </c>
      <c r="M3576" s="49" t="s">
        <v>50</v>
      </c>
      <c r="N3576" s="42" t="s">
        <v>5936</v>
      </c>
      <c r="O3576" s="67">
        <v>45716.67759348379</v>
      </c>
      <c r="P3576" s="26" t="s">
        <v>13953</v>
      </c>
      <c r="Q3576" s="13" t="s">
        <v>75</v>
      </c>
      <c r="R3576" s="13" t="s">
        <v>75</v>
      </c>
      <c r="S3576" s="13" t="s">
        <v>50</v>
      </c>
      <c r="T3576" s="44">
        <v>45716.423990069445</v>
      </c>
      <c r="U3576" s="44">
        <v>45716.43768392361</v>
      </c>
      <c r="V3576" s="44">
        <v>45716.44491346065</v>
      </c>
      <c r="W3576" s="11"/>
      <c r="X3576" s="11"/>
      <c r="Y3576" s="45"/>
      <c r="Z3576" s="45"/>
      <c r="AA3576" s="31" t="s">
        <v>5199</v>
      </c>
      <c r="AB3576" s="45" t="s">
        <v>13957</v>
      </c>
      <c r="AC3576" s="45"/>
    </row>
    <row r="3577" ht="18.75" customHeight="1">
      <c r="A3577" s="142" t="s">
        <v>13958</v>
      </c>
      <c r="B3577" s="19" t="s">
        <v>8071</v>
      </c>
      <c r="C3577" s="20">
        <v>1.0</v>
      </c>
      <c r="D3577" s="48" t="s">
        <v>13959</v>
      </c>
      <c r="E3577" s="27" t="s">
        <v>3395</v>
      </c>
      <c r="F3577" s="18" t="s">
        <v>48</v>
      </c>
      <c r="G3577" s="18" t="s">
        <v>35</v>
      </c>
      <c r="H3577" s="40" t="s">
        <v>35</v>
      </c>
      <c r="I3577" s="37" t="s">
        <v>36</v>
      </c>
      <c r="J3577" s="25" t="s">
        <v>49</v>
      </c>
      <c r="K3577" s="26" t="s">
        <v>38</v>
      </c>
      <c r="L3577" s="25">
        <v>12696.0</v>
      </c>
      <c r="M3577" s="49" t="s">
        <v>50</v>
      </c>
      <c r="N3577" s="42" t="s">
        <v>5936</v>
      </c>
      <c r="O3577" s="67">
        <v>45716.67768890046</v>
      </c>
      <c r="P3577" s="26" t="s">
        <v>13960</v>
      </c>
      <c r="Q3577" s="13" t="s">
        <v>75</v>
      </c>
      <c r="R3577" s="13" t="s">
        <v>75</v>
      </c>
      <c r="S3577" s="13" t="s">
        <v>50</v>
      </c>
      <c r="T3577" s="44">
        <v>45716.429549305554</v>
      </c>
      <c r="U3577" s="44">
        <v>45716.47089459491</v>
      </c>
      <c r="V3577" s="44">
        <v>45716.57060918982</v>
      </c>
      <c r="W3577" s="11"/>
      <c r="X3577" s="11"/>
      <c r="Y3577" s="45"/>
      <c r="Z3577" s="45"/>
      <c r="AA3577" s="31" t="s">
        <v>127</v>
      </c>
      <c r="AB3577" s="45" t="s">
        <v>13961</v>
      </c>
      <c r="AC3577" s="45"/>
    </row>
    <row r="3578" ht="18.75" customHeight="1">
      <c r="A3578" s="18" t="s">
        <v>13962</v>
      </c>
      <c r="B3578" s="19" t="s">
        <v>122</v>
      </c>
      <c r="C3578" s="20">
        <v>90.0</v>
      </c>
      <c r="D3578" s="48" t="s">
        <v>13963</v>
      </c>
      <c r="E3578" s="27" t="s">
        <v>91</v>
      </c>
      <c r="F3578" s="18" t="s">
        <v>48</v>
      </c>
      <c r="G3578" s="18" t="s">
        <v>35</v>
      </c>
      <c r="H3578" s="40" t="s">
        <v>35</v>
      </c>
      <c r="I3578" s="37" t="s">
        <v>36</v>
      </c>
      <c r="J3578" s="25" t="s">
        <v>49</v>
      </c>
      <c r="K3578" s="26" t="s">
        <v>38</v>
      </c>
      <c r="L3578" s="25">
        <v>12695.0</v>
      </c>
      <c r="M3578" s="49" t="s">
        <v>50</v>
      </c>
      <c r="N3578" s="42" t="s">
        <v>5936</v>
      </c>
      <c r="O3578" s="67">
        <v>45716.677809479166</v>
      </c>
      <c r="P3578" s="26" t="s">
        <v>13964</v>
      </c>
      <c r="Q3578" s="13" t="s">
        <v>75</v>
      </c>
      <c r="R3578" s="13" t="s">
        <v>75</v>
      </c>
      <c r="S3578" s="13" t="s">
        <v>50</v>
      </c>
      <c r="T3578" s="44">
        <v>45716.433510393515</v>
      </c>
      <c r="U3578" s="44">
        <v>45716.536404756946</v>
      </c>
      <c r="V3578" s="44">
        <v>45716.57362271991</v>
      </c>
      <c r="W3578" s="11"/>
      <c r="X3578" s="11"/>
      <c r="Y3578" s="45"/>
      <c r="Z3578" s="45"/>
      <c r="AA3578" s="31" t="s">
        <v>127</v>
      </c>
      <c r="AB3578" s="45" t="s">
        <v>13965</v>
      </c>
      <c r="AC3578" s="45"/>
    </row>
    <row r="3579" ht="18.75" customHeight="1">
      <c r="A3579" s="18" t="s">
        <v>13966</v>
      </c>
      <c r="B3579" s="19" t="s">
        <v>122</v>
      </c>
      <c r="C3579" s="20">
        <v>90.0</v>
      </c>
      <c r="D3579" s="48" t="s">
        <v>13967</v>
      </c>
      <c r="E3579" s="27" t="s">
        <v>91</v>
      </c>
      <c r="F3579" s="18" t="s">
        <v>48</v>
      </c>
      <c r="G3579" s="18" t="s">
        <v>35</v>
      </c>
      <c r="H3579" s="40" t="s">
        <v>35</v>
      </c>
      <c r="I3579" s="37" t="s">
        <v>36</v>
      </c>
      <c r="J3579" s="25" t="s">
        <v>49</v>
      </c>
      <c r="K3579" s="26" t="s">
        <v>38</v>
      </c>
      <c r="L3579" s="25">
        <v>12695.0</v>
      </c>
      <c r="M3579" s="49" t="s">
        <v>50</v>
      </c>
      <c r="N3579" s="42" t="s">
        <v>5936</v>
      </c>
      <c r="O3579" s="67">
        <v>45716.67773767361</v>
      </c>
      <c r="P3579" s="26" t="s">
        <v>13964</v>
      </c>
      <c r="Q3579" s="13" t="s">
        <v>75</v>
      </c>
      <c r="R3579" s="13" t="s">
        <v>75</v>
      </c>
      <c r="S3579" s="13" t="s">
        <v>50</v>
      </c>
      <c r="T3579" s="44">
        <v>45716.43366475694</v>
      </c>
      <c r="U3579" s="44">
        <v>45716.53644780093</v>
      </c>
      <c r="V3579" s="44">
        <v>45716.57363262732</v>
      </c>
      <c r="W3579" s="11"/>
      <c r="X3579" s="11"/>
      <c r="Y3579" s="45"/>
      <c r="Z3579" s="45"/>
      <c r="AA3579" s="31" t="s">
        <v>127</v>
      </c>
      <c r="AB3579" s="45" t="s">
        <v>13968</v>
      </c>
      <c r="AC3579" s="45"/>
    </row>
    <row r="3580" ht="18.75" customHeight="1">
      <c r="A3580" s="142" t="s">
        <v>13969</v>
      </c>
      <c r="B3580" s="19" t="s">
        <v>7202</v>
      </c>
      <c r="C3580" s="20">
        <v>27.0</v>
      </c>
      <c r="D3580" s="39" t="s">
        <v>13970</v>
      </c>
      <c r="E3580" s="22" t="s">
        <v>72</v>
      </c>
      <c r="F3580" s="18" t="s">
        <v>48</v>
      </c>
      <c r="G3580" s="18" t="s">
        <v>35</v>
      </c>
      <c r="H3580" s="40" t="s">
        <v>35</v>
      </c>
      <c r="I3580" s="37" t="s">
        <v>36</v>
      </c>
      <c r="J3580" s="25" t="s">
        <v>49</v>
      </c>
      <c r="K3580" s="26" t="s">
        <v>38</v>
      </c>
      <c r="L3580" s="25">
        <v>12774.0</v>
      </c>
      <c r="M3580" s="49" t="s">
        <v>50</v>
      </c>
      <c r="N3580" s="42" t="s">
        <v>9953</v>
      </c>
      <c r="O3580" s="67">
        <v>45740.80489530093</v>
      </c>
      <c r="P3580" s="26" t="s">
        <v>13971</v>
      </c>
      <c r="Q3580" s="13" t="s">
        <v>75</v>
      </c>
      <c r="R3580" s="13" t="s">
        <v>75</v>
      </c>
      <c r="S3580" s="13" t="s">
        <v>50</v>
      </c>
      <c r="T3580" s="44">
        <v>45716.434867233795</v>
      </c>
      <c r="U3580" s="44">
        <v>45736.64362928241</v>
      </c>
      <c r="V3580" s="44">
        <v>45740.788260925925</v>
      </c>
      <c r="W3580" s="11"/>
      <c r="X3580" s="11"/>
      <c r="Y3580" s="45"/>
      <c r="Z3580" s="45"/>
      <c r="AA3580" s="31" t="s">
        <v>127</v>
      </c>
      <c r="AB3580" s="45" t="s">
        <v>13972</v>
      </c>
      <c r="AC3580" s="45"/>
    </row>
    <row r="3581" ht="18.75" customHeight="1">
      <c r="A3581" s="18" t="s">
        <v>13973</v>
      </c>
      <c r="B3581" s="19" t="s">
        <v>13974</v>
      </c>
      <c r="C3581" s="20">
        <v>0.0</v>
      </c>
      <c r="D3581" s="48" t="s">
        <v>13975</v>
      </c>
      <c r="E3581" s="27" t="s">
        <v>3441</v>
      </c>
      <c r="F3581" s="18" t="s">
        <v>48</v>
      </c>
      <c r="G3581" s="18" t="s">
        <v>35</v>
      </c>
      <c r="H3581" s="40" t="s">
        <v>35</v>
      </c>
      <c r="I3581" s="37" t="s">
        <v>36</v>
      </c>
      <c r="J3581" s="25" t="s">
        <v>65</v>
      </c>
      <c r="K3581" s="26" t="s">
        <v>38</v>
      </c>
      <c r="L3581" s="25">
        <v>12697.0</v>
      </c>
      <c r="M3581" s="41" t="s">
        <v>73</v>
      </c>
      <c r="N3581" s="42" t="s">
        <v>149</v>
      </c>
      <c r="O3581" s="67">
        <v>45723.592139942135</v>
      </c>
      <c r="P3581" s="26" t="s">
        <v>13976</v>
      </c>
      <c r="Q3581" s="13" t="s">
        <v>75</v>
      </c>
      <c r="R3581" s="13" t="s">
        <v>75</v>
      </c>
      <c r="S3581" s="13" t="s">
        <v>73</v>
      </c>
      <c r="T3581" s="44">
        <v>45716.436181689816</v>
      </c>
      <c r="U3581" s="44">
        <v>45716.6769509838</v>
      </c>
      <c r="V3581" s="44">
        <v>45721.55311271991</v>
      </c>
      <c r="W3581" s="11"/>
      <c r="X3581" s="11"/>
      <c r="Y3581" s="45"/>
      <c r="Z3581" s="45"/>
      <c r="AA3581" s="31" t="s">
        <v>94</v>
      </c>
      <c r="AB3581" s="45" t="s">
        <v>13977</v>
      </c>
      <c r="AC3581" s="45"/>
    </row>
    <row r="3582" ht="18.75" customHeight="1">
      <c r="A3582" s="18" t="s">
        <v>13978</v>
      </c>
      <c r="B3582" s="19" t="s">
        <v>13974</v>
      </c>
      <c r="C3582" s="20">
        <v>137.0</v>
      </c>
      <c r="D3582" s="48" t="s">
        <v>13979</v>
      </c>
      <c r="E3582" s="27" t="s">
        <v>85</v>
      </c>
      <c r="F3582" s="18" t="s">
        <v>48</v>
      </c>
      <c r="G3582" s="18" t="s">
        <v>35</v>
      </c>
      <c r="H3582" s="40" t="s">
        <v>35</v>
      </c>
      <c r="I3582" s="37" t="s">
        <v>36</v>
      </c>
      <c r="J3582" s="25" t="s">
        <v>65</v>
      </c>
      <c r="K3582" s="26" t="s">
        <v>38</v>
      </c>
      <c r="L3582" s="25">
        <v>12697.0</v>
      </c>
      <c r="M3582" s="41" t="s">
        <v>73</v>
      </c>
      <c r="N3582" s="42" t="s">
        <v>149</v>
      </c>
      <c r="O3582" s="67">
        <v>45723.59206589121</v>
      </c>
      <c r="P3582" s="26" t="s">
        <v>13976</v>
      </c>
      <c r="Q3582" s="13" t="s">
        <v>75</v>
      </c>
      <c r="R3582" s="13" t="s">
        <v>75</v>
      </c>
      <c r="S3582" s="13" t="s">
        <v>73</v>
      </c>
      <c r="T3582" s="44">
        <v>45716.43637384259</v>
      </c>
      <c r="U3582" s="44">
        <v>45716.67693112268</v>
      </c>
      <c r="V3582" s="44">
        <v>45721.56189671296</v>
      </c>
      <c r="W3582" s="11"/>
      <c r="X3582" s="11"/>
      <c r="Y3582" s="45"/>
      <c r="Z3582" s="45"/>
      <c r="AA3582" s="31" t="s">
        <v>94</v>
      </c>
      <c r="AB3582" s="45" t="s">
        <v>13980</v>
      </c>
      <c r="AC3582" s="45"/>
    </row>
    <row r="3583" ht="18.75" customHeight="1">
      <c r="A3583" s="18" t="s">
        <v>13981</v>
      </c>
      <c r="B3583" s="19" t="s">
        <v>1299</v>
      </c>
      <c r="C3583" s="20">
        <v>0.0</v>
      </c>
      <c r="D3583" s="48" t="s">
        <v>13982</v>
      </c>
      <c r="E3583" s="27" t="s">
        <v>3441</v>
      </c>
      <c r="F3583" s="18" t="s">
        <v>48</v>
      </c>
      <c r="G3583" s="18" t="s">
        <v>35</v>
      </c>
      <c r="H3583" s="40" t="s">
        <v>35</v>
      </c>
      <c r="I3583" s="37" t="s">
        <v>36</v>
      </c>
      <c r="J3583" s="25" t="s">
        <v>92</v>
      </c>
      <c r="K3583" s="26" t="s">
        <v>38</v>
      </c>
      <c r="L3583" s="25">
        <v>12701.0</v>
      </c>
      <c r="M3583" s="41" t="s">
        <v>73</v>
      </c>
      <c r="N3583" s="42" t="s">
        <v>4767</v>
      </c>
      <c r="O3583" s="67">
        <v>45722.3611737037</v>
      </c>
      <c r="P3583" s="26" t="s">
        <v>13983</v>
      </c>
      <c r="Q3583" s="13" t="s">
        <v>75</v>
      </c>
      <c r="R3583" s="13" t="s">
        <v>75</v>
      </c>
      <c r="S3583" s="13" t="s">
        <v>73</v>
      </c>
      <c r="T3583" s="44">
        <v>45716.61140394676</v>
      </c>
      <c r="U3583" s="44">
        <v>45716.61157327546</v>
      </c>
      <c r="V3583" s="44">
        <v>45722.34740377315</v>
      </c>
      <c r="W3583" s="11"/>
      <c r="X3583" s="11"/>
      <c r="Y3583" s="45"/>
      <c r="Z3583" s="45"/>
      <c r="AA3583" s="31" t="s">
        <v>120</v>
      </c>
      <c r="AB3583" s="45" t="s">
        <v>13984</v>
      </c>
      <c r="AC3583" s="45"/>
    </row>
    <row r="3584" ht="18.75" customHeight="1">
      <c r="A3584" s="18" t="s">
        <v>13985</v>
      </c>
      <c r="B3584" s="19" t="s">
        <v>1299</v>
      </c>
      <c r="C3584" s="20">
        <v>90.0</v>
      </c>
      <c r="D3584" s="48" t="s">
        <v>13986</v>
      </c>
      <c r="E3584" s="27" t="s">
        <v>91</v>
      </c>
      <c r="F3584" s="18" t="s">
        <v>48</v>
      </c>
      <c r="G3584" s="18" t="s">
        <v>35</v>
      </c>
      <c r="H3584" s="40" t="s">
        <v>35</v>
      </c>
      <c r="I3584" s="37" t="s">
        <v>36</v>
      </c>
      <c r="J3584" s="25" t="s">
        <v>92</v>
      </c>
      <c r="K3584" s="26" t="s">
        <v>38</v>
      </c>
      <c r="L3584" s="25">
        <v>12701.0</v>
      </c>
      <c r="M3584" s="41" t="s">
        <v>73</v>
      </c>
      <c r="N3584" s="42" t="s">
        <v>4767</v>
      </c>
      <c r="O3584" s="67">
        <v>45722.361097280096</v>
      </c>
      <c r="P3584" s="26" t="s">
        <v>13983</v>
      </c>
      <c r="Q3584" s="13" t="s">
        <v>75</v>
      </c>
      <c r="R3584" s="13" t="s">
        <v>75</v>
      </c>
      <c r="S3584" s="13" t="s">
        <v>73</v>
      </c>
      <c r="T3584" s="44">
        <v>45716.611749097225</v>
      </c>
      <c r="U3584" s="44">
        <v>45716.611751226854</v>
      </c>
      <c r="V3584" s="44">
        <v>45722.34757298611</v>
      </c>
      <c r="W3584" s="11"/>
      <c r="X3584" s="11"/>
      <c r="Y3584" s="45"/>
      <c r="Z3584" s="45"/>
      <c r="AA3584" s="31" t="s">
        <v>120</v>
      </c>
      <c r="AB3584" s="45" t="s">
        <v>13987</v>
      </c>
      <c r="AC3584" s="45"/>
    </row>
    <row r="3585" ht="18.75" customHeight="1">
      <c r="A3585" s="142" t="s">
        <v>13988</v>
      </c>
      <c r="B3585" s="19" t="s">
        <v>5313</v>
      </c>
      <c r="C3585" s="20">
        <v>0.0</v>
      </c>
      <c r="D3585" s="48" t="s">
        <v>13989</v>
      </c>
      <c r="E3585" s="27" t="s">
        <v>3441</v>
      </c>
      <c r="F3585" s="18" t="s">
        <v>48</v>
      </c>
      <c r="G3585" s="18" t="s">
        <v>35</v>
      </c>
      <c r="H3585" s="40" t="s">
        <v>35</v>
      </c>
      <c r="I3585" s="37" t="s">
        <v>36</v>
      </c>
      <c r="J3585" s="25" t="s">
        <v>65</v>
      </c>
      <c r="K3585" s="26" t="s">
        <v>38</v>
      </c>
      <c r="L3585" s="25">
        <v>12698.0</v>
      </c>
      <c r="M3585" s="41" t="s">
        <v>73</v>
      </c>
      <c r="N3585" s="42" t="s">
        <v>149</v>
      </c>
      <c r="O3585" s="67">
        <v>45723.592207037036</v>
      </c>
      <c r="P3585" s="26" t="s">
        <v>13990</v>
      </c>
      <c r="Q3585" s="13" t="s">
        <v>75</v>
      </c>
      <c r="R3585" s="13" t="s">
        <v>75</v>
      </c>
      <c r="S3585" s="13" t="s">
        <v>73</v>
      </c>
      <c r="T3585" s="44">
        <v>45716.5676721875</v>
      </c>
      <c r="U3585" s="44">
        <v>45716.61215688658</v>
      </c>
      <c r="V3585" s="44">
        <v>45721.55307981481</v>
      </c>
      <c r="W3585" s="11"/>
      <c r="X3585" s="11"/>
      <c r="Y3585" s="45"/>
      <c r="Z3585" s="45"/>
      <c r="AA3585" s="31" t="s">
        <v>94</v>
      </c>
      <c r="AB3585" s="45" t="s">
        <v>13991</v>
      </c>
      <c r="AC3585" s="45"/>
    </row>
    <row r="3586" ht="18.75" customHeight="1">
      <c r="A3586" s="142" t="s">
        <v>13992</v>
      </c>
      <c r="B3586" s="19" t="s">
        <v>13993</v>
      </c>
      <c r="C3586" s="20">
        <v>0.0</v>
      </c>
      <c r="D3586" s="48" t="s">
        <v>13994</v>
      </c>
      <c r="E3586" s="27" t="s">
        <v>3441</v>
      </c>
      <c r="F3586" s="18" t="s">
        <v>48</v>
      </c>
      <c r="G3586" s="18" t="s">
        <v>35</v>
      </c>
      <c r="H3586" s="40" t="s">
        <v>35</v>
      </c>
      <c r="I3586" s="37" t="s">
        <v>36</v>
      </c>
      <c r="J3586" s="25" t="s">
        <v>49</v>
      </c>
      <c r="K3586" s="26" t="s">
        <v>38</v>
      </c>
      <c r="L3586" s="25">
        <v>12730.0</v>
      </c>
      <c r="M3586" s="49" t="s">
        <v>73</v>
      </c>
      <c r="N3586" s="42" t="s">
        <v>5936</v>
      </c>
      <c r="O3586" s="67">
        <v>45730.72306341435</v>
      </c>
      <c r="P3586" s="26" t="s">
        <v>13995</v>
      </c>
      <c r="Q3586" s="13" t="s">
        <v>75</v>
      </c>
      <c r="R3586" s="13" t="s">
        <v>75</v>
      </c>
      <c r="S3586" s="13" t="s">
        <v>50</v>
      </c>
      <c r="T3586" s="44">
        <v>45728.697599085644</v>
      </c>
      <c r="U3586" s="44">
        <v>45728.69760122686</v>
      </c>
      <c r="V3586" s="44">
        <v>45730.48014601852</v>
      </c>
      <c r="W3586" s="11"/>
      <c r="X3586" s="11"/>
      <c r="Y3586" s="45"/>
      <c r="Z3586" s="45"/>
      <c r="AA3586" s="31" t="s">
        <v>127</v>
      </c>
      <c r="AB3586" s="45" t="s">
        <v>13996</v>
      </c>
      <c r="AC3586" s="45"/>
    </row>
    <row r="3587" ht="18.75" customHeight="1">
      <c r="A3587" s="18" t="s">
        <v>13997</v>
      </c>
      <c r="B3587" s="19" t="s">
        <v>13998</v>
      </c>
      <c r="C3587" s="20">
        <v>0.0</v>
      </c>
      <c r="D3587" s="48" t="s">
        <v>13999</v>
      </c>
      <c r="E3587" s="27" t="s">
        <v>9172</v>
      </c>
      <c r="F3587" s="18" t="s">
        <v>33</v>
      </c>
      <c r="G3587" s="18" t="s">
        <v>34</v>
      </c>
      <c r="H3587" s="40" t="s">
        <v>35</v>
      </c>
      <c r="I3587" s="37" t="s">
        <v>36</v>
      </c>
      <c r="J3587" s="25" t="s">
        <v>65</v>
      </c>
      <c r="K3587" s="26" t="s">
        <v>38</v>
      </c>
      <c r="L3587" s="25">
        <v>12706.0</v>
      </c>
      <c r="M3587" s="41" t="s">
        <v>73</v>
      </c>
      <c r="N3587" s="42" t="s">
        <v>5897</v>
      </c>
      <c r="O3587" s="67">
        <v>45726.68672738426</v>
      </c>
      <c r="P3587" s="26" t="s">
        <v>14000</v>
      </c>
      <c r="Q3587" s="13" t="s">
        <v>75</v>
      </c>
      <c r="R3587" s="13" t="s">
        <v>75</v>
      </c>
      <c r="S3587" s="13" t="s">
        <v>101</v>
      </c>
      <c r="T3587" s="44">
        <v>45722.67094590278</v>
      </c>
      <c r="U3587" s="44">
        <v>45722.67401844908</v>
      </c>
      <c r="V3587" s="44">
        <v>45723.699902430555</v>
      </c>
      <c r="W3587" s="11"/>
      <c r="X3587" s="11"/>
      <c r="Y3587" s="45"/>
      <c r="Z3587" s="45"/>
      <c r="AA3587" s="31" t="s">
        <v>120</v>
      </c>
      <c r="AB3587" s="45" t="s">
        <v>14001</v>
      </c>
      <c r="AC3587" s="45"/>
    </row>
    <row r="3588" ht="18.75" customHeight="1">
      <c r="A3588" s="18" t="s">
        <v>14002</v>
      </c>
      <c r="B3588" s="19" t="s">
        <v>13998</v>
      </c>
      <c r="C3588" s="20">
        <v>0.0</v>
      </c>
      <c r="D3588" s="48" t="s">
        <v>1391</v>
      </c>
      <c r="E3588" s="27" t="s">
        <v>9172</v>
      </c>
      <c r="F3588" s="18" t="s">
        <v>33</v>
      </c>
      <c r="G3588" s="18" t="s">
        <v>34</v>
      </c>
      <c r="H3588" s="40" t="s">
        <v>35</v>
      </c>
      <c r="I3588" s="37" t="s">
        <v>36</v>
      </c>
      <c r="J3588" s="25" t="s">
        <v>65</v>
      </c>
      <c r="K3588" s="26" t="s">
        <v>38</v>
      </c>
      <c r="L3588" s="25">
        <v>12706.0</v>
      </c>
      <c r="M3588" s="41" t="s">
        <v>73</v>
      </c>
      <c r="N3588" s="42" t="s">
        <v>5897</v>
      </c>
      <c r="O3588" s="67">
        <v>45726.68683746528</v>
      </c>
      <c r="P3588" s="26" t="s">
        <v>14000</v>
      </c>
      <c r="Q3588" s="13" t="s">
        <v>75</v>
      </c>
      <c r="R3588" s="13" t="s">
        <v>75</v>
      </c>
      <c r="S3588" s="13" t="s">
        <v>101</v>
      </c>
      <c r="T3588" s="44">
        <v>45722.6708625926</v>
      </c>
      <c r="U3588" s="44">
        <v>45722.6740730787</v>
      </c>
      <c r="V3588" s="44">
        <v>45723.65098706019</v>
      </c>
      <c r="W3588" s="11"/>
      <c r="X3588" s="11"/>
      <c r="Y3588" s="45"/>
      <c r="Z3588" s="45"/>
      <c r="AA3588" s="31" t="s">
        <v>120</v>
      </c>
      <c r="AB3588" s="45" t="s">
        <v>14003</v>
      </c>
      <c r="AC3588" s="45"/>
    </row>
    <row r="3589" ht="18.75" customHeight="1">
      <c r="A3589" s="18" t="s">
        <v>14004</v>
      </c>
      <c r="B3589" s="19" t="s">
        <v>13998</v>
      </c>
      <c r="C3589" s="20">
        <v>0.0</v>
      </c>
      <c r="D3589" s="48" t="s">
        <v>14005</v>
      </c>
      <c r="E3589" s="27" t="s">
        <v>9172</v>
      </c>
      <c r="F3589" s="18" t="s">
        <v>33</v>
      </c>
      <c r="G3589" s="18" t="s">
        <v>34</v>
      </c>
      <c r="H3589" s="40" t="s">
        <v>35</v>
      </c>
      <c r="I3589" s="37" t="s">
        <v>36</v>
      </c>
      <c r="J3589" s="25" t="s">
        <v>65</v>
      </c>
      <c r="K3589" s="26" t="s">
        <v>38</v>
      </c>
      <c r="L3589" s="25">
        <v>12706.0</v>
      </c>
      <c r="M3589" s="41" t="s">
        <v>73</v>
      </c>
      <c r="N3589" s="42" t="s">
        <v>5897</v>
      </c>
      <c r="O3589" s="67">
        <v>45726.686936053244</v>
      </c>
      <c r="P3589" s="26" t="s">
        <v>14000</v>
      </c>
      <c r="Q3589" s="13" t="s">
        <v>75</v>
      </c>
      <c r="R3589" s="13" t="s">
        <v>75</v>
      </c>
      <c r="S3589" s="13" t="s">
        <v>101</v>
      </c>
      <c r="T3589" s="44">
        <v>45722.67098540509</v>
      </c>
      <c r="U3589" s="44">
        <v>45722.67407627315</v>
      </c>
      <c r="V3589" s="44">
        <v>45726.41965260416</v>
      </c>
      <c r="W3589" s="11"/>
      <c r="X3589" s="11"/>
      <c r="Y3589" s="45"/>
      <c r="Z3589" s="45"/>
      <c r="AA3589" s="31" t="s">
        <v>120</v>
      </c>
      <c r="AB3589" s="45" t="s">
        <v>14006</v>
      </c>
      <c r="AC3589" s="45"/>
    </row>
    <row r="3590" ht="18.75" customHeight="1">
      <c r="A3590" s="18" t="s">
        <v>14007</v>
      </c>
      <c r="B3590" s="19" t="s">
        <v>8994</v>
      </c>
      <c r="C3590" s="20">
        <v>1.0</v>
      </c>
      <c r="D3590" s="178" t="s">
        <v>14008</v>
      </c>
      <c r="E3590" s="27" t="s">
        <v>11712</v>
      </c>
      <c r="F3590" s="18" t="s">
        <v>48</v>
      </c>
      <c r="G3590" s="18" t="s">
        <v>35</v>
      </c>
      <c r="H3590" s="40" t="s">
        <v>35</v>
      </c>
      <c r="I3590" s="37" t="s">
        <v>36</v>
      </c>
      <c r="J3590" s="25" t="s">
        <v>1170</v>
      </c>
      <c r="K3590" s="26" t="s">
        <v>38</v>
      </c>
      <c r="L3590" s="25">
        <v>12717.0</v>
      </c>
      <c r="M3590" s="49" t="s">
        <v>73</v>
      </c>
      <c r="N3590" s="42" t="s">
        <v>14009</v>
      </c>
      <c r="O3590" s="67">
        <v>45729.697222222225</v>
      </c>
      <c r="P3590" s="26" t="s">
        <v>14010</v>
      </c>
      <c r="Q3590" s="13" t="s">
        <v>75</v>
      </c>
      <c r="R3590" s="13" t="s">
        <v>75</v>
      </c>
      <c r="S3590" s="13"/>
      <c r="T3590" s="44">
        <v>45727.67322578703</v>
      </c>
      <c r="U3590" s="44">
        <v>45727.67323694444</v>
      </c>
      <c r="V3590" s="13"/>
      <c r="W3590" s="11"/>
      <c r="X3590" s="11"/>
      <c r="Y3590" s="45"/>
      <c r="Z3590" s="45"/>
      <c r="AA3590" s="31" t="s">
        <v>120</v>
      </c>
      <c r="AB3590" s="45" t="s">
        <v>14011</v>
      </c>
      <c r="AC3590" s="45"/>
    </row>
    <row r="3591" ht="18.75" customHeight="1">
      <c r="A3591" s="18" t="s">
        <v>14012</v>
      </c>
      <c r="B3591" s="19" t="s">
        <v>8994</v>
      </c>
      <c r="C3591" s="20">
        <v>1.0</v>
      </c>
      <c r="D3591" s="178" t="s">
        <v>14013</v>
      </c>
      <c r="E3591" s="27" t="s">
        <v>11712</v>
      </c>
      <c r="F3591" s="18" t="s">
        <v>48</v>
      </c>
      <c r="G3591" s="18" t="s">
        <v>35</v>
      </c>
      <c r="H3591" s="40" t="s">
        <v>35</v>
      </c>
      <c r="I3591" s="37" t="s">
        <v>36</v>
      </c>
      <c r="J3591" s="25" t="s">
        <v>1170</v>
      </c>
      <c r="K3591" s="26" t="s">
        <v>38</v>
      </c>
      <c r="L3591" s="25">
        <v>12717.0</v>
      </c>
      <c r="M3591" s="49" t="s">
        <v>73</v>
      </c>
      <c r="N3591" s="42" t="s">
        <v>14009</v>
      </c>
      <c r="O3591" s="67">
        <v>45729.697222222225</v>
      </c>
      <c r="P3591" s="26" t="s">
        <v>14010</v>
      </c>
      <c r="Q3591" s="13" t="s">
        <v>75</v>
      </c>
      <c r="R3591" s="13" t="s">
        <v>75</v>
      </c>
      <c r="S3591" s="13"/>
      <c r="T3591" s="44">
        <v>45727.67318925926</v>
      </c>
      <c r="U3591" s="44">
        <v>45727.67322755787</v>
      </c>
      <c r="V3591" s="13"/>
      <c r="W3591" s="11"/>
      <c r="X3591" s="11"/>
      <c r="Y3591" s="45"/>
      <c r="Z3591" s="45"/>
      <c r="AA3591" s="31" t="s">
        <v>120</v>
      </c>
      <c r="AB3591" s="45" t="s">
        <v>14014</v>
      </c>
      <c r="AC3591" s="45"/>
    </row>
    <row r="3592" ht="18.75" customHeight="1">
      <c r="A3592" s="142" t="s">
        <v>14015</v>
      </c>
      <c r="B3592" s="19" t="s">
        <v>3645</v>
      </c>
      <c r="C3592" s="20">
        <v>90.0</v>
      </c>
      <c r="D3592" s="48" t="s">
        <v>14016</v>
      </c>
      <c r="E3592" s="27" t="s">
        <v>91</v>
      </c>
      <c r="F3592" s="18" t="s">
        <v>48</v>
      </c>
      <c r="G3592" s="18" t="s">
        <v>35</v>
      </c>
      <c r="H3592" s="40" t="s">
        <v>35</v>
      </c>
      <c r="I3592" s="37" t="s">
        <v>36</v>
      </c>
      <c r="J3592" s="25" t="s">
        <v>49</v>
      </c>
      <c r="K3592" s="26" t="s">
        <v>38</v>
      </c>
      <c r="L3592" s="25">
        <v>12725.0</v>
      </c>
      <c r="M3592" s="49" t="s">
        <v>73</v>
      </c>
      <c r="N3592" s="42" t="s">
        <v>5936</v>
      </c>
      <c r="O3592" s="67">
        <v>45730.72319793982</v>
      </c>
      <c r="P3592" s="26" t="s">
        <v>14017</v>
      </c>
      <c r="Q3592" s="13" t="s">
        <v>75</v>
      </c>
      <c r="R3592" s="13" t="s">
        <v>75</v>
      </c>
      <c r="S3592" s="13" t="s">
        <v>50</v>
      </c>
      <c r="T3592" s="44">
        <v>45723.39063252315</v>
      </c>
      <c r="U3592" s="44">
        <v>45728.609185740745</v>
      </c>
      <c r="V3592" s="44">
        <v>45730.35861847222</v>
      </c>
      <c r="W3592" s="11"/>
      <c r="X3592" s="11"/>
      <c r="Y3592" s="45"/>
      <c r="Z3592" s="45"/>
      <c r="AA3592" s="31" t="s">
        <v>127</v>
      </c>
      <c r="AB3592" s="45" t="s">
        <v>14018</v>
      </c>
      <c r="AC3592" s="45"/>
    </row>
    <row r="3593" ht="18.75" customHeight="1">
      <c r="A3593" s="142" t="s">
        <v>14019</v>
      </c>
      <c r="B3593" s="19" t="s">
        <v>3645</v>
      </c>
      <c r="C3593" s="20">
        <v>0.0</v>
      </c>
      <c r="D3593" s="177" t="s">
        <v>14020</v>
      </c>
      <c r="E3593" s="27" t="s">
        <v>532</v>
      </c>
      <c r="F3593" s="18" t="s">
        <v>244</v>
      </c>
      <c r="G3593" s="18" t="s">
        <v>35</v>
      </c>
      <c r="H3593" s="40" t="s">
        <v>35</v>
      </c>
      <c r="I3593" s="37" t="s">
        <v>36</v>
      </c>
      <c r="J3593" s="25" t="s">
        <v>49</v>
      </c>
      <c r="K3593" s="26" t="s">
        <v>38</v>
      </c>
      <c r="L3593" s="25">
        <v>12709.0</v>
      </c>
      <c r="M3593" s="41" t="s">
        <v>73</v>
      </c>
      <c r="N3593" s="42" t="s">
        <v>5936</v>
      </c>
      <c r="O3593" s="67">
        <v>45727.64946472222</v>
      </c>
      <c r="P3593" s="26" t="s">
        <v>14021</v>
      </c>
      <c r="Q3593" s="13" t="s">
        <v>75</v>
      </c>
      <c r="R3593" s="13" t="s">
        <v>75</v>
      </c>
      <c r="S3593" s="13" t="s">
        <v>73</v>
      </c>
      <c r="T3593" s="44">
        <v>45723.39695976852</v>
      </c>
      <c r="U3593" s="44">
        <v>45723.57364497685</v>
      </c>
      <c r="V3593" s="44">
        <v>45726.583064872684</v>
      </c>
      <c r="W3593" s="11"/>
      <c r="X3593" s="11"/>
      <c r="Y3593" s="45"/>
      <c r="Z3593" s="45"/>
      <c r="AA3593" s="31" t="s">
        <v>127</v>
      </c>
      <c r="AB3593" s="45" t="s">
        <v>14022</v>
      </c>
      <c r="AC3593" s="45"/>
    </row>
    <row r="3594" ht="18.75" customHeight="1">
      <c r="A3594" s="142" t="s">
        <v>14023</v>
      </c>
      <c r="B3594" s="19" t="s">
        <v>147</v>
      </c>
      <c r="C3594" s="20">
        <v>90.0</v>
      </c>
      <c r="D3594" s="48" t="s">
        <v>14024</v>
      </c>
      <c r="E3594" s="27" t="s">
        <v>91</v>
      </c>
      <c r="F3594" s="18" t="s">
        <v>48</v>
      </c>
      <c r="G3594" s="18" t="s">
        <v>35</v>
      </c>
      <c r="H3594" s="40" t="s">
        <v>35</v>
      </c>
      <c r="I3594" s="37" t="s">
        <v>36</v>
      </c>
      <c r="J3594" s="25" t="s">
        <v>65</v>
      </c>
      <c r="K3594" s="26" t="s">
        <v>38</v>
      </c>
      <c r="L3594" s="25">
        <v>12711.0</v>
      </c>
      <c r="M3594" s="49" t="s">
        <v>73</v>
      </c>
      <c r="N3594" s="42" t="s">
        <v>149</v>
      </c>
      <c r="O3594" s="67">
        <v>45727.71834178241</v>
      </c>
      <c r="P3594" s="26" t="s">
        <v>14025</v>
      </c>
      <c r="Q3594" s="13" t="s">
        <v>75</v>
      </c>
      <c r="R3594" s="13" t="s">
        <v>75</v>
      </c>
      <c r="S3594" s="13" t="s">
        <v>73</v>
      </c>
      <c r="T3594" s="44">
        <v>45723.40053116898</v>
      </c>
      <c r="U3594" s="44">
        <v>45723.581285810185</v>
      </c>
      <c r="V3594" s="44">
        <v>45726.70241949074</v>
      </c>
      <c r="W3594" s="11"/>
      <c r="X3594" s="11"/>
      <c r="Y3594" s="45"/>
      <c r="Z3594" s="45"/>
      <c r="AA3594" s="31" t="s">
        <v>94</v>
      </c>
      <c r="AB3594" s="45" t="s">
        <v>14026</v>
      </c>
      <c r="AC3594" s="45"/>
    </row>
    <row r="3595" ht="18.75" customHeight="1">
      <c r="A3595" s="142" t="s">
        <v>14027</v>
      </c>
      <c r="B3595" s="19" t="s">
        <v>3289</v>
      </c>
      <c r="C3595" s="20">
        <v>90.0</v>
      </c>
      <c r="D3595" s="48" t="s">
        <v>14028</v>
      </c>
      <c r="E3595" s="27" t="s">
        <v>91</v>
      </c>
      <c r="F3595" s="18" t="s">
        <v>48</v>
      </c>
      <c r="G3595" s="18" t="s">
        <v>35</v>
      </c>
      <c r="H3595" s="40" t="s">
        <v>35</v>
      </c>
      <c r="I3595" s="37" t="s">
        <v>36</v>
      </c>
      <c r="J3595" s="25" t="s">
        <v>92</v>
      </c>
      <c r="K3595" s="26" t="s">
        <v>38</v>
      </c>
      <c r="L3595" s="25">
        <v>12710.0</v>
      </c>
      <c r="M3595" s="49" t="s">
        <v>73</v>
      </c>
      <c r="N3595" s="42" t="s">
        <v>14029</v>
      </c>
      <c r="O3595" s="67">
        <v>45737.47691237269</v>
      </c>
      <c r="P3595" s="26" t="s">
        <v>14030</v>
      </c>
      <c r="Q3595" s="13" t="s">
        <v>75</v>
      </c>
      <c r="R3595" s="13" t="s">
        <v>75</v>
      </c>
      <c r="S3595" s="13" t="s">
        <v>73</v>
      </c>
      <c r="T3595" s="44">
        <v>45723.40190125</v>
      </c>
      <c r="U3595" s="44">
        <v>45723.40558960648</v>
      </c>
      <c r="V3595" s="44">
        <v>45726.702407488425</v>
      </c>
      <c r="W3595" s="11"/>
      <c r="X3595" s="11"/>
      <c r="Y3595" s="45"/>
      <c r="Z3595" s="45"/>
      <c r="AA3595" s="31" t="s">
        <v>120</v>
      </c>
      <c r="AB3595" s="45" t="s">
        <v>14031</v>
      </c>
      <c r="AC3595" s="45"/>
    </row>
    <row r="3596" ht="18.75" customHeight="1">
      <c r="A3596" s="142" t="s">
        <v>14032</v>
      </c>
      <c r="B3596" s="19" t="s">
        <v>115</v>
      </c>
      <c r="C3596" s="20">
        <v>0.0</v>
      </c>
      <c r="D3596" s="48" t="s">
        <v>1271</v>
      </c>
      <c r="E3596" s="27" t="s">
        <v>117</v>
      </c>
      <c r="F3596" s="18" t="s">
        <v>33</v>
      </c>
      <c r="G3596" s="18" t="s">
        <v>35</v>
      </c>
      <c r="H3596" s="40" t="s">
        <v>35</v>
      </c>
      <c r="I3596" s="37" t="s">
        <v>36</v>
      </c>
      <c r="J3596" s="25" t="s">
        <v>92</v>
      </c>
      <c r="K3596" s="26" t="s">
        <v>38</v>
      </c>
      <c r="L3596" s="25">
        <v>12718.0</v>
      </c>
      <c r="M3596" s="49" t="s">
        <v>73</v>
      </c>
      <c r="N3596" s="42" t="s">
        <v>10176</v>
      </c>
      <c r="O3596" s="67">
        <v>45734.655288124995</v>
      </c>
      <c r="P3596" s="26" t="s">
        <v>14033</v>
      </c>
      <c r="Q3596" s="13" t="s">
        <v>75</v>
      </c>
      <c r="R3596" s="13" t="s">
        <v>75</v>
      </c>
      <c r="S3596" s="13"/>
      <c r="T3596" s="44">
        <v>45723.487339768515</v>
      </c>
      <c r="U3596" s="44">
        <v>45723.58156114584</v>
      </c>
      <c r="V3596" s="13"/>
      <c r="W3596" s="11"/>
      <c r="X3596" s="11"/>
      <c r="Y3596" s="45"/>
      <c r="Z3596" s="45"/>
      <c r="AA3596" s="31" t="s">
        <v>120</v>
      </c>
      <c r="AB3596" s="45" t="s">
        <v>14034</v>
      </c>
      <c r="AC3596" s="45"/>
    </row>
    <row r="3597" ht="18.75" customHeight="1">
      <c r="A3597" s="142" t="s">
        <v>14035</v>
      </c>
      <c r="B3597" s="19" t="s">
        <v>12057</v>
      </c>
      <c r="C3597" s="20">
        <v>34.0</v>
      </c>
      <c r="D3597" s="48" t="s">
        <v>14036</v>
      </c>
      <c r="E3597" s="27" t="s">
        <v>47</v>
      </c>
      <c r="F3597" s="18" t="s">
        <v>48</v>
      </c>
      <c r="G3597" s="18" t="s">
        <v>35</v>
      </c>
      <c r="H3597" s="40" t="s">
        <v>35</v>
      </c>
      <c r="I3597" s="37" t="s">
        <v>36</v>
      </c>
      <c r="J3597" s="25" t="s">
        <v>65</v>
      </c>
      <c r="K3597" s="26" t="s">
        <v>38</v>
      </c>
      <c r="L3597" s="25">
        <v>12738.0</v>
      </c>
      <c r="M3597" s="49" t="s">
        <v>73</v>
      </c>
      <c r="N3597" s="42" t="s">
        <v>10703</v>
      </c>
      <c r="O3597" s="67">
        <v>45734.698967233795</v>
      </c>
      <c r="P3597" s="26" t="s">
        <v>14037</v>
      </c>
      <c r="Q3597" s="13" t="s">
        <v>75</v>
      </c>
      <c r="R3597" s="13" t="s">
        <v>75</v>
      </c>
      <c r="S3597" s="13" t="s">
        <v>73</v>
      </c>
      <c r="T3597" s="44">
        <v>45723.56897907407</v>
      </c>
      <c r="U3597" s="44">
        <v>45729.380610312495</v>
      </c>
      <c r="V3597" s="44">
        <v>45730.55253410879</v>
      </c>
      <c r="W3597" s="11"/>
      <c r="X3597" s="11"/>
      <c r="Y3597" s="45"/>
      <c r="Z3597" s="45"/>
      <c r="AA3597" s="31" t="s">
        <v>94</v>
      </c>
      <c r="AB3597" s="45" t="s">
        <v>14038</v>
      </c>
      <c r="AC3597" s="45"/>
    </row>
    <row r="3598" ht="18.75" customHeight="1">
      <c r="A3598" s="142" t="s">
        <v>14039</v>
      </c>
      <c r="B3598" s="19" t="s">
        <v>8459</v>
      </c>
      <c r="C3598" s="20">
        <v>90.0</v>
      </c>
      <c r="D3598" s="48" t="s">
        <v>14040</v>
      </c>
      <c r="E3598" s="27" t="s">
        <v>91</v>
      </c>
      <c r="F3598" s="18" t="s">
        <v>48</v>
      </c>
      <c r="G3598" s="18" t="s">
        <v>35</v>
      </c>
      <c r="H3598" s="40" t="s">
        <v>35</v>
      </c>
      <c r="I3598" s="37" t="s">
        <v>36</v>
      </c>
      <c r="J3598" s="25" t="s">
        <v>49</v>
      </c>
      <c r="K3598" s="26" t="s">
        <v>1506</v>
      </c>
      <c r="L3598" s="25">
        <v>12712.0</v>
      </c>
      <c r="M3598" s="41" t="s">
        <v>73</v>
      </c>
      <c r="N3598" s="42" t="s">
        <v>5936</v>
      </c>
      <c r="O3598" s="67">
        <v>45727.64939453704</v>
      </c>
      <c r="P3598" s="26" t="s">
        <v>14041</v>
      </c>
      <c r="Q3598" s="13" t="s">
        <v>75</v>
      </c>
      <c r="R3598" s="13" t="s">
        <v>75</v>
      </c>
      <c r="S3598" s="13" t="s">
        <v>73</v>
      </c>
      <c r="T3598" s="44">
        <v>45726.66916493056</v>
      </c>
      <c r="U3598" s="44">
        <v>45726.66944085648</v>
      </c>
      <c r="V3598" s="44">
        <v>45726.70243978009</v>
      </c>
      <c r="W3598" s="11"/>
      <c r="X3598" s="11"/>
      <c r="Y3598" s="45"/>
      <c r="Z3598" s="45"/>
      <c r="AA3598" s="31" t="s">
        <v>3053</v>
      </c>
      <c r="AB3598" s="45" t="s">
        <v>14042</v>
      </c>
      <c r="AC3598" s="45"/>
    </row>
    <row r="3599" ht="18.75" customHeight="1">
      <c r="A3599" s="142" t="s">
        <v>14043</v>
      </c>
      <c r="B3599" s="19" t="s">
        <v>8299</v>
      </c>
      <c r="C3599" s="20">
        <v>27.0</v>
      </c>
      <c r="D3599" s="39" t="s">
        <v>14044</v>
      </c>
      <c r="E3599" s="27" t="s">
        <v>72</v>
      </c>
      <c r="F3599" s="18" t="s">
        <v>48</v>
      </c>
      <c r="G3599" s="18" t="s">
        <v>35</v>
      </c>
      <c r="H3599" s="40" t="s">
        <v>35</v>
      </c>
      <c r="I3599" s="37" t="s">
        <v>36</v>
      </c>
      <c r="J3599" s="25" t="s">
        <v>65</v>
      </c>
      <c r="K3599" s="26" t="s">
        <v>38</v>
      </c>
      <c r="L3599" s="25">
        <v>12743.0</v>
      </c>
      <c r="M3599" s="49" t="s">
        <v>73</v>
      </c>
      <c r="N3599" s="42" t="s">
        <v>10703</v>
      </c>
      <c r="O3599" s="67">
        <v>45734.699287916665</v>
      </c>
      <c r="P3599" s="26" t="s">
        <v>14045</v>
      </c>
      <c r="Q3599" s="13" t="s">
        <v>75</v>
      </c>
      <c r="R3599" s="13" t="s">
        <v>75</v>
      </c>
      <c r="S3599" s="13" t="s">
        <v>50</v>
      </c>
      <c r="T3599" s="44">
        <v>45726.669439143516</v>
      </c>
      <c r="U3599" s="44">
        <v>45726.69885760416</v>
      </c>
      <c r="V3599" s="44">
        <v>45734.43452215278</v>
      </c>
      <c r="W3599" s="11"/>
      <c r="X3599" s="11"/>
      <c r="Y3599" s="45"/>
      <c r="Z3599" s="45"/>
      <c r="AA3599" s="31" t="s">
        <v>94</v>
      </c>
      <c r="AB3599" s="45" t="s">
        <v>14046</v>
      </c>
      <c r="AC3599" s="45"/>
    </row>
    <row r="3600" ht="18.75" customHeight="1">
      <c r="A3600" s="142" t="s">
        <v>14047</v>
      </c>
      <c r="B3600" s="19" t="s">
        <v>8426</v>
      </c>
      <c r="C3600" s="20">
        <v>90.0</v>
      </c>
      <c r="D3600" s="48" t="s">
        <v>14048</v>
      </c>
      <c r="E3600" s="27" t="s">
        <v>91</v>
      </c>
      <c r="F3600" s="18" t="s">
        <v>48</v>
      </c>
      <c r="G3600" s="18" t="s">
        <v>35</v>
      </c>
      <c r="H3600" s="40" t="s">
        <v>35</v>
      </c>
      <c r="I3600" s="37" t="s">
        <v>36</v>
      </c>
      <c r="J3600" s="25" t="s">
        <v>49</v>
      </c>
      <c r="K3600" s="26" t="s">
        <v>38</v>
      </c>
      <c r="L3600" s="25">
        <v>12713.0</v>
      </c>
      <c r="M3600" s="41" t="s">
        <v>73</v>
      </c>
      <c r="N3600" s="42" t="s">
        <v>5936</v>
      </c>
      <c r="O3600" s="67">
        <v>45727.649199189815</v>
      </c>
      <c r="P3600" s="26" t="s">
        <v>14049</v>
      </c>
      <c r="Q3600" s="13" t="s">
        <v>75</v>
      </c>
      <c r="R3600" s="13" t="s">
        <v>75</v>
      </c>
      <c r="S3600" s="13" t="s">
        <v>73</v>
      </c>
      <c r="T3600" s="44">
        <v>45726.6762555787</v>
      </c>
      <c r="U3600" s="44">
        <v>45726.715124282404</v>
      </c>
      <c r="V3600" s="44">
        <v>45727.361187013885</v>
      </c>
      <c r="W3600" s="11"/>
      <c r="X3600" s="11"/>
      <c r="Y3600" s="45"/>
      <c r="Z3600" s="45"/>
      <c r="AA3600" s="31" t="s">
        <v>102</v>
      </c>
      <c r="AB3600" s="45" t="s">
        <v>14050</v>
      </c>
      <c r="AC3600" s="45"/>
    </row>
    <row r="3601" ht="18.75" customHeight="1">
      <c r="A3601" s="142" t="s">
        <v>14051</v>
      </c>
      <c r="B3601" s="19" t="s">
        <v>3289</v>
      </c>
      <c r="C3601" s="20">
        <v>90.0</v>
      </c>
      <c r="D3601" s="48" t="s">
        <v>14052</v>
      </c>
      <c r="E3601" s="27" t="s">
        <v>91</v>
      </c>
      <c r="F3601" s="18" t="s">
        <v>48</v>
      </c>
      <c r="G3601" s="18" t="s">
        <v>35</v>
      </c>
      <c r="H3601" s="40" t="s">
        <v>35</v>
      </c>
      <c r="I3601" s="37" t="s">
        <v>36</v>
      </c>
      <c r="J3601" s="25" t="s">
        <v>92</v>
      </c>
      <c r="K3601" s="26" t="s">
        <v>38</v>
      </c>
      <c r="L3601" s="25">
        <v>12750.0</v>
      </c>
      <c r="M3601" s="49" t="s">
        <v>73</v>
      </c>
      <c r="N3601" s="42" t="s">
        <v>14029</v>
      </c>
      <c r="O3601" s="67">
        <v>45737.47699481482</v>
      </c>
      <c r="P3601" s="26" t="s">
        <v>14053</v>
      </c>
      <c r="Q3601" s="13" t="s">
        <v>75</v>
      </c>
      <c r="R3601" s="13" t="s">
        <v>75</v>
      </c>
      <c r="S3601" s="13" t="s">
        <v>50</v>
      </c>
      <c r="T3601" s="44">
        <v>45727.62655402778</v>
      </c>
      <c r="U3601" s="44">
        <v>45728.45379402778</v>
      </c>
      <c r="V3601" s="44">
        <v>45734.454882881946</v>
      </c>
      <c r="W3601" s="11"/>
      <c r="X3601" s="11"/>
      <c r="Y3601" s="45"/>
      <c r="Z3601" s="45"/>
      <c r="AA3601" s="31" t="s">
        <v>120</v>
      </c>
      <c r="AB3601" s="45" t="s">
        <v>14054</v>
      </c>
      <c r="AC3601" s="45"/>
    </row>
    <row r="3602" ht="18.75" customHeight="1">
      <c r="A3602" s="142" t="s">
        <v>14055</v>
      </c>
      <c r="B3602" s="19" t="s">
        <v>12133</v>
      </c>
      <c r="C3602" s="20">
        <v>27.0</v>
      </c>
      <c r="D3602" s="39" t="s">
        <v>14056</v>
      </c>
      <c r="E3602" s="27" t="s">
        <v>72</v>
      </c>
      <c r="F3602" s="18" t="s">
        <v>48</v>
      </c>
      <c r="G3602" s="18" t="s">
        <v>35</v>
      </c>
      <c r="H3602" s="40" t="s">
        <v>35</v>
      </c>
      <c r="I3602" s="37" t="s">
        <v>36</v>
      </c>
      <c r="J3602" s="25" t="s">
        <v>65</v>
      </c>
      <c r="K3602" s="26" t="s">
        <v>38</v>
      </c>
      <c r="L3602" s="25">
        <v>12744.0</v>
      </c>
      <c r="M3602" s="49" t="s">
        <v>73</v>
      </c>
      <c r="N3602" s="42" t="s">
        <v>10703</v>
      </c>
      <c r="O3602" s="67">
        <v>45734.6993893287</v>
      </c>
      <c r="P3602" s="26" t="s">
        <v>14057</v>
      </c>
      <c r="Q3602" s="13" t="s">
        <v>75</v>
      </c>
      <c r="R3602" s="13" t="s">
        <v>75</v>
      </c>
      <c r="S3602" s="13" t="s">
        <v>50</v>
      </c>
      <c r="T3602" s="44">
        <v>45727.62809924768</v>
      </c>
      <c r="U3602" s="44">
        <v>45728.35234104167</v>
      </c>
      <c r="V3602" s="44">
        <v>45734.43453128472</v>
      </c>
      <c r="W3602" s="11"/>
      <c r="X3602" s="11"/>
      <c r="Y3602" s="45"/>
      <c r="Z3602" s="45"/>
      <c r="AA3602" s="31" t="s">
        <v>94</v>
      </c>
      <c r="AB3602" s="45" t="s">
        <v>14058</v>
      </c>
      <c r="AC3602" s="45"/>
    </row>
    <row r="3603" ht="18.75" customHeight="1">
      <c r="A3603" s="142" t="s">
        <v>14059</v>
      </c>
      <c r="B3603" s="19" t="s">
        <v>5586</v>
      </c>
      <c r="C3603" s="20">
        <v>11.0</v>
      </c>
      <c r="D3603" s="48" t="s">
        <v>14060</v>
      </c>
      <c r="E3603" s="27" t="s">
        <v>112</v>
      </c>
      <c r="F3603" s="18" t="s">
        <v>48</v>
      </c>
      <c r="G3603" s="18" t="s">
        <v>35</v>
      </c>
      <c r="H3603" s="40" t="s">
        <v>35</v>
      </c>
      <c r="I3603" s="37" t="s">
        <v>36</v>
      </c>
      <c r="J3603" s="25" t="s">
        <v>49</v>
      </c>
      <c r="K3603" s="35" t="s">
        <v>14061</v>
      </c>
      <c r="L3603" s="25">
        <v>12728.0</v>
      </c>
      <c r="M3603" s="49" t="s">
        <v>73</v>
      </c>
      <c r="N3603" s="42" t="s">
        <v>143</v>
      </c>
      <c r="O3603" s="67">
        <v>45733.64737773148</v>
      </c>
      <c r="P3603" s="26" t="s">
        <v>14062</v>
      </c>
      <c r="Q3603" s="13" t="s">
        <v>75</v>
      </c>
      <c r="R3603" s="13" t="s">
        <v>75</v>
      </c>
      <c r="S3603" s="13" t="s">
        <v>50</v>
      </c>
      <c r="T3603" s="44">
        <v>45727.633817546295</v>
      </c>
      <c r="U3603" s="44">
        <v>45729.469525775465</v>
      </c>
      <c r="V3603" s="44">
        <v>45730.46131059028</v>
      </c>
      <c r="W3603" s="11"/>
      <c r="X3603" s="11"/>
      <c r="Y3603" s="45"/>
      <c r="Z3603" s="45"/>
      <c r="AA3603" s="31" t="s">
        <v>108</v>
      </c>
      <c r="AB3603" s="45" t="s">
        <v>14063</v>
      </c>
      <c r="AC3603" s="45"/>
    </row>
    <row r="3604" ht="18.75" customHeight="1">
      <c r="A3604" s="180" t="s">
        <v>14064</v>
      </c>
      <c r="B3604" s="181" t="s">
        <v>8267</v>
      </c>
      <c r="C3604" s="182">
        <v>0.0</v>
      </c>
      <c r="D3604" s="183" t="s">
        <v>14065</v>
      </c>
      <c r="E3604" s="184" t="s">
        <v>3441</v>
      </c>
      <c r="F3604" s="185" t="s">
        <v>48</v>
      </c>
      <c r="G3604" s="185" t="s">
        <v>35</v>
      </c>
      <c r="H3604" s="186" t="s">
        <v>35</v>
      </c>
      <c r="I3604" s="187" t="s">
        <v>36</v>
      </c>
      <c r="J3604" s="188" t="s">
        <v>49</v>
      </c>
      <c r="K3604" s="189" t="s">
        <v>38</v>
      </c>
      <c r="L3604" s="188">
        <v>12797.0</v>
      </c>
      <c r="M3604" s="190" t="s">
        <v>73</v>
      </c>
      <c r="N3604" s="191" t="s">
        <v>5936</v>
      </c>
      <c r="O3604" s="192">
        <v>45747.63868089121</v>
      </c>
      <c r="P3604" s="193" t="s">
        <v>14066</v>
      </c>
      <c r="Q3604" s="194" t="s">
        <v>75</v>
      </c>
      <c r="R3604" s="194" t="s">
        <v>75</v>
      </c>
      <c r="S3604" s="194" t="s">
        <v>50</v>
      </c>
      <c r="T3604" s="195">
        <v>45743.72042677083</v>
      </c>
      <c r="U3604" s="195">
        <v>45743.72042898148</v>
      </c>
      <c r="V3604" s="195">
        <v>45744.40626344907</v>
      </c>
      <c r="W3604" s="196"/>
      <c r="X3604" s="196"/>
      <c r="Y3604" s="197"/>
      <c r="Z3604" s="197"/>
      <c r="AA3604" s="31" t="s">
        <v>94</v>
      </c>
      <c r="AB3604" s="197" t="s">
        <v>14067</v>
      </c>
      <c r="AC3604" s="197"/>
    </row>
    <row r="3605" ht="18.75" customHeight="1">
      <c r="A3605" s="18" t="s">
        <v>14068</v>
      </c>
      <c r="B3605" s="19" t="s">
        <v>8426</v>
      </c>
      <c r="C3605" s="20">
        <v>0.0</v>
      </c>
      <c r="D3605" s="48" t="s">
        <v>14069</v>
      </c>
      <c r="E3605" s="22" t="s">
        <v>731</v>
      </c>
      <c r="F3605" s="18" t="s">
        <v>33</v>
      </c>
      <c r="G3605" s="18" t="s">
        <v>34</v>
      </c>
      <c r="H3605" s="40" t="s">
        <v>35</v>
      </c>
      <c r="I3605" s="37" t="s">
        <v>36</v>
      </c>
      <c r="J3605" s="25" t="s">
        <v>49</v>
      </c>
      <c r="K3605" s="26" t="s">
        <v>38</v>
      </c>
      <c r="L3605" s="25">
        <v>12763.0</v>
      </c>
      <c r="M3605" s="49" t="s">
        <v>50</v>
      </c>
      <c r="N3605" s="42" t="s">
        <v>9953</v>
      </c>
      <c r="O3605" s="67">
        <v>45740.80497414352</v>
      </c>
      <c r="P3605" s="26" t="s">
        <v>14070</v>
      </c>
      <c r="Q3605" s="13" t="s">
        <v>75</v>
      </c>
      <c r="R3605" s="13" t="s">
        <v>75</v>
      </c>
      <c r="S3605" s="13"/>
      <c r="T3605" s="44">
        <v>45727.71375195602</v>
      </c>
      <c r="U3605" s="44">
        <v>45727.72415700232</v>
      </c>
      <c r="V3605" s="13"/>
      <c r="W3605" s="11"/>
      <c r="X3605" s="11"/>
      <c r="Y3605" s="45"/>
      <c r="Z3605" s="45"/>
      <c r="AA3605" s="31" t="s">
        <v>102</v>
      </c>
      <c r="AB3605" s="45" t="s">
        <v>14071</v>
      </c>
      <c r="AC3605" s="45"/>
    </row>
    <row r="3606" ht="18.75" customHeight="1">
      <c r="A3606" s="18" t="s">
        <v>14072</v>
      </c>
      <c r="B3606" s="19" t="s">
        <v>8426</v>
      </c>
      <c r="C3606" s="20">
        <v>0.0</v>
      </c>
      <c r="D3606" s="48" t="s">
        <v>1442</v>
      </c>
      <c r="E3606" s="22" t="s">
        <v>731</v>
      </c>
      <c r="F3606" s="18" t="s">
        <v>33</v>
      </c>
      <c r="G3606" s="18" t="s">
        <v>34</v>
      </c>
      <c r="H3606" s="40" t="s">
        <v>35</v>
      </c>
      <c r="I3606" s="37" t="s">
        <v>36</v>
      </c>
      <c r="J3606" s="25" t="s">
        <v>49</v>
      </c>
      <c r="K3606" s="26" t="s">
        <v>38</v>
      </c>
      <c r="L3606" s="25">
        <v>12763.0</v>
      </c>
      <c r="M3606" s="49" t="s">
        <v>50</v>
      </c>
      <c r="N3606" s="42" t="s">
        <v>9953</v>
      </c>
      <c r="O3606" s="67">
        <v>45740.80503358797</v>
      </c>
      <c r="P3606" s="26" t="s">
        <v>14070</v>
      </c>
      <c r="Q3606" s="13" t="s">
        <v>75</v>
      </c>
      <c r="R3606" s="13" t="s">
        <v>75</v>
      </c>
      <c r="S3606" s="13"/>
      <c r="T3606" s="44">
        <v>45727.7137913426</v>
      </c>
      <c r="U3606" s="44">
        <v>45727.724221006945</v>
      </c>
      <c r="V3606" s="13"/>
      <c r="W3606" s="11"/>
      <c r="X3606" s="11"/>
      <c r="Y3606" s="45"/>
      <c r="Z3606" s="45"/>
      <c r="AA3606" s="31" t="s">
        <v>102</v>
      </c>
      <c r="AB3606" s="45" t="s">
        <v>14073</v>
      </c>
      <c r="AC3606" s="45"/>
    </row>
    <row r="3607" ht="18.75" customHeight="1">
      <c r="A3607" s="142" t="s">
        <v>14074</v>
      </c>
      <c r="B3607" s="19" t="s">
        <v>14075</v>
      </c>
      <c r="C3607" s="20">
        <v>0.0</v>
      </c>
      <c r="D3607" s="48" t="s">
        <v>14076</v>
      </c>
      <c r="E3607" s="27" t="s">
        <v>338</v>
      </c>
      <c r="F3607" s="18" t="s">
        <v>33</v>
      </c>
      <c r="G3607" s="18" t="s">
        <v>35</v>
      </c>
      <c r="H3607" s="40" t="s">
        <v>35</v>
      </c>
      <c r="I3607" s="37" t="s">
        <v>36</v>
      </c>
      <c r="J3607" s="25" t="s">
        <v>49</v>
      </c>
      <c r="K3607" s="26" t="s">
        <v>38</v>
      </c>
      <c r="L3607" s="25">
        <v>12764.0</v>
      </c>
      <c r="M3607" s="49" t="s">
        <v>73</v>
      </c>
      <c r="N3607" s="42" t="s">
        <v>9953</v>
      </c>
      <c r="O3607" s="67">
        <v>45737.71295854167</v>
      </c>
      <c r="P3607" s="26" t="s">
        <v>14077</v>
      </c>
      <c r="Q3607" s="13" t="s">
        <v>75</v>
      </c>
      <c r="R3607" s="13" t="s">
        <v>75</v>
      </c>
      <c r="S3607" s="13" t="s">
        <v>73</v>
      </c>
      <c r="T3607" s="44">
        <v>45727.656307048615</v>
      </c>
      <c r="U3607" s="44">
        <v>45729.61658665509</v>
      </c>
      <c r="V3607" s="44">
        <v>45736.372361574075</v>
      </c>
      <c r="W3607" s="11"/>
      <c r="X3607" s="11"/>
      <c r="Y3607" s="45"/>
      <c r="Z3607" s="45"/>
      <c r="AA3607" s="31" t="s">
        <v>102</v>
      </c>
      <c r="AB3607" s="45" t="s">
        <v>14078</v>
      </c>
      <c r="AC3607" s="45"/>
    </row>
    <row r="3608" ht="18.75" customHeight="1">
      <c r="A3608" s="142" t="s">
        <v>14079</v>
      </c>
      <c r="B3608" s="19" t="s">
        <v>4352</v>
      </c>
      <c r="C3608" s="20">
        <v>90.0</v>
      </c>
      <c r="D3608" s="48" t="s">
        <v>14080</v>
      </c>
      <c r="E3608" s="27" t="s">
        <v>91</v>
      </c>
      <c r="F3608" s="18" t="s">
        <v>48</v>
      </c>
      <c r="G3608" s="18" t="s">
        <v>35</v>
      </c>
      <c r="H3608" s="40" t="s">
        <v>35</v>
      </c>
      <c r="I3608" s="37" t="s">
        <v>36</v>
      </c>
      <c r="J3608" s="25" t="s">
        <v>49</v>
      </c>
      <c r="K3608" s="26" t="s">
        <v>38</v>
      </c>
      <c r="L3608" s="25">
        <v>12726.0</v>
      </c>
      <c r="M3608" s="49" t="s">
        <v>73</v>
      </c>
      <c r="N3608" s="42" t="s">
        <v>5936</v>
      </c>
      <c r="O3608" s="67">
        <v>45730.72336305556</v>
      </c>
      <c r="P3608" s="26" t="s">
        <v>14081</v>
      </c>
      <c r="Q3608" s="13" t="s">
        <v>75</v>
      </c>
      <c r="R3608" s="13" t="s">
        <v>75</v>
      </c>
      <c r="S3608" s="13" t="s">
        <v>50</v>
      </c>
      <c r="T3608" s="44">
        <v>45727.65904326389</v>
      </c>
      <c r="U3608" s="44">
        <v>45729.47546722222</v>
      </c>
      <c r="V3608" s="44">
        <v>45730.35863018519</v>
      </c>
      <c r="W3608" s="11"/>
      <c r="X3608" s="11"/>
      <c r="Y3608" s="45"/>
      <c r="Z3608" s="45"/>
      <c r="AA3608" s="31" t="s">
        <v>127</v>
      </c>
      <c r="AB3608" s="45" t="s">
        <v>14082</v>
      </c>
      <c r="AC3608" s="45"/>
    </row>
    <row r="3609" ht="18.75" customHeight="1">
      <c r="A3609" s="18" t="s">
        <v>14083</v>
      </c>
      <c r="B3609" s="19" t="s">
        <v>1345</v>
      </c>
      <c r="C3609" s="20">
        <v>0.0</v>
      </c>
      <c r="D3609" s="48" t="s">
        <v>14084</v>
      </c>
      <c r="E3609" s="27" t="s">
        <v>3441</v>
      </c>
      <c r="F3609" s="18" t="s">
        <v>48</v>
      </c>
      <c r="G3609" s="18" t="s">
        <v>35</v>
      </c>
      <c r="H3609" s="40" t="s">
        <v>35</v>
      </c>
      <c r="I3609" s="37" t="s">
        <v>36</v>
      </c>
      <c r="J3609" s="25" t="s">
        <v>420</v>
      </c>
      <c r="K3609" s="26" t="s">
        <v>38</v>
      </c>
      <c r="L3609" s="25">
        <v>12729.0</v>
      </c>
      <c r="M3609" s="49" t="s">
        <v>73</v>
      </c>
      <c r="N3609" s="42" t="s">
        <v>4031</v>
      </c>
      <c r="O3609" s="67">
        <v>45730.596542245374</v>
      </c>
      <c r="P3609" s="26" t="s">
        <v>14085</v>
      </c>
      <c r="Q3609" s="13" t="s">
        <v>75</v>
      </c>
      <c r="R3609" s="13" t="s">
        <v>75</v>
      </c>
      <c r="S3609" s="13" t="s">
        <v>50</v>
      </c>
      <c r="T3609" s="44">
        <v>45727.72825961806</v>
      </c>
      <c r="U3609" s="44">
        <v>45728.397473888894</v>
      </c>
      <c r="V3609" s="44">
        <v>45730.47387494213</v>
      </c>
      <c r="W3609" s="11"/>
      <c r="X3609" s="11"/>
      <c r="Y3609" s="45"/>
      <c r="Z3609" s="45"/>
      <c r="AA3609" s="31" t="s">
        <v>94</v>
      </c>
      <c r="AB3609" s="45" t="s">
        <v>14086</v>
      </c>
      <c r="AC3609" s="45"/>
    </row>
    <row r="3610" ht="18.75" customHeight="1">
      <c r="A3610" s="18" t="s">
        <v>14087</v>
      </c>
      <c r="B3610" s="19" t="s">
        <v>1345</v>
      </c>
      <c r="C3610" s="20">
        <v>0.0</v>
      </c>
      <c r="D3610" s="48" t="s">
        <v>14088</v>
      </c>
      <c r="E3610" s="27" t="s">
        <v>3441</v>
      </c>
      <c r="F3610" s="18" t="s">
        <v>48</v>
      </c>
      <c r="G3610" s="18" t="s">
        <v>35</v>
      </c>
      <c r="H3610" s="40" t="s">
        <v>35</v>
      </c>
      <c r="I3610" s="37" t="s">
        <v>36</v>
      </c>
      <c r="J3610" s="25" t="s">
        <v>420</v>
      </c>
      <c r="K3610" s="26" t="s">
        <v>38</v>
      </c>
      <c r="L3610" s="25">
        <v>12729.0</v>
      </c>
      <c r="M3610" s="49" t="s">
        <v>73</v>
      </c>
      <c r="N3610" s="42" t="s">
        <v>4031</v>
      </c>
      <c r="O3610" s="67">
        <v>45730.5966541088</v>
      </c>
      <c r="P3610" s="26" t="s">
        <v>14085</v>
      </c>
      <c r="Q3610" s="13" t="s">
        <v>75</v>
      </c>
      <c r="R3610" s="13" t="s">
        <v>75</v>
      </c>
      <c r="S3610" s="13" t="s">
        <v>50</v>
      </c>
      <c r="T3610" s="44">
        <v>45727.72833268519</v>
      </c>
      <c r="U3610" s="44">
        <v>45728.39750928241</v>
      </c>
      <c r="V3610" s="44">
        <v>45730.473889305555</v>
      </c>
      <c r="W3610" s="11"/>
      <c r="X3610" s="11"/>
      <c r="Y3610" s="45"/>
      <c r="Z3610" s="45"/>
      <c r="AA3610" s="31" t="s">
        <v>94</v>
      </c>
      <c r="AB3610" s="45" t="s">
        <v>14089</v>
      </c>
      <c r="AC3610" s="45"/>
    </row>
    <row r="3611" ht="18.75" customHeight="1">
      <c r="A3611" s="18" t="s">
        <v>14090</v>
      </c>
      <c r="B3611" s="19" t="s">
        <v>8743</v>
      </c>
      <c r="C3611" s="20">
        <v>0.0</v>
      </c>
      <c r="D3611" s="48" t="s">
        <v>14091</v>
      </c>
      <c r="E3611" s="27" t="s">
        <v>11957</v>
      </c>
      <c r="F3611" s="18" t="s">
        <v>48</v>
      </c>
      <c r="G3611" s="18" t="s">
        <v>35</v>
      </c>
      <c r="H3611" s="40" t="s">
        <v>35</v>
      </c>
      <c r="I3611" s="37" t="s">
        <v>36</v>
      </c>
      <c r="J3611" s="25" t="s">
        <v>92</v>
      </c>
      <c r="K3611" s="26" t="s">
        <v>38</v>
      </c>
      <c r="L3611" s="25">
        <v>12781.0</v>
      </c>
      <c r="M3611" s="49" t="s">
        <v>73</v>
      </c>
      <c r="N3611" s="42" t="s">
        <v>14092</v>
      </c>
      <c r="O3611" s="67">
        <v>45761.59286417824</v>
      </c>
      <c r="P3611" s="35" t="s">
        <v>14093</v>
      </c>
      <c r="Q3611" s="13" t="s">
        <v>75</v>
      </c>
      <c r="R3611" s="13" t="s">
        <v>75</v>
      </c>
      <c r="S3611" s="13"/>
      <c r="T3611" s="44">
        <v>45727.72948790509</v>
      </c>
      <c r="U3611" s="44">
        <v>45736.471490578704</v>
      </c>
      <c r="V3611" s="13"/>
      <c r="W3611" s="11"/>
      <c r="X3611" s="11"/>
      <c r="Y3611" s="45"/>
      <c r="Z3611" s="45"/>
      <c r="AA3611" s="31" t="s">
        <v>3059</v>
      </c>
      <c r="AB3611" s="45" t="s">
        <v>14094</v>
      </c>
      <c r="AC3611" s="45"/>
    </row>
    <row r="3612" ht="18.75" customHeight="1">
      <c r="A3612" s="18" t="s">
        <v>14095</v>
      </c>
      <c r="B3612" s="19" t="s">
        <v>8743</v>
      </c>
      <c r="C3612" s="20">
        <v>0.0</v>
      </c>
      <c r="D3612" s="48" t="s">
        <v>14096</v>
      </c>
      <c r="E3612" s="27" t="s">
        <v>135</v>
      </c>
      <c r="F3612" s="18" t="s">
        <v>48</v>
      </c>
      <c r="G3612" s="18" t="s">
        <v>35</v>
      </c>
      <c r="H3612" s="40" t="s">
        <v>35</v>
      </c>
      <c r="I3612" s="37" t="s">
        <v>36</v>
      </c>
      <c r="J3612" s="25" t="s">
        <v>92</v>
      </c>
      <c r="K3612" s="26" t="s">
        <v>38</v>
      </c>
      <c r="L3612" s="25">
        <v>12781.0</v>
      </c>
      <c r="M3612" s="49" t="s">
        <v>73</v>
      </c>
      <c r="N3612" s="42" t="s">
        <v>14092</v>
      </c>
      <c r="O3612" s="67">
        <v>45761.59294960648</v>
      </c>
      <c r="P3612" s="35" t="s">
        <v>14093</v>
      </c>
      <c r="Q3612" s="13" t="s">
        <v>75</v>
      </c>
      <c r="R3612" s="13" t="s">
        <v>75</v>
      </c>
      <c r="S3612" s="13" t="s">
        <v>101</v>
      </c>
      <c r="T3612" s="44">
        <v>45727.73038592593</v>
      </c>
      <c r="U3612" s="44">
        <v>45736.47150659723</v>
      </c>
      <c r="V3612" s="44">
        <v>45741.363163692135</v>
      </c>
      <c r="W3612" s="11"/>
      <c r="X3612" s="11"/>
      <c r="Y3612" s="45"/>
      <c r="Z3612" s="45"/>
      <c r="AA3612" s="31" t="s">
        <v>3059</v>
      </c>
      <c r="AB3612" s="45" t="s">
        <v>14097</v>
      </c>
      <c r="AC3612" s="45"/>
    </row>
    <row r="3613" ht="18.75" customHeight="1">
      <c r="A3613" s="142" t="s">
        <v>14098</v>
      </c>
      <c r="B3613" s="19" t="s">
        <v>8652</v>
      </c>
      <c r="C3613" s="20">
        <v>27.0</v>
      </c>
      <c r="D3613" s="39" t="s">
        <v>14099</v>
      </c>
      <c r="E3613" s="27" t="s">
        <v>72</v>
      </c>
      <c r="F3613" s="18" t="s">
        <v>48</v>
      </c>
      <c r="G3613" s="18" t="s">
        <v>35</v>
      </c>
      <c r="H3613" s="40" t="s">
        <v>35</v>
      </c>
      <c r="I3613" s="37" t="s">
        <v>36</v>
      </c>
      <c r="J3613" s="25" t="s">
        <v>65</v>
      </c>
      <c r="K3613" s="26" t="s">
        <v>38</v>
      </c>
      <c r="L3613" s="25">
        <v>12745.0</v>
      </c>
      <c r="M3613" s="49" t="s">
        <v>73</v>
      </c>
      <c r="N3613" s="42" t="s">
        <v>10703</v>
      </c>
      <c r="O3613" s="67">
        <v>45734.69946600695</v>
      </c>
      <c r="P3613" s="35" t="s">
        <v>14100</v>
      </c>
      <c r="Q3613" s="13" t="s">
        <v>75</v>
      </c>
      <c r="R3613" s="13" t="s">
        <v>75</v>
      </c>
      <c r="S3613" s="13" t="s">
        <v>50</v>
      </c>
      <c r="T3613" s="44">
        <v>45727.7317505324</v>
      </c>
      <c r="U3613" s="44">
        <v>45729.36322490741</v>
      </c>
      <c r="V3613" s="44">
        <v>45734.43454913194</v>
      </c>
      <c r="W3613" s="11"/>
      <c r="X3613" s="11"/>
      <c r="Y3613" s="45"/>
      <c r="Z3613" s="45"/>
      <c r="AA3613" s="31" t="s">
        <v>3059</v>
      </c>
      <c r="AB3613" s="45" t="s">
        <v>14101</v>
      </c>
      <c r="AC3613" s="45"/>
    </row>
    <row r="3614" ht="18.75" customHeight="1">
      <c r="A3614" s="142" t="s">
        <v>14102</v>
      </c>
      <c r="B3614" s="19" t="s">
        <v>8426</v>
      </c>
      <c r="C3614" s="20">
        <v>0.0</v>
      </c>
      <c r="D3614" s="48" t="s">
        <v>14103</v>
      </c>
      <c r="E3614" s="27" t="s">
        <v>165</v>
      </c>
      <c r="F3614" s="18" t="s">
        <v>33</v>
      </c>
      <c r="G3614" s="18" t="s">
        <v>35</v>
      </c>
      <c r="H3614" s="40" t="s">
        <v>35</v>
      </c>
      <c r="I3614" s="37" t="s">
        <v>36</v>
      </c>
      <c r="J3614" s="25" t="s">
        <v>49</v>
      </c>
      <c r="K3614" s="26" t="s">
        <v>38</v>
      </c>
      <c r="L3614" s="25">
        <v>12724.0</v>
      </c>
      <c r="M3614" s="49" t="s">
        <v>73</v>
      </c>
      <c r="N3614" s="42" t="s">
        <v>5936</v>
      </c>
      <c r="O3614" s="67">
        <v>45730.723482546295</v>
      </c>
      <c r="P3614" s="26" t="s">
        <v>14104</v>
      </c>
      <c r="Q3614" s="13" t="s">
        <v>75</v>
      </c>
      <c r="R3614" s="13" t="s">
        <v>75</v>
      </c>
      <c r="S3614" s="13" t="s">
        <v>50</v>
      </c>
      <c r="T3614" s="44">
        <v>45728.42739722222</v>
      </c>
      <c r="U3614" s="44">
        <v>45728.61242658565</v>
      </c>
      <c r="V3614" s="44">
        <v>45730.3470212963</v>
      </c>
      <c r="W3614" s="11"/>
      <c r="X3614" s="11"/>
      <c r="Y3614" s="45"/>
      <c r="Z3614" s="45"/>
      <c r="AA3614" s="31" t="s">
        <v>102</v>
      </c>
      <c r="AB3614" s="45" t="s">
        <v>14105</v>
      </c>
      <c r="AC3614" s="45"/>
    </row>
    <row r="3615" ht="18.75" customHeight="1">
      <c r="A3615" s="142" t="s">
        <v>14106</v>
      </c>
      <c r="B3615" s="19" t="s">
        <v>8893</v>
      </c>
      <c r="C3615" s="20">
        <v>0.0</v>
      </c>
      <c r="D3615" s="48" t="s">
        <v>14107</v>
      </c>
      <c r="E3615" s="27" t="s">
        <v>3441</v>
      </c>
      <c r="F3615" s="18" t="s">
        <v>48</v>
      </c>
      <c r="G3615" s="18" t="s">
        <v>35</v>
      </c>
      <c r="H3615" s="40" t="s">
        <v>35</v>
      </c>
      <c r="I3615" s="37" t="s">
        <v>36</v>
      </c>
      <c r="J3615" s="25" t="s">
        <v>49</v>
      </c>
      <c r="K3615" s="26" t="s">
        <v>38</v>
      </c>
      <c r="L3615" s="25">
        <v>12731.0</v>
      </c>
      <c r="M3615" s="49" t="s">
        <v>73</v>
      </c>
      <c r="N3615" s="42" t="s">
        <v>5936</v>
      </c>
      <c r="O3615" s="67">
        <v>45730.72360087963</v>
      </c>
      <c r="P3615" s="26" t="s">
        <v>14108</v>
      </c>
      <c r="Q3615" s="13" t="s">
        <v>75</v>
      </c>
      <c r="R3615" s="13" t="s">
        <v>75</v>
      </c>
      <c r="S3615" s="13" t="s">
        <v>50</v>
      </c>
      <c r="T3615" s="44">
        <v>45728.4287058912</v>
      </c>
      <c r="U3615" s="44">
        <v>45728.61265914352</v>
      </c>
      <c r="V3615" s="44">
        <v>45730.48013405093</v>
      </c>
      <c r="W3615" s="11"/>
      <c r="X3615" s="11"/>
      <c r="Y3615" s="45"/>
      <c r="Z3615" s="45"/>
      <c r="AA3615" s="31" t="s">
        <v>5199</v>
      </c>
      <c r="AB3615" s="45" t="s">
        <v>14109</v>
      </c>
      <c r="AC3615" s="45"/>
    </row>
    <row r="3616" ht="18.75" customHeight="1">
      <c r="A3616" s="142" t="s">
        <v>14110</v>
      </c>
      <c r="B3616" s="19" t="s">
        <v>4352</v>
      </c>
      <c r="C3616" s="20">
        <v>11.0</v>
      </c>
      <c r="D3616" s="48" t="s">
        <v>14111</v>
      </c>
      <c r="E3616" s="27" t="s">
        <v>112</v>
      </c>
      <c r="F3616" s="18" t="s">
        <v>48</v>
      </c>
      <c r="G3616" s="18" t="s">
        <v>35</v>
      </c>
      <c r="H3616" s="40" t="s">
        <v>35</v>
      </c>
      <c r="I3616" s="37" t="s">
        <v>36</v>
      </c>
      <c r="J3616" s="25" t="s">
        <v>49</v>
      </c>
      <c r="K3616" s="26" t="s">
        <v>38</v>
      </c>
      <c r="L3616" s="25">
        <v>12751.0</v>
      </c>
      <c r="M3616" s="49" t="s">
        <v>73</v>
      </c>
      <c r="N3616" s="42" t="s">
        <v>5936</v>
      </c>
      <c r="O3616" s="67">
        <v>45734.683370706014</v>
      </c>
      <c r="P3616" s="26" t="s">
        <v>14112</v>
      </c>
      <c r="Q3616" s="13" t="s">
        <v>75</v>
      </c>
      <c r="R3616" s="13" t="s">
        <v>75</v>
      </c>
      <c r="S3616" s="13" t="s">
        <v>50</v>
      </c>
      <c r="T3616" s="44">
        <v>45728.43091385417</v>
      </c>
      <c r="U3616" s="44">
        <v>45729.372203217594</v>
      </c>
      <c r="V3616" s="44">
        <v>45734.45242290509</v>
      </c>
      <c r="W3616" s="11"/>
      <c r="X3616" s="11"/>
      <c r="Y3616" s="45"/>
      <c r="Z3616" s="45"/>
      <c r="AA3616" s="31" t="s">
        <v>127</v>
      </c>
      <c r="AB3616" s="45" t="s">
        <v>14113</v>
      </c>
      <c r="AC3616" s="45"/>
    </row>
    <row r="3617" ht="18.75" customHeight="1">
      <c r="A3617" s="142" t="s">
        <v>14114</v>
      </c>
      <c r="B3617" s="19" t="s">
        <v>3289</v>
      </c>
      <c r="C3617" s="20">
        <v>27.0</v>
      </c>
      <c r="D3617" s="39" t="s">
        <v>14115</v>
      </c>
      <c r="E3617" s="27" t="s">
        <v>72</v>
      </c>
      <c r="F3617" s="18" t="s">
        <v>48</v>
      </c>
      <c r="G3617" s="18" t="s">
        <v>35</v>
      </c>
      <c r="H3617" s="40" t="s">
        <v>35</v>
      </c>
      <c r="I3617" s="37" t="s">
        <v>36</v>
      </c>
      <c r="J3617" s="25" t="s">
        <v>92</v>
      </c>
      <c r="K3617" s="26" t="s">
        <v>38</v>
      </c>
      <c r="L3617" s="25">
        <v>12746.0</v>
      </c>
      <c r="M3617" s="49" t="s">
        <v>73</v>
      </c>
      <c r="N3617" s="42" t="s">
        <v>14029</v>
      </c>
      <c r="O3617" s="67">
        <v>45737.4770684838</v>
      </c>
      <c r="P3617" s="26" t="s">
        <v>14116</v>
      </c>
      <c r="Q3617" s="13" t="s">
        <v>75</v>
      </c>
      <c r="R3617" s="13" t="s">
        <v>75</v>
      </c>
      <c r="S3617" s="13" t="s">
        <v>50</v>
      </c>
      <c r="T3617" s="44">
        <v>45728.43225547454</v>
      </c>
      <c r="U3617" s="44">
        <v>45728.49523635417</v>
      </c>
      <c r="V3617" s="44">
        <v>45734.43454054398</v>
      </c>
      <c r="W3617" s="11"/>
      <c r="X3617" s="11"/>
      <c r="Y3617" s="45"/>
      <c r="Z3617" s="45"/>
      <c r="AA3617" s="31" t="s">
        <v>120</v>
      </c>
      <c r="AB3617" s="45" t="s">
        <v>14117</v>
      </c>
      <c r="AC3617" s="45"/>
    </row>
    <row r="3618" ht="18.75" customHeight="1">
      <c r="A3618" s="142" t="s">
        <v>14118</v>
      </c>
      <c r="B3618" s="19" t="s">
        <v>4035</v>
      </c>
      <c r="C3618" s="20">
        <v>0.0</v>
      </c>
      <c r="D3618" s="48" t="s">
        <v>14119</v>
      </c>
      <c r="E3618" s="22" t="s">
        <v>32</v>
      </c>
      <c r="F3618" s="18" t="s">
        <v>33</v>
      </c>
      <c r="G3618" s="18" t="s">
        <v>35</v>
      </c>
      <c r="H3618" s="40" t="s">
        <v>35</v>
      </c>
      <c r="I3618" s="37" t="s">
        <v>36</v>
      </c>
      <c r="J3618" s="25" t="s">
        <v>65</v>
      </c>
      <c r="K3618" s="26" t="s">
        <v>38</v>
      </c>
      <c r="L3618" s="25">
        <v>12723.0</v>
      </c>
      <c r="M3618" s="49" t="s">
        <v>73</v>
      </c>
      <c r="N3618" s="42" t="s">
        <v>149</v>
      </c>
      <c r="O3618" s="67">
        <v>45730.63869179398</v>
      </c>
      <c r="P3618" s="26" t="s">
        <v>14120</v>
      </c>
      <c r="Q3618" s="13" t="s">
        <v>75</v>
      </c>
      <c r="R3618" s="13" t="s">
        <v>75</v>
      </c>
      <c r="S3618" s="13" t="s">
        <v>6028</v>
      </c>
      <c r="T3618" s="44">
        <v>45728.43418277778</v>
      </c>
      <c r="U3618" s="44">
        <v>45728.6052266551</v>
      </c>
      <c r="V3618" s="44">
        <v>45730.34430884259</v>
      </c>
      <c r="W3618" s="11"/>
      <c r="X3618" s="11"/>
      <c r="Y3618" s="45"/>
      <c r="Z3618" s="45"/>
      <c r="AA3618" s="31" t="s">
        <v>94</v>
      </c>
      <c r="AB3618" s="45" t="s">
        <v>14121</v>
      </c>
      <c r="AC3618" s="45"/>
    </row>
    <row r="3619" ht="18.75" customHeight="1">
      <c r="A3619" s="18" t="s">
        <v>14122</v>
      </c>
      <c r="B3619" s="19" t="s">
        <v>6847</v>
      </c>
      <c r="C3619" s="20">
        <v>0.0</v>
      </c>
      <c r="D3619" s="48" t="s">
        <v>14123</v>
      </c>
      <c r="E3619" s="27" t="s">
        <v>135</v>
      </c>
      <c r="F3619" s="18" t="s">
        <v>48</v>
      </c>
      <c r="G3619" s="18" t="s">
        <v>35</v>
      </c>
      <c r="H3619" s="40" t="s">
        <v>35</v>
      </c>
      <c r="I3619" s="37" t="s">
        <v>36</v>
      </c>
      <c r="J3619" s="25" t="s">
        <v>49</v>
      </c>
      <c r="K3619" s="26" t="s">
        <v>9962</v>
      </c>
      <c r="L3619" s="25">
        <v>12719.0</v>
      </c>
      <c r="M3619" s="49" t="s">
        <v>73</v>
      </c>
      <c r="N3619" s="42" t="s">
        <v>9953</v>
      </c>
      <c r="O3619" s="67">
        <v>45729.3625</v>
      </c>
      <c r="P3619" s="35" t="s">
        <v>14124</v>
      </c>
      <c r="Q3619" s="13" t="s">
        <v>75</v>
      </c>
      <c r="R3619" s="13" t="s">
        <v>75</v>
      </c>
      <c r="S3619" s="13"/>
      <c r="T3619" s="44">
        <v>45728.666834398144</v>
      </c>
      <c r="U3619" s="44">
        <v>45728.666994756946</v>
      </c>
      <c r="V3619" s="13"/>
      <c r="W3619" s="11"/>
      <c r="X3619" s="11"/>
      <c r="Y3619" s="45"/>
      <c r="Z3619" s="45"/>
      <c r="AA3619" s="31" t="s">
        <v>127</v>
      </c>
      <c r="AB3619" s="45" t="s">
        <v>14125</v>
      </c>
      <c r="AC3619" s="45"/>
    </row>
    <row r="3620" ht="18.75" customHeight="1">
      <c r="A3620" s="18" t="s">
        <v>14126</v>
      </c>
      <c r="B3620" s="19" t="s">
        <v>6847</v>
      </c>
      <c r="C3620" s="20">
        <v>0.0</v>
      </c>
      <c r="D3620" s="48" t="s">
        <v>14127</v>
      </c>
      <c r="E3620" s="27" t="s">
        <v>135</v>
      </c>
      <c r="F3620" s="18" t="s">
        <v>48</v>
      </c>
      <c r="G3620" s="18" t="s">
        <v>35</v>
      </c>
      <c r="H3620" s="40" t="s">
        <v>35</v>
      </c>
      <c r="I3620" s="37" t="s">
        <v>36</v>
      </c>
      <c r="J3620" s="25" t="s">
        <v>49</v>
      </c>
      <c r="K3620" s="26" t="s">
        <v>9962</v>
      </c>
      <c r="L3620" s="25">
        <v>12719.0</v>
      </c>
      <c r="M3620" s="49" t="s">
        <v>73</v>
      </c>
      <c r="N3620" s="42" t="s">
        <v>9953</v>
      </c>
      <c r="O3620" s="67">
        <v>45729.69583333333</v>
      </c>
      <c r="P3620" s="35" t="s">
        <v>14124</v>
      </c>
      <c r="Q3620" s="13" t="s">
        <v>75</v>
      </c>
      <c r="R3620" s="13" t="s">
        <v>75</v>
      </c>
      <c r="S3620" s="13" t="s">
        <v>50</v>
      </c>
      <c r="T3620" s="44">
        <v>45728.666969212965</v>
      </c>
      <c r="U3620" s="44">
        <v>45728.66700290509</v>
      </c>
      <c r="V3620" s="44">
        <v>45729.484820196754</v>
      </c>
      <c r="W3620" s="11"/>
      <c r="X3620" s="11"/>
      <c r="Y3620" s="45"/>
      <c r="Z3620" s="45"/>
      <c r="AA3620" s="31" t="s">
        <v>127</v>
      </c>
      <c r="AB3620" s="45" t="s">
        <v>14128</v>
      </c>
      <c r="AC3620" s="45"/>
    </row>
    <row r="3621" ht="18.75" customHeight="1">
      <c r="A3621" s="18" t="s">
        <v>14129</v>
      </c>
      <c r="B3621" s="19" t="s">
        <v>6847</v>
      </c>
      <c r="C3621" s="20">
        <v>1.0</v>
      </c>
      <c r="D3621" s="48" t="s">
        <v>14130</v>
      </c>
      <c r="E3621" s="27" t="s">
        <v>155</v>
      </c>
      <c r="F3621" s="18" t="s">
        <v>48</v>
      </c>
      <c r="G3621" s="18" t="s">
        <v>35</v>
      </c>
      <c r="H3621" s="40" t="s">
        <v>35</v>
      </c>
      <c r="I3621" s="37" t="s">
        <v>36</v>
      </c>
      <c r="J3621" s="25" t="s">
        <v>49</v>
      </c>
      <c r="K3621" s="26" t="s">
        <v>9962</v>
      </c>
      <c r="L3621" s="25">
        <v>12719.0</v>
      </c>
      <c r="M3621" s="49" t="s">
        <v>73</v>
      </c>
      <c r="N3621" s="42" t="s">
        <v>9953</v>
      </c>
      <c r="O3621" s="67">
        <v>45729.69583333333</v>
      </c>
      <c r="P3621" s="35" t="s">
        <v>14124</v>
      </c>
      <c r="Q3621" s="13" t="s">
        <v>75</v>
      </c>
      <c r="R3621" s="13" t="s">
        <v>75</v>
      </c>
      <c r="S3621" s="13"/>
      <c r="T3621" s="44">
        <v>45728.66675358797</v>
      </c>
      <c r="U3621" s="44">
        <v>45728.66697111111</v>
      </c>
      <c r="V3621" s="13"/>
      <c r="W3621" s="11"/>
      <c r="X3621" s="11"/>
      <c r="Y3621" s="45"/>
      <c r="Z3621" s="45"/>
      <c r="AA3621" s="31" t="s">
        <v>127</v>
      </c>
      <c r="AB3621" s="45" t="s">
        <v>14131</v>
      </c>
      <c r="AC3621" s="45"/>
    </row>
    <row r="3622" ht="18.75" customHeight="1">
      <c r="A3622" s="18" t="s">
        <v>14132</v>
      </c>
      <c r="B3622" s="19" t="s">
        <v>6847</v>
      </c>
      <c r="C3622" s="20">
        <v>1.0</v>
      </c>
      <c r="D3622" s="48" t="s">
        <v>14133</v>
      </c>
      <c r="E3622" s="27" t="s">
        <v>155</v>
      </c>
      <c r="F3622" s="18" t="s">
        <v>48</v>
      </c>
      <c r="G3622" s="18" t="s">
        <v>35</v>
      </c>
      <c r="H3622" s="40" t="s">
        <v>35</v>
      </c>
      <c r="I3622" s="37" t="s">
        <v>36</v>
      </c>
      <c r="J3622" s="25" t="s">
        <v>49</v>
      </c>
      <c r="K3622" s="26" t="s">
        <v>9962</v>
      </c>
      <c r="L3622" s="25">
        <v>12719.0</v>
      </c>
      <c r="M3622" s="49" t="s">
        <v>73</v>
      </c>
      <c r="N3622" s="42" t="s">
        <v>9953</v>
      </c>
      <c r="O3622" s="67">
        <v>45729.69583333333</v>
      </c>
      <c r="P3622" s="35" t="s">
        <v>14124</v>
      </c>
      <c r="Q3622" s="13" t="s">
        <v>75</v>
      </c>
      <c r="R3622" s="13" t="s">
        <v>75</v>
      </c>
      <c r="S3622" s="13"/>
      <c r="T3622" s="44">
        <v>45728.6669062037</v>
      </c>
      <c r="U3622" s="44">
        <v>45728.666996354164</v>
      </c>
      <c r="V3622" s="13"/>
      <c r="W3622" s="11"/>
      <c r="X3622" s="11"/>
      <c r="Y3622" s="45"/>
      <c r="Z3622" s="45"/>
      <c r="AA3622" s="31" t="s">
        <v>127</v>
      </c>
      <c r="AB3622" s="45" t="s">
        <v>14134</v>
      </c>
      <c r="AC3622" s="45"/>
    </row>
    <row r="3623" ht="18.75" customHeight="1">
      <c r="A3623" s="142" t="s">
        <v>14135</v>
      </c>
      <c r="B3623" s="19" t="s">
        <v>14136</v>
      </c>
      <c r="C3623" s="20">
        <v>0.0</v>
      </c>
      <c r="D3623" s="48" t="s">
        <v>1446</v>
      </c>
      <c r="E3623" s="27" t="s">
        <v>701</v>
      </c>
      <c r="F3623" s="18" t="s">
        <v>33</v>
      </c>
      <c r="G3623" s="18" t="s">
        <v>35</v>
      </c>
      <c r="H3623" s="40" t="s">
        <v>35</v>
      </c>
      <c r="I3623" s="37" t="s">
        <v>36</v>
      </c>
      <c r="J3623" s="25" t="s">
        <v>49</v>
      </c>
      <c r="K3623" s="26" t="s">
        <v>38</v>
      </c>
      <c r="L3623" s="25">
        <v>12765.0</v>
      </c>
      <c r="M3623" s="49" t="s">
        <v>73</v>
      </c>
      <c r="N3623" s="42" t="s">
        <v>9953</v>
      </c>
      <c r="O3623" s="67">
        <v>45737.713176481484</v>
      </c>
      <c r="P3623" s="26" t="s">
        <v>14137</v>
      </c>
      <c r="Q3623" s="13" t="s">
        <v>75</v>
      </c>
      <c r="R3623" s="13" t="s">
        <v>75</v>
      </c>
      <c r="S3623" s="13" t="s">
        <v>73</v>
      </c>
      <c r="T3623" s="44">
        <v>45728.44036133101</v>
      </c>
      <c r="U3623" s="44">
        <v>45728.49500409722</v>
      </c>
      <c r="V3623" s="44">
        <v>45736.372274849535</v>
      </c>
      <c r="W3623" s="11"/>
      <c r="X3623" s="11"/>
      <c r="Y3623" s="45"/>
      <c r="Z3623" s="45"/>
      <c r="AA3623" s="31" t="s">
        <v>108</v>
      </c>
      <c r="AB3623" s="45" t="s">
        <v>14138</v>
      </c>
      <c r="AC3623" s="45"/>
    </row>
    <row r="3624" ht="18.75" customHeight="1">
      <c r="A3624" s="142" t="s">
        <v>14139</v>
      </c>
      <c r="B3624" s="19" t="s">
        <v>802</v>
      </c>
      <c r="C3624" s="20">
        <v>34.0</v>
      </c>
      <c r="D3624" s="48" t="s">
        <v>14140</v>
      </c>
      <c r="E3624" s="27" t="s">
        <v>47</v>
      </c>
      <c r="F3624" s="18" t="s">
        <v>48</v>
      </c>
      <c r="G3624" s="18" t="s">
        <v>35</v>
      </c>
      <c r="H3624" s="40" t="s">
        <v>35</v>
      </c>
      <c r="I3624" s="37" t="s">
        <v>36</v>
      </c>
      <c r="J3624" s="25" t="s">
        <v>49</v>
      </c>
      <c r="K3624" s="26" t="s">
        <v>805</v>
      </c>
      <c r="L3624" s="25">
        <v>12755.0</v>
      </c>
      <c r="M3624" s="49" t="s">
        <v>73</v>
      </c>
      <c r="N3624" s="42" t="s">
        <v>5936</v>
      </c>
      <c r="O3624" s="67">
        <v>45734.683434085644</v>
      </c>
      <c r="P3624" s="26" t="s">
        <v>14141</v>
      </c>
      <c r="Q3624" s="13" t="s">
        <v>75</v>
      </c>
      <c r="R3624" s="13" t="s">
        <v>75</v>
      </c>
      <c r="S3624" s="13" t="s">
        <v>50</v>
      </c>
      <c r="T3624" s="44">
        <v>45730.358408796295</v>
      </c>
      <c r="U3624" s="44">
        <v>45730.358410891204</v>
      </c>
      <c r="V3624" s="44">
        <v>45734.466079791666</v>
      </c>
      <c r="W3624" s="11"/>
      <c r="X3624" s="11"/>
      <c r="Y3624" s="45"/>
      <c r="Z3624" s="45"/>
      <c r="AA3624" s="31" t="s">
        <v>3385</v>
      </c>
      <c r="AB3624" s="45" t="s">
        <v>14142</v>
      </c>
      <c r="AC3624" s="45"/>
    </row>
    <row r="3625" ht="18.75" customHeight="1">
      <c r="A3625" s="18" t="s">
        <v>14143</v>
      </c>
      <c r="B3625" s="19" t="s">
        <v>3645</v>
      </c>
      <c r="C3625" s="20">
        <v>1.0</v>
      </c>
      <c r="D3625" s="48" t="s">
        <v>14144</v>
      </c>
      <c r="E3625" s="27" t="s">
        <v>3395</v>
      </c>
      <c r="F3625" s="18" t="s">
        <v>48</v>
      </c>
      <c r="G3625" s="18" t="s">
        <v>35</v>
      </c>
      <c r="H3625" s="40" t="s">
        <v>35</v>
      </c>
      <c r="I3625" s="37" t="s">
        <v>36</v>
      </c>
      <c r="J3625" s="25" t="s">
        <v>49</v>
      </c>
      <c r="K3625" s="26" t="s">
        <v>38</v>
      </c>
      <c r="L3625" s="25">
        <v>12766.0</v>
      </c>
      <c r="M3625" s="49" t="s">
        <v>50</v>
      </c>
      <c r="N3625" s="42" t="s">
        <v>9953</v>
      </c>
      <c r="O3625" s="67">
        <v>45740.80530798611</v>
      </c>
      <c r="P3625" s="26" t="s">
        <v>14145</v>
      </c>
      <c r="Q3625" s="13" t="s">
        <v>75</v>
      </c>
      <c r="R3625" s="13" t="s">
        <v>75</v>
      </c>
      <c r="S3625" s="13" t="s">
        <v>50</v>
      </c>
      <c r="T3625" s="44">
        <v>45729.47886638889</v>
      </c>
      <c r="U3625" s="44">
        <v>45736.39251041667</v>
      </c>
      <c r="V3625" s="44">
        <v>45736.589250046294</v>
      </c>
      <c r="W3625" s="11"/>
      <c r="X3625" s="11"/>
      <c r="Y3625" s="45"/>
      <c r="Z3625" s="45"/>
      <c r="AA3625" s="31" t="s">
        <v>127</v>
      </c>
      <c r="AB3625" s="45" t="s">
        <v>14146</v>
      </c>
      <c r="AC3625" s="45"/>
    </row>
    <row r="3626" ht="18.75" customHeight="1">
      <c r="A3626" s="18" t="s">
        <v>14147</v>
      </c>
      <c r="B3626" s="19" t="s">
        <v>3645</v>
      </c>
      <c r="C3626" s="20">
        <v>1.0</v>
      </c>
      <c r="D3626" s="48" t="s">
        <v>14148</v>
      </c>
      <c r="E3626" s="27" t="s">
        <v>3395</v>
      </c>
      <c r="F3626" s="18" t="s">
        <v>48</v>
      </c>
      <c r="G3626" s="18" t="s">
        <v>35</v>
      </c>
      <c r="H3626" s="40" t="s">
        <v>35</v>
      </c>
      <c r="I3626" s="37" t="s">
        <v>36</v>
      </c>
      <c r="J3626" s="25" t="s">
        <v>49</v>
      </c>
      <c r="K3626" s="26" t="s">
        <v>38</v>
      </c>
      <c r="L3626" s="25">
        <v>12766.0</v>
      </c>
      <c r="M3626" s="49" t="s">
        <v>50</v>
      </c>
      <c r="N3626" s="42" t="s">
        <v>9953</v>
      </c>
      <c r="O3626" s="67">
        <v>45740.805096400465</v>
      </c>
      <c r="P3626" s="26" t="s">
        <v>14145</v>
      </c>
      <c r="Q3626" s="13" t="s">
        <v>75</v>
      </c>
      <c r="R3626" s="13" t="s">
        <v>75</v>
      </c>
      <c r="S3626" s="13" t="s">
        <v>50</v>
      </c>
      <c r="T3626" s="44">
        <v>45729.47895326389</v>
      </c>
      <c r="U3626" s="44">
        <v>45736.39239862269</v>
      </c>
      <c r="V3626" s="44">
        <v>45736.589224166666</v>
      </c>
      <c r="W3626" s="11"/>
      <c r="X3626" s="11"/>
      <c r="Y3626" s="45"/>
      <c r="Z3626" s="45"/>
      <c r="AA3626" s="31" t="s">
        <v>127</v>
      </c>
      <c r="AB3626" s="45" t="s">
        <v>14149</v>
      </c>
      <c r="AC3626" s="45"/>
    </row>
    <row r="3627" ht="18.75" customHeight="1">
      <c r="A3627" s="18" t="s">
        <v>14150</v>
      </c>
      <c r="B3627" s="19" t="s">
        <v>3645</v>
      </c>
      <c r="C3627" s="20">
        <v>90.0</v>
      </c>
      <c r="D3627" s="48" t="s">
        <v>14151</v>
      </c>
      <c r="E3627" s="27" t="s">
        <v>91</v>
      </c>
      <c r="F3627" s="18" t="s">
        <v>48</v>
      </c>
      <c r="G3627" s="18" t="s">
        <v>35</v>
      </c>
      <c r="H3627" s="40" t="s">
        <v>35</v>
      </c>
      <c r="I3627" s="37" t="s">
        <v>36</v>
      </c>
      <c r="J3627" s="25" t="s">
        <v>49</v>
      </c>
      <c r="K3627" s="26" t="s">
        <v>38</v>
      </c>
      <c r="L3627" s="25">
        <v>12766.0</v>
      </c>
      <c r="M3627" s="49" t="s">
        <v>50</v>
      </c>
      <c r="N3627" s="42" t="s">
        <v>9953</v>
      </c>
      <c r="O3627" s="67">
        <v>45740.80524922453</v>
      </c>
      <c r="P3627" s="26" t="s">
        <v>14145</v>
      </c>
      <c r="Q3627" s="13" t="s">
        <v>75</v>
      </c>
      <c r="R3627" s="13" t="s">
        <v>75</v>
      </c>
      <c r="S3627" s="13" t="s">
        <v>50</v>
      </c>
      <c r="T3627" s="44">
        <v>45729.47918197917</v>
      </c>
      <c r="U3627" s="44">
        <v>45736.392503738425</v>
      </c>
      <c r="V3627" s="44">
        <v>45736.589242222224</v>
      </c>
      <c r="W3627" s="11"/>
      <c r="X3627" s="11"/>
      <c r="Y3627" s="45"/>
      <c r="Z3627" s="45"/>
      <c r="AA3627" s="31" t="s">
        <v>127</v>
      </c>
      <c r="AB3627" s="45" t="s">
        <v>14152</v>
      </c>
      <c r="AC3627" s="45"/>
    </row>
    <row r="3628" ht="18.75" customHeight="1">
      <c r="A3628" s="18" t="s">
        <v>14153</v>
      </c>
      <c r="B3628" s="19" t="s">
        <v>3645</v>
      </c>
      <c r="C3628" s="20">
        <v>90.0</v>
      </c>
      <c r="D3628" s="48" t="s">
        <v>14154</v>
      </c>
      <c r="E3628" s="27" t="s">
        <v>91</v>
      </c>
      <c r="F3628" s="18" t="s">
        <v>48</v>
      </c>
      <c r="G3628" s="18" t="s">
        <v>35</v>
      </c>
      <c r="H3628" s="40" t="s">
        <v>35</v>
      </c>
      <c r="I3628" s="37" t="s">
        <v>36</v>
      </c>
      <c r="J3628" s="25" t="s">
        <v>49</v>
      </c>
      <c r="K3628" s="26" t="s">
        <v>38</v>
      </c>
      <c r="L3628" s="25">
        <v>12766.0</v>
      </c>
      <c r="M3628" s="49" t="s">
        <v>50</v>
      </c>
      <c r="N3628" s="42" t="s">
        <v>9953</v>
      </c>
      <c r="O3628" s="67">
        <v>45740.80516233796</v>
      </c>
      <c r="P3628" s="26" t="s">
        <v>14145</v>
      </c>
      <c r="Q3628" s="13" t="s">
        <v>75</v>
      </c>
      <c r="R3628" s="13" t="s">
        <v>75</v>
      </c>
      <c r="S3628" s="13" t="s">
        <v>50</v>
      </c>
      <c r="T3628" s="44">
        <v>45729.479292916665</v>
      </c>
      <c r="U3628" s="44">
        <v>45736.39250209491</v>
      </c>
      <c r="V3628" s="44">
        <v>45736.589234432875</v>
      </c>
      <c r="W3628" s="11"/>
      <c r="X3628" s="11"/>
      <c r="Y3628" s="45"/>
      <c r="Z3628" s="45"/>
      <c r="AA3628" s="31" t="s">
        <v>127</v>
      </c>
      <c r="AB3628" s="45" t="s">
        <v>14155</v>
      </c>
      <c r="AC3628" s="45"/>
    </row>
    <row r="3629" ht="18.75" customHeight="1">
      <c r="A3629" s="142" t="s">
        <v>14156</v>
      </c>
      <c r="B3629" s="19" t="s">
        <v>2138</v>
      </c>
      <c r="C3629" s="20">
        <v>0.0</v>
      </c>
      <c r="D3629" s="48" t="s">
        <v>14157</v>
      </c>
      <c r="E3629" s="27" t="s">
        <v>3441</v>
      </c>
      <c r="F3629" s="18" t="s">
        <v>48</v>
      </c>
      <c r="G3629" s="18" t="s">
        <v>35</v>
      </c>
      <c r="H3629" s="40" t="s">
        <v>35</v>
      </c>
      <c r="I3629" s="37" t="s">
        <v>36</v>
      </c>
      <c r="J3629" s="25" t="s">
        <v>65</v>
      </c>
      <c r="K3629" s="26" t="s">
        <v>38</v>
      </c>
      <c r="L3629" s="25">
        <v>12752.0</v>
      </c>
      <c r="M3629" s="49" t="s">
        <v>73</v>
      </c>
      <c r="N3629" s="42" t="s">
        <v>10703</v>
      </c>
      <c r="O3629" s="67">
        <v>45734.7001283912</v>
      </c>
      <c r="P3629" s="26" t="s">
        <v>14158</v>
      </c>
      <c r="Q3629" s="13" t="s">
        <v>75</v>
      </c>
      <c r="R3629" s="13" t="s">
        <v>75</v>
      </c>
      <c r="S3629" s="13" t="s">
        <v>50</v>
      </c>
      <c r="T3629" s="44">
        <v>45729.48006792824</v>
      </c>
      <c r="U3629" s="44">
        <v>45730.711461053244</v>
      </c>
      <c r="V3629" s="44">
        <v>45734.454897812495</v>
      </c>
      <c r="W3629" s="11"/>
      <c r="X3629" s="11"/>
      <c r="Y3629" s="45"/>
      <c r="Z3629" s="45"/>
      <c r="AA3629" s="31" t="s">
        <v>94</v>
      </c>
      <c r="AB3629" s="45" t="s">
        <v>14159</v>
      </c>
      <c r="AC3629" s="45"/>
    </row>
    <row r="3630" ht="18.75" customHeight="1">
      <c r="A3630" s="142" t="s">
        <v>14160</v>
      </c>
      <c r="B3630" s="19" t="s">
        <v>14161</v>
      </c>
      <c r="C3630" s="20">
        <v>0.0</v>
      </c>
      <c r="D3630" s="48" t="s">
        <v>14162</v>
      </c>
      <c r="E3630" s="27" t="s">
        <v>3441</v>
      </c>
      <c r="F3630" s="18" t="s">
        <v>48</v>
      </c>
      <c r="G3630" s="18" t="s">
        <v>35</v>
      </c>
      <c r="H3630" s="40" t="s">
        <v>35</v>
      </c>
      <c r="I3630" s="37" t="s">
        <v>36</v>
      </c>
      <c r="J3630" s="25" t="s">
        <v>65</v>
      </c>
      <c r="K3630" s="26" t="s">
        <v>38</v>
      </c>
      <c r="L3630" s="25">
        <v>12732.0</v>
      </c>
      <c r="M3630" s="49" t="s">
        <v>73</v>
      </c>
      <c r="N3630" s="42" t="s">
        <v>149</v>
      </c>
      <c r="O3630" s="67">
        <v>45730.63884126158</v>
      </c>
      <c r="P3630" s="35" t="s">
        <v>14163</v>
      </c>
      <c r="Q3630" s="13" t="s">
        <v>75</v>
      </c>
      <c r="R3630" s="13" t="s">
        <v>75</v>
      </c>
      <c r="S3630" s="13" t="s">
        <v>50</v>
      </c>
      <c r="T3630" s="44">
        <v>45729.48110957176</v>
      </c>
      <c r="U3630" s="44">
        <v>45730.359288368054</v>
      </c>
      <c r="V3630" s="44">
        <v>45730.49455736111</v>
      </c>
      <c r="W3630" s="11"/>
      <c r="X3630" s="11"/>
      <c r="Y3630" s="45"/>
      <c r="Z3630" s="45"/>
      <c r="AA3630" s="31" t="s">
        <v>3059</v>
      </c>
      <c r="AB3630" s="45" t="s">
        <v>14164</v>
      </c>
      <c r="AC3630" s="45"/>
    </row>
    <row r="3631" ht="18.75" customHeight="1">
      <c r="A3631" s="142" t="s">
        <v>14165</v>
      </c>
      <c r="B3631" s="19" t="s">
        <v>14166</v>
      </c>
      <c r="C3631" s="20">
        <v>1.0</v>
      </c>
      <c r="D3631" s="48" t="s">
        <v>14167</v>
      </c>
      <c r="E3631" s="27" t="s">
        <v>3395</v>
      </c>
      <c r="F3631" s="18" t="s">
        <v>48</v>
      </c>
      <c r="G3631" s="18" t="s">
        <v>35</v>
      </c>
      <c r="H3631" s="40" t="s">
        <v>35</v>
      </c>
      <c r="I3631" s="37" t="s">
        <v>36</v>
      </c>
      <c r="J3631" s="25" t="s">
        <v>49</v>
      </c>
      <c r="K3631" s="26" t="s">
        <v>518</v>
      </c>
      <c r="L3631" s="25">
        <v>12754.0</v>
      </c>
      <c r="M3631" s="49" t="s">
        <v>73</v>
      </c>
      <c r="N3631" s="42" t="s">
        <v>5936</v>
      </c>
      <c r="O3631" s="67">
        <v>45734.68350623843</v>
      </c>
      <c r="P3631" s="26" t="s">
        <v>14168</v>
      </c>
      <c r="Q3631" s="13" t="s">
        <v>75</v>
      </c>
      <c r="R3631" s="13" t="s">
        <v>75</v>
      </c>
      <c r="S3631" s="13" t="s">
        <v>50</v>
      </c>
      <c r="T3631" s="44">
        <v>45733.36435017361</v>
      </c>
      <c r="U3631" s="44">
        <v>45734.421058391206</v>
      </c>
      <c r="V3631" s="44">
        <v>45734.45491193287</v>
      </c>
      <c r="W3631" s="11"/>
      <c r="X3631" s="11"/>
      <c r="Y3631" s="45"/>
      <c r="Z3631" s="45"/>
      <c r="AA3631" s="31" t="s">
        <v>108</v>
      </c>
      <c r="AB3631" s="45" t="s">
        <v>14169</v>
      </c>
      <c r="AC3631" s="45"/>
    </row>
    <row r="3632" ht="18.75" customHeight="1">
      <c r="A3632" s="142" t="s">
        <v>14170</v>
      </c>
      <c r="B3632" s="19" t="s">
        <v>3289</v>
      </c>
      <c r="C3632" s="20">
        <v>0.0</v>
      </c>
      <c r="D3632" s="48" t="s">
        <v>1486</v>
      </c>
      <c r="E3632" s="27" t="s">
        <v>14171</v>
      </c>
      <c r="F3632" s="18" t="s">
        <v>48</v>
      </c>
      <c r="G3632" s="18" t="s">
        <v>35</v>
      </c>
      <c r="H3632" s="40" t="s">
        <v>35</v>
      </c>
      <c r="I3632" s="24" t="s">
        <v>36</v>
      </c>
      <c r="J3632" s="25" t="s">
        <v>92</v>
      </c>
      <c r="K3632" s="26" t="s">
        <v>38</v>
      </c>
      <c r="L3632" s="25">
        <v>12842.0</v>
      </c>
      <c r="M3632" s="152" t="s">
        <v>73</v>
      </c>
      <c r="N3632" s="65" t="s">
        <v>14172</v>
      </c>
      <c r="O3632" s="43">
        <v>45769.0</v>
      </c>
      <c r="P3632" s="26" t="s">
        <v>14173</v>
      </c>
      <c r="Q3632" s="13" t="s">
        <v>75</v>
      </c>
      <c r="R3632" s="13" t="s">
        <v>75</v>
      </c>
      <c r="S3632" s="13"/>
      <c r="T3632" s="44">
        <v>45733.3828005324</v>
      </c>
      <c r="U3632" s="44">
        <v>45733.41427032407</v>
      </c>
      <c r="V3632" s="13"/>
      <c r="W3632" s="11"/>
      <c r="X3632" s="11"/>
      <c r="Y3632" s="45"/>
      <c r="Z3632" s="45"/>
      <c r="AA3632" s="31" t="s">
        <v>120</v>
      </c>
      <c r="AB3632" s="45" t="s">
        <v>14174</v>
      </c>
      <c r="AC3632" s="45"/>
    </row>
    <row r="3633" ht="18.75" customHeight="1">
      <c r="A3633" s="142" t="s">
        <v>14175</v>
      </c>
      <c r="B3633" s="19" t="s">
        <v>4352</v>
      </c>
      <c r="C3633" s="20">
        <v>137.0</v>
      </c>
      <c r="D3633" s="48" t="s">
        <v>14176</v>
      </c>
      <c r="E3633" s="27" t="s">
        <v>85</v>
      </c>
      <c r="F3633" s="18" t="s">
        <v>48</v>
      </c>
      <c r="G3633" s="18" t="s">
        <v>35</v>
      </c>
      <c r="H3633" s="40" t="s">
        <v>35</v>
      </c>
      <c r="I3633" s="37" t="s">
        <v>36</v>
      </c>
      <c r="J3633" s="25" t="s">
        <v>49</v>
      </c>
      <c r="K3633" s="26" t="s">
        <v>38</v>
      </c>
      <c r="L3633" s="25">
        <v>12757.0</v>
      </c>
      <c r="M3633" s="49" t="s">
        <v>73</v>
      </c>
      <c r="N3633" s="42" t="s">
        <v>5936</v>
      </c>
      <c r="O3633" s="67">
        <v>45734.68356063658</v>
      </c>
      <c r="P3633" s="26" t="s">
        <v>14177</v>
      </c>
      <c r="Q3633" s="13" t="s">
        <v>75</v>
      </c>
      <c r="R3633" s="13" t="s">
        <v>75</v>
      </c>
      <c r="S3633" s="13" t="s">
        <v>50</v>
      </c>
      <c r="T3633" s="44">
        <v>45734.35417417824</v>
      </c>
      <c r="U3633" s="44">
        <v>45734.606955243056</v>
      </c>
      <c r="V3633" s="44">
        <v>45734.625044016204</v>
      </c>
      <c r="W3633" s="11"/>
      <c r="X3633" s="11"/>
      <c r="Y3633" s="45"/>
      <c r="Z3633" s="45"/>
      <c r="AA3633" s="31" t="s">
        <v>127</v>
      </c>
      <c r="AB3633" s="45" t="s">
        <v>14178</v>
      </c>
      <c r="AC3633" s="45"/>
    </row>
    <row r="3634" ht="18.75" customHeight="1">
      <c r="A3634" s="142" t="s">
        <v>14179</v>
      </c>
      <c r="B3634" s="19" t="s">
        <v>8299</v>
      </c>
      <c r="C3634" s="20">
        <v>0.0</v>
      </c>
      <c r="D3634" s="48" t="s">
        <v>14180</v>
      </c>
      <c r="E3634" s="27" t="s">
        <v>3441</v>
      </c>
      <c r="F3634" s="18" t="s">
        <v>48</v>
      </c>
      <c r="G3634" s="18" t="s">
        <v>35</v>
      </c>
      <c r="H3634" s="40" t="s">
        <v>35</v>
      </c>
      <c r="I3634" s="37" t="s">
        <v>36</v>
      </c>
      <c r="J3634" s="25" t="s">
        <v>65</v>
      </c>
      <c r="K3634" s="26" t="s">
        <v>38</v>
      </c>
      <c r="L3634" s="25">
        <v>12753.0</v>
      </c>
      <c r="M3634" s="49" t="s">
        <v>73</v>
      </c>
      <c r="N3634" s="42" t="s">
        <v>10703</v>
      </c>
      <c r="O3634" s="67">
        <v>45734.70021137732</v>
      </c>
      <c r="P3634" s="35" t="s">
        <v>13895</v>
      </c>
      <c r="Q3634" s="13" t="s">
        <v>75</v>
      </c>
      <c r="R3634" s="13" t="s">
        <v>75</v>
      </c>
      <c r="S3634" s="13" t="s">
        <v>50</v>
      </c>
      <c r="T3634" s="44">
        <v>45734.35682321759</v>
      </c>
      <c r="U3634" s="44">
        <v>45734.44611266204</v>
      </c>
      <c r="V3634" s="44">
        <v>45734.4549296412</v>
      </c>
      <c r="W3634" s="11"/>
      <c r="X3634" s="11"/>
      <c r="Y3634" s="45"/>
      <c r="Z3634" s="45"/>
      <c r="AA3634" s="31" t="s">
        <v>94</v>
      </c>
      <c r="AB3634" s="45" t="s">
        <v>14181</v>
      </c>
      <c r="AC3634" s="45"/>
    </row>
    <row r="3635" ht="18.75" customHeight="1">
      <c r="A3635" s="18" t="s">
        <v>14182</v>
      </c>
      <c r="B3635" s="19" t="s">
        <v>9387</v>
      </c>
      <c r="C3635" s="20">
        <v>1.0</v>
      </c>
      <c r="D3635" s="48" t="s">
        <v>14183</v>
      </c>
      <c r="E3635" s="27" t="s">
        <v>3395</v>
      </c>
      <c r="F3635" s="18" t="s">
        <v>48</v>
      </c>
      <c r="G3635" s="18" t="s">
        <v>35</v>
      </c>
      <c r="H3635" s="40" t="s">
        <v>35</v>
      </c>
      <c r="I3635" s="37" t="s">
        <v>36</v>
      </c>
      <c r="J3635" s="25" t="s">
        <v>65</v>
      </c>
      <c r="K3635" s="26" t="s">
        <v>38</v>
      </c>
      <c r="L3635" s="25">
        <v>12852.0</v>
      </c>
      <c r="M3635" s="49" t="s">
        <v>50</v>
      </c>
      <c r="N3635" s="42" t="s">
        <v>14184</v>
      </c>
      <c r="O3635" s="67">
        <v>45755.73008226852</v>
      </c>
      <c r="P3635" s="35" t="s">
        <v>14185</v>
      </c>
      <c r="Q3635" s="13" t="s">
        <v>75</v>
      </c>
      <c r="R3635" s="13" t="s">
        <v>75</v>
      </c>
      <c r="S3635" s="13" t="s">
        <v>50</v>
      </c>
      <c r="T3635" s="44">
        <v>45754.66694761574</v>
      </c>
      <c r="U3635" s="44">
        <v>45754.66704435185</v>
      </c>
      <c r="V3635" s="44">
        <v>45755.37100842592</v>
      </c>
      <c r="W3635" s="11"/>
      <c r="X3635" s="11"/>
      <c r="Y3635" s="45"/>
      <c r="Z3635" s="45"/>
      <c r="AA3635" s="31" t="s">
        <v>3059</v>
      </c>
      <c r="AB3635" s="45" t="s">
        <v>14186</v>
      </c>
      <c r="AC3635" s="45"/>
    </row>
    <row r="3636" ht="18.75" customHeight="1">
      <c r="A3636" s="18" t="s">
        <v>14187</v>
      </c>
      <c r="B3636" s="19" t="s">
        <v>9387</v>
      </c>
      <c r="C3636" s="20">
        <v>1.0</v>
      </c>
      <c r="D3636" s="48" t="s">
        <v>14188</v>
      </c>
      <c r="E3636" s="27" t="s">
        <v>3395</v>
      </c>
      <c r="F3636" s="18" t="s">
        <v>48</v>
      </c>
      <c r="G3636" s="18" t="s">
        <v>35</v>
      </c>
      <c r="H3636" s="40" t="s">
        <v>35</v>
      </c>
      <c r="I3636" s="37" t="s">
        <v>36</v>
      </c>
      <c r="J3636" s="25" t="s">
        <v>65</v>
      </c>
      <c r="K3636" s="26" t="s">
        <v>38</v>
      </c>
      <c r="L3636" s="25">
        <v>12852.0</v>
      </c>
      <c r="M3636" s="49" t="s">
        <v>50</v>
      </c>
      <c r="N3636" s="42" t="s">
        <v>14184</v>
      </c>
      <c r="O3636" s="67">
        <v>45755.730131550925</v>
      </c>
      <c r="P3636" s="35" t="s">
        <v>14185</v>
      </c>
      <c r="Q3636" s="13" t="s">
        <v>75</v>
      </c>
      <c r="R3636" s="13" t="s">
        <v>75</v>
      </c>
      <c r="S3636" s="13" t="s">
        <v>50</v>
      </c>
      <c r="T3636" s="44">
        <v>45754.66700998842</v>
      </c>
      <c r="U3636" s="44">
        <v>45754.667101493054</v>
      </c>
      <c r="V3636" s="198">
        <v>45755.37102052083</v>
      </c>
      <c r="W3636" s="11"/>
      <c r="X3636" s="11"/>
      <c r="Y3636" s="45"/>
      <c r="Z3636" s="45"/>
      <c r="AA3636" s="31" t="s">
        <v>3059</v>
      </c>
      <c r="AB3636" s="45" t="s">
        <v>14189</v>
      </c>
      <c r="AC3636" s="45"/>
    </row>
    <row r="3637" ht="18.75" customHeight="1">
      <c r="A3637" s="142" t="s">
        <v>14190</v>
      </c>
      <c r="B3637" s="19" t="s">
        <v>12133</v>
      </c>
      <c r="C3637" s="20">
        <v>0.0</v>
      </c>
      <c r="D3637" s="48" t="s">
        <v>14191</v>
      </c>
      <c r="E3637" s="27" t="s">
        <v>794</v>
      </c>
      <c r="F3637" s="18" t="s">
        <v>33</v>
      </c>
      <c r="G3637" s="18" t="s">
        <v>34</v>
      </c>
      <c r="H3637" s="40" t="s">
        <v>35</v>
      </c>
      <c r="I3637" s="37" t="s">
        <v>36</v>
      </c>
      <c r="J3637" s="25" t="s">
        <v>65</v>
      </c>
      <c r="K3637" s="26" t="s">
        <v>38</v>
      </c>
      <c r="L3637" s="25">
        <v>12785.0</v>
      </c>
      <c r="M3637" s="49" t="s">
        <v>50</v>
      </c>
      <c r="N3637" s="42" t="s">
        <v>149</v>
      </c>
      <c r="O3637" s="67">
        <v>45743.63093179398</v>
      </c>
      <c r="P3637" s="35" t="s">
        <v>14192</v>
      </c>
      <c r="Q3637" s="13" t="s">
        <v>75</v>
      </c>
      <c r="R3637" s="13" t="s">
        <v>75</v>
      </c>
      <c r="S3637" s="13" t="s">
        <v>101</v>
      </c>
      <c r="T3637" s="44">
        <v>45734.36350364583</v>
      </c>
      <c r="U3637" s="44">
        <v>45734.59611265046</v>
      </c>
      <c r="V3637" s="44">
        <v>45740.708618055556</v>
      </c>
      <c r="W3637" s="11"/>
      <c r="X3637" s="11"/>
      <c r="Y3637" s="45"/>
      <c r="Z3637" s="45"/>
      <c r="AA3637" s="31" t="s">
        <v>94</v>
      </c>
      <c r="AB3637" s="45" t="s">
        <v>14193</v>
      </c>
      <c r="AC3637" s="45"/>
    </row>
    <row r="3638" ht="18.75" customHeight="1">
      <c r="A3638" s="142" t="s">
        <v>14194</v>
      </c>
      <c r="B3638" s="19" t="s">
        <v>14195</v>
      </c>
      <c r="C3638" s="20">
        <v>90.0</v>
      </c>
      <c r="D3638" s="18" t="s">
        <v>14196</v>
      </c>
      <c r="E3638" s="27" t="s">
        <v>91</v>
      </c>
      <c r="F3638" s="18" t="s">
        <v>48</v>
      </c>
      <c r="G3638" s="18" t="s">
        <v>35</v>
      </c>
      <c r="H3638" s="40" t="s">
        <v>35</v>
      </c>
      <c r="I3638" s="37" t="s">
        <v>36</v>
      </c>
      <c r="J3638" s="25" t="s">
        <v>65</v>
      </c>
      <c r="K3638" s="26" t="s">
        <v>38</v>
      </c>
      <c r="L3638" s="72">
        <v>13461.0</v>
      </c>
      <c r="M3638" s="49" t="s">
        <v>50</v>
      </c>
      <c r="N3638" s="42" t="s">
        <v>5883</v>
      </c>
      <c r="O3638" s="67">
        <v>45861.64621431713</v>
      </c>
      <c r="P3638" s="35" t="s">
        <v>14197</v>
      </c>
      <c r="Q3638" s="13" t="s">
        <v>75</v>
      </c>
      <c r="R3638" s="13" t="s">
        <v>75</v>
      </c>
      <c r="S3638" s="13" t="s">
        <v>50</v>
      </c>
      <c r="T3638" s="44">
        <v>45734.36648361111</v>
      </c>
      <c r="U3638" s="44">
        <v>45860.4802855787</v>
      </c>
      <c r="V3638" s="44">
        <v>45860.5692853125</v>
      </c>
      <c r="W3638" s="11"/>
      <c r="X3638" s="11"/>
      <c r="Y3638" s="45">
        <v>302.0</v>
      </c>
      <c r="Z3638" s="45" t="s">
        <v>14198</v>
      </c>
      <c r="AA3638" s="31" t="s">
        <v>3059</v>
      </c>
      <c r="AB3638" s="45" t="s">
        <v>14199</v>
      </c>
      <c r="AC3638" s="45"/>
    </row>
    <row r="3639" ht="18.75" customHeight="1">
      <c r="A3639" s="142" t="s">
        <v>14200</v>
      </c>
      <c r="B3639" s="19" t="s">
        <v>4313</v>
      </c>
      <c r="C3639" s="20">
        <v>0.0</v>
      </c>
      <c r="D3639" s="48" t="s">
        <v>1489</v>
      </c>
      <c r="E3639" s="27" t="s">
        <v>701</v>
      </c>
      <c r="F3639" s="18" t="s">
        <v>33</v>
      </c>
      <c r="G3639" s="18" t="s">
        <v>35</v>
      </c>
      <c r="H3639" s="40" t="s">
        <v>35</v>
      </c>
      <c r="I3639" s="37" t="s">
        <v>36</v>
      </c>
      <c r="J3639" s="25" t="s">
        <v>92</v>
      </c>
      <c r="K3639" s="26" t="s">
        <v>38</v>
      </c>
      <c r="L3639" s="25">
        <v>12782.0</v>
      </c>
      <c r="M3639" s="49" t="s">
        <v>9620</v>
      </c>
      <c r="N3639" s="42" t="s">
        <v>10176</v>
      </c>
      <c r="O3639" s="67">
        <v>45743.47287200231</v>
      </c>
      <c r="P3639" s="26" t="s">
        <v>14201</v>
      </c>
      <c r="Q3639" s="13" t="s">
        <v>75</v>
      </c>
      <c r="R3639" s="13" t="s">
        <v>75</v>
      </c>
      <c r="S3639" s="13" t="s">
        <v>101</v>
      </c>
      <c r="T3639" s="44">
        <v>45734.54747506944</v>
      </c>
      <c r="U3639" s="44">
        <v>45736.38509725695</v>
      </c>
      <c r="V3639" s="44">
        <v>45741.36342310185</v>
      </c>
      <c r="W3639" s="11"/>
      <c r="X3639" s="11"/>
      <c r="Y3639" s="45"/>
      <c r="Z3639" s="45"/>
      <c r="AA3639" s="31" t="s">
        <v>120</v>
      </c>
      <c r="AB3639" s="45" t="s">
        <v>14202</v>
      </c>
      <c r="AC3639" s="45"/>
    </row>
    <row r="3640" ht="18.75" customHeight="1">
      <c r="A3640" s="180" t="s">
        <v>14203</v>
      </c>
      <c r="B3640" s="181" t="s">
        <v>8893</v>
      </c>
      <c r="C3640" s="182">
        <v>27.0</v>
      </c>
      <c r="D3640" s="39" t="s">
        <v>14204</v>
      </c>
      <c r="E3640" s="184" t="s">
        <v>72</v>
      </c>
      <c r="F3640" s="185" t="s">
        <v>48</v>
      </c>
      <c r="G3640" s="185" t="s">
        <v>35</v>
      </c>
      <c r="H3640" s="186" t="s">
        <v>35</v>
      </c>
      <c r="I3640" s="187" t="s">
        <v>36</v>
      </c>
      <c r="J3640" s="188" t="s">
        <v>49</v>
      </c>
      <c r="K3640" s="193" t="s">
        <v>38</v>
      </c>
      <c r="L3640" s="188">
        <v>12798.0</v>
      </c>
      <c r="M3640" s="190" t="s">
        <v>50</v>
      </c>
      <c r="N3640" s="191" t="s">
        <v>9953</v>
      </c>
      <c r="O3640" s="192">
        <v>45744.7217265162</v>
      </c>
      <c r="P3640" s="193" t="s">
        <v>14205</v>
      </c>
      <c r="Q3640" s="194" t="s">
        <v>75</v>
      </c>
      <c r="R3640" s="194" t="s">
        <v>75</v>
      </c>
      <c r="S3640" s="194" t="s">
        <v>50</v>
      </c>
      <c r="T3640" s="195">
        <v>45743.729699351854</v>
      </c>
      <c r="U3640" s="195">
        <v>45743.731509432866</v>
      </c>
      <c r="V3640" s="195">
        <v>45744.40628668982</v>
      </c>
      <c r="W3640" s="196"/>
      <c r="X3640" s="196"/>
      <c r="Y3640" s="197"/>
      <c r="Z3640" s="197"/>
      <c r="AA3640" s="31" t="s">
        <v>5199</v>
      </c>
      <c r="AB3640" s="197" t="s">
        <v>14206</v>
      </c>
      <c r="AC3640" s="197"/>
    </row>
    <row r="3641" ht="18.75" customHeight="1">
      <c r="A3641" s="142" t="s">
        <v>14207</v>
      </c>
      <c r="B3641" s="19" t="s">
        <v>11243</v>
      </c>
      <c r="C3641" s="20">
        <v>1.0</v>
      </c>
      <c r="D3641" s="48" t="s">
        <v>1492</v>
      </c>
      <c r="E3641" s="27" t="s">
        <v>11712</v>
      </c>
      <c r="F3641" s="18" t="s">
        <v>48</v>
      </c>
      <c r="G3641" s="18" t="s">
        <v>35</v>
      </c>
      <c r="H3641" s="40" t="s">
        <v>35</v>
      </c>
      <c r="I3641" s="187" t="s">
        <v>36</v>
      </c>
      <c r="J3641" s="25" t="s">
        <v>49</v>
      </c>
      <c r="K3641" s="26" t="s">
        <v>38</v>
      </c>
      <c r="L3641" s="25">
        <v>12794.0</v>
      </c>
      <c r="M3641" s="190" t="s">
        <v>50</v>
      </c>
      <c r="N3641" s="191" t="s">
        <v>9953</v>
      </c>
      <c r="O3641" s="192">
        <v>45744.7217265162</v>
      </c>
      <c r="P3641" s="26" t="s">
        <v>14208</v>
      </c>
      <c r="Q3641" s="13" t="s">
        <v>75</v>
      </c>
      <c r="R3641" s="13" t="s">
        <v>75</v>
      </c>
      <c r="S3641" s="13" t="s">
        <v>101</v>
      </c>
      <c r="T3641" s="44">
        <v>45736.63519637732</v>
      </c>
      <c r="U3641" s="44">
        <v>45736.63626028935</v>
      </c>
      <c r="V3641" s="44">
        <v>45742.62877946759</v>
      </c>
      <c r="W3641" s="11"/>
      <c r="X3641" s="11"/>
      <c r="Y3641" s="45"/>
      <c r="Z3641" s="45"/>
      <c r="AA3641" s="31" t="s">
        <v>5199</v>
      </c>
      <c r="AB3641" s="45" t="s">
        <v>14209</v>
      </c>
      <c r="AC3641" s="45"/>
    </row>
    <row r="3642" ht="18.75" customHeight="1">
      <c r="A3642" s="142" t="s">
        <v>14210</v>
      </c>
      <c r="B3642" s="19" t="s">
        <v>5392</v>
      </c>
      <c r="C3642" s="20">
        <v>0.0</v>
      </c>
      <c r="D3642" s="48" t="s">
        <v>14211</v>
      </c>
      <c r="E3642" s="27" t="s">
        <v>3441</v>
      </c>
      <c r="F3642" s="18" t="s">
        <v>48</v>
      </c>
      <c r="G3642" s="18" t="s">
        <v>35</v>
      </c>
      <c r="H3642" s="40" t="s">
        <v>35</v>
      </c>
      <c r="I3642" s="37" t="s">
        <v>36</v>
      </c>
      <c r="J3642" s="25" t="s">
        <v>49</v>
      </c>
      <c r="K3642" s="26" t="s">
        <v>447</v>
      </c>
      <c r="L3642" s="25">
        <v>12767.0</v>
      </c>
      <c r="M3642" s="49" t="s">
        <v>73</v>
      </c>
      <c r="N3642" s="42" t="s">
        <v>9953</v>
      </c>
      <c r="O3642" s="67">
        <v>45737.713388344906</v>
      </c>
      <c r="P3642" s="26" t="s">
        <v>14212</v>
      </c>
      <c r="Q3642" s="13" t="s">
        <v>75</v>
      </c>
      <c r="R3642" s="13" t="s">
        <v>75</v>
      </c>
      <c r="S3642" s="13" t="s">
        <v>50</v>
      </c>
      <c r="T3642" s="44">
        <v>45736.37759429398</v>
      </c>
      <c r="U3642" s="44">
        <v>45736.57921305556</v>
      </c>
      <c r="V3642" s="44">
        <v>45736.5892696875</v>
      </c>
      <c r="W3642" s="11"/>
      <c r="X3642" s="11"/>
      <c r="Y3642" s="45"/>
      <c r="Z3642" s="45"/>
      <c r="AA3642" s="31" t="s">
        <v>108</v>
      </c>
      <c r="AB3642" s="45" t="s">
        <v>14213</v>
      </c>
      <c r="AC3642" s="45"/>
    </row>
    <row r="3643" ht="18.75" customHeight="1">
      <c r="A3643" s="142" t="s">
        <v>14214</v>
      </c>
      <c r="B3643" s="19" t="s">
        <v>3289</v>
      </c>
      <c r="C3643" s="20">
        <v>137.0</v>
      </c>
      <c r="D3643" s="48" t="s">
        <v>14215</v>
      </c>
      <c r="E3643" s="27" t="s">
        <v>85</v>
      </c>
      <c r="F3643" s="18" t="s">
        <v>48</v>
      </c>
      <c r="G3643" s="18" t="s">
        <v>35</v>
      </c>
      <c r="H3643" s="40" t="s">
        <v>35</v>
      </c>
      <c r="I3643" s="24" t="s">
        <v>36</v>
      </c>
      <c r="J3643" s="25" t="s">
        <v>92</v>
      </c>
      <c r="K3643" s="26" t="s">
        <v>38</v>
      </c>
      <c r="L3643" s="25">
        <v>12775.0</v>
      </c>
      <c r="M3643" s="152" t="s">
        <v>73</v>
      </c>
      <c r="N3643" s="65" t="s">
        <v>14172</v>
      </c>
      <c r="O3643" s="199">
        <v>45740.70873842593</v>
      </c>
      <c r="P3643" s="26" t="s">
        <v>14216</v>
      </c>
      <c r="Q3643" s="13" t="s">
        <v>75</v>
      </c>
      <c r="R3643" s="13" t="s">
        <v>75</v>
      </c>
      <c r="S3643" s="13" t="s">
        <v>50</v>
      </c>
      <c r="T3643" s="44">
        <v>45736.378368645834</v>
      </c>
      <c r="U3643" s="44">
        <v>45736.64210670139</v>
      </c>
      <c r="V3643" s="44">
        <v>45740.48273546297</v>
      </c>
      <c r="W3643" s="11"/>
      <c r="X3643" s="11"/>
      <c r="Y3643" s="45"/>
      <c r="Z3643" s="45"/>
      <c r="AA3643" s="31" t="s">
        <v>120</v>
      </c>
      <c r="AB3643" s="45" t="s">
        <v>14217</v>
      </c>
      <c r="AC3643" s="45"/>
    </row>
    <row r="3644" ht="18.75" customHeight="1">
      <c r="A3644" s="142" t="s">
        <v>14218</v>
      </c>
      <c r="B3644" s="19" t="s">
        <v>1811</v>
      </c>
      <c r="C3644" s="20">
        <v>90.0</v>
      </c>
      <c r="D3644" s="48" t="s">
        <v>14219</v>
      </c>
      <c r="E3644" s="27" t="s">
        <v>91</v>
      </c>
      <c r="F3644" s="18" t="s">
        <v>48</v>
      </c>
      <c r="G3644" s="18" t="s">
        <v>35</v>
      </c>
      <c r="H3644" s="40" t="s">
        <v>35</v>
      </c>
      <c r="I3644" s="37" t="s">
        <v>36</v>
      </c>
      <c r="J3644" s="25" t="s">
        <v>49</v>
      </c>
      <c r="K3644" s="26" t="s">
        <v>1506</v>
      </c>
      <c r="L3644" s="25">
        <v>12768.0</v>
      </c>
      <c r="M3644" s="49" t="s">
        <v>73</v>
      </c>
      <c r="N3644" s="42" t="s">
        <v>9953</v>
      </c>
      <c r="O3644" s="67">
        <v>45737.71347266204</v>
      </c>
      <c r="P3644" s="35" t="s">
        <v>14220</v>
      </c>
      <c r="Q3644" s="13" t="s">
        <v>75</v>
      </c>
      <c r="R3644" s="13" t="s">
        <v>75</v>
      </c>
      <c r="S3644" s="13" t="s">
        <v>50</v>
      </c>
      <c r="T3644" s="44">
        <v>45736.563977314814</v>
      </c>
      <c r="U3644" s="44">
        <v>45736.58127105324</v>
      </c>
      <c r="V3644" s="44">
        <v>45736.58928731481</v>
      </c>
      <c r="W3644" s="11"/>
      <c r="X3644" s="11"/>
      <c r="Y3644" s="45"/>
      <c r="Z3644" s="45"/>
      <c r="AA3644" s="31" t="s">
        <v>3053</v>
      </c>
      <c r="AB3644" s="45" t="s">
        <v>14221</v>
      </c>
      <c r="AC3644" s="45"/>
    </row>
    <row r="3645" ht="18.75" customHeight="1">
      <c r="A3645" s="142" t="s">
        <v>14222</v>
      </c>
      <c r="B3645" s="19" t="s">
        <v>14223</v>
      </c>
      <c r="C3645" s="20">
        <v>27.0</v>
      </c>
      <c r="D3645" s="39" t="s">
        <v>14224</v>
      </c>
      <c r="E3645" s="27" t="s">
        <v>72</v>
      </c>
      <c r="F3645" s="18" t="s">
        <v>48</v>
      </c>
      <c r="G3645" s="18" t="s">
        <v>35</v>
      </c>
      <c r="H3645" s="40" t="s">
        <v>35</v>
      </c>
      <c r="I3645" s="37" t="s">
        <v>36</v>
      </c>
      <c r="J3645" s="25" t="s">
        <v>518</v>
      </c>
      <c r="K3645" s="26" t="s">
        <v>518</v>
      </c>
      <c r="L3645" s="25">
        <v>12772.0</v>
      </c>
      <c r="M3645" s="49" t="s">
        <v>73</v>
      </c>
      <c r="N3645" s="42" t="s">
        <v>4616</v>
      </c>
      <c r="O3645" s="67">
        <v>45740.58084231481</v>
      </c>
      <c r="P3645" s="26" t="s">
        <v>14225</v>
      </c>
      <c r="Q3645" s="13" t="s">
        <v>75</v>
      </c>
      <c r="R3645" s="13" t="s">
        <v>75</v>
      </c>
      <c r="S3645" s="13" t="s">
        <v>50</v>
      </c>
      <c r="T3645" s="44">
        <v>45740.40231019676</v>
      </c>
      <c r="U3645" s="44">
        <v>45740.40231196759</v>
      </c>
      <c r="V3645" s="44">
        <v>45740.48274535879</v>
      </c>
      <c r="W3645" s="11"/>
      <c r="X3645" s="11"/>
      <c r="Y3645" s="45"/>
      <c r="Z3645" s="45"/>
      <c r="AA3645" s="31" t="s">
        <v>108</v>
      </c>
      <c r="AB3645" s="45" t="s">
        <v>14226</v>
      </c>
      <c r="AC3645" s="45"/>
    </row>
    <row r="3646" ht="18.75" customHeight="1">
      <c r="A3646" s="142" t="s">
        <v>14227</v>
      </c>
      <c r="B3646" s="19" t="s">
        <v>12493</v>
      </c>
      <c r="C3646" s="20">
        <v>33.0</v>
      </c>
      <c r="D3646" s="48" t="s">
        <v>14228</v>
      </c>
      <c r="E3646" s="27" t="s">
        <v>6133</v>
      </c>
      <c r="F3646" s="18" t="s">
        <v>48</v>
      </c>
      <c r="G3646" s="18" t="s">
        <v>35</v>
      </c>
      <c r="H3646" s="40" t="s">
        <v>35</v>
      </c>
      <c r="I3646" s="37" t="s">
        <v>36</v>
      </c>
      <c r="J3646" s="25" t="s">
        <v>65</v>
      </c>
      <c r="K3646" s="26" t="s">
        <v>38</v>
      </c>
      <c r="L3646" s="25">
        <v>12783.0</v>
      </c>
      <c r="M3646" s="49" t="s">
        <v>73</v>
      </c>
      <c r="N3646" s="42" t="s">
        <v>149</v>
      </c>
      <c r="O3646" s="67">
        <v>45742.612838472225</v>
      </c>
      <c r="P3646" s="35" t="s">
        <v>14229</v>
      </c>
      <c r="Q3646" s="13" t="s">
        <v>75</v>
      </c>
      <c r="R3646" s="13" t="s">
        <v>75</v>
      </c>
      <c r="S3646" s="13" t="s">
        <v>73</v>
      </c>
      <c r="T3646" s="44">
        <v>45737.72342510417</v>
      </c>
      <c r="U3646" s="44">
        <v>45741.44193212963</v>
      </c>
      <c r="V3646" s="44">
        <v>45742.34511380787</v>
      </c>
      <c r="W3646" s="11"/>
      <c r="X3646" s="11"/>
      <c r="Y3646" s="45"/>
      <c r="Z3646" s="45"/>
      <c r="AA3646" s="31" t="s">
        <v>3059</v>
      </c>
      <c r="AB3646" s="45" t="s">
        <v>14230</v>
      </c>
      <c r="AC3646" s="45"/>
    </row>
    <row r="3647" ht="18.75" customHeight="1">
      <c r="A3647" s="142" t="s">
        <v>14231</v>
      </c>
      <c r="B3647" s="19" t="s">
        <v>14232</v>
      </c>
      <c r="C3647" s="20">
        <v>11.0</v>
      </c>
      <c r="D3647" s="48" t="s">
        <v>14233</v>
      </c>
      <c r="E3647" s="27" t="s">
        <v>112</v>
      </c>
      <c r="F3647" s="18" t="s">
        <v>48</v>
      </c>
      <c r="G3647" s="18" t="s">
        <v>35</v>
      </c>
      <c r="H3647" s="40" t="s">
        <v>35</v>
      </c>
      <c r="I3647" s="37" t="s">
        <v>36</v>
      </c>
      <c r="J3647" s="25" t="s">
        <v>65</v>
      </c>
      <c r="K3647" s="26" t="s">
        <v>38</v>
      </c>
      <c r="L3647" s="25">
        <v>12807.0</v>
      </c>
      <c r="M3647" s="49" t="s">
        <v>50</v>
      </c>
      <c r="N3647" s="42" t="s">
        <v>149</v>
      </c>
      <c r="O3647" s="67">
        <v>45747.629700335645</v>
      </c>
      <c r="P3647" s="35" t="s">
        <v>14234</v>
      </c>
      <c r="Q3647" s="13" t="s">
        <v>75</v>
      </c>
      <c r="R3647" s="13" t="s">
        <v>75</v>
      </c>
      <c r="S3647" s="13" t="s">
        <v>50</v>
      </c>
      <c r="T3647" s="44">
        <v>45740.73501203704</v>
      </c>
      <c r="U3647" s="44">
        <v>45744.68542969908</v>
      </c>
      <c r="V3647" s="44">
        <v>45747.40587994213</v>
      </c>
      <c r="W3647" s="11"/>
      <c r="X3647" s="11"/>
      <c r="Y3647" s="45"/>
      <c r="Z3647" s="45"/>
      <c r="AA3647" s="31" t="s">
        <v>3059</v>
      </c>
      <c r="AB3647" s="45" t="s">
        <v>14235</v>
      </c>
      <c r="AC3647" s="45"/>
    </row>
    <row r="3648" ht="18.75" customHeight="1">
      <c r="A3648" s="142" t="s">
        <v>14236</v>
      </c>
      <c r="B3648" s="19" t="s">
        <v>11507</v>
      </c>
      <c r="C3648" s="20">
        <v>1.0</v>
      </c>
      <c r="D3648" s="48" t="s">
        <v>14237</v>
      </c>
      <c r="E3648" s="27" t="s">
        <v>3395</v>
      </c>
      <c r="F3648" s="18" t="s">
        <v>48</v>
      </c>
      <c r="G3648" s="18" t="s">
        <v>35</v>
      </c>
      <c r="H3648" s="40" t="s">
        <v>35</v>
      </c>
      <c r="I3648" s="37" t="s">
        <v>36</v>
      </c>
      <c r="J3648" s="25" t="s">
        <v>49</v>
      </c>
      <c r="K3648" s="26" t="s">
        <v>38</v>
      </c>
      <c r="L3648" s="72">
        <v>12779.0</v>
      </c>
      <c r="M3648" s="49" t="s">
        <v>50</v>
      </c>
      <c r="N3648" s="42" t="s">
        <v>9953</v>
      </c>
      <c r="O3648" s="67">
        <v>45740.80539961805</v>
      </c>
      <c r="P3648" s="26" t="s">
        <v>14238</v>
      </c>
      <c r="Q3648" s="13" t="s">
        <v>75</v>
      </c>
      <c r="R3648" s="13" t="s">
        <v>75</v>
      </c>
      <c r="S3648" s="13" t="s">
        <v>50</v>
      </c>
      <c r="T3648" s="44">
        <v>45740.73279657407</v>
      </c>
      <c r="U3648" s="44">
        <v>45740.73753392361</v>
      </c>
      <c r="V3648" s="44">
        <v>45740.77860451389</v>
      </c>
      <c r="W3648" s="11"/>
      <c r="X3648" s="11"/>
      <c r="Y3648" s="45"/>
      <c r="Z3648" s="45"/>
      <c r="AA3648" s="31" t="s">
        <v>102</v>
      </c>
      <c r="AB3648" s="45" t="s">
        <v>14239</v>
      </c>
      <c r="AC3648" s="45"/>
    </row>
    <row r="3649" ht="18.75" customHeight="1">
      <c r="A3649" s="142" t="s">
        <v>14240</v>
      </c>
      <c r="B3649" s="19" t="s">
        <v>7317</v>
      </c>
      <c r="C3649" s="20">
        <v>11.0</v>
      </c>
      <c r="D3649" s="48" t="s">
        <v>14241</v>
      </c>
      <c r="E3649" s="27" t="s">
        <v>112</v>
      </c>
      <c r="F3649" s="18" t="s">
        <v>48</v>
      </c>
      <c r="G3649" s="18" t="s">
        <v>35</v>
      </c>
      <c r="H3649" s="40" t="s">
        <v>35</v>
      </c>
      <c r="I3649" s="37" t="s">
        <v>36</v>
      </c>
      <c r="J3649" s="25" t="s">
        <v>49</v>
      </c>
      <c r="K3649" s="26" t="s">
        <v>805</v>
      </c>
      <c r="L3649" s="25">
        <v>12791.0</v>
      </c>
      <c r="M3649" s="49" t="s">
        <v>50</v>
      </c>
      <c r="N3649" s="42" t="s">
        <v>9953</v>
      </c>
      <c r="O3649" s="67">
        <v>45743.63121403936</v>
      </c>
      <c r="P3649" s="26" t="s">
        <v>14242</v>
      </c>
      <c r="Q3649" s="13" t="s">
        <v>75</v>
      </c>
      <c r="R3649" s="13" t="s">
        <v>75</v>
      </c>
      <c r="S3649" s="13" t="s">
        <v>50</v>
      </c>
      <c r="T3649" s="44">
        <v>45741.379193229164</v>
      </c>
      <c r="U3649" s="44">
        <v>45742.64141142361</v>
      </c>
      <c r="V3649" s="44">
        <v>45743.435866354164</v>
      </c>
      <c r="W3649" s="11"/>
      <c r="X3649" s="11"/>
      <c r="Y3649" s="45"/>
      <c r="Z3649" s="45"/>
      <c r="AA3649" s="31" t="s">
        <v>3385</v>
      </c>
      <c r="AB3649" s="45" t="s">
        <v>14243</v>
      </c>
      <c r="AC3649" s="45"/>
    </row>
    <row r="3650" ht="18.75" customHeight="1">
      <c r="A3650" s="142" t="s">
        <v>14244</v>
      </c>
      <c r="B3650" s="19" t="s">
        <v>4352</v>
      </c>
      <c r="C3650" s="20">
        <v>11.0</v>
      </c>
      <c r="D3650" s="48" t="s">
        <v>14245</v>
      </c>
      <c r="E3650" s="27" t="s">
        <v>112</v>
      </c>
      <c r="F3650" s="18" t="s">
        <v>48</v>
      </c>
      <c r="G3650" s="18" t="s">
        <v>35</v>
      </c>
      <c r="H3650" s="40" t="s">
        <v>35</v>
      </c>
      <c r="I3650" s="37" t="s">
        <v>36</v>
      </c>
      <c r="J3650" s="25" t="s">
        <v>49</v>
      </c>
      <c r="K3650" s="26" t="s">
        <v>38</v>
      </c>
      <c r="L3650" s="25">
        <v>12788.0</v>
      </c>
      <c r="M3650" s="49" t="s">
        <v>50</v>
      </c>
      <c r="N3650" s="42" t="s">
        <v>9953</v>
      </c>
      <c r="O3650" s="67">
        <v>45743.631266909724</v>
      </c>
      <c r="P3650" s="26" t="s">
        <v>14246</v>
      </c>
      <c r="Q3650" s="13" t="s">
        <v>75</v>
      </c>
      <c r="R3650" s="13" t="s">
        <v>75</v>
      </c>
      <c r="S3650" s="13" t="s">
        <v>50</v>
      </c>
      <c r="T3650" s="44">
        <v>45741.44141526621</v>
      </c>
      <c r="U3650" s="44">
        <v>45743.38331993055</v>
      </c>
      <c r="V3650" s="44">
        <v>45743.43587903935</v>
      </c>
      <c r="W3650" s="11"/>
      <c r="X3650" s="11"/>
      <c r="Y3650" s="45"/>
      <c r="Z3650" s="45"/>
      <c r="AA3650" s="31" t="s">
        <v>127</v>
      </c>
      <c r="AB3650" s="45" t="s">
        <v>14247</v>
      </c>
      <c r="AC3650" s="45"/>
    </row>
    <row r="3651" ht="18.75" customHeight="1">
      <c r="A3651" s="142" t="s">
        <v>14248</v>
      </c>
      <c r="B3651" s="19" t="s">
        <v>11215</v>
      </c>
      <c r="C3651" s="20">
        <v>90.0</v>
      </c>
      <c r="D3651" s="48" t="s">
        <v>14249</v>
      </c>
      <c r="E3651" s="27" t="s">
        <v>91</v>
      </c>
      <c r="F3651" s="18" t="s">
        <v>48</v>
      </c>
      <c r="G3651" s="18" t="s">
        <v>35</v>
      </c>
      <c r="H3651" s="40" t="s">
        <v>35</v>
      </c>
      <c r="I3651" s="37" t="s">
        <v>36</v>
      </c>
      <c r="J3651" s="25" t="s">
        <v>49</v>
      </c>
      <c r="K3651" s="26" t="s">
        <v>14250</v>
      </c>
      <c r="L3651" s="25">
        <v>12818.0</v>
      </c>
      <c r="M3651" s="49" t="s">
        <v>73</v>
      </c>
      <c r="N3651" s="42" t="s">
        <v>5936</v>
      </c>
      <c r="O3651" s="67">
        <v>45749.46007403935</v>
      </c>
      <c r="P3651" s="26" t="s">
        <v>14251</v>
      </c>
      <c r="Q3651" s="13" t="s">
        <v>75</v>
      </c>
      <c r="R3651" s="13" t="s">
        <v>75</v>
      </c>
      <c r="S3651" s="13" t="s">
        <v>50</v>
      </c>
      <c r="T3651" s="44">
        <v>45741.45942168981</v>
      </c>
      <c r="U3651" s="44">
        <v>45747.6533509375</v>
      </c>
      <c r="V3651" s="44">
        <v>45748.4187899074</v>
      </c>
      <c r="W3651" s="11"/>
      <c r="X3651" s="11"/>
      <c r="Y3651" s="45"/>
      <c r="Z3651" s="45"/>
      <c r="AA3651" s="31" t="s">
        <v>9317</v>
      </c>
      <c r="AB3651" s="45" t="s">
        <v>14252</v>
      </c>
      <c r="AC3651" s="45"/>
    </row>
    <row r="3652" ht="18.75" customHeight="1">
      <c r="A3652" s="142" t="s">
        <v>14253</v>
      </c>
      <c r="B3652" s="19" t="s">
        <v>4215</v>
      </c>
      <c r="C3652" s="20">
        <v>0.0</v>
      </c>
      <c r="D3652" s="48" t="s">
        <v>14254</v>
      </c>
      <c r="E3652" s="27" t="s">
        <v>295</v>
      </c>
      <c r="F3652" s="18" t="s">
        <v>33</v>
      </c>
      <c r="G3652" s="18" t="s">
        <v>34</v>
      </c>
      <c r="H3652" s="40" t="s">
        <v>35</v>
      </c>
      <c r="I3652" s="37" t="s">
        <v>36</v>
      </c>
      <c r="J3652" s="25" t="s">
        <v>420</v>
      </c>
      <c r="K3652" s="26" t="s">
        <v>38</v>
      </c>
      <c r="L3652" s="25">
        <v>12902.0</v>
      </c>
      <c r="M3652" s="49" t="s">
        <v>50</v>
      </c>
      <c r="N3652" s="42" t="s">
        <v>4031</v>
      </c>
      <c r="O3652" s="67">
        <v>45764.70451188658</v>
      </c>
      <c r="P3652" s="26" t="s">
        <v>14255</v>
      </c>
      <c r="Q3652" s="13" t="s">
        <v>75</v>
      </c>
      <c r="R3652" s="13" t="s">
        <v>75</v>
      </c>
      <c r="S3652" s="13"/>
      <c r="T3652" s="44">
        <v>45763.597021574074</v>
      </c>
      <c r="U3652" s="44">
        <v>45763.59705943287</v>
      </c>
      <c r="V3652" s="13"/>
      <c r="W3652" s="11"/>
      <c r="X3652" s="148">
        <v>45778.0</v>
      </c>
      <c r="Y3652" s="45"/>
      <c r="Z3652" s="45"/>
      <c r="AA3652" s="31"/>
      <c r="AB3652" s="45" t="s">
        <v>14256</v>
      </c>
      <c r="AC3652" s="45"/>
    </row>
    <row r="3653" ht="18.75" customHeight="1">
      <c r="A3653" s="142" t="s">
        <v>14257</v>
      </c>
      <c r="B3653" s="19" t="s">
        <v>96</v>
      </c>
      <c r="C3653" s="20">
        <v>90.0</v>
      </c>
      <c r="D3653" s="48" t="s">
        <v>14258</v>
      </c>
      <c r="E3653" s="27" t="s">
        <v>91</v>
      </c>
      <c r="F3653" s="18" t="s">
        <v>48</v>
      </c>
      <c r="G3653" s="18" t="s">
        <v>35</v>
      </c>
      <c r="H3653" s="40" t="s">
        <v>35</v>
      </c>
      <c r="I3653" s="37" t="s">
        <v>36</v>
      </c>
      <c r="J3653" s="25" t="s">
        <v>49</v>
      </c>
      <c r="K3653" s="26" t="s">
        <v>38</v>
      </c>
      <c r="L3653" s="25">
        <v>12784.0</v>
      </c>
      <c r="M3653" s="49" t="s">
        <v>50</v>
      </c>
      <c r="N3653" s="42" t="s">
        <v>5936</v>
      </c>
      <c r="O3653" s="67">
        <v>45743.435393078704</v>
      </c>
      <c r="P3653" s="26" t="s">
        <v>14259</v>
      </c>
      <c r="Q3653" s="13" t="s">
        <v>75</v>
      </c>
      <c r="R3653" s="13" t="s">
        <v>75</v>
      </c>
      <c r="S3653" s="13" t="s">
        <v>73</v>
      </c>
      <c r="T3653" s="44">
        <v>45741.67202252315</v>
      </c>
      <c r="U3653" s="44">
        <v>45741.70994840278</v>
      </c>
      <c r="V3653" s="44">
        <v>45742.349274120366</v>
      </c>
      <c r="W3653" s="11"/>
      <c r="X3653" s="11"/>
      <c r="Y3653" s="45"/>
      <c r="Z3653" s="45"/>
      <c r="AA3653" s="31" t="s">
        <v>102</v>
      </c>
      <c r="AB3653" s="45" t="s">
        <v>14260</v>
      </c>
      <c r="AC3653" s="45"/>
    </row>
    <row r="3654" ht="18.75" customHeight="1">
      <c r="A3654" s="18" t="s">
        <v>14261</v>
      </c>
      <c r="B3654" s="19" t="s">
        <v>3645</v>
      </c>
      <c r="C3654" s="20">
        <v>0.0</v>
      </c>
      <c r="D3654" s="48" t="s">
        <v>14262</v>
      </c>
      <c r="E3654" s="27" t="s">
        <v>453</v>
      </c>
      <c r="F3654" s="18" t="s">
        <v>244</v>
      </c>
      <c r="G3654" s="18" t="s">
        <v>35</v>
      </c>
      <c r="H3654" s="40" t="s">
        <v>35</v>
      </c>
      <c r="I3654" s="37" t="s">
        <v>36</v>
      </c>
      <c r="J3654" s="25" t="s">
        <v>49</v>
      </c>
      <c r="K3654" s="26" t="s">
        <v>38</v>
      </c>
      <c r="L3654" s="25">
        <v>12823.0</v>
      </c>
      <c r="M3654" s="49" t="s">
        <v>50</v>
      </c>
      <c r="N3654" s="42" t="s">
        <v>9953</v>
      </c>
      <c r="O3654" s="67">
        <v>45750.59285706018</v>
      </c>
      <c r="P3654" s="26" t="s">
        <v>14263</v>
      </c>
      <c r="Q3654" s="13" t="s">
        <v>75</v>
      </c>
      <c r="R3654" s="13" t="s">
        <v>75</v>
      </c>
      <c r="S3654" s="13"/>
      <c r="T3654" s="44">
        <v>45742.55304209491</v>
      </c>
      <c r="U3654" s="44">
        <v>45748.454726516204</v>
      </c>
      <c r="V3654" s="13"/>
      <c r="W3654" s="11"/>
      <c r="X3654" s="11"/>
      <c r="Y3654" s="45"/>
      <c r="Z3654" s="45"/>
      <c r="AA3654" s="31" t="s">
        <v>127</v>
      </c>
      <c r="AB3654" s="45" t="s">
        <v>14264</v>
      </c>
      <c r="AC3654" s="45"/>
    </row>
    <row r="3655" ht="18.75" customHeight="1">
      <c r="A3655" s="18" t="s">
        <v>14265</v>
      </c>
      <c r="B3655" s="19" t="s">
        <v>3645</v>
      </c>
      <c r="C3655" s="20">
        <v>0.0</v>
      </c>
      <c r="D3655" s="48" t="s">
        <v>1517</v>
      </c>
      <c r="E3655" s="27" t="s">
        <v>453</v>
      </c>
      <c r="F3655" s="18" t="s">
        <v>244</v>
      </c>
      <c r="G3655" s="18" t="s">
        <v>35</v>
      </c>
      <c r="H3655" s="40" t="s">
        <v>35</v>
      </c>
      <c r="I3655" s="37" t="s">
        <v>36</v>
      </c>
      <c r="J3655" s="25" t="s">
        <v>49</v>
      </c>
      <c r="K3655" s="26" t="s">
        <v>38</v>
      </c>
      <c r="L3655" s="25">
        <v>12823.0</v>
      </c>
      <c r="M3655" s="49" t="s">
        <v>50</v>
      </c>
      <c r="N3655" s="42" t="s">
        <v>9953</v>
      </c>
      <c r="O3655" s="67">
        <v>45750.5929460301</v>
      </c>
      <c r="P3655" s="26" t="s">
        <v>14263</v>
      </c>
      <c r="Q3655" s="13" t="s">
        <v>75</v>
      </c>
      <c r="R3655" s="13" t="s">
        <v>75</v>
      </c>
      <c r="S3655" s="13"/>
      <c r="T3655" s="44">
        <v>45742.55308835648</v>
      </c>
      <c r="U3655" s="44">
        <v>45748.454731516205</v>
      </c>
      <c r="V3655" s="13"/>
      <c r="W3655" s="11"/>
      <c r="X3655" s="11"/>
      <c r="Y3655" s="45"/>
      <c r="Z3655" s="45"/>
      <c r="AA3655" s="31" t="s">
        <v>127</v>
      </c>
      <c r="AB3655" s="45" t="s">
        <v>14266</v>
      </c>
      <c r="AC3655" s="45"/>
    </row>
    <row r="3656" ht="18.75" customHeight="1">
      <c r="A3656" s="18" t="s">
        <v>14267</v>
      </c>
      <c r="B3656" s="19" t="s">
        <v>3645</v>
      </c>
      <c r="C3656" s="20">
        <v>0.0</v>
      </c>
      <c r="D3656" s="48" t="s">
        <v>14268</v>
      </c>
      <c r="E3656" s="27" t="s">
        <v>453</v>
      </c>
      <c r="F3656" s="18" t="s">
        <v>244</v>
      </c>
      <c r="G3656" s="18" t="s">
        <v>35</v>
      </c>
      <c r="H3656" s="40" t="s">
        <v>35</v>
      </c>
      <c r="I3656" s="37" t="s">
        <v>36</v>
      </c>
      <c r="J3656" s="25" t="s">
        <v>49</v>
      </c>
      <c r="K3656" s="26" t="s">
        <v>38</v>
      </c>
      <c r="L3656" s="25">
        <v>12823.0</v>
      </c>
      <c r="M3656" s="49" t="s">
        <v>50</v>
      </c>
      <c r="N3656" s="42" t="s">
        <v>9953</v>
      </c>
      <c r="O3656" s="67">
        <v>45750.59301445602</v>
      </c>
      <c r="P3656" s="26" t="s">
        <v>14263</v>
      </c>
      <c r="Q3656" s="13" t="s">
        <v>75</v>
      </c>
      <c r="R3656" s="13" t="s">
        <v>75</v>
      </c>
      <c r="S3656" s="13"/>
      <c r="T3656" s="44">
        <v>45742.553132581015</v>
      </c>
      <c r="U3656" s="44">
        <v>45748.454735810185</v>
      </c>
      <c r="V3656" s="13"/>
      <c r="W3656" s="11"/>
      <c r="X3656" s="11"/>
      <c r="Y3656" s="45"/>
      <c r="Z3656" s="45"/>
      <c r="AA3656" s="31" t="s">
        <v>127</v>
      </c>
      <c r="AB3656" s="45" t="s">
        <v>14269</v>
      </c>
      <c r="AC3656" s="45"/>
    </row>
    <row r="3657" ht="18.75" customHeight="1">
      <c r="A3657" s="142" t="s">
        <v>14270</v>
      </c>
      <c r="B3657" s="19" t="s">
        <v>548</v>
      </c>
      <c r="C3657" s="20">
        <v>90.0</v>
      </c>
      <c r="D3657" s="48" t="s">
        <v>14271</v>
      </c>
      <c r="E3657" s="27" t="s">
        <v>91</v>
      </c>
      <c r="F3657" s="18" t="s">
        <v>48</v>
      </c>
      <c r="G3657" s="18" t="s">
        <v>35</v>
      </c>
      <c r="H3657" s="40" t="s">
        <v>35</v>
      </c>
      <c r="I3657" s="37" t="s">
        <v>36</v>
      </c>
      <c r="J3657" s="25" t="s">
        <v>92</v>
      </c>
      <c r="K3657" s="26" t="s">
        <v>38</v>
      </c>
      <c r="L3657" s="25">
        <v>12824.0</v>
      </c>
      <c r="M3657" s="49" t="s">
        <v>73</v>
      </c>
      <c r="N3657" s="42" t="s">
        <v>14272</v>
      </c>
      <c r="O3657" s="67">
        <v>45751.43115065972</v>
      </c>
      <c r="P3657" s="26" t="s">
        <v>14273</v>
      </c>
      <c r="Q3657" s="13" t="s">
        <v>75</v>
      </c>
      <c r="R3657" s="13" t="s">
        <v>75</v>
      </c>
      <c r="S3657" s="13" t="s">
        <v>50</v>
      </c>
      <c r="T3657" s="44">
        <v>45742.48838678241</v>
      </c>
      <c r="U3657" s="44">
        <v>45749.377846250005</v>
      </c>
      <c r="V3657" s="44">
        <v>45749.41645938657</v>
      </c>
      <c r="W3657" s="11"/>
      <c r="X3657" s="11"/>
      <c r="Y3657" s="45"/>
      <c r="Z3657" s="45"/>
      <c r="AA3657" s="31" t="s">
        <v>120</v>
      </c>
      <c r="AB3657" s="45" t="s">
        <v>14274</v>
      </c>
      <c r="AC3657" s="45"/>
    </row>
    <row r="3658" ht="18.75" customHeight="1">
      <c r="A3658" s="142" t="s">
        <v>14275</v>
      </c>
      <c r="B3658" s="19" t="s">
        <v>548</v>
      </c>
      <c r="C3658" s="20">
        <v>33.0</v>
      </c>
      <c r="D3658" s="48" t="s">
        <v>14276</v>
      </c>
      <c r="E3658" s="27" t="s">
        <v>6133</v>
      </c>
      <c r="F3658" s="18" t="s">
        <v>48</v>
      </c>
      <c r="G3658" s="18" t="s">
        <v>35</v>
      </c>
      <c r="H3658" s="40" t="s">
        <v>35</v>
      </c>
      <c r="I3658" s="37" t="s">
        <v>36</v>
      </c>
      <c r="J3658" s="25" t="s">
        <v>92</v>
      </c>
      <c r="K3658" s="26" t="s">
        <v>38</v>
      </c>
      <c r="L3658" s="25">
        <v>12825.0</v>
      </c>
      <c r="M3658" s="49" t="s">
        <v>73</v>
      </c>
      <c r="N3658" s="42" t="s">
        <v>14272</v>
      </c>
      <c r="O3658" s="67">
        <v>45751.4312054051</v>
      </c>
      <c r="P3658" s="26" t="s">
        <v>14277</v>
      </c>
      <c r="Q3658" s="13" t="s">
        <v>75</v>
      </c>
      <c r="R3658" s="13" t="s">
        <v>75</v>
      </c>
      <c r="S3658" s="13" t="s">
        <v>50</v>
      </c>
      <c r="T3658" s="44">
        <v>45742.48830886574</v>
      </c>
      <c r="U3658" s="44">
        <v>45749.3777652662</v>
      </c>
      <c r="V3658" s="44">
        <v>45749.41644486111</v>
      </c>
      <c r="W3658" s="11"/>
      <c r="X3658" s="11"/>
      <c r="Y3658" s="45"/>
      <c r="Z3658" s="45"/>
      <c r="AA3658" s="31" t="s">
        <v>120</v>
      </c>
      <c r="AB3658" s="45" t="s">
        <v>14278</v>
      </c>
      <c r="AC3658" s="45"/>
    </row>
    <row r="3659" ht="18.75" customHeight="1">
      <c r="A3659" s="18" t="s">
        <v>14279</v>
      </c>
      <c r="B3659" s="19" t="s">
        <v>548</v>
      </c>
      <c r="C3659" s="20">
        <v>90.0</v>
      </c>
      <c r="D3659" s="48" t="s">
        <v>14280</v>
      </c>
      <c r="E3659" s="27" t="s">
        <v>91</v>
      </c>
      <c r="F3659" s="18" t="s">
        <v>48</v>
      </c>
      <c r="G3659" s="18" t="s">
        <v>35</v>
      </c>
      <c r="H3659" s="40" t="s">
        <v>35</v>
      </c>
      <c r="I3659" s="37" t="s">
        <v>36</v>
      </c>
      <c r="J3659" s="25" t="s">
        <v>92</v>
      </c>
      <c r="K3659" s="26" t="s">
        <v>38</v>
      </c>
      <c r="L3659" s="25">
        <v>12826.0</v>
      </c>
      <c r="M3659" s="49" t="s">
        <v>73</v>
      </c>
      <c r="N3659" s="42" t="s">
        <v>14272</v>
      </c>
      <c r="O3659" s="67">
        <v>45751.431252581024</v>
      </c>
      <c r="P3659" s="26" t="s">
        <v>14281</v>
      </c>
      <c r="Q3659" s="13" t="s">
        <v>75</v>
      </c>
      <c r="R3659" s="13" t="s">
        <v>75</v>
      </c>
      <c r="S3659" s="13" t="s">
        <v>50</v>
      </c>
      <c r="T3659" s="44">
        <v>45742.48822559028</v>
      </c>
      <c r="U3659" s="44">
        <v>45749.37568216435</v>
      </c>
      <c r="V3659" s="44">
        <v>45749.4164121875</v>
      </c>
      <c r="W3659" s="11"/>
      <c r="X3659" s="11"/>
      <c r="Y3659" s="45"/>
      <c r="Z3659" s="45"/>
      <c r="AA3659" s="31" t="s">
        <v>120</v>
      </c>
      <c r="AB3659" s="45" t="s">
        <v>14282</v>
      </c>
      <c r="AC3659" s="45"/>
    </row>
    <row r="3660" ht="18.75" customHeight="1">
      <c r="A3660" s="18" t="s">
        <v>14283</v>
      </c>
      <c r="B3660" s="19" t="s">
        <v>548</v>
      </c>
      <c r="C3660" s="20">
        <v>90.0</v>
      </c>
      <c r="D3660" s="48" t="s">
        <v>14284</v>
      </c>
      <c r="E3660" s="27" t="s">
        <v>91</v>
      </c>
      <c r="F3660" s="18" t="s">
        <v>48</v>
      </c>
      <c r="G3660" s="18" t="s">
        <v>35</v>
      </c>
      <c r="H3660" s="40" t="s">
        <v>35</v>
      </c>
      <c r="I3660" s="37" t="s">
        <v>36</v>
      </c>
      <c r="J3660" s="25" t="s">
        <v>92</v>
      </c>
      <c r="K3660" s="26" t="s">
        <v>38</v>
      </c>
      <c r="L3660" s="25">
        <v>12826.0</v>
      </c>
      <c r="M3660" s="49" t="s">
        <v>73</v>
      </c>
      <c r="N3660" s="42" t="s">
        <v>14272</v>
      </c>
      <c r="O3660" s="67">
        <v>45751.43130222222</v>
      </c>
      <c r="P3660" s="26" t="s">
        <v>14281</v>
      </c>
      <c r="Q3660" s="13" t="s">
        <v>75</v>
      </c>
      <c r="R3660" s="13" t="s">
        <v>75</v>
      </c>
      <c r="S3660" s="13" t="s">
        <v>50</v>
      </c>
      <c r="T3660" s="44">
        <v>45742.487570729165</v>
      </c>
      <c r="U3660" s="44">
        <v>45749.37577329861</v>
      </c>
      <c r="V3660" s="44">
        <v>45749.41643265046</v>
      </c>
      <c r="W3660" s="11"/>
      <c r="X3660" s="11"/>
      <c r="Y3660" s="45"/>
      <c r="Z3660" s="45"/>
      <c r="AA3660" s="31" t="s">
        <v>120</v>
      </c>
      <c r="AB3660" s="45" t="s">
        <v>14285</v>
      </c>
      <c r="AC3660" s="45"/>
    </row>
    <row r="3661" ht="18.75" customHeight="1">
      <c r="A3661" s="142" t="s">
        <v>14286</v>
      </c>
      <c r="B3661" s="19" t="s">
        <v>5004</v>
      </c>
      <c r="C3661" s="20">
        <v>90.0</v>
      </c>
      <c r="D3661" s="48" t="s">
        <v>14287</v>
      </c>
      <c r="E3661" s="27" t="s">
        <v>91</v>
      </c>
      <c r="F3661" s="18" t="s">
        <v>48</v>
      </c>
      <c r="G3661" s="18" t="s">
        <v>35</v>
      </c>
      <c r="H3661" s="40" t="s">
        <v>35</v>
      </c>
      <c r="I3661" s="37" t="s">
        <v>36</v>
      </c>
      <c r="J3661" s="25" t="s">
        <v>420</v>
      </c>
      <c r="K3661" s="26" t="s">
        <v>38</v>
      </c>
      <c r="L3661" s="25">
        <v>12796.0</v>
      </c>
      <c r="M3661" s="49" t="s">
        <v>50</v>
      </c>
      <c r="N3661" s="42" t="s">
        <v>14288</v>
      </c>
      <c r="O3661" s="67">
        <v>45743.687954189816</v>
      </c>
      <c r="P3661" s="26" t="s">
        <v>14289</v>
      </c>
      <c r="Q3661" s="13" t="s">
        <v>75</v>
      </c>
      <c r="R3661" s="13" t="s">
        <v>75</v>
      </c>
      <c r="S3661" s="13" t="s">
        <v>50</v>
      </c>
      <c r="T3661" s="44">
        <v>45743.595232928245</v>
      </c>
      <c r="U3661" s="44">
        <v>45743.612783564815</v>
      </c>
      <c r="V3661" s="44">
        <v>45743.61736908565</v>
      </c>
      <c r="W3661" s="11"/>
      <c r="X3661" s="11"/>
      <c r="Y3661" s="45"/>
      <c r="Z3661" s="45"/>
      <c r="AA3661" s="31" t="s">
        <v>120</v>
      </c>
      <c r="AB3661" s="45" t="s">
        <v>14290</v>
      </c>
      <c r="AC3661" s="45"/>
    </row>
    <row r="3662" ht="18.75" customHeight="1">
      <c r="A3662" s="18" t="s">
        <v>14291</v>
      </c>
      <c r="B3662" s="19" t="s">
        <v>9280</v>
      </c>
      <c r="C3662" s="20">
        <v>11.0</v>
      </c>
      <c r="D3662" s="48" t="s">
        <v>14292</v>
      </c>
      <c r="E3662" s="27" t="s">
        <v>112</v>
      </c>
      <c r="F3662" s="18" t="s">
        <v>48</v>
      </c>
      <c r="G3662" s="18" t="s">
        <v>35</v>
      </c>
      <c r="H3662" s="40" t="s">
        <v>35</v>
      </c>
      <c r="I3662" s="37" t="s">
        <v>36</v>
      </c>
      <c r="J3662" s="25" t="s">
        <v>49</v>
      </c>
      <c r="K3662" s="26" t="s">
        <v>38</v>
      </c>
      <c r="L3662" s="25">
        <v>12787.0</v>
      </c>
      <c r="M3662" s="49" t="s">
        <v>50</v>
      </c>
      <c r="N3662" s="42" t="s">
        <v>5936</v>
      </c>
      <c r="O3662" s="67">
        <v>45743.43546864583</v>
      </c>
      <c r="P3662" s="26" t="s">
        <v>14293</v>
      </c>
      <c r="Q3662" s="13" t="s">
        <v>75</v>
      </c>
      <c r="R3662" s="13" t="s">
        <v>75</v>
      </c>
      <c r="S3662" s="13" t="s">
        <v>73</v>
      </c>
      <c r="T3662" s="44">
        <v>45742.612676979166</v>
      </c>
      <c r="U3662" s="44">
        <v>45742.61267870371</v>
      </c>
      <c r="V3662" s="44">
        <v>45742.61400678241</v>
      </c>
      <c r="W3662" s="11"/>
      <c r="X3662" s="11"/>
      <c r="Y3662" s="45"/>
      <c r="Z3662" s="45"/>
      <c r="AA3662" s="31" t="s">
        <v>127</v>
      </c>
      <c r="AB3662" s="45" t="s">
        <v>14294</v>
      </c>
      <c r="AC3662" s="45"/>
    </row>
    <row r="3663" ht="18.75" customHeight="1">
      <c r="A3663" s="18" t="s">
        <v>14295</v>
      </c>
      <c r="B3663" s="19" t="s">
        <v>9280</v>
      </c>
      <c r="C3663" s="20">
        <v>11.0</v>
      </c>
      <c r="D3663" s="48" t="s">
        <v>14296</v>
      </c>
      <c r="E3663" s="27" t="s">
        <v>112</v>
      </c>
      <c r="F3663" s="18" t="s">
        <v>48</v>
      </c>
      <c r="G3663" s="18" t="s">
        <v>35</v>
      </c>
      <c r="H3663" s="40" t="s">
        <v>35</v>
      </c>
      <c r="I3663" s="37" t="s">
        <v>36</v>
      </c>
      <c r="J3663" s="25" t="s">
        <v>49</v>
      </c>
      <c r="K3663" s="26" t="s">
        <v>38</v>
      </c>
      <c r="L3663" s="25">
        <v>12787.0</v>
      </c>
      <c r="M3663" s="49" t="s">
        <v>50</v>
      </c>
      <c r="N3663" s="42" t="s">
        <v>5936</v>
      </c>
      <c r="O3663" s="67">
        <v>45743.43555222222</v>
      </c>
      <c r="P3663" s="26" t="s">
        <v>14293</v>
      </c>
      <c r="Q3663" s="13" t="s">
        <v>75</v>
      </c>
      <c r="R3663" s="13" t="s">
        <v>75</v>
      </c>
      <c r="S3663" s="13" t="s">
        <v>73</v>
      </c>
      <c r="T3663" s="44">
        <v>45742.612585208335</v>
      </c>
      <c r="U3663" s="44">
        <v>45742.612701157406</v>
      </c>
      <c r="V3663" s="44">
        <v>45742.61430997685</v>
      </c>
      <c r="W3663" s="11"/>
      <c r="X3663" s="11"/>
      <c r="Y3663" s="45"/>
      <c r="Z3663" s="45"/>
      <c r="AA3663" s="31" t="s">
        <v>127</v>
      </c>
      <c r="AB3663" s="45" t="s">
        <v>14297</v>
      </c>
      <c r="AC3663" s="45"/>
    </row>
    <row r="3664" ht="18.75" customHeight="1">
      <c r="A3664" s="142" t="s">
        <v>14298</v>
      </c>
      <c r="B3664" s="19" t="s">
        <v>8921</v>
      </c>
      <c r="C3664" s="20">
        <v>90.0</v>
      </c>
      <c r="D3664" s="48" t="s">
        <v>14299</v>
      </c>
      <c r="E3664" s="27" t="s">
        <v>91</v>
      </c>
      <c r="F3664" s="18" t="s">
        <v>48</v>
      </c>
      <c r="G3664" s="18" t="s">
        <v>35</v>
      </c>
      <c r="H3664" s="40" t="s">
        <v>35</v>
      </c>
      <c r="I3664" s="37" t="s">
        <v>36</v>
      </c>
      <c r="J3664" s="25" t="s">
        <v>49</v>
      </c>
      <c r="K3664" s="26" t="s">
        <v>1506</v>
      </c>
      <c r="L3664" s="25">
        <v>12789.0</v>
      </c>
      <c r="M3664" s="49" t="s">
        <v>50</v>
      </c>
      <c r="N3664" s="42" t="s">
        <v>9953</v>
      </c>
      <c r="O3664" s="67">
        <v>45743.63131991898</v>
      </c>
      <c r="P3664" s="26" t="s">
        <v>14300</v>
      </c>
      <c r="Q3664" s="13" t="s">
        <v>75</v>
      </c>
      <c r="R3664" s="13" t="s">
        <v>75</v>
      </c>
      <c r="S3664" s="13" t="s">
        <v>50</v>
      </c>
      <c r="T3664" s="44">
        <v>45743.42857400463</v>
      </c>
      <c r="U3664" s="44">
        <v>45743.4285758912</v>
      </c>
      <c r="V3664" s="44">
        <v>45743.43588839121</v>
      </c>
      <c r="W3664" s="11"/>
      <c r="X3664" s="11"/>
      <c r="Y3664" s="45"/>
      <c r="Z3664" s="45"/>
      <c r="AA3664" s="31" t="s">
        <v>3053</v>
      </c>
      <c r="AB3664" s="45" t="s">
        <v>14301</v>
      </c>
      <c r="AC3664" s="45"/>
    </row>
    <row r="3665" ht="18.75" customHeight="1">
      <c r="A3665" s="142" t="s">
        <v>14302</v>
      </c>
      <c r="B3665" s="19" t="s">
        <v>2138</v>
      </c>
      <c r="C3665" s="20">
        <v>0.0</v>
      </c>
      <c r="D3665" s="48" t="s">
        <v>14303</v>
      </c>
      <c r="E3665" s="27" t="s">
        <v>3441</v>
      </c>
      <c r="F3665" s="18" t="s">
        <v>48</v>
      </c>
      <c r="G3665" s="18" t="s">
        <v>35</v>
      </c>
      <c r="H3665" s="40" t="s">
        <v>35</v>
      </c>
      <c r="I3665" s="37" t="s">
        <v>36</v>
      </c>
      <c r="J3665" s="25" t="s">
        <v>65</v>
      </c>
      <c r="K3665" s="26" t="s">
        <v>38</v>
      </c>
      <c r="L3665" s="25">
        <v>12790.0</v>
      </c>
      <c r="M3665" s="49" t="s">
        <v>50</v>
      </c>
      <c r="N3665" s="42" t="s">
        <v>149</v>
      </c>
      <c r="O3665" s="67">
        <v>45743.63100505787</v>
      </c>
      <c r="P3665" s="35" t="s">
        <v>14304</v>
      </c>
      <c r="Q3665" s="13" t="s">
        <v>75</v>
      </c>
      <c r="R3665" s="13" t="s">
        <v>75</v>
      </c>
      <c r="S3665" s="13" t="s">
        <v>50</v>
      </c>
      <c r="T3665" s="200">
        <v>45743.63100505787</v>
      </c>
      <c r="U3665" s="44">
        <v>45743.42889971065</v>
      </c>
      <c r="V3665" s="44">
        <v>45743.43589837963</v>
      </c>
      <c r="W3665" s="11"/>
      <c r="X3665" s="11"/>
      <c r="Y3665" s="45"/>
      <c r="Z3665" s="45"/>
      <c r="AA3665" s="31" t="s">
        <v>94</v>
      </c>
      <c r="AB3665" s="45" t="s">
        <v>14305</v>
      </c>
      <c r="AC3665" s="45"/>
    </row>
    <row r="3666" ht="18.75" customHeight="1">
      <c r="A3666" s="142" t="s">
        <v>14306</v>
      </c>
      <c r="B3666" s="19" t="s">
        <v>4352</v>
      </c>
      <c r="C3666" s="20">
        <v>0.0</v>
      </c>
      <c r="D3666" s="48" t="s">
        <v>14307</v>
      </c>
      <c r="E3666" s="27" t="s">
        <v>3441</v>
      </c>
      <c r="F3666" s="18" t="s">
        <v>48</v>
      </c>
      <c r="G3666" s="18" t="s">
        <v>35</v>
      </c>
      <c r="H3666" s="40" t="s">
        <v>35</v>
      </c>
      <c r="I3666" s="37" t="s">
        <v>36</v>
      </c>
      <c r="J3666" s="25" t="s">
        <v>49</v>
      </c>
      <c r="K3666" s="26" t="s">
        <v>38</v>
      </c>
      <c r="L3666" s="25">
        <v>12804.0</v>
      </c>
      <c r="M3666" s="49" t="s">
        <v>73</v>
      </c>
      <c r="N3666" s="42" t="s">
        <v>5936</v>
      </c>
      <c r="O3666" s="67">
        <v>45747.63879921296</v>
      </c>
      <c r="P3666" s="26" t="s">
        <v>14308</v>
      </c>
      <c r="Q3666" s="13" t="s">
        <v>75</v>
      </c>
      <c r="R3666" s="13" t="s">
        <v>75</v>
      </c>
      <c r="S3666" s="13" t="s">
        <v>50</v>
      </c>
      <c r="T3666" s="44">
        <v>45743.50983591435</v>
      </c>
      <c r="U3666" s="44">
        <v>45747.389765925924</v>
      </c>
      <c r="V3666" s="44">
        <v>45747.4075700463</v>
      </c>
      <c r="W3666" s="11"/>
      <c r="X3666" s="11"/>
      <c r="Y3666" s="45"/>
      <c r="Z3666" s="45"/>
      <c r="AA3666" s="31" t="s">
        <v>127</v>
      </c>
      <c r="AB3666" s="45" t="s">
        <v>14309</v>
      </c>
      <c r="AC3666" s="45"/>
    </row>
    <row r="3667" ht="18.75" customHeight="1">
      <c r="A3667" s="142" t="s">
        <v>14310</v>
      </c>
      <c r="B3667" s="19" t="s">
        <v>10831</v>
      </c>
      <c r="C3667" s="20">
        <v>27.0</v>
      </c>
      <c r="D3667" s="39" t="s">
        <v>14311</v>
      </c>
      <c r="E3667" s="27" t="s">
        <v>72</v>
      </c>
      <c r="F3667" s="18" t="s">
        <v>48</v>
      </c>
      <c r="G3667" s="18" t="s">
        <v>35</v>
      </c>
      <c r="H3667" s="40" t="s">
        <v>35</v>
      </c>
      <c r="I3667" s="37" t="s">
        <v>36</v>
      </c>
      <c r="J3667" s="25" t="s">
        <v>37</v>
      </c>
      <c r="K3667" s="26" t="s">
        <v>38</v>
      </c>
      <c r="L3667" s="25">
        <v>12799.0</v>
      </c>
      <c r="M3667" s="49" t="s">
        <v>50</v>
      </c>
      <c r="N3667" s="42" t="s">
        <v>10833</v>
      </c>
      <c r="O3667" s="67">
        <v>45754.34257221065</v>
      </c>
      <c r="P3667" s="26" t="s">
        <v>14312</v>
      </c>
      <c r="Q3667" s="13" t="s">
        <v>75</v>
      </c>
      <c r="R3667" s="13" t="s">
        <v>75</v>
      </c>
      <c r="S3667" s="13" t="s">
        <v>50</v>
      </c>
      <c r="T3667" s="44">
        <v>45743.72429815972</v>
      </c>
      <c r="U3667" s="44">
        <v>45743.72433034722</v>
      </c>
      <c r="V3667" s="44">
        <v>45744.406276423615</v>
      </c>
      <c r="W3667" s="11"/>
      <c r="X3667" s="11"/>
      <c r="Y3667" s="45"/>
      <c r="Z3667" s="45"/>
      <c r="AA3667" s="31" t="s">
        <v>120</v>
      </c>
      <c r="AB3667" s="45" t="s">
        <v>14313</v>
      </c>
      <c r="AC3667" s="45"/>
    </row>
    <row r="3668" ht="18.75" customHeight="1">
      <c r="A3668" s="18" t="s">
        <v>14314</v>
      </c>
      <c r="B3668" s="19" t="s">
        <v>8197</v>
      </c>
      <c r="C3668" s="20">
        <v>0.0</v>
      </c>
      <c r="D3668" s="48" t="s">
        <v>14315</v>
      </c>
      <c r="E3668" s="27" t="s">
        <v>3441</v>
      </c>
      <c r="F3668" s="18" t="s">
        <v>48</v>
      </c>
      <c r="G3668" s="18" t="s">
        <v>35</v>
      </c>
      <c r="H3668" s="40" t="s">
        <v>35</v>
      </c>
      <c r="I3668" s="37" t="s">
        <v>36</v>
      </c>
      <c r="J3668" s="25" t="s">
        <v>49</v>
      </c>
      <c r="K3668" s="26" t="s">
        <v>11095</v>
      </c>
      <c r="L3668" s="25">
        <v>12801.0</v>
      </c>
      <c r="M3668" s="49" t="s">
        <v>50</v>
      </c>
      <c r="N3668" s="42" t="s">
        <v>9953</v>
      </c>
      <c r="O3668" s="67">
        <v>45744.72178402777</v>
      </c>
      <c r="P3668" s="26" t="s">
        <v>14316</v>
      </c>
      <c r="Q3668" s="13" t="s">
        <v>75</v>
      </c>
      <c r="R3668" s="13" t="s">
        <v>75</v>
      </c>
      <c r="S3668" s="13" t="s">
        <v>50</v>
      </c>
      <c r="T3668" s="44">
        <v>45744.37379366899</v>
      </c>
      <c r="U3668" s="44">
        <v>45744.502253506944</v>
      </c>
      <c r="V3668" s="44">
        <v>45744.5582150463</v>
      </c>
      <c r="W3668" s="11"/>
      <c r="X3668" s="11"/>
      <c r="Y3668" s="45"/>
      <c r="Z3668" s="45"/>
      <c r="AA3668" s="31" t="s">
        <v>5290</v>
      </c>
      <c r="AB3668" s="45" t="s">
        <v>14317</v>
      </c>
      <c r="AC3668" s="45"/>
    </row>
    <row r="3669" ht="18.75" customHeight="1">
      <c r="A3669" s="18" t="s">
        <v>14318</v>
      </c>
      <c r="B3669" s="19" t="s">
        <v>8197</v>
      </c>
      <c r="C3669" s="20">
        <v>11.0</v>
      </c>
      <c r="D3669" s="48" t="s">
        <v>14319</v>
      </c>
      <c r="E3669" s="27" t="s">
        <v>112</v>
      </c>
      <c r="F3669" s="18" t="s">
        <v>48</v>
      </c>
      <c r="G3669" s="18" t="s">
        <v>35</v>
      </c>
      <c r="H3669" s="40" t="s">
        <v>35</v>
      </c>
      <c r="I3669" s="37" t="s">
        <v>36</v>
      </c>
      <c r="J3669" s="25" t="s">
        <v>49</v>
      </c>
      <c r="K3669" s="26" t="s">
        <v>11095</v>
      </c>
      <c r="L3669" s="25">
        <v>12801.0</v>
      </c>
      <c r="M3669" s="49" t="s">
        <v>50</v>
      </c>
      <c r="N3669" s="42" t="s">
        <v>9953</v>
      </c>
      <c r="O3669" s="67">
        <v>45744.721848761576</v>
      </c>
      <c r="P3669" s="26" t="s">
        <v>14316</v>
      </c>
      <c r="Q3669" s="13" t="s">
        <v>75</v>
      </c>
      <c r="R3669" s="13" t="s">
        <v>75</v>
      </c>
      <c r="S3669" s="13" t="s">
        <v>50</v>
      </c>
      <c r="T3669" s="44">
        <v>45744.374197916666</v>
      </c>
      <c r="U3669" s="44">
        <v>45744.50226483797</v>
      </c>
      <c r="V3669" s="44">
        <v>45744.558224699074</v>
      </c>
      <c r="W3669" s="11"/>
      <c r="X3669" s="11"/>
      <c r="Y3669" s="45"/>
      <c r="Z3669" s="45"/>
      <c r="AA3669" s="31" t="s">
        <v>5290</v>
      </c>
      <c r="AB3669" s="45" t="s">
        <v>14320</v>
      </c>
      <c r="AC3669" s="45"/>
    </row>
    <row r="3670" ht="18.75" customHeight="1">
      <c r="A3670" s="142" t="s">
        <v>14321</v>
      </c>
      <c r="B3670" s="19" t="s">
        <v>96</v>
      </c>
      <c r="C3670" s="20">
        <v>0.0</v>
      </c>
      <c r="D3670" s="48" t="s">
        <v>1588</v>
      </c>
      <c r="E3670" s="27" t="s">
        <v>408</v>
      </c>
      <c r="F3670" s="18" t="s">
        <v>33</v>
      </c>
      <c r="G3670" s="18" t="s">
        <v>35</v>
      </c>
      <c r="H3670" s="40" t="s">
        <v>35</v>
      </c>
      <c r="I3670" s="37" t="s">
        <v>36</v>
      </c>
      <c r="J3670" s="25" t="s">
        <v>49</v>
      </c>
      <c r="K3670" s="26" t="s">
        <v>38</v>
      </c>
      <c r="L3670" s="25">
        <v>12913.0</v>
      </c>
      <c r="M3670" s="49" t="s">
        <v>73</v>
      </c>
      <c r="N3670" s="42" t="s">
        <v>5936</v>
      </c>
      <c r="O3670" s="67">
        <v>45770.618306018514</v>
      </c>
      <c r="P3670" s="26" t="s">
        <v>14322</v>
      </c>
      <c r="Q3670" s="13" t="s">
        <v>75</v>
      </c>
      <c r="R3670" s="13" t="s">
        <v>75</v>
      </c>
      <c r="S3670" s="13"/>
      <c r="T3670" s="44">
        <v>45758.720767210645</v>
      </c>
      <c r="U3670" s="44">
        <v>45761.36981520834</v>
      </c>
      <c r="V3670" s="13"/>
      <c r="W3670" s="11"/>
      <c r="X3670" s="11"/>
      <c r="Y3670" s="45"/>
      <c r="Z3670" s="45"/>
      <c r="AA3670" s="31" t="s">
        <v>102</v>
      </c>
      <c r="AB3670" s="45" t="s">
        <v>14323</v>
      </c>
      <c r="AC3670" s="45"/>
    </row>
    <row r="3671" ht="18.75" customHeight="1">
      <c r="A3671" s="142" t="s">
        <v>14324</v>
      </c>
      <c r="B3671" s="19" t="s">
        <v>96</v>
      </c>
      <c r="C3671" s="20">
        <v>0.0</v>
      </c>
      <c r="D3671" s="48" t="s">
        <v>14325</v>
      </c>
      <c r="E3671" s="27" t="s">
        <v>165</v>
      </c>
      <c r="F3671" s="18" t="s">
        <v>33</v>
      </c>
      <c r="G3671" s="18" t="s">
        <v>35</v>
      </c>
      <c r="H3671" s="40" t="s">
        <v>35</v>
      </c>
      <c r="I3671" s="37" t="s">
        <v>36</v>
      </c>
      <c r="J3671" s="25" t="s">
        <v>49</v>
      </c>
      <c r="K3671" s="26" t="s">
        <v>38</v>
      </c>
      <c r="L3671" s="72">
        <v>13646.0</v>
      </c>
      <c r="M3671" s="49" t="s">
        <v>73</v>
      </c>
      <c r="N3671" s="42" t="s">
        <v>5936</v>
      </c>
      <c r="O3671" s="67">
        <v>45888.6526965625</v>
      </c>
      <c r="P3671" s="26" t="s">
        <v>14326</v>
      </c>
      <c r="Q3671" s="13" t="s">
        <v>75</v>
      </c>
      <c r="R3671" s="13" t="s">
        <v>75</v>
      </c>
      <c r="S3671" s="13" t="s">
        <v>9620</v>
      </c>
      <c r="T3671" s="44">
        <v>45887.42876821759</v>
      </c>
      <c r="U3671" s="44">
        <v>45887.42910686343</v>
      </c>
      <c r="V3671" s="44">
        <v>45887.469050949076</v>
      </c>
      <c r="W3671" s="11"/>
      <c r="X3671" s="11"/>
      <c r="Y3671" s="45">
        <v>302.0</v>
      </c>
      <c r="Z3671" s="45" t="s">
        <v>14327</v>
      </c>
      <c r="AA3671" s="31" t="s">
        <v>102</v>
      </c>
      <c r="AB3671" s="45" t="s">
        <v>14328</v>
      </c>
      <c r="AC3671" s="45"/>
    </row>
    <row r="3672" ht="18.75" customHeight="1">
      <c r="A3672" s="142" t="s">
        <v>14329</v>
      </c>
      <c r="B3672" s="19" t="s">
        <v>96</v>
      </c>
      <c r="C3672" s="20">
        <v>0.0</v>
      </c>
      <c r="D3672" s="48" t="s">
        <v>876</v>
      </c>
      <c r="E3672" s="27" t="s">
        <v>165</v>
      </c>
      <c r="F3672" s="18" t="s">
        <v>33</v>
      </c>
      <c r="G3672" s="18" t="s">
        <v>35</v>
      </c>
      <c r="H3672" s="40" t="s">
        <v>35</v>
      </c>
      <c r="I3672" s="37" t="s">
        <v>36</v>
      </c>
      <c r="J3672" s="25" t="s">
        <v>49</v>
      </c>
      <c r="K3672" s="26" t="s">
        <v>38</v>
      </c>
      <c r="L3672" s="25">
        <v>12924.0</v>
      </c>
      <c r="M3672" s="49" t="s">
        <v>50</v>
      </c>
      <c r="N3672" s="42" t="s">
        <v>5936</v>
      </c>
      <c r="O3672" s="67">
        <v>45771.5962635301</v>
      </c>
      <c r="P3672" s="26" t="s">
        <v>14330</v>
      </c>
      <c r="Q3672" s="13" t="s">
        <v>75</v>
      </c>
      <c r="R3672" s="13" t="s">
        <v>75</v>
      </c>
      <c r="S3672" s="13"/>
      <c r="T3672" s="44">
        <v>45744.37868489583</v>
      </c>
      <c r="U3672" s="44">
        <v>45769.640174733795</v>
      </c>
      <c r="V3672" s="13"/>
      <c r="W3672" s="11"/>
      <c r="X3672" s="11"/>
      <c r="Y3672" s="45"/>
      <c r="Z3672" s="45"/>
      <c r="AA3672" s="31" t="s">
        <v>102</v>
      </c>
      <c r="AB3672" s="45" t="s">
        <v>14331</v>
      </c>
      <c r="AC3672" s="45"/>
    </row>
    <row r="3673" ht="18.75" customHeight="1">
      <c r="A3673" s="142" t="s">
        <v>14332</v>
      </c>
      <c r="B3673" s="19" t="s">
        <v>14333</v>
      </c>
      <c r="C3673" s="20">
        <v>137.0</v>
      </c>
      <c r="D3673" s="48" t="s">
        <v>14334</v>
      </c>
      <c r="E3673" s="27" t="s">
        <v>85</v>
      </c>
      <c r="F3673" s="18" t="s">
        <v>48</v>
      </c>
      <c r="G3673" s="18" t="s">
        <v>35</v>
      </c>
      <c r="H3673" s="40" t="s">
        <v>35</v>
      </c>
      <c r="I3673" s="37" t="s">
        <v>36</v>
      </c>
      <c r="J3673" s="25" t="s">
        <v>65</v>
      </c>
      <c r="K3673" s="26" t="s">
        <v>38</v>
      </c>
      <c r="L3673" s="25">
        <v>13041.0</v>
      </c>
      <c r="M3673" s="49" t="s">
        <v>50</v>
      </c>
      <c r="N3673" s="42" t="s">
        <v>8469</v>
      </c>
      <c r="O3673" s="67">
        <v>45791.713446215275</v>
      </c>
      <c r="P3673" s="35" t="s">
        <v>14335</v>
      </c>
      <c r="Q3673" s="13" t="s">
        <v>75</v>
      </c>
      <c r="R3673" s="13" t="s">
        <v>75</v>
      </c>
      <c r="S3673" s="13" t="s">
        <v>73</v>
      </c>
      <c r="T3673" s="44">
        <v>45790.3746709838</v>
      </c>
      <c r="U3673" s="44">
        <v>45790.374695694445</v>
      </c>
      <c r="V3673" s="44">
        <v>45790.379348692135</v>
      </c>
      <c r="W3673" s="11"/>
      <c r="X3673" s="11"/>
      <c r="Y3673" s="45"/>
      <c r="Z3673" s="45"/>
      <c r="AA3673" s="31" t="s">
        <v>120</v>
      </c>
      <c r="AB3673" s="45" t="s">
        <v>14336</v>
      </c>
      <c r="AC3673" s="45"/>
    </row>
    <row r="3674" ht="18.75" customHeight="1">
      <c r="A3674" s="142" t="s">
        <v>14337</v>
      </c>
      <c r="B3674" s="19" t="s">
        <v>96</v>
      </c>
      <c r="C3674" s="20">
        <v>0.0</v>
      </c>
      <c r="D3674" s="48" t="s">
        <v>1533</v>
      </c>
      <c r="E3674" s="27" t="s">
        <v>892</v>
      </c>
      <c r="F3674" s="18" t="s">
        <v>244</v>
      </c>
      <c r="G3674" s="18" t="s">
        <v>35</v>
      </c>
      <c r="H3674" s="40" t="s">
        <v>35</v>
      </c>
      <c r="I3674" s="37" t="s">
        <v>36</v>
      </c>
      <c r="J3674" s="25" t="s">
        <v>49</v>
      </c>
      <c r="K3674" s="26" t="s">
        <v>38</v>
      </c>
      <c r="L3674" s="25">
        <v>12868.0</v>
      </c>
      <c r="M3674" s="49" t="s">
        <v>50</v>
      </c>
      <c r="N3674" s="42" t="s">
        <v>143</v>
      </c>
      <c r="O3674" s="67">
        <v>45758.5693434375</v>
      </c>
      <c r="P3674" s="26" t="s">
        <v>14338</v>
      </c>
      <c r="Q3674" s="13" t="s">
        <v>75</v>
      </c>
      <c r="R3674" s="13" t="s">
        <v>75</v>
      </c>
      <c r="S3674" s="13" t="s">
        <v>101</v>
      </c>
      <c r="T3674" s="44">
        <v>45744.393155046295</v>
      </c>
      <c r="U3674" s="44">
        <v>45744.57097541667</v>
      </c>
      <c r="V3674" s="44">
        <v>45756.579966944446</v>
      </c>
      <c r="W3674" s="11"/>
      <c r="X3674" s="11"/>
      <c r="Y3674" s="45"/>
      <c r="Z3674" s="45"/>
      <c r="AA3674" s="31" t="s">
        <v>102</v>
      </c>
      <c r="AB3674" s="45" t="s">
        <v>14339</v>
      </c>
      <c r="AC3674" s="45"/>
    </row>
    <row r="3675" ht="18.75" customHeight="1">
      <c r="A3675" s="142" t="s">
        <v>14340</v>
      </c>
      <c r="B3675" s="19" t="s">
        <v>4215</v>
      </c>
      <c r="C3675" s="20">
        <v>0.0</v>
      </c>
      <c r="D3675" s="177" t="s">
        <v>14341</v>
      </c>
      <c r="E3675" s="27" t="s">
        <v>532</v>
      </c>
      <c r="F3675" s="18" t="s">
        <v>244</v>
      </c>
      <c r="G3675" s="18" t="s">
        <v>35</v>
      </c>
      <c r="H3675" s="40" t="s">
        <v>35</v>
      </c>
      <c r="I3675" s="37" t="s">
        <v>36</v>
      </c>
      <c r="J3675" s="25" t="s">
        <v>420</v>
      </c>
      <c r="K3675" s="26" t="s">
        <v>38</v>
      </c>
      <c r="L3675" s="25">
        <v>12800.0</v>
      </c>
      <c r="M3675" s="49" t="s">
        <v>50</v>
      </c>
      <c r="N3675" s="42" t="s">
        <v>4031</v>
      </c>
      <c r="O3675" s="67">
        <v>45744.563328425924</v>
      </c>
      <c r="P3675" s="26" t="s">
        <v>14342</v>
      </c>
      <c r="Q3675" s="13" t="s">
        <v>75</v>
      </c>
      <c r="R3675" s="13" t="s">
        <v>75</v>
      </c>
      <c r="S3675" s="13" t="s">
        <v>73</v>
      </c>
      <c r="T3675" s="44">
        <v>45744.39480359954</v>
      </c>
      <c r="U3675" s="44">
        <v>45744.472015266205</v>
      </c>
      <c r="V3675" s="44">
        <v>45744.4756724537</v>
      </c>
      <c r="W3675" s="11"/>
      <c r="X3675" s="11"/>
      <c r="Y3675" s="45"/>
      <c r="Z3675" s="45"/>
      <c r="AA3675" s="31" t="s">
        <v>120</v>
      </c>
      <c r="AB3675" s="45" t="s">
        <v>14343</v>
      </c>
      <c r="AC3675" s="45"/>
    </row>
    <row r="3676" ht="18.75" customHeight="1">
      <c r="A3676" s="142" t="s">
        <v>14344</v>
      </c>
      <c r="B3676" s="19" t="s">
        <v>4352</v>
      </c>
      <c r="C3676" s="20">
        <v>0.0</v>
      </c>
      <c r="D3676" s="48" t="s">
        <v>14345</v>
      </c>
      <c r="E3676" s="27" t="s">
        <v>3441</v>
      </c>
      <c r="F3676" s="18" t="s">
        <v>48</v>
      </c>
      <c r="G3676" s="18" t="s">
        <v>35</v>
      </c>
      <c r="H3676" s="40" t="s">
        <v>35</v>
      </c>
      <c r="I3676" s="37" t="s">
        <v>36</v>
      </c>
      <c r="J3676" s="25" t="s">
        <v>49</v>
      </c>
      <c r="K3676" s="26" t="s">
        <v>38</v>
      </c>
      <c r="L3676" s="25">
        <v>12805.0</v>
      </c>
      <c r="M3676" s="49" t="s">
        <v>73</v>
      </c>
      <c r="N3676" s="42" t="s">
        <v>5936</v>
      </c>
      <c r="O3676" s="67">
        <v>45747.638883368054</v>
      </c>
      <c r="P3676" s="26" t="s">
        <v>14346</v>
      </c>
      <c r="Q3676" s="13" t="s">
        <v>75</v>
      </c>
      <c r="R3676" s="13" t="s">
        <v>75</v>
      </c>
      <c r="S3676" s="13" t="s">
        <v>50</v>
      </c>
      <c r="T3676" s="44">
        <v>45744.69368833333</v>
      </c>
      <c r="U3676" s="44">
        <v>45747.391386250005</v>
      </c>
      <c r="V3676" s="44">
        <v>45747.40590721065</v>
      </c>
      <c r="W3676" s="11"/>
      <c r="X3676" s="11"/>
      <c r="Y3676" s="45"/>
      <c r="Z3676" s="45"/>
      <c r="AA3676" s="31" t="s">
        <v>127</v>
      </c>
      <c r="AB3676" s="45" t="s">
        <v>14347</v>
      </c>
      <c r="AC3676" s="45"/>
    </row>
    <row r="3677" ht="18.75" customHeight="1">
      <c r="A3677" s="142" t="s">
        <v>14348</v>
      </c>
      <c r="B3677" s="19" t="s">
        <v>746</v>
      </c>
      <c r="C3677" s="20">
        <v>137.0</v>
      </c>
      <c r="D3677" s="48" t="s">
        <v>14349</v>
      </c>
      <c r="E3677" s="27" t="s">
        <v>85</v>
      </c>
      <c r="F3677" s="18" t="s">
        <v>48</v>
      </c>
      <c r="G3677" s="18" t="s">
        <v>35</v>
      </c>
      <c r="H3677" s="40" t="s">
        <v>35</v>
      </c>
      <c r="I3677" s="37" t="s">
        <v>36</v>
      </c>
      <c r="J3677" s="25" t="s">
        <v>65</v>
      </c>
      <c r="K3677" s="26" t="s">
        <v>38</v>
      </c>
      <c r="L3677" s="25">
        <v>12808.0</v>
      </c>
      <c r="M3677" s="49" t="s">
        <v>50</v>
      </c>
      <c r="N3677" s="42" t="s">
        <v>149</v>
      </c>
      <c r="O3677" s="67">
        <v>45747.62976119213</v>
      </c>
      <c r="P3677" s="35" t="s">
        <v>14350</v>
      </c>
      <c r="Q3677" s="13" t="s">
        <v>75</v>
      </c>
      <c r="R3677" s="13" t="s">
        <v>75</v>
      </c>
      <c r="S3677" s="13" t="s">
        <v>50</v>
      </c>
      <c r="T3677" s="44">
        <v>45744.69751640046</v>
      </c>
      <c r="U3677" s="44">
        <v>45747.476837615744</v>
      </c>
      <c r="V3677" s="44">
        <v>45747.551225393516</v>
      </c>
      <c r="W3677" s="11"/>
      <c r="X3677" s="11"/>
      <c r="Y3677" s="45"/>
      <c r="Z3677" s="45"/>
      <c r="AA3677" s="31" t="s">
        <v>94</v>
      </c>
      <c r="AB3677" s="45" t="s">
        <v>14351</v>
      </c>
      <c r="AC3677" s="45"/>
    </row>
    <row r="3678" ht="18.75" customHeight="1">
      <c r="A3678" s="18" t="s">
        <v>14352</v>
      </c>
      <c r="B3678" s="19" t="s">
        <v>14353</v>
      </c>
      <c r="C3678" s="20">
        <v>0.0</v>
      </c>
      <c r="D3678" s="48" t="s">
        <v>1523</v>
      </c>
      <c r="E3678" s="27" t="s">
        <v>14354</v>
      </c>
      <c r="F3678" s="18" t="s">
        <v>33</v>
      </c>
      <c r="G3678" s="18" t="s">
        <v>35</v>
      </c>
      <c r="H3678" s="40" t="s">
        <v>35</v>
      </c>
      <c r="I3678" s="37" t="s">
        <v>36</v>
      </c>
      <c r="J3678" s="25" t="s">
        <v>49</v>
      </c>
      <c r="K3678" s="26" t="s">
        <v>38</v>
      </c>
      <c r="L3678" s="25">
        <v>12867.0</v>
      </c>
      <c r="M3678" s="49" t="s">
        <v>50</v>
      </c>
      <c r="N3678" s="42" t="s">
        <v>143</v>
      </c>
      <c r="O3678" s="67">
        <v>45758.569270023145</v>
      </c>
      <c r="P3678" s="26" t="s">
        <v>14355</v>
      </c>
      <c r="Q3678" s="13" t="s">
        <v>75</v>
      </c>
      <c r="R3678" s="13" t="s">
        <v>75</v>
      </c>
      <c r="S3678" s="13" t="s">
        <v>101</v>
      </c>
      <c r="T3678" s="44">
        <v>45749.66532459491</v>
      </c>
      <c r="U3678" s="44">
        <v>45749.666017048614</v>
      </c>
      <c r="V3678" s="44">
        <v>45751.3578509838</v>
      </c>
      <c r="W3678" s="11"/>
      <c r="X3678" s="11"/>
      <c r="Y3678" s="45"/>
      <c r="Z3678" s="45"/>
      <c r="AA3678" s="31" t="s">
        <v>3053</v>
      </c>
      <c r="AB3678" s="45" t="s">
        <v>14356</v>
      </c>
      <c r="AC3678" s="45"/>
    </row>
    <row r="3679" ht="18.75" customHeight="1">
      <c r="A3679" s="18" t="s">
        <v>14357</v>
      </c>
      <c r="B3679" s="19" t="s">
        <v>14353</v>
      </c>
      <c r="C3679" s="20">
        <v>0.0</v>
      </c>
      <c r="D3679" s="48" t="s">
        <v>14358</v>
      </c>
      <c r="E3679" s="27" t="s">
        <v>14354</v>
      </c>
      <c r="F3679" s="18" t="s">
        <v>33</v>
      </c>
      <c r="G3679" s="18" t="s">
        <v>35</v>
      </c>
      <c r="H3679" s="40" t="s">
        <v>35</v>
      </c>
      <c r="I3679" s="37" t="s">
        <v>36</v>
      </c>
      <c r="J3679" s="25" t="s">
        <v>49</v>
      </c>
      <c r="K3679" s="26" t="s">
        <v>38</v>
      </c>
      <c r="L3679" s="25">
        <v>12867.0</v>
      </c>
      <c r="M3679" s="49" t="s">
        <v>50</v>
      </c>
      <c r="N3679" s="42" t="s">
        <v>143</v>
      </c>
      <c r="O3679" s="67">
        <v>45758.56948789352</v>
      </c>
      <c r="P3679" s="26" t="s">
        <v>14355</v>
      </c>
      <c r="Q3679" s="13" t="s">
        <v>75</v>
      </c>
      <c r="R3679" s="13" t="s">
        <v>75</v>
      </c>
      <c r="S3679" s="13" t="s">
        <v>101</v>
      </c>
      <c r="T3679" s="44">
        <v>45749.6656046875</v>
      </c>
      <c r="U3679" s="44">
        <v>45749.66604077547</v>
      </c>
      <c r="V3679" s="44">
        <v>45751.3574357176</v>
      </c>
      <c r="W3679" s="11"/>
      <c r="X3679" s="11"/>
      <c r="Y3679" s="45"/>
      <c r="Z3679" s="45"/>
      <c r="AA3679" s="31" t="s">
        <v>3053</v>
      </c>
      <c r="AB3679" s="45" t="s">
        <v>14359</v>
      </c>
      <c r="AC3679" s="45"/>
    </row>
    <row r="3680" ht="18.75" customHeight="1">
      <c r="A3680" s="18" t="s">
        <v>14360</v>
      </c>
      <c r="B3680" s="19" t="s">
        <v>14353</v>
      </c>
      <c r="C3680" s="20">
        <v>0.0</v>
      </c>
      <c r="D3680" s="48" t="s">
        <v>1544</v>
      </c>
      <c r="E3680" s="27" t="s">
        <v>14361</v>
      </c>
      <c r="F3680" s="18" t="s">
        <v>33</v>
      </c>
      <c r="G3680" s="18" t="s">
        <v>35</v>
      </c>
      <c r="H3680" s="40" t="s">
        <v>35</v>
      </c>
      <c r="I3680" s="37" t="s">
        <v>36</v>
      </c>
      <c r="J3680" s="25" t="s">
        <v>49</v>
      </c>
      <c r="K3680" s="26" t="s">
        <v>38</v>
      </c>
      <c r="L3680" s="25">
        <v>12867.0</v>
      </c>
      <c r="M3680" s="49" t="s">
        <v>50</v>
      </c>
      <c r="N3680" s="42" t="s">
        <v>143</v>
      </c>
      <c r="O3680" s="67">
        <v>45758.56955543981</v>
      </c>
      <c r="P3680" s="26" t="s">
        <v>14355</v>
      </c>
      <c r="Q3680" s="13" t="s">
        <v>75</v>
      </c>
      <c r="R3680" s="13" t="s">
        <v>75</v>
      </c>
      <c r="S3680" s="13"/>
      <c r="T3680" s="44">
        <v>45749.6656405324</v>
      </c>
      <c r="U3680" s="44">
        <v>45749.66604454861</v>
      </c>
      <c r="V3680" s="13"/>
      <c r="W3680" s="11"/>
      <c r="X3680" s="11"/>
      <c r="Y3680" s="45"/>
      <c r="Z3680" s="45"/>
      <c r="AA3680" s="31" t="s">
        <v>3053</v>
      </c>
      <c r="AB3680" s="45" t="s">
        <v>14362</v>
      </c>
      <c r="AC3680" s="45"/>
    </row>
    <row r="3681" ht="18.75" customHeight="1">
      <c r="A3681" s="18" t="s">
        <v>14363</v>
      </c>
      <c r="B3681" s="19" t="s">
        <v>14353</v>
      </c>
      <c r="C3681" s="20">
        <v>0.0</v>
      </c>
      <c r="D3681" s="48" t="s">
        <v>14364</v>
      </c>
      <c r="E3681" s="27" t="s">
        <v>14361</v>
      </c>
      <c r="F3681" s="18" t="s">
        <v>33</v>
      </c>
      <c r="G3681" s="18" t="s">
        <v>35</v>
      </c>
      <c r="H3681" s="40" t="s">
        <v>35</v>
      </c>
      <c r="I3681" s="37" t="s">
        <v>36</v>
      </c>
      <c r="J3681" s="25" t="s">
        <v>49</v>
      </c>
      <c r="K3681" s="26" t="s">
        <v>38</v>
      </c>
      <c r="L3681" s="25">
        <v>12867.0</v>
      </c>
      <c r="M3681" s="49" t="s">
        <v>50</v>
      </c>
      <c r="N3681" s="201"/>
      <c r="O3681" s="67">
        <v>45758.56942422454</v>
      </c>
      <c r="P3681" s="26" t="s">
        <v>14355</v>
      </c>
      <c r="Q3681" s="13" t="s">
        <v>75</v>
      </c>
      <c r="R3681" s="13" t="s">
        <v>75</v>
      </c>
      <c r="S3681" s="13"/>
      <c r="T3681" s="44">
        <v>45749.66555344907</v>
      </c>
      <c r="U3681" s="44">
        <v>45749.666030277775</v>
      </c>
      <c r="V3681" s="13"/>
      <c r="W3681" s="11"/>
      <c r="X3681" s="11"/>
      <c r="Y3681" s="45"/>
      <c r="Z3681" s="45"/>
      <c r="AA3681" s="31" t="s">
        <v>3053</v>
      </c>
      <c r="AB3681" s="45" t="s">
        <v>14365</v>
      </c>
      <c r="AC3681" s="45"/>
    </row>
    <row r="3682" ht="18.75" customHeight="1">
      <c r="A3682" s="142" t="s">
        <v>14366</v>
      </c>
      <c r="B3682" s="19" t="s">
        <v>3674</v>
      </c>
      <c r="C3682" s="20">
        <v>27.0</v>
      </c>
      <c r="D3682" s="39"/>
      <c r="E3682" s="27" t="s">
        <v>72</v>
      </c>
      <c r="F3682" s="18" t="s">
        <v>48</v>
      </c>
      <c r="G3682" s="18" t="s">
        <v>35</v>
      </c>
      <c r="H3682" s="40" t="s">
        <v>35</v>
      </c>
      <c r="I3682" s="24" t="s">
        <v>665</v>
      </c>
      <c r="J3682" s="25" t="s">
        <v>65</v>
      </c>
      <c r="K3682" s="26" t="s">
        <v>38</v>
      </c>
      <c r="L3682" s="25">
        <v>12815.0</v>
      </c>
      <c r="M3682" s="49" t="s">
        <v>73</v>
      </c>
      <c r="N3682" s="42" t="s">
        <v>149</v>
      </c>
      <c r="O3682" s="67">
        <v>45749.459869976854</v>
      </c>
      <c r="P3682" s="35" t="s">
        <v>14367</v>
      </c>
      <c r="Q3682" s="13" t="s">
        <v>75</v>
      </c>
      <c r="R3682" s="13" t="s">
        <v>75</v>
      </c>
      <c r="S3682" s="13" t="s">
        <v>50</v>
      </c>
      <c r="T3682" s="44">
        <v>45747.624217199074</v>
      </c>
      <c r="U3682" s="44">
        <v>45748.39193900463</v>
      </c>
      <c r="V3682" s="44">
        <v>45748.41834542824</v>
      </c>
      <c r="W3682" s="11"/>
      <c r="X3682" s="11"/>
      <c r="Y3682" s="45"/>
      <c r="Z3682" s="45"/>
      <c r="AA3682" s="31"/>
      <c r="AB3682" s="45" t="s">
        <v>14368</v>
      </c>
      <c r="AC3682" s="45"/>
    </row>
    <row r="3683" ht="18.75" customHeight="1">
      <c r="A3683" s="142" t="s">
        <v>14369</v>
      </c>
      <c r="B3683" s="19" t="s">
        <v>14370</v>
      </c>
      <c r="C3683" s="20">
        <v>0.0</v>
      </c>
      <c r="D3683" s="48" t="s">
        <v>14371</v>
      </c>
      <c r="E3683" s="27" t="s">
        <v>1595</v>
      </c>
      <c r="F3683" s="18" t="s">
        <v>33</v>
      </c>
      <c r="G3683" s="18" t="s">
        <v>35</v>
      </c>
      <c r="H3683" s="40" t="s">
        <v>35</v>
      </c>
      <c r="I3683" s="37" t="s">
        <v>36</v>
      </c>
      <c r="J3683" s="25" t="s">
        <v>65</v>
      </c>
      <c r="K3683" s="26" t="s">
        <v>38</v>
      </c>
      <c r="L3683" s="25">
        <v>12858.0</v>
      </c>
      <c r="M3683" s="49" t="s">
        <v>50</v>
      </c>
      <c r="N3683" s="42" t="s">
        <v>149</v>
      </c>
      <c r="O3683" s="67">
        <v>45756.62057092592</v>
      </c>
      <c r="P3683" s="35" t="s">
        <v>14372</v>
      </c>
      <c r="Q3683" s="13" t="s">
        <v>75</v>
      </c>
      <c r="R3683" s="13" t="s">
        <v>75</v>
      </c>
      <c r="S3683" s="13"/>
      <c r="T3683" s="44">
        <v>45747.62768262731</v>
      </c>
      <c r="U3683" s="44">
        <v>45747.72251263889</v>
      </c>
      <c r="V3683" s="13"/>
      <c r="W3683" s="11"/>
      <c r="X3683" s="11"/>
      <c r="Y3683" s="45"/>
      <c r="Z3683" s="45"/>
      <c r="AA3683" s="31" t="s">
        <v>94</v>
      </c>
      <c r="AB3683" s="45" t="s">
        <v>14373</v>
      </c>
      <c r="AC3683" s="45"/>
    </row>
    <row r="3684" ht="18.75" customHeight="1">
      <c r="A3684" s="18" t="s">
        <v>14374</v>
      </c>
      <c r="B3684" s="19" t="s">
        <v>3335</v>
      </c>
      <c r="C3684" s="20">
        <v>0.0</v>
      </c>
      <c r="D3684" s="48" t="s">
        <v>14375</v>
      </c>
      <c r="E3684" s="27" t="s">
        <v>135</v>
      </c>
      <c r="F3684" s="18" t="s">
        <v>48</v>
      </c>
      <c r="G3684" s="18" t="s">
        <v>35</v>
      </c>
      <c r="H3684" s="40" t="s">
        <v>35</v>
      </c>
      <c r="I3684" s="37" t="s">
        <v>36</v>
      </c>
      <c r="J3684" s="25" t="s">
        <v>92</v>
      </c>
      <c r="K3684" s="26" t="s">
        <v>38</v>
      </c>
      <c r="L3684" s="25">
        <v>12910.0</v>
      </c>
      <c r="M3684" s="49" t="s">
        <v>50</v>
      </c>
      <c r="N3684" s="42" t="s">
        <v>9198</v>
      </c>
      <c r="O3684" s="67">
        <v>45770.469452986115</v>
      </c>
      <c r="P3684" s="26" t="s">
        <v>14376</v>
      </c>
      <c r="Q3684" s="13" t="s">
        <v>75</v>
      </c>
      <c r="R3684" s="13" t="s">
        <v>75</v>
      </c>
      <c r="S3684" s="13"/>
      <c r="T3684" s="44">
        <v>45748.379615011574</v>
      </c>
      <c r="U3684" s="44">
        <v>45749.71340574074</v>
      </c>
      <c r="V3684" s="13"/>
      <c r="W3684" s="11"/>
      <c r="X3684" s="11"/>
      <c r="Y3684" s="45"/>
      <c r="Z3684" s="45"/>
      <c r="AA3684" s="31" t="s">
        <v>120</v>
      </c>
      <c r="AB3684" s="45" t="s">
        <v>14377</v>
      </c>
      <c r="AC3684" s="45"/>
    </row>
    <row r="3685" ht="18.75" customHeight="1">
      <c r="A3685" s="18" t="s">
        <v>14378</v>
      </c>
      <c r="B3685" s="19" t="s">
        <v>3335</v>
      </c>
      <c r="C3685" s="20">
        <v>0.0</v>
      </c>
      <c r="D3685" s="48" t="s">
        <v>14379</v>
      </c>
      <c r="E3685" s="27" t="s">
        <v>135</v>
      </c>
      <c r="F3685" s="18" t="s">
        <v>48</v>
      </c>
      <c r="G3685" s="18" t="s">
        <v>35</v>
      </c>
      <c r="H3685" s="40" t="s">
        <v>35</v>
      </c>
      <c r="I3685" s="37" t="s">
        <v>36</v>
      </c>
      <c r="J3685" s="25" t="s">
        <v>92</v>
      </c>
      <c r="K3685" s="26" t="s">
        <v>38</v>
      </c>
      <c r="L3685" s="25">
        <v>12910.0</v>
      </c>
      <c r="M3685" s="49" t="s">
        <v>50</v>
      </c>
      <c r="N3685" s="42" t="s">
        <v>9198</v>
      </c>
      <c r="O3685" s="67">
        <v>45770.46956939815</v>
      </c>
      <c r="P3685" s="26" t="s">
        <v>14376</v>
      </c>
      <c r="Q3685" s="13" t="s">
        <v>75</v>
      </c>
      <c r="R3685" s="13" t="s">
        <v>75</v>
      </c>
      <c r="S3685" s="13"/>
      <c r="T3685" s="44">
        <v>45748.37945594908</v>
      </c>
      <c r="U3685" s="44">
        <v>45749.713377314816</v>
      </c>
      <c r="V3685" s="13"/>
      <c r="W3685" s="11"/>
      <c r="X3685" s="11"/>
      <c r="Y3685" s="45"/>
      <c r="Z3685" s="45"/>
      <c r="AA3685" s="31" t="s">
        <v>120</v>
      </c>
      <c r="AB3685" s="45" t="s">
        <v>14380</v>
      </c>
      <c r="AC3685" s="45"/>
    </row>
    <row r="3686" ht="18.75" customHeight="1">
      <c r="A3686" s="18" t="s">
        <v>14381</v>
      </c>
      <c r="B3686" s="19" t="s">
        <v>3335</v>
      </c>
      <c r="C3686" s="20">
        <v>0.0</v>
      </c>
      <c r="D3686" s="48" t="s">
        <v>14382</v>
      </c>
      <c r="E3686" s="27" t="s">
        <v>12405</v>
      </c>
      <c r="F3686" s="18" t="s">
        <v>48</v>
      </c>
      <c r="G3686" s="18" t="s">
        <v>35</v>
      </c>
      <c r="H3686" s="40" t="s">
        <v>35</v>
      </c>
      <c r="I3686" s="37" t="s">
        <v>36</v>
      </c>
      <c r="J3686" s="25" t="s">
        <v>92</v>
      </c>
      <c r="K3686" s="26" t="s">
        <v>38</v>
      </c>
      <c r="L3686" s="25">
        <v>12910.0</v>
      </c>
      <c r="M3686" s="49" t="s">
        <v>50</v>
      </c>
      <c r="N3686" s="42" t="s">
        <v>9198</v>
      </c>
      <c r="O3686" s="67">
        <v>45770.46938152778</v>
      </c>
      <c r="P3686" s="26" t="s">
        <v>14376</v>
      </c>
      <c r="Q3686" s="13" t="s">
        <v>75</v>
      </c>
      <c r="R3686" s="13" t="s">
        <v>75</v>
      </c>
      <c r="S3686" s="13"/>
      <c r="T3686" s="44">
        <v>45748.37916203703</v>
      </c>
      <c r="U3686" s="44">
        <v>45749.71340136574</v>
      </c>
      <c r="V3686" s="13"/>
      <c r="W3686" s="11"/>
      <c r="X3686" s="11"/>
      <c r="Y3686" s="45"/>
      <c r="Z3686" s="45"/>
      <c r="AA3686" s="31" t="s">
        <v>120</v>
      </c>
      <c r="AB3686" s="45" t="s">
        <v>14383</v>
      </c>
      <c r="AC3686" s="45"/>
    </row>
    <row r="3687" ht="18.75" customHeight="1">
      <c r="A3687" s="18" t="s">
        <v>14384</v>
      </c>
      <c r="B3687" s="19" t="s">
        <v>1299</v>
      </c>
      <c r="C3687" s="20">
        <v>34.0</v>
      </c>
      <c r="D3687" s="48" t="s">
        <v>14385</v>
      </c>
      <c r="E3687" s="27" t="s">
        <v>47</v>
      </c>
      <c r="F3687" s="18" t="s">
        <v>48</v>
      </c>
      <c r="G3687" s="18" t="s">
        <v>35</v>
      </c>
      <c r="H3687" s="40" t="s">
        <v>35</v>
      </c>
      <c r="I3687" s="37" t="s">
        <v>36</v>
      </c>
      <c r="J3687" s="25" t="s">
        <v>92</v>
      </c>
      <c r="K3687" s="26" t="s">
        <v>38</v>
      </c>
      <c r="L3687" s="34">
        <v>12888.0</v>
      </c>
      <c r="M3687" s="49" t="s">
        <v>73</v>
      </c>
      <c r="N3687" s="42" t="s">
        <v>4767</v>
      </c>
      <c r="O3687" s="67">
        <v>45763.55698003472</v>
      </c>
      <c r="P3687" s="26" t="s">
        <v>14386</v>
      </c>
      <c r="Q3687" s="13" t="s">
        <v>75</v>
      </c>
      <c r="R3687" s="13" t="s">
        <v>75</v>
      </c>
      <c r="S3687" s="13" t="s">
        <v>73</v>
      </c>
      <c r="T3687" s="44">
        <v>45748.38248056713</v>
      </c>
      <c r="U3687" s="44">
        <v>45758.59442490741</v>
      </c>
      <c r="V3687" s="44">
        <v>45762.545603715276</v>
      </c>
      <c r="W3687" s="11"/>
      <c r="X3687" s="11"/>
      <c r="Y3687" s="45"/>
      <c r="Z3687" s="45"/>
      <c r="AA3687" s="31" t="s">
        <v>120</v>
      </c>
      <c r="AB3687" s="45" t="s">
        <v>14387</v>
      </c>
      <c r="AC3687" s="45"/>
    </row>
    <row r="3688" ht="18.75" customHeight="1">
      <c r="A3688" s="18" t="s">
        <v>14388</v>
      </c>
      <c r="B3688" s="19" t="s">
        <v>1299</v>
      </c>
      <c r="C3688" s="20">
        <v>34.0</v>
      </c>
      <c r="D3688" s="48" t="s">
        <v>14389</v>
      </c>
      <c r="E3688" s="27" t="s">
        <v>47</v>
      </c>
      <c r="F3688" s="18" t="s">
        <v>48</v>
      </c>
      <c r="G3688" s="18" t="s">
        <v>35</v>
      </c>
      <c r="H3688" s="40" t="s">
        <v>35</v>
      </c>
      <c r="I3688" s="37" t="s">
        <v>36</v>
      </c>
      <c r="J3688" s="25" t="s">
        <v>92</v>
      </c>
      <c r="K3688" s="26" t="s">
        <v>38</v>
      </c>
      <c r="L3688" s="34">
        <v>12888.0</v>
      </c>
      <c r="M3688" s="49" t="s">
        <v>73</v>
      </c>
      <c r="N3688" s="42" t="s">
        <v>4767</v>
      </c>
      <c r="O3688" s="67">
        <v>45763.55717936343</v>
      </c>
      <c r="P3688" s="26" t="s">
        <v>14386</v>
      </c>
      <c r="Q3688" s="13" t="s">
        <v>75</v>
      </c>
      <c r="R3688" s="13" t="s">
        <v>75</v>
      </c>
      <c r="S3688" s="13" t="s">
        <v>73</v>
      </c>
      <c r="T3688" s="44">
        <v>45748.38267511574</v>
      </c>
      <c r="U3688" s="44">
        <v>45758.59444695602</v>
      </c>
      <c r="V3688" s="44">
        <v>45762.54562049768</v>
      </c>
      <c r="W3688" s="11"/>
      <c r="X3688" s="11"/>
      <c r="Y3688" s="45"/>
      <c r="Z3688" s="45"/>
      <c r="AA3688" s="31" t="s">
        <v>120</v>
      </c>
      <c r="AB3688" s="45" t="s">
        <v>14390</v>
      </c>
      <c r="AC3688" s="45"/>
    </row>
    <row r="3689" ht="18.75" customHeight="1">
      <c r="A3689" s="18" t="s">
        <v>14391</v>
      </c>
      <c r="B3689" s="19" t="s">
        <v>1299</v>
      </c>
      <c r="C3689" s="20">
        <v>27.0</v>
      </c>
      <c r="D3689" s="39" t="s">
        <v>14392</v>
      </c>
      <c r="E3689" s="27" t="s">
        <v>72</v>
      </c>
      <c r="F3689" s="18" t="s">
        <v>48</v>
      </c>
      <c r="G3689" s="18" t="s">
        <v>35</v>
      </c>
      <c r="H3689" s="40" t="s">
        <v>35</v>
      </c>
      <c r="I3689" s="37" t="s">
        <v>36</v>
      </c>
      <c r="J3689" s="25" t="s">
        <v>92</v>
      </c>
      <c r="K3689" s="26" t="s">
        <v>38</v>
      </c>
      <c r="L3689" s="34">
        <v>12888.0</v>
      </c>
      <c r="M3689" s="49" t="s">
        <v>73</v>
      </c>
      <c r="N3689" s="42" t="s">
        <v>4767</v>
      </c>
      <c r="O3689" s="67">
        <v>45763.55711329861</v>
      </c>
      <c r="P3689" s="26" t="s">
        <v>14386</v>
      </c>
      <c r="Q3689" s="13" t="s">
        <v>75</v>
      </c>
      <c r="R3689" s="13" t="s">
        <v>75</v>
      </c>
      <c r="S3689" s="13" t="s">
        <v>73</v>
      </c>
      <c r="T3689" s="44">
        <v>45748.38282719908</v>
      </c>
      <c r="U3689" s="44">
        <v>45758.594442430556</v>
      </c>
      <c r="V3689" s="44">
        <v>45762.54561311343</v>
      </c>
      <c r="W3689" s="11"/>
      <c r="X3689" s="11"/>
      <c r="Y3689" s="45"/>
      <c r="Z3689" s="45"/>
      <c r="AA3689" s="31" t="s">
        <v>120</v>
      </c>
      <c r="AB3689" s="45" t="s">
        <v>14393</v>
      </c>
      <c r="AC3689" s="45"/>
    </row>
    <row r="3690" ht="18.75" customHeight="1">
      <c r="A3690" s="18" t="s">
        <v>14394</v>
      </c>
      <c r="B3690" s="19" t="s">
        <v>1299</v>
      </c>
      <c r="C3690" s="20">
        <v>27.0</v>
      </c>
      <c r="D3690" s="39" t="s">
        <v>14395</v>
      </c>
      <c r="E3690" s="27" t="s">
        <v>72</v>
      </c>
      <c r="F3690" s="18" t="s">
        <v>48</v>
      </c>
      <c r="G3690" s="18" t="s">
        <v>35</v>
      </c>
      <c r="H3690" s="40" t="s">
        <v>35</v>
      </c>
      <c r="I3690" s="37" t="s">
        <v>36</v>
      </c>
      <c r="J3690" s="25" t="s">
        <v>92</v>
      </c>
      <c r="K3690" s="26" t="s">
        <v>38</v>
      </c>
      <c r="L3690" s="34">
        <v>12888.0</v>
      </c>
      <c r="M3690" s="49" t="s">
        <v>73</v>
      </c>
      <c r="N3690" s="42" t="s">
        <v>4767</v>
      </c>
      <c r="O3690" s="67">
        <v>45763.55724002315</v>
      </c>
      <c r="P3690" s="26" t="s">
        <v>14386</v>
      </c>
      <c r="Q3690" s="13" t="s">
        <v>75</v>
      </c>
      <c r="R3690" s="13" t="s">
        <v>75</v>
      </c>
      <c r="S3690" s="13" t="s">
        <v>73</v>
      </c>
      <c r="T3690" s="44">
        <v>45748.382979699076</v>
      </c>
      <c r="U3690" s="44">
        <v>45758.594453530095</v>
      </c>
      <c r="V3690" s="44">
        <v>45762.54562708334</v>
      </c>
      <c r="W3690" s="11"/>
      <c r="X3690" s="11"/>
      <c r="Y3690" s="45"/>
      <c r="Z3690" s="45"/>
      <c r="AA3690" s="31" t="s">
        <v>120</v>
      </c>
      <c r="AB3690" s="45" t="s">
        <v>14396</v>
      </c>
      <c r="AC3690" s="45"/>
    </row>
    <row r="3691" ht="18.75" customHeight="1">
      <c r="A3691" s="18" t="s">
        <v>14397</v>
      </c>
      <c r="B3691" s="19" t="s">
        <v>1299</v>
      </c>
      <c r="C3691" s="20">
        <v>27.0</v>
      </c>
      <c r="D3691" s="39" t="s">
        <v>14398</v>
      </c>
      <c r="E3691" s="27" t="s">
        <v>72</v>
      </c>
      <c r="F3691" s="18" t="s">
        <v>48</v>
      </c>
      <c r="G3691" s="18" t="s">
        <v>35</v>
      </c>
      <c r="H3691" s="40" t="s">
        <v>35</v>
      </c>
      <c r="I3691" s="37" t="s">
        <v>36</v>
      </c>
      <c r="J3691" s="25" t="s">
        <v>92</v>
      </c>
      <c r="K3691" s="26" t="s">
        <v>38</v>
      </c>
      <c r="L3691" s="34">
        <v>12888.0</v>
      </c>
      <c r="M3691" s="49" t="s">
        <v>73</v>
      </c>
      <c r="N3691" s="42" t="s">
        <v>4767</v>
      </c>
      <c r="O3691" s="67">
        <v>45763.55728591435</v>
      </c>
      <c r="P3691" s="26" t="s">
        <v>14386</v>
      </c>
      <c r="Q3691" s="13" t="s">
        <v>75</v>
      </c>
      <c r="R3691" s="13" t="s">
        <v>75</v>
      </c>
      <c r="S3691" s="13" t="s">
        <v>73</v>
      </c>
      <c r="T3691" s="44">
        <v>45748.38311144676</v>
      </c>
      <c r="U3691" s="44">
        <v>45758.594458796295</v>
      </c>
      <c r="V3691" s="44">
        <v>45762.545637048606</v>
      </c>
      <c r="W3691" s="11"/>
      <c r="X3691" s="11"/>
      <c r="Y3691" s="45"/>
      <c r="Z3691" s="45"/>
      <c r="AA3691" s="31" t="s">
        <v>120</v>
      </c>
      <c r="AB3691" s="45" t="s">
        <v>14399</v>
      </c>
      <c r="AC3691" s="45"/>
    </row>
    <row r="3692" ht="18.75" customHeight="1">
      <c r="A3692" s="142" t="s">
        <v>14400</v>
      </c>
      <c r="B3692" s="19" t="s">
        <v>8004</v>
      </c>
      <c r="C3692" s="20">
        <v>27.0</v>
      </c>
      <c r="D3692" s="39" t="s">
        <v>14401</v>
      </c>
      <c r="E3692" s="27" t="s">
        <v>72</v>
      </c>
      <c r="F3692" s="18" t="s">
        <v>48</v>
      </c>
      <c r="G3692" s="18" t="s">
        <v>35</v>
      </c>
      <c r="H3692" s="40" t="s">
        <v>35</v>
      </c>
      <c r="I3692" s="37" t="s">
        <v>36</v>
      </c>
      <c r="J3692" s="25" t="s">
        <v>49</v>
      </c>
      <c r="K3692" s="26" t="s">
        <v>447</v>
      </c>
      <c r="L3692" s="25">
        <v>12817.0</v>
      </c>
      <c r="M3692" s="49" t="s">
        <v>73</v>
      </c>
      <c r="N3692" s="42" t="s">
        <v>5936</v>
      </c>
      <c r="O3692" s="67">
        <v>45749.460200960646</v>
      </c>
      <c r="P3692" s="26" t="s">
        <v>14402</v>
      </c>
      <c r="Q3692" s="13" t="s">
        <v>75</v>
      </c>
      <c r="R3692" s="13" t="s">
        <v>75</v>
      </c>
      <c r="S3692" s="13" t="s">
        <v>50</v>
      </c>
      <c r="T3692" s="44">
        <v>45748.38810471065</v>
      </c>
      <c r="U3692" s="44">
        <v>45748.42337481481</v>
      </c>
      <c r="V3692" s="44">
        <v>45748.450786284724</v>
      </c>
      <c r="W3692" s="11"/>
      <c r="X3692" s="11"/>
      <c r="Y3692" s="45"/>
      <c r="Z3692" s="45"/>
      <c r="AA3692" s="31" t="s">
        <v>108</v>
      </c>
      <c r="AB3692" s="45" t="s">
        <v>14403</v>
      </c>
      <c r="AC3692" s="45"/>
    </row>
    <row r="3693" ht="18.75" customHeight="1">
      <c r="A3693" s="142" t="s">
        <v>14404</v>
      </c>
      <c r="B3693" s="19" t="s">
        <v>4352</v>
      </c>
      <c r="C3693" s="20">
        <v>0.0</v>
      </c>
      <c r="D3693" s="48" t="s">
        <v>14405</v>
      </c>
      <c r="E3693" s="27" t="s">
        <v>3441</v>
      </c>
      <c r="F3693" s="18" t="s">
        <v>48</v>
      </c>
      <c r="G3693" s="18" t="s">
        <v>35</v>
      </c>
      <c r="H3693" s="40" t="s">
        <v>35</v>
      </c>
      <c r="I3693" s="37" t="s">
        <v>36</v>
      </c>
      <c r="J3693" s="25" t="s">
        <v>49</v>
      </c>
      <c r="K3693" s="26" t="s">
        <v>38</v>
      </c>
      <c r="L3693" s="25">
        <v>12877.0</v>
      </c>
      <c r="M3693" s="49" t="s">
        <v>50</v>
      </c>
      <c r="N3693" s="42" t="s">
        <v>143</v>
      </c>
      <c r="O3693" s="67">
        <v>45762.601388888885</v>
      </c>
      <c r="P3693" s="26" t="s">
        <v>14406</v>
      </c>
      <c r="Q3693" s="13" t="s">
        <v>75</v>
      </c>
      <c r="R3693" s="13" t="s">
        <v>75</v>
      </c>
      <c r="S3693" s="13" t="s">
        <v>50</v>
      </c>
      <c r="T3693" s="44">
        <v>45748.369756782406</v>
      </c>
      <c r="U3693" s="44">
        <v>45758.69006908565</v>
      </c>
      <c r="V3693" s="44">
        <v>45762.34752930555</v>
      </c>
      <c r="W3693" s="11"/>
      <c r="X3693" s="11"/>
      <c r="Y3693" s="45"/>
      <c r="Z3693" s="45"/>
      <c r="AA3693" s="31" t="s">
        <v>127</v>
      </c>
      <c r="AB3693" s="45" t="s">
        <v>14407</v>
      </c>
      <c r="AC3693" s="45"/>
    </row>
    <row r="3694" ht="18.75" customHeight="1">
      <c r="A3694" s="142" t="s">
        <v>14408</v>
      </c>
      <c r="B3694" s="19" t="s">
        <v>14409</v>
      </c>
      <c r="C3694" s="20">
        <v>0.0</v>
      </c>
      <c r="D3694" s="48" t="s">
        <v>14410</v>
      </c>
      <c r="E3694" s="27" t="s">
        <v>3441</v>
      </c>
      <c r="F3694" s="18" t="s">
        <v>48</v>
      </c>
      <c r="G3694" s="18" t="s">
        <v>35</v>
      </c>
      <c r="H3694" s="40" t="s">
        <v>35</v>
      </c>
      <c r="I3694" s="37" t="s">
        <v>36</v>
      </c>
      <c r="J3694" s="25" t="s">
        <v>65</v>
      </c>
      <c r="K3694" s="26" t="s">
        <v>38</v>
      </c>
      <c r="L3694" s="25">
        <v>12816.0</v>
      </c>
      <c r="M3694" s="49" t="s">
        <v>73</v>
      </c>
      <c r="N3694" s="42" t="s">
        <v>149</v>
      </c>
      <c r="O3694" s="67">
        <v>45749.459938831016</v>
      </c>
      <c r="P3694" s="26" t="s">
        <v>14411</v>
      </c>
      <c r="Q3694" s="13" t="s">
        <v>75</v>
      </c>
      <c r="R3694" s="13" t="s">
        <v>75</v>
      </c>
      <c r="S3694" s="13" t="s">
        <v>50</v>
      </c>
      <c r="T3694" s="44">
        <v>45748.37191861111</v>
      </c>
      <c r="U3694" s="44">
        <v>45748.426097627314</v>
      </c>
      <c r="V3694" s="44">
        <v>45748.450801087965</v>
      </c>
      <c r="W3694" s="11"/>
      <c r="X3694" s="11"/>
      <c r="Y3694" s="45"/>
      <c r="Z3694" s="45"/>
      <c r="AA3694" s="31" t="s">
        <v>94</v>
      </c>
      <c r="AB3694" s="45" t="s">
        <v>14412</v>
      </c>
      <c r="AC3694" s="45"/>
    </row>
    <row r="3695" ht="18.75" customHeight="1">
      <c r="A3695" s="18" t="s">
        <v>14413</v>
      </c>
      <c r="B3695" s="19" t="s">
        <v>10055</v>
      </c>
      <c r="C3695" s="20">
        <v>11.0</v>
      </c>
      <c r="D3695" s="48" t="s">
        <v>14414</v>
      </c>
      <c r="E3695" s="27" t="s">
        <v>112</v>
      </c>
      <c r="F3695" s="18" t="s">
        <v>48</v>
      </c>
      <c r="G3695" s="18" t="s">
        <v>35</v>
      </c>
      <c r="H3695" s="40" t="s">
        <v>35</v>
      </c>
      <c r="I3695" s="37" t="s">
        <v>36</v>
      </c>
      <c r="J3695" s="25" t="s">
        <v>65</v>
      </c>
      <c r="K3695" s="26" t="s">
        <v>38</v>
      </c>
      <c r="L3695" s="25">
        <v>12986.0</v>
      </c>
      <c r="M3695" s="49" t="s">
        <v>50</v>
      </c>
      <c r="N3695" s="42" t="s">
        <v>8469</v>
      </c>
      <c r="O3695" s="67">
        <v>45783.724594733794</v>
      </c>
      <c r="P3695" s="35" t="s">
        <v>14304</v>
      </c>
      <c r="Q3695" s="13" t="s">
        <v>75</v>
      </c>
      <c r="R3695" s="13" t="s">
        <v>75</v>
      </c>
      <c r="S3695" s="13" t="s">
        <v>50</v>
      </c>
      <c r="T3695" s="44">
        <v>45775.37784194444</v>
      </c>
      <c r="U3695" s="44">
        <v>45782.41277473379</v>
      </c>
      <c r="V3695" s="44">
        <v>45783.35323219908</v>
      </c>
      <c r="W3695" s="11"/>
      <c r="X3695" s="11"/>
      <c r="Y3695" s="45"/>
      <c r="Z3695" s="45"/>
      <c r="AA3695" s="31" t="s">
        <v>94</v>
      </c>
      <c r="AB3695" s="45" t="s">
        <v>14415</v>
      </c>
      <c r="AC3695" s="45"/>
    </row>
    <row r="3696" ht="18.75" customHeight="1">
      <c r="A3696" s="18" t="s">
        <v>14416</v>
      </c>
      <c r="B3696" s="19" t="s">
        <v>10055</v>
      </c>
      <c r="C3696" s="20">
        <v>90.0</v>
      </c>
      <c r="D3696" s="48" t="s">
        <v>14417</v>
      </c>
      <c r="E3696" s="27" t="s">
        <v>91</v>
      </c>
      <c r="F3696" s="18" t="s">
        <v>48</v>
      </c>
      <c r="G3696" s="18" t="s">
        <v>35</v>
      </c>
      <c r="H3696" s="40" t="s">
        <v>35</v>
      </c>
      <c r="I3696" s="24" t="s">
        <v>36</v>
      </c>
      <c r="J3696" s="25" t="s">
        <v>65</v>
      </c>
      <c r="K3696" s="26" t="s">
        <v>38</v>
      </c>
      <c r="L3696" s="25">
        <v>12986.0</v>
      </c>
      <c r="M3696" s="49" t="s">
        <v>50</v>
      </c>
      <c r="N3696" s="42" t="s">
        <v>8469</v>
      </c>
      <c r="O3696" s="67">
        <v>45783.724658437495</v>
      </c>
      <c r="P3696" s="35" t="s">
        <v>14418</v>
      </c>
      <c r="Q3696" s="13" t="s">
        <v>75</v>
      </c>
      <c r="R3696" s="13" t="s">
        <v>75</v>
      </c>
      <c r="S3696" s="13" t="s">
        <v>50</v>
      </c>
      <c r="T3696" s="44">
        <v>45775.377880555556</v>
      </c>
      <c r="U3696" s="44">
        <v>45782.412879027775</v>
      </c>
      <c r="V3696" s="44">
        <v>45783.35323221065</v>
      </c>
      <c r="W3696" s="11"/>
      <c r="X3696" s="11"/>
      <c r="Y3696" s="45"/>
      <c r="Z3696" s="45"/>
      <c r="AA3696" s="31" t="s">
        <v>94</v>
      </c>
      <c r="AB3696" s="45" t="s">
        <v>14419</v>
      </c>
      <c r="AC3696" s="45"/>
    </row>
    <row r="3697" ht="18.75" customHeight="1">
      <c r="A3697" s="18" t="s">
        <v>14420</v>
      </c>
      <c r="B3697" s="19" t="s">
        <v>7780</v>
      </c>
      <c r="C3697" s="20">
        <v>0.0</v>
      </c>
      <c r="D3697" s="48" t="s">
        <v>14421</v>
      </c>
      <c r="E3697" s="27" t="s">
        <v>135</v>
      </c>
      <c r="F3697" s="18" t="s">
        <v>48</v>
      </c>
      <c r="G3697" s="18" t="s">
        <v>35</v>
      </c>
      <c r="H3697" s="40" t="s">
        <v>35</v>
      </c>
      <c r="I3697" s="37" t="s">
        <v>36</v>
      </c>
      <c r="J3697" s="25" t="s">
        <v>65</v>
      </c>
      <c r="K3697" s="26" t="s">
        <v>38</v>
      </c>
      <c r="L3697" s="25">
        <v>12894.0</v>
      </c>
      <c r="M3697" s="49" t="s">
        <v>50</v>
      </c>
      <c r="N3697" s="42" t="s">
        <v>14184</v>
      </c>
      <c r="O3697" s="67">
        <v>45763.69382428241</v>
      </c>
      <c r="P3697" s="35" t="s">
        <v>14304</v>
      </c>
      <c r="Q3697" s="13" t="s">
        <v>75</v>
      </c>
      <c r="R3697" s="13" t="s">
        <v>75</v>
      </c>
      <c r="S3697" s="13"/>
      <c r="T3697" s="44">
        <v>45758.70509488426</v>
      </c>
      <c r="U3697" s="44">
        <v>45758.705183645834</v>
      </c>
      <c r="V3697" s="13"/>
      <c r="W3697" s="11"/>
      <c r="X3697" s="11"/>
      <c r="Y3697" s="45"/>
      <c r="Z3697" s="45"/>
      <c r="AA3697" s="31" t="s">
        <v>94</v>
      </c>
      <c r="AB3697" s="45" t="s">
        <v>14422</v>
      </c>
      <c r="AC3697" s="45"/>
    </row>
    <row r="3698" ht="18.75" customHeight="1">
      <c r="A3698" s="18" t="s">
        <v>14423</v>
      </c>
      <c r="B3698" s="19" t="s">
        <v>7780</v>
      </c>
      <c r="C3698" s="20">
        <v>137.0</v>
      </c>
      <c r="D3698" s="48" t="s">
        <v>14424</v>
      </c>
      <c r="E3698" s="27" t="s">
        <v>85</v>
      </c>
      <c r="F3698" s="18" t="s">
        <v>48</v>
      </c>
      <c r="G3698" s="18" t="s">
        <v>35</v>
      </c>
      <c r="H3698" s="40" t="s">
        <v>35</v>
      </c>
      <c r="I3698" s="37" t="s">
        <v>36</v>
      </c>
      <c r="J3698" s="25" t="s">
        <v>65</v>
      </c>
      <c r="K3698" s="26" t="s">
        <v>38</v>
      </c>
      <c r="L3698" s="25">
        <v>12894.0</v>
      </c>
      <c r="M3698" s="49" t="s">
        <v>50</v>
      </c>
      <c r="N3698" s="42" t="s">
        <v>14184</v>
      </c>
      <c r="O3698" s="67">
        <v>45763.693702847224</v>
      </c>
      <c r="P3698" s="35" t="s">
        <v>14304</v>
      </c>
      <c r="Q3698" s="13" t="s">
        <v>75</v>
      </c>
      <c r="R3698" s="13" t="s">
        <v>75</v>
      </c>
      <c r="S3698" s="13" t="s">
        <v>50</v>
      </c>
      <c r="T3698" s="44">
        <v>45758.70517008102</v>
      </c>
      <c r="U3698" s="44">
        <v>45758.70517219907</v>
      </c>
      <c r="V3698" s="44">
        <v>45762.34072479166</v>
      </c>
      <c r="W3698" s="11"/>
      <c r="X3698" s="11"/>
      <c r="Y3698" s="45"/>
      <c r="Z3698" s="45"/>
      <c r="AA3698" s="31" t="s">
        <v>94</v>
      </c>
      <c r="AB3698" s="45" t="s">
        <v>14425</v>
      </c>
      <c r="AC3698" s="45"/>
    </row>
    <row r="3699" ht="18.75" customHeight="1">
      <c r="A3699" s="142" t="s">
        <v>14426</v>
      </c>
      <c r="B3699" s="19" t="s">
        <v>8197</v>
      </c>
      <c r="C3699" s="20">
        <v>11.0</v>
      </c>
      <c r="D3699" s="48" t="s">
        <v>14427</v>
      </c>
      <c r="E3699" s="27" t="s">
        <v>112</v>
      </c>
      <c r="F3699" s="18" t="s">
        <v>48</v>
      </c>
      <c r="G3699" s="18" t="s">
        <v>35</v>
      </c>
      <c r="H3699" s="40" t="s">
        <v>35</v>
      </c>
      <c r="I3699" s="37" t="s">
        <v>36</v>
      </c>
      <c r="J3699" s="25" t="s">
        <v>49</v>
      </c>
      <c r="K3699" s="26" t="s">
        <v>11095</v>
      </c>
      <c r="L3699" s="25">
        <v>12827.0</v>
      </c>
      <c r="M3699" s="49" t="s">
        <v>73</v>
      </c>
      <c r="N3699" s="42" t="s">
        <v>5936</v>
      </c>
      <c r="O3699" s="67">
        <v>45750.379963495376</v>
      </c>
      <c r="P3699" s="26" t="s">
        <v>14428</v>
      </c>
      <c r="Q3699" s="13" t="s">
        <v>75</v>
      </c>
      <c r="R3699" s="13" t="s">
        <v>75</v>
      </c>
      <c r="S3699" s="13" t="s">
        <v>50</v>
      </c>
      <c r="T3699" s="44">
        <v>45749.36413055555</v>
      </c>
      <c r="U3699" s="44">
        <v>45749.364570729165</v>
      </c>
      <c r="V3699" s="44">
        <v>45749.41639828704</v>
      </c>
      <c r="W3699" s="11"/>
      <c r="X3699" s="11"/>
      <c r="Y3699" s="45"/>
      <c r="Z3699" s="45"/>
      <c r="AA3699" s="31" t="s">
        <v>5290</v>
      </c>
      <c r="AB3699" s="45" t="s">
        <v>14429</v>
      </c>
      <c r="AC3699" s="45"/>
    </row>
    <row r="3700" ht="18.75" customHeight="1">
      <c r="A3700" s="142" t="s">
        <v>14430</v>
      </c>
      <c r="B3700" s="19" t="s">
        <v>3645</v>
      </c>
      <c r="C3700" s="20">
        <v>1.0</v>
      </c>
      <c r="D3700" s="48" t="s">
        <v>14431</v>
      </c>
      <c r="E3700" s="27" t="s">
        <v>3395</v>
      </c>
      <c r="F3700" s="18" t="s">
        <v>48</v>
      </c>
      <c r="G3700" s="18" t="s">
        <v>35</v>
      </c>
      <c r="H3700" s="40" t="s">
        <v>35</v>
      </c>
      <c r="I3700" s="37" t="s">
        <v>36</v>
      </c>
      <c r="J3700" s="25" t="s">
        <v>49</v>
      </c>
      <c r="K3700" s="26" t="s">
        <v>38</v>
      </c>
      <c r="L3700" s="25">
        <v>12834.0</v>
      </c>
      <c r="M3700" s="49" t="s">
        <v>50</v>
      </c>
      <c r="N3700" s="42" t="s">
        <v>9953</v>
      </c>
      <c r="O3700" s="67">
        <v>45750.59307803241</v>
      </c>
      <c r="P3700" s="26" t="s">
        <v>14432</v>
      </c>
      <c r="Q3700" s="13" t="s">
        <v>75</v>
      </c>
      <c r="R3700" s="13" t="s">
        <v>75</v>
      </c>
      <c r="S3700" s="13" t="s">
        <v>50</v>
      </c>
      <c r="T3700" s="44">
        <v>45748.72463552083</v>
      </c>
      <c r="U3700" s="44">
        <v>45750.356893599535</v>
      </c>
      <c r="V3700" s="44">
        <v>45750.49956611111</v>
      </c>
      <c r="W3700" s="11"/>
      <c r="X3700" s="11"/>
      <c r="Y3700" s="45"/>
      <c r="Z3700" s="45"/>
      <c r="AA3700" s="31" t="s">
        <v>127</v>
      </c>
      <c r="AB3700" s="45" t="s">
        <v>14433</v>
      </c>
      <c r="AC3700" s="45"/>
    </row>
    <row r="3701" ht="18.75" customHeight="1">
      <c r="A3701" s="18" t="s">
        <v>14434</v>
      </c>
      <c r="B3701" s="19" t="s">
        <v>14435</v>
      </c>
      <c r="C3701" s="20">
        <v>27.0</v>
      </c>
      <c r="D3701" s="39" t="s">
        <v>14436</v>
      </c>
      <c r="E3701" s="22" t="s">
        <v>72</v>
      </c>
      <c r="F3701" s="18" t="s">
        <v>48</v>
      </c>
      <c r="G3701" s="18" t="s">
        <v>35</v>
      </c>
      <c r="H3701" s="40" t="s">
        <v>35</v>
      </c>
      <c r="I3701" s="37" t="s">
        <v>36</v>
      </c>
      <c r="J3701" s="25" t="s">
        <v>65</v>
      </c>
      <c r="K3701" s="26" t="s">
        <v>38</v>
      </c>
      <c r="L3701" s="25">
        <v>12869.0</v>
      </c>
      <c r="M3701" s="49" t="s">
        <v>50</v>
      </c>
      <c r="N3701" s="42" t="s">
        <v>149</v>
      </c>
      <c r="O3701" s="67">
        <v>45758.67981935185</v>
      </c>
      <c r="P3701" s="26" t="s">
        <v>14437</v>
      </c>
      <c r="Q3701" s="13" t="s">
        <v>75</v>
      </c>
      <c r="R3701" s="13" t="s">
        <v>75</v>
      </c>
      <c r="S3701" s="13" t="s">
        <v>50</v>
      </c>
      <c r="T3701" s="44">
        <v>45748.725926203704</v>
      </c>
      <c r="U3701" s="44">
        <v>45758.4159530787</v>
      </c>
      <c r="V3701" s="44">
        <v>45758.46382138889</v>
      </c>
      <c r="W3701" s="11"/>
      <c r="X3701" s="11"/>
      <c r="Y3701" s="45"/>
      <c r="Z3701" s="45"/>
      <c r="AA3701" s="31" t="s">
        <v>3059</v>
      </c>
      <c r="AB3701" s="45" t="s">
        <v>14438</v>
      </c>
      <c r="AC3701" s="45"/>
    </row>
    <row r="3702" ht="18.75" customHeight="1">
      <c r="A3702" s="18" t="s">
        <v>14439</v>
      </c>
      <c r="B3702" s="19" t="s">
        <v>14435</v>
      </c>
      <c r="C3702" s="20">
        <v>90.0</v>
      </c>
      <c r="D3702" s="48" t="s">
        <v>14440</v>
      </c>
      <c r="E3702" s="27" t="s">
        <v>91</v>
      </c>
      <c r="F3702" s="18" t="s">
        <v>48</v>
      </c>
      <c r="G3702" s="18" t="s">
        <v>35</v>
      </c>
      <c r="H3702" s="40" t="s">
        <v>35</v>
      </c>
      <c r="I3702" s="37" t="s">
        <v>36</v>
      </c>
      <c r="J3702" s="25" t="s">
        <v>65</v>
      </c>
      <c r="K3702" s="26" t="s">
        <v>38</v>
      </c>
      <c r="L3702" s="25">
        <v>12869.0</v>
      </c>
      <c r="M3702" s="49" t="s">
        <v>50</v>
      </c>
      <c r="N3702" s="42" t="s">
        <v>149</v>
      </c>
      <c r="O3702" s="67">
        <v>45758.679891747684</v>
      </c>
      <c r="P3702" s="26" t="s">
        <v>14437</v>
      </c>
      <c r="Q3702" s="13" t="s">
        <v>75</v>
      </c>
      <c r="R3702" s="13" t="s">
        <v>75</v>
      </c>
      <c r="S3702" s="13" t="s">
        <v>50</v>
      </c>
      <c r="T3702" s="44">
        <v>45748.726123229164</v>
      </c>
      <c r="U3702" s="44">
        <v>45758.415969062495</v>
      </c>
      <c r="V3702" s="44">
        <v>45758.46383309028</v>
      </c>
      <c r="W3702" s="11"/>
      <c r="X3702" s="11"/>
      <c r="Y3702" s="45"/>
      <c r="Z3702" s="45"/>
      <c r="AA3702" s="31" t="s">
        <v>3059</v>
      </c>
      <c r="AB3702" s="45" t="s">
        <v>14441</v>
      </c>
      <c r="AC3702" s="45"/>
    </row>
    <row r="3703" ht="18.75" customHeight="1">
      <c r="A3703" s="142" t="s">
        <v>14442</v>
      </c>
      <c r="B3703" s="19" t="s">
        <v>14443</v>
      </c>
      <c r="C3703" s="20">
        <v>0.0</v>
      </c>
      <c r="D3703" s="48" t="s">
        <v>14444</v>
      </c>
      <c r="E3703" s="27" t="s">
        <v>135</v>
      </c>
      <c r="F3703" s="18" t="s">
        <v>48</v>
      </c>
      <c r="G3703" s="18" t="s">
        <v>35</v>
      </c>
      <c r="H3703" s="40" t="s">
        <v>35</v>
      </c>
      <c r="I3703" s="37" t="s">
        <v>36</v>
      </c>
      <c r="J3703" s="25" t="s">
        <v>518</v>
      </c>
      <c r="K3703" s="26" t="s">
        <v>38</v>
      </c>
      <c r="L3703" s="25">
        <v>12872.0</v>
      </c>
      <c r="M3703" s="49" t="s">
        <v>50</v>
      </c>
      <c r="N3703" s="42" t="s">
        <v>4616</v>
      </c>
      <c r="O3703" s="67">
        <v>45763.590884398145</v>
      </c>
      <c r="P3703" s="26" t="s">
        <v>14445</v>
      </c>
      <c r="Q3703" s="13" t="s">
        <v>75</v>
      </c>
      <c r="R3703" s="13" t="s">
        <v>75</v>
      </c>
      <c r="S3703" s="13" t="s">
        <v>50</v>
      </c>
      <c r="T3703" s="44">
        <v>45758.4919049537</v>
      </c>
      <c r="U3703" s="44">
        <v>45758.49190703704</v>
      </c>
      <c r="V3703" s="44">
        <v>45758.570987314815</v>
      </c>
      <c r="W3703" s="11"/>
      <c r="X3703" s="148">
        <v>45754.0</v>
      </c>
      <c r="Y3703" s="45"/>
      <c r="Z3703" s="45"/>
      <c r="AA3703" s="31" t="s">
        <v>108</v>
      </c>
      <c r="AB3703" s="45" t="s">
        <v>14446</v>
      </c>
      <c r="AC3703" s="45"/>
    </row>
    <row r="3704" ht="18.75" customHeight="1">
      <c r="A3704" s="142" t="s">
        <v>14447</v>
      </c>
      <c r="B3704" s="19" t="s">
        <v>7703</v>
      </c>
      <c r="C3704" s="20">
        <v>34.0</v>
      </c>
      <c r="D3704" s="48" t="s">
        <v>14448</v>
      </c>
      <c r="E3704" s="27" t="s">
        <v>47</v>
      </c>
      <c r="F3704" s="18" t="s">
        <v>48</v>
      </c>
      <c r="G3704" s="18" t="s">
        <v>35</v>
      </c>
      <c r="H3704" s="40" t="s">
        <v>35</v>
      </c>
      <c r="I3704" s="37" t="s">
        <v>36</v>
      </c>
      <c r="J3704" s="25" t="s">
        <v>13825</v>
      </c>
      <c r="K3704" s="26" t="s">
        <v>38</v>
      </c>
      <c r="L3704" s="25">
        <v>12835.0</v>
      </c>
      <c r="M3704" s="49" t="s">
        <v>50</v>
      </c>
      <c r="N3704" s="42" t="s">
        <v>149</v>
      </c>
      <c r="O3704" s="67">
        <v>45750.636590752314</v>
      </c>
      <c r="P3704" s="35" t="s">
        <v>14449</v>
      </c>
      <c r="Q3704" s="13" t="s">
        <v>75</v>
      </c>
      <c r="R3704" s="13" t="s">
        <v>75</v>
      </c>
      <c r="S3704" s="13" t="s">
        <v>73</v>
      </c>
      <c r="T3704" s="44">
        <v>45749.381828391204</v>
      </c>
      <c r="U3704" s="44">
        <v>45750.47453923611</v>
      </c>
      <c r="V3704" s="44">
        <v>45750.502590613425</v>
      </c>
      <c r="W3704" s="11"/>
      <c r="X3704" s="11"/>
      <c r="Y3704" s="45"/>
      <c r="Z3704" s="45"/>
      <c r="AA3704" s="31" t="s">
        <v>3059</v>
      </c>
      <c r="AB3704" s="45" t="s">
        <v>14450</v>
      </c>
      <c r="AC3704" s="45"/>
    </row>
    <row r="3705" ht="18.75" customHeight="1">
      <c r="A3705" s="142" t="s">
        <v>14451</v>
      </c>
      <c r="B3705" s="19" t="s">
        <v>122</v>
      </c>
      <c r="C3705" s="20">
        <v>90.0</v>
      </c>
      <c r="D3705" s="48" t="s">
        <v>14452</v>
      </c>
      <c r="E3705" s="27" t="s">
        <v>91</v>
      </c>
      <c r="F3705" s="18" t="s">
        <v>48</v>
      </c>
      <c r="G3705" s="18" t="s">
        <v>35</v>
      </c>
      <c r="H3705" s="40" t="s">
        <v>35</v>
      </c>
      <c r="I3705" s="37" t="s">
        <v>36</v>
      </c>
      <c r="J3705" s="25" t="s">
        <v>49</v>
      </c>
      <c r="K3705" s="26" t="s">
        <v>38</v>
      </c>
      <c r="L3705" s="25">
        <v>12829.0</v>
      </c>
      <c r="M3705" s="49" t="s">
        <v>50</v>
      </c>
      <c r="N3705" s="42" t="s">
        <v>9953</v>
      </c>
      <c r="O3705" s="67">
        <v>45750.59315515046</v>
      </c>
      <c r="P3705" s="26" t="s">
        <v>14453</v>
      </c>
      <c r="Q3705" s="13" t="s">
        <v>75</v>
      </c>
      <c r="R3705" s="13" t="s">
        <v>75</v>
      </c>
      <c r="S3705" s="13" t="s">
        <v>50</v>
      </c>
      <c r="T3705" s="44">
        <v>45749.381828391204</v>
      </c>
      <c r="U3705" s="44">
        <v>45750.47453923611</v>
      </c>
      <c r="V3705" s="44">
        <v>45750.49960119213</v>
      </c>
      <c r="W3705" s="11"/>
      <c r="X3705" s="11"/>
      <c r="Y3705" s="45"/>
      <c r="Z3705" s="45"/>
      <c r="AA3705" s="31" t="s">
        <v>127</v>
      </c>
      <c r="AB3705" s="45" t="s">
        <v>14454</v>
      </c>
      <c r="AC3705" s="45"/>
    </row>
    <row r="3706" ht="18.75" customHeight="1">
      <c r="A3706" s="142" t="s">
        <v>14455</v>
      </c>
      <c r="B3706" s="19" t="s">
        <v>122</v>
      </c>
      <c r="C3706" s="20">
        <v>90.0</v>
      </c>
      <c r="D3706" s="48" t="s">
        <v>14456</v>
      </c>
      <c r="E3706" s="27" t="s">
        <v>91</v>
      </c>
      <c r="F3706" s="18" t="s">
        <v>48</v>
      </c>
      <c r="G3706" s="18" t="s">
        <v>35</v>
      </c>
      <c r="H3706" s="40" t="s">
        <v>35</v>
      </c>
      <c r="I3706" s="37" t="s">
        <v>36</v>
      </c>
      <c r="J3706" s="25" t="s">
        <v>49</v>
      </c>
      <c r="K3706" s="26" t="s">
        <v>38</v>
      </c>
      <c r="L3706" s="25">
        <v>12830.0</v>
      </c>
      <c r="M3706" s="49" t="s">
        <v>50</v>
      </c>
      <c r="N3706" s="42" t="s">
        <v>9953</v>
      </c>
      <c r="O3706" s="67">
        <v>45750.593242303235</v>
      </c>
      <c r="P3706" s="35" t="s">
        <v>14457</v>
      </c>
      <c r="Q3706" s="13" t="s">
        <v>75</v>
      </c>
      <c r="R3706" s="13" t="s">
        <v>75</v>
      </c>
      <c r="S3706" s="13" t="s">
        <v>50</v>
      </c>
      <c r="T3706" s="44">
        <v>45749.46913445602</v>
      </c>
      <c r="U3706" s="44">
        <v>45750.474535393514</v>
      </c>
      <c r="V3706" s="44">
        <v>45750.49958320602</v>
      </c>
      <c r="W3706" s="11"/>
      <c r="X3706" s="11"/>
      <c r="Y3706" s="45"/>
      <c r="Z3706" s="45"/>
      <c r="AA3706" s="31" t="s">
        <v>127</v>
      </c>
      <c r="AB3706" s="45" t="s">
        <v>14458</v>
      </c>
      <c r="AC3706" s="45"/>
    </row>
    <row r="3707" ht="18.75" customHeight="1">
      <c r="A3707" s="142" t="s">
        <v>14459</v>
      </c>
      <c r="B3707" s="19" t="s">
        <v>8426</v>
      </c>
      <c r="C3707" s="20">
        <v>0.0</v>
      </c>
      <c r="D3707" s="48" t="s">
        <v>1540</v>
      </c>
      <c r="E3707" s="27" t="s">
        <v>1595</v>
      </c>
      <c r="F3707" s="18" t="s">
        <v>33</v>
      </c>
      <c r="G3707" s="18" t="s">
        <v>35</v>
      </c>
      <c r="H3707" s="40" t="s">
        <v>35</v>
      </c>
      <c r="I3707" s="37" t="s">
        <v>36</v>
      </c>
      <c r="J3707" s="25" t="s">
        <v>49</v>
      </c>
      <c r="K3707" s="26" t="s">
        <v>38</v>
      </c>
      <c r="L3707" s="25">
        <v>12843.0</v>
      </c>
      <c r="M3707" s="49" t="s">
        <v>50</v>
      </c>
      <c r="N3707" s="42" t="s">
        <v>143</v>
      </c>
      <c r="O3707" s="67">
        <v>45754.60833333334</v>
      </c>
      <c r="P3707" s="26" t="s">
        <v>14460</v>
      </c>
      <c r="Q3707" s="13" t="s">
        <v>75</v>
      </c>
      <c r="R3707" s="13" t="s">
        <v>75</v>
      </c>
      <c r="S3707" s="13"/>
      <c r="T3707" s="44">
        <v>45749.46720680555</v>
      </c>
      <c r="U3707" s="44">
        <v>45749.66655678241</v>
      </c>
      <c r="V3707" s="13"/>
      <c r="W3707" s="11"/>
      <c r="X3707" s="11"/>
      <c r="Y3707" s="45"/>
      <c r="Z3707" s="45"/>
      <c r="AA3707" s="31" t="s">
        <v>102</v>
      </c>
      <c r="AB3707" s="45" t="s">
        <v>14461</v>
      </c>
      <c r="AC3707" s="45"/>
    </row>
    <row r="3708" ht="18.75" customHeight="1">
      <c r="A3708" s="142" t="s">
        <v>14462</v>
      </c>
      <c r="B3708" s="19" t="s">
        <v>548</v>
      </c>
      <c r="C3708" s="20">
        <v>90.0</v>
      </c>
      <c r="D3708" s="48" t="s">
        <v>14463</v>
      </c>
      <c r="E3708" s="22" t="s">
        <v>91</v>
      </c>
      <c r="F3708" s="18" t="s">
        <v>48</v>
      </c>
      <c r="G3708" s="18" t="s">
        <v>35</v>
      </c>
      <c r="H3708" s="40" t="s">
        <v>35</v>
      </c>
      <c r="I3708" s="24" t="s">
        <v>36</v>
      </c>
      <c r="J3708" s="25" t="s">
        <v>92</v>
      </c>
      <c r="K3708" s="26" t="s">
        <v>38</v>
      </c>
      <c r="L3708" s="34">
        <v>12828.0</v>
      </c>
      <c r="M3708" s="49" t="s">
        <v>73</v>
      </c>
      <c r="N3708" s="42" t="s">
        <v>14272</v>
      </c>
      <c r="O3708" s="67">
        <v>45751.43130222222</v>
      </c>
      <c r="P3708" s="26" t="s">
        <v>14464</v>
      </c>
      <c r="Q3708" s="14" t="s">
        <v>151</v>
      </c>
      <c r="R3708" s="14" t="s">
        <v>151</v>
      </c>
      <c r="S3708" s="14" t="s">
        <v>151</v>
      </c>
      <c r="T3708" s="44">
        <v>45749.55327055555</v>
      </c>
      <c r="U3708" s="44">
        <v>45749.55327355324</v>
      </c>
      <c r="V3708" s="202">
        <v>45749.56651819445</v>
      </c>
      <c r="W3708" s="11"/>
      <c r="X3708" s="11"/>
      <c r="Y3708" s="45"/>
      <c r="Z3708" s="45"/>
      <c r="AA3708" s="31" t="s">
        <v>120</v>
      </c>
      <c r="AB3708" s="45" t="s">
        <v>14465</v>
      </c>
      <c r="AC3708" s="45"/>
    </row>
    <row r="3709" ht="18.75" customHeight="1">
      <c r="A3709" s="18" t="s">
        <v>14466</v>
      </c>
      <c r="B3709" s="19" t="s">
        <v>10831</v>
      </c>
      <c r="C3709" s="20">
        <v>1.0</v>
      </c>
      <c r="D3709" s="48" t="s">
        <v>14467</v>
      </c>
      <c r="E3709" s="27" t="s">
        <v>3395</v>
      </c>
      <c r="F3709" s="18" t="s">
        <v>48</v>
      </c>
      <c r="G3709" s="18" t="s">
        <v>35</v>
      </c>
      <c r="H3709" s="40" t="s">
        <v>35</v>
      </c>
      <c r="I3709" s="37" t="s">
        <v>36</v>
      </c>
      <c r="J3709" s="34" t="s">
        <v>37</v>
      </c>
      <c r="K3709" s="26" t="s">
        <v>38</v>
      </c>
      <c r="L3709" s="25">
        <v>12831.0</v>
      </c>
      <c r="M3709" s="49" t="s">
        <v>50</v>
      </c>
      <c r="N3709" s="42" t="s">
        <v>10833</v>
      </c>
      <c r="O3709" s="67">
        <v>45754.342630162035</v>
      </c>
      <c r="P3709" s="26" t="s">
        <v>14468</v>
      </c>
      <c r="Q3709" s="13" t="s">
        <v>75</v>
      </c>
      <c r="R3709" s="13" t="s">
        <v>75</v>
      </c>
      <c r="S3709" s="13" t="s">
        <v>50</v>
      </c>
      <c r="T3709" s="44">
        <v>45749.73366315972</v>
      </c>
      <c r="U3709" s="44">
        <v>45750.356429224536</v>
      </c>
      <c r="V3709" s="198">
        <v>45750.49953872686</v>
      </c>
      <c r="W3709" s="11"/>
      <c r="X3709" s="11"/>
      <c r="Y3709" s="45"/>
      <c r="Z3709" s="45"/>
      <c r="AA3709" s="31" t="s">
        <v>120</v>
      </c>
      <c r="AB3709" s="45" t="s">
        <v>14469</v>
      </c>
      <c r="AC3709" s="45"/>
    </row>
    <row r="3710" ht="18.75" customHeight="1">
      <c r="A3710" s="18" t="s">
        <v>14470</v>
      </c>
      <c r="B3710" s="19" t="s">
        <v>10831</v>
      </c>
      <c r="C3710" s="20">
        <v>1.0</v>
      </c>
      <c r="D3710" s="48" t="s">
        <v>14471</v>
      </c>
      <c r="E3710" s="27" t="s">
        <v>3395</v>
      </c>
      <c r="F3710" s="18" t="s">
        <v>48</v>
      </c>
      <c r="G3710" s="18" t="s">
        <v>35</v>
      </c>
      <c r="H3710" s="40" t="s">
        <v>35</v>
      </c>
      <c r="I3710" s="37" t="s">
        <v>36</v>
      </c>
      <c r="J3710" s="34" t="s">
        <v>37</v>
      </c>
      <c r="K3710" s="26" t="s">
        <v>38</v>
      </c>
      <c r="L3710" s="25">
        <v>12831.0</v>
      </c>
      <c r="M3710" s="49" t="s">
        <v>50</v>
      </c>
      <c r="N3710" s="42" t="s">
        <v>10833</v>
      </c>
      <c r="O3710" s="67">
        <v>45754.34268450231</v>
      </c>
      <c r="P3710" s="26" t="s">
        <v>14468</v>
      </c>
      <c r="Q3710" s="13" t="s">
        <v>75</v>
      </c>
      <c r="R3710" s="13" t="s">
        <v>75</v>
      </c>
      <c r="S3710" s="13" t="s">
        <v>50</v>
      </c>
      <c r="T3710" s="44">
        <v>45749.73385283565</v>
      </c>
      <c r="U3710" s="44">
        <v>45750.35644280093</v>
      </c>
      <c r="V3710" s="198">
        <v>45750.49955613426</v>
      </c>
      <c r="W3710" s="11"/>
      <c r="X3710" s="11"/>
      <c r="Y3710" s="45"/>
      <c r="Z3710" s="45"/>
      <c r="AA3710" s="31" t="s">
        <v>120</v>
      </c>
      <c r="AB3710" s="45" t="s">
        <v>14472</v>
      </c>
      <c r="AC3710" s="45"/>
    </row>
    <row r="3711" ht="18.75" customHeight="1">
      <c r="A3711" s="142" t="s">
        <v>14473</v>
      </c>
      <c r="B3711" s="19" t="s">
        <v>8743</v>
      </c>
      <c r="C3711" s="20">
        <v>0.0</v>
      </c>
      <c r="D3711" s="48" t="s">
        <v>14474</v>
      </c>
      <c r="E3711" s="27" t="s">
        <v>3441</v>
      </c>
      <c r="F3711" s="18" t="s">
        <v>48</v>
      </c>
      <c r="G3711" s="18" t="s">
        <v>35</v>
      </c>
      <c r="H3711" s="40" t="s">
        <v>35</v>
      </c>
      <c r="I3711" s="37" t="s">
        <v>36</v>
      </c>
      <c r="J3711" s="25" t="s">
        <v>65</v>
      </c>
      <c r="K3711" s="26" t="s">
        <v>38</v>
      </c>
      <c r="L3711" s="25">
        <v>12832.0</v>
      </c>
      <c r="M3711" s="49" t="s">
        <v>50</v>
      </c>
      <c r="N3711" s="42" t="s">
        <v>149</v>
      </c>
      <c r="O3711" s="67">
        <v>45750.63646577546</v>
      </c>
      <c r="P3711" s="35" t="s">
        <v>14475</v>
      </c>
      <c r="Q3711" s="13" t="s">
        <v>75</v>
      </c>
      <c r="R3711" s="13" t="s">
        <v>75</v>
      </c>
      <c r="S3711" s="13" t="s">
        <v>50</v>
      </c>
      <c r="T3711" s="44">
        <v>45750.36057225695</v>
      </c>
      <c r="U3711" s="44">
        <v>45750.46087792824</v>
      </c>
      <c r="V3711" s="198">
        <v>45750.49957506944</v>
      </c>
      <c r="W3711" s="11"/>
      <c r="X3711" s="11"/>
      <c r="Y3711" s="45"/>
      <c r="Z3711" s="45"/>
      <c r="AA3711" s="31" t="s">
        <v>3059</v>
      </c>
      <c r="AB3711" s="45" t="s">
        <v>14476</v>
      </c>
      <c r="AC3711" s="45"/>
    </row>
    <row r="3712" ht="18.75" customHeight="1">
      <c r="A3712" s="18" t="s">
        <v>14477</v>
      </c>
      <c r="B3712" s="19" t="s">
        <v>9801</v>
      </c>
      <c r="C3712" s="20">
        <v>1.0</v>
      </c>
      <c r="D3712" s="48" t="s">
        <v>14478</v>
      </c>
      <c r="E3712" s="27" t="s">
        <v>3395</v>
      </c>
      <c r="F3712" s="18" t="s">
        <v>48</v>
      </c>
      <c r="G3712" s="18" t="s">
        <v>35</v>
      </c>
      <c r="H3712" s="40" t="s">
        <v>35</v>
      </c>
      <c r="I3712" s="37" t="s">
        <v>36</v>
      </c>
      <c r="J3712" s="25" t="s">
        <v>65</v>
      </c>
      <c r="K3712" s="26" t="s">
        <v>38</v>
      </c>
      <c r="L3712" s="25">
        <v>12878.0</v>
      </c>
      <c r="M3712" s="49" t="s">
        <v>50</v>
      </c>
      <c r="N3712" s="42" t="s">
        <v>11189</v>
      </c>
      <c r="O3712" s="67">
        <v>45762.66782113426</v>
      </c>
      <c r="P3712" s="35" t="s">
        <v>14479</v>
      </c>
      <c r="Q3712" s="13" t="s">
        <v>75</v>
      </c>
      <c r="R3712" s="13" t="s">
        <v>75</v>
      </c>
      <c r="S3712" s="13" t="s">
        <v>50</v>
      </c>
      <c r="T3712" s="44">
        <v>45750.36111960648</v>
      </c>
      <c r="U3712" s="44">
        <v>45758.59211017361</v>
      </c>
      <c r="V3712" s="198">
        <v>45762.346694259264</v>
      </c>
      <c r="W3712" s="11"/>
      <c r="X3712" s="11"/>
      <c r="Y3712" s="45"/>
      <c r="Z3712" s="45"/>
      <c r="AA3712" s="31" t="s">
        <v>94</v>
      </c>
      <c r="AB3712" s="45" t="s">
        <v>14480</v>
      </c>
      <c r="AC3712" s="45"/>
    </row>
    <row r="3713" ht="18.75" customHeight="1">
      <c r="A3713" s="18" t="s">
        <v>14481</v>
      </c>
      <c r="B3713" s="19" t="s">
        <v>9801</v>
      </c>
      <c r="C3713" s="20">
        <v>1.0</v>
      </c>
      <c r="D3713" s="48" t="s">
        <v>14482</v>
      </c>
      <c r="E3713" s="27" t="s">
        <v>3395</v>
      </c>
      <c r="F3713" s="18" t="s">
        <v>48</v>
      </c>
      <c r="G3713" s="18" t="s">
        <v>35</v>
      </c>
      <c r="H3713" s="40" t="s">
        <v>35</v>
      </c>
      <c r="I3713" s="37" t="s">
        <v>36</v>
      </c>
      <c r="J3713" s="25" t="s">
        <v>65</v>
      </c>
      <c r="K3713" s="26" t="s">
        <v>38</v>
      </c>
      <c r="L3713" s="25">
        <v>12878.0</v>
      </c>
      <c r="M3713" s="49" t="s">
        <v>50</v>
      </c>
      <c r="N3713" s="42" t="s">
        <v>11189</v>
      </c>
      <c r="O3713" s="67">
        <v>45762.66789868056</v>
      </c>
      <c r="P3713" s="35" t="s">
        <v>14479</v>
      </c>
      <c r="Q3713" s="13" t="s">
        <v>75</v>
      </c>
      <c r="R3713" s="13" t="s">
        <v>75</v>
      </c>
      <c r="S3713" s="13" t="s">
        <v>50</v>
      </c>
      <c r="T3713" s="44">
        <v>45750.36118075231</v>
      </c>
      <c r="U3713" s="44">
        <v>45758.59214804399</v>
      </c>
      <c r="V3713" s="198">
        <v>45762.346704641204</v>
      </c>
      <c r="W3713" s="11"/>
      <c r="X3713" s="11"/>
      <c r="Y3713" s="45"/>
      <c r="Z3713" s="45"/>
      <c r="AA3713" s="31" t="s">
        <v>94</v>
      </c>
      <c r="AB3713" s="45" t="s">
        <v>14483</v>
      </c>
      <c r="AC3713" s="45"/>
    </row>
    <row r="3714" ht="18.75" customHeight="1">
      <c r="A3714" s="142" t="s">
        <v>14484</v>
      </c>
      <c r="B3714" s="19" t="s">
        <v>4206</v>
      </c>
      <c r="C3714" s="20">
        <v>0.0</v>
      </c>
      <c r="D3714" s="48" t="s">
        <v>1537</v>
      </c>
      <c r="E3714" s="27" t="s">
        <v>135</v>
      </c>
      <c r="F3714" s="18" t="s">
        <v>48</v>
      </c>
      <c r="G3714" s="18" t="s">
        <v>35</v>
      </c>
      <c r="H3714" s="40" t="s">
        <v>35</v>
      </c>
      <c r="I3714" s="24" t="s">
        <v>36</v>
      </c>
      <c r="J3714" s="25" t="s">
        <v>92</v>
      </c>
      <c r="K3714" s="26" t="s">
        <v>38</v>
      </c>
      <c r="L3714" s="34">
        <v>12838.0</v>
      </c>
      <c r="M3714" s="49"/>
      <c r="N3714" s="42"/>
      <c r="O3714" s="68"/>
      <c r="P3714" s="26" t="s">
        <v>14485</v>
      </c>
      <c r="Q3714" s="13" t="s">
        <v>75</v>
      </c>
      <c r="R3714" s="13" t="s">
        <v>75</v>
      </c>
      <c r="S3714" s="13"/>
      <c r="T3714" s="44">
        <v>45750.369508379634</v>
      </c>
      <c r="U3714" s="44">
        <v>45750.60374505787</v>
      </c>
      <c r="V3714" s="203"/>
      <c r="W3714" s="11"/>
      <c r="X3714" s="11"/>
      <c r="Y3714" s="45"/>
      <c r="Z3714" s="45"/>
      <c r="AA3714" s="31" t="s">
        <v>3059</v>
      </c>
      <c r="AB3714" s="45" t="s">
        <v>14486</v>
      </c>
      <c r="AC3714" s="45"/>
    </row>
    <row r="3715" ht="18.75" customHeight="1">
      <c r="A3715" s="142" t="s">
        <v>14487</v>
      </c>
      <c r="B3715" s="19" t="s">
        <v>4352</v>
      </c>
      <c r="C3715" s="20">
        <v>0.0</v>
      </c>
      <c r="D3715" s="48" t="s">
        <v>14488</v>
      </c>
      <c r="E3715" s="27" t="s">
        <v>3441</v>
      </c>
      <c r="F3715" s="18" t="s">
        <v>48</v>
      </c>
      <c r="G3715" s="18" t="s">
        <v>35</v>
      </c>
      <c r="H3715" s="40" t="s">
        <v>35</v>
      </c>
      <c r="I3715" s="37" t="s">
        <v>36</v>
      </c>
      <c r="J3715" s="25" t="s">
        <v>49</v>
      </c>
      <c r="K3715" s="26" t="s">
        <v>38</v>
      </c>
      <c r="L3715" s="25">
        <v>12833.0</v>
      </c>
      <c r="M3715" s="49" t="s">
        <v>50</v>
      </c>
      <c r="N3715" s="42" t="s">
        <v>9953</v>
      </c>
      <c r="O3715" s="67">
        <v>45750.593322002314</v>
      </c>
      <c r="P3715" s="26" t="s">
        <v>14489</v>
      </c>
      <c r="Q3715" s="13" t="s">
        <v>75</v>
      </c>
      <c r="R3715" s="13" t="s">
        <v>75</v>
      </c>
      <c r="S3715" s="13" t="s">
        <v>50</v>
      </c>
      <c r="T3715" s="44">
        <v>45750.36624055555</v>
      </c>
      <c r="U3715" s="44">
        <v>45750.47564737269</v>
      </c>
      <c r="V3715" s="198">
        <v>45750.49961591435</v>
      </c>
      <c r="W3715" s="11"/>
      <c r="X3715" s="11"/>
      <c r="Y3715" s="45"/>
      <c r="Z3715" s="45"/>
      <c r="AA3715" s="31" t="s">
        <v>127</v>
      </c>
      <c r="AB3715" s="45" t="s">
        <v>14490</v>
      </c>
      <c r="AC3715" s="45"/>
    </row>
    <row r="3716" ht="18.75" customHeight="1">
      <c r="A3716" s="18" t="s">
        <v>14491</v>
      </c>
      <c r="B3716" s="19" t="s">
        <v>530</v>
      </c>
      <c r="C3716" s="20">
        <v>0.0</v>
      </c>
      <c r="D3716" s="48"/>
      <c r="E3716" s="22" t="s">
        <v>913</v>
      </c>
      <c r="F3716" s="18" t="s">
        <v>33</v>
      </c>
      <c r="G3716" s="18" t="s">
        <v>35</v>
      </c>
      <c r="H3716" s="40" t="s">
        <v>35</v>
      </c>
      <c r="I3716" s="37" t="s">
        <v>984</v>
      </c>
      <c r="J3716" s="25" t="s">
        <v>92</v>
      </c>
      <c r="K3716" s="26" t="s">
        <v>38</v>
      </c>
      <c r="L3716" s="25">
        <v>-12850.0</v>
      </c>
      <c r="M3716" s="49"/>
      <c r="N3716" s="42"/>
      <c r="O3716" s="68"/>
      <c r="P3716" s="26" t="s">
        <v>14492</v>
      </c>
      <c r="Q3716" s="13" t="s">
        <v>75</v>
      </c>
      <c r="R3716" s="13" t="s">
        <v>75</v>
      </c>
      <c r="S3716" s="13"/>
      <c r="T3716" s="44">
        <v>45750.648073634264</v>
      </c>
      <c r="U3716" s="44">
        <v>45751.372951516205</v>
      </c>
      <c r="V3716" s="203"/>
      <c r="W3716" s="11"/>
      <c r="X3716" s="11"/>
      <c r="Y3716" s="45"/>
      <c r="Z3716" s="45"/>
      <c r="AA3716" s="31"/>
      <c r="AB3716" s="45" t="s">
        <v>14493</v>
      </c>
      <c r="AC3716" s="45"/>
    </row>
    <row r="3717" ht="18.75" customHeight="1">
      <c r="A3717" s="18" t="s">
        <v>14494</v>
      </c>
      <c r="B3717" s="19" t="s">
        <v>530</v>
      </c>
      <c r="C3717" s="20">
        <v>0.0</v>
      </c>
      <c r="D3717" s="48"/>
      <c r="E3717" s="22" t="s">
        <v>913</v>
      </c>
      <c r="F3717" s="18" t="s">
        <v>33</v>
      </c>
      <c r="G3717" s="18" t="s">
        <v>35</v>
      </c>
      <c r="H3717" s="40" t="s">
        <v>35</v>
      </c>
      <c r="I3717" s="37" t="s">
        <v>984</v>
      </c>
      <c r="J3717" s="25" t="s">
        <v>92</v>
      </c>
      <c r="K3717" s="26" t="s">
        <v>38</v>
      </c>
      <c r="L3717" s="25">
        <v>-12850.0</v>
      </c>
      <c r="M3717" s="49"/>
      <c r="N3717" s="42"/>
      <c r="O3717" s="68"/>
      <c r="P3717" s="26" t="s">
        <v>14492</v>
      </c>
      <c r="Q3717" s="13" t="s">
        <v>75</v>
      </c>
      <c r="R3717" s="13" t="s">
        <v>75</v>
      </c>
      <c r="S3717" s="13"/>
      <c r="T3717" s="44">
        <v>45750.648201331016</v>
      </c>
      <c r="U3717" s="44">
        <v>45751.37294418982</v>
      </c>
      <c r="V3717" s="203"/>
      <c r="W3717" s="11"/>
      <c r="X3717" s="11"/>
      <c r="Y3717" s="45"/>
      <c r="Z3717" s="45"/>
      <c r="AA3717" s="31"/>
      <c r="AB3717" s="45" t="s">
        <v>14495</v>
      </c>
      <c r="AC3717" s="45"/>
    </row>
    <row r="3718" ht="18.75" customHeight="1">
      <c r="A3718" s="18" t="s">
        <v>14496</v>
      </c>
      <c r="B3718" s="19" t="s">
        <v>530</v>
      </c>
      <c r="C3718" s="20">
        <v>0.0</v>
      </c>
      <c r="D3718" s="48"/>
      <c r="E3718" s="22" t="s">
        <v>913</v>
      </c>
      <c r="F3718" s="18" t="s">
        <v>33</v>
      </c>
      <c r="G3718" s="18" t="s">
        <v>35</v>
      </c>
      <c r="H3718" s="40" t="s">
        <v>35</v>
      </c>
      <c r="I3718" s="37" t="s">
        <v>984</v>
      </c>
      <c r="J3718" s="25" t="s">
        <v>92</v>
      </c>
      <c r="K3718" s="26" t="s">
        <v>38</v>
      </c>
      <c r="L3718" s="25">
        <v>-12850.0</v>
      </c>
      <c r="M3718" s="49"/>
      <c r="N3718" s="42"/>
      <c r="O3718" s="68"/>
      <c r="P3718" s="26" t="s">
        <v>14492</v>
      </c>
      <c r="Q3718" s="13" t="s">
        <v>75</v>
      </c>
      <c r="R3718" s="13" t="s">
        <v>75</v>
      </c>
      <c r="S3718" s="13"/>
      <c r="T3718" s="44">
        <v>45750.64825909722</v>
      </c>
      <c r="U3718" s="44">
        <v>45751.37293761574</v>
      </c>
      <c r="V3718" s="203"/>
      <c r="W3718" s="11"/>
      <c r="X3718" s="11"/>
      <c r="Y3718" s="45"/>
      <c r="Z3718" s="45"/>
      <c r="AA3718" s="31"/>
      <c r="AB3718" s="45" t="s">
        <v>14497</v>
      </c>
      <c r="AC3718" s="45"/>
    </row>
    <row r="3719" ht="18.75" customHeight="1">
      <c r="A3719" s="18" t="s">
        <v>14498</v>
      </c>
      <c r="B3719" s="19" t="s">
        <v>530</v>
      </c>
      <c r="C3719" s="20">
        <v>0.0</v>
      </c>
      <c r="D3719" s="48"/>
      <c r="E3719" s="22" t="s">
        <v>1119</v>
      </c>
      <c r="F3719" s="18" t="s">
        <v>33</v>
      </c>
      <c r="G3719" s="18" t="s">
        <v>35</v>
      </c>
      <c r="H3719" s="40" t="s">
        <v>35</v>
      </c>
      <c r="I3719" s="37" t="s">
        <v>984</v>
      </c>
      <c r="J3719" s="25" t="s">
        <v>92</v>
      </c>
      <c r="K3719" s="26" t="s">
        <v>38</v>
      </c>
      <c r="L3719" s="25">
        <v>-12850.0</v>
      </c>
      <c r="M3719" s="49"/>
      <c r="N3719" s="42"/>
      <c r="O3719" s="68"/>
      <c r="P3719" s="26" t="s">
        <v>14492</v>
      </c>
      <c r="Q3719" s="13" t="s">
        <v>75</v>
      </c>
      <c r="R3719" s="13" t="s">
        <v>75</v>
      </c>
      <c r="S3719" s="13"/>
      <c r="T3719" s="44">
        <v>45750.648634826386</v>
      </c>
      <c r="U3719" s="44">
        <v>45751.37293253472</v>
      </c>
      <c r="V3719" s="203"/>
      <c r="W3719" s="11"/>
      <c r="X3719" s="11"/>
      <c r="Y3719" s="45"/>
      <c r="Z3719" s="45"/>
      <c r="AA3719" s="31"/>
      <c r="AB3719" s="45" t="s">
        <v>14499</v>
      </c>
      <c r="AC3719" s="45"/>
    </row>
    <row r="3720" ht="18.75" customHeight="1">
      <c r="A3720" s="18" t="s">
        <v>14500</v>
      </c>
      <c r="B3720" s="19" t="s">
        <v>530</v>
      </c>
      <c r="C3720" s="20">
        <v>0.0</v>
      </c>
      <c r="D3720" s="48"/>
      <c r="E3720" s="22" t="s">
        <v>1119</v>
      </c>
      <c r="F3720" s="18" t="s">
        <v>33</v>
      </c>
      <c r="G3720" s="18" t="s">
        <v>35</v>
      </c>
      <c r="H3720" s="40" t="s">
        <v>35</v>
      </c>
      <c r="I3720" s="37" t="s">
        <v>984</v>
      </c>
      <c r="J3720" s="25" t="s">
        <v>92</v>
      </c>
      <c r="K3720" s="26" t="s">
        <v>38</v>
      </c>
      <c r="L3720" s="25">
        <v>-12850.0</v>
      </c>
      <c r="M3720" s="49"/>
      <c r="N3720" s="42"/>
      <c r="O3720" s="68"/>
      <c r="P3720" s="26" t="s">
        <v>14492</v>
      </c>
      <c r="Q3720" s="13" t="s">
        <v>75</v>
      </c>
      <c r="R3720" s="13" t="s">
        <v>75</v>
      </c>
      <c r="S3720" s="13"/>
      <c r="T3720" s="44">
        <v>45750.64877170139</v>
      </c>
      <c r="U3720" s="44">
        <v>45751.37287659722</v>
      </c>
      <c r="V3720" s="203"/>
      <c r="W3720" s="11"/>
      <c r="X3720" s="11"/>
      <c r="Y3720" s="45"/>
      <c r="Z3720" s="45"/>
      <c r="AA3720" s="31"/>
      <c r="AB3720" s="45" t="s">
        <v>14501</v>
      </c>
      <c r="AC3720" s="45"/>
    </row>
    <row r="3721" ht="18.75" customHeight="1">
      <c r="A3721" s="142" t="s">
        <v>14502</v>
      </c>
      <c r="B3721" s="19" t="s">
        <v>4711</v>
      </c>
      <c r="C3721" s="20">
        <v>137.0</v>
      </c>
      <c r="D3721" s="48" t="s">
        <v>14503</v>
      </c>
      <c r="E3721" s="27" t="s">
        <v>85</v>
      </c>
      <c r="F3721" s="18" t="s">
        <v>48</v>
      </c>
      <c r="G3721" s="18" t="s">
        <v>35</v>
      </c>
      <c r="H3721" s="40" t="s">
        <v>35</v>
      </c>
      <c r="I3721" s="37" t="s">
        <v>36</v>
      </c>
      <c r="J3721" s="25" t="s">
        <v>65</v>
      </c>
      <c r="K3721" s="26" t="s">
        <v>38</v>
      </c>
      <c r="L3721" s="25">
        <v>12853.0</v>
      </c>
      <c r="M3721" s="49" t="s">
        <v>50</v>
      </c>
      <c r="N3721" s="42" t="s">
        <v>14184</v>
      </c>
      <c r="O3721" s="67">
        <v>45755.73017730324</v>
      </c>
      <c r="P3721" s="35" t="s">
        <v>14304</v>
      </c>
      <c r="Q3721" s="13" t="s">
        <v>75</v>
      </c>
      <c r="R3721" s="13" t="s">
        <v>75</v>
      </c>
      <c r="S3721" s="13" t="s">
        <v>50</v>
      </c>
      <c r="T3721" s="44">
        <v>45750.69681278935</v>
      </c>
      <c r="U3721" s="44">
        <v>45754.65211394676</v>
      </c>
      <c r="V3721" s="198">
        <v>45755.37189170139</v>
      </c>
      <c r="W3721" s="11"/>
      <c r="X3721" s="11"/>
      <c r="Y3721" s="45"/>
      <c r="Z3721" s="45"/>
      <c r="AA3721" s="31" t="s">
        <v>94</v>
      </c>
      <c r="AB3721" s="45" t="s">
        <v>14504</v>
      </c>
      <c r="AC3721" s="45"/>
    </row>
    <row r="3722" ht="18.75" customHeight="1">
      <c r="A3722" s="142" t="s">
        <v>14505</v>
      </c>
      <c r="B3722" s="19" t="s">
        <v>4206</v>
      </c>
      <c r="C3722" s="20">
        <v>90.0</v>
      </c>
      <c r="D3722" s="48" t="s">
        <v>14506</v>
      </c>
      <c r="E3722" s="27" t="s">
        <v>91</v>
      </c>
      <c r="F3722" s="18" t="s">
        <v>48</v>
      </c>
      <c r="G3722" s="18" t="s">
        <v>35</v>
      </c>
      <c r="H3722" s="40" t="s">
        <v>35</v>
      </c>
      <c r="I3722" s="24" t="s">
        <v>36</v>
      </c>
      <c r="J3722" s="25" t="s">
        <v>92</v>
      </c>
      <c r="K3722" s="26" t="s">
        <v>38</v>
      </c>
      <c r="L3722" s="25"/>
      <c r="M3722" s="49"/>
      <c r="N3722" s="42"/>
      <c r="O3722" s="43">
        <v>45751.0</v>
      </c>
      <c r="P3722" s="26" t="s">
        <v>14507</v>
      </c>
      <c r="Q3722" s="13" t="s">
        <v>75</v>
      </c>
      <c r="R3722" s="13" t="s">
        <v>75</v>
      </c>
      <c r="S3722" s="13"/>
      <c r="T3722" s="44">
        <v>45751.63589868056</v>
      </c>
      <c r="U3722" s="44">
        <v>45751.63589988426</v>
      </c>
      <c r="V3722" s="203"/>
      <c r="W3722" s="11"/>
      <c r="X3722" s="11"/>
      <c r="Y3722" s="45"/>
      <c r="Z3722" s="45"/>
      <c r="AA3722" s="31" t="s">
        <v>3059</v>
      </c>
      <c r="AB3722" s="45" t="s">
        <v>14508</v>
      </c>
      <c r="AC3722" s="45"/>
    </row>
    <row r="3723" ht="18.75" customHeight="1">
      <c r="A3723" s="142" t="s">
        <v>14509</v>
      </c>
      <c r="B3723" s="19" t="s">
        <v>14510</v>
      </c>
      <c r="C3723" s="20">
        <v>137.0</v>
      </c>
      <c r="D3723" s="48" t="s">
        <v>14511</v>
      </c>
      <c r="E3723" s="27" t="s">
        <v>85</v>
      </c>
      <c r="F3723" s="18" t="s">
        <v>48</v>
      </c>
      <c r="G3723" s="18" t="s">
        <v>35</v>
      </c>
      <c r="H3723" s="40" t="s">
        <v>35</v>
      </c>
      <c r="I3723" s="37" t="s">
        <v>36</v>
      </c>
      <c r="J3723" s="25" t="s">
        <v>49</v>
      </c>
      <c r="K3723" s="26" t="s">
        <v>38</v>
      </c>
      <c r="L3723" s="25">
        <v>12844.0</v>
      </c>
      <c r="M3723" s="49" t="s">
        <v>50</v>
      </c>
      <c r="N3723" s="42" t="s">
        <v>143</v>
      </c>
      <c r="O3723" s="67">
        <v>45754.60902777778</v>
      </c>
      <c r="P3723" s="26" t="s">
        <v>14512</v>
      </c>
      <c r="Q3723" s="13" t="s">
        <v>75</v>
      </c>
      <c r="R3723" s="13" t="s">
        <v>75</v>
      </c>
      <c r="S3723" s="13" t="s">
        <v>50</v>
      </c>
      <c r="T3723" s="44">
        <v>45754.40346556713</v>
      </c>
      <c r="U3723" s="44">
        <v>45754.468562291666</v>
      </c>
      <c r="V3723" s="198">
        <v>45754.485237789355</v>
      </c>
      <c r="W3723" s="11"/>
      <c r="X3723" s="11"/>
      <c r="Y3723" s="45"/>
      <c r="Z3723" s="45"/>
      <c r="AA3723" s="31" t="s">
        <v>127</v>
      </c>
      <c r="AB3723" s="45" t="s">
        <v>14513</v>
      </c>
      <c r="AC3723" s="45"/>
    </row>
    <row r="3724" ht="18.75" customHeight="1">
      <c r="A3724" s="18" t="s">
        <v>14514</v>
      </c>
      <c r="B3724" s="19" t="s">
        <v>96</v>
      </c>
      <c r="C3724" s="20">
        <v>0.0</v>
      </c>
      <c r="D3724" s="48" t="s">
        <v>1553</v>
      </c>
      <c r="E3724" s="27" t="s">
        <v>3834</v>
      </c>
      <c r="F3724" s="18" t="s">
        <v>33</v>
      </c>
      <c r="G3724" s="18" t="s">
        <v>35</v>
      </c>
      <c r="H3724" s="40" t="s">
        <v>35</v>
      </c>
      <c r="I3724" s="37" t="s">
        <v>36</v>
      </c>
      <c r="J3724" s="25" t="s">
        <v>49</v>
      </c>
      <c r="K3724" s="26" t="s">
        <v>38</v>
      </c>
      <c r="L3724" s="25">
        <v>12893.0</v>
      </c>
      <c r="M3724" s="49" t="s">
        <v>50</v>
      </c>
      <c r="N3724" s="42" t="s">
        <v>5936</v>
      </c>
      <c r="O3724" s="67">
        <v>45763.59752821759</v>
      </c>
      <c r="P3724" s="26" t="s">
        <v>14515</v>
      </c>
      <c r="Q3724" s="13" t="s">
        <v>75</v>
      </c>
      <c r="R3724" s="13" t="s">
        <v>75</v>
      </c>
      <c r="S3724" s="13"/>
      <c r="T3724" s="44">
        <v>45754.40571040509</v>
      </c>
      <c r="U3724" s="44">
        <v>45754.64861721065</v>
      </c>
      <c r="V3724" s="203"/>
      <c r="W3724" s="11"/>
      <c r="X3724" s="11"/>
      <c r="Y3724" s="45"/>
      <c r="Z3724" s="45"/>
      <c r="AA3724" s="31" t="s">
        <v>102</v>
      </c>
      <c r="AB3724" s="45" t="s">
        <v>14516</v>
      </c>
      <c r="AC3724" s="45"/>
    </row>
    <row r="3725" ht="18.75" customHeight="1">
      <c r="A3725" s="18" t="s">
        <v>14517</v>
      </c>
      <c r="B3725" s="19" t="s">
        <v>96</v>
      </c>
      <c r="C3725" s="20">
        <v>2.0</v>
      </c>
      <c r="D3725" s="48" t="s">
        <v>14518</v>
      </c>
      <c r="E3725" s="27" t="s">
        <v>14519</v>
      </c>
      <c r="F3725" s="18" t="s">
        <v>48</v>
      </c>
      <c r="G3725" s="18" t="s">
        <v>35</v>
      </c>
      <c r="H3725" s="40" t="s">
        <v>35</v>
      </c>
      <c r="I3725" s="37" t="s">
        <v>36</v>
      </c>
      <c r="J3725" s="25" t="s">
        <v>49</v>
      </c>
      <c r="K3725" s="26" t="s">
        <v>38</v>
      </c>
      <c r="L3725" s="25">
        <v>12893.0</v>
      </c>
      <c r="M3725" s="49" t="s">
        <v>50</v>
      </c>
      <c r="N3725" s="42" t="s">
        <v>5936</v>
      </c>
      <c r="O3725" s="67">
        <v>45763.59746583333</v>
      </c>
      <c r="P3725" s="26" t="s">
        <v>14515</v>
      </c>
      <c r="Q3725" s="13" t="s">
        <v>75</v>
      </c>
      <c r="R3725" s="13" t="s">
        <v>75</v>
      </c>
      <c r="S3725" s="13"/>
      <c r="T3725" s="44">
        <v>45754.42193077547</v>
      </c>
      <c r="U3725" s="44">
        <v>45754.64864157407</v>
      </c>
      <c r="V3725" s="203"/>
      <c r="W3725" s="11"/>
      <c r="X3725" s="11"/>
      <c r="Y3725" s="45"/>
      <c r="Z3725" s="45"/>
      <c r="AA3725" s="31" t="s">
        <v>102</v>
      </c>
      <c r="AB3725" s="45" t="s">
        <v>14520</v>
      </c>
      <c r="AC3725" s="45"/>
    </row>
    <row r="3726" ht="18.75" customHeight="1">
      <c r="A3726" s="18" t="s">
        <v>14521</v>
      </c>
      <c r="B3726" s="19" t="s">
        <v>14522</v>
      </c>
      <c r="C3726" s="20">
        <v>0.0</v>
      </c>
      <c r="D3726" s="48" t="s">
        <v>14523</v>
      </c>
      <c r="E3726" s="27" t="s">
        <v>13303</v>
      </c>
      <c r="F3726" s="18" t="s">
        <v>48</v>
      </c>
      <c r="G3726" s="18" t="s">
        <v>35</v>
      </c>
      <c r="H3726" s="40" t="s">
        <v>35</v>
      </c>
      <c r="I3726" s="37" t="s">
        <v>36</v>
      </c>
      <c r="J3726" s="25" t="s">
        <v>65</v>
      </c>
      <c r="K3726" s="26" t="s">
        <v>38</v>
      </c>
      <c r="L3726" s="25">
        <v>12889.0</v>
      </c>
      <c r="M3726" s="49" t="s">
        <v>50</v>
      </c>
      <c r="N3726" s="42" t="s">
        <v>11189</v>
      </c>
      <c r="O3726" s="67">
        <v>45762.667979791666</v>
      </c>
      <c r="P3726" s="35" t="s">
        <v>14475</v>
      </c>
      <c r="Q3726" s="13" t="s">
        <v>75</v>
      </c>
      <c r="R3726" s="13" t="s">
        <v>75</v>
      </c>
      <c r="S3726" s="13" t="s">
        <v>50</v>
      </c>
      <c r="T3726" s="44">
        <v>45755.71505986111</v>
      </c>
      <c r="U3726" s="44">
        <v>45755.72094292824</v>
      </c>
      <c r="V3726" s="198">
        <v>45762.558460706015</v>
      </c>
      <c r="W3726" s="11"/>
      <c r="X3726" s="11"/>
      <c r="Y3726" s="45"/>
      <c r="Z3726" s="45"/>
      <c r="AA3726" s="31" t="s">
        <v>3059</v>
      </c>
      <c r="AB3726" s="45" t="s">
        <v>14524</v>
      </c>
      <c r="AC3726" s="45"/>
    </row>
    <row r="3727" ht="18.75" customHeight="1">
      <c r="A3727" s="18" t="s">
        <v>14525</v>
      </c>
      <c r="B3727" s="19" t="s">
        <v>14522</v>
      </c>
      <c r="C3727" s="20">
        <v>0.0</v>
      </c>
      <c r="D3727" s="48" t="s">
        <v>1568</v>
      </c>
      <c r="E3727" s="27" t="s">
        <v>13303</v>
      </c>
      <c r="F3727" s="18" t="s">
        <v>48</v>
      </c>
      <c r="G3727" s="18" t="s">
        <v>35</v>
      </c>
      <c r="H3727" s="40" t="s">
        <v>35</v>
      </c>
      <c r="I3727" s="37" t="s">
        <v>36</v>
      </c>
      <c r="J3727" s="25" t="s">
        <v>65</v>
      </c>
      <c r="K3727" s="26" t="s">
        <v>38</v>
      </c>
      <c r="L3727" s="25">
        <v>12889.0</v>
      </c>
      <c r="M3727" s="49" t="s">
        <v>50</v>
      </c>
      <c r="N3727" s="42" t="s">
        <v>11189</v>
      </c>
      <c r="O3727" s="67">
        <v>45762.668036539355</v>
      </c>
      <c r="P3727" s="35" t="s">
        <v>14475</v>
      </c>
      <c r="Q3727" s="13" t="s">
        <v>75</v>
      </c>
      <c r="R3727" s="13" t="s">
        <v>75</v>
      </c>
      <c r="S3727" s="13" t="s">
        <v>50</v>
      </c>
      <c r="T3727" s="44">
        <v>45754.40925646991</v>
      </c>
      <c r="U3727" s="44">
        <v>45755.721039131946</v>
      </c>
      <c r="V3727" s="198">
        <v>45762.55846702546</v>
      </c>
      <c r="W3727" s="11"/>
      <c r="X3727" s="11"/>
      <c r="Y3727" s="45"/>
      <c r="Z3727" s="45"/>
      <c r="AA3727" s="31" t="s">
        <v>3059</v>
      </c>
      <c r="AB3727" s="45" t="s">
        <v>14526</v>
      </c>
      <c r="AC3727" s="45"/>
    </row>
    <row r="3728" ht="18.75" customHeight="1">
      <c r="A3728" s="142" t="s">
        <v>14527</v>
      </c>
      <c r="B3728" s="19" t="s">
        <v>147</v>
      </c>
      <c r="C3728" s="20">
        <v>0.0</v>
      </c>
      <c r="D3728" s="48" t="s">
        <v>14528</v>
      </c>
      <c r="E3728" s="27" t="s">
        <v>3441</v>
      </c>
      <c r="F3728" s="18" t="s">
        <v>48</v>
      </c>
      <c r="G3728" s="18" t="s">
        <v>35</v>
      </c>
      <c r="H3728" s="40" t="s">
        <v>35</v>
      </c>
      <c r="I3728" s="37" t="s">
        <v>36</v>
      </c>
      <c r="J3728" s="25" t="s">
        <v>65</v>
      </c>
      <c r="K3728" s="26" t="s">
        <v>38</v>
      </c>
      <c r="L3728" s="25">
        <v>12854.0</v>
      </c>
      <c r="M3728" s="49" t="s">
        <v>50</v>
      </c>
      <c r="N3728" s="42" t="s">
        <v>14184</v>
      </c>
      <c r="O3728" s="67">
        <v>45755.73022715277</v>
      </c>
      <c r="P3728" s="35" t="s">
        <v>14304</v>
      </c>
      <c r="Q3728" s="13" t="s">
        <v>75</v>
      </c>
      <c r="R3728" s="13" t="s">
        <v>75</v>
      </c>
      <c r="S3728" s="13" t="s">
        <v>50</v>
      </c>
      <c r="T3728" s="44">
        <v>45754.41537012732</v>
      </c>
      <c r="U3728" s="44">
        <v>45754.65060952546</v>
      </c>
      <c r="V3728" s="198">
        <v>45755.372280358795</v>
      </c>
      <c r="W3728" s="11"/>
      <c r="X3728" s="11"/>
      <c r="Y3728" s="45"/>
      <c r="Z3728" s="45"/>
      <c r="AA3728" s="31" t="s">
        <v>94</v>
      </c>
      <c r="AB3728" s="45" t="s">
        <v>14529</v>
      </c>
      <c r="AC3728" s="45"/>
    </row>
    <row r="3729" ht="18.75" customHeight="1">
      <c r="A3729" s="142" t="s">
        <v>14530</v>
      </c>
      <c r="B3729" s="19" t="s">
        <v>911</v>
      </c>
      <c r="C3729" s="20">
        <v>0.0</v>
      </c>
      <c r="D3729" s="48" t="s">
        <v>1592</v>
      </c>
      <c r="E3729" s="27" t="s">
        <v>14531</v>
      </c>
      <c r="F3729" s="18" t="s">
        <v>48</v>
      </c>
      <c r="G3729" s="18" t="s">
        <v>35</v>
      </c>
      <c r="H3729" s="40" t="s">
        <v>35</v>
      </c>
      <c r="I3729" s="37" t="s">
        <v>36</v>
      </c>
      <c r="J3729" s="25" t="s">
        <v>49</v>
      </c>
      <c r="K3729" s="26" t="s">
        <v>38</v>
      </c>
      <c r="L3729" s="25">
        <v>12914.0</v>
      </c>
      <c r="M3729" s="49" t="s">
        <v>73</v>
      </c>
      <c r="N3729" s="42" t="s">
        <v>5936</v>
      </c>
      <c r="O3729" s="67">
        <v>45770.618388310184</v>
      </c>
      <c r="P3729" s="26" t="s">
        <v>14532</v>
      </c>
      <c r="Q3729" s="13" t="s">
        <v>75</v>
      </c>
      <c r="R3729" s="13" t="s">
        <v>75</v>
      </c>
      <c r="S3729" s="13" t="s">
        <v>101</v>
      </c>
      <c r="T3729" s="44">
        <v>45754.42357063657</v>
      </c>
      <c r="U3729" s="44">
        <v>45754.64910454861</v>
      </c>
      <c r="V3729" s="198">
        <v>45769.46734408565</v>
      </c>
      <c r="W3729" s="11"/>
      <c r="X3729" s="11"/>
      <c r="Y3729" s="45"/>
      <c r="Z3729" s="45"/>
      <c r="AA3729" s="31" t="s">
        <v>3053</v>
      </c>
      <c r="AB3729" s="45" t="s">
        <v>14533</v>
      </c>
      <c r="AC3729" s="45"/>
    </row>
    <row r="3730" ht="18.75" customHeight="1">
      <c r="A3730" s="142" t="s">
        <v>14534</v>
      </c>
      <c r="B3730" s="19" t="s">
        <v>1811</v>
      </c>
      <c r="C3730" s="20">
        <v>27.0</v>
      </c>
      <c r="D3730" s="39" t="s">
        <v>14535</v>
      </c>
      <c r="E3730" s="27" t="s">
        <v>72</v>
      </c>
      <c r="F3730" s="18" t="s">
        <v>48</v>
      </c>
      <c r="G3730" s="18" t="s">
        <v>35</v>
      </c>
      <c r="H3730" s="40" t="s">
        <v>35</v>
      </c>
      <c r="I3730" s="37" t="s">
        <v>36</v>
      </c>
      <c r="J3730" s="25" t="s">
        <v>49</v>
      </c>
      <c r="K3730" s="26" t="s">
        <v>38</v>
      </c>
      <c r="L3730" s="25">
        <v>12880.0</v>
      </c>
      <c r="M3730" s="49" t="s">
        <v>50</v>
      </c>
      <c r="N3730" s="42" t="s">
        <v>143</v>
      </c>
      <c r="O3730" s="67">
        <v>45762.601388888885</v>
      </c>
      <c r="P3730" s="26" t="s">
        <v>14536</v>
      </c>
      <c r="Q3730" s="13" t="s">
        <v>75</v>
      </c>
      <c r="R3730" s="13" t="s">
        <v>75</v>
      </c>
      <c r="S3730" s="13" t="s">
        <v>50</v>
      </c>
      <c r="T3730" s="44">
        <v>45758.69755546296</v>
      </c>
      <c r="U3730" s="44">
        <v>45758.697557685184</v>
      </c>
      <c r="V3730" s="198">
        <v>45762.34849909722</v>
      </c>
      <c r="W3730" s="11"/>
      <c r="X3730" s="11"/>
      <c r="Y3730" s="45"/>
      <c r="Z3730" s="45"/>
      <c r="AA3730" s="31" t="s">
        <v>3053</v>
      </c>
      <c r="AB3730" s="45" t="s">
        <v>14537</v>
      </c>
      <c r="AC3730" s="45"/>
    </row>
    <row r="3731" ht="18.75" customHeight="1">
      <c r="A3731" s="18" t="s">
        <v>14538</v>
      </c>
      <c r="B3731" s="19" t="s">
        <v>477</v>
      </c>
      <c r="C3731" s="20">
        <v>137.0</v>
      </c>
      <c r="D3731" s="48" t="s">
        <v>14539</v>
      </c>
      <c r="E3731" s="27" t="s">
        <v>85</v>
      </c>
      <c r="F3731" s="18" t="s">
        <v>48</v>
      </c>
      <c r="G3731" s="18" t="s">
        <v>35</v>
      </c>
      <c r="H3731" s="40" t="s">
        <v>35</v>
      </c>
      <c r="I3731" s="37" t="s">
        <v>36</v>
      </c>
      <c r="J3731" s="25" t="s">
        <v>65</v>
      </c>
      <c r="K3731" s="26" t="s">
        <v>38</v>
      </c>
      <c r="L3731" s="25">
        <v>12851.0</v>
      </c>
      <c r="M3731" s="49" t="s">
        <v>50</v>
      </c>
      <c r="N3731" s="42" t="s">
        <v>14184</v>
      </c>
      <c r="O3731" s="67">
        <v>45755.73040101852</v>
      </c>
      <c r="P3731" s="26" t="s">
        <v>14540</v>
      </c>
      <c r="Q3731" s="13" t="s">
        <v>75</v>
      </c>
      <c r="R3731" s="13" t="s">
        <v>75</v>
      </c>
      <c r="S3731" s="13" t="s">
        <v>50</v>
      </c>
      <c r="T3731" s="44">
        <v>45754.462045092594</v>
      </c>
      <c r="U3731" s="44">
        <v>45754.64968321759</v>
      </c>
      <c r="V3731" s="198">
        <v>45755.37177790509</v>
      </c>
      <c r="W3731" s="11"/>
      <c r="X3731" s="11"/>
      <c r="Y3731" s="45"/>
      <c r="Z3731" s="45"/>
      <c r="AA3731" s="31" t="s">
        <v>94</v>
      </c>
      <c r="AB3731" s="45" t="s">
        <v>14541</v>
      </c>
      <c r="AC3731" s="45"/>
    </row>
    <row r="3732" ht="18.75" customHeight="1">
      <c r="A3732" s="18" t="s">
        <v>14542</v>
      </c>
      <c r="B3732" s="19" t="s">
        <v>477</v>
      </c>
      <c r="C3732" s="20">
        <v>137.0</v>
      </c>
      <c r="D3732" s="48" t="s">
        <v>14543</v>
      </c>
      <c r="E3732" s="27" t="s">
        <v>85</v>
      </c>
      <c r="F3732" s="18" t="s">
        <v>48</v>
      </c>
      <c r="G3732" s="18" t="s">
        <v>35</v>
      </c>
      <c r="H3732" s="40" t="s">
        <v>35</v>
      </c>
      <c r="I3732" s="37" t="s">
        <v>36</v>
      </c>
      <c r="J3732" s="25" t="s">
        <v>65</v>
      </c>
      <c r="K3732" s="26" t="s">
        <v>38</v>
      </c>
      <c r="L3732" s="25">
        <v>12851.0</v>
      </c>
      <c r="M3732" s="49" t="s">
        <v>50</v>
      </c>
      <c r="N3732" s="42" t="s">
        <v>14184</v>
      </c>
      <c r="O3732" s="67">
        <v>45755.730448692135</v>
      </c>
      <c r="P3732" s="26" t="s">
        <v>14540</v>
      </c>
      <c r="Q3732" s="13" t="s">
        <v>75</v>
      </c>
      <c r="R3732" s="13" t="s">
        <v>75</v>
      </c>
      <c r="S3732" s="13" t="s">
        <v>50</v>
      </c>
      <c r="T3732" s="44">
        <v>45754.46217557871</v>
      </c>
      <c r="U3732" s="44">
        <v>45754.64979938658</v>
      </c>
      <c r="V3732" s="198">
        <v>45755.371790868056</v>
      </c>
      <c r="W3732" s="11"/>
      <c r="X3732" s="11"/>
      <c r="Y3732" s="45"/>
      <c r="Z3732" s="45"/>
      <c r="AA3732" s="31" t="s">
        <v>94</v>
      </c>
      <c r="AB3732" s="45" t="s">
        <v>14544</v>
      </c>
      <c r="AC3732" s="45"/>
    </row>
    <row r="3733" ht="18.75" customHeight="1">
      <c r="A3733" s="18" t="s">
        <v>14545</v>
      </c>
      <c r="B3733" s="19" t="s">
        <v>477</v>
      </c>
      <c r="C3733" s="20">
        <v>90.0</v>
      </c>
      <c r="D3733" s="48" t="s">
        <v>14546</v>
      </c>
      <c r="E3733" s="27" t="s">
        <v>91</v>
      </c>
      <c r="F3733" s="18" t="s">
        <v>48</v>
      </c>
      <c r="G3733" s="18" t="s">
        <v>35</v>
      </c>
      <c r="H3733" s="40" t="s">
        <v>35</v>
      </c>
      <c r="I3733" s="37" t="s">
        <v>36</v>
      </c>
      <c r="J3733" s="25" t="s">
        <v>65</v>
      </c>
      <c r="K3733" s="26" t="s">
        <v>38</v>
      </c>
      <c r="L3733" s="25">
        <v>12865.0</v>
      </c>
      <c r="M3733" s="49" t="s">
        <v>50</v>
      </c>
      <c r="N3733" s="42" t="s">
        <v>14547</v>
      </c>
      <c r="O3733" s="67">
        <v>45757.69953471065</v>
      </c>
      <c r="P3733" s="26" t="s">
        <v>14540</v>
      </c>
      <c r="Q3733" s="13" t="s">
        <v>75</v>
      </c>
      <c r="R3733" s="13" t="s">
        <v>75</v>
      </c>
      <c r="S3733" s="13" t="s">
        <v>50</v>
      </c>
      <c r="T3733" s="44">
        <v>45757.46512690972</v>
      </c>
      <c r="U3733" s="44">
        <v>45757.46538739583</v>
      </c>
      <c r="V3733" s="198">
        <v>45757.47196833334</v>
      </c>
      <c r="W3733" s="11"/>
      <c r="X3733" s="11"/>
      <c r="Y3733" s="45"/>
      <c r="Z3733" s="45"/>
      <c r="AA3733" s="31" t="s">
        <v>94</v>
      </c>
      <c r="AB3733" s="45" t="s">
        <v>14548</v>
      </c>
      <c r="AC3733" s="45"/>
    </row>
    <row r="3734" ht="18.75" customHeight="1">
      <c r="A3734" s="18" t="s">
        <v>14549</v>
      </c>
      <c r="B3734" s="19" t="s">
        <v>477</v>
      </c>
      <c r="C3734" s="20">
        <v>90.0</v>
      </c>
      <c r="D3734" s="48" t="s">
        <v>14550</v>
      </c>
      <c r="E3734" s="27" t="s">
        <v>91</v>
      </c>
      <c r="F3734" s="18" t="s">
        <v>48</v>
      </c>
      <c r="G3734" s="18" t="s">
        <v>35</v>
      </c>
      <c r="H3734" s="40" t="s">
        <v>35</v>
      </c>
      <c r="I3734" s="37" t="s">
        <v>36</v>
      </c>
      <c r="J3734" s="25" t="s">
        <v>65</v>
      </c>
      <c r="K3734" s="26" t="s">
        <v>38</v>
      </c>
      <c r="L3734" s="25">
        <v>12865.0</v>
      </c>
      <c r="M3734" s="49" t="s">
        <v>50</v>
      </c>
      <c r="N3734" s="42" t="s">
        <v>14547</v>
      </c>
      <c r="O3734" s="67">
        <v>45757.69959934028</v>
      </c>
      <c r="P3734" s="26" t="s">
        <v>14540</v>
      </c>
      <c r="Q3734" s="13" t="s">
        <v>75</v>
      </c>
      <c r="R3734" s="13" t="s">
        <v>75</v>
      </c>
      <c r="S3734" s="13" t="s">
        <v>50</v>
      </c>
      <c r="T3734" s="44">
        <v>45757.46528965278</v>
      </c>
      <c r="U3734" s="44">
        <v>45757.46545105324</v>
      </c>
      <c r="V3734" s="198">
        <v>45757.47197486111</v>
      </c>
      <c r="W3734" s="11"/>
      <c r="X3734" s="11"/>
      <c r="Y3734" s="45"/>
      <c r="Z3734" s="45"/>
      <c r="AA3734" s="31" t="s">
        <v>94</v>
      </c>
      <c r="AB3734" s="45" t="s">
        <v>14551</v>
      </c>
      <c r="AC3734" s="45"/>
    </row>
    <row r="3735" ht="18.75" customHeight="1">
      <c r="A3735" s="18" t="s">
        <v>14552</v>
      </c>
      <c r="B3735" s="19" t="s">
        <v>477</v>
      </c>
      <c r="C3735" s="20">
        <v>90.0</v>
      </c>
      <c r="D3735" s="48" t="s">
        <v>14553</v>
      </c>
      <c r="E3735" s="27" t="s">
        <v>91</v>
      </c>
      <c r="F3735" s="18" t="s">
        <v>48</v>
      </c>
      <c r="G3735" s="18" t="s">
        <v>35</v>
      </c>
      <c r="H3735" s="40" t="s">
        <v>35</v>
      </c>
      <c r="I3735" s="37" t="s">
        <v>36</v>
      </c>
      <c r="J3735" s="25" t="s">
        <v>65</v>
      </c>
      <c r="K3735" s="26" t="s">
        <v>38</v>
      </c>
      <c r="L3735" s="25">
        <v>12909.0</v>
      </c>
      <c r="M3735" s="49" t="s">
        <v>73</v>
      </c>
      <c r="N3735" s="42" t="s">
        <v>80</v>
      </c>
      <c r="O3735" s="67">
        <v>45770.61783377315</v>
      </c>
      <c r="P3735" s="26" t="s">
        <v>14540</v>
      </c>
      <c r="Q3735" s="13" t="s">
        <v>75</v>
      </c>
      <c r="R3735" s="13" t="s">
        <v>75</v>
      </c>
      <c r="S3735" s="13" t="s">
        <v>50</v>
      </c>
      <c r="T3735" s="44">
        <v>45764.65599072917</v>
      </c>
      <c r="U3735" s="44">
        <v>45764.65633184028</v>
      </c>
      <c r="V3735" s="198">
        <v>45769.335753761574</v>
      </c>
      <c r="W3735" s="11"/>
      <c r="X3735" s="11"/>
      <c r="Y3735" s="45"/>
      <c r="Z3735" s="45"/>
      <c r="AA3735" s="31" t="s">
        <v>94</v>
      </c>
      <c r="AB3735" s="45" t="s">
        <v>14554</v>
      </c>
      <c r="AC3735" s="45"/>
    </row>
    <row r="3736" ht="18.75" customHeight="1">
      <c r="A3736" s="142" t="s">
        <v>14555</v>
      </c>
      <c r="B3736" s="19" t="s">
        <v>8459</v>
      </c>
      <c r="C3736" s="20">
        <v>0.0</v>
      </c>
      <c r="D3736" s="48" t="s">
        <v>14556</v>
      </c>
      <c r="E3736" s="27" t="s">
        <v>3441</v>
      </c>
      <c r="F3736" s="18" t="s">
        <v>48</v>
      </c>
      <c r="G3736" s="18" t="s">
        <v>35</v>
      </c>
      <c r="H3736" s="40" t="s">
        <v>35</v>
      </c>
      <c r="I3736" s="37" t="s">
        <v>36</v>
      </c>
      <c r="J3736" s="25" t="s">
        <v>49</v>
      </c>
      <c r="K3736" s="26" t="s">
        <v>38</v>
      </c>
      <c r="L3736" s="25">
        <v>12847.0</v>
      </c>
      <c r="M3736" s="49" t="s">
        <v>50</v>
      </c>
      <c r="N3736" s="42" t="s">
        <v>143</v>
      </c>
      <c r="O3736" s="67">
        <v>45754.60972222222</v>
      </c>
      <c r="P3736" s="26" t="s">
        <v>14557</v>
      </c>
      <c r="Q3736" s="13" t="s">
        <v>75</v>
      </c>
      <c r="R3736" s="13" t="s">
        <v>75</v>
      </c>
      <c r="S3736" s="13" t="s">
        <v>50</v>
      </c>
      <c r="T3736" s="44">
        <v>45754.44588457176</v>
      </c>
      <c r="U3736" s="44">
        <v>45754.50790143519</v>
      </c>
      <c r="V3736" s="198">
        <v>45754.55852792824</v>
      </c>
      <c r="W3736" s="11"/>
      <c r="X3736" s="11"/>
      <c r="Y3736" s="45"/>
      <c r="Z3736" s="45"/>
      <c r="AA3736" s="31" t="s">
        <v>3053</v>
      </c>
      <c r="AB3736" s="45" t="s">
        <v>14558</v>
      </c>
      <c r="AC3736" s="45"/>
    </row>
    <row r="3737" ht="18.75" customHeight="1">
      <c r="A3737" s="142" t="s">
        <v>14559</v>
      </c>
      <c r="B3737" s="19" t="s">
        <v>4313</v>
      </c>
      <c r="C3737" s="20">
        <v>11.0</v>
      </c>
      <c r="D3737" s="48" t="s">
        <v>14560</v>
      </c>
      <c r="E3737" s="27" t="s">
        <v>112</v>
      </c>
      <c r="F3737" s="18" t="s">
        <v>48</v>
      </c>
      <c r="G3737" s="18" t="s">
        <v>35</v>
      </c>
      <c r="H3737" s="40" t="s">
        <v>35</v>
      </c>
      <c r="I3737" s="37" t="s">
        <v>36</v>
      </c>
      <c r="J3737" s="25" t="s">
        <v>92</v>
      </c>
      <c r="K3737" s="26" t="s">
        <v>38</v>
      </c>
      <c r="L3737" s="25">
        <v>12870.0</v>
      </c>
      <c r="M3737" s="49" t="s">
        <v>50</v>
      </c>
      <c r="N3737" s="42" t="s">
        <v>10176</v>
      </c>
      <c r="O3737" s="67">
        <v>45758.66510067129</v>
      </c>
      <c r="P3737" s="26" t="s">
        <v>14561</v>
      </c>
      <c r="Q3737" s="13" t="s">
        <v>75</v>
      </c>
      <c r="R3737" s="13" t="s">
        <v>75</v>
      </c>
      <c r="S3737" s="13" t="s">
        <v>50</v>
      </c>
      <c r="T3737" s="44">
        <v>45754.450731689816</v>
      </c>
      <c r="U3737" s="44">
        <v>45758.452873946764</v>
      </c>
      <c r="V3737" s="198">
        <v>45758.46387025463</v>
      </c>
      <c r="W3737" s="11"/>
      <c r="X3737" s="11"/>
      <c r="Y3737" s="45"/>
      <c r="Z3737" s="45"/>
      <c r="AA3737" s="31" t="s">
        <v>120</v>
      </c>
      <c r="AB3737" s="45" t="s">
        <v>14562</v>
      </c>
      <c r="AC3737" s="45"/>
    </row>
    <row r="3738" ht="18.75" customHeight="1">
      <c r="A3738" s="142" t="s">
        <v>14563</v>
      </c>
      <c r="B3738" s="19" t="s">
        <v>7703</v>
      </c>
      <c r="C3738" s="20">
        <v>27.0</v>
      </c>
      <c r="D3738" s="39" t="s">
        <v>14564</v>
      </c>
      <c r="E3738" s="27" t="s">
        <v>72</v>
      </c>
      <c r="F3738" s="18" t="s">
        <v>48</v>
      </c>
      <c r="G3738" s="18" t="s">
        <v>35</v>
      </c>
      <c r="H3738" s="40" t="s">
        <v>35</v>
      </c>
      <c r="I3738" s="37" t="s">
        <v>36</v>
      </c>
      <c r="J3738" s="25" t="s">
        <v>65</v>
      </c>
      <c r="K3738" s="26" t="s">
        <v>38</v>
      </c>
      <c r="L3738" s="25">
        <v>12845.0</v>
      </c>
      <c r="M3738" s="49" t="s">
        <v>50</v>
      </c>
      <c r="N3738" s="42" t="s">
        <v>149</v>
      </c>
      <c r="O3738" s="67">
        <v>45754.62986111111</v>
      </c>
      <c r="P3738" s="35" t="s">
        <v>14449</v>
      </c>
      <c r="Q3738" s="13" t="s">
        <v>75</v>
      </c>
      <c r="R3738" s="13" t="s">
        <v>75</v>
      </c>
      <c r="S3738" s="13" t="s">
        <v>50</v>
      </c>
      <c r="T3738" s="44">
        <v>45754.45206092593</v>
      </c>
      <c r="U3738" s="44">
        <v>45754.478755833334</v>
      </c>
      <c r="V3738" s="198">
        <v>45754.558514930555</v>
      </c>
      <c r="W3738" s="11"/>
      <c r="X3738" s="11"/>
      <c r="Y3738" s="45"/>
      <c r="Z3738" s="45"/>
      <c r="AA3738" s="31" t="s">
        <v>3059</v>
      </c>
      <c r="AB3738" s="45" t="s">
        <v>14565</v>
      </c>
      <c r="AC3738" s="45"/>
    </row>
    <row r="3739" ht="18.75" customHeight="1">
      <c r="A3739" s="18" t="s">
        <v>14566</v>
      </c>
      <c r="B3739" s="19" t="s">
        <v>4957</v>
      </c>
      <c r="C3739" s="20">
        <v>11.0</v>
      </c>
      <c r="D3739" s="48" t="s">
        <v>14567</v>
      </c>
      <c r="E3739" s="27" t="s">
        <v>112</v>
      </c>
      <c r="F3739" s="18" t="s">
        <v>48</v>
      </c>
      <c r="G3739" s="18" t="s">
        <v>35</v>
      </c>
      <c r="H3739" s="40" t="s">
        <v>35</v>
      </c>
      <c r="I3739" s="37" t="s">
        <v>36</v>
      </c>
      <c r="J3739" s="25" t="s">
        <v>65</v>
      </c>
      <c r="K3739" s="26" t="s">
        <v>38</v>
      </c>
      <c r="L3739" s="25">
        <v>12855.0</v>
      </c>
      <c r="M3739" s="49" t="s">
        <v>50</v>
      </c>
      <c r="N3739" s="42" t="s">
        <v>14184</v>
      </c>
      <c r="O3739" s="67">
        <v>45755.730272280096</v>
      </c>
      <c r="P3739" s="35" t="s">
        <v>14304</v>
      </c>
      <c r="Q3739" s="13" t="s">
        <v>75</v>
      </c>
      <c r="R3739" s="13" t="s">
        <v>75</v>
      </c>
      <c r="S3739" s="13" t="s">
        <v>50</v>
      </c>
      <c r="T3739" s="44">
        <v>45754.45308572917</v>
      </c>
      <c r="U3739" s="44">
        <v>45754.65014636574</v>
      </c>
      <c r="V3739" s="198">
        <v>45755.376509803245</v>
      </c>
      <c r="W3739" s="11"/>
      <c r="X3739" s="11"/>
      <c r="Y3739" s="45"/>
      <c r="Z3739" s="45"/>
      <c r="AA3739" s="31" t="s">
        <v>94</v>
      </c>
      <c r="AB3739" s="45" t="s">
        <v>14568</v>
      </c>
      <c r="AC3739" s="45"/>
    </row>
    <row r="3740" ht="18.75" customHeight="1">
      <c r="A3740" s="18" t="s">
        <v>14569</v>
      </c>
      <c r="B3740" s="19" t="s">
        <v>4957</v>
      </c>
      <c r="C3740" s="20">
        <v>90.0</v>
      </c>
      <c r="D3740" s="48" t="s">
        <v>14570</v>
      </c>
      <c r="E3740" s="27" t="s">
        <v>91</v>
      </c>
      <c r="F3740" s="18" t="s">
        <v>48</v>
      </c>
      <c r="G3740" s="18" t="s">
        <v>35</v>
      </c>
      <c r="H3740" s="40" t="s">
        <v>35</v>
      </c>
      <c r="I3740" s="37" t="s">
        <v>36</v>
      </c>
      <c r="J3740" s="25" t="s">
        <v>65</v>
      </c>
      <c r="K3740" s="26" t="s">
        <v>38</v>
      </c>
      <c r="L3740" s="25">
        <v>12855.0</v>
      </c>
      <c r="M3740" s="49" t="s">
        <v>50</v>
      </c>
      <c r="N3740" s="42" t="s">
        <v>14184</v>
      </c>
      <c r="O3740" s="67">
        <v>45755.73031459491</v>
      </c>
      <c r="P3740" s="35" t="s">
        <v>14304</v>
      </c>
      <c r="Q3740" s="13" t="s">
        <v>75</v>
      </c>
      <c r="R3740" s="13" t="s">
        <v>75</v>
      </c>
      <c r="S3740" s="13" t="s">
        <v>50</v>
      </c>
      <c r="T3740" s="44">
        <v>45754.45348211806</v>
      </c>
      <c r="U3740" s="44">
        <v>45754.65016189815</v>
      </c>
      <c r="V3740" s="198">
        <v>45755.37518480324</v>
      </c>
      <c r="W3740" s="11"/>
      <c r="X3740" s="11"/>
      <c r="Y3740" s="45"/>
      <c r="Z3740" s="45"/>
      <c r="AA3740" s="31" t="s">
        <v>94</v>
      </c>
      <c r="AB3740" s="45" t="s">
        <v>14571</v>
      </c>
      <c r="AC3740" s="45"/>
    </row>
    <row r="3741" ht="18.75" customHeight="1">
      <c r="A3741" s="18" t="s">
        <v>14572</v>
      </c>
      <c r="B3741" s="19" t="s">
        <v>4957</v>
      </c>
      <c r="C3741" s="20">
        <v>90.0</v>
      </c>
      <c r="D3741" s="48" t="s">
        <v>14573</v>
      </c>
      <c r="E3741" s="27" t="s">
        <v>91</v>
      </c>
      <c r="F3741" s="18" t="s">
        <v>48</v>
      </c>
      <c r="G3741" s="18" t="s">
        <v>35</v>
      </c>
      <c r="H3741" s="40" t="s">
        <v>35</v>
      </c>
      <c r="I3741" s="37" t="s">
        <v>36</v>
      </c>
      <c r="J3741" s="25" t="s">
        <v>65</v>
      </c>
      <c r="K3741" s="26" t="s">
        <v>38</v>
      </c>
      <c r="L3741" s="25">
        <v>12855.0</v>
      </c>
      <c r="M3741" s="49" t="s">
        <v>50</v>
      </c>
      <c r="N3741" s="42" t="s">
        <v>14184</v>
      </c>
      <c r="O3741" s="67">
        <v>45755.73035885417</v>
      </c>
      <c r="P3741" s="35" t="s">
        <v>14304</v>
      </c>
      <c r="Q3741" s="13" t="s">
        <v>75</v>
      </c>
      <c r="R3741" s="13" t="s">
        <v>75</v>
      </c>
      <c r="S3741" s="13" t="s">
        <v>50</v>
      </c>
      <c r="T3741" s="44">
        <v>45754.45365350695</v>
      </c>
      <c r="U3741" s="44">
        <v>45754.65016685185</v>
      </c>
      <c r="V3741" s="198">
        <v>45755.375194988424</v>
      </c>
      <c r="W3741" s="11"/>
      <c r="X3741" s="11"/>
      <c r="Y3741" s="45"/>
      <c r="Z3741" s="45"/>
      <c r="AA3741" s="31" t="s">
        <v>94</v>
      </c>
      <c r="AB3741" s="45" t="s">
        <v>14574</v>
      </c>
      <c r="AC3741" s="45"/>
    </row>
    <row r="3742" ht="18.75" customHeight="1">
      <c r="A3742" s="142" t="s">
        <v>14575</v>
      </c>
      <c r="B3742" s="19" t="s">
        <v>5185</v>
      </c>
      <c r="C3742" s="20">
        <v>0.0</v>
      </c>
      <c r="D3742" s="48" t="s">
        <v>1583</v>
      </c>
      <c r="E3742" s="27" t="s">
        <v>14576</v>
      </c>
      <c r="F3742" s="18" t="s">
        <v>244</v>
      </c>
      <c r="G3742" s="18" t="s">
        <v>35</v>
      </c>
      <c r="H3742" s="40" t="s">
        <v>35</v>
      </c>
      <c r="I3742" s="37" t="s">
        <v>36</v>
      </c>
      <c r="J3742" s="25" t="s">
        <v>49</v>
      </c>
      <c r="K3742" s="26" t="s">
        <v>38</v>
      </c>
      <c r="L3742" s="25">
        <v>12901.0</v>
      </c>
      <c r="M3742" s="49" t="s">
        <v>50</v>
      </c>
      <c r="N3742" s="42" t="s">
        <v>143</v>
      </c>
      <c r="O3742" s="67">
        <v>45764.70440690972</v>
      </c>
      <c r="P3742" s="26" t="s">
        <v>14577</v>
      </c>
      <c r="Q3742" s="13" t="s">
        <v>75</v>
      </c>
      <c r="R3742" s="13" t="s">
        <v>75</v>
      </c>
      <c r="S3742" s="13"/>
      <c r="T3742" s="44">
        <v>45754.47179997685</v>
      </c>
      <c r="U3742" s="44">
        <v>45754.65153538194</v>
      </c>
      <c r="V3742" s="203"/>
      <c r="W3742" s="11"/>
      <c r="X3742" s="11"/>
      <c r="Y3742" s="45"/>
      <c r="Z3742" s="45"/>
      <c r="AA3742" s="31" t="s">
        <v>127</v>
      </c>
      <c r="AB3742" s="45" t="s">
        <v>14578</v>
      </c>
      <c r="AC3742" s="45"/>
    </row>
    <row r="3743" ht="18.75" customHeight="1">
      <c r="A3743" s="142" t="s">
        <v>14579</v>
      </c>
      <c r="B3743" s="19" t="s">
        <v>14580</v>
      </c>
      <c r="C3743" s="20">
        <v>34.0</v>
      </c>
      <c r="D3743" s="48" t="s">
        <v>14581</v>
      </c>
      <c r="E3743" s="27" t="s">
        <v>47</v>
      </c>
      <c r="F3743" s="18" t="s">
        <v>48</v>
      </c>
      <c r="G3743" s="18" t="s">
        <v>35</v>
      </c>
      <c r="H3743" s="40" t="s">
        <v>35</v>
      </c>
      <c r="I3743" s="37" t="s">
        <v>36</v>
      </c>
      <c r="J3743" s="25" t="s">
        <v>49</v>
      </c>
      <c r="K3743" s="26" t="s">
        <v>38</v>
      </c>
      <c r="L3743" s="25">
        <v>12859.0</v>
      </c>
      <c r="M3743" s="49" t="s">
        <v>50</v>
      </c>
      <c r="N3743" s="42" t="s">
        <v>5936</v>
      </c>
      <c r="O3743" s="67">
        <v>45756.59736594907</v>
      </c>
      <c r="P3743" s="26" t="s">
        <v>14582</v>
      </c>
      <c r="Q3743" s="13" t="s">
        <v>75</v>
      </c>
      <c r="R3743" s="13" t="s">
        <v>75</v>
      </c>
      <c r="S3743" s="13" t="s">
        <v>50</v>
      </c>
      <c r="T3743" s="44">
        <v>45754.69960359954</v>
      </c>
      <c r="U3743" s="44">
        <v>45755.688027638884</v>
      </c>
      <c r="V3743" s="198">
        <v>45756.40840465278</v>
      </c>
      <c r="W3743" s="11"/>
      <c r="X3743" s="11"/>
      <c r="Y3743" s="45"/>
      <c r="Z3743" s="45"/>
      <c r="AA3743" s="31" t="s">
        <v>102</v>
      </c>
      <c r="AB3743" s="45" t="s">
        <v>14583</v>
      </c>
      <c r="AC3743" s="45"/>
    </row>
    <row r="3744" ht="18.75" customHeight="1">
      <c r="A3744" s="18" t="s">
        <v>14584</v>
      </c>
      <c r="B3744" s="19" t="s">
        <v>530</v>
      </c>
      <c r="C3744" s="20">
        <v>11.0</v>
      </c>
      <c r="D3744" s="48"/>
      <c r="E3744" s="27" t="s">
        <v>112</v>
      </c>
      <c r="F3744" s="18" t="s">
        <v>48</v>
      </c>
      <c r="G3744" s="18" t="s">
        <v>35</v>
      </c>
      <c r="H3744" s="40" t="s">
        <v>35</v>
      </c>
      <c r="I3744" s="37" t="s">
        <v>984</v>
      </c>
      <c r="J3744" s="25" t="s">
        <v>92</v>
      </c>
      <c r="K3744" s="26" t="s">
        <v>38</v>
      </c>
      <c r="L3744" s="25">
        <v>-12848.0</v>
      </c>
      <c r="M3744" s="49"/>
      <c r="N3744" s="42"/>
      <c r="O3744" s="68"/>
      <c r="P3744" s="26" t="s">
        <v>14585</v>
      </c>
      <c r="Q3744" s="13" t="s">
        <v>75</v>
      </c>
      <c r="R3744" s="13" t="s">
        <v>75</v>
      </c>
      <c r="S3744" s="13"/>
      <c r="T3744" s="44">
        <v>45754.629615983795</v>
      </c>
      <c r="U3744" s="44">
        <v>45754.62954458334</v>
      </c>
      <c r="V3744" s="203"/>
      <c r="W3744" s="11"/>
      <c r="X3744" s="148">
        <v>45901.0</v>
      </c>
      <c r="Y3744" s="45"/>
      <c r="Z3744" s="45"/>
      <c r="AA3744" s="31"/>
      <c r="AB3744" s="45" t="s">
        <v>14586</v>
      </c>
      <c r="AC3744" s="45"/>
    </row>
    <row r="3745" ht="18.75" customHeight="1">
      <c r="A3745" s="18" t="s">
        <v>14587</v>
      </c>
      <c r="B3745" s="19" t="s">
        <v>530</v>
      </c>
      <c r="C3745" s="20">
        <v>11.0</v>
      </c>
      <c r="D3745" s="48"/>
      <c r="E3745" s="27" t="s">
        <v>112</v>
      </c>
      <c r="F3745" s="18" t="s">
        <v>48</v>
      </c>
      <c r="G3745" s="18" t="s">
        <v>35</v>
      </c>
      <c r="H3745" s="40" t="s">
        <v>35</v>
      </c>
      <c r="I3745" s="37" t="s">
        <v>984</v>
      </c>
      <c r="J3745" s="25" t="s">
        <v>92</v>
      </c>
      <c r="K3745" s="26" t="s">
        <v>38</v>
      </c>
      <c r="L3745" s="25">
        <v>-12848.0</v>
      </c>
      <c r="M3745" s="49"/>
      <c r="N3745" s="42"/>
      <c r="O3745" s="68"/>
      <c r="P3745" s="26" t="s">
        <v>14585</v>
      </c>
      <c r="Q3745" s="13" t="s">
        <v>75</v>
      </c>
      <c r="R3745" s="13" t="s">
        <v>75</v>
      </c>
      <c r="S3745" s="13"/>
      <c r="T3745" s="44">
        <v>45754.62984086806</v>
      </c>
      <c r="U3745" s="44">
        <v>45751.37276431713</v>
      </c>
      <c r="V3745" s="203"/>
      <c r="W3745" s="11"/>
      <c r="X3745" s="148">
        <v>45901.0</v>
      </c>
      <c r="Y3745" s="45"/>
      <c r="Z3745" s="45"/>
      <c r="AA3745" s="31"/>
      <c r="AB3745" s="45" t="s">
        <v>14588</v>
      </c>
      <c r="AC3745" s="45"/>
    </row>
    <row r="3746" ht="18.75" customHeight="1">
      <c r="A3746" s="18" t="s">
        <v>14589</v>
      </c>
      <c r="B3746" s="19" t="s">
        <v>530</v>
      </c>
      <c r="C3746" s="20">
        <v>34.0</v>
      </c>
      <c r="D3746" s="18" t="s">
        <v>14590</v>
      </c>
      <c r="E3746" s="27" t="s">
        <v>47</v>
      </c>
      <c r="F3746" s="18" t="s">
        <v>48</v>
      </c>
      <c r="G3746" s="18" t="s">
        <v>35</v>
      </c>
      <c r="H3746" s="40" t="s">
        <v>35</v>
      </c>
      <c r="I3746" s="37" t="s">
        <v>36</v>
      </c>
      <c r="J3746" s="25" t="s">
        <v>92</v>
      </c>
      <c r="K3746" s="26" t="s">
        <v>38</v>
      </c>
      <c r="L3746" s="25">
        <v>14124.0</v>
      </c>
      <c r="M3746" s="49" t="s">
        <v>50</v>
      </c>
      <c r="N3746" s="42" t="s">
        <v>4767</v>
      </c>
      <c r="O3746" s="67">
        <v>45940.400916666666</v>
      </c>
      <c r="P3746" s="26" t="s">
        <v>14585</v>
      </c>
      <c r="Q3746" s="13" t="s">
        <v>75</v>
      </c>
      <c r="R3746" s="13" t="s">
        <v>75</v>
      </c>
      <c r="S3746" s="13" t="s">
        <v>73</v>
      </c>
      <c r="T3746" s="44">
        <v>45754.63092928241</v>
      </c>
      <c r="U3746" s="44">
        <v>45939.61184892361</v>
      </c>
      <c r="V3746" s="198">
        <v>45940.39714310185</v>
      </c>
      <c r="W3746" s="11"/>
      <c r="X3746" s="148">
        <v>45901.0</v>
      </c>
      <c r="Y3746" s="45">
        <v>302.0</v>
      </c>
      <c r="Z3746" s="45" t="s">
        <v>14591</v>
      </c>
      <c r="AA3746" s="31"/>
      <c r="AB3746" s="45" t="s">
        <v>14592</v>
      </c>
      <c r="AC3746" s="45"/>
    </row>
    <row r="3747" ht="18.75" customHeight="1">
      <c r="A3747" s="18" t="s">
        <v>14593</v>
      </c>
      <c r="B3747" s="19" t="s">
        <v>530</v>
      </c>
      <c r="C3747" s="20">
        <v>34.0</v>
      </c>
      <c r="D3747" s="18" t="s">
        <v>14594</v>
      </c>
      <c r="E3747" s="27" t="s">
        <v>47</v>
      </c>
      <c r="F3747" s="18" t="s">
        <v>48</v>
      </c>
      <c r="G3747" s="18" t="s">
        <v>35</v>
      </c>
      <c r="H3747" s="40" t="s">
        <v>35</v>
      </c>
      <c r="I3747" s="37" t="s">
        <v>36</v>
      </c>
      <c r="J3747" s="25" t="s">
        <v>92</v>
      </c>
      <c r="K3747" s="26" t="s">
        <v>38</v>
      </c>
      <c r="L3747" s="25">
        <v>14124.0</v>
      </c>
      <c r="M3747" s="49" t="s">
        <v>50</v>
      </c>
      <c r="N3747" s="42" t="s">
        <v>4767</v>
      </c>
      <c r="O3747" s="67">
        <v>45940.400976689816</v>
      </c>
      <c r="P3747" s="26" t="s">
        <v>14585</v>
      </c>
      <c r="Q3747" s="13" t="s">
        <v>75</v>
      </c>
      <c r="R3747" s="13" t="s">
        <v>75</v>
      </c>
      <c r="S3747" s="13" t="s">
        <v>73</v>
      </c>
      <c r="T3747" s="44">
        <v>45754.630397245375</v>
      </c>
      <c r="U3747" s="44">
        <v>45939.611863611106</v>
      </c>
      <c r="V3747" s="198">
        <v>45940.397143124996</v>
      </c>
      <c r="W3747" s="11"/>
      <c r="X3747" s="148">
        <v>45901.0</v>
      </c>
      <c r="Y3747" s="45">
        <v>302.0</v>
      </c>
      <c r="Z3747" s="45" t="s">
        <v>14595</v>
      </c>
      <c r="AA3747" s="31"/>
      <c r="AB3747" s="45" t="s">
        <v>14596</v>
      </c>
      <c r="AC3747" s="45"/>
    </row>
    <row r="3748" ht="18.75" customHeight="1">
      <c r="A3748" s="18" t="s">
        <v>14597</v>
      </c>
      <c r="B3748" s="19" t="s">
        <v>530</v>
      </c>
      <c r="C3748" s="20">
        <v>0.0</v>
      </c>
      <c r="D3748" s="48"/>
      <c r="E3748" s="27" t="s">
        <v>3441</v>
      </c>
      <c r="F3748" s="18" t="s">
        <v>48</v>
      </c>
      <c r="G3748" s="18" t="s">
        <v>35</v>
      </c>
      <c r="H3748" s="40" t="s">
        <v>35</v>
      </c>
      <c r="I3748" s="37" t="s">
        <v>984</v>
      </c>
      <c r="J3748" s="25" t="s">
        <v>92</v>
      </c>
      <c r="K3748" s="26" t="s">
        <v>38</v>
      </c>
      <c r="L3748" s="25">
        <v>-12848.0</v>
      </c>
      <c r="M3748" s="49"/>
      <c r="N3748" s="42"/>
      <c r="O3748" s="68"/>
      <c r="P3748" s="26" t="s">
        <v>14585</v>
      </c>
      <c r="Q3748" s="13" t="s">
        <v>75</v>
      </c>
      <c r="R3748" s="13" t="s">
        <v>75</v>
      </c>
      <c r="S3748" s="13"/>
      <c r="T3748" s="44">
        <v>45754.63024960648</v>
      </c>
      <c r="U3748" s="44">
        <v>45754.63023957176</v>
      </c>
      <c r="V3748" s="203"/>
      <c r="W3748" s="11"/>
      <c r="X3748" s="148">
        <v>45901.0</v>
      </c>
      <c r="Y3748" s="45"/>
      <c r="Z3748" s="45"/>
      <c r="AA3748" s="31"/>
      <c r="AB3748" s="45" t="s">
        <v>14598</v>
      </c>
      <c r="AC3748" s="45"/>
    </row>
    <row r="3749" ht="18.75" customHeight="1">
      <c r="A3749" s="18" t="s">
        <v>14599</v>
      </c>
      <c r="B3749" s="19" t="s">
        <v>530</v>
      </c>
      <c r="C3749" s="20">
        <v>0.0</v>
      </c>
      <c r="D3749" s="48"/>
      <c r="E3749" s="27" t="s">
        <v>3441</v>
      </c>
      <c r="F3749" s="18" t="s">
        <v>48</v>
      </c>
      <c r="G3749" s="18" t="s">
        <v>35</v>
      </c>
      <c r="H3749" s="40" t="s">
        <v>35</v>
      </c>
      <c r="I3749" s="37" t="s">
        <v>984</v>
      </c>
      <c r="J3749" s="25" t="s">
        <v>92</v>
      </c>
      <c r="K3749" s="26" t="s">
        <v>38</v>
      </c>
      <c r="L3749" s="25">
        <v>-12848.0</v>
      </c>
      <c r="M3749" s="49"/>
      <c r="N3749" s="42"/>
      <c r="O3749" s="68"/>
      <c r="P3749" s="26" t="s">
        <v>14585</v>
      </c>
      <c r="Q3749" s="13" t="s">
        <v>75</v>
      </c>
      <c r="R3749" s="13" t="s">
        <v>75</v>
      </c>
      <c r="S3749" s="13"/>
      <c r="T3749" s="44">
        <v>45754.63054454861</v>
      </c>
      <c r="U3749" s="44">
        <v>45754.630471145836</v>
      </c>
      <c r="V3749" s="203"/>
      <c r="W3749" s="11"/>
      <c r="X3749" s="148">
        <v>45901.0</v>
      </c>
      <c r="Y3749" s="45"/>
      <c r="Z3749" s="45"/>
      <c r="AA3749" s="31"/>
      <c r="AB3749" s="45" t="s">
        <v>14600</v>
      </c>
      <c r="AC3749" s="45"/>
    </row>
    <row r="3750" ht="18.75" customHeight="1">
      <c r="A3750" s="18" t="s">
        <v>14601</v>
      </c>
      <c r="B3750" s="19" t="s">
        <v>530</v>
      </c>
      <c r="C3750" s="20">
        <v>0.0</v>
      </c>
      <c r="D3750" s="48"/>
      <c r="E3750" s="27" t="s">
        <v>3441</v>
      </c>
      <c r="F3750" s="18" t="s">
        <v>48</v>
      </c>
      <c r="G3750" s="18" t="s">
        <v>35</v>
      </c>
      <c r="H3750" s="40" t="s">
        <v>35</v>
      </c>
      <c r="I3750" s="37" t="s">
        <v>984</v>
      </c>
      <c r="J3750" s="25" t="s">
        <v>92</v>
      </c>
      <c r="K3750" s="26" t="s">
        <v>38</v>
      </c>
      <c r="L3750" s="25">
        <v>-12848.0</v>
      </c>
      <c r="M3750" s="49"/>
      <c r="N3750" s="42"/>
      <c r="O3750" s="68"/>
      <c r="P3750" s="26" t="s">
        <v>14585</v>
      </c>
      <c r="Q3750" s="13" t="s">
        <v>75</v>
      </c>
      <c r="R3750" s="13" t="s">
        <v>75</v>
      </c>
      <c r="S3750" s="13"/>
      <c r="T3750" s="44">
        <v>45754.630662129624</v>
      </c>
      <c r="U3750" s="44">
        <v>45751.37273591435</v>
      </c>
      <c r="V3750" s="203"/>
      <c r="W3750" s="11"/>
      <c r="X3750" s="148">
        <v>45901.0</v>
      </c>
      <c r="Y3750" s="45"/>
      <c r="Z3750" s="45"/>
      <c r="AA3750" s="31"/>
      <c r="AB3750" s="45" t="s">
        <v>14602</v>
      </c>
      <c r="AC3750" s="45"/>
    </row>
    <row r="3751" ht="18.75" customHeight="1">
      <c r="A3751" s="18" t="s">
        <v>14603</v>
      </c>
      <c r="B3751" s="19" t="s">
        <v>530</v>
      </c>
      <c r="C3751" s="20">
        <v>0.0</v>
      </c>
      <c r="D3751" s="48"/>
      <c r="E3751" s="27" t="s">
        <v>3441</v>
      </c>
      <c r="F3751" s="18" t="s">
        <v>48</v>
      </c>
      <c r="G3751" s="18" t="s">
        <v>35</v>
      </c>
      <c r="H3751" s="40" t="s">
        <v>35</v>
      </c>
      <c r="I3751" s="37" t="s">
        <v>984</v>
      </c>
      <c r="J3751" s="25" t="s">
        <v>92</v>
      </c>
      <c r="K3751" s="26" t="s">
        <v>38</v>
      </c>
      <c r="L3751" s="25">
        <v>-12848.0</v>
      </c>
      <c r="M3751" s="49"/>
      <c r="N3751" s="42"/>
      <c r="O3751" s="68"/>
      <c r="P3751" s="26" t="s">
        <v>14585</v>
      </c>
      <c r="Q3751" s="13" t="s">
        <v>75</v>
      </c>
      <c r="R3751" s="13" t="s">
        <v>75</v>
      </c>
      <c r="S3751" s="13"/>
      <c r="T3751" s="44">
        <v>45754.63105768518</v>
      </c>
      <c r="U3751" s="44">
        <v>45754.6310499074</v>
      </c>
      <c r="V3751" s="203"/>
      <c r="W3751" s="11"/>
      <c r="X3751" s="148">
        <v>45901.0</v>
      </c>
      <c r="Y3751" s="45"/>
      <c r="Z3751" s="45"/>
      <c r="AA3751" s="31"/>
      <c r="AB3751" s="45" t="s">
        <v>14604</v>
      </c>
      <c r="AC3751" s="45"/>
    </row>
    <row r="3752" ht="18.75" customHeight="1">
      <c r="A3752" s="18" t="s">
        <v>14605</v>
      </c>
      <c r="B3752" s="19" t="s">
        <v>530</v>
      </c>
      <c r="C3752" s="20">
        <v>137.0</v>
      </c>
      <c r="D3752" s="48"/>
      <c r="E3752" s="27" t="s">
        <v>85</v>
      </c>
      <c r="F3752" s="18" t="s">
        <v>48</v>
      </c>
      <c r="G3752" s="18" t="s">
        <v>35</v>
      </c>
      <c r="H3752" s="40" t="s">
        <v>35</v>
      </c>
      <c r="I3752" s="37" t="s">
        <v>984</v>
      </c>
      <c r="J3752" s="25" t="s">
        <v>92</v>
      </c>
      <c r="K3752" s="26" t="s">
        <v>38</v>
      </c>
      <c r="L3752" s="25">
        <v>-12848.0</v>
      </c>
      <c r="M3752" s="49"/>
      <c r="N3752" s="42"/>
      <c r="O3752" s="68"/>
      <c r="P3752" s="26" t="s">
        <v>14585</v>
      </c>
      <c r="Q3752" s="13" t="s">
        <v>75</v>
      </c>
      <c r="R3752" s="13" t="s">
        <v>75</v>
      </c>
      <c r="S3752" s="13"/>
      <c r="T3752" s="44">
        <v>45754.63011429398</v>
      </c>
      <c r="U3752" s="44">
        <v>45754.63000809027</v>
      </c>
      <c r="V3752" s="203"/>
      <c r="W3752" s="11"/>
      <c r="X3752" s="148">
        <v>45901.0</v>
      </c>
      <c r="Y3752" s="45"/>
      <c r="Z3752" s="45"/>
      <c r="AA3752" s="31"/>
      <c r="AB3752" s="45" t="s">
        <v>14606</v>
      </c>
      <c r="AC3752" s="45"/>
    </row>
    <row r="3753" ht="18.75" customHeight="1">
      <c r="A3753" s="142" t="s">
        <v>14607</v>
      </c>
      <c r="B3753" s="19" t="s">
        <v>1192</v>
      </c>
      <c r="C3753" s="20">
        <v>137.0</v>
      </c>
      <c r="D3753" s="48" t="s">
        <v>14608</v>
      </c>
      <c r="E3753" s="27" t="s">
        <v>85</v>
      </c>
      <c r="F3753" s="18" t="s">
        <v>48</v>
      </c>
      <c r="G3753" s="18" t="s">
        <v>35</v>
      </c>
      <c r="H3753" s="40" t="s">
        <v>35</v>
      </c>
      <c r="I3753" s="37" t="s">
        <v>36</v>
      </c>
      <c r="J3753" s="25" t="s">
        <v>65</v>
      </c>
      <c r="K3753" s="26" t="s">
        <v>38</v>
      </c>
      <c r="L3753" s="25">
        <v>12863.0</v>
      </c>
      <c r="M3753" s="49" t="s">
        <v>50</v>
      </c>
      <c r="N3753" s="42" t="s">
        <v>14547</v>
      </c>
      <c r="O3753" s="67">
        <v>45757.6996625</v>
      </c>
      <c r="P3753" s="35" t="s">
        <v>14304</v>
      </c>
      <c r="Q3753" s="13" t="s">
        <v>75</v>
      </c>
      <c r="R3753" s="13" t="s">
        <v>75</v>
      </c>
      <c r="S3753" s="13" t="s">
        <v>50</v>
      </c>
      <c r="T3753" s="44">
        <v>45754.700365682875</v>
      </c>
      <c r="U3753" s="44">
        <v>45756.58655385417</v>
      </c>
      <c r="V3753" s="198">
        <v>45757.47194965278</v>
      </c>
      <c r="W3753" s="11"/>
      <c r="X3753" s="11"/>
      <c r="Y3753" s="45"/>
      <c r="Z3753" s="45"/>
      <c r="AA3753" s="31" t="s">
        <v>94</v>
      </c>
      <c r="AB3753" s="45" t="s">
        <v>14609</v>
      </c>
      <c r="AC3753" s="45"/>
    </row>
    <row r="3754" ht="18.75" customHeight="1">
      <c r="A3754" s="142" t="s">
        <v>14610</v>
      </c>
      <c r="B3754" s="19" t="s">
        <v>14611</v>
      </c>
      <c r="C3754" s="20">
        <v>1.0</v>
      </c>
      <c r="D3754" s="48"/>
      <c r="E3754" s="27" t="s">
        <v>3395</v>
      </c>
      <c r="F3754" s="18" t="s">
        <v>48</v>
      </c>
      <c r="G3754" s="18" t="s">
        <v>35</v>
      </c>
      <c r="H3754" s="40" t="s">
        <v>35</v>
      </c>
      <c r="I3754" s="24" t="s">
        <v>665</v>
      </c>
      <c r="J3754" s="25" t="s">
        <v>65</v>
      </c>
      <c r="K3754" s="26" t="s">
        <v>38</v>
      </c>
      <c r="L3754" s="25">
        <v>12864.0</v>
      </c>
      <c r="M3754" s="49" t="s">
        <v>50</v>
      </c>
      <c r="N3754" s="42" t="s">
        <v>14547</v>
      </c>
      <c r="O3754" s="67">
        <v>45757.7011393287</v>
      </c>
      <c r="P3754" s="35" t="s">
        <v>14612</v>
      </c>
      <c r="Q3754" s="13" t="s">
        <v>75</v>
      </c>
      <c r="R3754" s="13" t="s">
        <v>75</v>
      </c>
      <c r="S3754" s="13" t="s">
        <v>50</v>
      </c>
      <c r="T3754" s="44">
        <v>45755.41913445602</v>
      </c>
      <c r="U3754" s="44">
        <v>45756.68021341435</v>
      </c>
      <c r="V3754" s="198">
        <v>45757.4719593287</v>
      </c>
      <c r="W3754" s="11"/>
      <c r="X3754" s="11"/>
      <c r="Y3754" s="45"/>
      <c r="Z3754" s="45"/>
      <c r="AA3754" s="31" t="s">
        <v>94</v>
      </c>
      <c r="AB3754" s="45" t="s">
        <v>14613</v>
      </c>
      <c r="AC3754" s="45"/>
    </row>
    <row r="3755" ht="18.75" customHeight="1">
      <c r="A3755" s="142" t="s">
        <v>14614</v>
      </c>
      <c r="B3755" s="19" t="s">
        <v>8893</v>
      </c>
      <c r="C3755" s="20">
        <v>137.0</v>
      </c>
      <c r="D3755" s="48" t="s">
        <v>14615</v>
      </c>
      <c r="E3755" s="27" t="s">
        <v>85</v>
      </c>
      <c r="F3755" s="18" t="s">
        <v>48</v>
      </c>
      <c r="G3755" s="18" t="s">
        <v>35</v>
      </c>
      <c r="H3755" s="40" t="s">
        <v>35</v>
      </c>
      <c r="I3755" s="37" t="s">
        <v>36</v>
      </c>
      <c r="J3755" s="25" t="s">
        <v>49</v>
      </c>
      <c r="K3755" s="26" t="s">
        <v>38</v>
      </c>
      <c r="L3755" s="25">
        <v>12857.0</v>
      </c>
      <c r="M3755" s="49" t="s">
        <v>50</v>
      </c>
      <c r="N3755" s="42" t="s">
        <v>9953</v>
      </c>
      <c r="O3755" s="67">
        <v>45755.730635671294</v>
      </c>
      <c r="P3755" s="26" t="s">
        <v>14616</v>
      </c>
      <c r="Q3755" s="13" t="s">
        <v>75</v>
      </c>
      <c r="R3755" s="13" t="s">
        <v>75</v>
      </c>
      <c r="S3755" s="13" t="s">
        <v>50</v>
      </c>
      <c r="T3755" s="44">
        <v>45755.42008380787</v>
      </c>
      <c r="U3755" s="44">
        <v>45755.470295</v>
      </c>
      <c r="V3755" s="198">
        <v>45755.49937856481</v>
      </c>
      <c r="W3755" s="11"/>
      <c r="X3755" s="11"/>
      <c r="Y3755" s="45"/>
      <c r="Z3755" s="45"/>
      <c r="AA3755" s="31" t="s">
        <v>5199</v>
      </c>
      <c r="AB3755" s="45" t="s">
        <v>14617</v>
      </c>
      <c r="AC3755" s="45"/>
    </row>
    <row r="3756" ht="18.75" customHeight="1">
      <c r="A3756" s="142" t="s">
        <v>14618</v>
      </c>
      <c r="B3756" s="19" t="s">
        <v>5039</v>
      </c>
      <c r="C3756" s="20">
        <v>0.0</v>
      </c>
      <c r="D3756" s="48" t="s">
        <v>14619</v>
      </c>
      <c r="E3756" s="22" t="s">
        <v>98</v>
      </c>
      <c r="F3756" s="18" t="s">
        <v>33</v>
      </c>
      <c r="G3756" s="18" t="s">
        <v>35</v>
      </c>
      <c r="H3756" s="40" t="s">
        <v>35</v>
      </c>
      <c r="I3756" s="37" t="s">
        <v>36</v>
      </c>
      <c r="J3756" s="25" t="s">
        <v>49</v>
      </c>
      <c r="K3756" s="26" t="s">
        <v>38</v>
      </c>
      <c r="L3756" s="25">
        <v>12890.0</v>
      </c>
      <c r="M3756" s="49" t="s">
        <v>50</v>
      </c>
      <c r="N3756" s="42" t="s">
        <v>143</v>
      </c>
      <c r="O3756" s="67">
        <v>45762.601388888885</v>
      </c>
      <c r="P3756" s="26" t="s">
        <v>14620</v>
      </c>
      <c r="Q3756" s="13" t="s">
        <v>75</v>
      </c>
      <c r="R3756" s="13" t="s">
        <v>75</v>
      </c>
      <c r="S3756" s="13"/>
      <c r="T3756" s="44">
        <v>45756.506831516206</v>
      </c>
      <c r="U3756" s="44">
        <v>45756.732141898145</v>
      </c>
      <c r="V3756" s="203"/>
      <c r="W3756" s="11"/>
      <c r="X3756" s="11"/>
      <c r="Y3756" s="45"/>
      <c r="Z3756" s="45"/>
      <c r="AA3756" s="31" t="s">
        <v>102</v>
      </c>
      <c r="AB3756" s="45" t="s">
        <v>14621</v>
      </c>
      <c r="AC3756" s="45"/>
    </row>
    <row r="3757" ht="18.75" customHeight="1">
      <c r="A3757" s="142" t="s">
        <v>14622</v>
      </c>
      <c r="B3757" s="19" t="s">
        <v>13857</v>
      </c>
      <c r="C3757" s="20">
        <v>90.0</v>
      </c>
      <c r="D3757" s="48" t="s">
        <v>14623</v>
      </c>
      <c r="E3757" s="27" t="s">
        <v>91</v>
      </c>
      <c r="F3757" s="18" t="s">
        <v>48</v>
      </c>
      <c r="G3757" s="18" t="s">
        <v>35</v>
      </c>
      <c r="H3757" s="40" t="s">
        <v>35</v>
      </c>
      <c r="I3757" s="37" t="s">
        <v>36</v>
      </c>
      <c r="J3757" s="25" t="s">
        <v>65</v>
      </c>
      <c r="K3757" s="26" t="s">
        <v>38</v>
      </c>
      <c r="L3757" s="25">
        <v>12879.0</v>
      </c>
      <c r="M3757" s="49" t="s">
        <v>50</v>
      </c>
      <c r="N3757" s="42" t="s">
        <v>11189</v>
      </c>
      <c r="O3757" s="67">
        <v>45762.66809160879</v>
      </c>
      <c r="P3757" s="26" t="s">
        <v>14624</v>
      </c>
      <c r="Q3757" s="13" t="s">
        <v>75</v>
      </c>
      <c r="R3757" s="13" t="s">
        <v>75</v>
      </c>
      <c r="S3757" s="13" t="s">
        <v>50</v>
      </c>
      <c r="T3757" s="44">
        <v>45756.507844699074</v>
      </c>
      <c r="U3757" s="44">
        <v>45758.59185806713</v>
      </c>
      <c r="V3757" s="198">
        <v>45762.33995570602</v>
      </c>
      <c r="W3757" s="11"/>
      <c r="X3757" s="11"/>
      <c r="Y3757" s="45"/>
      <c r="Z3757" s="45"/>
      <c r="AA3757" s="31" t="s">
        <v>120</v>
      </c>
      <c r="AB3757" s="45" t="s">
        <v>14625</v>
      </c>
      <c r="AC3757" s="45"/>
    </row>
    <row r="3758" ht="18.75" customHeight="1">
      <c r="A3758" s="142" t="s">
        <v>14626</v>
      </c>
      <c r="B3758" s="19" t="s">
        <v>4941</v>
      </c>
      <c r="C3758" s="20">
        <v>137.0</v>
      </c>
      <c r="D3758" s="48" t="s">
        <v>14627</v>
      </c>
      <c r="E3758" s="27" t="s">
        <v>85</v>
      </c>
      <c r="F3758" s="18" t="s">
        <v>48</v>
      </c>
      <c r="G3758" s="18" t="s">
        <v>35</v>
      </c>
      <c r="H3758" s="40" t="s">
        <v>35</v>
      </c>
      <c r="I3758" s="37" t="s">
        <v>36</v>
      </c>
      <c r="J3758" s="25" t="s">
        <v>49</v>
      </c>
      <c r="K3758" s="26" t="s">
        <v>38</v>
      </c>
      <c r="L3758" s="25">
        <v>12881.0</v>
      </c>
      <c r="M3758" s="49" t="s">
        <v>50</v>
      </c>
      <c r="N3758" s="42" t="s">
        <v>143</v>
      </c>
      <c r="O3758" s="67">
        <v>45762.600694444445</v>
      </c>
      <c r="P3758" s="35" t="s">
        <v>14457</v>
      </c>
      <c r="Q3758" s="13" t="s">
        <v>75</v>
      </c>
      <c r="R3758" s="13" t="s">
        <v>75</v>
      </c>
      <c r="S3758" s="13" t="s">
        <v>50</v>
      </c>
      <c r="T3758" s="44">
        <v>45756.508427152774</v>
      </c>
      <c r="U3758" s="44">
        <v>45758.64941322917</v>
      </c>
      <c r="V3758" s="198">
        <v>45762.341565104165</v>
      </c>
      <c r="W3758" s="11"/>
      <c r="X3758" s="11"/>
      <c r="Y3758" s="45"/>
      <c r="Z3758" s="45"/>
      <c r="AA3758" s="31" t="s">
        <v>94</v>
      </c>
      <c r="AB3758" s="45" t="s">
        <v>14628</v>
      </c>
      <c r="AC3758" s="45"/>
    </row>
    <row r="3759" ht="18.75" customHeight="1">
      <c r="A3759" s="142" t="s">
        <v>14629</v>
      </c>
      <c r="B3759" s="19" t="s">
        <v>5277</v>
      </c>
      <c r="C3759" s="20">
        <v>2.0</v>
      </c>
      <c r="D3759" s="48" t="s">
        <v>14630</v>
      </c>
      <c r="E3759" s="27" t="s">
        <v>14519</v>
      </c>
      <c r="F3759" s="18" t="s">
        <v>48</v>
      </c>
      <c r="G3759" s="18" t="s">
        <v>35</v>
      </c>
      <c r="H3759" s="40" t="s">
        <v>35</v>
      </c>
      <c r="I3759" s="37" t="s">
        <v>36</v>
      </c>
      <c r="J3759" s="25" t="s">
        <v>65</v>
      </c>
      <c r="K3759" s="26" t="s">
        <v>38</v>
      </c>
      <c r="L3759" s="25">
        <v>12891.0</v>
      </c>
      <c r="M3759" s="49" t="s">
        <v>50</v>
      </c>
      <c r="N3759" s="42" t="s">
        <v>11189</v>
      </c>
      <c r="O3759" s="67">
        <v>45762.66815300926</v>
      </c>
      <c r="P3759" s="35" t="s">
        <v>14372</v>
      </c>
      <c r="Q3759" s="13" t="s">
        <v>75</v>
      </c>
      <c r="R3759" s="13" t="s">
        <v>75</v>
      </c>
      <c r="S3759" s="13" t="s">
        <v>50</v>
      </c>
      <c r="T3759" s="44">
        <v>45756.511285</v>
      </c>
      <c r="U3759" s="44">
        <v>45756.58885568287</v>
      </c>
      <c r="V3759" s="198">
        <v>45762.45619516204</v>
      </c>
      <c r="W3759" s="11"/>
      <c r="X3759" s="11"/>
      <c r="Y3759" s="45"/>
      <c r="Z3759" s="45"/>
      <c r="AA3759" s="31" t="s">
        <v>94</v>
      </c>
      <c r="AB3759" s="45" t="s">
        <v>14631</v>
      </c>
      <c r="AC3759" s="45"/>
    </row>
    <row r="3760" ht="18.75" customHeight="1">
      <c r="A3760" s="142" t="s">
        <v>14632</v>
      </c>
      <c r="B3760" s="19" t="s">
        <v>7307</v>
      </c>
      <c r="C3760" s="20">
        <v>1.0</v>
      </c>
      <c r="D3760" s="48" t="s">
        <v>14633</v>
      </c>
      <c r="E3760" s="27" t="s">
        <v>3395</v>
      </c>
      <c r="F3760" s="18" t="s">
        <v>48</v>
      </c>
      <c r="G3760" s="18" t="s">
        <v>35</v>
      </c>
      <c r="H3760" s="40" t="s">
        <v>35</v>
      </c>
      <c r="I3760" s="37" t="s">
        <v>36</v>
      </c>
      <c r="J3760" s="25" t="s">
        <v>65</v>
      </c>
      <c r="K3760" s="26" t="s">
        <v>38</v>
      </c>
      <c r="L3760" s="25">
        <v>12873.0</v>
      </c>
      <c r="M3760" s="49" t="s">
        <v>50</v>
      </c>
      <c r="N3760" s="42" t="s">
        <v>149</v>
      </c>
      <c r="O3760" s="67">
        <v>45758.67996291666</v>
      </c>
      <c r="P3760" s="35" t="s">
        <v>14304</v>
      </c>
      <c r="Q3760" s="13" t="s">
        <v>75</v>
      </c>
      <c r="R3760" s="13" t="s">
        <v>75</v>
      </c>
      <c r="S3760" s="13" t="s">
        <v>50</v>
      </c>
      <c r="T3760" s="44">
        <v>45756.51202836806</v>
      </c>
      <c r="U3760" s="44">
        <v>45758.52072061342</v>
      </c>
      <c r="V3760" s="198">
        <v>45758.587436354166</v>
      </c>
      <c r="W3760" s="11"/>
      <c r="X3760" s="11"/>
      <c r="Y3760" s="45"/>
      <c r="Z3760" s="45"/>
      <c r="AA3760" s="31" t="s">
        <v>94</v>
      </c>
      <c r="AB3760" s="45" t="s">
        <v>14634</v>
      </c>
      <c r="AC3760" s="45"/>
    </row>
    <row r="3761" ht="18.75" customHeight="1">
      <c r="A3761" s="142" t="s">
        <v>14635</v>
      </c>
      <c r="B3761" s="19" t="s">
        <v>14636</v>
      </c>
      <c r="C3761" s="20">
        <v>27.0</v>
      </c>
      <c r="D3761" s="39" t="s">
        <v>14637</v>
      </c>
      <c r="E3761" s="27" t="s">
        <v>72</v>
      </c>
      <c r="F3761" s="18" t="s">
        <v>48</v>
      </c>
      <c r="G3761" s="18" t="s">
        <v>35</v>
      </c>
      <c r="H3761" s="40" t="s">
        <v>35</v>
      </c>
      <c r="I3761" s="37" t="s">
        <v>36</v>
      </c>
      <c r="J3761" s="25" t="s">
        <v>65</v>
      </c>
      <c r="K3761" s="26" t="s">
        <v>38</v>
      </c>
      <c r="L3761" s="25">
        <v>12895.0</v>
      </c>
      <c r="M3761" s="49" t="s">
        <v>50</v>
      </c>
      <c r="N3761" s="42" t="s">
        <v>14184</v>
      </c>
      <c r="O3761" s="67">
        <v>45763.69390341435</v>
      </c>
      <c r="P3761" s="35" t="s">
        <v>14638</v>
      </c>
      <c r="Q3761" s="13" t="s">
        <v>75</v>
      </c>
      <c r="R3761" s="13" t="s">
        <v>75</v>
      </c>
      <c r="S3761" s="13" t="s">
        <v>50</v>
      </c>
      <c r="T3761" s="44">
        <v>45761.42435027778</v>
      </c>
      <c r="U3761" s="44">
        <v>45762.41317158565</v>
      </c>
      <c r="V3761" s="198">
        <v>45763.35178203703</v>
      </c>
      <c r="W3761" s="11"/>
      <c r="X3761" s="11"/>
      <c r="Y3761" s="45"/>
      <c r="Z3761" s="45"/>
      <c r="AA3761" s="31" t="s">
        <v>3059</v>
      </c>
      <c r="AB3761" s="45" t="s">
        <v>14639</v>
      </c>
      <c r="AC3761" s="45"/>
    </row>
    <row r="3762" ht="18.75" customHeight="1">
      <c r="A3762" s="142" t="s">
        <v>14640</v>
      </c>
      <c r="B3762" s="19" t="s">
        <v>4215</v>
      </c>
      <c r="C3762" s="20">
        <v>0.0</v>
      </c>
      <c r="D3762" s="48" t="s">
        <v>14641</v>
      </c>
      <c r="E3762" s="27" t="s">
        <v>295</v>
      </c>
      <c r="F3762" s="18" t="s">
        <v>33</v>
      </c>
      <c r="G3762" s="18" t="s">
        <v>34</v>
      </c>
      <c r="H3762" s="40" t="s">
        <v>35</v>
      </c>
      <c r="I3762" s="37" t="s">
        <v>36</v>
      </c>
      <c r="J3762" s="25" t="s">
        <v>420</v>
      </c>
      <c r="K3762" s="26" t="s">
        <v>38</v>
      </c>
      <c r="L3762" s="72">
        <v>13398.0</v>
      </c>
      <c r="M3762" s="49" t="s">
        <v>50</v>
      </c>
      <c r="N3762" s="42" t="s">
        <v>4031</v>
      </c>
      <c r="O3762" s="67">
        <v>45852.579347719904</v>
      </c>
      <c r="P3762" s="26" t="s">
        <v>14642</v>
      </c>
      <c r="Q3762" s="13" t="s">
        <v>75</v>
      </c>
      <c r="R3762" s="13" t="s">
        <v>75</v>
      </c>
      <c r="S3762" s="13" t="s">
        <v>9620</v>
      </c>
      <c r="T3762" s="44">
        <v>45848.691998379625</v>
      </c>
      <c r="U3762" s="44">
        <v>45848.69324219908</v>
      </c>
      <c r="V3762" s="198">
        <v>45852.47644008102</v>
      </c>
      <c r="W3762" s="11"/>
      <c r="X3762" s="148">
        <v>45778.0</v>
      </c>
      <c r="Y3762" s="45">
        <v>302.0</v>
      </c>
      <c r="Z3762" s="45" t="s">
        <v>14643</v>
      </c>
      <c r="AA3762" s="31"/>
      <c r="AB3762" s="45" t="s">
        <v>14644</v>
      </c>
      <c r="AC3762" s="45"/>
    </row>
    <row r="3763" ht="18.75" customHeight="1">
      <c r="A3763" s="142" t="s">
        <v>14645</v>
      </c>
      <c r="B3763" s="19" t="s">
        <v>4215</v>
      </c>
      <c r="C3763" s="20">
        <v>0.0</v>
      </c>
      <c r="D3763" s="48" t="s">
        <v>14646</v>
      </c>
      <c r="E3763" s="27" t="s">
        <v>301</v>
      </c>
      <c r="F3763" s="18" t="s">
        <v>33</v>
      </c>
      <c r="G3763" s="18" t="s">
        <v>34</v>
      </c>
      <c r="H3763" s="40" t="s">
        <v>35</v>
      </c>
      <c r="I3763" s="37" t="s">
        <v>36</v>
      </c>
      <c r="J3763" s="25" t="s">
        <v>420</v>
      </c>
      <c r="K3763" s="26" t="s">
        <v>38</v>
      </c>
      <c r="L3763" s="72">
        <v>13399.0</v>
      </c>
      <c r="M3763" s="49" t="s">
        <v>50</v>
      </c>
      <c r="N3763" s="42" t="s">
        <v>4031</v>
      </c>
      <c r="O3763" s="67">
        <v>45852.579420636575</v>
      </c>
      <c r="P3763" s="26" t="s">
        <v>14647</v>
      </c>
      <c r="Q3763" s="13" t="s">
        <v>75</v>
      </c>
      <c r="R3763" s="13" t="s">
        <v>75</v>
      </c>
      <c r="S3763" s="13" t="s">
        <v>50</v>
      </c>
      <c r="T3763" s="44">
        <v>45848.691908761575</v>
      </c>
      <c r="U3763" s="44">
        <v>45848.69321144676</v>
      </c>
      <c r="V3763" s="198">
        <v>45852.541888391206</v>
      </c>
      <c r="W3763" s="11"/>
      <c r="X3763" s="148">
        <v>45839.0</v>
      </c>
      <c r="Y3763" s="45">
        <v>302.0</v>
      </c>
      <c r="Z3763" s="45" t="s">
        <v>14648</v>
      </c>
      <c r="AA3763" s="31"/>
      <c r="AB3763" s="45" t="s">
        <v>14649</v>
      </c>
      <c r="AC3763" s="45"/>
    </row>
    <row r="3764" ht="18.75" customHeight="1">
      <c r="A3764" s="142" t="s">
        <v>14650</v>
      </c>
      <c r="B3764" s="19" t="s">
        <v>5512</v>
      </c>
      <c r="C3764" s="20">
        <v>90.0</v>
      </c>
      <c r="D3764" s="48" t="s">
        <v>14651</v>
      </c>
      <c r="E3764" s="27" t="s">
        <v>91</v>
      </c>
      <c r="F3764" s="18" t="s">
        <v>48</v>
      </c>
      <c r="G3764" s="18" t="s">
        <v>35</v>
      </c>
      <c r="H3764" s="40" t="s">
        <v>35</v>
      </c>
      <c r="I3764" s="37" t="s">
        <v>36</v>
      </c>
      <c r="J3764" s="25" t="s">
        <v>49</v>
      </c>
      <c r="K3764" s="26" t="s">
        <v>384</v>
      </c>
      <c r="L3764" s="25">
        <v>12871.0</v>
      </c>
      <c r="M3764" s="49" t="s">
        <v>50</v>
      </c>
      <c r="N3764" s="42" t="s">
        <v>143</v>
      </c>
      <c r="O3764" s="67">
        <v>45758.56961708333</v>
      </c>
      <c r="P3764" s="26" t="s">
        <v>14652</v>
      </c>
      <c r="Q3764" s="13" t="s">
        <v>75</v>
      </c>
      <c r="R3764" s="13" t="s">
        <v>75</v>
      </c>
      <c r="S3764" s="13" t="s">
        <v>50</v>
      </c>
      <c r="T3764" s="44">
        <v>45757.53882412037</v>
      </c>
      <c r="U3764" s="44">
        <v>45758.451718854165</v>
      </c>
      <c r="V3764" s="198">
        <v>45758.463852175926</v>
      </c>
      <c r="W3764" s="11"/>
      <c r="X3764" s="11"/>
      <c r="Y3764" s="45"/>
      <c r="Z3764" s="45"/>
      <c r="AA3764" s="31" t="s">
        <v>108</v>
      </c>
      <c r="AB3764" s="45" t="s">
        <v>14653</v>
      </c>
      <c r="AC3764" s="45"/>
    </row>
    <row r="3765" ht="18.75" customHeight="1">
      <c r="A3765" s="142" t="s">
        <v>14654</v>
      </c>
      <c r="B3765" s="19" t="s">
        <v>3674</v>
      </c>
      <c r="C3765" s="20">
        <v>27.0</v>
      </c>
      <c r="D3765" s="39" t="s">
        <v>14655</v>
      </c>
      <c r="E3765" s="27" t="s">
        <v>72</v>
      </c>
      <c r="F3765" s="18" t="s">
        <v>48</v>
      </c>
      <c r="G3765" s="18" t="s">
        <v>35</v>
      </c>
      <c r="H3765" s="40" t="s">
        <v>35</v>
      </c>
      <c r="I3765" s="37" t="s">
        <v>36</v>
      </c>
      <c r="J3765" s="25" t="s">
        <v>65</v>
      </c>
      <c r="K3765" s="26" t="s">
        <v>38</v>
      </c>
      <c r="L3765" s="25">
        <v>12866.0</v>
      </c>
      <c r="M3765" s="49" t="s">
        <v>50</v>
      </c>
      <c r="N3765" s="42" t="s">
        <v>14547</v>
      </c>
      <c r="O3765" s="67">
        <v>45757.70121575231</v>
      </c>
      <c r="P3765" s="35" t="s">
        <v>14656</v>
      </c>
      <c r="Q3765" s="13" t="s">
        <v>75</v>
      </c>
      <c r="R3765" s="13" t="s">
        <v>75</v>
      </c>
      <c r="S3765" s="13" t="s">
        <v>50</v>
      </c>
      <c r="T3765" s="44">
        <v>45757.52502732639</v>
      </c>
      <c r="U3765" s="44">
        <v>45757.52602143519</v>
      </c>
      <c r="V3765" s="198">
        <v>45757.54841821759</v>
      </c>
      <c r="W3765" s="11"/>
      <c r="X3765" s="11"/>
      <c r="Y3765" s="45"/>
      <c r="Z3765" s="45"/>
      <c r="AA3765" s="31" t="s">
        <v>94</v>
      </c>
      <c r="AB3765" s="45" t="s">
        <v>14657</v>
      </c>
      <c r="AC3765" s="45"/>
    </row>
    <row r="3766" ht="18.75" customHeight="1">
      <c r="A3766" s="142" t="s">
        <v>14658</v>
      </c>
      <c r="B3766" s="19" t="s">
        <v>4352</v>
      </c>
      <c r="C3766" s="20">
        <v>137.0</v>
      </c>
      <c r="D3766" s="48" t="s">
        <v>14659</v>
      </c>
      <c r="E3766" s="27" t="s">
        <v>85</v>
      </c>
      <c r="F3766" s="18" t="s">
        <v>48</v>
      </c>
      <c r="G3766" s="18" t="s">
        <v>35</v>
      </c>
      <c r="H3766" s="40" t="s">
        <v>35</v>
      </c>
      <c r="I3766" s="37" t="s">
        <v>36</v>
      </c>
      <c r="J3766" s="25" t="s">
        <v>49</v>
      </c>
      <c r="K3766" s="26" t="s">
        <v>38</v>
      </c>
      <c r="L3766" s="25">
        <v>12882.0</v>
      </c>
      <c r="M3766" s="49" t="s">
        <v>50</v>
      </c>
      <c r="N3766" s="42" t="s">
        <v>143</v>
      </c>
      <c r="O3766" s="67">
        <v>45762.601388888885</v>
      </c>
      <c r="P3766" s="26" t="s">
        <v>14660</v>
      </c>
      <c r="Q3766" s="13" t="s">
        <v>75</v>
      </c>
      <c r="R3766" s="13" t="s">
        <v>75</v>
      </c>
      <c r="S3766" s="13" t="s">
        <v>50</v>
      </c>
      <c r="T3766" s="44">
        <v>45758.36934585648</v>
      </c>
      <c r="U3766" s="44">
        <v>45758.690459606485</v>
      </c>
      <c r="V3766" s="198">
        <v>45762.34270774305</v>
      </c>
      <c r="W3766" s="11"/>
      <c r="X3766" s="11"/>
      <c r="Y3766" s="45"/>
      <c r="Z3766" s="45"/>
      <c r="AA3766" s="31" t="s">
        <v>127</v>
      </c>
      <c r="AB3766" s="45" t="s">
        <v>14661</v>
      </c>
      <c r="AC3766" s="45"/>
    </row>
    <row r="3767" ht="18.75" customHeight="1">
      <c r="A3767" s="142" t="s">
        <v>14662</v>
      </c>
      <c r="B3767" s="19" t="s">
        <v>14663</v>
      </c>
      <c r="C3767" s="20">
        <v>137.0</v>
      </c>
      <c r="D3767" s="48"/>
      <c r="E3767" s="27" t="s">
        <v>85</v>
      </c>
      <c r="F3767" s="18" t="s">
        <v>48</v>
      </c>
      <c r="G3767" s="18" t="s">
        <v>35</v>
      </c>
      <c r="H3767" s="40" t="s">
        <v>35</v>
      </c>
      <c r="I3767" s="24" t="s">
        <v>665</v>
      </c>
      <c r="J3767" s="25" t="s">
        <v>65</v>
      </c>
      <c r="K3767" s="26" t="s">
        <v>38</v>
      </c>
      <c r="L3767" s="25">
        <v>12915.0</v>
      </c>
      <c r="M3767" s="49" t="s">
        <v>73</v>
      </c>
      <c r="N3767" s="42" t="s">
        <v>80</v>
      </c>
      <c r="O3767" s="67">
        <v>45770.61792471065</v>
      </c>
      <c r="P3767" s="35" t="s">
        <v>14664</v>
      </c>
      <c r="Q3767" s="13" t="s">
        <v>75</v>
      </c>
      <c r="R3767" s="13" t="s">
        <v>75</v>
      </c>
      <c r="S3767" s="13" t="s">
        <v>50</v>
      </c>
      <c r="T3767" s="44">
        <v>45758.370188125</v>
      </c>
      <c r="U3767" s="44">
        <v>45769.50562228009</v>
      </c>
      <c r="V3767" s="198">
        <v>45770.418763587964</v>
      </c>
      <c r="W3767" s="11"/>
      <c r="X3767" s="11"/>
      <c r="Y3767" s="45"/>
      <c r="Z3767" s="45"/>
      <c r="AA3767" s="31" t="s">
        <v>94</v>
      </c>
      <c r="AB3767" s="45" t="s">
        <v>14665</v>
      </c>
      <c r="AC3767" s="45"/>
    </row>
    <row r="3768" ht="18.75" customHeight="1">
      <c r="A3768" s="142" t="s">
        <v>14666</v>
      </c>
      <c r="B3768" s="19" t="s">
        <v>4957</v>
      </c>
      <c r="C3768" s="20">
        <v>137.0</v>
      </c>
      <c r="D3768" s="48" t="s">
        <v>14667</v>
      </c>
      <c r="E3768" s="27" t="s">
        <v>85</v>
      </c>
      <c r="F3768" s="18" t="s">
        <v>48</v>
      </c>
      <c r="G3768" s="18" t="s">
        <v>35</v>
      </c>
      <c r="H3768" s="40" t="s">
        <v>35</v>
      </c>
      <c r="I3768" s="37" t="s">
        <v>36</v>
      </c>
      <c r="J3768" s="25" t="s">
        <v>65</v>
      </c>
      <c r="K3768" s="26" t="s">
        <v>38</v>
      </c>
      <c r="L3768" s="25">
        <v>12883.0</v>
      </c>
      <c r="M3768" s="49" t="s">
        <v>50</v>
      </c>
      <c r="N3768" s="42" t="s">
        <v>11189</v>
      </c>
      <c r="O3768" s="67">
        <v>45762.66821069444</v>
      </c>
      <c r="P3768" s="35" t="s">
        <v>14304</v>
      </c>
      <c r="Q3768" s="13" t="s">
        <v>75</v>
      </c>
      <c r="R3768" s="13" t="s">
        <v>75</v>
      </c>
      <c r="S3768" s="13" t="s">
        <v>50</v>
      </c>
      <c r="T3768" s="44">
        <v>45758.380247650464</v>
      </c>
      <c r="U3768" s="44">
        <v>45758.59095261574</v>
      </c>
      <c r="V3768" s="198">
        <v>45762.341099826386</v>
      </c>
      <c r="W3768" s="11"/>
      <c r="X3768" s="11"/>
      <c r="Y3768" s="45"/>
      <c r="Z3768" s="45"/>
      <c r="AA3768" s="31" t="s">
        <v>94</v>
      </c>
      <c r="AB3768" s="45" t="s">
        <v>14668</v>
      </c>
      <c r="AC3768" s="45"/>
    </row>
    <row r="3769" ht="18.75" customHeight="1">
      <c r="A3769" s="142" t="s">
        <v>14669</v>
      </c>
      <c r="B3769" s="19" t="s">
        <v>11733</v>
      </c>
      <c r="C3769" s="20">
        <v>90.0</v>
      </c>
      <c r="D3769" s="48" t="s">
        <v>14670</v>
      </c>
      <c r="E3769" s="27" t="s">
        <v>91</v>
      </c>
      <c r="F3769" s="18" t="s">
        <v>48</v>
      </c>
      <c r="G3769" s="18" t="s">
        <v>35</v>
      </c>
      <c r="H3769" s="40" t="s">
        <v>35</v>
      </c>
      <c r="I3769" s="37" t="s">
        <v>36</v>
      </c>
      <c r="J3769" s="25" t="s">
        <v>49</v>
      </c>
      <c r="K3769" s="26" t="s">
        <v>38</v>
      </c>
      <c r="L3769" s="25">
        <v>12887.0</v>
      </c>
      <c r="M3769" s="49" t="s">
        <v>50</v>
      </c>
      <c r="N3769" s="42" t="s">
        <v>143</v>
      </c>
      <c r="O3769" s="67">
        <v>45762.601388888885</v>
      </c>
      <c r="P3769" s="26" t="s">
        <v>14671</v>
      </c>
      <c r="Q3769" s="13" t="s">
        <v>75</v>
      </c>
      <c r="R3769" s="13" t="s">
        <v>75</v>
      </c>
      <c r="S3769" s="13" t="s">
        <v>50</v>
      </c>
      <c r="T3769" s="44">
        <v>45758.38403369213</v>
      </c>
      <c r="U3769" s="44">
        <v>45758.48077792824</v>
      </c>
      <c r="V3769" s="198">
        <v>45762.3399637963</v>
      </c>
      <c r="W3769" s="11"/>
      <c r="X3769" s="11"/>
      <c r="Y3769" s="45"/>
      <c r="Z3769" s="45"/>
      <c r="AA3769" s="31" t="s">
        <v>127</v>
      </c>
      <c r="AB3769" s="45" t="s">
        <v>14672</v>
      </c>
      <c r="AC3769" s="45"/>
    </row>
    <row r="3770" ht="18.75" customHeight="1">
      <c r="A3770" s="18" t="s">
        <v>14673</v>
      </c>
      <c r="B3770" s="19" t="s">
        <v>14674</v>
      </c>
      <c r="C3770" s="20">
        <v>0.0</v>
      </c>
      <c r="D3770" s="48" t="s">
        <v>14675</v>
      </c>
      <c r="E3770" s="27" t="s">
        <v>4430</v>
      </c>
      <c r="F3770" s="18" t="s">
        <v>48</v>
      </c>
      <c r="G3770" s="18" t="s">
        <v>35</v>
      </c>
      <c r="H3770" s="40" t="s">
        <v>35</v>
      </c>
      <c r="I3770" s="37" t="s">
        <v>36</v>
      </c>
      <c r="J3770" s="25" t="s">
        <v>49</v>
      </c>
      <c r="K3770" s="26" t="s">
        <v>38</v>
      </c>
      <c r="L3770" s="25">
        <v>12957.0</v>
      </c>
      <c r="M3770" s="49" t="s">
        <v>50</v>
      </c>
      <c r="N3770" s="42" t="s">
        <v>5936</v>
      </c>
      <c r="O3770" s="67">
        <v>45777.70791193287</v>
      </c>
      <c r="P3770" s="26" t="s">
        <v>14676</v>
      </c>
      <c r="Q3770" s="13" t="s">
        <v>75</v>
      </c>
      <c r="R3770" s="13" t="s">
        <v>75</v>
      </c>
      <c r="S3770" s="13" t="s">
        <v>50</v>
      </c>
      <c r="T3770" s="44">
        <v>45758.40692837963</v>
      </c>
      <c r="U3770" s="44">
        <v>45776.68304574074</v>
      </c>
      <c r="V3770" s="198">
        <v>45777.33966009259</v>
      </c>
      <c r="W3770" s="11"/>
      <c r="X3770" s="11"/>
      <c r="Y3770" s="45"/>
      <c r="Z3770" s="45"/>
      <c r="AA3770" s="31" t="s">
        <v>3385</v>
      </c>
      <c r="AB3770" s="45" t="s">
        <v>14677</v>
      </c>
      <c r="AC3770" s="45"/>
    </row>
    <row r="3771" ht="18.75" customHeight="1">
      <c r="A3771" s="18" t="s">
        <v>14678</v>
      </c>
      <c r="B3771" s="19" t="s">
        <v>14674</v>
      </c>
      <c r="C3771" s="20">
        <v>90.0</v>
      </c>
      <c r="D3771" s="48" t="s">
        <v>14679</v>
      </c>
      <c r="E3771" s="27" t="s">
        <v>91</v>
      </c>
      <c r="F3771" s="18" t="s">
        <v>48</v>
      </c>
      <c r="G3771" s="18" t="s">
        <v>35</v>
      </c>
      <c r="H3771" s="40" t="s">
        <v>35</v>
      </c>
      <c r="I3771" s="37" t="s">
        <v>36</v>
      </c>
      <c r="J3771" s="25" t="s">
        <v>49</v>
      </c>
      <c r="K3771" s="26" t="s">
        <v>38</v>
      </c>
      <c r="L3771" s="25">
        <v>12957.0</v>
      </c>
      <c r="M3771" s="49" t="s">
        <v>50</v>
      </c>
      <c r="N3771" s="42" t="s">
        <v>5936</v>
      </c>
      <c r="O3771" s="67">
        <v>45777.70803944445</v>
      </c>
      <c r="P3771" s="26" t="s">
        <v>14676</v>
      </c>
      <c r="Q3771" s="13" t="s">
        <v>75</v>
      </c>
      <c r="R3771" s="13" t="s">
        <v>75</v>
      </c>
      <c r="S3771" s="13" t="s">
        <v>50</v>
      </c>
      <c r="T3771" s="44">
        <v>45758.40756121528</v>
      </c>
      <c r="U3771" s="44">
        <v>45776.683006527775</v>
      </c>
      <c r="V3771" s="198">
        <v>45777.3339419213</v>
      </c>
      <c r="W3771" s="11"/>
      <c r="X3771" s="11"/>
      <c r="Y3771" s="45"/>
      <c r="Z3771" s="45"/>
      <c r="AA3771" s="31" t="s">
        <v>3385</v>
      </c>
      <c r="AB3771" s="45" t="s">
        <v>14680</v>
      </c>
      <c r="AC3771" s="45"/>
    </row>
    <row r="3772" ht="18.75" customHeight="1">
      <c r="A3772" s="142" t="s">
        <v>14681</v>
      </c>
      <c r="B3772" s="19" t="s">
        <v>3289</v>
      </c>
      <c r="C3772" s="20">
        <v>90.0</v>
      </c>
      <c r="D3772" s="48" t="s">
        <v>14682</v>
      </c>
      <c r="E3772" s="27" t="s">
        <v>91</v>
      </c>
      <c r="F3772" s="18" t="s">
        <v>48</v>
      </c>
      <c r="G3772" s="18" t="s">
        <v>35</v>
      </c>
      <c r="H3772" s="40" t="s">
        <v>35</v>
      </c>
      <c r="I3772" s="24" t="s">
        <v>36</v>
      </c>
      <c r="J3772" s="25" t="s">
        <v>92</v>
      </c>
      <c r="K3772" s="26" t="s">
        <v>38</v>
      </c>
      <c r="L3772" s="25">
        <v>12900.0</v>
      </c>
      <c r="M3772" s="152" t="s">
        <v>73</v>
      </c>
      <c r="N3772" s="65" t="s">
        <v>14172</v>
      </c>
      <c r="O3772" s="43">
        <v>45769.0</v>
      </c>
      <c r="P3772" s="26" t="s">
        <v>14683</v>
      </c>
      <c r="Q3772" s="13" t="s">
        <v>75</v>
      </c>
      <c r="R3772" s="13" t="s">
        <v>75</v>
      </c>
      <c r="S3772" s="13" t="s">
        <v>50</v>
      </c>
      <c r="T3772" s="44">
        <v>45761.43145268518</v>
      </c>
      <c r="U3772" s="44">
        <v>45761.66376517361</v>
      </c>
      <c r="V3772" s="198">
        <v>45763.61942405092</v>
      </c>
      <c r="W3772" s="11"/>
      <c r="X3772" s="11"/>
      <c r="Y3772" s="45"/>
      <c r="Z3772" s="45"/>
      <c r="AA3772" s="31" t="s">
        <v>120</v>
      </c>
      <c r="AB3772" s="45" t="s">
        <v>14684</v>
      </c>
      <c r="AC3772" s="45"/>
    </row>
    <row r="3773" ht="18.75" customHeight="1">
      <c r="A3773" s="142" t="s">
        <v>14685</v>
      </c>
      <c r="B3773" s="19" t="s">
        <v>3709</v>
      </c>
      <c r="C3773" s="20">
        <v>137.0</v>
      </c>
      <c r="D3773" s="48" t="s">
        <v>14686</v>
      </c>
      <c r="E3773" s="27" t="s">
        <v>85</v>
      </c>
      <c r="F3773" s="18" t="s">
        <v>48</v>
      </c>
      <c r="G3773" s="18" t="s">
        <v>35</v>
      </c>
      <c r="H3773" s="40" t="s">
        <v>35</v>
      </c>
      <c r="I3773" s="37" t="s">
        <v>36</v>
      </c>
      <c r="J3773" s="25" t="s">
        <v>92</v>
      </c>
      <c r="K3773" s="26" t="s">
        <v>38</v>
      </c>
      <c r="L3773" s="34">
        <v>12929.0</v>
      </c>
      <c r="M3773" s="49" t="s">
        <v>50</v>
      </c>
      <c r="N3773" s="42" t="s">
        <v>5352</v>
      </c>
      <c r="O3773" s="67">
        <v>45805.40255783565</v>
      </c>
      <c r="P3773" s="26" t="s">
        <v>14687</v>
      </c>
      <c r="Q3773" s="13" t="s">
        <v>75</v>
      </c>
      <c r="R3773" s="13" t="s">
        <v>75</v>
      </c>
      <c r="S3773" s="13" t="s">
        <v>50</v>
      </c>
      <c r="T3773" s="44">
        <v>45761.431997928245</v>
      </c>
      <c r="U3773" s="44">
        <v>45762.64237003472</v>
      </c>
      <c r="V3773" s="198">
        <v>45772.34553564815</v>
      </c>
      <c r="W3773" s="11"/>
      <c r="X3773" s="11"/>
      <c r="Y3773" s="45"/>
      <c r="Z3773" s="45"/>
      <c r="AA3773" s="31" t="s">
        <v>120</v>
      </c>
      <c r="AB3773" s="45" t="s">
        <v>14688</v>
      </c>
      <c r="AC3773" s="45"/>
    </row>
    <row r="3774" ht="18.75" customHeight="1">
      <c r="A3774" s="142" t="s">
        <v>14689</v>
      </c>
      <c r="B3774" s="19" t="s">
        <v>911</v>
      </c>
      <c r="C3774" s="20">
        <v>0.0</v>
      </c>
      <c r="D3774" s="48" t="s">
        <v>14690</v>
      </c>
      <c r="E3774" s="27" t="s">
        <v>4430</v>
      </c>
      <c r="F3774" s="18" t="s">
        <v>48</v>
      </c>
      <c r="G3774" s="18" t="s">
        <v>35</v>
      </c>
      <c r="H3774" s="40" t="s">
        <v>35</v>
      </c>
      <c r="I3774" s="37" t="s">
        <v>36</v>
      </c>
      <c r="J3774" s="25" t="s">
        <v>49</v>
      </c>
      <c r="K3774" s="26" t="s">
        <v>38</v>
      </c>
      <c r="L3774" s="25">
        <v>12897.0</v>
      </c>
      <c r="M3774" s="49" t="s">
        <v>50</v>
      </c>
      <c r="N3774" s="42" t="s">
        <v>5936</v>
      </c>
      <c r="O3774" s="67">
        <v>45763.597370787036</v>
      </c>
      <c r="P3774" s="26" t="s">
        <v>14691</v>
      </c>
      <c r="Q3774" s="13" t="s">
        <v>75</v>
      </c>
      <c r="R3774" s="13" t="s">
        <v>75</v>
      </c>
      <c r="S3774" s="13" t="s">
        <v>50</v>
      </c>
      <c r="T3774" s="44">
        <v>45761.43251611111</v>
      </c>
      <c r="U3774" s="44">
        <v>45762.38982873842</v>
      </c>
      <c r="V3774" s="198">
        <v>45763.35177140046</v>
      </c>
      <c r="W3774" s="11"/>
      <c r="X3774" s="11"/>
      <c r="Y3774" s="45"/>
      <c r="Z3774" s="45"/>
      <c r="AA3774" s="31" t="s">
        <v>3053</v>
      </c>
      <c r="AB3774" s="45" t="s">
        <v>14692</v>
      </c>
      <c r="AC3774" s="45"/>
    </row>
    <row r="3775" ht="18.75" customHeight="1">
      <c r="A3775" s="142" t="s">
        <v>14693</v>
      </c>
      <c r="B3775" s="19" t="s">
        <v>4352</v>
      </c>
      <c r="C3775" s="20">
        <v>0.0</v>
      </c>
      <c r="D3775" s="48" t="s">
        <v>14694</v>
      </c>
      <c r="E3775" s="27" t="s">
        <v>3441</v>
      </c>
      <c r="F3775" s="18" t="s">
        <v>48</v>
      </c>
      <c r="G3775" s="18" t="s">
        <v>35</v>
      </c>
      <c r="H3775" s="40" t="s">
        <v>35</v>
      </c>
      <c r="I3775" s="37" t="s">
        <v>36</v>
      </c>
      <c r="J3775" s="25" t="s">
        <v>49</v>
      </c>
      <c r="K3775" s="26" t="s">
        <v>38</v>
      </c>
      <c r="L3775" s="25">
        <v>12884.0</v>
      </c>
      <c r="M3775" s="49" t="s">
        <v>50</v>
      </c>
      <c r="N3775" s="42" t="s">
        <v>143</v>
      </c>
      <c r="O3775" s="67">
        <v>45761.600694444445</v>
      </c>
      <c r="P3775" s="26" t="s">
        <v>14695</v>
      </c>
      <c r="Q3775" s="13" t="s">
        <v>75</v>
      </c>
      <c r="R3775" s="13" t="s">
        <v>75</v>
      </c>
      <c r="S3775" s="13" t="s">
        <v>50</v>
      </c>
      <c r="T3775" s="44">
        <v>45761.43361425926</v>
      </c>
      <c r="U3775" s="44">
        <v>45761.499181666666</v>
      </c>
      <c r="V3775" s="198">
        <v>45762.34776346065</v>
      </c>
      <c r="W3775" s="11"/>
      <c r="X3775" s="11"/>
      <c r="Y3775" s="45"/>
      <c r="Z3775" s="45"/>
      <c r="AA3775" s="31" t="s">
        <v>127</v>
      </c>
      <c r="AB3775" s="45" t="s">
        <v>14696</v>
      </c>
      <c r="AC3775" s="45"/>
    </row>
    <row r="3776" ht="18.75" customHeight="1">
      <c r="A3776" s="142" t="s">
        <v>14697</v>
      </c>
      <c r="B3776" s="19" t="s">
        <v>14698</v>
      </c>
      <c r="C3776" s="20">
        <v>0.0</v>
      </c>
      <c r="D3776" s="48" t="s">
        <v>14699</v>
      </c>
      <c r="E3776" s="27" t="s">
        <v>4430</v>
      </c>
      <c r="F3776" s="18" t="s">
        <v>48</v>
      </c>
      <c r="G3776" s="18" t="s">
        <v>35</v>
      </c>
      <c r="H3776" s="40" t="s">
        <v>35</v>
      </c>
      <c r="I3776" s="37" t="s">
        <v>36</v>
      </c>
      <c r="J3776" s="34" t="s">
        <v>49</v>
      </c>
      <c r="K3776" s="35" t="s">
        <v>14700</v>
      </c>
      <c r="L3776" s="25">
        <v>12923.0</v>
      </c>
      <c r="M3776" s="49" t="s">
        <v>50</v>
      </c>
      <c r="N3776" s="42" t="s">
        <v>5936</v>
      </c>
      <c r="O3776" s="67">
        <v>45772.325694444444</v>
      </c>
      <c r="P3776" s="26" t="s">
        <v>14701</v>
      </c>
      <c r="Q3776" s="13" t="b">
        <v>0</v>
      </c>
      <c r="R3776" s="13" t="s">
        <v>75</v>
      </c>
      <c r="S3776" s="13" t="s">
        <v>73</v>
      </c>
      <c r="T3776" s="44">
        <v>45770.69907149306</v>
      </c>
      <c r="U3776" s="44">
        <v>45770.69907366898</v>
      </c>
      <c r="V3776" s="198">
        <v>45770.70076854167</v>
      </c>
      <c r="W3776" s="11"/>
      <c r="X3776" s="11"/>
      <c r="Y3776" s="45"/>
      <c r="Z3776" s="45"/>
      <c r="AA3776" s="31" t="s">
        <v>3385</v>
      </c>
      <c r="AB3776" s="45" t="s">
        <v>14702</v>
      </c>
      <c r="AC3776" s="45"/>
    </row>
    <row r="3777" ht="18.75" customHeight="1">
      <c r="A3777" s="142" t="s">
        <v>14703</v>
      </c>
      <c r="B3777" s="19" t="s">
        <v>14704</v>
      </c>
      <c r="C3777" s="20">
        <v>90.0</v>
      </c>
      <c r="D3777" s="48" t="s">
        <v>14705</v>
      </c>
      <c r="E3777" s="27" t="s">
        <v>91</v>
      </c>
      <c r="F3777" s="18" t="s">
        <v>48</v>
      </c>
      <c r="G3777" s="18" t="s">
        <v>35</v>
      </c>
      <c r="H3777" s="40" t="s">
        <v>35</v>
      </c>
      <c r="I3777" s="37" t="s">
        <v>36</v>
      </c>
      <c r="J3777" s="25" t="s">
        <v>49</v>
      </c>
      <c r="K3777" s="26" t="s">
        <v>805</v>
      </c>
      <c r="L3777" s="25">
        <v>12962.0</v>
      </c>
      <c r="M3777" s="49" t="s">
        <v>50</v>
      </c>
      <c r="N3777" s="42" t="s">
        <v>5936</v>
      </c>
      <c r="O3777" s="67">
        <v>45777.70809547453</v>
      </c>
      <c r="P3777" s="26" t="s">
        <v>14706</v>
      </c>
      <c r="Q3777" s="13" t="s">
        <v>75</v>
      </c>
      <c r="R3777" s="13" t="s">
        <v>75</v>
      </c>
      <c r="S3777" s="13" t="s">
        <v>50</v>
      </c>
      <c r="T3777" s="44">
        <v>45761.44211420139</v>
      </c>
      <c r="U3777" s="44">
        <v>45776.683800914354</v>
      </c>
      <c r="V3777" s="198">
        <v>45777.33406946759</v>
      </c>
      <c r="W3777" s="11"/>
      <c r="X3777" s="11"/>
      <c r="Y3777" s="45"/>
      <c r="Z3777" s="45"/>
      <c r="AA3777" s="31" t="s">
        <v>3385</v>
      </c>
      <c r="AB3777" s="45" t="s">
        <v>14707</v>
      </c>
      <c r="AC3777" s="45"/>
    </row>
    <row r="3778" ht="18.75" customHeight="1">
      <c r="A3778" s="142" t="s">
        <v>14708</v>
      </c>
      <c r="B3778" s="19" t="s">
        <v>12133</v>
      </c>
      <c r="C3778" s="20">
        <v>90.0</v>
      </c>
      <c r="D3778" s="48" t="s">
        <v>14709</v>
      </c>
      <c r="E3778" s="27" t="s">
        <v>91</v>
      </c>
      <c r="F3778" s="18" t="s">
        <v>48</v>
      </c>
      <c r="G3778" s="18" t="s">
        <v>35</v>
      </c>
      <c r="H3778" s="40" t="s">
        <v>35</v>
      </c>
      <c r="I3778" s="37" t="s">
        <v>36</v>
      </c>
      <c r="J3778" s="25" t="s">
        <v>65</v>
      </c>
      <c r="K3778" s="26" t="s">
        <v>38</v>
      </c>
      <c r="L3778" s="25">
        <v>12885.0</v>
      </c>
      <c r="M3778" s="49" t="s">
        <v>50</v>
      </c>
      <c r="N3778" s="42" t="s">
        <v>11189</v>
      </c>
      <c r="O3778" s="67">
        <v>45762.66827450231</v>
      </c>
      <c r="P3778" s="35" t="s">
        <v>14372</v>
      </c>
      <c r="Q3778" s="13" t="s">
        <v>75</v>
      </c>
      <c r="R3778" s="13" t="s">
        <v>75</v>
      </c>
      <c r="S3778" s="13" t="s">
        <v>50</v>
      </c>
      <c r="T3778" s="44">
        <v>45761.44716240741</v>
      </c>
      <c r="U3778" s="44">
        <v>45761.468514016204</v>
      </c>
      <c r="V3778" s="198">
        <v>45762.33992637732</v>
      </c>
      <c r="W3778" s="11"/>
      <c r="X3778" s="11"/>
      <c r="Y3778" s="45"/>
      <c r="Z3778" s="45"/>
      <c r="AA3778" s="31" t="s">
        <v>94</v>
      </c>
      <c r="AB3778" s="45" t="s">
        <v>14710</v>
      </c>
      <c r="AC3778" s="45"/>
    </row>
    <row r="3779" ht="18.75" customHeight="1">
      <c r="A3779" s="18" t="s">
        <v>14711</v>
      </c>
      <c r="B3779" s="19" t="s">
        <v>1299</v>
      </c>
      <c r="C3779" s="20">
        <v>11.0</v>
      </c>
      <c r="D3779" s="48" t="s">
        <v>14712</v>
      </c>
      <c r="E3779" s="27" t="s">
        <v>112</v>
      </c>
      <c r="F3779" s="18" t="s">
        <v>48</v>
      </c>
      <c r="G3779" s="18" t="s">
        <v>35</v>
      </c>
      <c r="H3779" s="40" t="s">
        <v>35</v>
      </c>
      <c r="I3779" s="37" t="s">
        <v>36</v>
      </c>
      <c r="J3779" s="25" t="s">
        <v>92</v>
      </c>
      <c r="K3779" s="26" t="s">
        <v>38</v>
      </c>
      <c r="L3779" s="25">
        <v>12886.0</v>
      </c>
      <c r="M3779" s="49" t="s">
        <v>73</v>
      </c>
      <c r="N3779" s="42" t="s">
        <v>4767</v>
      </c>
      <c r="O3779" s="67">
        <v>45763.55733236111</v>
      </c>
      <c r="P3779" s="26" t="s">
        <v>14713</v>
      </c>
      <c r="Q3779" s="13" t="s">
        <v>75</v>
      </c>
      <c r="R3779" s="13" t="s">
        <v>75</v>
      </c>
      <c r="S3779" s="13" t="s">
        <v>73</v>
      </c>
      <c r="T3779" s="44">
        <v>45761.45139244213</v>
      </c>
      <c r="U3779" s="44">
        <v>45761.48894142361</v>
      </c>
      <c r="V3779" s="198">
        <v>45762.54564511574</v>
      </c>
      <c r="W3779" s="11"/>
      <c r="X3779" s="11"/>
      <c r="Y3779" s="45"/>
      <c r="Z3779" s="45"/>
      <c r="AA3779" s="31" t="s">
        <v>120</v>
      </c>
      <c r="AB3779" s="45" t="s">
        <v>14714</v>
      </c>
      <c r="AC3779" s="45"/>
    </row>
    <row r="3780" ht="18.75" customHeight="1">
      <c r="A3780" s="18" t="s">
        <v>14715</v>
      </c>
      <c r="B3780" s="19" t="s">
        <v>1299</v>
      </c>
      <c r="C3780" s="20">
        <v>11.0</v>
      </c>
      <c r="D3780" s="48" t="s">
        <v>14716</v>
      </c>
      <c r="E3780" s="27" t="s">
        <v>112</v>
      </c>
      <c r="F3780" s="18" t="s">
        <v>48</v>
      </c>
      <c r="G3780" s="18" t="s">
        <v>35</v>
      </c>
      <c r="H3780" s="40" t="s">
        <v>35</v>
      </c>
      <c r="I3780" s="37" t="s">
        <v>36</v>
      </c>
      <c r="J3780" s="25" t="s">
        <v>92</v>
      </c>
      <c r="K3780" s="26" t="s">
        <v>38</v>
      </c>
      <c r="L3780" s="25">
        <v>12886.0</v>
      </c>
      <c r="M3780" s="49" t="s">
        <v>73</v>
      </c>
      <c r="N3780" s="42" t="s">
        <v>4767</v>
      </c>
      <c r="O3780" s="67">
        <v>45763.55738583334</v>
      </c>
      <c r="P3780" s="26" t="s">
        <v>14713</v>
      </c>
      <c r="Q3780" s="13" t="s">
        <v>75</v>
      </c>
      <c r="R3780" s="13" t="s">
        <v>75</v>
      </c>
      <c r="S3780" s="13" t="s">
        <v>73</v>
      </c>
      <c r="T3780" s="44">
        <v>45761.45300284722</v>
      </c>
      <c r="U3780" s="44">
        <v>45761.48897027777</v>
      </c>
      <c r="V3780" s="198">
        <v>45762.54565299768</v>
      </c>
      <c r="W3780" s="11"/>
      <c r="X3780" s="11"/>
      <c r="Y3780" s="45"/>
      <c r="Z3780" s="45"/>
      <c r="AA3780" s="31" t="s">
        <v>120</v>
      </c>
      <c r="AB3780" s="45" t="s">
        <v>14717</v>
      </c>
      <c r="AC3780" s="45"/>
    </row>
    <row r="3781" ht="18.75" customHeight="1">
      <c r="A3781" s="18" t="s">
        <v>14718</v>
      </c>
      <c r="B3781" s="19" t="s">
        <v>1299</v>
      </c>
      <c r="C3781" s="20">
        <v>11.0</v>
      </c>
      <c r="D3781" s="48" t="s">
        <v>14719</v>
      </c>
      <c r="E3781" s="27" t="s">
        <v>112</v>
      </c>
      <c r="F3781" s="18" t="s">
        <v>48</v>
      </c>
      <c r="G3781" s="18" t="s">
        <v>35</v>
      </c>
      <c r="H3781" s="40" t="s">
        <v>35</v>
      </c>
      <c r="I3781" s="37" t="s">
        <v>36</v>
      </c>
      <c r="J3781" s="25" t="s">
        <v>92</v>
      </c>
      <c r="K3781" s="26" t="s">
        <v>38</v>
      </c>
      <c r="L3781" s="25">
        <v>12886.0</v>
      </c>
      <c r="M3781" s="49" t="s">
        <v>73</v>
      </c>
      <c r="N3781" s="42" t="s">
        <v>4767</v>
      </c>
      <c r="O3781" s="67">
        <v>45763.55738583334</v>
      </c>
      <c r="P3781" s="26" t="s">
        <v>14713</v>
      </c>
      <c r="Q3781" s="13" t="s">
        <v>75</v>
      </c>
      <c r="R3781" s="13" t="s">
        <v>75</v>
      </c>
      <c r="S3781" s="13" t="s">
        <v>73</v>
      </c>
      <c r="T3781" s="44">
        <v>45761.453052847224</v>
      </c>
      <c r="U3781" s="44">
        <v>45761.488974583335</v>
      </c>
      <c r="V3781" s="198">
        <v>45762.54565299768</v>
      </c>
      <c r="W3781" s="11"/>
      <c r="X3781" s="11"/>
      <c r="Y3781" s="45"/>
      <c r="Z3781" s="45"/>
      <c r="AA3781" s="31" t="s">
        <v>120</v>
      </c>
      <c r="AB3781" s="45" t="s">
        <v>14720</v>
      </c>
      <c r="AC3781" s="45"/>
    </row>
    <row r="3782" ht="18.75" customHeight="1">
      <c r="A3782" s="142" t="s">
        <v>14721</v>
      </c>
      <c r="B3782" s="19" t="s">
        <v>5704</v>
      </c>
      <c r="C3782" s="20">
        <v>0.0</v>
      </c>
      <c r="D3782" s="48" t="s">
        <v>14722</v>
      </c>
      <c r="E3782" s="27" t="s">
        <v>4792</v>
      </c>
      <c r="F3782" s="18" t="s">
        <v>244</v>
      </c>
      <c r="G3782" s="18" t="s">
        <v>35</v>
      </c>
      <c r="H3782" s="40" t="s">
        <v>35</v>
      </c>
      <c r="I3782" s="37" t="s">
        <v>36</v>
      </c>
      <c r="J3782" s="25" t="s">
        <v>65</v>
      </c>
      <c r="K3782" s="26" t="s">
        <v>38</v>
      </c>
      <c r="L3782" s="25">
        <v>12927.0</v>
      </c>
      <c r="M3782" s="49" t="s">
        <v>50</v>
      </c>
      <c r="N3782" s="42" t="s">
        <v>149</v>
      </c>
      <c r="O3782" s="67">
        <v>45771.60455638889</v>
      </c>
      <c r="P3782" s="35" t="s">
        <v>14723</v>
      </c>
      <c r="Q3782" s="13" t="s">
        <v>75</v>
      </c>
      <c r="R3782" s="13" t="s">
        <v>75</v>
      </c>
      <c r="S3782" s="13"/>
      <c r="T3782" s="44">
        <v>45761.47308604167</v>
      </c>
      <c r="U3782" s="44">
        <v>45764.66488862269</v>
      </c>
      <c r="V3782" s="203"/>
      <c r="W3782" s="11"/>
      <c r="X3782" s="11"/>
      <c r="Y3782" s="45"/>
      <c r="Z3782" s="45"/>
      <c r="AA3782" s="31" t="s">
        <v>94</v>
      </c>
      <c r="AB3782" s="45" t="s">
        <v>14724</v>
      </c>
      <c r="AC3782" s="45"/>
    </row>
    <row r="3783" ht="18.75" customHeight="1">
      <c r="A3783" s="142" t="s">
        <v>14725</v>
      </c>
      <c r="B3783" s="19" t="s">
        <v>14726</v>
      </c>
      <c r="C3783" s="20">
        <v>27.0</v>
      </c>
      <c r="D3783" s="39" t="s">
        <v>14727</v>
      </c>
      <c r="E3783" s="27" t="s">
        <v>72</v>
      </c>
      <c r="F3783" s="18" t="s">
        <v>48</v>
      </c>
      <c r="G3783" s="18" t="s">
        <v>35</v>
      </c>
      <c r="H3783" s="40" t="s">
        <v>35</v>
      </c>
      <c r="I3783" s="37" t="s">
        <v>36</v>
      </c>
      <c r="J3783" s="25" t="s">
        <v>49</v>
      </c>
      <c r="K3783" s="26" t="s">
        <v>38</v>
      </c>
      <c r="L3783" s="25">
        <v>12896.0</v>
      </c>
      <c r="M3783" s="49" t="s">
        <v>50</v>
      </c>
      <c r="N3783" s="42" t="s">
        <v>5936</v>
      </c>
      <c r="O3783" s="67">
        <v>45763.597292569444</v>
      </c>
      <c r="P3783" s="26" t="s">
        <v>14728</v>
      </c>
      <c r="Q3783" s="13" t="s">
        <v>75</v>
      </c>
      <c r="R3783" s="13" t="s">
        <v>75</v>
      </c>
      <c r="S3783" s="13" t="s">
        <v>50</v>
      </c>
      <c r="T3783" s="44">
        <v>45761.69229605324</v>
      </c>
      <c r="U3783" s="44">
        <v>45762.453738020835</v>
      </c>
      <c r="V3783" s="198">
        <v>45763.35179259259</v>
      </c>
      <c r="W3783" s="11"/>
      <c r="X3783" s="11"/>
      <c r="Y3783" s="45"/>
      <c r="Z3783" s="45"/>
      <c r="AA3783" s="31" t="s">
        <v>102</v>
      </c>
      <c r="AB3783" s="45" t="s">
        <v>14729</v>
      </c>
      <c r="AC3783" s="45"/>
    </row>
    <row r="3784" ht="18.75" customHeight="1">
      <c r="A3784" s="18" t="s">
        <v>14730</v>
      </c>
      <c r="B3784" s="19" t="s">
        <v>14731</v>
      </c>
      <c r="C3784" s="20">
        <v>34.0</v>
      </c>
      <c r="D3784" s="48" t="s">
        <v>14732</v>
      </c>
      <c r="E3784" s="27" t="s">
        <v>47</v>
      </c>
      <c r="F3784" s="18" t="s">
        <v>48</v>
      </c>
      <c r="G3784" s="18" t="s">
        <v>35</v>
      </c>
      <c r="H3784" s="40" t="s">
        <v>35</v>
      </c>
      <c r="I3784" s="37" t="s">
        <v>36</v>
      </c>
      <c r="J3784" s="25" t="s">
        <v>49</v>
      </c>
      <c r="K3784" s="26" t="s">
        <v>805</v>
      </c>
      <c r="L3784" s="25">
        <v>12958.0</v>
      </c>
      <c r="M3784" s="49" t="s">
        <v>50</v>
      </c>
      <c r="N3784" s="42" t="s">
        <v>5936</v>
      </c>
      <c r="O3784" s="67">
        <v>45777.708142986114</v>
      </c>
      <c r="P3784" s="26" t="s">
        <v>14733</v>
      </c>
      <c r="Q3784" s="13" t="s">
        <v>75</v>
      </c>
      <c r="R3784" s="13" t="s">
        <v>75</v>
      </c>
      <c r="S3784" s="13" t="s">
        <v>50</v>
      </c>
      <c r="T3784" s="44">
        <v>45761.71383303241</v>
      </c>
      <c r="U3784" s="44">
        <v>45776.6824847338</v>
      </c>
      <c r="V3784" s="198">
        <v>45777.339522118054</v>
      </c>
      <c r="W3784" s="11"/>
      <c r="X3784" s="11"/>
      <c r="Y3784" s="45"/>
      <c r="Z3784" s="45"/>
      <c r="AA3784" s="31" t="s">
        <v>3385</v>
      </c>
      <c r="AB3784" s="45" t="s">
        <v>14734</v>
      </c>
      <c r="AC3784" s="45"/>
    </row>
    <row r="3785" ht="18.75" customHeight="1">
      <c r="A3785" s="18" t="s">
        <v>14735</v>
      </c>
      <c r="B3785" s="19" t="s">
        <v>14731</v>
      </c>
      <c r="C3785" s="20">
        <v>137.0</v>
      </c>
      <c r="D3785" s="48" t="s">
        <v>14736</v>
      </c>
      <c r="E3785" s="27" t="s">
        <v>85</v>
      </c>
      <c r="F3785" s="18" t="s">
        <v>48</v>
      </c>
      <c r="G3785" s="18" t="s">
        <v>35</v>
      </c>
      <c r="H3785" s="40" t="s">
        <v>35</v>
      </c>
      <c r="I3785" s="37" t="s">
        <v>36</v>
      </c>
      <c r="J3785" s="25" t="s">
        <v>49</v>
      </c>
      <c r="K3785" s="26" t="s">
        <v>805</v>
      </c>
      <c r="L3785" s="25">
        <v>12958.0</v>
      </c>
      <c r="M3785" s="49" t="s">
        <v>50</v>
      </c>
      <c r="N3785" s="42" t="s">
        <v>5936</v>
      </c>
      <c r="O3785" s="67">
        <v>45777.70820256944</v>
      </c>
      <c r="P3785" s="26" t="s">
        <v>14733</v>
      </c>
      <c r="Q3785" s="13" t="s">
        <v>75</v>
      </c>
      <c r="R3785" s="13" t="s">
        <v>75</v>
      </c>
      <c r="S3785" s="13" t="s">
        <v>50</v>
      </c>
      <c r="T3785" s="44">
        <v>45761.71409405093</v>
      </c>
      <c r="U3785" s="44">
        <v>45776.68246148148</v>
      </c>
      <c r="V3785" s="198">
        <v>45777.33383506944</v>
      </c>
      <c r="W3785" s="11"/>
      <c r="X3785" s="11"/>
      <c r="Y3785" s="45"/>
      <c r="Z3785" s="45"/>
      <c r="AA3785" s="31" t="s">
        <v>3385</v>
      </c>
      <c r="AB3785" s="45" t="s">
        <v>14737</v>
      </c>
      <c r="AC3785" s="45"/>
    </row>
    <row r="3786" ht="18.75" customHeight="1">
      <c r="A3786" s="142" t="s">
        <v>14738</v>
      </c>
      <c r="B3786" s="19" t="s">
        <v>14739</v>
      </c>
      <c r="C3786" s="20">
        <v>0.0</v>
      </c>
      <c r="D3786" s="48" t="s">
        <v>14740</v>
      </c>
      <c r="E3786" s="27" t="s">
        <v>3441</v>
      </c>
      <c r="F3786" s="18" t="s">
        <v>48</v>
      </c>
      <c r="G3786" s="18" t="s">
        <v>35</v>
      </c>
      <c r="H3786" s="40" t="s">
        <v>35</v>
      </c>
      <c r="I3786" s="37" t="s">
        <v>36</v>
      </c>
      <c r="J3786" s="25" t="s">
        <v>49</v>
      </c>
      <c r="K3786" s="26" t="s">
        <v>38</v>
      </c>
      <c r="L3786" s="25">
        <v>12899.0</v>
      </c>
      <c r="M3786" s="49" t="s">
        <v>50</v>
      </c>
      <c r="N3786" s="42" t="s">
        <v>5936</v>
      </c>
      <c r="O3786" s="67">
        <v>45763.59722302083</v>
      </c>
      <c r="P3786" s="26" t="s">
        <v>14741</v>
      </c>
      <c r="Q3786" s="13" t="s">
        <v>75</v>
      </c>
      <c r="R3786" s="13" t="s">
        <v>75</v>
      </c>
      <c r="S3786" s="13" t="s">
        <v>50</v>
      </c>
      <c r="T3786" s="44">
        <v>45762.62083484954</v>
      </c>
      <c r="U3786" s="44">
        <v>45763.4640386574</v>
      </c>
      <c r="V3786" s="198">
        <v>45763.56842947917</v>
      </c>
      <c r="W3786" s="11"/>
      <c r="X3786" s="11"/>
      <c r="Y3786" s="45"/>
      <c r="Z3786" s="45"/>
      <c r="AA3786" s="31" t="s">
        <v>102</v>
      </c>
      <c r="AB3786" s="45" t="s">
        <v>14742</v>
      </c>
      <c r="AC3786" s="45"/>
    </row>
    <row r="3787" ht="18.75" customHeight="1">
      <c r="A3787" s="142" t="s">
        <v>14743</v>
      </c>
      <c r="B3787" s="19" t="s">
        <v>8921</v>
      </c>
      <c r="C3787" s="20">
        <v>0.0</v>
      </c>
      <c r="D3787" s="48" t="s">
        <v>1599</v>
      </c>
      <c r="E3787" s="27" t="s">
        <v>13303</v>
      </c>
      <c r="F3787" s="18" t="s">
        <v>48</v>
      </c>
      <c r="G3787" s="18" t="s">
        <v>35</v>
      </c>
      <c r="H3787" s="40" t="s">
        <v>35</v>
      </c>
      <c r="I3787" s="37" t="s">
        <v>36</v>
      </c>
      <c r="J3787" s="25" t="s">
        <v>49</v>
      </c>
      <c r="K3787" s="26" t="s">
        <v>38</v>
      </c>
      <c r="L3787" s="25">
        <v>12928.0</v>
      </c>
      <c r="M3787" s="49" t="s">
        <v>50</v>
      </c>
      <c r="N3787" s="42" t="s">
        <v>5936</v>
      </c>
      <c r="O3787" s="67">
        <v>45771.5961875</v>
      </c>
      <c r="P3787" s="35" t="s">
        <v>14744</v>
      </c>
      <c r="Q3787" s="13" t="s">
        <v>75</v>
      </c>
      <c r="R3787" s="13" t="s">
        <v>75</v>
      </c>
      <c r="S3787" s="13"/>
      <c r="T3787" s="44">
        <v>45762.62978708334</v>
      </c>
      <c r="U3787" s="44">
        <v>45764.68404107638</v>
      </c>
      <c r="V3787" s="203"/>
      <c r="W3787" s="11"/>
      <c r="X3787" s="11"/>
      <c r="Y3787" s="45"/>
      <c r="Z3787" s="45"/>
      <c r="AA3787" s="31" t="s">
        <v>3053</v>
      </c>
      <c r="AB3787" s="45" t="s">
        <v>14745</v>
      </c>
      <c r="AC3787" s="45"/>
    </row>
    <row r="3788" ht="18.75" customHeight="1">
      <c r="A3788" s="142" t="s">
        <v>14746</v>
      </c>
      <c r="B3788" s="19" t="s">
        <v>4711</v>
      </c>
      <c r="C3788" s="20">
        <v>1.0</v>
      </c>
      <c r="D3788" s="48" t="s">
        <v>14747</v>
      </c>
      <c r="E3788" s="27" t="s">
        <v>11712</v>
      </c>
      <c r="F3788" s="18" t="s">
        <v>48</v>
      </c>
      <c r="G3788" s="18" t="s">
        <v>35</v>
      </c>
      <c r="H3788" s="40" t="s">
        <v>35</v>
      </c>
      <c r="I3788" s="37" t="s">
        <v>36</v>
      </c>
      <c r="J3788" s="25" t="s">
        <v>65</v>
      </c>
      <c r="K3788" s="26" t="s">
        <v>38</v>
      </c>
      <c r="L3788" s="25">
        <v>12925.0</v>
      </c>
      <c r="M3788" s="49" t="s">
        <v>50</v>
      </c>
      <c r="N3788" s="42" t="s">
        <v>149</v>
      </c>
      <c r="O3788" s="67">
        <v>45771.604620451384</v>
      </c>
      <c r="P3788" s="35" t="s">
        <v>14748</v>
      </c>
      <c r="Q3788" s="13" t="s">
        <v>75</v>
      </c>
      <c r="R3788" s="13" t="s">
        <v>75</v>
      </c>
      <c r="S3788" s="13"/>
      <c r="T3788" s="44">
        <v>45762.704847534726</v>
      </c>
      <c r="U3788" s="44">
        <v>45770.41450920139</v>
      </c>
      <c r="V3788" s="203"/>
      <c r="W3788" s="11"/>
      <c r="X3788" s="11"/>
      <c r="Y3788" s="45"/>
      <c r="Z3788" s="45"/>
      <c r="AA3788" s="31" t="s">
        <v>94</v>
      </c>
      <c r="AB3788" s="45" t="s">
        <v>14749</v>
      </c>
      <c r="AC3788" s="45"/>
    </row>
    <row r="3789" ht="18.75" customHeight="1">
      <c r="A3789" s="142" t="s">
        <v>14750</v>
      </c>
      <c r="B3789" s="19" t="s">
        <v>5047</v>
      </c>
      <c r="C3789" s="20">
        <v>0.0</v>
      </c>
      <c r="D3789" s="48" t="s">
        <v>1605</v>
      </c>
      <c r="E3789" s="27" t="s">
        <v>713</v>
      </c>
      <c r="F3789" s="18" t="s">
        <v>33</v>
      </c>
      <c r="G3789" s="18" t="s">
        <v>34</v>
      </c>
      <c r="H3789" s="40" t="s">
        <v>35</v>
      </c>
      <c r="I3789" s="37" t="s">
        <v>36</v>
      </c>
      <c r="J3789" s="25" t="s">
        <v>14751</v>
      </c>
      <c r="K3789" s="26" t="s">
        <v>38</v>
      </c>
      <c r="L3789" s="25">
        <v>12949.0</v>
      </c>
      <c r="M3789" s="49" t="s">
        <v>50</v>
      </c>
      <c r="N3789" s="42" t="s">
        <v>4527</v>
      </c>
      <c r="O3789" s="67">
        <v>45776.71658216435</v>
      </c>
      <c r="P3789" s="35" t="s">
        <v>14752</v>
      </c>
      <c r="Q3789" s="13" t="s">
        <v>75</v>
      </c>
      <c r="R3789" s="13" t="s">
        <v>75</v>
      </c>
      <c r="S3789" s="13"/>
      <c r="T3789" s="44">
        <v>45762.73683380787</v>
      </c>
      <c r="U3789" s="44">
        <v>45770.71631916666</v>
      </c>
      <c r="V3789" s="203"/>
      <c r="W3789" s="11"/>
      <c r="X3789" s="11"/>
      <c r="Y3789" s="45"/>
      <c r="Z3789" s="45"/>
      <c r="AA3789" s="31" t="s">
        <v>120</v>
      </c>
      <c r="AB3789" s="45" t="s">
        <v>14753</v>
      </c>
      <c r="AC3789" s="45"/>
    </row>
    <row r="3790" ht="18.75" customHeight="1">
      <c r="A3790" s="142" t="s">
        <v>14754</v>
      </c>
      <c r="B3790" s="19" t="s">
        <v>8197</v>
      </c>
      <c r="C3790" s="20">
        <v>90.0</v>
      </c>
      <c r="D3790" s="48" t="s">
        <v>14755</v>
      </c>
      <c r="E3790" s="27" t="s">
        <v>91</v>
      </c>
      <c r="F3790" s="18" t="s">
        <v>48</v>
      </c>
      <c r="G3790" s="18" t="s">
        <v>35</v>
      </c>
      <c r="H3790" s="40" t="s">
        <v>35</v>
      </c>
      <c r="I3790" s="37" t="s">
        <v>36</v>
      </c>
      <c r="J3790" s="25" t="s">
        <v>49</v>
      </c>
      <c r="K3790" s="26" t="s">
        <v>11095</v>
      </c>
      <c r="L3790" s="25">
        <v>12934.0</v>
      </c>
      <c r="M3790" s="49" t="s">
        <v>50</v>
      </c>
      <c r="N3790" s="42" t="s">
        <v>5936</v>
      </c>
      <c r="O3790" s="67">
        <v>45772.325694444444</v>
      </c>
      <c r="P3790" s="26" t="s">
        <v>14756</v>
      </c>
      <c r="Q3790" s="13" t="s">
        <v>75</v>
      </c>
      <c r="R3790" s="13" t="s">
        <v>75</v>
      </c>
      <c r="S3790" s="13" t="s">
        <v>50</v>
      </c>
      <c r="T3790" s="44">
        <v>45764.56247237269</v>
      </c>
      <c r="U3790" s="44">
        <v>45772.43754770834</v>
      </c>
      <c r="V3790" s="198">
        <v>45772.56460239583</v>
      </c>
      <c r="W3790" s="11"/>
      <c r="X3790" s="11"/>
      <c r="Y3790" s="45"/>
      <c r="Z3790" s="45"/>
      <c r="AA3790" s="31" t="s">
        <v>5290</v>
      </c>
      <c r="AB3790" s="45" t="s">
        <v>14757</v>
      </c>
      <c r="AC3790" s="45"/>
    </row>
    <row r="3791" ht="18.75" customHeight="1">
      <c r="A3791" s="142" t="s">
        <v>14758</v>
      </c>
      <c r="B3791" s="19" t="s">
        <v>1811</v>
      </c>
      <c r="C3791" s="20">
        <v>11.0</v>
      </c>
      <c r="D3791" s="48" t="s">
        <v>14759</v>
      </c>
      <c r="E3791" s="27" t="s">
        <v>112</v>
      </c>
      <c r="F3791" s="18" t="s">
        <v>48</v>
      </c>
      <c r="G3791" s="18" t="s">
        <v>35</v>
      </c>
      <c r="H3791" s="40" t="s">
        <v>35</v>
      </c>
      <c r="I3791" s="37" t="s">
        <v>36</v>
      </c>
      <c r="J3791" s="25" t="s">
        <v>49</v>
      </c>
      <c r="K3791" s="26" t="s">
        <v>1506</v>
      </c>
      <c r="L3791" s="25">
        <v>12905.0</v>
      </c>
      <c r="M3791" s="49" t="s">
        <v>50</v>
      </c>
      <c r="N3791" s="42" t="s">
        <v>143</v>
      </c>
      <c r="O3791" s="67">
        <v>45769.558560729165</v>
      </c>
      <c r="P3791" s="35" t="s">
        <v>14760</v>
      </c>
      <c r="Q3791" s="13" t="s">
        <v>75</v>
      </c>
      <c r="R3791" s="13" t="s">
        <v>75</v>
      </c>
      <c r="S3791" s="13" t="s">
        <v>50</v>
      </c>
      <c r="T3791" s="44">
        <v>45764.426619039354</v>
      </c>
      <c r="U3791" s="44">
        <v>45764.42703032408</v>
      </c>
      <c r="V3791" s="198">
        <v>45769.33470136574</v>
      </c>
      <c r="W3791" s="11"/>
      <c r="X3791" s="11"/>
      <c r="Y3791" s="45"/>
      <c r="Z3791" s="45"/>
      <c r="AA3791" s="31" t="s">
        <v>3053</v>
      </c>
      <c r="AB3791" s="45" t="s">
        <v>14761</v>
      </c>
      <c r="AC3791" s="45"/>
    </row>
    <row r="3792" ht="18.75" customHeight="1">
      <c r="A3792" s="142" t="s">
        <v>14762</v>
      </c>
      <c r="B3792" s="19" t="s">
        <v>8921</v>
      </c>
      <c r="C3792" s="20">
        <v>90.0</v>
      </c>
      <c r="D3792" s="48" t="s">
        <v>14763</v>
      </c>
      <c r="E3792" s="27" t="s">
        <v>91</v>
      </c>
      <c r="F3792" s="18" t="s">
        <v>48</v>
      </c>
      <c r="G3792" s="18" t="s">
        <v>35</v>
      </c>
      <c r="H3792" s="40" t="s">
        <v>35</v>
      </c>
      <c r="I3792" s="37" t="s">
        <v>36</v>
      </c>
      <c r="J3792" s="25" t="s">
        <v>49</v>
      </c>
      <c r="K3792" s="26" t="s">
        <v>38</v>
      </c>
      <c r="L3792" s="25">
        <v>12906.0</v>
      </c>
      <c r="M3792" s="49" t="s">
        <v>50</v>
      </c>
      <c r="N3792" s="42" t="s">
        <v>143</v>
      </c>
      <c r="O3792" s="67">
        <v>45769.55848305556</v>
      </c>
      <c r="P3792" s="35" t="s">
        <v>14764</v>
      </c>
      <c r="Q3792" s="13" t="s">
        <v>75</v>
      </c>
      <c r="R3792" s="13" t="s">
        <v>75</v>
      </c>
      <c r="S3792" s="13" t="s">
        <v>50</v>
      </c>
      <c r="T3792" s="44">
        <v>45764.42841982639</v>
      </c>
      <c r="U3792" s="44">
        <v>45764.583207083335</v>
      </c>
      <c r="V3792" s="198">
        <v>45769.33573902778</v>
      </c>
      <c r="W3792" s="11"/>
      <c r="X3792" s="11"/>
      <c r="Y3792" s="45"/>
      <c r="Z3792" s="45"/>
      <c r="AA3792" s="31" t="s">
        <v>3053</v>
      </c>
      <c r="AB3792" s="45" t="s">
        <v>14765</v>
      </c>
      <c r="AC3792" s="45"/>
    </row>
    <row r="3793" ht="18.75" customHeight="1">
      <c r="A3793" s="142" t="s">
        <v>14766</v>
      </c>
      <c r="B3793" s="19" t="s">
        <v>7703</v>
      </c>
      <c r="C3793" s="20">
        <v>90.0</v>
      </c>
      <c r="D3793" s="48" t="s">
        <v>14767</v>
      </c>
      <c r="E3793" s="27" t="s">
        <v>91</v>
      </c>
      <c r="F3793" s="18" t="s">
        <v>48</v>
      </c>
      <c r="G3793" s="18" t="s">
        <v>35</v>
      </c>
      <c r="H3793" s="40" t="s">
        <v>35</v>
      </c>
      <c r="I3793" s="37" t="s">
        <v>36</v>
      </c>
      <c r="J3793" s="25" t="s">
        <v>65</v>
      </c>
      <c r="K3793" s="26" t="s">
        <v>38</v>
      </c>
      <c r="L3793" s="25">
        <v>12907.0</v>
      </c>
      <c r="M3793" s="49" t="s">
        <v>73</v>
      </c>
      <c r="N3793" s="42" t="s">
        <v>80</v>
      </c>
      <c r="O3793" s="67">
        <v>45770.618023194445</v>
      </c>
      <c r="P3793" s="35" t="s">
        <v>14768</v>
      </c>
      <c r="Q3793" s="13" t="s">
        <v>75</v>
      </c>
      <c r="R3793" s="13" t="s">
        <v>75</v>
      </c>
      <c r="S3793" s="13" t="s">
        <v>50</v>
      </c>
      <c r="T3793" s="44">
        <v>45764.429217060184</v>
      </c>
      <c r="U3793" s="44">
        <v>45764.42922929398</v>
      </c>
      <c r="V3793" s="198">
        <v>45769.33571752315</v>
      </c>
      <c r="W3793" s="11"/>
      <c r="X3793" s="11"/>
      <c r="Y3793" s="45"/>
      <c r="Z3793" s="45"/>
      <c r="AA3793" s="31" t="s">
        <v>3059</v>
      </c>
      <c r="AB3793" s="45" t="s">
        <v>14769</v>
      </c>
      <c r="AC3793" s="45"/>
    </row>
    <row r="3794" ht="18.75" customHeight="1">
      <c r="A3794" s="142" t="s">
        <v>14770</v>
      </c>
      <c r="B3794" s="19" t="s">
        <v>14771</v>
      </c>
      <c r="C3794" s="20">
        <v>90.0</v>
      </c>
      <c r="D3794" s="48" t="s">
        <v>14772</v>
      </c>
      <c r="E3794" s="27" t="s">
        <v>91</v>
      </c>
      <c r="F3794" s="18" t="s">
        <v>48</v>
      </c>
      <c r="G3794" s="18" t="s">
        <v>35</v>
      </c>
      <c r="H3794" s="40" t="s">
        <v>35</v>
      </c>
      <c r="I3794" s="37" t="s">
        <v>36</v>
      </c>
      <c r="J3794" s="25" t="s">
        <v>49</v>
      </c>
      <c r="K3794" s="26" t="s">
        <v>447</v>
      </c>
      <c r="L3794" s="25">
        <v>12908.0</v>
      </c>
      <c r="M3794" s="49" t="s">
        <v>50</v>
      </c>
      <c r="N3794" s="42" t="s">
        <v>143</v>
      </c>
      <c r="O3794" s="67">
        <v>45769.55839428241</v>
      </c>
      <c r="P3794" s="35" t="s">
        <v>14773</v>
      </c>
      <c r="Q3794" s="13" t="s">
        <v>75</v>
      </c>
      <c r="R3794" s="13" t="s">
        <v>75</v>
      </c>
      <c r="S3794" s="13" t="s">
        <v>50</v>
      </c>
      <c r="T3794" s="44">
        <v>45764.43593918982</v>
      </c>
      <c r="U3794" s="44">
        <v>45764.70640111111</v>
      </c>
      <c r="V3794" s="198">
        <v>45769.335765208336</v>
      </c>
      <c r="W3794" s="11"/>
      <c r="X3794" s="11"/>
      <c r="Y3794" s="45"/>
      <c r="Z3794" s="45"/>
      <c r="AA3794" s="31" t="s">
        <v>108</v>
      </c>
      <c r="AB3794" s="45" t="s">
        <v>14774</v>
      </c>
      <c r="AC3794" s="45"/>
    </row>
    <row r="3795" ht="18.75" customHeight="1">
      <c r="A3795" s="142" t="s">
        <v>14775</v>
      </c>
      <c r="B3795" s="19" t="s">
        <v>5469</v>
      </c>
      <c r="C3795" s="20">
        <v>27.0</v>
      </c>
      <c r="D3795" s="39" t="s">
        <v>14776</v>
      </c>
      <c r="E3795" s="27" t="s">
        <v>72</v>
      </c>
      <c r="F3795" s="18" t="s">
        <v>48</v>
      </c>
      <c r="G3795" s="18" t="s">
        <v>35</v>
      </c>
      <c r="H3795" s="40" t="s">
        <v>35</v>
      </c>
      <c r="I3795" s="37" t="s">
        <v>36</v>
      </c>
      <c r="J3795" s="25" t="s">
        <v>49</v>
      </c>
      <c r="K3795" s="26" t="s">
        <v>38</v>
      </c>
      <c r="L3795" s="25">
        <v>12903.0</v>
      </c>
      <c r="M3795" s="49" t="s">
        <v>50</v>
      </c>
      <c r="N3795" s="42" t="s">
        <v>143</v>
      </c>
      <c r="O3795" s="67">
        <v>45764.70434297454</v>
      </c>
      <c r="P3795" s="35" t="s">
        <v>14777</v>
      </c>
      <c r="Q3795" s="13" t="s">
        <v>75</v>
      </c>
      <c r="R3795" s="13" t="s">
        <v>75</v>
      </c>
      <c r="S3795" s="13" t="s">
        <v>73</v>
      </c>
      <c r="T3795" s="44">
        <v>45764.44661658564</v>
      </c>
      <c r="U3795" s="44">
        <v>45764.662564479164</v>
      </c>
      <c r="V3795" s="198">
        <v>45764.671162812505</v>
      </c>
      <c r="W3795" s="11"/>
      <c r="X3795" s="11"/>
      <c r="Y3795" s="45"/>
      <c r="Z3795" s="45"/>
      <c r="AA3795" s="31" t="s">
        <v>102</v>
      </c>
      <c r="AB3795" s="45" t="s">
        <v>14778</v>
      </c>
      <c r="AC3795" s="45"/>
    </row>
    <row r="3796" ht="18.75" customHeight="1">
      <c r="A3796" s="18" t="s">
        <v>14779</v>
      </c>
      <c r="B3796" s="19" t="s">
        <v>5277</v>
      </c>
      <c r="C3796" s="20">
        <v>34.0</v>
      </c>
      <c r="D3796" s="48" t="s">
        <v>14780</v>
      </c>
      <c r="E3796" s="27" t="s">
        <v>47</v>
      </c>
      <c r="F3796" s="18" t="s">
        <v>48</v>
      </c>
      <c r="G3796" s="18" t="s">
        <v>35</v>
      </c>
      <c r="H3796" s="40" t="s">
        <v>35</v>
      </c>
      <c r="I3796" s="37" t="s">
        <v>36</v>
      </c>
      <c r="J3796" s="25" t="s">
        <v>65</v>
      </c>
      <c r="K3796" s="26" t="s">
        <v>38</v>
      </c>
      <c r="L3796" s="25">
        <v>12935.0</v>
      </c>
      <c r="M3796" s="49" t="s">
        <v>50</v>
      </c>
      <c r="N3796" s="42" t="s">
        <v>14184</v>
      </c>
      <c r="O3796" s="67">
        <v>45775.71331071759</v>
      </c>
      <c r="P3796" s="35" t="s">
        <v>14335</v>
      </c>
      <c r="Q3796" s="13" t="s">
        <v>75</v>
      </c>
      <c r="R3796" s="13" t="s">
        <v>75</v>
      </c>
      <c r="S3796" s="13" t="s">
        <v>50</v>
      </c>
      <c r="T3796" s="44">
        <v>45771.68590496528</v>
      </c>
      <c r="U3796" s="44">
        <v>45772.55641034722</v>
      </c>
      <c r="V3796" s="198">
        <v>45775.33495236111</v>
      </c>
      <c r="W3796" s="11"/>
      <c r="X3796" s="11"/>
      <c r="Y3796" s="45"/>
      <c r="Z3796" s="45"/>
      <c r="AA3796" s="31" t="s">
        <v>94</v>
      </c>
      <c r="AB3796" s="45" t="s">
        <v>14781</v>
      </c>
      <c r="AC3796" s="45"/>
    </row>
    <row r="3797" ht="18.75" customHeight="1">
      <c r="A3797" s="18" t="s">
        <v>14782</v>
      </c>
      <c r="B3797" s="19" t="s">
        <v>5277</v>
      </c>
      <c r="C3797" s="20">
        <v>27.0</v>
      </c>
      <c r="D3797" s="39" t="s">
        <v>14783</v>
      </c>
      <c r="E3797" s="27" t="s">
        <v>72</v>
      </c>
      <c r="F3797" s="18" t="s">
        <v>48</v>
      </c>
      <c r="G3797" s="18" t="s">
        <v>35</v>
      </c>
      <c r="H3797" s="40" t="s">
        <v>35</v>
      </c>
      <c r="I3797" s="37" t="s">
        <v>36</v>
      </c>
      <c r="J3797" s="25" t="s">
        <v>65</v>
      </c>
      <c r="K3797" s="26" t="s">
        <v>38</v>
      </c>
      <c r="L3797" s="25">
        <v>12935.0</v>
      </c>
      <c r="M3797" s="49" t="s">
        <v>50</v>
      </c>
      <c r="N3797" s="42" t="s">
        <v>14184</v>
      </c>
      <c r="O3797" s="67">
        <v>45775.71377192129</v>
      </c>
      <c r="P3797" s="35" t="s">
        <v>14335</v>
      </c>
      <c r="Q3797" s="13" t="s">
        <v>75</v>
      </c>
      <c r="R3797" s="13" t="s">
        <v>75</v>
      </c>
      <c r="S3797" s="13" t="s">
        <v>50</v>
      </c>
      <c r="T3797" s="44">
        <v>45764.4504821875</v>
      </c>
      <c r="U3797" s="44">
        <v>45772.55641482639</v>
      </c>
      <c r="V3797" s="198">
        <v>45775.33495762732</v>
      </c>
      <c r="W3797" s="11"/>
      <c r="X3797" s="11"/>
      <c r="Y3797" s="45"/>
      <c r="Z3797" s="45"/>
      <c r="AA3797" s="31" t="s">
        <v>94</v>
      </c>
      <c r="AB3797" s="45" t="s">
        <v>14784</v>
      </c>
      <c r="AC3797" s="45"/>
    </row>
    <row r="3798" ht="18.75" customHeight="1">
      <c r="A3798" s="142" t="s">
        <v>14785</v>
      </c>
      <c r="B3798" s="19" t="s">
        <v>5650</v>
      </c>
      <c r="C3798" s="20">
        <v>137.0</v>
      </c>
      <c r="D3798" s="48" t="s">
        <v>14786</v>
      </c>
      <c r="E3798" s="27" t="s">
        <v>85</v>
      </c>
      <c r="F3798" s="18" t="s">
        <v>48</v>
      </c>
      <c r="G3798" s="18" t="s">
        <v>35</v>
      </c>
      <c r="H3798" s="40" t="s">
        <v>35</v>
      </c>
      <c r="I3798" s="37" t="s">
        <v>36</v>
      </c>
      <c r="J3798" s="25" t="s">
        <v>49</v>
      </c>
      <c r="K3798" s="26" t="s">
        <v>38</v>
      </c>
      <c r="L3798" s="25">
        <v>12916.0</v>
      </c>
      <c r="M3798" s="49" t="s">
        <v>73</v>
      </c>
      <c r="N3798" s="42" t="s">
        <v>5936</v>
      </c>
      <c r="O3798" s="67">
        <v>45770.618462743056</v>
      </c>
      <c r="P3798" s="35" t="s">
        <v>14457</v>
      </c>
      <c r="Q3798" s="13" t="s">
        <v>75</v>
      </c>
      <c r="R3798" s="13" t="s">
        <v>75</v>
      </c>
      <c r="S3798" s="13" t="s">
        <v>50</v>
      </c>
      <c r="T3798" s="44">
        <v>45764.451457222225</v>
      </c>
      <c r="U3798" s="44">
        <v>45769.679921006944</v>
      </c>
      <c r="V3798" s="198">
        <v>45770.416172418976</v>
      </c>
      <c r="W3798" s="11"/>
      <c r="X3798" s="11"/>
      <c r="Y3798" s="45"/>
      <c r="Z3798" s="45"/>
      <c r="AA3798" s="31" t="s">
        <v>102</v>
      </c>
      <c r="AB3798" s="45" t="s">
        <v>14787</v>
      </c>
      <c r="AC3798" s="45"/>
    </row>
    <row r="3799" ht="18.75" customHeight="1">
      <c r="A3799" s="142" t="s">
        <v>14788</v>
      </c>
      <c r="B3799" s="19" t="s">
        <v>9554</v>
      </c>
      <c r="C3799" s="20">
        <v>1.0</v>
      </c>
      <c r="D3799" s="48" t="s">
        <v>14789</v>
      </c>
      <c r="E3799" s="27" t="s">
        <v>3395</v>
      </c>
      <c r="F3799" s="18" t="s">
        <v>48</v>
      </c>
      <c r="G3799" s="18" t="s">
        <v>35</v>
      </c>
      <c r="H3799" s="40" t="s">
        <v>35</v>
      </c>
      <c r="I3799" s="37" t="s">
        <v>36</v>
      </c>
      <c r="J3799" s="25" t="s">
        <v>49</v>
      </c>
      <c r="K3799" s="26" t="s">
        <v>9556</v>
      </c>
      <c r="L3799" s="25">
        <v>12917.0</v>
      </c>
      <c r="M3799" s="49" t="s">
        <v>73</v>
      </c>
      <c r="N3799" s="42" t="s">
        <v>5936</v>
      </c>
      <c r="O3799" s="67">
        <v>45770.618528402774</v>
      </c>
      <c r="P3799" s="35" t="s">
        <v>14790</v>
      </c>
      <c r="Q3799" s="13" t="s">
        <v>75</v>
      </c>
      <c r="R3799" s="13" t="s">
        <v>75</v>
      </c>
      <c r="S3799" s="13" t="s">
        <v>50</v>
      </c>
      <c r="T3799" s="44">
        <v>45764.69993019676</v>
      </c>
      <c r="U3799" s="44">
        <v>45769.66081141203</v>
      </c>
      <c r="V3799" s="198">
        <v>45770.41615957176</v>
      </c>
      <c r="W3799" s="11"/>
      <c r="X3799" s="11"/>
      <c r="Y3799" s="45"/>
      <c r="Z3799" s="45"/>
      <c r="AA3799" s="31" t="s">
        <v>3053</v>
      </c>
      <c r="AB3799" s="45" t="s">
        <v>14791</v>
      </c>
      <c r="AC3799" s="45"/>
    </row>
    <row r="3800" ht="18.75" customHeight="1">
      <c r="A3800" s="18" t="s">
        <v>14792</v>
      </c>
      <c r="B3800" s="19" t="s">
        <v>477</v>
      </c>
      <c r="C3800" s="20">
        <v>1.0</v>
      </c>
      <c r="D3800" s="48" t="s">
        <v>14793</v>
      </c>
      <c r="E3800" s="27" t="s">
        <v>3395</v>
      </c>
      <c r="F3800" s="18" t="s">
        <v>48</v>
      </c>
      <c r="G3800" s="18" t="s">
        <v>35</v>
      </c>
      <c r="H3800" s="40" t="s">
        <v>35</v>
      </c>
      <c r="I3800" s="37" t="s">
        <v>36</v>
      </c>
      <c r="J3800" s="25" t="s">
        <v>65</v>
      </c>
      <c r="K3800" s="26" t="s">
        <v>38</v>
      </c>
      <c r="L3800" s="34">
        <v>12911.0</v>
      </c>
      <c r="M3800" s="49" t="s">
        <v>73</v>
      </c>
      <c r="N3800" s="42" t="s">
        <v>149</v>
      </c>
      <c r="O3800" s="67">
        <v>45769.68828210648</v>
      </c>
      <c r="P3800" s="35" t="s">
        <v>14372</v>
      </c>
      <c r="Q3800" s="13" t="s">
        <v>75</v>
      </c>
      <c r="R3800" s="13" t="s">
        <v>75</v>
      </c>
      <c r="S3800" s="13" t="s">
        <v>50</v>
      </c>
      <c r="T3800" s="44">
        <v>45769.40869568287</v>
      </c>
      <c r="U3800" s="44">
        <v>45769.40875958333</v>
      </c>
      <c r="V3800" s="198">
        <v>45769.62142177083</v>
      </c>
      <c r="W3800" s="11"/>
      <c r="X3800" s="11"/>
      <c r="Y3800" s="45"/>
      <c r="Z3800" s="45"/>
      <c r="AA3800" s="31" t="s">
        <v>94</v>
      </c>
      <c r="AB3800" s="45" t="s">
        <v>14794</v>
      </c>
      <c r="AC3800" s="45"/>
    </row>
    <row r="3801" ht="18.75" customHeight="1">
      <c r="A3801" s="18" t="s">
        <v>14795</v>
      </c>
      <c r="B3801" s="19" t="s">
        <v>477</v>
      </c>
      <c r="C3801" s="20">
        <v>1.0</v>
      </c>
      <c r="D3801" s="48" t="s">
        <v>14796</v>
      </c>
      <c r="E3801" s="27" t="s">
        <v>3395</v>
      </c>
      <c r="F3801" s="18" t="s">
        <v>48</v>
      </c>
      <c r="G3801" s="18" t="s">
        <v>35</v>
      </c>
      <c r="H3801" s="40" t="s">
        <v>35</v>
      </c>
      <c r="I3801" s="37" t="s">
        <v>36</v>
      </c>
      <c r="J3801" s="25" t="s">
        <v>65</v>
      </c>
      <c r="K3801" s="26" t="s">
        <v>38</v>
      </c>
      <c r="L3801" s="34">
        <v>12911.0</v>
      </c>
      <c r="M3801" s="49" t="s">
        <v>73</v>
      </c>
      <c r="N3801" s="42" t="s">
        <v>149</v>
      </c>
      <c r="O3801" s="67">
        <v>45769.6883640625</v>
      </c>
      <c r="P3801" s="35" t="s">
        <v>14372</v>
      </c>
      <c r="Q3801" s="13" t="s">
        <v>75</v>
      </c>
      <c r="R3801" s="13" t="s">
        <v>75</v>
      </c>
      <c r="S3801" s="13" t="s">
        <v>50</v>
      </c>
      <c r="T3801" s="44">
        <v>45769.40875767361</v>
      </c>
      <c r="U3801" s="44">
        <v>45769.40878158565</v>
      </c>
      <c r="V3801" s="198">
        <v>45769.62143013889</v>
      </c>
      <c r="W3801" s="11"/>
      <c r="X3801" s="11"/>
      <c r="Y3801" s="45"/>
      <c r="Z3801" s="45"/>
      <c r="AA3801" s="31" t="s">
        <v>94</v>
      </c>
      <c r="AB3801" s="45" t="s">
        <v>14797</v>
      </c>
      <c r="AC3801" s="45"/>
    </row>
    <row r="3802" ht="18.75" customHeight="1">
      <c r="A3802" s="18" t="s">
        <v>14798</v>
      </c>
      <c r="B3802" s="19" t="s">
        <v>96</v>
      </c>
      <c r="C3802" s="20">
        <v>0.0</v>
      </c>
      <c r="D3802" s="48"/>
      <c r="E3802" s="27" t="s">
        <v>3441</v>
      </c>
      <c r="F3802" s="18" t="s">
        <v>48</v>
      </c>
      <c r="G3802" s="18" t="s">
        <v>35</v>
      </c>
      <c r="H3802" s="40" t="s">
        <v>35</v>
      </c>
      <c r="I3802" s="37" t="s">
        <v>984</v>
      </c>
      <c r="J3802" s="25" t="s">
        <v>49</v>
      </c>
      <c r="K3802" s="26" t="s">
        <v>38</v>
      </c>
      <c r="L3802" s="25">
        <v>-12919.0</v>
      </c>
      <c r="M3802" s="49"/>
      <c r="N3802" s="42"/>
      <c r="O3802" s="68"/>
      <c r="P3802" s="26" t="s">
        <v>14799</v>
      </c>
      <c r="Q3802" s="13" t="s">
        <v>75</v>
      </c>
      <c r="R3802" s="13"/>
      <c r="S3802" s="13"/>
      <c r="T3802" s="44">
        <v>45770.38491840278</v>
      </c>
      <c r="U3802" s="13"/>
      <c r="V3802" s="203"/>
      <c r="W3802" s="11"/>
      <c r="X3802" s="148">
        <v>45839.0</v>
      </c>
      <c r="Y3802" s="45"/>
      <c r="Z3802" s="45"/>
      <c r="AA3802" s="31" t="s">
        <v>102</v>
      </c>
      <c r="AB3802" s="45" t="s">
        <v>14800</v>
      </c>
      <c r="AC3802" s="45"/>
    </row>
    <row r="3803" ht="18.75" customHeight="1">
      <c r="A3803" s="18" t="s">
        <v>14801</v>
      </c>
      <c r="B3803" s="19" t="s">
        <v>96</v>
      </c>
      <c r="C3803" s="20">
        <v>0.0</v>
      </c>
      <c r="D3803" s="48"/>
      <c r="E3803" s="27" t="s">
        <v>3441</v>
      </c>
      <c r="F3803" s="18" t="s">
        <v>48</v>
      </c>
      <c r="G3803" s="18" t="s">
        <v>35</v>
      </c>
      <c r="H3803" s="40" t="s">
        <v>35</v>
      </c>
      <c r="I3803" s="37" t="s">
        <v>984</v>
      </c>
      <c r="J3803" s="25" t="s">
        <v>49</v>
      </c>
      <c r="K3803" s="26" t="s">
        <v>38</v>
      </c>
      <c r="L3803" s="25">
        <v>-12919.0</v>
      </c>
      <c r="M3803" s="49"/>
      <c r="N3803" s="42"/>
      <c r="O3803" s="68"/>
      <c r="P3803" s="26" t="s">
        <v>14799</v>
      </c>
      <c r="Q3803" s="13" t="s">
        <v>75</v>
      </c>
      <c r="R3803" s="13"/>
      <c r="S3803" s="13"/>
      <c r="T3803" s="44">
        <v>45770.38508407408</v>
      </c>
      <c r="U3803" s="13"/>
      <c r="V3803" s="203"/>
      <c r="W3803" s="11"/>
      <c r="X3803" s="148">
        <v>45839.0</v>
      </c>
      <c r="Y3803" s="45"/>
      <c r="Z3803" s="45"/>
      <c r="AA3803" s="31" t="s">
        <v>102</v>
      </c>
      <c r="AB3803" s="45" t="s">
        <v>14802</v>
      </c>
      <c r="AC3803" s="45"/>
    </row>
    <row r="3804" ht="18.75" customHeight="1">
      <c r="A3804" s="18" t="s">
        <v>14803</v>
      </c>
      <c r="B3804" s="19" t="s">
        <v>96</v>
      </c>
      <c r="C3804" s="20">
        <v>0.0</v>
      </c>
      <c r="D3804" s="48"/>
      <c r="E3804" s="27" t="s">
        <v>3441</v>
      </c>
      <c r="F3804" s="18" t="s">
        <v>48</v>
      </c>
      <c r="G3804" s="18" t="s">
        <v>35</v>
      </c>
      <c r="H3804" s="40" t="s">
        <v>35</v>
      </c>
      <c r="I3804" s="37" t="s">
        <v>984</v>
      </c>
      <c r="J3804" s="25" t="s">
        <v>49</v>
      </c>
      <c r="K3804" s="26" t="s">
        <v>38</v>
      </c>
      <c r="L3804" s="25">
        <v>-12919.0</v>
      </c>
      <c r="M3804" s="49"/>
      <c r="N3804" s="42"/>
      <c r="O3804" s="68"/>
      <c r="P3804" s="26" t="s">
        <v>14799</v>
      </c>
      <c r="Q3804" s="13" t="s">
        <v>75</v>
      </c>
      <c r="R3804" s="13"/>
      <c r="S3804" s="13"/>
      <c r="T3804" s="44">
        <v>45770.38513559027</v>
      </c>
      <c r="U3804" s="13"/>
      <c r="V3804" s="203"/>
      <c r="W3804" s="11"/>
      <c r="X3804" s="148">
        <v>45839.0</v>
      </c>
      <c r="Y3804" s="45"/>
      <c r="Z3804" s="45"/>
      <c r="AA3804" s="31" t="s">
        <v>102</v>
      </c>
      <c r="AB3804" s="45" t="s">
        <v>14804</v>
      </c>
      <c r="AC3804" s="45"/>
    </row>
    <row r="3805" ht="18.75" customHeight="1">
      <c r="A3805" s="18" t="s">
        <v>14805</v>
      </c>
      <c r="B3805" s="19" t="s">
        <v>96</v>
      </c>
      <c r="C3805" s="20">
        <v>0.0</v>
      </c>
      <c r="D3805" s="48"/>
      <c r="E3805" s="27" t="s">
        <v>3441</v>
      </c>
      <c r="F3805" s="18" t="s">
        <v>48</v>
      </c>
      <c r="G3805" s="18" t="s">
        <v>35</v>
      </c>
      <c r="H3805" s="40" t="s">
        <v>35</v>
      </c>
      <c r="I3805" s="37" t="s">
        <v>984</v>
      </c>
      <c r="J3805" s="25" t="s">
        <v>49</v>
      </c>
      <c r="K3805" s="26" t="s">
        <v>38</v>
      </c>
      <c r="L3805" s="25">
        <v>-12919.0</v>
      </c>
      <c r="M3805" s="49"/>
      <c r="N3805" s="42"/>
      <c r="O3805" s="68"/>
      <c r="P3805" s="26" t="s">
        <v>14799</v>
      </c>
      <c r="Q3805" s="13" t="s">
        <v>75</v>
      </c>
      <c r="R3805" s="13"/>
      <c r="S3805" s="13"/>
      <c r="T3805" s="44">
        <v>45770.385186307874</v>
      </c>
      <c r="U3805" s="13"/>
      <c r="V3805" s="203"/>
      <c r="W3805" s="11"/>
      <c r="X3805" s="148">
        <v>45839.0</v>
      </c>
      <c r="Y3805" s="45"/>
      <c r="Z3805" s="45"/>
      <c r="AA3805" s="31" t="s">
        <v>102</v>
      </c>
      <c r="AB3805" s="45" t="s">
        <v>14806</v>
      </c>
      <c r="AC3805" s="45"/>
    </row>
    <row r="3806" ht="18.75" customHeight="1">
      <c r="A3806" s="18" t="s">
        <v>14807</v>
      </c>
      <c r="B3806" s="19" t="s">
        <v>96</v>
      </c>
      <c r="C3806" s="20">
        <v>0.0</v>
      </c>
      <c r="D3806" s="48"/>
      <c r="E3806" s="27" t="s">
        <v>3441</v>
      </c>
      <c r="F3806" s="18" t="s">
        <v>48</v>
      </c>
      <c r="G3806" s="18" t="s">
        <v>35</v>
      </c>
      <c r="H3806" s="40" t="s">
        <v>35</v>
      </c>
      <c r="I3806" s="37" t="s">
        <v>984</v>
      </c>
      <c r="J3806" s="25" t="s">
        <v>49</v>
      </c>
      <c r="K3806" s="26" t="s">
        <v>38</v>
      </c>
      <c r="L3806" s="25">
        <v>-12919.0</v>
      </c>
      <c r="M3806" s="49"/>
      <c r="N3806" s="42"/>
      <c r="O3806" s="68"/>
      <c r="P3806" s="26" t="s">
        <v>14799</v>
      </c>
      <c r="Q3806" s="13" t="s">
        <v>75</v>
      </c>
      <c r="R3806" s="13"/>
      <c r="S3806" s="13"/>
      <c r="T3806" s="44">
        <v>45770.38523429398</v>
      </c>
      <c r="U3806" s="13"/>
      <c r="V3806" s="203"/>
      <c r="W3806" s="11"/>
      <c r="X3806" s="148">
        <v>45839.0</v>
      </c>
      <c r="Y3806" s="45"/>
      <c r="Z3806" s="45"/>
      <c r="AA3806" s="31" t="s">
        <v>102</v>
      </c>
      <c r="AB3806" s="45" t="s">
        <v>14808</v>
      </c>
      <c r="AC3806" s="45"/>
    </row>
    <row r="3807" ht="18.75" customHeight="1">
      <c r="A3807" s="18" t="s">
        <v>14809</v>
      </c>
      <c r="B3807" s="19" t="s">
        <v>96</v>
      </c>
      <c r="C3807" s="20">
        <v>0.0</v>
      </c>
      <c r="D3807" s="48"/>
      <c r="E3807" s="27" t="s">
        <v>3441</v>
      </c>
      <c r="F3807" s="18" t="s">
        <v>48</v>
      </c>
      <c r="G3807" s="18" t="s">
        <v>35</v>
      </c>
      <c r="H3807" s="40" t="s">
        <v>35</v>
      </c>
      <c r="I3807" s="37" t="s">
        <v>984</v>
      </c>
      <c r="J3807" s="25" t="s">
        <v>49</v>
      </c>
      <c r="K3807" s="26" t="s">
        <v>38</v>
      </c>
      <c r="L3807" s="25">
        <v>-12919.0</v>
      </c>
      <c r="M3807" s="49"/>
      <c r="N3807" s="42"/>
      <c r="O3807" s="68"/>
      <c r="P3807" s="26" t="s">
        <v>14799</v>
      </c>
      <c r="Q3807" s="13" t="s">
        <v>75</v>
      </c>
      <c r="R3807" s="13"/>
      <c r="S3807" s="13"/>
      <c r="T3807" s="44">
        <v>45770.38528271991</v>
      </c>
      <c r="U3807" s="13"/>
      <c r="V3807" s="203"/>
      <c r="W3807" s="11"/>
      <c r="X3807" s="148">
        <v>45839.0</v>
      </c>
      <c r="Y3807" s="45"/>
      <c r="Z3807" s="45"/>
      <c r="AA3807" s="31" t="s">
        <v>102</v>
      </c>
      <c r="AB3807" s="45" t="s">
        <v>14810</v>
      </c>
      <c r="AC3807" s="45"/>
    </row>
    <row r="3808" ht="18.75" customHeight="1">
      <c r="A3808" s="18" t="s">
        <v>14811</v>
      </c>
      <c r="B3808" s="19" t="s">
        <v>96</v>
      </c>
      <c r="C3808" s="20">
        <v>0.0</v>
      </c>
      <c r="D3808" s="48"/>
      <c r="E3808" s="27" t="s">
        <v>3441</v>
      </c>
      <c r="F3808" s="18" t="s">
        <v>48</v>
      </c>
      <c r="G3808" s="18" t="s">
        <v>35</v>
      </c>
      <c r="H3808" s="40" t="s">
        <v>35</v>
      </c>
      <c r="I3808" s="37" t="s">
        <v>984</v>
      </c>
      <c r="J3808" s="25" t="s">
        <v>49</v>
      </c>
      <c r="K3808" s="26" t="s">
        <v>38</v>
      </c>
      <c r="L3808" s="25">
        <v>-12919.0</v>
      </c>
      <c r="M3808" s="49"/>
      <c r="N3808" s="42"/>
      <c r="O3808" s="68"/>
      <c r="P3808" s="26" t="s">
        <v>14799</v>
      </c>
      <c r="Q3808" s="13" t="s">
        <v>75</v>
      </c>
      <c r="R3808" s="13"/>
      <c r="S3808" s="13"/>
      <c r="T3808" s="44">
        <v>45770.385349502314</v>
      </c>
      <c r="U3808" s="13"/>
      <c r="V3808" s="203"/>
      <c r="W3808" s="11"/>
      <c r="X3808" s="148">
        <v>45839.0</v>
      </c>
      <c r="Y3808" s="45"/>
      <c r="Z3808" s="45"/>
      <c r="AA3808" s="31" t="s">
        <v>102</v>
      </c>
      <c r="AB3808" s="45" t="s">
        <v>14812</v>
      </c>
      <c r="AC3808" s="45"/>
    </row>
    <row r="3809" ht="18.75" customHeight="1">
      <c r="A3809" s="18" t="s">
        <v>14813</v>
      </c>
      <c r="B3809" s="19" t="s">
        <v>96</v>
      </c>
      <c r="C3809" s="20">
        <v>0.0</v>
      </c>
      <c r="D3809" s="48"/>
      <c r="E3809" s="27" t="s">
        <v>3441</v>
      </c>
      <c r="F3809" s="18" t="s">
        <v>48</v>
      </c>
      <c r="G3809" s="18" t="s">
        <v>35</v>
      </c>
      <c r="H3809" s="40" t="s">
        <v>35</v>
      </c>
      <c r="I3809" s="37" t="s">
        <v>984</v>
      </c>
      <c r="J3809" s="25" t="s">
        <v>49</v>
      </c>
      <c r="K3809" s="26" t="s">
        <v>38</v>
      </c>
      <c r="L3809" s="25">
        <v>-12919.0</v>
      </c>
      <c r="M3809" s="49"/>
      <c r="N3809" s="42"/>
      <c r="O3809" s="68"/>
      <c r="P3809" s="26" t="s">
        <v>14799</v>
      </c>
      <c r="Q3809" s="13" t="s">
        <v>75</v>
      </c>
      <c r="R3809" s="13"/>
      <c r="S3809" s="13"/>
      <c r="T3809" s="44">
        <v>45770.38539989584</v>
      </c>
      <c r="U3809" s="13"/>
      <c r="V3809" s="203"/>
      <c r="W3809" s="11"/>
      <c r="X3809" s="148">
        <v>45839.0</v>
      </c>
      <c r="Y3809" s="45"/>
      <c r="Z3809" s="45"/>
      <c r="AA3809" s="31" t="s">
        <v>102</v>
      </c>
      <c r="AB3809" s="45" t="s">
        <v>14814</v>
      </c>
      <c r="AC3809" s="45"/>
    </row>
    <row r="3810" ht="18.75" customHeight="1">
      <c r="A3810" s="18" t="s">
        <v>14815</v>
      </c>
      <c r="B3810" s="19" t="s">
        <v>96</v>
      </c>
      <c r="C3810" s="20">
        <v>0.0</v>
      </c>
      <c r="D3810" s="48"/>
      <c r="E3810" s="27" t="s">
        <v>3441</v>
      </c>
      <c r="F3810" s="18" t="s">
        <v>48</v>
      </c>
      <c r="G3810" s="18" t="s">
        <v>35</v>
      </c>
      <c r="H3810" s="40" t="s">
        <v>35</v>
      </c>
      <c r="I3810" s="37" t="s">
        <v>984</v>
      </c>
      <c r="J3810" s="25" t="s">
        <v>49</v>
      </c>
      <c r="K3810" s="26" t="s">
        <v>38</v>
      </c>
      <c r="L3810" s="25">
        <v>-12919.0</v>
      </c>
      <c r="M3810" s="49"/>
      <c r="N3810" s="42"/>
      <c r="O3810" s="68"/>
      <c r="P3810" s="26" t="s">
        <v>14799</v>
      </c>
      <c r="Q3810" s="13" t="s">
        <v>75</v>
      </c>
      <c r="R3810" s="13"/>
      <c r="S3810" s="13"/>
      <c r="T3810" s="44">
        <v>45770.3854496875</v>
      </c>
      <c r="U3810" s="13"/>
      <c r="V3810" s="203"/>
      <c r="W3810" s="11"/>
      <c r="X3810" s="148">
        <v>45839.0</v>
      </c>
      <c r="Y3810" s="45"/>
      <c r="Z3810" s="45"/>
      <c r="AA3810" s="31" t="s">
        <v>102</v>
      </c>
      <c r="AB3810" s="45" t="s">
        <v>14816</v>
      </c>
      <c r="AC3810" s="45"/>
    </row>
    <row r="3811" ht="18.75" customHeight="1">
      <c r="A3811" s="18" t="s">
        <v>14817</v>
      </c>
      <c r="B3811" s="19" t="s">
        <v>96</v>
      </c>
      <c r="C3811" s="20">
        <v>0.0</v>
      </c>
      <c r="D3811" s="48"/>
      <c r="E3811" s="27" t="s">
        <v>165</v>
      </c>
      <c r="F3811" s="18" t="s">
        <v>33</v>
      </c>
      <c r="G3811" s="18" t="s">
        <v>35</v>
      </c>
      <c r="H3811" s="40" t="s">
        <v>35</v>
      </c>
      <c r="I3811" s="37" t="s">
        <v>984</v>
      </c>
      <c r="J3811" s="25" t="s">
        <v>49</v>
      </c>
      <c r="K3811" s="26" t="s">
        <v>38</v>
      </c>
      <c r="L3811" s="25">
        <v>-12919.0</v>
      </c>
      <c r="M3811" s="49"/>
      <c r="N3811" s="42"/>
      <c r="O3811" s="68"/>
      <c r="P3811" s="26" t="s">
        <v>14799</v>
      </c>
      <c r="Q3811" s="13" t="s">
        <v>75</v>
      </c>
      <c r="R3811" s="13"/>
      <c r="S3811" s="13"/>
      <c r="T3811" s="44">
        <v>45770.389996956015</v>
      </c>
      <c r="U3811" s="13"/>
      <c r="V3811" s="203"/>
      <c r="W3811" s="11"/>
      <c r="X3811" s="148">
        <v>45839.0</v>
      </c>
      <c r="Y3811" s="45"/>
      <c r="Z3811" s="45"/>
      <c r="AA3811" s="31" t="s">
        <v>102</v>
      </c>
      <c r="AB3811" s="45" t="s">
        <v>14818</v>
      </c>
      <c r="AC3811" s="45"/>
    </row>
    <row r="3812" ht="18.75" customHeight="1">
      <c r="A3812" s="142" t="s">
        <v>14819</v>
      </c>
      <c r="B3812" s="19" t="s">
        <v>6393</v>
      </c>
      <c r="C3812" s="20">
        <v>0.0</v>
      </c>
      <c r="D3812" s="48" t="s">
        <v>14820</v>
      </c>
      <c r="E3812" s="27" t="s">
        <v>3441</v>
      </c>
      <c r="F3812" s="18" t="s">
        <v>48</v>
      </c>
      <c r="G3812" s="18" t="s">
        <v>35</v>
      </c>
      <c r="H3812" s="40" t="s">
        <v>35</v>
      </c>
      <c r="I3812" s="37" t="s">
        <v>36</v>
      </c>
      <c r="J3812" s="25" t="s">
        <v>49</v>
      </c>
      <c r="K3812" s="26" t="s">
        <v>1506</v>
      </c>
      <c r="L3812" s="25">
        <v>12936.0</v>
      </c>
      <c r="M3812" s="49" t="s">
        <v>50</v>
      </c>
      <c r="N3812" s="42" t="s">
        <v>143</v>
      </c>
      <c r="O3812" s="67">
        <v>45775.58974059028</v>
      </c>
      <c r="P3812" s="35" t="s">
        <v>14821</v>
      </c>
      <c r="Q3812" s="13" t="s">
        <v>75</v>
      </c>
      <c r="R3812" s="13" t="s">
        <v>75</v>
      </c>
      <c r="S3812" s="13" t="s">
        <v>50</v>
      </c>
      <c r="T3812" s="44">
        <v>45775.377371724535</v>
      </c>
      <c r="U3812" s="44">
        <v>45775.50774494213</v>
      </c>
      <c r="V3812" s="198">
        <v>45775.53625038195</v>
      </c>
      <c r="W3812" s="11"/>
      <c r="X3812" s="11"/>
      <c r="Y3812" s="45"/>
      <c r="Z3812" s="45"/>
      <c r="AA3812" s="31" t="s">
        <v>3053</v>
      </c>
      <c r="AB3812" s="45" t="s">
        <v>14822</v>
      </c>
      <c r="AC3812" s="45"/>
    </row>
    <row r="3813" ht="18.75" customHeight="1">
      <c r="A3813" s="142" t="s">
        <v>14823</v>
      </c>
      <c r="B3813" s="19" t="s">
        <v>6393</v>
      </c>
      <c r="C3813" s="20">
        <v>0.0</v>
      </c>
      <c r="D3813" s="48" t="s">
        <v>14824</v>
      </c>
      <c r="E3813" s="27" t="s">
        <v>3441</v>
      </c>
      <c r="F3813" s="18" t="s">
        <v>48</v>
      </c>
      <c r="G3813" s="18" t="s">
        <v>35</v>
      </c>
      <c r="H3813" s="40" t="s">
        <v>35</v>
      </c>
      <c r="I3813" s="37" t="s">
        <v>36</v>
      </c>
      <c r="J3813" s="25" t="s">
        <v>49</v>
      </c>
      <c r="K3813" s="26" t="s">
        <v>1506</v>
      </c>
      <c r="L3813" s="25">
        <v>12942.0</v>
      </c>
      <c r="M3813" s="49" t="s">
        <v>50</v>
      </c>
      <c r="N3813" s="42" t="s">
        <v>143</v>
      </c>
      <c r="O3813" s="67">
        <v>45775.589663113424</v>
      </c>
      <c r="P3813" s="35" t="s">
        <v>14825</v>
      </c>
      <c r="Q3813" s="13" t="s">
        <v>75</v>
      </c>
      <c r="R3813" s="13" t="s">
        <v>75</v>
      </c>
      <c r="S3813" s="13" t="s">
        <v>50</v>
      </c>
      <c r="T3813" s="44">
        <v>45775.37564950231</v>
      </c>
      <c r="U3813" s="44">
        <v>45775.50772296297</v>
      </c>
      <c r="V3813" s="198">
        <v>45775.53617623843</v>
      </c>
      <c r="W3813" s="11"/>
      <c r="X3813" s="11"/>
      <c r="Y3813" s="45"/>
      <c r="Z3813" s="45"/>
      <c r="AA3813" s="31" t="s">
        <v>3053</v>
      </c>
      <c r="AB3813" s="45" t="s">
        <v>14826</v>
      </c>
      <c r="AC3813" s="45"/>
    </row>
    <row r="3814" ht="18.75" customHeight="1">
      <c r="A3814" s="18" t="s">
        <v>14827</v>
      </c>
      <c r="B3814" s="19" t="s">
        <v>14828</v>
      </c>
      <c r="C3814" s="20">
        <v>90.0</v>
      </c>
      <c r="D3814" s="48" t="s">
        <v>14829</v>
      </c>
      <c r="E3814" s="27" t="s">
        <v>91</v>
      </c>
      <c r="F3814" s="18" t="s">
        <v>48</v>
      </c>
      <c r="G3814" s="18" t="s">
        <v>35</v>
      </c>
      <c r="H3814" s="40" t="s">
        <v>35</v>
      </c>
      <c r="I3814" s="37" t="s">
        <v>36</v>
      </c>
      <c r="J3814" s="25" t="s">
        <v>65</v>
      </c>
      <c r="K3814" s="26" t="s">
        <v>38</v>
      </c>
      <c r="L3814" s="25">
        <v>12944.0</v>
      </c>
      <c r="M3814" s="49" t="s">
        <v>50</v>
      </c>
      <c r="N3814" s="42" t="s">
        <v>14184</v>
      </c>
      <c r="O3814" s="67">
        <v>45775.713725532405</v>
      </c>
      <c r="P3814" s="35" t="s">
        <v>14830</v>
      </c>
      <c r="Q3814" s="13" t="s">
        <v>75</v>
      </c>
      <c r="R3814" s="13" t="s">
        <v>75</v>
      </c>
      <c r="S3814" s="13" t="s">
        <v>50</v>
      </c>
      <c r="T3814" s="44">
        <v>45770.642637083336</v>
      </c>
      <c r="U3814" s="44">
        <v>45775.472344131944</v>
      </c>
      <c r="V3814" s="198">
        <v>45775.56874931713</v>
      </c>
      <c r="W3814" s="11"/>
      <c r="X3814" s="148">
        <v>45772.0</v>
      </c>
      <c r="Y3814" s="45"/>
      <c r="Z3814" s="45"/>
      <c r="AA3814" s="31" t="s">
        <v>3059</v>
      </c>
      <c r="AB3814" s="45" t="s">
        <v>14831</v>
      </c>
      <c r="AC3814" s="45"/>
    </row>
    <row r="3815" ht="18.75" customHeight="1">
      <c r="A3815" s="18" t="s">
        <v>14832</v>
      </c>
      <c r="B3815" s="19" t="s">
        <v>14828</v>
      </c>
      <c r="C3815" s="20">
        <v>90.0</v>
      </c>
      <c r="D3815" s="48" t="s">
        <v>14833</v>
      </c>
      <c r="E3815" s="27" t="s">
        <v>91</v>
      </c>
      <c r="F3815" s="18" t="s">
        <v>48</v>
      </c>
      <c r="G3815" s="18" t="s">
        <v>35</v>
      </c>
      <c r="H3815" s="40" t="s">
        <v>35</v>
      </c>
      <c r="I3815" s="37" t="s">
        <v>36</v>
      </c>
      <c r="J3815" s="25" t="s">
        <v>65</v>
      </c>
      <c r="K3815" s="26" t="s">
        <v>38</v>
      </c>
      <c r="L3815" s="25">
        <v>12944.0</v>
      </c>
      <c r="M3815" s="49" t="s">
        <v>50</v>
      </c>
      <c r="N3815" s="42" t="s">
        <v>14184</v>
      </c>
      <c r="O3815" s="67">
        <v>45775.71367521991</v>
      </c>
      <c r="P3815" s="35" t="s">
        <v>14830</v>
      </c>
      <c r="Q3815" s="13" t="s">
        <v>75</v>
      </c>
      <c r="R3815" s="13" t="s">
        <v>75</v>
      </c>
      <c r="S3815" s="13" t="s">
        <v>50</v>
      </c>
      <c r="T3815" s="44">
        <v>45770.642669768524</v>
      </c>
      <c r="U3815" s="44">
        <v>45775.47238193287</v>
      </c>
      <c r="V3815" s="198">
        <v>45775.56875534722</v>
      </c>
      <c r="W3815" s="11"/>
      <c r="X3815" s="148">
        <v>45772.0</v>
      </c>
      <c r="Y3815" s="45"/>
      <c r="Z3815" s="45"/>
      <c r="AA3815" s="31" t="s">
        <v>3059</v>
      </c>
      <c r="AB3815" s="45" t="s">
        <v>14834</v>
      </c>
      <c r="AC3815" s="45"/>
    </row>
    <row r="3816" ht="18.75" customHeight="1">
      <c r="A3816" s="142" t="s">
        <v>14835</v>
      </c>
      <c r="B3816" s="19" t="s">
        <v>3645</v>
      </c>
      <c r="C3816" s="20">
        <v>0.0</v>
      </c>
      <c r="D3816" s="48" t="s">
        <v>1622</v>
      </c>
      <c r="E3816" s="27" t="s">
        <v>1595</v>
      </c>
      <c r="F3816" s="18" t="s">
        <v>33</v>
      </c>
      <c r="G3816" s="18" t="s">
        <v>35</v>
      </c>
      <c r="H3816" s="40" t="s">
        <v>35</v>
      </c>
      <c r="I3816" s="37" t="s">
        <v>36</v>
      </c>
      <c r="J3816" s="25" t="s">
        <v>49</v>
      </c>
      <c r="K3816" s="26" t="s">
        <v>38</v>
      </c>
      <c r="L3816" s="25">
        <v>12997.0</v>
      </c>
      <c r="M3816" s="49" t="s">
        <v>50</v>
      </c>
      <c r="N3816" s="42" t="s">
        <v>143</v>
      </c>
      <c r="O3816" s="67">
        <v>45783.6351609375</v>
      </c>
      <c r="P3816" s="35" t="s">
        <v>14836</v>
      </c>
      <c r="Q3816" s="13" t="s">
        <v>75</v>
      </c>
      <c r="R3816" s="13" t="s">
        <v>75</v>
      </c>
      <c r="S3816" s="13" t="s">
        <v>101</v>
      </c>
      <c r="T3816" s="44">
        <v>45770.46718892361</v>
      </c>
      <c r="U3816" s="44">
        <v>45777.472439062505</v>
      </c>
      <c r="V3816" s="198">
        <v>45782.60424861111</v>
      </c>
      <c r="W3816" s="11"/>
      <c r="X3816" s="11"/>
      <c r="Y3816" s="45"/>
      <c r="Z3816" s="45"/>
      <c r="AA3816" s="31" t="s">
        <v>127</v>
      </c>
      <c r="AB3816" s="45" t="s">
        <v>14837</v>
      </c>
      <c r="AC3816" s="45"/>
    </row>
    <row r="3817" ht="18.75" customHeight="1">
      <c r="A3817" s="142" t="s">
        <v>14838</v>
      </c>
      <c r="B3817" s="19" t="s">
        <v>4308</v>
      </c>
      <c r="C3817" s="20">
        <v>90.0</v>
      </c>
      <c r="D3817" s="48" t="s">
        <v>14839</v>
      </c>
      <c r="E3817" s="27" t="s">
        <v>91</v>
      </c>
      <c r="F3817" s="18" t="s">
        <v>48</v>
      </c>
      <c r="G3817" s="18" t="s">
        <v>35</v>
      </c>
      <c r="H3817" s="40" t="s">
        <v>35</v>
      </c>
      <c r="I3817" s="37" t="s">
        <v>36</v>
      </c>
      <c r="J3817" s="25" t="s">
        <v>92</v>
      </c>
      <c r="K3817" s="26" t="s">
        <v>38</v>
      </c>
      <c r="L3817" s="25">
        <v>13012.0</v>
      </c>
      <c r="M3817" s="49" t="s">
        <v>73</v>
      </c>
      <c r="N3817" s="42" t="s">
        <v>14840</v>
      </c>
      <c r="O3817" s="67">
        <v>45785.668623958336</v>
      </c>
      <c r="P3817" s="35" t="s">
        <v>13574</v>
      </c>
      <c r="Q3817" s="13" t="s">
        <v>75</v>
      </c>
      <c r="R3817" s="13" t="s">
        <v>75</v>
      </c>
      <c r="S3817" s="13" t="s">
        <v>73</v>
      </c>
      <c r="T3817" s="44">
        <v>45770.4693796875</v>
      </c>
      <c r="U3817" s="44">
        <v>45785.617680069445</v>
      </c>
      <c r="V3817" s="198">
        <v>45785.627567557865</v>
      </c>
      <c r="W3817" s="11"/>
      <c r="X3817" s="11"/>
      <c r="Y3817" s="45"/>
      <c r="Z3817" s="45"/>
      <c r="AA3817" s="31" t="s">
        <v>120</v>
      </c>
      <c r="AB3817" s="45" t="s">
        <v>14841</v>
      </c>
      <c r="AC3817" s="45"/>
    </row>
    <row r="3818" ht="18.75" customHeight="1">
      <c r="A3818" s="142" t="s">
        <v>14842</v>
      </c>
      <c r="B3818" s="19" t="s">
        <v>12692</v>
      </c>
      <c r="C3818" s="20">
        <v>1.0</v>
      </c>
      <c r="D3818" s="48" t="s">
        <v>14843</v>
      </c>
      <c r="E3818" s="27" t="s">
        <v>3395</v>
      </c>
      <c r="F3818" s="18" t="s">
        <v>48</v>
      </c>
      <c r="G3818" s="18" t="s">
        <v>35</v>
      </c>
      <c r="H3818" s="40" t="s">
        <v>35</v>
      </c>
      <c r="I3818" s="37" t="s">
        <v>36</v>
      </c>
      <c r="J3818" s="25" t="s">
        <v>92</v>
      </c>
      <c r="K3818" s="26" t="s">
        <v>38</v>
      </c>
      <c r="L3818" s="25">
        <v>12918.0</v>
      </c>
      <c r="M3818" s="49" t="s">
        <v>50</v>
      </c>
      <c r="N3818" s="42" t="s">
        <v>14844</v>
      </c>
      <c r="O3818" s="67">
        <v>45770.56566306713</v>
      </c>
      <c r="P3818" s="35" t="s">
        <v>14845</v>
      </c>
      <c r="Q3818" s="13" t="s">
        <v>75</v>
      </c>
      <c r="R3818" s="13" t="s">
        <v>75</v>
      </c>
      <c r="S3818" s="13" t="s">
        <v>50</v>
      </c>
      <c r="T3818" s="44">
        <v>45770.47023626158</v>
      </c>
      <c r="U3818" s="44">
        <v>45770.47740138889</v>
      </c>
      <c r="V3818" s="198">
        <v>45770.48534153935</v>
      </c>
      <c r="W3818" s="11"/>
      <c r="X3818" s="11"/>
      <c r="Y3818" s="45"/>
      <c r="Z3818" s="45"/>
      <c r="AA3818" s="31" t="s">
        <v>3059</v>
      </c>
      <c r="AB3818" s="45" t="s">
        <v>14846</v>
      </c>
      <c r="AC3818" s="45"/>
    </row>
    <row r="3819" ht="18.75" customHeight="1">
      <c r="A3819" s="142" t="s">
        <v>14847</v>
      </c>
      <c r="B3819" s="19" t="s">
        <v>122</v>
      </c>
      <c r="C3819" s="20">
        <v>0.0</v>
      </c>
      <c r="D3819" s="48" t="s">
        <v>14848</v>
      </c>
      <c r="E3819" s="27" t="s">
        <v>3441</v>
      </c>
      <c r="F3819" s="18" t="s">
        <v>48</v>
      </c>
      <c r="G3819" s="18" t="s">
        <v>35</v>
      </c>
      <c r="H3819" s="40" t="s">
        <v>35</v>
      </c>
      <c r="I3819" s="37" t="s">
        <v>36</v>
      </c>
      <c r="J3819" s="25" t="s">
        <v>49</v>
      </c>
      <c r="K3819" s="26" t="s">
        <v>38</v>
      </c>
      <c r="L3819" s="25">
        <v>12926.0</v>
      </c>
      <c r="M3819" s="49" t="s">
        <v>50</v>
      </c>
      <c r="N3819" s="42" t="s">
        <v>5936</v>
      </c>
      <c r="O3819" s="67">
        <v>45771.59610574074</v>
      </c>
      <c r="P3819" s="35" t="s">
        <v>14849</v>
      </c>
      <c r="Q3819" s="13" t="s">
        <v>75</v>
      </c>
      <c r="R3819" s="13" t="s">
        <v>75</v>
      </c>
      <c r="S3819" s="13" t="s">
        <v>50</v>
      </c>
      <c r="T3819" s="44">
        <v>45770.474675474536</v>
      </c>
      <c r="U3819" s="44">
        <v>45771.396497442125</v>
      </c>
      <c r="V3819" s="198">
        <v>45771.42405940972</v>
      </c>
      <c r="W3819" s="11"/>
      <c r="X3819" s="11"/>
      <c r="Y3819" s="45"/>
      <c r="Z3819" s="45"/>
      <c r="AA3819" s="31" t="s">
        <v>127</v>
      </c>
      <c r="AB3819" s="45" t="s">
        <v>14850</v>
      </c>
      <c r="AC3819" s="45"/>
    </row>
    <row r="3820" ht="18.75" customHeight="1">
      <c r="A3820" s="142" t="s">
        <v>14851</v>
      </c>
      <c r="B3820" s="19" t="s">
        <v>14852</v>
      </c>
      <c r="C3820" s="20">
        <v>90.0</v>
      </c>
      <c r="D3820" s="48" t="s">
        <v>14853</v>
      </c>
      <c r="E3820" s="27" t="s">
        <v>91</v>
      </c>
      <c r="F3820" s="18" t="s">
        <v>48</v>
      </c>
      <c r="G3820" s="18" t="s">
        <v>35</v>
      </c>
      <c r="H3820" s="40" t="s">
        <v>35</v>
      </c>
      <c r="I3820" s="37" t="s">
        <v>36</v>
      </c>
      <c r="J3820" s="25" t="s">
        <v>65</v>
      </c>
      <c r="K3820" s="26" t="s">
        <v>38</v>
      </c>
      <c r="L3820" s="25">
        <v>12967.0</v>
      </c>
      <c r="M3820" s="49" t="s">
        <v>50</v>
      </c>
      <c r="N3820" s="42" t="s">
        <v>14854</v>
      </c>
      <c r="O3820" s="67">
        <v>45777.62255381944</v>
      </c>
      <c r="P3820" s="35" t="s">
        <v>14855</v>
      </c>
      <c r="Q3820" s="13" t="s">
        <v>75</v>
      </c>
      <c r="R3820" s="13" t="s">
        <v>75</v>
      </c>
      <c r="S3820" s="13" t="s">
        <v>50</v>
      </c>
      <c r="T3820" s="44">
        <v>45770.623551944445</v>
      </c>
      <c r="U3820" s="44">
        <v>45777.40574364583</v>
      </c>
      <c r="V3820" s="198">
        <v>45777.41087633102</v>
      </c>
      <c r="W3820" s="11"/>
      <c r="X3820" s="11"/>
      <c r="Y3820" s="45"/>
      <c r="Z3820" s="45"/>
      <c r="AA3820" s="31" t="s">
        <v>94</v>
      </c>
      <c r="AB3820" s="45" t="s">
        <v>14856</v>
      </c>
      <c r="AC3820" s="45"/>
    </row>
    <row r="3821" ht="18.75" customHeight="1">
      <c r="A3821" s="142" t="s">
        <v>14857</v>
      </c>
      <c r="B3821" s="19" t="s">
        <v>8041</v>
      </c>
      <c r="C3821" s="20">
        <v>0.0</v>
      </c>
      <c r="D3821" s="48"/>
      <c r="E3821" s="27" t="s">
        <v>2288</v>
      </c>
      <c r="F3821" s="18" t="s">
        <v>33</v>
      </c>
      <c r="G3821" s="18" t="s">
        <v>35</v>
      </c>
      <c r="H3821" s="40" t="s">
        <v>35</v>
      </c>
      <c r="I3821" s="24" t="s">
        <v>665</v>
      </c>
      <c r="J3821" s="25" t="s">
        <v>49</v>
      </c>
      <c r="K3821" s="26" t="s">
        <v>38</v>
      </c>
      <c r="L3821" s="34">
        <v>12968.0</v>
      </c>
      <c r="M3821" s="49" t="s">
        <v>73</v>
      </c>
      <c r="N3821" s="42" t="s">
        <v>5936</v>
      </c>
      <c r="O3821" s="67">
        <v>45777.69097222222</v>
      </c>
      <c r="P3821" s="26" t="s">
        <v>14858</v>
      </c>
      <c r="Q3821" s="13" t="s">
        <v>75</v>
      </c>
      <c r="R3821" s="13" t="s">
        <v>75</v>
      </c>
      <c r="S3821" s="13" t="s">
        <v>101</v>
      </c>
      <c r="T3821" s="44">
        <v>45770.62937821759</v>
      </c>
      <c r="U3821" s="44">
        <v>45771.374390798606</v>
      </c>
      <c r="V3821" s="198">
        <v>45777.72275771991</v>
      </c>
      <c r="W3821" s="11"/>
      <c r="X3821" s="11"/>
      <c r="Y3821" s="45">
        <v>302.0</v>
      </c>
      <c r="Z3821" s="45" t="s">
        <v>14859</v>
      </c>
      <c r="AA3821" s="31"/>
      <c r="AB3821" s="45" t="s">
        <v>14860</v>
      </c>
      <c r="AC3821" s="45"/>
    </row>
    <row r="3822" ht="18.75" customHeight="1">
      <c r="A3822" s="142" t="s">
        <v>14861</v>
      </c>
      <c r="B3822" s="19" t="s">
        <v>7592</v>
      </c>
      <c r="C3822" s="20">
        <v>0.0</v>
      </c>
      <c r="D3822" s="48" t="s">
        <v>1609</v>
      </c>
      <c r="E3822" s="27" t="s">
        <v>408</v>
      </c>
      <c r="F3822" s="18" t="s">
        <v>33</v>
      </c>
      <c r="G3822" s="18" t="s">
        <v>35</v>
      </c>
      <c r="H3822" s="40" t="s">
        <v>35</v>
      </c>
      <c r="I3822" s="37" t="s">
        <v>36</v>
      </c>
      <c r="J3822" s="25" t="s">
        <v>49</v>
      </c>
      <c r="K3822" s="26" t="s">
        <v>38</v>
      </c>
      <c r="L3822" s="25">
        <v>12950.0</v>
      </c>
      <c r="M3822" s="49" t="s">
        <v>50</v>
      </c>
      <c r="N3822" s="42" t="s">
        <v>5936</v>
      </c>
      <c r="O3822" s="67">
        <v>45776.65121681713</v>
      </c>
      <c r="P3822" s="26" t="s">
        <v>14862</v>
      </c>
      <c r="Q3822" s="13" t="s">
        <v>75</v>
      </c>
      <c r="R3822" s="13" t="s">
        <v>75</v>
      </c>
      <c r="S3822" s="13"/>
      <c r="T3822" s="44">
        <v>45770.63000754629</v>
      </c>
      <c r="U3822" s="44">
        <v>45771.702071747684</v>
      </c>
      <c r="V3822" s="203"/>
      <c r="W3822" s="11"/>
      <c r="X3822" s="11"/>
      <c r="Y3822" s="45"/>
      <c r="Z3822" s="45"/>
      <c r="AA3822" s="31" t="s">
        <v>102</v>
      </c>
      <c r="AB3822" s="45" t="s">
        <v>14863</v>
      </c>
      <c r="AC3822" s="45"/>
    </row>
    <row r="3823" ht="18.75" customHeight="1">
      <c r="A3823" s="142" t="s">
        <v>14864</v>
      </c>
      <c r="B3823" s="19" t="s">
        <v>4352</v>
      </c>
      <c r="C3823" s="20">
        <v>137.0</v>
      </c>
      <c r="D3823" s="48" t="s">
        <v>14865</v>
      </c>
      <c r="E3823" s="27" t="s">
        <v>85</v>
      </c>
      <c r="F3823" s="18" t="s">
        <v>48</v>
      </c>
      <c r="G3823" s="18" t="s">
        <v>35</v>
      </c>
      <c r="H3823" s="40" t="s">
        <v>35</v>
      </c>
      <c r="I3823" s="37" t="s">
        <v>36</v>
      </c>
      <c r="J3823" s="25" t="s">
        <v>49</v>
      </c>
      <c r="K3823" s="26" t="s">
        <v>38</v>
      </c>
      <c r="L3823" s="25">
        <v>13017.0</v>
      </c>
      <c r="M3823" s="49" t="s">
        <v>50</v>
      </c>
      <c r="N3823" s="42" t="s">
        <v>9953</v>
      </c>
      <c r="O3823" s="67">
        <v>45786.608094201394</v>
      </c>
      <c r="P3823" s="35" t="s">
        <v>14866</v>
      </c>
      <c r="Q3823" s="13" t="s">
        <v>75</v>
      </c>
      <c r="R3823" s="13" t="s">
        <v>75</v>
      </c>
      <c r="S3823" s="13" t="s">
        <v>73</v>
      </c>
      <c r="T3823" s="44">
        <v>45772.40378945602</v>
      </c>
      <c r="U3823" s="44">
        <v>45785.64784922454</v>
      </c>
      <c r="V3823" s="198">
        <v>45786.366221828706</v>
      </c>
      <c r="W3823" s="11"/>
      <c r="X3823" s="11"/>
      <c r="Y3823" s="45"/>
      <c r="Z3823" s="45"/>
      <c r="AA3823" s="31" t="s">
        <v>127</v>
      </c>
      <c r="AB3823" s="45" t="s">
        <v>14867</v>
      </c>
      <c r="AC3823" s="45"/>
    </row>
    <row r="3824" ht="18.75" customHeight="1">
      <c r="A3824" s="142" t="s">
        <v>14868</v>
      </c>
      <c r="B3824" s="19" t="s">
        <v>4352</v>
      </c>
      <c r="C3824" s="20">
        <v>137.0</v>
      </c>
      <c r="D3824" s="48" t="s">
        <v>14869</v>
      </c>
      <c r="E3824" s="27" t="s">
        <v>85</v>
      </c>
      <c r="F3824" s="18" t="s">
        <v>48</v>
      </c>
      <c r="G3824" s="18" t="s">
        <v>35</v>
      </c>
      <c r="H3824" s="40" t="s">
        <v>35</v>
      </c>
      <c r="I3824" s="37" t="s">
        <v>36</v>
      </c>
      <c r="J3824" s="25" t="s">
        <v>49</v>
      </c>
      <c r="K3824" s="26" t="s">
        <v>38</v>
      </c>
      <c r="L3824" s="25">
        <v>13019.0</v>
      </c>
      <c r="M3824" s="49" t="s">
        <v>50</v>
      </c>
      <c r="N3824" s="42" t="s">
        <v>9953</v>
      </c>
      <c r="O3824" s="67">
        <v>45786.60804960648</v>
      </c>
      <c r="P3824" s="35" t="s">
        <v>14870</v>
      </c>
      <c r="Q3824" s="13" t="s">
        <v>75</v>
      </c>
      <c r="R3824" s="13" t="s">
        <v>75</v>
      </c>
      <c r="S3824" s="13" t="s">
        <v>50</v>
      </c>
      <c r="T3824" s="44">
        <v>45771.45964340278</v>
      </c>
      <c r="U3824" s="44">
        <v>45785.64784416667</v>
      </c>
      <c r="V3824" s="198">
        <v>45786.382870891204</v>
      </c>
      <c r="W3824" s="11"/>
      <c r="X3824" s="11"/>
      <c r="Y3824" s="45"/>
      <c r="Z3824" s="45"/>
      <c r="AA3824" s="31" t="s">
        <v>127</v>
      </c>
      <c r="AB3824" s="45" t="s">
        <v>14871</v>
      </c>
      <c r="AC3824" s="45"/>
    </row>
    <row r="3825" ht="18.75" customHeight="1">
      <c r="A3825" s="142" t="s">
        <v>14872</v>
      </c>
      <c r="B3825" s="19" t="s">
        <v>4352</v>
      </c>
      <c r="C3825" s="20">
        <v>0.0</v>
      </c>
      <c r="D3825" s="48" t="s">
        <v>14873</v>
      </c>
      <c r="E3825" s="27" t="s">
        <v>3441</v>
      </c>
      <c r="F3825" s="18" t="s">
        <v>48</v>
      </c>
      <c r="G3825" s="18" t="s">
        <v>35</v>
      </c>
      <c r="H3825" s="40" t="s">
        <v>35</v>
      </c>
      <c r="I3825" s="37" t="s">
        <v>36</v>
      </c>
      <c r="J3825" s="25" t="s">
        <v>49</v>
      </c>
      <c r="K3825" s="26" t="s">
        <v>38</v>
      </c>
      <c r="L3825" s="25">
        <v>13020.0</v>
      </c>
      <c r="M3825" s="49" t="s">
        <v>50</v>
      </c>
      <c r="N3825" s="42" t="s">
        <v>9953</v>
      </c>
      <c r="O3825" s="67">
        <v>45786.6080062963</v>
      </c>
      <c r="P3825" s="35" t="s">
        <v>14874</v>
      </c>
      <c r="Q3825" s="13" t="s">
        <v>75</v>
      </c>
      <c r="R3825" s="13" t="s">
        <v>75</v>
      </c>
      <c r="S3825" s="13" t="s">
        <v>50</v>
      </c>
      <c r="T3825" s="44">
        <v>45771.46508347223</v>
      </c>
      <c r="U3825" s="44">
        <v>45785.64783850695</v>
      </c>
      <c r="V3825" s="198">
        <v>45786.38564853009</v>
      </c>
      <c r="W3825" s="11"/>
      <c r="X3825" s="11"/>
      <c r="Y3825" s="45"/>
      <c r="Z3825" s="45"/>
      <c r="AA3825" s="31" t="s">
        <v>127</v>
      </c>
      <c r="AB3825" s="45" t="s">
        <v>14875</v>
      </c>
      <c r="AC3825" s="45"/>
    </row>
    <row r="3826" ht="18.75" customHeight="1">
      <c r="A3826" s="142" t="s">
        <v>14876</v>
      </c>
      <c r="B3826" s="19" t="s">
        <v>4352</v>
      </c>
      <c r="C3826" s="20">
        <v>137.0</v>
      </c>
      <c r="D3826" s="48" t="s">
        <v>14877</v>
      </c>
      <c r="E3826" s="27" t="s">
        <v>85</v>
      </c>
      <c r="F3826" s="18" t="s">
        <v>48</v>
      </c>
      <c r="G3826" s="18" t="s">
        <v>35</v>
      </c>
      <c r="H3826" s="40" t="s">
        <v>35</v>
      </c>
      <c r="I3826" s="37" t="s">
        <v>36</v>
      </c>
      <c r="J3826" s="25" t="s">
        <v>49</v>
      </c>
      <c r="K3826" s="26" t="s">
        <v>38</v>
      </c>
      <c r="L3826" s="25">
        <v>13024.0</v>
      </c>
      <c r="M3826" s="49" t="s">
        <v>50</v>
      </c>
      <c r="N3826" s="42" t="s">
        <v>9953</v>
      </c>
      <c r="O3826" s="67">
        <v>45786.6079622338</v>
      </c>
      <c r="P3826" s="35" t="s">
        <v>14878</v>
      </c>
      <c r="Q3826" s="13" t="s">
        <v>75</v>
      </c>
      <c r="R3826" s="13" t="s">
        <v>75</v>
      </c>
      <c r="S3826" s="13" t="s">
        <v>50</v>
      </c>
      <c r="T3826" s="44">
        <v>45771.50536030093</v>
      </c>
      <c r="U3826" s="44">
        <v>45785.64780543982</v>
      </c>
      <c r="V3826" s="198">
        <v>45786.382870891204</v>
      </c>
      <c r="W3826" s="11"/>
      <c r="X3826" s="11"/>
      <c r="Y3826" s="45"/>
      <c r="Z3826" s="45"/>
      <c r="AA3826" s="31" t="s">
        <v>127</v>
      </c>
      <c r="AB3826" s="45" t="s">
        <v>14879</v>
      </c>
      <c r="AC3826" s="45"/>
    </row>
    <row r="3827" ht="18.75" customHeight="1">
      <c r="A3827" s="142" t="s">
        <v>14880</v>
      </c>
      <c r="B3827" s="19" t="s">
        <v>12692</v>
      </c>
      <c r="C3827" s="20">
        <v>0.0</v>
      </c>
      <c r="D3827" s="48" t="s">
        <v>14881</v>
      </c>
      <c r="E3827" s="27" t="s">
        <v>3441</v>
      </c>
      <c r="F3827" s="18" t="s">
        <v>48</v>
      </c>
      <c r="G3827" s="18" t="s">
        <v>35</v>
      </c>
      <c r="H3827" s="40" t="s">
        <v>35</v>
      </c>
      <c r="I3827" s="37" t="s">
        <v>36</v>
      </c>
      <c r="J3827" s="25" t="s">
        <v>92</v>
      </c>
      <c r="K3827" s="26" t="s">
        <v>38</v>
      </c>
      <c r="L3827" s="25">
        <v>12930.0</v>
      </c>
      <c r="M3827" s="49" t="s">
        <v>50</v>
      </c>
      <c r="N3827" s="42" t="s">
        <v>13422</v>
      </c>
      <c r="O3827" s="67">
        <v>45772.577994074076</v>
      </c>
      <c r="P3827" s="35" t="s">
        <v>14882</v>
      </c>
      <c r="Q3827" s="13" t="s">
        <v>75</v>
      </c>
      <c r="R3827" s="13" t="s">
        <v>75</v>
      </c>
      <c r="S3827" s="13" t="s">
        <v>50</v>
      </c>
      <c r="T3827" s="44">
        <v>45771.50701773148</v>
      </c>
      <c r="U3827" s="44">
        <v>45771.70227277778</v>
      </c>
      <c r="V3827" s="198">
        <v>45772.34555230324</v>
      </c>
      <c r="W3827" s="11"/>
      <c r="X3827" s="11"/>
      <c r="Y3827" s="45"/>
      <c r="Z3827" s="45"/>
      <c r="AA3827" s="31" t="s">
        <v>3059</v>
      </c>
      <c r="AB3827" s="45" t="s">
        <v>14883</v>
      </c>
      <c r="AC3827" s="45"/>
    </row>
    <row r="3828" ht="18.75" customHeight="1">
      <c r="A3828" s="142" t="s">
        <v>14884</v>
      </c>
      <c r="B3828" s="19" t="s">
        <v>4215</v>
      </c>
      <c r="C3828" s="20">
        <v>0.0</v>
      </c>
      <c r="D3828" s="48" t="s">
        <v>14885</v>
      </c>
      <c r="E3828" s="27" t="s">
        <v>532</v>
      </c>
      <c r="F3828" s="18" t="s">
        <v>244</v>
      </c>
      <c r="G3828" s="18" t="s">
        <v>35</v>
      </c>
      <c r="H3828" s="40" t="s">
        <v>35</v>
      </c>
      <c r="I3828" s="37" t="s">
        <v>36</v>
      </c>
      <c r="J3828" s="25" t="s">
        <v>420</v>
      </c>
      <c r="K3828" s="26" t="s">
        <v>38</v>
      </c>
      <c r="L3828" s="25">
        <v>12966.0</v>
      </c>
      <c r="M3828" s="49" t="s">
        <v>50</v>
      </c>
      <c r="N3828" s="42" t="s">
        <v>4031</v>
      </c>
      <c r="O3828" s="67">
        <v>45777.57006392362</v>
      </c>
      <c r="P3828" s="26" t="s">
        <v>14886</v>
      </c>
      <c r="Q3828" s="13" t="s">
        <v>75</v>
      </c>
      <c r="R3828" s="13" t="s">
        <v>75</v>
      </c>
      <c r="S3828" s="13"/>
      <c r="T3828" s="44">
        <v>45772.40549427083</v>
      </c>
      <c r="U3828" s="44">
        <v>45772.440785659724</v>
      </c>
      <c r="V3828" s="203"/>
      <c r="W3828" s="11"/>
      <c r="X3828" s="11"/>
      <c r="Y3828" s="45"/>
      <c r="Z3828" s="45"/>
      <c r="AA3828" s="31" t="s">
        <v>120</v>
      </c>
      <c r="AB3828" s="45" t="s">
        <v>14887</v>
      </c>
      <c r="AC3828" s="45"/>
    </row>
    <row r="3829" ht="18.75" customHeight="1">
      <c r="A3829" s="142" t="s">
        <v>14888</v>
      </c>
      <c r="B3829" s="19" t="s">
        <v>4215</v>
      </c>
      <c r="C3829" s="20">
        <v>11.0</v>
      </c>
      <c r="D3829" s="48" t="s">
        <v>14889</v>
      </c>
      <c r="E3829" s="27" t="s">
        <v>112</v>
      </c>
      <c r="F3829" s="18" t="s">
        <v>48</v>
      </c>
      <c r="G3829" s="18" t="s">
        <v>35</v>
      </c>
      <c r="H3829" s="40" t="s">
        <v>35</v>
      </c>
      <c r="I3829" s="37" t="s">
        <v>36</v>
      </c>
      <c r="J3829" s="25" t="s">
        <v>420</v>
      </c>
      <c r="K3829" s="26" t="s">
        <v>38</v>
      </c>
      <c r="L3829" s="25">
        <v>12937.0</v>
      </c>
      <c r="M3829" s="49" t="s">
        <v>50</v>
      </c>
      <c r="N3829" s="42" t="s">
        <v>4031</v>
      </c>
      <c r="O3829" s="67">
        <v>45775.623273819445</v>
      </c>
      <c r="P3829" s="26" t="s">
        <v>14890</v>
      </c>
      <c r="Q3829" s="13" t="s">
        <v>75</v>
      </c>
      <c r="R3829" s="13" t="s">
        <v>75</v>
      </c>
      <c r="S3829" s="13" t="s">
        <v>50</v>
      </c>
      <c r="T3829" s="44">
        <v>45772.40871726852</v>
      </c>
      <c r="U3829" s="44">
        <v>45772.661807592594</v>
      </c>
      <c r="V3829" s="198">
        <v>45775.335000798616</v>
      </c>
      <c r="W3829" s="11"/>
      <c r="X3829" s="11"/>
      <c r="Y3829" s="45"/>
      <c r="Z3829" s="45"/>
      <c r="AA3829" s="31" t="s">
        <v>120</v>
      </c>
      <c r="AB3829" s="45" t="s">
        <v>14891</v>
      </c>
      <c r="AC3829" s="45"/>
    </row>
    <row r="3830" ht="18.75" customHeight="1">
      <c r="A3830" s="18" t="s">
        <v>14892</v>
      </c>
      <c r="B3830" s="19" t="s">
        <v>5307</v>
      </c>
      <c r="C3830" s="20">
        <v>90.0</v>
      </c>
      <c r="D3830" s="48" t="s">
        <v>14893</v>
      </c>
      <c r="E3830" s="27" t="s">
        <v>91</v>
      </c>
      <c r="F3830" s="18" t="s">
        <v>48</v>
      </c>
      <c r="G3830" s="18" t="s">
        <v>35</v>
      </c>
      <c r="H3830" s="40" t="s">
        <v>35</v>
      </c>
      <c r="I3830" s="37" t="s">
        <v>36</v>
      </c>
      <c r="J3830" s="25" t="s">
        <v>49</v>
      </c>
      <c r="K3830" s="26" t="s">
        <v>38</v>
      </c>
      <c r="L3830" s="25">
        <v>12938.0</v>
      </c>
      <c r="M3830" s="49" t="s">
        <v>50</v>
      </c>
      <c r="N3830" s="42" t="s">
        <v>143</v>
      </c>
      <c r="O3830" s="67">
        <v>45775.589573206016</v>
      </c>
      <c r="P3830" s="26" t="s">
        <v>14894</v>
      </c>
      <c r="Q3830" s="13" t="s">
        <v>75</v>
      </c>
      <c r="R3830" s="13" t="s">
        <v>75</v>
      </c>
      <c r="S3830" s="13" t="s">
        <v>50</v>
      </c>
      <c r="T3830" s="44">
        <v>45772.57812644676</v>
      </c>
      <c r="U3830" s="44">
        <v>45772.57819247685</v>
      </c>
      <c r="V3830" s="198">
        <v>45775.334977418985</v>
      </c>
      <c r="W3830" s="11"/>
      <c r="X3830" s="11"/>
      <c r="Y3830" s="45"/>
      <c r="Z3830" s="45"/>
      <c r="AA3830" s="31" t="s">
        <v>5199</v>
      </c>
      <c r="AB3830" s="45" t="s">
        <v>14895</v>
      </c>
      <c r="AC3830" s="45"/>
    </row>
    <row r="3831" ht="18.75" customHeight="1">
      <c r="A3831" s="18" t="s">
        <v>14896</v>
      </c>
      <c r="B3831" s="19" t="s">
        <v>5307</v>
      </c>
      <c r="C3831" s="20">
        <v>90.0</v>
      </c>
      <c r="D3831" s="48" t="s">
        <v>14897</v>
      </c>
      <c r="E3831" s="27" t="s">
        <v>91</v>
      </c>
      <c r="F3831" s="18" t="s">
        <v>48</v>
      </c>
      <c r="G3831" s="18" t="s">
        <v>35</v>
      </c>
      <c r="H3831" s="40" t="s">
        <v>35</v>
      </c>
      <c r="I3831" s="37" t="s">
        <v>36</v>
      </c>
      <c r="J3831" s="25" t="s">
        <v>49</v>
      </c>
      <c r="K3831" s="26" t="s">
        <v>38</v>
      </c>
      <c r="L3831" s="25">
        <v>12938.0</v>
      </c>
      <c r="M3831" s="49" t="s">
        <v>50</v>
      </c>
      <c r="N3831" s="42" t="s">
        <v>143</v>
      </c>
      <c r="O3831" s="67">
        <v>45775.589493356485</v>
      </c>
      <c r="P3831" s="26" t="s">
        <v>14894</v>
      </c>
      <c r="Q3831" s="13" t="s">
        <v>75</v>
      </c>
      <c r="R3831" s="13" t="s">
        <v>75</v>
      </c>
      <c r="S3831" s="13" t="s">
        <v>50</v>
      </c>
      <c r="T3831" s="44">
        <v>45772.578190520835</v>
      </c>
      <c r="U3831" s="44">
        <v>45772.57820246527</v>
      </c>
      <c r="V3831" s="198">
        <v>45775.33499070602</v>
      </c>
      <c r="W3831" s="11"/>
      <c r="X3831" s="11"/>
      <c r="Y3831" s="45"/>
      <c r="Z3831" s="45"/>
      <c r="AA3831" s="31" t="s">
        <v>5199</v>
      </c>
      <c r="AB3831" s="45" t="s">
        <v>14898</v>
      </c>
      <c r="AC3831" s="45"/>
    </row>
    <row r="3832" ht="18.75" customHeight="1">
      <c r="A3832" s="142" t="s">
        <v>14899</v>
      </c>
      <c r="B3832" s="19" t="s">
        <v>3888</v>
      </c>
      <c r="C3832" s="20">
        <v>90.0</v>
      </c>
      <c r="D3832" s="48" t="s">
        <v>14900</v>
      </c>
      <c r="E3832" s="27" t="s">
        <v>91</v>
      </c>
      <c r="F3832" s="18" t="s">
        <v>48</v>
      </c>
      <c r="G3832" s="18" t="s">
        <v>35</v>
      </c>
      <c r="H3832" s="40" t="s">
        <v>35</v>
      </c>
      <c r="I3832" s="37" t="s">
        <v>36</v>
      </c>
      <c r="J3832" s="25" t="s">
        <v>49</v>
      </c>
      <c r="K3832" s="26" t="s">
        <v>2978</v>
      </c>
      <c r="L3832" s="25">
        <v>12931.0</v>
      </c>
      <c r="M3832" s="49" t="s">
        <v>50</v>
      </c>
      <c r="N3832" s="42" t="s">
        <v>5936</v>
      </c>
      <c r="O3832" s="67">
        <v>45772.325694444444</v>
      </c>
      <c r="P3832" s="26" t="s">
        <v>14901</v>
      </c>
      <c r="Q3832" s="13" t="s">
        <v>75</v>
      </c>
      <c r="R3832" s="13" t="s">
        <v>75</v>
      </c>
      <c r="S3832" s="13" t="s">
        <v>50</v>
      </c>
      <c r="T3832" s="44">
        <v>45772.41475784722</v>
      </c>
      <c r="U3832" s="44">
        <v>45772.444325648146</v>
      </c>
      <c r="V3832" s="198">
        <v>45772.55484247685</v>
      </c>
      <c r="W3832" s="11"/>
      <c r="X3832" s="11"/>
      <c r="Y3832" s="45"/>
      <c r="Z3832" s="45"/>
      <c r="AA3832" s="31" t="s">
        <v>108</v>
      </c>
      <c r="AB3832" s="45" t="s">
        <v>14902</v>
      </c>
      <c r="AC3832" s="45"/>
    </row>
    <row r="3833" ht="18.75" customHeight="1">
      <c r="A3833" s="142" t="s">
        <v>14903</v>
      </c>
      <c r="B3833" s="19" t="s">
        <v>1345</v>
      </c>
      <c r="C3833" s="20">
        <v>34.0</v>
      </c>
      <c r="D3833" s="48" t="s">
        <v>14904</v>
      </c>
      <c r="E3833" s="27" t="s">
        <v>47</v>
      </c>
      <c r="F3833" s="18" t="s">
        <v>48</v>
      </c>
      <c r="G3833" s="18" t="s">
        <v>35</v>
      </c>
      <c r="H3833" s="40" t="s">
        <v>35</v>
      </c>
      <c r="I3833" s="37" t="s">
        <v>36</v>
      </c>
      <c r="J3833" s="25" t="s">
        <v>420</v>
      </c>
      <c r="K3833" s="26" t="s">
        <v>38</v>
      </c>
      <c r="L3833" s="25">
        <v>12939.0</v>
      </c>
      <c r="M3833" s="49" t="s">
        <v>50</v>
      </c>
      <c r="N3833" s="42" t="s">
        <v>4031</v>
      </c>
      <c r="O3833" s="67">
        <v>45775.623352662034</v>
      </c>
      <c r="P3833" s="26" t="s">
        <v>14905</v>
      </c>
      <c r="Q3833" s="13" t="s">
        <v>75</v>
      </c>
      <c r="R3833" s="13" t="s">
        <v>75</v>
      </c>
      <c r="S3833" s="13" t="s">
        <v>50</v>
      </c>
      <c r="T3833" s="44">
        <v>45772.434760902775</v>
      </c>
      <c r="U3833" s="44">
        <v>45772.55976694444</v>
      </c>
      <c r="V3833" s="198">
        <v>45775.3349693287</v>
      </c>
      <c r="W3833" s="11"/>
      <c r="X3833" s="11"/>
      <c r="Y3833" s="45"/>
      <c r="Z3833" s="45"/>
      <c r="AA3833" s="31" t="s">
        <v>94</v>
      </c>
      <c r="AB3833" s="45" t="s">
        <v>14906</v>
      </c>
      <c r="AC3833" s="45"/>
    </row>
    <row r="3834" ht="18.75" customHeight="1">
      <c r="A3834" s="18" t="s">
        <v>14907</v>
      </c>
      <c r="B3834" s="19" t="s">
        <v>4206</v>
      </c>
      <c r="C3834" s="20">
        <v>1.0</v>
      </c>
      <c r="D3834" s="48" t="s">
        <v>14908</v>
      </c>
      <c r="E3834" s="27" t="s">
        <v>3395</v>
      </c>
      <c r="F3834" s="18" t="s">
        <v>48</v>
      </c>
      <c r="G3834" s="18" t="s">
        <v>35</v>
      </c>
      <c r="H3834" s="40" t="s">
        <v>35</v>
      </c>
      <c r="I3834" s="37" t="s">
        <v>36</v>
      </c>
      <c r="J3834" s="25" t="s">
        <v>92</v>
      </c>
      <c r="K3834" s="26" t="s">
        <v>38</v>
      </c>
      <c r="L3834" s="25">
        <v>12932.0</v>
      </c>
      <c r="M3834" s="49" t="s">
        <v>50</v>
      </c>
      <c r="N3834" s="42" t="s">
        <v>5893</v>
      </c>
      <c r="O3834" s="67">
        <v>45775.325719409724</v>
      </c>
      <c r="P3834" s="26" t="s">
        <v>14909</v>
      </c>
      <c r="Q3834" s="13" t="s">
        <v>75</v>
      </c>
      <c r="R3834" s="13" t="s">
        <v>75</v>
      </c>
      <c r="S3834" s="13" t="s">
        <v>50</v>
      </c>
      <c r="T3834" s="44">
        <v>45772.41636584491</v>
      </c>
      <c r="U3834" s="44">
        <v>45772.55193258102</v>
      </c>
      <c r="V3834" s="198">
        <v>45772.554520439815</v>
      </c>
      <c r="W3834" s="11"/>
      <c r="X3834" s="11"/>
      <c r="Y3834" s="45"/>
      <c r="Z3834" s="45"/>
      <c r="AA3834" s="31" t="s">
        <v>3059</v>
      </c>
      <c r="AB3834" s="45" t="s">
        <v>14910</v>
      </c>
      <c r="AC3834" s="45"/>
    </row>
    <row r="3835" ht="18.75" customHeight="1">
      <c r="A3835" s="18" t="s">
        <v>14911</v>
      </c>
      <c r="B3835" s="19" t="s">
        <v>4206</v>
      </c>
      <c r="C3835" s="20">
        <v>137.0</v>
      </c>
      <c r="D3835" s="48" t="s">
        <v>14912</v>
      </c>
      <c r="E3835" s="27" t="s">
        <v>85</v>
      </c>
      <c r="F3835" s="18" t="s">
        <v>48</v>
      </c>
      <c r="G3835" s="18" t="s">
        <v>35</v>
      </c>
      <c r="H3835" s="40" t="s">
        <v>35</v>
      </c>
      <c r="I3835" s="37" t="s">
        <v>36</v>
      </c>
      <c r="J3835" s="25" t="s">
        <v>92</v>
      </c>
      <c r="K3835" s="26" t="s">
        <v>38</v>
      </c>
      <c r="L3835" s="25">
        <v>12932.0</v>
      </c>
      <c r="M3835" s="49" t="s">
        <v>50</v>
      </c>
      <c r="N3835" s="42" t="s">
        <v>5893</v>
      </c>
      <c r="O3835" s="67">
        <v>45775.325801493054</v>
      </c>
      <c r="P3835" s="26" t="s">
        <v>14909</v>
      </c>
      <c r="Q3835" s="13" t="s">
        <v>75</v>
      </c>
      <c r="R3835" s="13" t="s">
        <v>75</v>
      </c>
      <c r="S3835" s="13" t="s">
        <v>50</v>
      </c>
      <c r="T3835" s="44">
        <v>45772.42974821759</v>
      </c>
      <c r="U3835" s="44">
        <v>45772.55194909722</v>
      </c>
      <c r="V3835" s="198">
        <v>45772.55453164352</v>
      </c>
      <c r="W3835" s="11"/>
      <c r="X3835" s="11"/>
      <c r="Y3835" s="45"/>
      <c r="Z3835" s="45"/>
      <c r="AA3835" s="31" t="s">
        <v>3059</v>
      </c>
      <c r="AB3835" s="45" t="s">
        <v>14913</v>
      </c>
      <c r="AC3835" s="45"/>
    </row>
    <row r="3836" ht="18.75" customHeight="1">
      <c r="A3836" s="142" t="s">
        <v>14914</v>
      </c>
      <c r="B3836" s="19" t="s">
        <v>11733</v>
      </c>
      <c r="C3836" s="20">
        <v>11.0</v>
      </c>
      <c r="D3836" s="48" t="s">
        <v>14915</v>
      </c>
      <c r="E3836" s="27" t="s">
        <v>112</v>
      </c>
      <c r="F3836" s="18" t="s">
        <v>48</v>
      </c>
      <c r="G3836" s="18" t="s">
        <v>35</v>
      </c>
      <c r="H3836" s="40" t="s">
        <v>35</v>
      </c>
      <c r="I3836" s="37" t="s">
        <v>36</v>
      </c>
      <c r="J3836" s="25" t="s">
        <v>49</v>
      </c>
      <c r="K3836" s="26" t="s">
        <v>38</v>
      </c>
      <c r="L3836" s="25">
        <v>12933.0</v>
      </c>
      <c r="M3836" s="49" t="s">
        <v>50</v>
      </c>
      <c r="N3836" s="42" t="s">
        <v>5936</v>
      </c>
      <c r="O3836" s="67">
        <v>45772.32638888889</v>
      </c>
      <c r="P3836" s="26" t="s">
        <v>14916</v>
      </c>
      <c r="Q3836" s="13" t="s">
        <v>75</v>
      </c>
      <c r="R3836" s="13" t="s">
        <v>75</v>
      </c>
      <c r="S3836" s="13" t="s">
        <v>50</v>
      </c>
      <c r="T3836" s="44">
        <v>45772.435927349536</v>
      </c>
      <c r="U3836" s="44">
        <v>45772.44243848379</v>
      </c>
      <c r="V3836" s="198">
        <v>45772.55791513889</v>
      </c>
      <c r="W3836" s="11"/>
      <c r="X3836" s="11"/>
      <c r="Y3836" s="45"/>
      <c r="Z3836" s="45"/>
      <c r="AA3836" s="31" t="s">
        <v>127</v>
      </c>
      <c r="AB3836" s="45" t="s">
        <v>14917</v>
      </c>
      <c r="AC3836" s="45"/>
    </row>
    <row r="3837" ht="18.75" customHeight="1">
      <c r="A3837" s="142" t="s">
        <v>14918</v>
      </c>
      <c r="B3837" s="19" t="s">
        <v>9801</v>
      </c>
      <c r="C3837" s="20">
        <v>27.0</v>
      </c>
      <c r="D3837" s="39" t="s">
        <v>14919</v>
      </c>
      <c r="E3837" s="27" t="s">
        <v>72</v>
      </c>
      <c r="F3837" s="18" t="s">
        <v>48</v>
      </c>
      <c r="G3837" s="18" t="s">
        <v>35</v>
      </c>
      <c r="H3837" s="40" t="s">
        <v>35</v>
      </c>
      <c r="I3837" s="37" t="s">
        <v>36</v>
      </c>
      <c r="J3837" s="25" t="s">
        <v>65</v>
      </c>
      <c r="K3837" s="26" t="s">
        <v>38</v>
      </c>
      <c r="L3837" s="25">
        <v>12945.0</v>
      </c>
      <c r="M3837" s="49" t="s">
        <v>50</v>
      </c>
      <c r="N3837" s="42" t="s">
        <v>14184</v>
      </c>
      <c r="O3837" s="67">
        <v>45775.71357291666</v>
      </c>
      <c r="P3837" s="35" t="s">
        <v>14304</v>
      </c>
      <c r="Q3837" s="13" t="s">
        <v>75</v>
      </c>
      <c r="R3837" s="13" t="s">
        <v>75</v>
      </c>
      <c r="S3837" s="13" t="s">
        <v>50</v>
      </c>
      <c r="T3837" s="44">
        <v>45775.39109560185</v>
      </c>
      <c r="U3837" s="44">
        <v>45775.48796493055</v>
      </c>
      <c r="V3837" s="198">
        <v>45775.5687640625</v>
      </c>
      <c r="W3837" s="11"/>
      <c r="X3837" s="11"/>
      <c r="Y3837" s="45"/>
      <c r="Z3837" s="45"/>
      <c r="AA3837" s="31" t="s">
        <v>94</v>
      </c>
      <c r="AB3837" s="45" t="s">
        <v>14920</v>
      </c>
      <c r="AC3837" s="45"/>
    </row>
    <row r="3838" ht="18.75" customHeight="1">
      <c r="A3838" s="18" t="s">
        <v>14921</v>
      </c>
      <c r="B3838" s="19" t="s">
        <v>14922</v>
      </c>
      <c r="C3838" s="20">
        <v>27.0</v>
      </c>
      <c r="D3838" s="39" t="s">
        <v>14923</v>
      </c>
      <c r="E3838" s="27" t="s">
        <v>72</v>
      </c>
      <c r="F3838" s="18" t="s">
        <v>48</v>
      </c>
      <c r="G3838" s="18" t="s">
        <v>35</v>
      </c>
      <c r="H3838" s="40" t="s">
        <v>35</v>
      </c>
      <c r="I3838" s="37" t="s">
        <v>36</v>
      </c>
      <c r="J3838" s="25" t="s">
        <v>49</v>
      </c>
      <c r="K3838" s="26" t="s">
        <v>1506</v>
      </c>
      <c r="L3838" s="25">
        <v>13035.0</v>
      </c>
      <c r="M3838" s="49" t="s">
        <v>50</v>
      </c>
      <c r="N3838" s="42" t="s">
        <v>143</v>
      </c>
      <c r="O3838" s="67">
        <v>45789.60896745371</v>
      </c>
      <c r="P3838" s="26" t="s">
        <v>14924</v>
      </c>
      <c r="Q3838" s="13" t="s">
        <v>75</v>
      </c>
      <c r="R3838" s="13" t="s">
        <v>75</v>
      </c>
      <c r="S3838" s="13" t="s">
        <v>50</v>
      </c>
      <c r="T3838" s="44">
        <v>45775.39376023148</v>
      </c>
      <c r="U3838" s="44">
        <v>45786.50571678241</v>
      </c>
      <c r="V3838" s="198">
        <v>45789.34052100695</v>
      </c>
      <c r="W3838" s="11"/>
      <c r="X3838" s="11"/>
      <c r="Y3838" s="45"/>
      <c r="Z3838" s="45"/>
      <c r="AA3838" s="31" t="s">
        <v>9317</v>
      </c>
      <c r="AB3838" s="45" t="s">
        <v>14925</v>
      </c>
      <c r="AC3838" s="45"/>
    </row>
    <row r="3839" ht="18.75" customHeight="1">
      <c r="A3839" s="18" t="s">
        <v>14926</v>
      </c>
      <c r="B3839" s="19" t="s">
        <v>14922</v>
      </c>
      <c r="C3839" s="20">
        <v>11.0</v>
      </c>
      <c r="D3839" s="48" t="s">
        <v>14927</v>
      </c>
      <c r="E3839" s="27" t="s">
        <v>112</v>
      </c>
      <c r="F3839" s="18" t="s">
        <v>48</v>
      </c>
      <c r="G3839" s="18" t="s">
        <v>35</v>
      </c>
      <c r="H3839" s="40" t="s">
        <v>35</v>
      </c>
      <c r="I3839" s="37" t="s">
        <v>36</v>
      </c>
      <c r="J3839" s="25" t="s">
        <v>49</v>
      </c>
      <c r="K3839" s="26" t="s">
        <v>1506</v>
      </c>
      <c r="L3839" s="25">
        <v>13035.0</v>
      </c>
      <c r="M3839" s="49" t="s">
        <v>50</v>
      </c>
      <c r="N3839" s="42" t="s">
        <v>143</v>
      </c>
      <c r="O3839" s="67">
        <v>45789.60891548611</v>
      </c>
      <c r="P3839" s="26" t="s">
        <v>14924</v>
      </c>
      <c r="Q3839" s="13" t="s">
        <v>75</v>
      </c>
      <c r="R3839" s="13" t="s">
        <v>75</v>
      </c>
      <c r="S3839" s="13" t="s">
        <v>50</v>
      </c>
      <c r="T3839" s="44">
        <v>45775.39400167824</v>
      </c>
      <c r="U3839" s="44">
        <v>45786.50582189814</v>
      </c>
      <c r="V3839" s="198">
        <v>45789.34052100695</v>
      </c>
      <c r="W3839" s="11"/>
      <c r="X3839" s="11"/>
      <c r="Y3839" s="45"/>
      <c r="Z3839" s="45"/>
      <c r="AA3839" s="31" t="s">
        <v>9317</v>
      </c>
      <c r="AB3839" s="45" t="s">
        <v>14928</v>
      </c>
      <c r="AC3839" s="45"/>
    </row>
    <row r="3840" ht="18.75" customHeight="1">
      <c r="A3840" s="142" t="s">
        <v>14929</v>
      </c>
      <c r="B3840" s="19" t="s">
        <v>14930</v>
      </c>
      <c r="C3840" s="20">
        <v>0.0</v>
      </c>
      <c r="D3840" s="48" t="s">
        <v>14931</v>
      </c>
      <c r="E3840" s="27" t="s">
        <v>3441</v>
      </c>
      <c r="F3840" s="18" t="s">
        <v>48</v>
      </c>
      <c r="G3840" s="18" t="s">
        <v>35</v>
      </c>
      <c r="H3840" s="40" t="s">
        <v>35</v>
      </c>
      <c r="I3840" s="37" t="s">
        <v>36</v>
      </c>
      <c r="J3840" s="25" t="s">
        <v>65</v>
      </c>
      <c r="K3840" s="26" t="s">
        <v>38</v>
      </c>
      <c r="L3840" s="25">
        <v>12943.0</v>
      </c>
      <c r="M3840" s="49" t="s">
        <v>50</v>
      </c>
      <c r="N3840" s="42" t="s">
        <v>14184</v>
      </c>
      <c r="O3840" s="67">
        <v>45775.71351240741</v>
      </c>
      <c r="P3840" s="35" t="s">
        <v>14932</v>
      </c>
      <c r="Q3840" s="13" t="s">
        <v>75</v>
      </c>
      <c r="R3840" s="13" t="s">
        <v>75</v>
      </c>
      <c r="S3840" s="13" t="s">
        <v>50</v>
      </c>
      <c r="T3840" s="44">
        <v>45775.4159227662</v>
      </c>
      <c r="U3840" s="44">
        <v>45775.506974398144</v>
      </c>
      <c r="V3840" s="198">
        <v>45775.53585971065</v>
      </c>
      <c r="W3840" s="11"/>
      <c r="X3840" s="11"/>
      <c r="Y3840" s="45"/>
      <c r="Z3840" s="45"/>
      <c r="AA3840" s="31" t="s">
        <v>94</v>
      </c>
      <c r="AB3840" s="45" t="s">
        <v>14933</v>
      </c>
      <c r="AC3840" s="45"/>
    </row>
    <row r="3841" ht="18.75" customHeight="1">
      <c r="A3841" s="142" t="s">
        <v>14934</v>
      </c>
      <c r="B3841" s="19" t="s">
        <v>5323</v>
      </c>
      <c r="C3841" s="20">
        <v>34.0</v>
      </c>
      <c r="D3841" s="48" t="s">
        <v>14935</v>
      </c>
      <c r="E3841" s="27" t="s">
        <v>47</v>
      </c>
      <c r="F3841" s="18" t="s">
        <v>48</v>
      </c>
      <c r="G3841" s="18" t="s">
        <v>35</v>
      </c>
      <c r="H3841" s="40" t="s">
        <v>35</v>
      </c>
      <c r="I3841" s="37" t="s">
        <v>36</v>
      </c>
      <c r="J3841" s="25" t="s">
        <v>49</v>
      </c>
      <c r="K3841" s="26" t="s">
        <v>38</v>
      </c>
      <c r="L3841" s="72">
        <v>12947.0</v>
      </c>
      <c r="M3841" s="49" t="s">
        <v>50</v>
      </c>
      <c r="N3841" s="42" t="s">
        <v>5936</v>
      </c>
      <c r="O3841" s="67">
        <v>45776.651162372684</v>
      </c>
      <c r="P3841" s="26" t="s">
        <v>14936</v>
      </c>
      <c r="Q3841" s="13" t="s">
        <v>75</v>
      </c>
      <c r="R3841" s="13" t="s">
        <v>75</v>
      </c>
      <c r="S3841" s="13" t="s">
        <v>50</v>
      </c>
      <c r="T3841" s="44">
        <v>45775.57806925926</v>
      </c>
      <c r="U3841" s="44">
        <v>45775.65140761574</v>
      </c>
      <c r="V3841" s="198">
        <v>45776.365532199074</v>
      </c>
      <c r="W3841" s="11"/>
      <c r="X3841" s="11"/>
      <c r="Y3841" s="45"/>
      <c r="Z3841" s="45"/>
      <c r="AA3841" s="31" t="s">
        <v>102</v>
      </c>
      <c r="AB3841" s="45" t="s">
        <v>14937</v>
      </c>
      <c r="AC3841" s="45"/>
    </row>
    <row r="3842" ht="18.75" customHeight="1">
      <c r="A3842" s="142" t="s">
        <v>14938</v>
      </c>
      <c r="B3842" s="19" t="s">
        <v>5469</v>
      </c>
      <c r="C3842" s="20">
        <v>0.0</v>
      </c>
      <c r="D3842" s="48" t="s">
        <v>14939</v>
      </c>
      <c r="E3842" s="27" t="s">
        <v>11957</v>
      </c>
      <c r="F3842" s="18" t="s">
        <v>48</v>
      </c>
      <c r="G3842" s="18" t="s">
        <v>35</v>
      </c>
      <c r="H3842" s="40" t="s">
        <v>35</v>
      </c>
      <c r="I3842" s="37" t="s">
        <v>36</v>
      </c>
      <c r="J3842" s="25" t="s">
        <v>49</v>
      </c>
      <c r="K3842" s="26" t="s">
        <v>38</v>
      </c>
      <c r="L3842" s="25">
        <v>12998.0</v>
      </c>
      <c r="M3842" s="49" t="s">
        <v>50</v>
      </c>
      <c r="N3842" s="42" t="s">
        <v>143</v>
      </c>
      <c r="O3842" s="67">
        <v>45783.635109282404</v>
      </c>
      <c r="P3842" s="26" t="s">
        <v>14940</v>
      </c>
      <c r="Q3842" s="13" t="s">
        <v>75</v>
      </c>
      <c r="R3842" s="13" t="s">
        <v>75</v>
      </c>
      <c r="S3842" s="13" t="s">
        <v>50</v>
      </c>
      <c r="T3842" s="44">
        <v>45775.58070077546</v>
      </c>
      <c r="U3842" s="44">
        <v>45775.651755694445</v>
      </c>
      <c r="V3842" s="198">
        <v>45783.59184922454</v>
      </c>
      <c r="W3842" s="11"/>
      <c r="X3842" s="11"/>
      <c r="Y3842" s="45"/>
      <c r="Z3842" s="45"/>
      <c r="AA3842" s="31" t="s">
        <v>102</v>
      </c>
      <c r="AB3842" s="45" t="s">
        <v>14941</v>
      </c>
      <c r="AC3842" s="45"/>
    </row>
    <row r="3843" ht="18.75" customHeight="1">
      <c r="A3843" s="142" t="s">
        <v>14942</v>
      </c>
      <c r="B3843" s="19" t="s">
        <v>5469</v>
      </c>
      <c r="C3843" s="20">
        <v>1.0</v>
      </c>
      <c r="D3843" s="48" t="s">
        <v>14943</v>
      </c>
      <c r="E3843" s="27" t="s">
        <v>11712</v>
      </c>
      <c r="F3843" s="18" t="s">
        <v>48</v>
      </c>
      <c r="G3843" s="18" t="s">
        <v>35</v>
      </c>
      <c r="H3843" s="40" t="s">
        <v>35</v>
      </c>
      <c r="I3843" s="37" t="s">
        <v>36</v>
      </c>
      <c r="J3843" s="25" t="s">
        <v>49</v>
      </c>
      <c r="K3843" s="26" t="s">
        <v>38</v>
      </c>
      <c r="L3843" s="25">
        <v>12996.0</v>
      </c>
      <c r="M3843" s="49" t="s">
        <v>50</v>
      </c>
      <c r="N3843" s="42" t="s">
        <v>143</v>
      </c>
      <c r="O3843" s="67">
        <v>45783.635062870366</v>
      </c>
      <c r="P3843" s="26" t="s">
        <v>14944</v>
      </c>
      <c r="Q3843" s="13" t="s">
        <v>75</v>
      </c>
      <c r="R3843" s="13" t="s">
        <v>75</v>
      </c>
      <c r="S3843" s="13"/>
      <c r="T3843" s="44">
        <v>45775.58348616898</v>
      </c>
      <c r="U3843" s="44">
        <v>45775.65203640047</v>
      </c>
      <c r="V3843" s="203"/>
      <c r="W3843" s="11"/>
      <c r="X3843" s="11"/>
      <c r="Y3843" s="45"/>
      <c r="Z3843" s="45"/>
      <c r="AA3843" s="31" t="s">
        <v>102</v>
      </c>
      <c r="AB3843" s="45" t="s">
        <v>14945</v>
      </c>
      <c r="AC3843" s="45"/>
    </row>
    <row r="3844" ht="18.75" customHeight="1">
      <c r="A3844" s="18" t="s">
        <v>14946</v>
      </c>
      <c r="B3844" s="19" t="s">
        <v>8743</v>
      </c>
      <c r="C3844" s="20">
        <v>11.0</v>
      </c>
      <c r="D3844" s="48" t="s">
        <v>14947</v>
      </c>
      <c r="E3844" s="27" t="s">
        <v>112</v>
      </c>
      <c r="F3844" s="18" t="s">
        <v>48</v>
      </c>
      <c r="G3844" s="18" t="s">
        <v>35</v>
      </c>
      <c r="H3844" s="40" t="s">
        <v>35</v>
      </c>
      <c r="I3844" s="37" t="s">
        <v>36</v>
      </c>
      <c r="J3844" s="25" t="s">
        <v>65</v>
      </c>
      <c r="K3844" s="26" t="s">
        <v>38</v>
      </c>
      <c r="L3844" s="25">
        <v>13021.0</v>
      </c>
      <c r="M3844" s="49" t="s">
        <v>50</v>
      </c>
      <c r="N3844" s="42" t="s">
        <v>11189</v>
      </c>
      <c r="O3844" s="67">
        <v>45786.66736137732</v>
      </c>
      <c r="P3844" s="26" t="s">
        <v>14948</v>
      </c>
      <c r="Q3844" s="13" t="s">
        <v>75</v>
      </c>
      <c r="R3844" s="13" t="s">
        <v>75</v>
      </c>
      <c r="S3844" s="13" t="s">
        <v>50</v>
      </c>
      <c r="T3844" s="44">
        <v>45776.36437028935</v>
      </c>
      <c r="U3844" s="44">
        <v>45785.45598989583</v>
      </c>
      <c r="V3844" s="198">
        <v>45786.37986162037</v>
      </c>
      <c r="W3844" s="11"/>
      <c r="X3844" s="11"/>
      <c r="Y3844" s="45"/>
      <c r="Z3844" s="45"/>
      <c r="AA3844" s="31" t="s">
        <v>3059</v>
      </c>
      <c r="AB3844" s="45" t="s">
        <v>14949</v>
      </c>
      <c r="AC3844" s="45"/>
    </row>
    <row r="3845" ht="18.75" customHeight="1">
      <c r="A3845" s="18" t="s">
        <v>14950</v>
      </c>
      <c r="B3845" s="19" t="s">
        <v>8743</v>
      </c>
      <c r="C3845" s="20">
        <v>137.0</v>
      </c>
      <c r="D3845" s="48" t="s">
        <v>14951</v>
      </c>
      <c r="E3845" s="27" t="s">
        <v>85</v>
      </c>
      <c r="F3845" s="18" t="s">
        <v>48</v>
      </c>
      <c r="G3845" s="18" t="s">
        <v>35</v>
      </c>
      <c r="H3845" s="40" t="s">
        <v>35</v>
      </c>
      <c r="I3845" s="37" t="s">
        <v>36</v>
      </c>
      <c r="J3845" s="25" t="s">
        <v>65</v>
      </c>
      <c r="K3845" s="26" t="s">
        <v>38</v>
      </c>
      <c r="L3845" s="25">
        <v>13021.0</v>
      </c>
      <c r="M3845" s="49" t="s">
        <v>50</v>
      </c>
      <c r="N3845" s="42" t="s">
        <v>11189</v>
      </c>
      <c r="O3845" s="67">
        <v>45786.66731225695</v>
      </c>
      <c r="P3845" s="26" t="s">
        <v>14948</v>
      </c>
      <c r="Q3845" s="13" t="s">
        <v>75</v>
      </c>
      <c r="R3845" s="13" t="s">
        <v>75</v>
      </c>
      <c r="S3845" s="13" t="s">
        <v>50</v>
      </c>
      <c r="T3845" s="44">
        <v>45776.369184780095</v>
      </c>
      <c r="U3845" s="44">
        <v>45785.45609258102</v>
      </c>
      <c r="V3845" s="198">
        <v>45786.382870891204</v>
      </c>
      <c r="W3845" s="11"/>
      <c r="X3845" s="11"/>
      <c r="Y3845" s="45"/>
      <c r="Z3845" s="45"/>
      <c r="AA3845" s="31" t="s">
        <v>3059</v>
      </c>
      <c r="AB3845" s="45" t="s">
        <v>14952</v>
      </c>
      <c r="AC3845" s="45"/>
    </row>
    <row r="3846" ht="18.75" customHeight="1">
      <c r="A3846" s="18" t="s">
        <v>14953</v>
      </c>
      <c r="B3846" s="19" t="s">
        <v>8743</v>
      </c>
      <c r="C3846" s="20">
        <v>137.0</v>
      </c>
      <c r="D3846" s="48" t="s">
        <v>14954</v>
      </c>
      <c r="E3846" s="27" t="s">
        <v>85</v>
      </c>
      <c r="F3846" s="18" t="s">
        <v>48</v>
      </c>
      <c r="G3846" s="18" t="s">
        <v>35</v>
      </c>
      <c r="H3846" s="40" t="s">
        <v>35</v>
      </c>
      <c r="I3846" s="37" t="s">
        <v>36</v>
      </c>
      <c r="J3846" s="25" t="s">
        <v>65</v>
      </c>
      <c r="K3846" s="26" t="s">
        <v>38</v>
      </c>
      <c r="L3846" s="25">
        <v>13021.0</v>
      </c>
      <c r="M3846" s="49" t="s">
        <v>50</v>
      </c>
      <c r="N3846" s="42" t="s">
        <v>11189</v>
      </c>
      <c r="O3846" s="67">
        <v>45786.66726314815</v>
      </c>
      <c r="P3846" s="26" t="s">
        <v>14948</v>
      </c>
      <c r="Q3846" s="13" t="s">
        <v>75</v>
      </c>
      <c r="R3846" s="13" t="s">
        <v>75</v>
      </c>
      <c r="S3846" s="13" t="s">
        <v>50</v>
      </c>
      <c r="T3846" s="44">
        <v>45776.36924583333</v>
      </c>
      <c r="U3846" s="44">
        <v>45785.45609730324</v>
      </c>
      <c r="V3846" s="198">
        <v>45786.382870891204</v>
      </c>
      <c r="W3846" s="11"/>
      <c r="X3846" s="11"/>
      <c r="Y3846" s="45"/>
      <c r="Z3846" s="45"/>
      <c r="AA3846" s="31" t="s">
        <v>3059</v>
      </c>
      <c r="AB3846" s="45" t="s">
        <v>14955</v>
      </c>
      <c r="AC3846" s="45"/>
    </row>
    <row r="3847" ht="18.75" customHeight="1">
      <c r="A3847" s="142" t="s">
        <v>14956</v>
      </c>
      <c r="B3847" s="19" t="s">
        <v>548</v>
      </c>
      <c r="C3847" s="20">
        <v>90.0</v>
      </c>
      <c r="D3847" s="18" t="s">
        <v>14957</v>
      </c>
      <c r="E3847" s="27" t="s">
        <v>91</v>
      </c>
      <c r="F3847" s="18" t="s">
        <v>48</v>
      </c>
      <c r="G3847" s="18" t="s">
        <v>35</v>
      </c>
      <c r="H3847" s="40" t="s">
        <v>35</v>
      </c>
      <c r="I3847" s="37" t="s">
        <v>36</v>
      </c>
      <c r="J3847" s="25" t="s">
        <v>92</v>
      </c>
      <c r="K3847" s="26" t="s">
        <v>38</v>
      </c>
      <c r="L3847" s="72">
        <v>13246.0</v>
      </c>
      <c r="M3847" s="49" t="s">
        <v>50</v>
      </c>
      <c r="N3847" s="42" t="s">
        <v>7145</v>
      </c>
      <c r="O3847" s="67">
        <v>45835.60761586805</v>
      </c>
      <c r="P3847" s="26" t="s">
        <v>14958</v>
      </c>
      <c r="Q3847" s="13" t="s">
        <v>75</v>
      </c>
      <c r="R3847" s="13" t="s">
        <v>75</v>
      </c>
      <c r="S3847" s="13" t="s">
        <v>50</v>
      </c>
      <c r="T3847" s="44">
        <v>45776.366430462964</v>
      </c>
      <c r="U3847" s="44">
        <v>45821.49892248843</v>
      </c>
      <c r="V3847" s="198">
        <v>45824.428426597224</v>
      </c>
      <c r="W3847" s="11"/>
      <c r="X3847" s="11"/>
      <c r="Y3847" s="45">
        <v>302.0</v>
      </c>
      <c r="Z3847" s="45" t="s">
        <v>14959</v>
      </c>
      <c r="AA3847" s="31" t="s">
        <v>120</v>
      </c>
      <c r="AB3847" s="45" t="s">
        <v>14960</v>
      </c>
      <c r="AC3847" s="45"/>
    </row>
    <row r="3848" ht="18.75" customHeight="1">
      <c r="A3848" s="142" t="s">
        <v>14961</v>
      </c>
      <c r="B3848" s="19" t="s">
        <v>548</v>
      </c>
      <c r="C3848" s="20">
        <v>90.0</v>
      </c>
      <c r="D3848" s="48" t="s">
        <v>14962</v>
      </c>
      <c r="E3848" s="27" t="s">
        <v>91</v>
      </c>
      <c r="F3848" s="18" t="s">
        <v>48</v>
      </c>
      <c r="G3848" s="18" t="s">
        <v>35</v>
      </c>
      <c r="H3848" s="40" t="s">
        <v>35</v>
      </c>
      <c r="I3848" s="37" t="s">
        <v>36</v>
      </c>
      <c r="J3848" s="25" t="s">
        <v>92</v>
      </c>
      <c r="K3848" s="26" t="s">
        <v>38</v>
      </c>
      <c r="L3848" s="25">
        <v>12975.0</v>
      </c>
      <c r="M3848" s="49" t="s">
        <v>50</v>
      </c>
      <c r="N3848" s="42" t="s">
        <v>7145</v>
      </c>
      <c r="O3848" s="67">
        <v>45779.677936064814</v>
      </c>
      <c r="P3848" s="26" t="s">
        <v>14963</v>
      </c>
      <c r="Q3848" s="13" t="s">
        <v>75</v>
      </c>
      <c r="R3848" s="13" t="s">
        <v>75</v>
      </c>
      <c r="S3848" s="13" t="s">
        <v>50</v>
      </c>
      <c r="T3848" s="44">
        <v>45776.37743359954</v>
      </c>
      <c r="U3848" s="44">
        <v>45776.41268796296</v>
      </c>
      <c r="V3848" s="198">
        <v>45779.440839814815</v>
      </c>
      <c r="W3848" s="11"/>
      <c r="X3848" s="11"/>
      <c r="Y3848" s="45"/>
      <c r="Z3848" s="45"/>
      <c r="AA3848" s="31" t="s">
        <v>120</v>
      </c>
      <c r="AB3848" s="45" t="s">
        <v>14964</v>
      </c>
      <c r="AC3848" s="45"/>
    </row>
    <row r="3849" ht="18.75" customHeight="1">
      <c r="A3849" s="142" t="s">
        <v>14965</v>
      </c>
      <c r="B3849" s="19" t="s">
        <v>4352</v>
      </c>
      <c r="C3849" s="20">
        <v>137.0</v>
      </c>
      <c r="D3849" s="48" t="s">
        <v>14966</v>
      </c>
      <c r="E3849" s="27" t="s">
        <v>85</v>
      </c>
      <c r="F3849" s="18" t="s">
        <v>48</v>
      </c>
      <c r="G3849" s="18" t="s">
        <v>35</v>
      </c>
      <c r="H3849" s="40" t="s">
        <v>35</v>
      </c>
      <c r="I3849" s="37" t="s">
        <v>36</v>
      </c>
      <c r="J3849" s="25" t="s">
        <v>49</v>
      </c>
      <c r="K3849" s="26" t="s">
        <v>38</v>
      </c>
      <c r="L3849" s="25">
        <v>12951.0</v>
      </c>
      <c r="M3849" s="49" t="s">
        <v>50</v>
      </c>
      <c r="N3849" s="42" t="s">
        <v>5936</v>
      </c>
      <c r="O3849" s="67">
        <v>45776.65101976852</v>
      </c>
      <c r="P3849" s="26" t="s">
        <v>14967</v>
      </c>
      <c r="Q3849" s="13" t="s">
        <v>75</v>
      </c>
      <c r="R3849" s="13" t="s">
        <v>75</v>
      </c>
      <c r="S3849" s="13" t="s">
        <v>50</v>
      </c>
      <c r="T3849" s="44">
        <v>45776.37961186343</v>
      </c>
      <c r="U3849" s="44">
        <v>45776.45187138889</v>
      </c>
      <c r="V3849" s="198">
        <v>45776.46999212963</v>
      </c>
      <c r="W3849" s="11"/>
      <c r="X3849" s="11"/>
      <c r="Y3849" s="45"/>
      <c r="Z3849" s="45"/>
      <c r="AA3849" s="31" t="s">
        <v>127</v>
      </c>
      <c r="AB3849" s="45" t="s">
        <v>14968</v>
      </c>
      <c r="AC3849" s="45"/>
    </row>
    <row r="3850" ht="18.75" customHeight="1">
      <c r="A3850" s="142" t="s">
        <v>14969</v>
      </c>
      <c r="B3850" s="19" t="s">
        <v>4147</v>
      </c>
      <c r="C3850" s="20">
        <v>11.0</v>
      </c>
      <c r="D3850" s="48" t="s">
        <v>14970</v>
      </c>
      <c r="E3850" s="27" t="s">
        <v>112</v>
      </c>
      <c r="F3850" s="18" t="s">
        <v>48</v>
      </c>
      <c r="G3850" s="18" t="s">
        <v>35</v>
      </c>
      <c r="H3850" s="40" t="s">
        <v>35</v>
      </c>
      <c r="I3850" s="37" t="s">
        <v>36</v>
      </c>
      <c r="J3850" s="25" t="s">
        <v>49</v>
      </c>
      <c r="K3850" s="26" t="s">
        <v>38</v>
      </c>
      <c r="L3850" s="25">
        <v>12959.0</v>
      </c>
      <c r="M3850" s="49" t="s">
        <v>50</v>
      </c>
      <c r="N3850" s="42" t="s">
        <v>5936</v>
      </c>
      <c r="O3850" s="67">
        <v>45777.70824969908</v>
      </c>
      <c r="P3850" s="26" t="s">
        <v>14971</v>
      </c>
      <c r="Q3850" s="13" t="s">
        <v>75</v>
      </c>
      <c r="R3850" s="13" t="s">
        <v>75</v>
      </c>
      <c r="S3850" s="13" t="s">
        <v>50</v>
      </c>
      <c r="T3850" s="44">
        <v>45776.38278461805</v>
      </c>
      <c r="U3850" s="44">
        <v>45776.48960282408</v>
      </c>
      <c r="V3850" s="198">
        <v>45777.33951143519</v>
      </c>
      <c r="W3850" s="11"/>
      <c r="X3850" s="11"/>
      <c r="Y3850" s="45"/>
      <c r="Z3850" s="45"/>
      <c r="AA3850" s="31" t="s">
        <v>127</v>
      </c>
      <c r="AB3850" s="45" t="s">
        <v>14972</v>
      </c>
      <c r="AC3850" s="45"/>
    </row>
    <row r="3851" ht="18.75" customHeight="1">
      <c r="A3851" s="142" t="s">
        <v>14973</v>
      </c>
      <c r="B3851" s="19" t="s">
        <v>10785</v>
      </c>
      <c r="C3851" s="20">
        <v>1.0</v>
      </c>
      <c r="D3851" s="48" t="s">
        <v>14974</v>
      </c>
      <c r="E3851" s="27" t="s">
        <v>3395</v>
      </c>
      <c r="F3851" s="18" t="s">
        <v>48</v>
      </c>
      <c r="G3851" s="18" t="s">
        <v>35</v>
      </c>
      <c r="H3851" s="40" t="s">
        <v>35</v>
      </c>
      <c r="I3851" s="37" t="s">
        <v>36</v>
      </c>
      <c r="J3851" s="25" t="s">
        <v>92</v>
      </c>
      <c r="K3851" s="26" t="s">
        <v>38</v>
      </c>
      <c r="L3851" s="25">
        <v>12954.0</v>
      </c>
      <c r="M3851" s="49" t="s">
        <v>50</v>
      </c>
      <c r="N3851" s="42" t="s">
        <v>14975</v>
      </c>
      <c r="O3851" s="67">
        <v>45777.598708125</v>
      </c>
      <c r="P3851" s="26" t="s">
        <v>14976</v>
      </c>
      <c r="Q3851" s="13" t="s">
        <v>75</v>
      </c>
      <c r="R3851" s="13" t="s">
        <v>75</v>
      </c>
      <c r="S3851" s="13" t="s">
        <v>50</v>
      </c>
      <c r="T3851" s="44">
        <v>45776.43375951389</v>
      </c>
      <c r="U3851" s="44">
        <v>45776.476871377316</v>
      </c>
      <c r="V3851" s="198">
        <v>45776.480931157406</v>
      </c>
      <c r="W3851" s="11"/>
      <c r="X3851" s="11"/>
      <c r="Y3851" s="45"/>
      <c r="Z3851" s="45"/>
      <c r="AA3851" s="31" t="s">
        <v>120</v>
      </c>
      <c r="AB3851" s="45" t="s">
        <v>14977</v>
      </c>
      <c r="AC3851" s="45"/>
    </row>
    <row r="3852" ht="18.75" customHeight="1">
      <c r="A3852" s="142" t="s">
        <v>14978</v>
      </c>
      <c r="B3852" s="19" t="s">
        <v>14979</v>
      </c>
      <c r="C3852" s="20">
        <v>1.0</v>
      </c>
      <c r="D3852" s="48" t="s">
        <v>14980</v>
      </c>
      <c r="E3852" s="27" t="s">
        <v>3395</v>
      </c>
      <c r="F3852" s="18" t="s">
        <v>48</v>
      </c>
      <c r="G3852" s="18" t="s">
        <v>35</v>
      </c>
      <c r="H3852" s="40" t="s">
        <v>35</v>
      </c>
      <c r="I3852" s="37" t="s">
        <v>36</v>
      </c>
      <c r="J3852" s="25" t="s">
        <v>49</v>
      </c>
      <c r="K3852" s="26" t="s">
        <v>38</v>
      </c>
      <c r="L3852" s="25">
        <v>12963.0</v>
      </c>
      <c r="M3852" s="49" t="s">
        <v>50</v>
      </c>
      <c r="N3852" s="42" t="s">
        <v>5936</v>
      </c>
      <c r="O3852" s="67">
        <v>45777.70831170139</v>
      </c>
      <c r="P3852" s="26" t="s">
        <v>14981</v>
      </c>
      <c r="Q3852" s="13" t="s">
        <v>75</v>
      </c>
      <c r="R3852" s="13" t="s">
        <v>75</v>
      </c>
      <c r="S3852" s="13" t="s">
        <v>50</v>
      </c>
      <c r="T3852" s="44">
        <v>45776.459411759264</v>
      </c>
      <c r="U3852" s="44">
        <v>45776.48150310185</v>
      </c>
      <c r="V3852" s="198">
        <v>45777.335228923606</v>
      </c>
      <c r="W3852" s="11"/>
      <c r="X3852" s="11"/>
      <c r="Y3852" s="45"/>
      <c r="Z3852" s="45"/>
      <c r="AA3852" s="31" t="s">
        <v>102</v>
      </c>
      <c r="AB3852" s="45" t="s">
        <v>14982</v>
      </c>
      <c r="AC3852" s="45"/>
    </row>
    <row r="3853" ht="18.75" customHeight="1">
      <c r="A3853" s="142" t="s">
        <v>14983</v>
      </c>
      <c r="B3853" s="19" t="s">
        <v>5650</v>
      </c>
      <c r="C3853" s="20">
        <v>34.0</v>
      </c>
      <c r="D3853" s="48" t="s">
        <v>14984</v>
      </c>
      <c r="E3853" s="27" t="s">
        <v>47</v>
      </c>
      <c r="F3853" s="18" t="s">
        <v>48</v>
      </c>
      <c r="G3853" s="18" t="s">
        <v>35</v>
      </c>
      <c r="H3853" s="40" t="s">
        <v>35</v>
      </c>
      <c r="I3853" s="37" t="s">
        <v>36</v>
      </c>
      <c r="J3853" s="25" t="s">
        <v>49</v>
      </c>
      <c r="K3853" s="26" t="s">
        <v>38</v>
      </c>
      <c r="L3853" s="25">
        <v>12960.0</v>
      </c>
      <c r="M3853" s="49" t="s">
        <v>50</v>
      </c>
      <c r="N3853" s="42" t="s">
        <v>5936</v>
      </c>
      <c r="O3853" s="67">
        <v>45777.70835292824</v>
      </c>
      <c r="P3853" s="26" t="s">
        <v>14985</v>
      </c>
      <c r="Q3853" s="13" t="s">
        <v>75</v>
      </c>
      <c r="R3853" s="13" t="s">
        <v>75</v>
      </c>
      <c r="S3853" s="13" t="s">
        <v>50</v>
      </c>
      <c r="T3853" s="44">
        <v>45776.461672743055</v>
      </c>
      <c r="U3853" s="44">
        <v>45776.48103811343</v>
      </c>
      <c r="V3853" s="198">
        <v>45777.339495810185</v>
      </c>
      <c r="W3853" s="11"/>
      <c r="X3853" s="11"/>
      <c r="Y3853" s="45"/>
      <c r="Z3853" s="45"/>
      <c r="AA3853" s="31" t="s">
        <v>102</v>
      </c>
      <c r="AB3853" s="45" t="s">
        <v>14986</v>
      </c>
      <c r="AC3853" s="45"/>
    </row>
    <row r="3854" ht="18.75" customHeight="1">
      <c r="A3854" s="142" t="s">
        <v>14987</v>
      </c>
      <c r="B3854" s="19" t="s">
        <v>8893</v>
      </c>
      <c r="C3854" s="20">
        <v>90.0</v>
      </c>
      <c r="D3854" s="48" t="s">
        <v>14988</v>
      </c>
      <c r="E3854" s="27" t="s">
        <v>91</v>
      </c>
      <c r="F3854" s="18" t="s">
        <v>48</v>
      </c>
      <c r="G3854" s="18" t="s">
        <v>35</v>
      </c>
      <c r="H3854" s="40" t="s">
        <v>35</v>
      </c>
      <c r="I3854" s="37" t="s">
        <v>36</v>
      </c>
      <c r="J3854" s="25" t="s">
        <v>49</v>
      </c>
      <c r="K3854" s="26" t="s">
        <v>38</v>
      </c>
      <c r="L3854" s="25">
        <v>12964.0</v>
      </c>
      <c r="M3854" s="49" t="s">
        <v>50</v>
      </c>
      <c r="N3854" s="42" t="s">
        <v>5936</v>
      </c>
      <c r="O3854" s="67">
        <v>45777.70839532407</v>
      </c>
      <c r="P3854" s="26" t="s">
        <v>14989</v>
      </c>
      <c r="Q3854" s="13" t="s">
        <v>75</v>
      </c>
      <c r="R3854" s="13" t="s">
        <v>75</v>
      </c>
      <c r="S3854" s="13" t="s">
        <v>50</v>
      </c>
      <c r="T3854" s="44">
        <v>45776.46280969908</v>
      </c>
      <c r="U3854" s="44">
        <v>45777.37437722222</v>
      </c>
      <c r="V3854" s="198">
        <v>45777.410865300924</v>
      </c>
      <c r="W3854" s="11"/>
      <c r="X3854" s="11"/>
      <c r="Y3854" s="45"/>
      <c r="Z3854" s="45"/>
      <c r="AA3854" s="31" t="s">
        <v>5199</v>
      </c>
      <c r="AB3854" s="45" t="s">
        <v>14990</v>
      </c>
      <c r="AC3854" s="45"/>
    </row>
    <row r="3855" ht="18.75" customHeight="1">
      <c r="A3855" s="18" t="s">
        <v>14991</v>
      </c>
      <c r="B3855" s="19" t="s">
        <v>4313</v>
      </c>
      <c r="C3855" s="20">
        <v>0.0</v>
      </c>
      <c r="D3855" s="48" t="s">
        <v>14992</v>
      </c>
      <c r="E3855" s="27" t="s">
        <v>11503</v>
      </c>
      <c r="F3855" s="18" t="s">
        <v>11504</v>
      </c>
      <c r="G3855" s="18" t="s">
        <v>35</v>
      </c>
      <c r="H3855" s="40" t="s">
        <v>35</v>
      </c>
      <c r="I3855" s="37" t="s">
        <v>36</v>
      </c>
      <c r="J3855" s="25" t="s">
        <v>92</v>
      </c>
      <c r="K3855" s="26" t="s">
        <v>38</v>
      </c>
      <c r="L3855" s="34">
        <v>12982.0</v>
      </c>
      <c r="M3855" s="49" t="s">
        <v>73</v>
      </c>
      <c r="N3855" s="42" t="s">
        <v>10176</v>
      </c>
      <c r="O3855" s="67">
        <v>45782.71558409723</v>
      </c>
      <c r="P3855" s="35" t="s">
        <v>13574</v>
      </c>
      <c r="Q3855" s="13" t="s">
        <v>75</v>
      </c>
      <c r="R3855" s="13" t="s">
        <v>75</v>
      </c>
      <c r="S3855" s="14" t="s">
        <v>151</v>
      </c>
      <c r="T3855" s="44">
        <v>45776.67862104166</v>
      </c>
      <c r="U3855" s="44">
        <v>45782.57792125</v>
      </c>
      <c r="V3855" s="202">
        <v>45782.58064847223</v>
      </c>
      <c r="W3855" s="11"/>
      <c r="X3855" s="11"/>
      <c r="Y3855" s="45"/>
      <c r="Z3855" s="45"/>
      <c r="AA3855" s="31"/>
      <c r="AB3855" s="45" t="s">
        <v>14993</v>
      </c>
      <c r="AC3855" s="45"/>
    </row>
    <row r="3856" ht="18.75" customHeight="1">
      <c r="A3856" s="18" t="s">
        <v>14994</v>
      </c>
      <c r="B3856" s="19" t="s">
        <v>4313</v>
      </c>
      <c r="C3856" s="20">
        <v>0.0</v>
      </c>
      <c r="D3856" s="48" t="s">
        <v>14995</v>
      </c>
      <c r="E3856" s="27" t="s">
        <v>12486</v>
      </c>
      <c r="F3856" s="18" t="s">
        <v>11504</v>
      </c>
      <c r="G3856" s="18" t="s">
        <v>35</v>
      </c>
      <c r="H3856" s="40" t="s">
        <v>35</v>
      </c>
      <c r="I3856" s="24" t="s">
        <v>36</v>
      </c>
      <c r="J3856" s="25" t="s">
        <v>92</v>
      </c>
      <c r="K3856" s="26" t="s">
        <v>38</v>
      </c>
      <c r="L3856" s="34">
        <v>12982.0</v>
      </c>
      <c r="M3856" s="49" t="s">
        <v>73</v>
      </c>
      <c r="N3856" s="42" t="s">
        <v>10176</v>
      </c>
      <c r="O3856" s="67">
        <v>45782.71558409723</v>
      </c>
      <c r="P3856" s="35" t="s">
        <v>13574</v>
      </c>
      <c r="Q3856" s="13" t="s">
        <v>75</v>
      </c>
      <c r="R3856" s="13" t="s">
        <v>75</v>
      </c>
      <c r="S3856" s="14" t="s">
        <v>151</v>
      </c>
      <c r="T3856" s="44">
        <v>45776.67896517361</v>
      </c>
      <c r="U3856" s="44">
        <v>45782.57802053241</v>
      </c>
      <c r="V3856" s="202">
        <v>45782.58064847223</v>
      </c>
      <c r="W3856" s="11"/>
      <c r="X3856" s="11"/>
      <c r="Y3856" s="45"/>
      <c r="Z3856" s="45"/>
      <c r="AA3856" s="31"/>
      <c r="AB3856" s="45" t="s">
        <v>14996</v>
      </c>
      <c r="AC3856" s="45"/>
    </row>
    <row r="3857" ht="18.75" customHeight="1">
      <c r="A3857" s="18" t="s">
        <v>14997</v>
      </c>
      <c r="B3857" s="19" t="s">
        <v>4313</v>
      </c>
      <c r="C3857" s="20">
        <v>0.0</v>
      </c>
      <c r="D3857" s="48" t="s">
        <v>14998</v>
      </c>
      <c r="E3857" s="27" t="s">
        <v>12486</v>
      </c>
      <c r="F3857" s="18" t="s">
        <v>11504</v>
      </c>
      <c r="G3857" s="18" t="s">
        <v>35</v>
      </c>
      <c r="H3857" s="40" t="s">
        <v>35</v>
      </c>
      <c r="I3857" s="24" t="s">
        <v>36</v>
      </c>
      <c r="J3857" s="25" t="s">
        <v>92</v>
      </c>
      <c r="K3857" s="26" t="s">
        <v>38</v>
      </c>
      <c r="L3857" s="34">
        <v>12982.0</v>
      </c>
      <c r="M3857" s="49" t="s">
        <v>73</v>
      </c>
      <c r="N3857" s="42" t="s">
        <v>10176</v>
      </c>
      <c r="O3857" s="67">
        <v>45782.71558409723</v>
      </c>
      <c r="P3857" s="35" t="s">
        <v>13574</v>
      </c>
      <c r="Q3857" s="13" t="s">
        <v>75</v>
      </c>
      <c r="R3857" s="13" t="s">
        <v>75</v>
      </c>
      <c r="S3857" s="14" t="s">
        <v>151</v>
      </c>
      <c r="T3857" s="44">
        <v>45776.67909253472</v>
      </c>
      <c r="U3857" s="44">
        <v>45782.57802840278</v>
      </c>
      <c r="V3857" s="202">
        <v>45782.58064847223</v>
      </c>
      <c r="W3857" s="11"/>
      <c r="X3857" s="11"/>
      <c r="Y3857" s="45"/>
      <c r="Z3857" s="45"/>
      <c r="AA3857" s="31"/>
      <c r="AB3857" s="45" t="s">
        <v>14999</v>
      </c>
      <c r="AC3857" s="45"/>
    </row>
    <row r="3858" ht="18.75" customHeight="1">
      <c r="A3858" s="18" t="s">
        <v>15000</v>
      </c>
      <c r="B3858" s="19" t="s">
        <v>4313</v>
      </c>
      <c r="C3858" s="20">
        <v>0.0</v>
      </c>
      <c r="D3858" s="48" t="s">
        <v>15001</v>
      </c>
      <c r="E3858" s="27" t="s">
        <v>12486</v>
      </c>
      <c r="F3858" s="18" t="s">
        <v>11504</v>
      </c>
      <c r="G3858" s="18" t="s">
        <v>35</v>
      </c>
      <c r="H3858" s="40" t="s">
        <v>35</v>
      </c>
      <c r="I3858" s="24" t="s">
        <v>36</v>
      </c>
      <c r="J3858" s="25" t="s">
        <v>92</v>
      </c>
      <c r="K3858" s="26" t="s">
        <v>38</v>
      </c>
      <c r="L3858" s="34">
        <v>12982.0</v>
      </c>
      <c r="M3858" s="49" t="s">
        <v>73</v>
      </c>
      <c r="N3858" s="42" t="s">
        <v>10176</v>
      </c>
      <c r="O3858" s="67">
        <v>45782.71558409723</v>
      </c>
      <c r="P3858" s="35" t="s">
        <v>13574</v>
      </c>
      <c r="Q3858" s="13" t="s">
        <v>75</v>
      </c>
      <c r="R3858" s="13" t="s">
        <v>75</v>
      </c>
      <c r="S3858" s="14" t="s">
        <v>151</v>
      </c>
      <c r="T3858" s="44">
        <v>45776.6792694676</v>
      </c>
      <c r="U3858" s="44">
        <v>45782.57804032408</v>
      </c>
      <c r="V3858" s="202">
        <v>45782.58064847223</v>
      </c>
      <c r="W3858" s="11"/>
      <c r="X3858" s="11"/>
      <c r="Y3858" s="45"/>
      <c r="Z3858" s="45"/>
      <c r="AA3858" s="31"/>
      <c r="AB3858" s="45" t="s">
        <v>15002</v>
      </c>
      <c r="AC3858" s="45"/>
    </row>
    <row r="3859" ht="18.75" customHeight="1">
      <c r="A3859" s="142" t="s">
        <v>15003</v>
      </c>
      <c r="B3859" s="19" t="s">
        <v>4035</v>
      </c>
      <c r="C3859" s="20">
        <v>137.0</v>
      </c>
      <c r="D3859" s="48" t="s">
        <v>15004</v>
      </c>
      <c r="E3859" s="27" t="s">
        <v>85</v>
      </c>
      <c r="F3859" s="18" t="s">
        <v>48</v>
      </c>
      <c r="G3859" s="18" t="s">
        <v>35</v>
      </c>
      <c r="H3859" s="40" t="s">
        <v>35</v>
      </c>
      <c r="I3859" s="37" t="s">
        <v>36</v>
      </c>
      <c r="J3859" s="25" t="s">
        <v>65</v>
      </c>
      <c r="K3859" s="26" t="s">
        <v>38</v>
      </c>
      <c r="L3859" s="25">
        <v>12987.0</v>
      </c>
      <c r="M3859" s="49" t="s">
        <v>50</v>
      </c>
      <c r="N3859" s="42" t="s">
        <v>8469</v>
      </c>
      <c r="O3859" s="67">
        <v>45783.724718935184</v>
      </c>
      <c r="P3859" s="35" t="s">
        <v>14304</v>
      </c>
      <c r="Q3859" s="13" t="s">
        <v>75</v>
      </c>
      <c r="R3859" s="13" t="s">
        <v>75</v>
      </c>
      <c r="S3859" s="13" t="s">
        <v>50</v>
      </c>
      <c r="T3859" s="44">
        <v>45776.662416481486</v>
      </c>
      <c r="U3859" s="44">
        <v>45782.49963045139</v>
      </c>
      <c r="V3859" s="198">
        <v>45783.35323221065</v>
      </c>
      <c r="W3859" s="11"/>
      <c r="X3859" s="11"/>
      <c r="Y3859" s="45"/>
      <c r="Z3859" s="45"/>
      <c r="AA3859" s="31" t="s">
        <v>94</v>
      </c>
      <c r="AB3859" s="45" t="s">
        <v>15005</v>
      </c>
      <c r="AC3859" s="45"/>
    </row>
    <row r="3860" ht="18.75" customHeight="1">
      <c r="A3860" s="18" t="s">
        <v>15006</v>
      </c>
      <c r="B3860" s="19" t="s">
        <v>9101</v>
      </c>
      <c r="C3860" s="20">
        <v>27.0</v>
      </c>
      <c r="D3860" s="39" t="s">
        <v>15007</v>
      </c>
      <c r="E3860" s="27" t="s">
        <v>72</v>
      </c>
      <c r="F3860" s="18" t="s">
        <v>48</v>
      </c>
      <c r="G3860" s="18" t="s">
        <v>35</v>
      </c>
      <c r="H3860" s="40" t="s">
        <v>35</v>
      </c>
      <c r="I3860" s="37" t="s">
        <v>36</v>
      </c>
      <c r="J3860" s="25" t="s">
        <v>65</v>
      </c>
      <c r="K3860" s="26" t="s">
        <v>38</v>
      </c>
      <c r="L3860" s="25">
        <v>12965.0</v>
      </c>
      <c r="M3860" s="49" t="s">
        <v>50</v>
      </c>
      <c r="N3860" s="42" t="s">
        <v>14854</v>
      </c>
      <c r="O3860" s="67">
        <v>45777.62263729167</v>
      </c>
      <c r="P3860" s="35" t="s">
        <v>14304</v>
      </c>
      <c r="Q3860" s="13" t="s">
        <v>75</v>
      </c>
      <c r="R3860" s="13" t="s">
        <v>75</v>
      </c>
      <c r="S3860" s="13" t="s">
        <v>50</v>
      </c>
      <c r="T3860" s="44">
        <v>45776.68819925926</v>
      </c>
      <c r="U3860" s="44">
        <v>45777.41199361111</v>
      </c>
      <c r="V3860" s="198">
        <v>45777.415822152776</v>
      </c>
      <c r="W3860" s="11"/>
      <c r="X3860" s="11"/>
      <c r="Y3860" s="45"/>
      <c r="Z3860" s="45"/>
      <c r="AA3860" s="31" t="s">
        <v>94</v>
      </c>
      <c r="AB3860" s="45" t="s">
        <v>15008</v>
      </c>
      <c r="AC3860" s="45"/>
    </row>
    <row r="3861" ht="18.75" customHeight="1">
      <c r="A3861" s="18" t="s">
        <v>15009</v>
      </c>
      <c r="B3861" s="19" t="s">
        <v>9101</v>
      </c>
      <c r="C3861" s="20">
        <v>27.0</v>
      </c>
      <c r="D3861" s="39" t="s">
        <v>15010</v>
      </c>
      <c r="E3861" s="27" t="s">
        <v>72</v>
      </c>
      <c r="F3861" s="18" t="s">
        <v>48</v>
      </c>
      <c r="G3861" s="18" t="s">
        <v>35</v>
      </c>
      <c r="H3861" s="40" t="s">
        <v>35</v>
      </c>
      <c r="I3861" s="37" t="s">
        <v>36</v>
      </c>
      <c r="J3861" s="25" t="s">
        <v>65</v>
      </c>
      <c r="K3861" s="26" t="s">
        <v>38</v>
      </c>
      <c r="L3861" s="25">
        <v>12965.0</v>
      </c>
      <c r="M3861" s="49" t="s">
        <v>50</v>
      </c>
      <c r="N3861" s="42" t="s">
        <v>14854</v>
      </c>
      <c r="O3861" s="67">
        <v>45777.62275880787</v>
      </c>
      <c r="P3861" s="35" t="s">
        <v>14304</v>
      </c>
      <c r="Q3861" s="13" t="s">
        <v>75</v>
      </c>
      <c r="R3861" s="13" t="s">
        <v>75</v>
      </c>
      <c r="S3861" s="13" t="s">
        <v>50</v>
      </c>
      <c r="T3861" s="44">
        <v>45776.688315023144</v>
      </c>
      <c r="U3861" s="44">
        <v>45777.41202040509</v>
      </c>
      <c r="V3861" s="198">
        <v>45777.41584204861</v>
      </c>
      <c r="W3861" s="11"/>
      <c r="X3861" s="11"/>
      <c r="Y3861" s="45"/>
      <c r="Z3861" s="45"/>
      <c r="AA3861" s="31" t="s">
        <v>94</v>
      </c>
      <c r="AB3861" s="45" t="s">
        <v>15011</v>
      </c>
      <c r="AC3861" s="45"/>
    </row>
    <row r="3862" ht="18.75" customHeight="1">
      <c r="A3862" s="18" t="s">
        <v>15012</v>
      </c>
      <c r="B3862" s="19" t="s">
        <v>9101</v>
      </c>
      <c r="C3862" s="20">
        <v>90.0</v>
      </c>
      <c r="D3862" s="48" t="s">
        <v>15013</v>
      </c>
      <c r="E3862" s="27" t="s">
        <v>91</v>
      </c>
      <c r="F3862" s="18" t="s">
        <v>48</v>
      </c>
      <c r="G3862" s="18" t="s">
        <v>35</v>
      </c>
      <c r="H3862" s="40" t="s">
        <v>35</v>
      </c>
      <c r="I3862" s="37" t="s">
        <v>36</v>
      </c>
      <c r="J3862" s="25" t="s">
        <v>65</v>
      </c>
      <c r="K3862" s="26" t="s">
        <v>38</v>
      </c>
      <c r="L3862" s="25">
        <v>12965.0</v>
      </c>
      <c r="M3862" s="49" t="s">
        <v>50</v>
      </c>
      <c r="N3862" s="42" t="s">
        <v>14854</v>
      </c>
      <c r="O3862" s="67">
        <v>45777.62270028935</v>
      </c>
      <c r="P3862" s="35" t="s">
        <v>14304</v>
      </c>
      <c r="Q3862" s="13" t="s">
        <v>75</v>
      </c>
      <c r="R3862" s="13" t="s">
        <v>75</v>
      </c>
      <c r="S3862" s="13" t="s">
        <v>50</v>
      </c>
      <c r="T3862" s="44">
        <v>45776.68865094907</v>
      </c>
      <c r="U3862" s="44">
        <v>45777.41201630787</v>
      </c>
      <c r="V3862" s="198">
        <v>45777.41583298611</v>
      </c>
      <c r="W3862" s="11"/>
      <c r="X3862" s="11"/>
      <c r="Y3862" s="45"/>
      <c r="Z3862" s="45"/>
      <c r="AA3862" s="31" t="s">
        <v>94</v>
      </c>
      <c r="AB3862" s="45" t="s">
        <v>15014</v>
      </c>
      <c r="AC3862" s="45"/>
    </row>
    <row r="3863" ht="18.75" customHeight="1">
      <c r="A3863" s="142" t="s">
        <v>15015</v>
      </c>
      <c r="B3863" s="19" t="s">
        <v>15016</v>
      </c>
      <c r="C3863" s="20">
        <v>90.0</v>
      </c>
      <c r="D3863" s="48" t="s">
        <v>15017</v>
      </c>
      <c r="E3863" s="27" t="s">
        <v>91</v>
      </c>
      <c r="F3863" s="18" t="s">
        <v>48</v>
      </c>
      <c r="G3863" s="18" t="s">
        <v>35</v>
      </c>
      <c r="H3863" s="40" t="s">
        <v>35</v>
      </c>
      <c r="I3863" s="37" t="s">
        <v>36</v>
      </c>
      <c r="J3863" s="25" t="s">
        <v>65</v>
      </c>
      <c r="K3863" s="26" t="s">
        <v>38</v>
      </c>
      <c r="L3863" s="25">
        <v>12961.0</v>
      </c>
      <c r="M3863" s="49" t="s">
        <v>50</v>
      </c>
      <c r="N3863" s="42" t="s">
        <v>14854</v>
      </c>
      <c r="O3863" s="67">
        <v>45777.622827175925</v>
      </c>
      <c r="P3863" s="26" t="s">
        <v>15018</v>
      </c>
      <c r="Q3863" s="13" t="s">
        <v>75</v>
      </c>
      <c r="R3863" s="13" t="s">
        <v>75</v>
      </c>
      <c r="S3863" s="13" t="s">
        <v>50</v>
      </c>
      <c r="T3863" s="44">
        <v>45776.69154871527</v>
      </c>
      <c r="U3863" s="44">
        <v>45776.714746261576</v>
      </c>
      <c r="V3863" s="198">
        <v>45777.334078009255</v>
      </c>
      <c r="W3863" s="11"/>
      <c r="X3863" s="11"/>
      <c r="Y3863" s="45"/>
      <c r="Z3863" s="45"/>
      <c r="AA3863" s="31" t="s">
        <v>94</v>
      </c>
      <c r="AB3863" s="45" t="s">
        <v>15019</v>
      </c>
      <c r="AC3863" s="45"/>
    </row>
    <row r="3864" ht="18.75" customHeight="1">
      <c r="A3864" s="142" t="s">
        <v>15020</v>
      </c>
      <c r="B3864" s="19" t="s">
        <v>4313</v>
      </c>
      <c r="C3864" s="20">
        <v>0.0</v>
      </c>
      <c r="D3864" s="48" t="s">
        <v>15021</v>
      </c>
      <c r="E3864" s="27" t="s">
        <v>3441</v>
      </c>
      <c r="F3864" s="18" t="s">
        <v>48</v>
      </c>
      <c r="G3864" s="18" t="s">
        <v>35</v>
      </c>
      <c r="H3864" s="40" t="s">
        <v>35</v>
      </c>
      <c r="I3864" s="37" t="s">
        <v>36</v>
      </c>
      <c r="J3864" s="25" t="s">
        <v>92</v>
      </c>
      <c r="K3864" s="26" t="s">
        <v>38</v>
      </c>
      <c r="L3864" s="25">
        <v>12984.0</v>
      </c>
      <c r="M3864" s="49" t="s">
        <v>73</v>
      </c>
      <c r="N3864" s="42" t="s">
        <v>10176</v>
      </c>
      <c r="O3864" s="67">
        <v>45782.635792430556</v>
      </c>
      <c r="P3864" s="35" t="s">
        <v>15022</v>
      </c>
      <c r="Q3864" s="13" t="s">
        <v>75</v>
      </c>
      <c r="R3864" s="13" t="s">
        <v>75</v>
      </c>
      <c r="S3864" s="13" t="s">
        <v>73</v>
      </c>
      <c r="T3864" s="44">
        <v>45776.69808016204</v>
      </c>
      <c r="U3864" s="44">
        <v>45782.57618371528</v>
      </c>
      <c r="V3864" s="198">
        <v>45782.63073023148</v>
      </c>
      <c r="W3864" s="11"/>
      <c r="X3864" s="11"/>
      <c r="Y3864" s="45"/>
      <c r="Z3864" s="45"/>
      <c r="AA3864" s="31" t="s">
        <v>120</v>
      </c>
      <c r="AB3864" s="45" t="s">
        <v>15023</v>
      </c>
      <c r="AC3864" s="45"/>
    </row>
    <row r="3865" ht="18.75" customHeight="1">
      <c r="A3865" s="18" t="s">
        <v>15024</v>
      </c>
      <c r="B3865" s="19" t="s">
        <v>96</v>
      </c>
      <c r="C3865" s="20">
        <v>0.0</v>
      </c>
      <c r="D3865" s="48" t="s">
        <v>15025</v>
      </c>
      <c r="E3865" s="22" t="s">
        <v>98</v>
      </c>
      <c r="F3865" s="18" t="s">
        <v>33</v>
      </c>
      <c r="G3865" s="18" t="s">
        <v>35</v>
      </c>
      <c r="H3865" s="40" t="s">
        <v>35</v>
      </c>
      <c r="I3865" s="37" t="s">
        <v>36</v>
      </c>
      <c r="J3865" s="25" t="s">
        <v>49</v>
      </c>
      <c r="K3865" s="26" t="s">
        <v>38</v>
      </c>
      <c r="L3865" s="25">
        <v>13059.0</v>
      </c>
      <c r="M3865" s="49" t="s">
        <v>50</v>
      </c>
      <c r="N3865" s="42" t="s">
        <v>143</v>
      </c>
      <c r="O3865" s="67">
        <v>45792.61883278935</v>
      </c>
      <c r="P3865" s="26" t="s">
        <v>15026</v>
      </c>
      <c r="Q3865" s="13" t="s">
        <v>75</v>
      </c>
      <c r="R3865" s="13" t="s">
        <v>75</v>
      </c>
      <c r="S3865" s="13" t="s">
        <v>73</v>
      </c>
      <c r="T3865" s="44">
        <v>45789.69500998843</v>
      </c>
      <c r="U3865" s="44">
        <v>45789.695269895834</v>
      </c>
      <c r="V3865" s="198">
        <v>45792.48284564815</v>
      </c>
      <c r="W3865" s="11"/>
      <c r="X3865" s="11"/>
      <c r="Y3865" s="45"/>
      <c r="Z3865" s="45"/>
      <c r="AA3865" s="31"/>
      <c r="AB3865" s="45" t="s">
        <v>15027</v>
      </c>
      <c r="AC3865" s="45"/>
    </row>
    <row r="3866" ht="18.75" customHeight="1">
      <c r="A3866" s="18" t="s">
        <v>15028</v>
      </c>
      <c r="B3866" s="19" t="s">
        <v>96</v>
      </c>
      <c r="C3866" s="20">
        <v>0.0</v>
      </c>
      <c r="D3866" s="48" t="s">
        <v>15029</v>
      </c>
      <c r="E3866" s="22" t="s">
        <v>98</v>
      </c>
      <c r="F3866" s="18" t="s">
        <v>33</v>
      </c>
      <c r="G3866" s="18" t="s">
        <v>35</v>
      </c>
      <c r="H3866" s="40" t="s">
        <v>35</v>
      </c>
      <c r="I3866" s="37" t="s">
        <v>36</v>
      </c>
      <c r="J3866" s="25" t="s">
        <v>49</v>
      </c>
      <c r="K3866" s="26" t="s">
        <v>38</v>
      </c>
      <c r="L3866" s="25">
        <v>13059.0</v>
      </c>
      <c r="M3866" s="49" t="s">
        <v>50</v>
      </c>
      <c r="N3866" s="42" t="s">
        <v>143</v>
      </c>
      <c r="O3866" s="67">
        <v>45792.61890184028</v>
      </c>
      <c r="P3866" s="26" t="s">
        <v>15026</v>
      </c>
      <c r="Q3866" s="13" t="s">
        <v>75</v>
      </c>
      <c r="R3866" s="13" t="s">
        <v>75</v>
      </c>
      <c r="S3866" s="13" t="s">
        <v>73</v>
      </c>
      <c r="T3866" s="44">
        <v>45789.695043125</v>
      </c>
      <c r="U3866" s="44">
        <v>45789.695317731486</v>
      </c>
      <c r="V3866" s="198">
        <v>45792.48284564815</v>
      </c>
      <c r="W3866" s="11"/>
      <c r="X3866" s="11"/>
      <c r="Y3866" s="45"/>
      <c r="Z3866" s="45"/>
      <c r="AA3866" s="31"/>
      <c r="AB3866" s="45" t="s">
        <v>15030</v>
      </c>
      <c r="AC3866" s="45"/>
    </row>
    <row r="3867" ht="18.75" customHeight="1">
      <c r="A3867" s="18" t="s">
        <v>15031</v>
      </c>
      <c r="B3867" s="19" t="s">
        <v>96</v>
      </c>
      <c r="C3867" s="20">
        <v>0.0</v>
      </c>
      <c r="D3867" s="48" t="s">
        <v>1675</v>
      </c>
      <c r="E3867" s="22" t="s">
        <v>731</v>
      </c>
      <c r="F3867" s="18" t="s">
        <v>33</v>
      </c>
      <c r="G3867" s="18" t="s">
        <v>35</v>
      </c>
      <c r="H3867" s="40" t="s">
        <v>35</v>
      </c>
      <c r="I3867" s="37" t="s">
        <v>36</v>
      </c>
      <c r="J3867" s="25" t="s">
        <v>49</v>
      </c>
      <c r="K3867" s="26" t="s">
        <v>38</v>
      </c>
      <c r="L3867" s="25">
        <v>13059.0</v>
      </c>
      <c r="M3867" s="49" t="s">
        <v>50</v>
      </c>
      <c r="N3867" s="42" t="s">
        <v>143</v>
      </c>
      <c r="O3867" s="67">
        <v>45792.618952986115</v>
      </c>
      <c r="P3867" s="26" t="s">
        <v>15026</v>
      </c>
      <c r="Q3867" s="13" t="s">
        <v>75</v>
      </c>
      <c r="R3867" s="13" t="s">
        <v>75</v>
      </c>
      <c r="S3867" s="13" t="s">
        <v>73</v>
      </c>
      <c r="T3867" s="44">
        <v>45789.69507854167</v>
      </c>
      <c r="U3867" s="44">
        <v>45789.695345451386</v>
      </c>
      <c r="V3867" s="198">
        <v>45792.48284564815</v>
      </c>
      <c r="W3867" s="11"/>
      <c r="X3867" s="11"/>
      <c r="Y3867" s="45"/>
      <c r="Z3867" s="45"/>
      <c r="AA3867" s="31"/>
      <c r="AB3867" s="45" t="s">
        <v>15032</v>
      </c>
      <c r="AC3867" s="45"/>
    </row>
    <row r="3868" ht="18.75" customHeight="1">
      <c r="A3868" s="18" t="s">
        <v>15033</v>
      </c>
      <c r="B3868" s="19" t="s">
        <v>96</v>
      </c>
      <c r="C3868" s="20">
        <v>0.0</v>
      </c>
      <c r="D3868" s="48" t="s">
        <v>15034</v>
      </c>
      <c r="E3868" s="22" t="s">
        <v>731</v>
      </c>
      <c r="F3868" s="18" t="s">
        <v>33</v>
      </c>
      <c r="G3868" s="18" t="s">
        <v>35</v>
      </c>
      <c r="H3868" s="40" t="s">
        <v>35</v>
      </c>
      <c r="I3868" s="37" t="s">
        <v>36</v>
      </c>
      <c r="J3868" s="25" t="s">
        <v>49</v>
      </c>
      <c r="K3868" s="26" t="s">
        <v>38</v>
      </c>
      <c r="L3868" s="25">
        <v>13059.0</v>
      </c>
      <c r="M3868" s="49" t="s">
        <v>50</v>
      </c>
      <c r="N3868" s="42" t="s">
        <v>143</v>
      </c>
      <c r="O3868" s="67">
        <v>45792.61902105324</v>
      </c>
      <c r="P3868" s="26" t="s">
        <v>15026</v>
      </c>
      <c r="Q3868" s="13" t="s">
        <v>75</v>
      </c>
      <c r="R3868" s="13" t="s">
        <v>75</v>
      </c>
      <c r="S3868" s="13" t="s">
        <v>73</v>
      </c>
      <c r="T3868" s="44">
        <v>45789.695112581016</v>
      </c>
      <c r="U3868" s="44">
        <v>45789.695380254634</v>
      </c>
      <c r="V3868" s="198">
        <v>45792.48284564815</v>
      </c>
      <c r="W3868" s="11"/>
      <c r="X3868" s="11"/>
      <c r="Y3868" s="45">
        <v>-1.3052025160859E7</v>
      </c>
      <c r="Z3868" s="45"/>
      <c r="AA3868" s="31"/>
      <c r="AB3868" s="45" t="s">
        <v>15035</v>
      </c>
      <c r="AC3868" s="45"/>
    </row>
    <row r="3869" ht="18.75" customHeight="1">
      <c r="A3869" s="18" t="s">
        <v>15036</v>
      </c>
      <c r="B3869" s="19" t="s">
        <v>96</v>
      </c>
      <c r="C3869" s="20">
        <v>0.0</v>
      </c>
      <c r="D3869" s="48" t="s">
        <v>1680</v>
      </c>
      <c r="E3869" s="22" t="s">
        <v>731</v>
      </c>
      <c r="F3869" s="18" t="s">
        <v>33</v>
      </c>
      <c r="G3869" s="18" t="s">
        <v>35</v>
      </c>
      <c r="H3869" s="40" t="s">
        <v>35</v>
      </c>
      <c r="I3869" s="37" t="s">
        <v>36</v>
      </c>
      <c r="J3869" s="25" t="s">
        <v>49</v>
      </c>
      <c r="K3869" s="26" t="s">
        <v>38</v>
      </c>
      <c r="L3869" s="25">
        <v>13059.0</v>
      </c>
      <c r="M3869" s="49" t="s">
        <v>50</v>
      </c>
      <c r="N3869" s="42" t="s">
        <v>143</v>
      </c>
      <c r="O3869" s="67">
        <v>45792.61909637731</v>
      </c>
      <c r="P3869" s="26" t="s">
        <v>15026</v>
      </c>
      <c r="Q3869" s="13" t="s">
        <v>75</v>
      </c>
      <c r="R3869" s="13" t="s">
        <v>75</v>
      </c>
      <c r="S3869" s="13" t="s">
        <v>73</v>
      </c>
      <c r="T3869" s="44">
        <v>45789.695147060185</v>
      </c>
      <c r="U3869" s="44">
        <v>45789.69541579861</v>
      </c>
      <c r="V3869" s="198">
        <v>45792.48284564815</v>
      </c>
      <c r="W3869" s="11"/>
      <c r="X3869" s="11"/>
      <c r="Y3869" s="45"/>
      <c r="Z3869" s="45"/>
      <c r="AA3869" s="31"/>
      <c r="AB3869" s="45" t="s">
        <v>15037</v>
      </c>
      <c r="AC3869" s="45"/>
    </row>
    <row r="3870" ht="18.75" customHeight="1">
      <c r="A3870" s="18" t="s">
        <v>15038</v>
      </c>
      <c r="B3870" s="19" t="s">
        <v>96</v>
      </c>
      <c r="C3870" s="20">
        <v>0.0</v>
      </c>
      <c r="D3870" s="48" t="s">
        <v>871</v>
      </c>
      <c r="E3870" s="27" t="s">
        <v>165</v>
      </c>
      <c r="F3870" s="18" t="s">
        <v>33</v>
      </c>
      <c r="G3870" s="18" t="s">
        <v>35</v>
      </c>
      <c r="H3870" s="40" t="s">
        <v>35</v>
      </c>
      <c r="I3870" s="37" t="s">
        <v>36</v>
      </c>
      <c r="J3870" s="25" t="s">
        <v>49</v>
      </c>
      <c r="K3870" s="26" t="s">
        <v>38</v>
      </c>
      <c r="L3870" s="25">
        <v>13059.0</v>
      </c>
      <c r="M3870" s="49" t="s">
        <v>50</v>
      </c>
      <c r="N3870" s="42" t="s">
        <v>143</v>
      </c>
      <c r="O3870" s="67">
        <v>45792.619156574074</v>
      </c>
      <c r="P3870" s="35" t="s">
        <v>15039</v>
      </c>
      <c r="Q3870" s="13" t="s">
        <v>75</v>
      </c>
      <c r="R3870" s="13" t="s">
        <v>75</v>
      </c>
      <c r="S3870" s="13" t="s">
        <v>73</v>
      </c>
      <c r="T3870" s="44">
        <v>45789.69518285879</v>
      </c>
      <c r="U3870" s="44">
        <v>45789.69544386574</v>
      </c>
      <c r="V3870" s="198">
        <v>45792.48284564815</v>
      </c>
      <c r="W3870" s="11"/>
      <c r="X3870" s="11"/>
      <c r="Y3870" s="45"/>
      <c r="Z3870" s="45" t="s">
        <v>15040</v>
      </c>
      <c r="AA3870" s="31"/>
      <c r="AB3870" s="45" t="s">
        <v>15041</v>
      </c>
      <c r="AC3870" s="45"/>
    </row>
    <row r="3871" ht="18.75" customHeight="1">
      <c r="A3871" s="18" t="s">
        <v>15042</v>
      </c>
      <c r="B3871" s="19" t="s">
        <v>96</v>
      </c>
      <c r="C3871" s="20">
        <v>0.0</v>
      </c>
      <c r="D3871" s="48"/>
      <c r="E3871" s="22" t="s">
        <v>731</v>
      </c>
      <c r="F3871" s="18" t="s">
        <v>33</v>
      </c>
      <c r="G3871" s="18" t="s">
        <v>35</v>
      </c>
      <c r="H3871" s="40" t="s">
        <v>35</v>
      </c>
      <c r="I3871" s="37" t="s">
        <v>984</v>
      </c>
      <c r="J3871" s="25" t="s">
        <v>49</v>
      </c>
      <c r="K3871" s="26" t="s">
        <v>38</v>
      </c>
      <c r="L3871" s="25">
        <v>-13004.0</v>
      </c>
      <c r="M3871" s="49"/>
      <c r="N3871" s="42"/>
      <c r="O3871" s="68"/>
      <c r="P3871" s="35" t="s">
        <v>15043</v>
      </c>
      <c r="Q3871" s="13" t="s">
        <v>75</v>
      </c>
      <c r="R3871" s="13" t="s">
        <v>75</v>
      </c>
      <c r="S3871" s="13"/>
      <c r="T3871" s="44">
        <v>45784.37698267361</v>
      </c>
      <c r="U3871" s="44">
        <v>45784.377362025465</v>
      </c>
      <c r="V3871" s="203"/>
      <c r="W3871" s="11"/>
      <c r="X3871" s="11"/>
      <c r="Y3871" s="45"/>
      <c r="Z3871" s="45"/>
      <c r="AA3871" s="31" t="s">
        <v>102</v>
      </c>
      <c r="AB3871" s="45" t="s">
        <v>15044</v>
      </c>
      <c r="AC3871" s="45"/>
    </row>
    <row r="3872" ht="18.75" customHeight="1">
      <c r="A3872" s="18" t="s">
        <v>15045</v>
      </c>
      <c r="B3872" s="19" t="s">
        <v>96</v>
      </c>
      <c r="C3872" s="20">
        <v>0.0</v>
      </c>
      <c r="D3872" s="48"/>
      <c r="E3872" s="22" t="s">
        <v>731</v>
      </c>
      <c r="F3872" s="18" t="s">
        <v>33</v>
      </c>
      <c r="G3872" s="18" t="s">
        <v>35</v>
      </c>
      <c r="H3872" s="40" t="s">
        <v>35</v>
      </c>
      <c r="I3872" s="37" t="s">
        <v>984</v>
      </c>
      <c r="J3872" s="25" t="s">
        <v>49</v>
      </c>
      <c r="K3872" s="26" t="s">
        <v>38</v>
      </c>
      <c r="L3872" s="25">
        <v>-13004.0</v>
      </c>
      <c r="M3872" s="49"/>
      <c r="N3872" s="42"/>
      <c r="O3872" s="68"/>
      <c r="P3872" s="35" t="s">
        <v>15043</v>
      </c>
      <c r="Q3872" s="13" t="s">
        <v>75</v>
      </c>
      <c r="R3872" s="13" t="s">
        <v>75</v>
      </c>
      <c r="S3872" s="13"/>
      <c r="T3872" s="44">
        <v>45784.37702115741</v>
      </c>
      <c r="U3872" s="44">
        <v>45784.37747158565</v>
      </c>
      <c r="V3872" s="203"/>
      <c r="W3872" s="11"/>
      <c r="X3872" s="11"/>
      <c r="Y3872" s="45"/>
      <c r="Z3872" s="45"/>
      <c r="AA3872" s="31" t="s">
        <v>102</v>
      </c>
      <c r="AB3872" s="45" t="s">
        <v>15046</v>
      </c>
      <c r="AC3872" s="45"/>
    </row>
    <row r="3873" ht="18.75" customHeight="1">
      <c r="A3873" s="18" t="s">
        <v>15047</v>
      </c>
      <c r="B3873" s="19" t="s">
        <v>96</v>
      </c>
      <c r="C3873" s="20">
        <v>0.0</v>
      </c>
      <c r="D3873" s="48"/>
      <c r="E3873" s="22" t="s">
        <v>731</v>
      </c>
      <c r="F3873" s="18" t="s">
        <v>33</v>
      </c>
      <c r="G3873" s="18" t="s">
        <v>35</v>
      </c>
      <c r="H3873" s="40" t="s">
        <v>35</v>
      </c>
      <c r="I3873" s="37" t="s">
        <v>984</v>
      </c>
      <c r="J3873" s="25" t="s">
        <v>49</v>
      </c>
      <c r="K3873" s="26" t="s">
        <v>38</v>
      </c>
      <c r="L3873" s="25">
        <v>-13004.0</v>
      </c>
      <c r="M3873" s="49"/>
      <c r="N3873" s="42"/>
      <c r="O3873" s="68"/>
      <c r="P3873" s="35" t="s">
        <v>15043</v>
      </c>
      <c r="Q3873" s="13" t="s">
        <v>75</v>
      </c>
      <c r="R3873" s="13" t="s">
        <v>75</v>
      </c>
      <c r="S3873" s="13"/>
      <c r="T3873" s="44">
        <v>45784.37705905092</v>
      </c>
      <c r="U3873" s="44">
        <v>45784.37748563658</v>
      </c>
      <c r="V3873" s="203"/>
      <c r="W3873" s="11"/>
      <c r="X3873" s="11"/>
      <c r="Y3873" s="45"/>
      <c r="Z3873" s="45"/>
      <c r="AA3873" s="31" t="s">
        <v>102</v>
      </c>
      <c r="AB3873" s="45" t="s">
        <v>15048</v>
      </c>
      <c r="AC3873" s="45"/>
    </row>
    <row r="3874" ht="18.75" customHeight="1">
      <c r="A3874" s="18" t="s">
        <v>15049</v>
      </c>
      <c r="B3874" s="19" t="s">
        <v>12937</v>
      </c>
      <c r="C3874" s="20">
        <v>0.0</v>
      </c>
      <c r="D3874" s="48" t="s">
        <v>15050</v>
      </c>
      <c r="E3874" s="27" t="s">
        <v>3441</v>
      </c>
      <c r="F3874" s="18" t="s">
        <v>48</v>
      </c>
      <c r="G3874" s="18" t="s">
        <v>35</v>
      </c>
      <c r="H3874" s="40" t="s">
        <v>35</v>
      </c>
      <c r="I3874" s="37" t="s">
        <v>36</v>
      </c>
      <c r="J3874" s="25" t="s">
        <v>65</v>
      </c>
      <c r="K3874" s="26" t="s">
        <v>38</v>
      </c>
      <c r="L3874" s="25">
        <v>12970.0</v>
      </c>
      <c r="M3874" s="49" t="s">
        <v>50</v>
      </c>
      <c r="N3874" s="42" t="s">
        <v>11189</v>
      </c>
      <c r="O3874" s="67">
        <v>45779.67743920139</v>
      </c>
      <c r="P3874" s="26" t="s">
        <v>15051</v>
      </c>
      <c r="Q3874" s="13" t="s">
        <v>75</v>
      </c>
      <c r="R3874" s="13" t="s">
        <v>75</v>
      </c>
      <c r="S3874" s="13" t="s">
        <v>50</v>
      </c>
      <c r="T3874" s="44">
        <v>45777.436567743054</v>
      </c>
      <c r="U3874" s="44">
        <v>45777.57117027778</v>
      </c>
      <c r="V3874" s="198">
        <v>45779.3593119213</v>
      </c>
      <c r="W3874" s="11"/>
      <c r="X3874" s="11"/>
      <c r="Y3874" s="45"/>
      <c r="Z3874" s="45"/>
      <c r="AA3874" s="31" t="s">
        <v>3059</v>
      </c>
      <c r="AB3874" s="45" t="s">
        <v>15052</v>
      </c>
      <c r="AC3874" s="45"/>
    </row>
    <row r="3875" ht="18.75" customHeight="1">
      <c r="A3875" s="18" t="s">
        <v>15053</v>
      </c>
      <c r="B3875" s="19" t="s">
        <v>12937</v>
      </c>
      <c r="C3875" s="20">
        <v>0.0</v>
      </c>
      <c r="D3875" s="48" t="s">
        <v>15054</v>
      </c>
      <c r="E3875" s="27" t="s">
        <v>3441</v>
      </c>
      <c r="F3875" s="18" t="s">
        <v>48</v>
      </c>
      <c r="G3875" s="18" t="s">
        <v>35</v>
      </c>
      <c r="H3875" s="40" t="s">
        <v>35</v>
      </c>
      <c r="I3875" s="37" t="s">
        <v>36</v>
      </c>
      <c r="J3875" s="25" t="s">
        <v>65</v>
      </c>
      <c r="K3875" s="26" t="s">
        <v>38</v>
      </c>
      <c r="L3875" s="25">
        <v>12970.0</v>
      </c>
      <c r="M3875" s="49" t="s">
        <v>50</v>
      </c>
      <c r="N3875" s="42" t="s">
        <v>11189</v>
      </c>
      <c r="O3875" s="67">
        <v>45779.67785972222</v>
      </c>
      <c r="P3875" s="26" t="s">
        <v>15051</v>
      </c>
      <c r="Q3875" s="13" t="s">
        <v>75</v>
      </c>
      <c r="R3875" s="13" t="s">
        <v>75</v>
      </c>
      <c r="S3875" s="13" t="s">
        <v>50</v>
      </c>
      <c r="T3875" s="44">
        <v>45777.436747245374</v>
      </c>
      <c r="U3875" s="44">
        <v>45777.571183506945</v>
      </c>
      <c r="V3875" s="198">
        <v>45779.35931193287</v>
      </c>
      <c r="W3875" s="11"/>
      <c r="X3875" s="11"/>
      <c r="Y3875" s="45"/>
      <c r="Z3875" s="45"/>
      <c r="AA3875" s="31" t="s">
        <v>3059</v>
      </c>
      <c r="AB3875" s="45" t="s">
        <v>15055</v>
      </c>
      <c r="AC3875" s="45"/>
    </row>
    <row r="3876" ht="18.75" customHeight="1">
      <c r="A3876" s="18" t="s">
        <v>15056</v>
      </c>
      <c r="B3876" s="19" t="s">
        <v>12937</v>
      </c>
      <c r="C3876" s="20">
        <v>0.0</v>
      </c>
      <c r="D3876" s="48" t="s">
        <v>15057</v>
      </c>
      <c r="E3876" s="27" t="s">
        <v>3441</v>
      </c>
      <c r="F3876" s="18" t="s">
        <v>48</v>
      </c>
      <c r="G3876" s="18" t="s">
        <v>35</v>
      </c>
      <c r="H3876" s="40" t="s">
        <v>35</v>
      </c>
      <c r="I3876" s="37" t="s">
        <v>36</v>
      </c>
      <c r="J3876" s="25" t="s">
        <v>65</v>
      </c>
      <c r="K3876" s="26" t="s">
        <v>38</v>
      </c>
      <c r="L3876" s="25">
        <v>12970.0</v>
      </c>
      <c r="M3876" s="49" t="s">
        <v>50</v>
      </c>
      <c r="N3876" s="42" t="s">
        <v>11189</v>
      </c>
      <c r="O3876" s="67">
        <v>45779.67780608796</v>
      </c>
      <c r="P3876" s="26" t="s">
        <v>15051</v>
      </c>
      <c r="Q3876" s="13" t="s">
        <v>75</v>
      </c>
      <c r="R3876" s="13" t="s">
        <v>75</v>
      </c>
      <c r="S3876" s="13" t="s">
        <v>50</v>
      </c>
      <c r="T3876" s="44">
        <v>45777.43680357639</v>
      </c>
      <c r="U3876" s="44">
        <v>45777.57118883102</v>
      </c>
      <c r="V3876" s="198">
        <v>45779.35945135417</v>
      </c>
      <c r="W3876" s="11"/>
      <c r="X3876" s="11"/>
      <c r="Y3876" s="45"/>
      <c r="Z3876" s="45"/>
      <c r="AA3876" s="31" t="s">
        <v>3059</v>
      </c>
      <c r="AB3876" s="45" t="s">
        <v>15058</v>
      </c>
      <c r="AC3876" s="45"/>
    </row>
    <row r="3877" ht="18.75" customHeight="1">
      <c r="A3877" s="18" t="s">
        <v>15059</v>
      </c>
      <c r="B3877" s="19" t="s">
        <v>12937</v>
      </c>
      <c r="C3877" s="20">
        <v>1.0</v>
      </c>
      <c r="D3877" s="48" t="s">
        <v>15060</v>
      </c>
      <c r="E3877" s="27" t="s">
        <v>3395</v>
      </c>
      <c r="F3877" s="18" t="s">
        <v>48</v>
      </c>
      <c r="G3877" s="18" t="s">
        <v>35</v>
      </c>
      <c r="H3877" s="40" t="s">
        <v>35</v>
      </c>
      <c r="I3877" s="37" t="s">
        <v>36</v>
      </c>
      <c r="J3877" s="25" t="s">
        <v>65</v>
      </c>
      <c r="K3877" s="26" t="s">
        <v>38</v>
      </c>
      <c r="L3877" s="25">
        <v>12970.0</v>
      </c>
      <c r="M3877" s="49" t="s">
        <v>50</v>
      </c>
      <c r="N3877" s="42" t="s">
        <v>11189</v>
      </c>
      <c r="O3877" s="67">
        <v>45779.67775939815</v>
      </c>
      <c r="P3877" s="26" t="s">
        <v>15051</v>
      </c>
      <c r="Q3877" s="13" t="s">
        <v>75</v>
      </c>
      <c r="R3877" s="13" t="s">
        <v>75</v>
      </c>
      <c r="S3877" s="13" t="s">
        <v>50</v>
      </c>
      <c r="T3877" s="44">
        <v>45777.43692862269</v>
      </c>
      <c r="U3877" s="44">
        <v>45777.57119307871</v>
      </c>
      <c r="V3877" s="198">
        <v>45779.35966134259</v>
      </c>
      <c r="W3877" s="11"/>
      <c r="X3877" s="11"/>
      <c r="Y3877" s="45"/>
      <c r="Z3877" s="45"/>
      <c r="AA3877" s="31" t="s">
        <v>3059</v>
      </c>
      <c r="AB3877" s="45" t="s">
        <v>15061</v>
      </c>
      <c r="AC3877" s="45"/>
    </row>
    <row r="3878" ht="18.75" customHeight="1">
      <c r="A3878" s="18" t="s">
        <v>15062</v>
      </c>
      <c r="B3878" s="19" t="s">
        <v>3323</v>
      </c>
      <c r="C3878" s="20">
        <v>11.0</v>
      </c>
      <c r="D3878" s="48" t="s">
        <v>15063</v>
      </c>
      <c r="E3878" s="27" t="s">
        <v>112</v>
      </c>
      <c r="F3878" s="18" t="s">
        <v>48</v>
      </c>
      <c r="G3878" s="18" t="s">
        <v>35</v>
      </c>
      <c r="H3878" s="40" t="s">
        <v>35</v>
      </c>
      <c r="I3878" s="37" t="s">
        <v>36</v>
      </c>
      <c r="J3878" s="25" t="s">
        <v>65</v>
      </c>
      <c r="K3878" s="26" t="s">
        <v>38</v>
      </c>
      <c r="L3878" s="25">
        <v>12969.0</v>
      </c>
      <c r="M3878" s="49" t="s">
        <v>50</v>
      </c>
      <c r="N3878" s="42" t="s">
        <v>11189</v>
      </c>
      <c r="O3878" s="67">
        <v>45779.67693502315</v>
      </c>
      <c r="P3878" s="26" t="s">
        <v>15064</v>
      </c>
      <c r="Q3878" s="13" t="s">
        <v>75</v>
      </c>
      <c r="R3878" s="13" t="s">
        <v>75</v>
      </c>
      <c r="S3878" s="13" t="s">
        <v>50</v>
      </c>
      <c r="T3878" s="44">
        <v>45777.443968067135</v>
      </c>
      <c r="U3878" s="44">
        <v>45777.47995283565</v>
      </c>
      <c r="V3878" s="198">
        <v>45779.35907126157</v>
      </c>
      <c r="W3878" s="11"/>
      <c r="X3878" s="11"/>
      <c r="Y3878" s="45"/>
      <c r="Z3878" s="45"/>
      <c r="AA3878" s="31" t="s">
        <v>94</v>
      </c>
      <c r="AB3878" s="45" t="s">
        <v>15065</v>
      </c>
      <c r="AC3878" s="45"/>
    </row>
    <row r="3879" ht="18.75" customHeight="1">
      <c r="A3879" s="18" t="s">
        <v>15066</v>
      </c>
      <c r="B3879" s="19" t="s">
        <v>3323</v>
      </c>
      <c r="C3879" s="20">
        <v>11.0</v>
      </c>
      <c r="D3879" s="48" t="s">
        <v>15067</v>
      </c>
      <c r="E3879" s="27" t="s">
        <v>112</v>
      </c>
      <c r="F3879" s="18" t="s">
        <v>48</v>
      </c>
      <c r="G3879" s="18" t="s">
        <v>35</v>
      </c>
      <c r="H3879" s="40" t="s">
        <v>35</v>
      </c>
      <c r="I3879" s="37" t="s">
        <v>36</v>
      </c>
      <c r="J3879" s="25" t="s">
        <v>65</v>
      </c>
      <c r="K3879" s="26" t="s">
        <v>38</v>
      </c>
      <c r="L3879" s="25">
        <v>12969.0</v>
      </c>
      <c r="M3879" s="49" t="s">
        <v>50</v>
      </c>
      <c r="N3879" s="42" t="s">
        <v>11189</v>
      </c>
      <c r="O3879" s="67">
        <v>45779.677373680555</v>
      </c>
      <c r="P3879" s="26" t="s">
        <v>15064</v>
      </c>
      <c r="Q3879" s="13" t="s">
        <v>75</v>
      </c>
      <c r="R3879" s="13" t="s">
        <v>75</v>
      </c>
      <c r="S3879" s="13" t="s">
        <v>50</v>
      </c>
      <c r="T3879" s="44">
        <v>45777.444715879625</v>
      </c>
      <c r="U3879" s="44">
        <v>45777.47994805555</v>
      </c>
      <c r="V3879" s="198">
        <v>45779.35907126157</v>
      </c>
      <c r="W3879" s="11"/>
      <c r="X3879" s="11"/>
      <c r="Y3879" s="45"/>
      <c r="Z3879" s="45"/>
      <c r="AA3879" s="31" t="s">
        <v>94</v>
      </c>
      <c r="AB3879" s="45" t="s">
        <v>15068</v>
      </c>
      <c r="AC3879" s="45"/>
    </row>
    <row r="3880" ht="18.75" customHeight="1">
      <c r="A3880" s="18" t="s">
        <v>15069</v>
      </c>
      <c r="B3880" s="19" t="s">
        <v>3323</v>
      </c>
      <c r="C3880" s="20">
        <v>34.0</v>
      </c>
      <c r="D3880" s="48" t="s">
        <v>15070</v>
      </c>
      <c r="E3880" s="27" t="s">
        <v>47</v>
      </c>
      <c r="F3880" s="18" t="s">
        <v>48</v>
      </c>
      <c r="G3880" s="18" t="s">
        <v>35</v>
      </c>
      <c r="H3880" s="40" t="s">
        <v>35</v>
      </c>
      <c r="I3880" s="37" t="s">
        <v>36</v>
      </c>
      <c r="J3880" s="25" t="s">
        <v>65</v>
      </c>
      <c r="K3880" s="26" t="s">
        <v>38</v>
      </c>
      <c r="L3880" s="25">
        <v>12969.0</v>
      </c>
      <c r="M3880" s="49" t="s">
        <v>50</v>
      </c>
      <c r="N3880" s="42" t="s">
        <v>11189</v>
      </c>
      <c r="O3880" s="67">
        <v>45779.67705267361</v>
      </c>
      <c r="P3880" s="26" t="s">
        <v>15064</v>
      </c>
      <c r="Q3880" s="13" t="s">
        <v>75</v>
      </c>
      <c r="R3880" s="13" t="s">
        <v>75</v>
      </c>
      <c r="S3880" s="13" t="s">
        <v>50</v>
      </c>
      <c r="T3880" s="44">
        <v>45777.44477891204</v>
      </c>
      <c r="U3880" s="44">
        <v>45777.479943391205</v>
      </c>
      <c r="V3880" s="198">
        <v>45779.35895381944</v>
      </c>
      <c r="W3880" s="11"/>
      <c r="X3880" s="11"/>
      <c r="Y3880" s="45"/>
      <c r="Z3880" s="45"/>
      <c r="AA3880" s="31" t="s">
        <v>94</v>
      </c>
      <c r="AB3880" s="45" t="s">
        <v>15071</v>
      </c>
      <c r="AC3880" s="45"/>
    </row>
    <row r="3881" ht="18.75" customHeight="1">
      <c r="A3881" s="18" t="s">
        <v>15072</v>
      </c>
      <c r="B3881" s="19" t="s">
        <v>3323</v>
      </c>
      <c r="C3881" s="20">
        <v>137.0</v>
      </c>
      <c r="D3881" s="48" t="s">
        <v>15073</v>
      </c>
      <c r="E3881" s="27" t="s">
        <v>85</v>
      </c>
      <c r="F3881" s="18" t="s">
        <v>48</v>
      </c>
      <c r="G3881" s="18" t="s">
        <v>35</v>
      </c>
      <c r="H3881" s="40" t="s">
        <v>35</v>
      </c>
      <c r="I3881" s="37" t="s">
        <v>36</v>
      </c>
      <c r="J3881" s="25" t="s">
        <v>65</v>
      </c>
      <c r="K3881" s="26" t="s">
        <v>38</v>
      </c>
      <c r="L3881" s="25">
        <v>12969.0</v>
      </c>
      <c r="M3881" s="49" t="s">
        <v>50</v>
      </c>
      <c r="N3881" s="42" t="s">
        <v>11189</v>
      </c>
      <c r="O3881" s="67">
        <v>45779.67699136574</v>
      </c>
      <c r="P3881" s="26" t="s">
        <v>15064</v>
      </c>
      <c r="Q3881" s="13" t="s">
        <v>75</v>
      </c>
      <c r="R3881" s="13" t="s">
        <v>75</v>
      </c>
      <c r="S3881" s="13" t="s">
        <v>50</v>
      </c>
      <c r="T3881" s="44">
        <v>45777.44483763889</v>
      </c>
      <c r="U3881" s="44">
        <v>45777.47993804398</v>
      </c>
      <c r="V3881" s="198">
        <v>45779.35907126157</v>
      </c>
      <c r="W3881" s="11"/>
      <c r="X3881" s="11"/>
      <c r="Y3881" s="45"/>
      <c r="Z3881" s="45"/>
      <c r="AA3881" s="31" t="s">
        <v>94</v>
      </c>
      <c r="AB3881" s="45" t="s">
        <v>15074</v>
      </c>
      <c r="AC3881" s="45"/>
    </row>
    <row r="3882" ht="18.75" customHeight="1">
      <c r="A3882" s="18" t="s">
        <v>15075</v>
      </c>
      <c r="B3882" s="19" t="s">
        <v>3323</v>
      </c>
      <c r="C3882" s="20">
        <v>90.0</v>
      </c>
      <c r="D3882" s="48" t="s">
        <v>15076</v>
      </c>
      <c r="E3882" s="27" t="s">
        <v>91</v>
      </c>
      <c r="F3882" s="18" t="s">
        <v>48</v>
      </c>
      <c r="G3882" s="18" t="s">
        <v>35</v>
      </c>
      <c r="H3882" s="40" t="s">
        <v>35</v>
      </c>
      <c r="I3882" s="37" t="s">
        <v>36</v>
      </c>
      <c r="J3882" s="25" t="s">
        <v>65</v>
      </c>
      <c r="K3882" s="26" t="s">
        <v>38</v>
      </c>
      <c r="L3882" s="25">
        <v>12969.0</v>
      </c>
      <c r="M3882" s="49" t="s">
        <v>50</v>
      </c>
      <c r="N3882" s="42" t="s">
        <v>11189</v>
      </c>
      <c r="O3882" s="67">
        <v>45779.677133668985</v>
      </c>
      <c r="P3882" s="26" t="s">
        <v>15064</v>
      </c>
      <c r="Q3882" s="13" t="s">
        <v>75</v>
      </c>
      <c r="R3882" s="13" t="s">
        <v>75</v>
      </c>
      <c r="S3882" s="13" t="s">
        <v>50</v>
      </c>
      <c r="T3882" s="44">
        <v>45777.444917824076</v>
      </c>
      <c r="U3882" s="44">
        <v>45777.47993351852</v>
      </c>
      <c r="V3882" s="198">
        <v>45779.35895380787</v>
      </c>
      <c r="W3882" s="11"/>
      <c r="X3882" s="11"/>
      <c r="Y3882" s="45"/>
      <c r="Z3882" s="45"/>
      <c r="AA3882" s="31" t="s">
        <v>94</v>
      </c>
      <c r="AB3882" s="45" t="s">
        <v>15077</v>
      </c>
      <c r="AC3882" s="45"/>
    </row>
    <row r="3883" ht="18.75" customHeight="1">
      <c r="A3883" s="18" t="s">
        <v>15078</v>
      </c>
      <c r="B3883" s="19" t="s">
        <v>3323</v>
      </c>
      <c r="C3883" s="20">
        <v>90.0</v>
      </c>
      <c r="D3883" s="48" t="s">
        <v>15079</v>
      </c>
      <c r="E3883" s="27" t="s">
        <v>91</v>
      </c>
      <c r="F3883" s="18" t="s">
        <v>48</v>
      </c>
      <c r="G3883" s="18" t="s">
        <v>35</v>
      </c>
      <c r="H3883" s="40" t="s">
        <v>35</v>
      </c>
      <c r="I3883" s="37" t="s">
        <v>36</v>
      </c>
      <c r="J3883" s="25" t="s">
        <v>65</v>
      </c>
      <c r="K3883" s="26" t="s">
        <v>38</v>
      </c>
      <c r="L3883" s="25">
        <v>12969.0</v>
      </c>
      <c r="M3883" s="49" t="s">
        <v>50</v>
      </c>
      <c r="N3883" s="42" t="s">
        <v>11189</v>
      </c>
      <c r="O3883" s="67">
        <v>45779.67720907407</v>
      </c>
      <c r="P3883" s="26" t="s">
        <v>15064</v>
      </c>
      <c r="Q3883" s="13" t="s">
        <v>75</v>
      </c>
      <c r="R3883" s="13" t="s">
        <v>75</v>
      </c>
      <c r="S3883" s="13" t="s">
        <v>50</v>
      </c>
      <c r="T3883" s="44">
        <v>45777.44497909722</v>
      </c>
      <c r="U3883" s="44">
        <v>45777.479931458336</v>
      </c>
      <c r="V3883" s="198">
        <v>45779.35895380787</v>
      </c>
      <c r="W3883" s="11"/>
      <c r="X3883" s="11"/>
      <c r="Y3883" s="45"/>
      <c r="Z3883" s="45"/>
      <c r="AA3883" s="31" t="s">
        <v>94</v>
      </c>
      <c r="AB3883" s="45" t="s">
        <v>15080</v>
      </c>
      <c r="AC3883" s="45"/>
    </row>
    <row r="3884" ht="18.75" customHeight="1">
      <c r="A3884" s="18" t="s">
        <v>15081</v>
      </c>
      <c r="B3884" s="19" t="s">
        <v>3323</v>
      </c>
      <c r="C3884" s="20">
        <v>27.0</v>
      </c>
      <c r="D3884" s="39" t="s">
        <v>15082</v>
      </c>
      <c r="E3884" s="27" t="s">
        <v>72</v>
      </c>
      <c r="F3884" s="18" t="s">
        <v>48</v>
      </c>
      <c r="G3884" s="18" t="s">
        <v>35</v>
      </c>
      <c r="H3884" s="40" t="s">
        <v>35</v>
      </c>
      <c r="I3884" s="37" t="s">
        <v>36</v>
      </c>
      <c r="J3884" s="25" t="s">
        <v>65</v>
      </c>
      <c r="K3884" s="26" t="s">
        <v>38</v>
      </c>
      <c r="L3884" s="25">
        <v>12969.0</v>
      </c>
      <c r="M3884" s="49" t="s">
        <v>50</v>
      </c>
      <c r="N3884" s="42" t="s">
        <v>11189</v>
      </c>
      <c r="O3884" s="67">
        <v>45779.67726563658</v>
      </c>
      <c r="P3884" s="26" t="s">
        <v>15064</v>
      </c>
      <c r="Q3884" s="13" t="s">
        <v>75</v>
      </c>
      <c r="R3884" s="13" t="s">
        <v>75</v>
      </c>
      <c r="S3884" s="13" t="s">
        <v>50</v>
      </c>
      <c r="T3884" s="44">
        <v>45777.44509601852</v>
      </c>
      <c r="U3884" s="44">
        <v>45777.47992384259</v>
      </c>
      <c r="V3884" s="198">
        <v>45779.35895380787</v>
      </c>
      <c r="W3884" s="11"/>
      <c r="X3884" s="11"/>
      <c r="Y3884" s="45"/>
      <c r="Z3884" s="45"/>
      <c r="AA3884" s="31" t="s">
        <v>94</v>
      </c>
      <c r="AB3884" s="45" t="s">
        <v>15083</v>
      </c>
      <c r="AC3884" s="45"/>
    </row>
    <row r="3885" ht="18.75" customHeight="1">
      <c r="A3885" s="18" t="s">
        <v>15084</v>
      </c>
      <c r="B3885" s="19" t="s">
        <v>3323</v>
      </c>
      <c r="C3885" s="20">
        <v>27.0</v>
      </c>
      <c r="D3885" s="39" t="s">
        <v>15085</v>
      </c>
      <c r="E3885" s="27" t="s">
        <v>72</v>
      </c>
      <c r="F3885" s="18" t="s">
        <v>48</v>
      </c>
      <c r="G3885" s="18" t="s">
        <v>35</v>
      </c>
      <c r="H3885" s="40" t="s">
        <v>35</v>
      </c>
      <c r="I3885" s="37" t="s">
        <v>36</v>
      </c>
      <c r="J3885" s="25" t="s">
        <v>65</v>
      </c>
      <c r="K3885" s="26" t="s">
        <v>38</v>
      </c>
      <c r="L3885" s="25">
        <v>12969.0</v>
      </c>
      <c r="M3885" s="49" t="s">
        <v>50</v>
      </c>
      <c r="N3885" s="42" t="s">
        <v>11189</v>
      </c>
      <c r="O3885" s="67">
        <v>45779.677318125</v>
      </c>
      <c r="P3885" s="26" t="s">
        <v>15064</v>
      </c>
      <c r="Q3885" s="13" t="s">
        <v>75</v>
      </c>
      <c r="R3885" s="13" t="s">
        <v>75</v>
      </c>
      <c r="S3885" s="13" t="s">
        <v>50</v>
      </c>
      <c r="T3885" s="44">
        <v>45777.44503658565</v>
      </c>
      <c r="U3885" s="44">
        <v>45777.479903495376</v>
      </c>
      <c r="V3885" s="198">
        <v>45779.35895380787</v>
      </c>
      <c r="W3885" s="11"/>
      <c r="X3885" s="11"/>
      <c r="Y3885" s="45"/>
      <c r="Z3885" s="45"/>
      <c r="AA3885" s="31" t="s">
        <v>94</v>
      </c>
      <c r="AB3885" s="45" t="s">
        <v>15086</v>
      </c>
      <c r="AC3885" s="45"/>
    </row>
    <row r="3886" ht="18.75" customHeight="1">
      <c r="A3886" s="18" t="s">
        <v>15087</v>
      </c>
      <c r="B3886" s="19" t="s">
        <v>4352</v>
      </c>
      <c r="C3886" s="20">
        <v>0.0</v>
      </c>
      <c r="D3886" s="48" t="s">
        <v>15088</v>
      </c>
      <c r="E3886" s="27" t="s">
        <v>3441</v>
      </c>
      <c r="F3886" s="18" t="s">
        <v>48</v>
      </c>
      <c r="G3886" s="18" t="s">
        <v>35</v>
      </c>
      <c r="H3886" s="40" t="s">
        <v>35</v>
      </c>
      <c r="I3886" s="37" t="s">
        <v>36</v>
      </c>
      <c r="J3886" s="25" t="s">
        <v>49</v>
      </c>
      <c r="K3886" s="26" t="s">
        <v>38</v>
      </c>
      <c r="L3886" s="25">
        <v>12980.0</v>
      </c>
      <c r="M3886" s="49" t="s">
        <v>50</v>
      </c>
      <c r="N3886" s="42" t="s">
        <v>5936</v>
      </c>
      <c r="O3886" s="67">
        <v>45782.69791666667</v>
      </c>
      <c r="P3886" s="35" t="s">
        <v>15089</v>
      </c>
      <c r="Q3886" s="13" t="s">
        <v>75</v>
      </c>
      <c r="R3886" s="13" t="s">
        <v>75</v>
      </c>
      <c r="S3886" s="13" t="s">
        <v>50</v>
      </c>
      <c r="T3886" s="44">
        <v>45777.48926666667</v>
      </c>
      <c r="U3886" s="44">
        <v>45779.585737037036</v>
      </c>
      <c r="V3886" s="198">
        <v>45782.33233689815</v>
      </c>
      <c r="W3886" s="11"/>
      <c r="X3886" s="11"/>
      <c r="Y3886" s="45"/>
      <c r="Z3886" s="45"/>
      <c r="AA3886" s="31" t="s">
        <v>127</v>
      </c>
      <c r="AB3886" s="45" t="s">
        <v>15090</v>
      </c>
      <c r="AC3886" s="45"/>
    </row>
    <row r="3887" ht="18.75" customHeight="1">
      <c r="A3887" s="18" t="s">
        <v>15091</v>
      </c>
      <c r="B3887" s="19" t="s">
        <v>4352</v>
      </c>
      <c r="C3887" s="20">
        <v>137.0</v>
      </c>
      <c r="D3887" s="48" t="s">
        <v>15092</v>
      </c>
      <c r="E3887" s="27" t="s">
        <v>85</v>
      </c>
      <c r="F3887" s="18" t="s">
        <v>48</v>
      </c>
      <c r="G3887" s="18" t="s">
        <v>35</v>
      </c>
      <c r="H3887" s="40" t="s">
        <v>35</v>
      </c>
      <c r="I3887" s="37" t="s">
        <v>36</v>
      </c>
      <c r="J3887" s="25" t="s">
        <v>49</v>
      </c>
      <c r="K3887" s="26" t="s">
        <v>38</v>
      </c>
      <c r="L3887" s="25">
        <v>12980.0</v>
      </c>
      <c r="M3887" s="49" t="s">
        <v>50</v>
      </c>
      <c r="N3887" s="42" t="s">
        <v>5936</v>
      </c>
      <c r="O3887" s="67">
        <v>45782.69791666667</v>
      </c>
      <c r="P3887" s="35" t="s">
        <v>15089</v>
      </c>
      <c r="Q3887" s="13" t="s">
        <v>75</v>
      </c>
      <c r="R3887" s="13" t="s">
        <v>75</v>
      </c>
      <c r="S3887" s="13" t="s">
        <v>50</v>
      </c>
      <c r="T3887" s="44">
        <v>45777.490872291666</v>
      </c>
      <c r="U3887" s="44">
        <v>45779.58574465278</v>
      </c>
      <c r="V3887" s="198">
        <v>45782.33233689815</v>
      </c>
      <c r="W3887" s="11"/>
      <c r="X3887" s="11"/>
      <c r="Y3887" s="45"/>
      <c r="Z3887" s="45"/>
      <c r="AA3887" s="31" t="s">
        <v>127</v>
      </c>
      <c r="AB3887" s="45" t="s">
        <v>15093</v>
      </c>
      <c r="AC3887" s="45"/>
    </row>
    <row r="3888" ht="18.75" customHeight="1">
      <c r="A3888" s="18" t="s">
        <v>15094</v>
      </c>
      <c r="B3888" s="19" t="s">
        <v>4352</v>
      </c>
      <c r="C3888" s="20">
        <v>90.0</v>
      </c>
      <c r="D3888" s="48" t="s">
        <v>15095</v>
      </c>
      <c r="E3888" s="27" t="s">
        <v>91</v>
      </c>
      <c r="F3888" s="18" t="s">
        <v>48</v>
      </c>
      <c r="G3888" s="18" t="s">
        <v>35</v>
      </c>
      <c r="H3888" s="40" t="s">
        <v>35</v>
      </c>
      <c r="I3888" s="37" t="s">
        <v>36</v>
      </c>
      <c r="J3888" s="25" t="s">
        <v>49</v>
      </c>
      <c r="K3888" s="26" t="s">
        <v>38</v>
      </c>
      <c r="L3888" s="25">
        <v>12980.0</v>
      </c>
      <c r="M3888" s="49" t="s">
        <v>50</v>
      </c>
      <c r="N3888" s="42" t="s">
        <v>5936</v>
      </c>
      <c r="O3888" s="67">
        <v>45782.69791666667</v>
      </c>
      <c r="P3888" s="35" t="s">
        <v>15089</v>
      </c>
      <c r="Q3888" s="13" t="s">
        <v>75</v>
      </c>
      <c r="R3888" s="13" t="s">
        <v>75</v>
      </c>
      <c r="S3888" s="13" t="s">
        <v>50</v>
      </c>
      <c r="T3888" s="44">
        <v>45777.491018125</v>
      </c>
      <c r="U3888" s="44">
        <v>45779.58568059027</v>
      </c>
      <c r="V3888" s="198">
        <v>45782.332336886575</v>
      </c>
      <c r="W3888" s="11"/>
      <c r="X3888" s="11"/>
      <c r="Y3888" s="45"/>
      <c r="Z3888" s="45"/>
      <c r="AA3888" s="31" t="s">
        <v>127</v>
      </c>
      <c r="AB3888" s="45" t="s">
        <v>15096</v>
      </c>
      <c r="AC3888" s="45"/>
    </row>
    <row r="3889" ht="18.75" customHeight="1">
      <c r="A3889" s="142" t="s">
        <v>15097</v>
      </c>
      <c r="B3889" s="19" t="s">
        <v>4352</v>
      </c>
      <c r="C3889" s="20">
        <v>137.0</v>
      </c>
      <c r="D3889" s="48" t="s">
        <v>15098</v>
      </c>
      <c r="E3889" s="27" t="s">
        <v>85</v>
      </c>
      <c r="F3889" s="18" t="s">
        <v>48</v>
      </c>
      <c r="G3889" s="18" t="s">
        <v>35</v>
      </c>
      <c r="H3889" s="40" t="s">
        <v>35</v>
      </c>
      <c r="I3889" s="37" t="s">
        <v>36</v>
      </c>
      <c r="J3889" s="25" t="s">
        <v>49</v>
      </c>
      <c r="K3889" s="26" t="s">
        <v>38</v>
      </c>
      <c r="L3889" s="25">
        <v>12976.0</v>
      </c>
      <c r="M3889" s="49" t="s">
        <v>50</v>
      </c>
      <c r="N3889" s="42" t="s">
        <v>5936</v>
      </c>
      <c r="O3889" s="67">
        <v>45779.581682523145</v>
      </c>
      <c r="P3889" s="35" t="s">
        <v>15099</v>
      </c>
      <c r="Q3889" s="13" t="s">
        <v>75</v>
      </c>
      <c r="R3889" s="13" t="s">
        <v>75</v>
      </c>
      <c r="S3889" s="13" t="s">
        <v>50</v>
      </c>
      <c r="T3889" s="44">
        <v>45777.49220121528</v>
      </c>
      <c r="U3889" s="44">
        <v>45779.49822826389</v>
      </c>
      <c r="V3889" s="198">
        <v>45779.50892761574</v>
      </c>
      <c r="W3889" s="11"/>
      <c r="X3889" s="11"/>
      <c r="Y3889" s="45"/>
      <c r="Z3889" s="45"/>
      <c r="AA3889" s="31" t="s">
        <v>127</v>
      </c>
      <c r="AB3889" s="45" t="s">
        <v>15100</v>
      </c>
      <c r="AC3889" s="45"/>
    </row>
    <row r="3890" ht="18.75" customHeight="1">
      <c r="A3890" s="142" t="s">
        <v>15101</v>
      </c>
      <c r="B3890" s="19" t="s">
        <v>4352</v>
      </c>
      <c r="C3890" s="20">
        <v>137.0</v>
      </c>
      <c r="D3890" s="48" t="s">
        <v>15102</v>
      </c>
      <c r="E3890" s="27" t="s">
        <v>85</v>
      </c>
      <c r="F3890" s="18" t="s">
        <v>48</v>
      </c>
      <c r="G3890" s="18" t="s">
        <v>35</v>
      </c>
      <c r="H3890" s="40" t="s">
        <v>35</v>
      </c>
      <c r="I3890" s="37" t="s">
        <v>36</v>
      </c>
      <c r="J3890" s="25" t="s">
        <v>49</v>
      </c>
      <c r="K3890" s="26" t="s">
        <v>38</v>
      </c>
      <c r="L3890" s="25">
        <v>12977.0</v>
      </c>
      <c r="M3890" s="49" t="s">
        <v>50</v>
      </c>
      <c r="N3890" s="42" t="s">
        <v>5936</v>
      </c>
      <c r="O3890" s="67">
        <v>45779.58162686342</v>
      </c>
      <c r="P3890" s="26" t="s">
        <v>15103</v>
      </c>
      <c r="Q3890" s="13" t="s">
        <v>75</v>
      </c>
      <c r="R3890" s="13" t="s">
        <v>75</v>
      </c>
      <c r="S3890" s="13" t="s">
        <v>50</v>
      </c>
      <c r="T3890" s="44">
        <v>45777.49342569444</v>
      </c>
      <c r="U3890" s="44">
        <v>45779.49873670139</v>
      </c>
      <c r="V3890" s="198">
        <v>45779.50892761574</v>
      </c>
      <c r="W3890" s="11"/>
      <c r="X3890" s="11"/>
      <c r="Y3890" s="45"/>
      <c r="Z3890" s="45"/>
      <c r="AA3890" s="31" t="s">
        <v>127</v>
      </c>
      <c r="AB3890" s="45" t="s">
        <v>15104</v>
      </c>
      <c r="AC3890" s="45"/>
    </row>
    <row r="3891" ht="18.75" customHeight="1">
      <c r="A3891" s="142" t="s">
        <v>15105</v>
      </c>
      <c r="B3891" s="19" t="s">
        <v>15106</v>
      </c>
      <c r="C3891" s="20">
        <v>90.0</v>
      </c>
      <c r="D3891" s="48" t="s">
        <v>15107</v>
      </c>
      <c r="E3891" s="27" t="s">
        <v>91</v>
      </c>
      <c r="F3891" s="18" t="s">
        <v>48</v>
      </c>
      <c r="G3891" s="18" t="s">
        <v>35</v>
      </c>
      <c r="H3891" s="40" t="s">
        <v>35</v>
      </c>
      <c r="I3891" s="37" t="s">
        <v>36</v>
      </c>
      <c r="J3891" s="25" t="s">
        <v>65</v>
      </c>
      <c r="K3891" s="26" t="s">
        <v>38</v>
      </c>
      <c r="L3891" s="25">
        <v>13022.0</v>
      </c>
      <c r="M3891" s="49" t="s">
        <v>50</v>
      </c>
      <c r="N3891" s="42" t="s">
        <v>11189</v>
      </c>
      <c r="O3891" s="67">
        <v>45786.66721590278</v>
      </c>
      <c r="P3891" s="26" t="s">
        <v>15108</v>
      </c>
      <c r="Q3891" s="13" t="s">
        <v>75</v>
      </c>
      <c r="R3891" s="13" t="s">
        <v>75</v>
      </c>
      <c r="S3891" s="13" t="s">
        <v>50</v>
      </c>
      <c r="T3891" s="44">
        <v>45777.494175300926</v>
      </c>
      <c r="U3891" s="44">
        <v>45785.50668431713</v>
      </c>
      <c r="V3891" s="198">
        <v>45786.384491585646</v>
      </c>
      <c r="W3891" s="11"/>
      <c r="X3891" s="11"/>
      <c r="Y3891" s="45"/>
      <c r="Z3891" s="45"/>
      <c r="AA3891" s="31" t="s">
        <v>94</v>
      </c>
      <c r="AB3891" s="45" t="s">
        <v>15109</v>
      </c>
      <c r="AC3891" s="45"/>
    </row>
    <row r="3892" ht="18.75" customHeight="1">
      <c r="A3892" s="142" t="s">
        <v>15110</v>
      </c>
      <c r="B3892" s="19" t="s">
        <v>11507</v>
      </c>
      <c r="C3892" s="20">
        <v>1.0</v>
      </c>
      <c r="D3892" s="48" t="s">
        <v>15111</v>
      </c>
      <c r="E3892" s="27" t="s">
        <v>3395</v>
      </c>
      <c r="F3892" s="18" t="s">
        <v>48</v>
      </c>
      <c r="G3892" s="18" t="s">
        <v>35</v>
      </c>
      <c r="H3892" s="40" t="s">
        <v>35</v>
      </c>
      <c r="I3892" s="37" t="s">
        <v>36</v>
      </c>
      <c r="J3892" s="25" t="s">
        <v>49</v>
      </c>
      <c r="K3892" s="26" t="s">
        <v>38</v>
      </c>
      <c r="L3892" s="25">
        <v>12971.0</v>
      </c>
      <c r="M3892" s="49" t="s">
        <v>50</v>
      </c>
      <c r="N3892" s="42" t="s">
        <v>5936</v>
      </c>
      <c r="O3892" s="67">
        <v>45779.581564837965</v>
      </c>
      <c r="P3892" s="26" t="s">
        <v>15112</v>
      </c>
      <c r="Q3892" s="13" t="s">
        <v>75</v>
      </c>
      <c r="R3892" s="13" t="s">
        <v>75</v>
      </c>
      <c r="S3892" s="13" t="s">
        <v>50</v>
      </c>
      <c r="T3892" s="44">
        <v>45777.5081122338</v>
      </c>
      <c r="U3892" s="44">
        <v>45777.5708680324</v>
      </c>
      <c r="V3892" s="198">
        <v>45779.35966134259</v>
      </c>
      <c r="W3892" s="11"/>
      <c r="X3892" s="11"/>
      <c r="Y3892" s="45"/>
      <c r="Z3892" s="45"/>
      <c r="AA3892" s="31" t="s">
        <v>102</v>
      </c>
      <c r="AB3892" s="45" t="s">
        <v>15113</v>
      </c>
      <c r="AC3892" s="45"/>
    </row>
    <row r="3893" ht="18.75" customHeight="1">
      <c r="A3893" s="142" t="s">
        <v>15114</v>
      </c>
      <c r="B3893" s="19" t="s">
        <v>7703</v>
      </c>
      <c r="C3893" s="20">
        <v>27.0</v>
      </c>
      <c r="D3893" s="39" t="s">
        <v>15115</v>
      </c>
      <c r="E3893" s="27" t="s">
        <v>72</v>
      </c>
      <c r="F3893" s="18" t="s">
        <v>48</v>
      </c>
      <c r="G3893" s="18" t="s">
        <v>35</v>
      </c>
      <c r="H3893" s="40" t="s">
        <v>35</v>
      </c>
      <c r="I3893" s="37" t="s">
        <v>36</v>
      </c>
      <c r="J3893" s="25" t="s">
        <v>65</v>
      </c>
      <c r="K3893" s="26" t="s">
        <v>38</v>
      </c>
      <c r="L3893" s="25">
        <v>13033.0</v>
      </c>
      <c r="M3893" s="49" t="s">
        <v>50</v>
      </c>
      <c r="N3893" s="42" t="s">
        <v>11189</v>
      </c>
      <c r="O3893" s="67">
        <v>45786.667165300925</v>
      </c>
      <c r="P3893" s="26" t="s">
        <v>15116</v>
      </c>
      <c r="Q3893" s="13" t="s">
        <v>75</v>
      </c>
      <c r="R3893" s="13" t="s">
        <v>75</v>
      </c>
      <c r="S3893" s="13" t="s">
        <v>50</v>
      </c>
      <c r="T3893" s="44">
        <v>45777.655534895835</v>
      </c>
      <c r="U3893" s="44">
        <v>45785.41767974537</v>
      </c>
      <c r="V3893" s="198">
        <v>45786.56747740741</v>
      </c>
      <c r="W3893" s="11"/>
      <c r="X3893" s="11"/>
      <c r="Y3893" s="45"/>
      <c r="Z3893" s="45"/>
      <c r="AA3893" s="31" t="s">
        <v>3059</v>
      </c>
      <c r="AB3893" s="45" t="s">
        <v>15117</v>
      </c>
      <c r="AC3893" s="45"/>
    </row>
    <row r="3894" ht="18.75" customHeight="1">
      <c r="A3894" s="18" t="s">
        <v>15118</v>
      </c>
      <c r="B3894" s="19" t="s">
        <v>15119</v>
      </c>
      <c r="C3894" s="20">
        <v>0.0</v>
      </c>
      <c r="D3894" s="48" t="s">
        <v>15120</v>
      </c>
      <c r="E3894" s="27" t="s">
        <v>3441</v>
      </c>
      <c r="F3894" s="18" t="s">
        <v>48</v>
      </c>
      <c r="G3894" s="18" t="s">
        <v>35</v>
      </c>
      <c r="H3894" s="40" t="s">
        <v>35</v>
      </c>
      <c r="I3894" s="37" t="s">
        <v>36</v>
      </c>
      <c r="J3894" s="25" t="s">
        <v>65</v>
      </c>
      <c r="K3894" s="26" t="s">
        <v>38</v>
      </c>
      <c r="L3894" s="25">
        <v>12973.0</v>
      </c>
      <c r="M3894" s="49" t="s">
        <v>50</v>
      </c>
      <c r="N3894" s="42" t="s">
        <v>11189</v>
      </c>
      <c r="O3894" s="67">
        <v>45779.67770782407</v>
      </c>
      <c r="P3894" s="26" t="s">
        <v>15121</v>
      </c>
      <c r="Q3894" s="13" t="s">
        <v>75</v>
      </c>
      <c r="R3894" s="13" t="s">
        <v>75</v>
      </c>
      <c r="S3894" s="13" t="s">
        <v>50</v>
      </c>
      <c r="T3894" s="44">
        <v>45777.65270902778</v>
      </c>
      <c r="U3894" s="44">
        <v>45779.425030625</v>
      </c>
      <c r="V3894" s="198">
        <v>45779.43690958333</v>
      </c>
      <c r="W3894" s="11"/>
      <c r="X3894" s="11"/>
      <c r="Y3894" s="45"/>
      <c r="Z3894" s="45"/>
      <c r="AA3894" s="31" t="s">
        <v>94</v>
      </c>
      <c r="AB3894" s="45" t="s">
        <v>15122</v>
      </c>
      <c r="AC3894" s="45"/>
    </row>
    <row r="3895" ht="18.75" customHeight="1">
      <c r="A3895" s="18" t="s">
        <v>15123</v>
      </c>
      <c r="B3895" s="19" t="s">
        <v>15119</v>
      </c>
      <c r="C3895" s="20">
        <v>27.0</v>
      </c>
      <c r="D3895" s="39" t="s">
        <v>15124</v>
      </c>
      <c r="E3895" s="27" t="s">
        <v>72</v>
      </c>
      <c r="F3895" s="18" t="s">
        <v>48</v>
      </c>
      <c r="G3895" s="18" t="s">
        <v>35</v>
      </c>
      <c r="H3895" s="40" t="s">
        <v>35</v>
      </c>
      <c r="I3895" s="37" t="s">
        <v>36</v>
      </c>
      <c r="J3895" s="25" t="s">
        <v>65</v>
      </c>
      <c r="K3895" s="26" t="s">
        <v>38</v>
      </c>
      <c r="L3895" s="25">
        <v>12973.0</v>
      </c>
      <c r="M3895" s="49" t="s">
        <v>50</v>
      </c>
      <c r="N3895" s="42" t="s">
        <v>11189</v>
      </c>
      <c r="O3895" s="67">
        <v>45779.67760081019</v>
      </c>
      <c r="P3895" s="26" t="s">
        <v>15121</v>
      </c>
      <c r="Q3895" s="13" t="s">
        <v>75</v>
      </c>
      <c r="R3895" s="13" t="s">
        <v>75</v>
      </c>
      <c r="S3895" s="13" t="s">
        <v>50</v>
      </c>
      <c r="T3895" s="44">
        <v>45777.65311835648</v>
      </c>
      <c r="U3895" s="44">
        <v>45779.425091956015</v>
      </c>
      <c r="V3895" s="198">
        <v>45779.43690958333</v>
      </c>
      <c r="W3895" s="11"/>
      <c r="X3895" s="11"/>
      <c r="Y3895" s="45"/>
      <c r="Z3895" s="45"/>
      <c r="AA3895" s="31" t="s">
        <v>94</v>
      </c>
      <c r="AB3895" s="45" t="s">
        <v>15125</v>
      </c>
      <c r="AC3895" s="45"/>
    </row>
    <row r="3896" ht="18.75" customHeight="1">
      <c r="A3896" s="18" t="s">
        <v>15126</v>
      </c>
      <c r="B3896" s="19" t="s">
        <v>15119</v>
      </c>
      <c r="C3896" s="20">
        <v>34.0</v>
      </c>
      <c r="D3896" s="48" t="s">
        <v>15127</v>
      </c>
      <c r="E3896" s="27" t="s">
        <v>47</v>
      </c>
      <c r="F3896" s="18" t="s">
        <v>48</v>
      </c>
      <c r="G3896" s="18" t="s">
        <v>35</v>
      </c>
      <c r="H3896" s="40" t="s">
        <v>35</v>
      </c>
      <c r="I3896" s="37" t="s">
        <v>36</v>
      </c>
      <c r="J3896" s="25" t="s">
        <v>65</v>
      </c>
      <c r="K3896" s="26" t="s">
        <v>38</v>
      </c>
      <c r="L3896" s="25">
        <v>12973.0</v>
      </c>
      <c r="M3896" s="49" t="s">
        <v>50</v>
      </c>
      <c r="N3896" s="42" t="s">
        <v>11189</v>
      </c>
      <c r="O3896" s="67">
        <v>45779.67766282408</v>
      </c>
      <c r="P3896" s="26" t="s">
        <v>15121</v>
      </c>
      <c r="Q3896" s="13" t="s">
        <v>75</v>
      </c>
      <c r="R3896" s="13" t="s">
        <v>75</v>
      </c>
      <c r="S3896" s="13" t="s">
        <v>50</v>
      </c>
      <c r="T3896" s="44">
        <v>45777.65293578704</v>
      </c>
      <c r="U3896" s="44">
        <v>45779.425083842594</v>
      </c>
      <c r="V3896" s="198">
        <v>45779.43690958333</v>
      </c>
      <c r="W3896" s="11"/>
      <c r="X3896" s="11"/>
      <c r="Y3896" s="45"/>
      <c r="Z3896" s="45"/>
      <c r="AA3896" s="31" t="s">
        <v>94</v>
      </c>
      <c r="AB3896" s="45" t="s">
        <v>15128</v>
      </c>
      <c r="AC3896" s="45"/>
    </row>
    <row r="3897" ht="18.75" customHeight="1">
      <c r="A3897" s="142" t="s">
        <v>15129</v>
      </c>
      <c r="B3897" s="19" t="s">
        <v>11507</v>
      </c>
      <c r="C3897" s="20">
        <v>1.0</v>
      </c>
      <c r="D3897" s="48" t="s">
        <v>15130</v>
      </c>
      <c r="E3897" s="27" t="s">
        <v>3395</v>
      </c>
      <c r="F3897" s="18" t="s">
        <v>48</v>
      </c>
      <c r="G3897" s="18" t="s">
        <v>35</v>
      </c>
      <c r="H3897" s="40" t="s">
        <v>35</v>
      </c>
      <c r="I3897" s="37" t="s">
        <v>36</v>
      </c>
      <c r="J3897" s="25" t="s">
        <v>49</v>
      </c>
      <c r="K3897" s="26" t="s">
        <v>38</v>
      </c>
      <c r="L3897" s="25">
        <v>13034.0</v>
      </c>
      <c r="M3897" s="49" t="s">
        <v>50</v>
      </c>
      <c r="N3897" s="42" t="s">
        <v>143</v>
      </c>
      <c r="O3897" s="67">
        <v>45789.608847662035</v>
      </c>
      <c r="P3897" s="26" t="s">
        <v>15131</v>
      </c>
      <c r="Q3897" s="13" t="s">
        <v>75</v>
      </c>
      <c r="R3897" s="13" t="s">
        <v>75</v>
      </c>
      <c r="S3897" s="13" t="s">
        <v>50</v>
      </c>
      <c r="T3897" s="44">
        <v>45777.66122091435</v>
      </c>
      <c r="U3897" s="44">
        <v>45786.69966748843</v>
      </c>
      <c r="V3897" s="198">
        <v>45789.340521018516</v>
      </c>
      <c r="W3897" s="11"/>
      <c r="X3897" s="11"/>
      <c r="Y3897" s="45"/>
      <c r="Z3897" s="45"/>
      <c r="AA3897" s="31" t="s">
        <v>102</v>
      </c>
      <c r="AB3897" s="45" t="s">
        <v>15132</v>
      </c>
      <c r="AC3897" s="45"/>
    </row>
    <row r="3898" ht="18.75" customHeight="1">
      <c r="A3898" s="18" t="s">
        <v>15133</v>
      </c>
      <c r="B3898" s="19" t="s">
        <v>3762</v>
      </c>
      <c r="C3898" s="20">
        <v>0.0</v>
      </c>
      <c r="D3898" s="48" t="s">
        <v>15134</v>
      </c>
      <c r="E3898" s="27" t="s">
        <v>3441</v>
      </c>
      <c r="F3898" s="18" t="s">
        <v>48</v>
      </c>
      <c r="G3898" s="18" t="s">
        <v>35</v>
      </c>
      <c r="H3898" s="40" t="s">
        <v>35</v>
      </c>
      <c r="I3898" s="37" t="s">
        <v>36</v>
      </c>
      <c r="J3898" s="25" t="s">
        <v>65</v>
      </c>
      <c r="K3898" s="26" t="s">
        <v>38</v>
      </c>
      <c r="L3898" s="25">
        <v>12988.0</v>
      </c>
      <c r="M3898" s="49" t="s">
        <v>50</v>
      </c>
      <c r="N3898" s="42" t="s">
        <v>8469</v>
      </c>
      <c r="O3898" s="67">
        <v>45783.72477072917</v>
      </c>
      <c r="P3898" s="35" t="s">
        <v>15135</v>
      </c>
      <c r="Q3898" s="13" t="s">
        <v>75</v>
      </c>
      <c r="R3898" s="13" t="s">
        <v>75</v>
      </c>
      <c r="S3898" s="13" t="s">
        <v>50</v>
      </c>
      <c r="T3898" s="44">
        <v>45777.663001493056</v>
      </c>
      <c r="U3898" s="44">
        <v>45782.57884569444</v>
      </c>
      <c r="V3898" s="198">
        <v>45783.35323221065</v>
      </c>
      <c r="W3898" s="11"/>
      <c r="X3898" s="11"/>
      <c r="Y3898" s="45"/>
      <c r="Z3898" s="45"/>
      <c r="AA3898" s="31" t="s">
        <v>94</v>
      </c>
      <c r="AB3898" s="45" t="s">
        <v>15136</v>
      </c>
      <c r="AC3898" s="45"/>
    </row>
    <row r="3899" ht="18.75" customHeight="1">
      <c r="A3899" s="18" t="s">
        <v>15137</v>
      </c>
      <c r="B3899" s="19" t="s">
        <v>3762</v>
      </c>
      <c r="C3899" s="20">
        <v>90.0</v>
      </c>
      <c r="D3899" s="48" t="s">
        <v>15138</v>
      </c>
      <c r="E3899" s="27" t="s">
        <v>91</v>
      </c>
      <c r="F3899" s="18" t="s">
        <v>48</v>
      </c>
      <c r="G3899" s="18" t="s">
        <v>35</v>
      </c>
      <c r="H3899" s="40" t="s">
        <v>35</v>
      </c>
      <c r="I3899" s="37" t="s">
        <v>36</v>
      </c>
      <c r="J3899" s="25" t="s">
        <v>65</v>
      </c>
      <c r="K3899" s="26" t="s">
        <v>38</v>
      </c>
      <c r="L3899" s="25">
        <v>12988.0</v>
      </c>
      <c r="M3899" s="49" t="s">
        <v>50</v>
      </c>
      <c r="N3899" s="42" t="s">
        <v>8469</v>
      </c>
      <c r="O3899" s="67">
        <v>45783.724836249996</v>
      </c>
      <c r="P3899" s="35" t="s">
        <v>15135</v>
      </c>
      <c r="Q3899" s="13" t="s">
        <v>75</v>
      </c>
      <c r="R3899" s="13" t="s">
        <v>75</v>
      </c>
      <c r="S3899" s="13" t="s">
        <v>50</v>
      </c>
      <c r="T3899" s="44">
        <v>45777.66317655092</v>
      </c>
      <c r="U3899" s="44">
        <v>45782.57885351852</v>
      </c>
      <c r="V3899" s="198">
        <v>45783.35323221065</v>
      </c>
      <c r="W3899" s="11"/>
      <c r="X3899" s="11"/>
      <c r="Y3899" s="45"/>
      <c r="Z3899" s="45"/>
      <c r="AA3899" s="31" t="s">
        <v>94</v>
      </c>
      <c r="AB3899" s="45" t="s">
        <v>15139</v>
      </c>
      <c r="AC3899" s="45"/>
    </row>
    <row r="3900" ht="18.75" customHeight="1">
      <c r="A3900" s="18" t="s">
        <v>15140</v>
      </c>
      <c r="B3900" s="19" t="s">
        <v>15141</v>
      </c>
      <c r="C3900" s="20">
        <v>1.0</v>
      </c>
      <c r="D3900" s="48" t="s">
        <v>15142</v>
      </c>
      <c r="E3900" s="27" t="s">
        <v>3395</v>
      </c>
      <c r="F3900" s="18" t="s">
        <v>48</v>
      </c>
      <c r="G3900" s="18" t="s">
        <v>35</v>
      </c>
      <c r="H3900" s="40" t="s">
        <v>35</v>
      </c>
      <c r="I3900" s="37" t="s">
        <v>36</v>
      </c>
      <c r="J3900" s="25" t="s">
        <v>65</v>
      </c>
      <c r="K3900" s="26" t="s">
        <v>38</v>
      </c>
      <c r="L3900" s="25">
        <v>12978.0</v>
      </c>
      <c r="M3900" s="49" t="s">
        <v>50</v>
      </c>
      <c r="N3900" s="42" t="s">
        <v>11189</v>
      </c>
      <c r="O3900" s="67">
        <v>45779.677554525464</v>
      </c>
      <c r="P3900" s="26" t="s">
        <v>15143</v>
      </c>
      <c r="Q3900" s="13" t="s">
        <v>75</v>
      </c>
      <c r="R3900" s="13" t="s">
        <v>75</v>
      </c>
      <c r="S3900" s="13" t="s">
        <v>50</v>
      </c>
      <c r="T3900" s="44">
        <v>45777.665001099536</v>
      </c>
      <c r="U3900" s="44">
        <v>45779.503043958335</v>
      </c>
      <c r="V3900" s="198">
        <v>45779.505783298606</v>
      </c>
      <c r="W3900" s="11"/>
      <c r="X3900" s="11"/>
      <c r="Y3900" s="45"/>
      <c r="Z3900" s="45"/>
      <c r="AA3900" s="31" t="s">
        <v>3059</v>
      </c>
      <c r="AB3900" s="45" t="s">
        <v>15144</v>
      </c>
      <c r="AC3900" s="45"/>
    </row>
    <row r="3901" ht="18.75" customHeight="1">
      <c r="A3901" s="18" t="s">
        <v>15145</v>
      </c>
      <c r="B3901" s="19" t="s">
        <v>15141</v>
      </c>
      <c r="C3901" s="20">
        <v>1.0</v>
      </c>
      <c r="D3901" s="48" t="s">
        <v>15146</v>
      </c>
      <c r="E3901" s="27" t="s">
        <v>3395</v>
      </c>
      <c r="F3901" s="18" t="s">
        <v>48</v>
      </c>
      <c r="G3901" s="18" t="s">
        <v>35</v>
      </c>
      <c r="H3901" s="40" t="s">
        <v>35</v>
      </c>
      <c r="I3901" s="37" t="s">
        <v>36</v>
      </c>
      <c r="J3901" s="25" t="s">
        <v>65</v>
      </c>
      <c r="K3901" s="26" t="s">
        <v>38</v>
      </c>
      <c r="L3901" s="25">
        <v>12978.0</v>
      </c>
      <c r="M3901" s="49" t="s">
        <v>50</v>
      </c>
      <c r="N3901" s="42" t="s">
        <v>11189</v>
      </c>
      <c r="O3901" s="67">
        <v>45779.677500370366</v>
      </c>
      <c r="P3901" s="26" t="s">
        <v>15143</v>
      </c>
      <c r="Q3901" s="13" t="s">
        <v>75</v>
      </c>
      <c r="R3901" s="13" t="s">
        <v>75</v>
      </c>
      <c r="S3901" s="13" t="s">
        <v>50</v>
      </c>
      <c r="T3901" s="44">
        <v>45777.66507666667</v>
      </c>
      <c r="U3901" s="44">
        <v>45779.50311987269</v>
      </c>
      <c r="V3901" s="198">
        <v>45779.50588769676</v>
      </c>
      <c r="W3901" s="11"/>
      <c r="X3901" s="11"/>
      <c r="Y3901" s="45"/>
      <c r="Z3901" s="45"/>
      <c r="AA3901" s="31" t="s">
        <v>3059</v>
      </c>
      <c r="AB3901" s="45" t="s">
        <v>15147</v>
      </c>
      <c r="AC3901" s="45"/>
    </row>
    <row r="3902" ht="18.75" customHeight="1">
      <c r="A3902" s="142" t="s">
        <v>15148</v>
      </c>
      <c r="B3902" s="19" t="s">
        <v>4147</v>
      </c>
      <c r="C3902" s="20">
        <v>11.0</v>
      </c>
      <c r="D3902" s="48" t="s">
        <v>15149</v>
      </c>
      <c r="E3902" s="27" t="s">
        <v>112</v>
      </c>
      <c r="F3902" s="18" t="s">
        <v>48</v>
      </c>
      <c r="G3902" s="18" t="s">
        <v>35</v>
      </c>
      <c r="H3902" s="40" t="s">
        <v>35</v>
      </c>
      <c r="I3902" s="37" t="s">
        <v>36</v>
      </c>
      <c r="J3902" s="25" t="s">
        <v>49</v>
      </c>
      <c r="K3902" s="26" t="s">
        <v>38</v>
      </c>
      <c r="L3902" s="25">
        <v>12974.0</v>
      </c>
      <c r="M3902" s="49" t="s">
        <v>50</v>
      </c>
      <c r="N3902" s="42" t="s">
        <v>5936</v>
      </c>
      <c r="O3902" s="67">
        <v>45779.58150818287</v>
      </c>
      <c r="P3902" s="26" t="s">
        <v>15150</v>
      </c>
      <c r="Q3902" s="13" t="s">
        <v>75</v>
      </c>
      <c r="R3902" s="13" t="s">
        <v>75</v>
      </c>
      <c r="S3902" s="13" t="s">
        <v>50</v>
      </c>
      <c r="T3902" s="44">
        <v>45777.667726851854</v>
      </c>
      <c r="U3902" s="44">
        <v>45779.37294725694</v>
      </c>
      <c r="V3902" s="198">
        <v>45779.431811296294</v>
      </c>
      <c r="W3902" s="11"/>
      <c r="X3902" s="11"/>
      <c r="Y3902" s="45"/>
      <c r="Z3902" s="45"/>
      <c r="AA3902" s="31" t="s">
        <v>127</v>
      </c>
      <c r="AB3902" s="45" t="s">
        <v>15151</v>
      </c>
      <c r="AC3902" s="45"/>
    </row>
    <row r="3903" ht="18.75" customHeight="1">
      <c r="A3903" s="142" t="s">
        <v>15152</v>
      </c>
      <c r="B3903" s="19" t="s">
        <v>96</v>
      </c>
      <c r="C3903" s="20">
        <v>137.0</v>
      </c>
      <c r="D3903" s="48" t="s">
        <v>15153</v>
      </c>
      <c r="E3903" s="27" t="s">
        <v>85</v>
      </c>
      <c r="F3903" s="18" t="s">
        <v>48</v>
      </c>
      <c r="G3903" s="18" t="s">
        <v>35</v>
      </c>
      <c r="H3903" s="40" t="s">
        <v>35</v>
      </c>
      <c r="I3903" s="37" t="s">
        <v>36</v>
      </c>
      <c r="J3903" s="25" t="s">
        <v>49</v>
      </c>
      <c r="K3903" s="26" t="s">
        <v>38</v>
      </c>
      <c r="L3903" s="25">
        <v>12972.0</v>
      </c>
      <c r="M3903" s="49" t="s">
        <v>50</v>
      </c>
      <c r="N3903" s="42" t="s">
        <v>5936</v>
      </c>
      <c r="O3903" s="67">
        <v>45779.58143815972</v>
      </c>
      <c r="P3903" s="26" t="s">
        <v>15154</v>
      </c>
      <c r="Q3903" s="13" t="s">
        <v>75</v>
      </c>
      <c r="R3903" s="13" t="s">
        <v>75</v>
      </c>
      <c r="S3903" s="13" t="s">
        <v>50</v>
      </c>
      <c r="T3903" s="44">
        <v>45777.67083671296</v>
      </c>
      <c r="U3903" s="44">
        <v>45777.67901490741</v>
      </c>
      <c r="V3903" s="198">
        <v>45779.35966134259</v>
      </c>
      <c r="W3903" s="11"/>
      <c r="X3903" s="11"/>
      <c r="Y3903" s="45"/>
      <c r="Z3903" s="45"/>
      <c r="AA3903" s="31" t="s">
        <v>102</v>
      </c>
      <c r="AB3903" s="45" t="s">
        <v>15155</v>
      </c>
      <c r="AC3903" s="45"/>
    </row>
    <row r="3904" ht="18.75" customHeight="1">
      <c r="A3904" s="18" t="s">
        <v>15156</v>
      </c>
      <c r="B3904" s="19" t="s">
        <v>110</v>
      </c>
      <c r="C3904" s="20">
        <v>90.0</v>
      </c>
      <c r="D3904" s="48" t="s">
        <v>15157</v>
      </c>
      <c r="E3904" s="27" t="s">
        <v>91</v>
      </c>
      <c r="F3904" s="18" t="s">
        <v>48</v>
      </c>
      <c r="G3904" s="18" t="s">
        <v>35</v>
      </c>
      <c r="H3904" s="40" t="s">
        <v>35</v>
      </c>
      <c r="I3904" s="37" t="s">
        <v>36</v>
      </c>
      <c r="J3904" s="25" t="s">
        <v>65</v>
      </c>
      <c r="K3904" s="26" t="s">
        <v>38</v>
      </c>
      <c r="L3904" s="25">
        <v>13023.0</v>
      </c>
      <c r="M3904" s="49" t="s">
        <v>50</v>
      </c>
      <c r="N3904" s="42" t="s">
        <v>11189</v>
      </c>
      <c r="O3904" s="67">
        <v>45786.66711905092</v>
      </c>
      <c r="P3904" s="26" t="s">
        <v>15158</v>
      </c>
      <c r="Q3904" s="13" t="s">
        <v>10240</v>
      </c>
      <c r="R3904" s="13" t="s">
        <v>75</v>
      </c>
      <c r="S3904" s="13" t="s">
        <v>50</v>
      </c>
      <c r="T3904" s="44">
        <v>45779.35302726852</v>
      </c>
      <c r="U3904" s="44">
        <v>45785.50865212963</v>
      </c>
      <c r="V3904" s="198">
        <v>45786.384491585646</v>
      </c>
      <c r="W3904" s="11"/>
      <c r="X3904" s="11"/>
      <c r="Y3904" s="45"/>
      <c r="Z3904" s="45"/>
      <c r="AA3904" s="31" t="s">
        <v>94</v>
      </c>
      <c r="AB3904" s="45" t="s">
        <v>15159</v>
      </c>
      <c r="AC3904" s="45"/>
    </row>
    <row r="3905" ht="18.75" customHeight="1">
      <c r="A3905" s="18" t="s">
        <v>15160</v>
      </c>
      <c r="B3905" s="19" t="s">
        <v>110</v>
      </c>
      <c r="C3905" s="20">
        <v>11.0</v>
      </c>
      <c r="D3905" s="204" t="s">
        <v>15161</v>
      </c>
      <c r="E3905" s="27" t="s">
        <v>112</v>
      </c>
      <c r="F3905" s="18" t="s">
        <v>48</v>
      </c>
      <c r="G3905" s="18" t="s">
        <v>35</v>
      </c>
      <c r="H3905" s="40" t="s">
        <v>35</v>
      </c>
      <c r="I3905" s="37" t="s">
        <v>36</v>
      </c>
      <c r="J3905" s="25" t="s">
        <v>65</v>
      </c>
      <c r="K3905" s="26" t="s">
        <v>38</v>
      </c>
      <c r="L3905" s="25">
        <v>13023.0</v>
      </c>
      <c r="M3905" s="49" t="s">
        <v>50</v>
      </c>
      <c r="N3905" s="42" t="s">
        <v>11189</v>
      </c>
      <c r="O3905" s="67">
        <v>45786.66705939815</v>
      </c>
      <c r="P3905" s="26" t="s">
        <v>15158</v>
      </c>
      <c r="Q3905" s="13" t="s">
        <v>10240</v>
      </c>
      <c r="R3905" s="13" t="s">
        <v>75</v>
      </c>
      <c r="S3905" s="13" t="s">
        <v>50</v>
      </c>
      <c r="T3905" s="44">
        <v>45779.35465376158</v>
      </c>
      <c r="U3905" s="44">
        <v>45785.508653854165</v>
      </c>
      <c r="V3905" s="198">
        <v>45786.37986162037</v>
      </c>
      <c r="W3905" s="11"/>
      <c r="X3905" s="11"/>
      <c r="Y3905" s="45"/>
      <c r="Z3905" s="45"/>
      <c r="AA3905" s="31" t="s">
        <v>94</v>
      </c>
      <c r="AB3905" s="45" t="s">
        <v>15162</v>
      </c>
      <c r="AC3905" s="45"/>
    </row>
    <row r="3906" ht="18.75" customHeight="1">
      <c r="A3906" s="142" t="s">
        <v>15163</v>
      </c>
      <c r="B3906" s="19" t="s">
        <v>3674</v>
      </c>
      <c r="C3906" s="20">
        <v>1.0</v>
      </c>
      <c r="D3906" s="48" t="s">
        <v>15164</v>
      </c>
      <c r="E3906" s="27" t="s">
        <v>3395</v>
      </c>
      <c r="F3906" s="18" t="s">
        <v>48</v>
      </c>
      <c r="G3906" s="18" t="s">
        <v>35</v>
      </c>
      <c r="H3906" s="40" t="s">
        <v>35</v>
      </c>
      <c r="I3906" s="37" t="s">
        <v>36</v>
      </c>
      <c r="J3906" s="25" t="s">
        <v>65</v>
      </c>
      <c r="K3906" s="26" t="s">
        <v>38</v>
      </c>
      <c r="L3906" s="25">
        <v>12989.0</v>
      </c>
      <c r="M3906" s="49" t="s">
        <v>50</v>
      </c>
      <c r="N3906" s="42" t="s">
        <v>8469</v>
      </c>
      <c r="O3906" s="67">
        <v>45783.72489372685</v>
      </c>
      <c r="P3906" s="26" t="s">
        <v>15108</v>
      </c>
      <c r="Q3906" s="13" t="s">
        <v>75</v>
      </c>
      <c r="R3906" s="13" t="s">
        <v>75</v>
      </c>
      <c r="S3906" s="13" t="s">
        <v>50</v>
      </c>
      <c r="T3906" s="44">
        <v>45782.418574166666</v>
      </c>
      <c r="U3906" s="44">
        <v>45782.61379952546</v>
      </c>
      <c r="V3906" s="198">
        <v>45783.35323221065</v>
      </c>
      <c r="W3906" s="11"/>
      <c r="X3906" s="11"/>
      <c r="Y3906" s="45"/>
      <c r="Z3906" s="45"/>
      <c r="AA3906" s="31" t="s">
        <v>94</v>
      </c>
      <c r="AB3906" s="45" t="s">
        <v>15165</v>
      </c>
      <c r="AC3906" s="45"/>
    </row>
    <row r="3907" ht="18.75" customHeight="1">
      <c r="A3907" s="142" t="s">
        <v>15166</v>
      </c>
      <c r="B3907" s="19" t="s">
        <v>911</v>
      </c>
      <c r="C3907" s="20">
        <v>0.0</v>
      </c>
      <c r="D3907" s="48" t="s">
        <v>15167</v>
      </c>
      <c r="E3907" s="27" t="s">
        <v>511</v>
      </c>
      <c r="F3907" s="18" t="s">
        <v>33</v>
      </c>
      <c r="G3907" s="18" t="s">
        <v>35</v>
      </c>
      <c r="H3907" s="40" t="s">
        <v>35</v>
      </c>
      <c r="I3907" s="37" t="s">
        <v>36</v>
      </c>
      <c r="J3907" s="25" t="s">
        <v>49</v>
      </c>
      <c r="K3907" s="26" t="s">
        <v>38</v>
      </c>
      <c r="L3907" s="25">
        <v>13009.0</v>
      </c>
      <c r="M3907" s="49" t="s">
        <v>50</v>
      </c>
      <c r="N3907" s="42" t="s">
        <v>5936</v>
      </c>
      <c r="O3907" s="67">
        <v>45784.66474472222</v>
      </c>
      <c r="P3907" s="35" t="s">
        <v>15168</v>
      </c>
      <c r="Q3907" s="13" t="s">
        <v>75</v>
      </c>
      <c r="R3907" s="13" t="s">
        <v>75</v>
      </c>
      <c r="S3907" s="13" t="s">
        <v>101</v>
      </c>
      <c r="T3907" s="44">
        <v>45779.435172129626</v>
      </c>
      <c r="U3907" s="44">
        <v>45782.72252480324</v>
      </c>
      <c r="V3907" s="198">
        <v>45784.576945787034</v>
      </c>
      <c r="W3907" s="11"/>
      <c r="X3907" s="11"/>
      <c r="Y3907" s="45"/>
      <c r="Z3907" s="45"/>
      <c r="AA3907" s="31" t="s">
        <v>3053</v>
      </c>
      <c r="AB3907" s="45" t="s">
        <v>15169</v>
      </c>
      <c r="AC3907" s="45"/>
    </row>
    <row r="3908" ht="18.75" customHeight="1">
      <c r="A3908" s="18" t="s">
        <v>15170</v>
      </c>
      <c r="B3908" s="19" t="s">
        <v>3289</v>
      </c>
      <c r="C3908" s="20">
        <v>0.0</v>
      </c>
      <c r="D3908" s="48" t="s">
        <v>15171</v>
      </c>
      <c r="E3908" s="27" t="s">
        <v>4430</v>
      </c>
      <c r="F3908" s="18" t="s">
        <v>48</v>
      </c>
      <c r="G3908" s="18" t="s">
        <v>35</v>
      </c>
      <c r="H3908" s="40" t="s">
        <v>35</v>
      </c>
      <c r="I3908" s="37" t="s">
        <v>36</v>
      </c>
      <c r="J3908" s="25" t="s">
        <v>92</v>
      </c>
      <c r="K3908" s="26" t="s">
        <v>38</v>
      </c>
      <c r="L3908" s="25">
        <v>13015.0</v>
      </c>
      <c r="M3908" s="49" t="s">
        <v>50</v>
      </c>
      <c r="N3908" s="42" t="s">
        <v>14029</v>
      </c>
      <c r="O3908" s="67">
        <v>45791.356682129626</v>
      </c>
      <c r="P3908" s="35" t="s">
        <v>15172</v>
      </c>
      <c r="Q3908" s="13" t="s">
        <v>75</v>
      </c>
      <c r="R3908" s="13" t="s">
        <v>75</v>
      </c>
      <c r="S3908" s="13" t="s">
        <v>73</v>
      </c>
      <c r="T3908" s="44">
        <v>45779.706449074074</v>
      </c>
      <c r="U3908" s="44">
        <v>45782.37011056713</v>
      </c>
      <c r="V3908" s="198">
        <v>45785.67494070602</v>
      </c>
      <c r="W3908" s="11"/>
      <c r="X3908" s="11"/>
      <c r="Y3908" s="45"/>
      <c r="Z3908" s="45"/>
      <c r="AA3908" s="31" t="s">
        <v>120</v>
      </c>
      <c r="AB3908" s="45" t="s">
        <v>15173</v>
      </c>
      <c r="AC3908" s="45"/>
    </row>
    <row r="3909" ht="18.75" customHeight="1">
      <c r="A3909" s="18" t="s">
        <v>15174</v>
      </c>
      <c r="B3909" s="19" t="s">
        <v>3289</v>
      </c>
      <c r="C3909" s="20">
        <v>90.0</v>
      </c>
      <c r="D3909" s="48" t="s">
        <v>15175</v>
      </c>
      <c r="E3909" s="27" t="s">
        <v>91</v>
      </c>
      <c r="F3909" s="18" t="s">
        <v>48</v>
      </c>
      <c r="G3909" s="18" t="s">
        <v>35</v>
      </c>
      <c r="H3909" s="40" t="s">
        <v>35</v>
      </c>
      <c r="I3909" s="37" t="s">
        <v>36</v>
      </c>
      <c r="J3909" s="25" t="s">
        <v>92</v>
      </c>
      <c r="K3909" s="26" t="s">
        <v>38</v>
      </c>
      <c r="L3909" s="25">
        <v>13015.0</v>
      </c>
      <c r="M3909" s="49" t="s">
        <v>50</v>
      </c>
      <c r="N3909" s="42" t="s">
        <v>14029</v>
      </c>
      <c r="O3909" s="67">
        <v>45791.356612268515</v>
      </c>
      <c r="P3909" s="35" t="s">
        <v>15176</v>
      </c>
      <c r="Q3909" s="13" t="s">
        <v>75</v>
      </c>
      <c r="R3909" s="13" t="s">
        <v>75</v>
      </c>
      <c r="S3909" s="13" t="s">
        <v>73</v>
      </c>
      <c r="T3909" s="44">
        <v>45779.70674951389</v>
      </c>
      <c r="U3909" s="44">
        <v>45782.37013681713</v>
      </c>
      <c r="V3909" s="198">
        <v>45785.67503143518</v>
      </c>
      <c r="W3909" s="11"/>
      <c r="X3909" s="11"/>
      <c r="Y3909" s="45"/>
      <c r="Z3909" s="45"/>
      <c r="AA3909" s="31" t="s">
        <v>120</v>
      </c>
      <c r="AB3909" s="45" t="s">
        <v>15177</v>
      </c>
      <c r="AC3909" s="45"/>
    </row>
    <row r="3910" ht="18.75" customHeight="1">
      <c r="A3910" s="18" t="s">
        <v>15178</v>
      </c>
      <c r="B3910" s="19" t="s">
        <v>3289</v>
      </c>
      <c r="C3910" s="20">
        <v>137.0</v>
      </c>
      <c r="D3910" s="48" t="s">
        <v>15179</v>
      </c>
      <c r="E3910" s="27" t="s">
        <v>85</v>
      </c>
      <c r="F3910" s="18" t="s">
        <v>48</v>
      </c>
      <c r="G3910" s="18" t="s">
        <v>35</v>
      </c>
      <c r="H3910" s="40" t="s">
        <v>35</v>
      </c>
      <c r="I3910" s="37" t="s">
        <v>36</v>
      </c>
      <c r="J3910" s="25" t="s">
        <v>92</v>
      </c>
      <c r="K3910" s="26" t="s">
        <v>38</v>
      </c>
      <c r="L3910" s="25">
        <v>13015.0</v>
      </c>
      <c r="M3910" s="49" t="s">
        <v>50</v>
      </c>
      <c r="N3910" s="42" t="s">
        <v>14029</v>
      </c>
      <c r="O3910" s="67">
        <v>45791.35631819445</v>
      </c>
      <c r="P3910" s="35" t="s">
        <v>15180</v>
      </c>
      <c r="Q3910" s="13" t="s">
        <v>75</v>
      </c>
      <c r="R3910" s="13" t="s">
        <v>75</v>
      </c>
      <c r="S3910" s="13" t="s">
        <v>73</v>
      </c>
      <c r="T3910" s="44">
        <v>45779.706863506945</v>
      </c>
      <c r="U3910" s="44">
        <v>45782.3701293287</v>
      </c>
      <c r="V3910" s="198">
        <v>45785.67503143518</v>
      </c>
      <c r="W3910" s="11"/>
      <c r="X3910" s="11"/>
      <c r="Y3910" s="45"/>
      <c r="Z3910" s="45"/>
      <c r="AA3910" s="31" t="s">
        <v>120</v>
      </c>
      <c r="AB3910" s="45" t="s">
        <v>15181</v>
      </c>
      <c r="AC3910" s="45"/>
    </row>
    <row r="3911" ht="18.75" customHeight="1">
      <c r="A3911" s="18" t="s">
        <v>15182</v>
      </c>
      <c r="B3911" s="19" t="s">
        <v>3289</v>
      </c>
      <c r="C3911" s="20">
        <v>33.0</v>
      </c>
      <c r="D3911" s="48" t="s">
        <v>15183</v>
      </c>
      <c r="E3911" s="27" t="s">
        <v>6133</v>
      </c>
      <c r="F3911" s="18" t="s">
        <v>48</v>
      </c>
      <c r="G3911" s="18" t="s">
        <v>35</v>
      </c>
      <c r="H3911" s="40" t="s">
        <v>35</v>
      </c>
      <c r="I3911" s="37" t="s">
        <v>36</v>
      </c>
      <c r="J3911" s="25" t="s">
        <v>92</v>
      </c>
      <c r="K3911" s="26" t="s">
        <v>38</v>
      </c>
      <c r="L3911" s="25">
        <v>13015.0</v>
      </c>
      <c r="M3911" s="49" t="s">
        <v>50</v>
      </c>
      <c r="N3911" s="42" t="s">
        <v>14029</v>
      </c>
      <c r="O3911" s="67">
        <v>45791.35645707176</v>
      </c>
      <c r="P3911" s="35" t="s">
        <v>15180</v>
      </c>
      <c r="Q3911" s="13" t="s">
        <v>75</v>
      </c>
      <c r="R3911" s="13" t="s">
        <v>75</v>
      </c>
      <c r="S3911" s="13" t="s">
        <v>73</v>
      </c>
      <c r="T3911" s="44">
        <v>45779.70704375</v>
      </c>
      <c r="U3911" s="44">
        <v>45782.370147395835</v>
      </c>
      <c r="V3911" s="198">
        <v>45785.675031446764</v>
      </c>
      <c r="W3911" s="11"/>
      <c r="X3911" s="11"/>
      <c r="Y3911" s="45"/>
      <c r="Z3911" s="45"/>
      <c r="AA3911" s="31" t="s">
        <v>120</v>
      </c>
      <c r="AB3911" s="45" t="s">
        <v>15184</v>
      </c>
      <c r="AC3911" s="45"/>
    </row>
    <row r="3912" ht="18.75" customHeight="1">
      <c r="A3912" s="142" t="s">
        <v>15185</v>
      </c>
      <c r="B3912" s="19" t="s">
        <v>3289</v>
      </c>
      <c r="C3912" s="20">
        <v>0.0</v>
      </c>
      <c r="D3912" s="48" t="s">
        <v>15186</v>
      </c>
      <c r="E3912" s="27" t="s">
        <v>511</v>
      </c>
      <c r="F3912" s="18" t="s">
        <v>33</v>
      </c>
      <c r="G3912" s="18" t="s">
        <v>34</v>
      </c>
      <c r="H3912" s="40" t="s">
        <v>35</v>
      </c>
      <c r="I3912" s="37" t="s">
        <v>36</v>
      </c>
      <c r="J3912" s="25" t="s">
        <v>92</v>
      </c>
      <c r="K3912" s="26" t="s">
        <v>38</v>
      </c>
      <c r="L3912" s="25">
        <v>13016.0</v>
      </c>
      <c r="M3912" s="49" t="s">
        <v>50</v>
      </c>
      <c r="N3912" s="42" t="s">
        <v>14029</v>
      </c>
      <c r="O3912" s="67">
        <v>45791.35653659722</v>
      </c>
      <c r="P3912" s="35" t="s">
        <v>15187</v>
      </c>
      <c r="Q3912" s="13" t="s">
        <v>75</v>
      </c>
      <c r="R3912" s="13" t="s">
        <v>75</v>
      </c>
      <c r="S3912" s="13" t="s">
        <v>101</v>
      </c>
      <c r="T3912" s="44">
        <v>45779.710576087964</v>
      </c>
      <c r="U3912" s="44">
        <v>45782.36952462963</v>
      </c>
      <c r="V3912" s="198">
        <v>45784.600441041664</v>
      </c>
      <c r="W3912" s="11"/>
      <c r="X3912" s="11"/>
      <c r="Y3912" s="45"/>
      <c r="Z3912" s="45"/>
      <c r="AA3912" s="31" t="s">
        <v>120</v>
      </c>
      <c r="AB3912" s="45" t="s">
        <v>15188</v>
      </c>
      <c r="AC3912" s="45"/>
    </row>
    <row r="3913" ht="18.75" customHeight="1">
      <c r="A3913" s="18" t="s">
        <v>15189</v>
      </c>
      <c r="B3913" s="19" t="s">
        <v>4313</v>
      </c>
      <c r="C3913" s="20">
        <v>0.0</v>
      </c>
      <c r="D3913" s="48" t="s">
        <v>15190</v>
      </c>
      <c r="E3913" s="27" t="s">
        <v>11503</v>
      </c>
      <c r="F3913" s="18" t="s">
        <v>11504</v>
      </c>
      <c r="G3913" s="18" t="s">
        <v>35</v>
      </c>
      <c r="H3913" s="40" t="s">
        <v>35</v>
      </c>
      <c r="I3913" s="24" t="s">
        <v>36</v>
      </c>
      <c r="J3913" s="25" t="s">
        <v>92</v>
      </c>
      <c r="K3913" s="26" t="s">
        <v>38</v>
      </c>
      <c r="L3913" s="34">
        <v>12981.0</v>
      </c>
      <c r="M3913" s="49" t="s">
        <v>73</v>
      </c>
      <c r="N3913" s="42" t="s">
        <v>10176</v>
      </c>
      <c r="O3913" s="67">
        <v>45782.71558409723</v>
      </c>
      <c r="P3913" s="26" t="s">
        <v>15191</v>
      </c>
      <c r="Q3913" s="13" t="s">
        <v>75</v>
      </c>
      <c r="R3913" s="13" t="s">
        <v>75</v>
      </c>
      <c r="S3913" s="14" t="s">
        <v>151</v>
      </c>
      <c r="T3913" s="44">
        <v>45782.50617787037</v>
      </c>
      <c r="U3913" s="44">
        <v>45782.50715494213</v>
      </c>
      <c r="V3913" s="202">
        <v>45782.58091232639</v>
      </c>
      <c r="W3913" s="11"/>
      <c r="X3913" s="11"/>
      <c r="Y3913" s="45"/>
      <c r="Z3913" s="45"/>
      <c r="AA3913" s="31"/>
      <c r="AB3913" s="45" t="s">
        <v>15192</v>
      </c>
      <c r="AC3913" s="45"/>
    </row>
    <row r="3914" ht="18.75" customHeight="1">
      <c r="A3914" s="18" t="s">
        <v>15193</v>
      </c>
      <c r="B3914" s="19" t="s">
        <v>4313</v>
      </c>
      <c r="C3914" s="20">
        <v>0.0</v>
      </c>
      <c r="D3914" s="48" t="s">
        <v>15194</v>
      </c>
      <c r="E3914" s="27" t="s">
        <v>11503</v>
      </c>
      <c r="F3914" s="18" t="s">
        <v>11504</v>
      </c>
      <c r="G3914" s="18" t="s">
        <v>35</v>
      </c>
      <c r="H3914" s="40" t="s">
        <v>35</v>
      </c>
      <c r="I3914" s="24" t="s">
        <v>36</v>
      </c>
      <c r="J3914" s="25" t="s">
        <v>92</v>
      </c>
      <c r="K3914" s="26" t="s">
        <v>38</v>
      </c>
      <c r="L3914" s="34">
        <v>12981.0</v>
      </c>
      <c r="M3914" s="49" t="s">
        <v>73</v>
      </c>
      <c r="N3914" s="42" t="s">
        <v>10176</v>
      </c>
      <c r="O3914" s="67">
        <v>45782.71558409723</v>
      </c>
      <c r="P3914" s="26" t="s">
        <v>15191</v>
      </c>
      <c r="Q3914" s="13" t="s">
        <v>75</v>
      </c>
      <c r="R3914" s="13" t="s">
        <v>75</v>
      </c>
      <c r="S3914" s="14" t="s">
        <v>151</v>
      </c>
      <c r="T3914" s="44">
        <v>45782.50664947917</v>
      </c>
      <c r="U3914" s="44">
        <v>45782.50719159722</v>
      </c>
      <c r="V3914" s="202">
        <v>45782.58091232639</v>
      </c>
      <c r="W3914" s="11"/>
      <c r="X3914" s="11"/>
      <c r="Y3914" s="45"/>
      <c r="Z3914" s="45"/>
      <c r="AA3914" s="31"/>
      <c r="AB3914" s="45" t="s">
        <v>15195</v>
      </c>
      <c r="AC3914" s="45"/>
    </row>
    <row r="3915" ht="18.75" customHeight="1">
      <c r="A3915" s="18" t="s">
        <v>15196</v>
      </c>
      <c r="B3915" s="19" t="s">
        <v>4313</v>
      </c>
      <c r="C3915" s="20">
        <v>0.0</v>
      </c>
      <c r="D3915" s="48" t="s">
        <v>15197</v>
      </c>
      <c r="E3915" s="27" t="s">
        <v>11503</v>
      </c>
      <c r="F3915" s="18" t="s">
        <v>11504</v>
      </c>
      <c r="G3915" s="18" t="s">
        <v>35</v>
      </c>
      <c r="H3915" s="40" t="s">
        <v>35</v>
      </c>
      <c r="I3915" s="24" t="s">
        <v>36</v>
      </c>
      <c r="J3915" s="25" t="s">
        <v>92</v>
      </c>
      <c r="K3915" s="26" t="s">
        <v>38</v>
      </c>
      <c r="L3915" s="34">
        <v>12981.0</v>
      </c>
      <c r="M3915" s="49" t="s">
        <v>73</v>
      </c>
      <c r="N3915" s="42" t="s">
        <v>10176</v>
      </c>
      <c r="O3915" s="67">
        <v>45782.71558409723</v>
      </c>
      <c r="P3915" s="26" t="s">
        <v>15191</v>
      </c>
      <c r="Q3915" s="13" t="s">
        <v>75</v>
      </c>
      <c r="R3915" s="13" t="s">
        <v>75</v>
      </c>
      <c r="S3915" s="14" t="s">
        <v>151</v>
      </c>
      <c r="T3915" s="44">
        <v>45782.506739687495</v>
      </c>
      <c r="U3915" s="44">
        <v>45782.50719730324</v>
      </c>
      <c r="V3915" s="202">
        <v>45782.58091232639</v>
      </c>
      <c r="W3915" s="11"/>
      <c r="X3915" s="11"/>
      <c r="Y3915" s="45"/>
      <c r="Z3915" s="45"/>
      <c r="AA3915" s="31"/>
      <c r="AB3915" s="45" t="s">
        <v>15198</v>
      </c>
      <c r="AC3915" s="45"/>
    </row>
    <row r="3916" ht="18.75" customHeight="1">
      <c r="A3916" s="18" t="s">
        <v>15199</v>
      </c>
      <c r="B3916" s="19" t="s">
        <v>4313</v>
      </c>
      <c r="C3916" s="20">
        <v>0.0</v>
      </c>
      <c r="D3916" s="48" t="s">
        <v>15200</v>
      </c>
      <c r="E3916" s="27" t="s">
        <v>11503</v>
      </c>
      <c r="F3916" s="18" t="s">
        <v>11504</v>
      </c>
      <c r="G3916" s="18" t="s">
        <v>35</v>
      </c>
      <c r="H3916" s="40" t="s">
        <v>35</v>
      </c>
      <c r="I3916" s="24" t="s">
        <v>36</v>
      </c>
      <c r="J3916" s="25" t="s">
        <v>92</v>
      </c>
      <c r="K3916" s="26" t="s">
        <v>38</v>
      </c>
      <c r="L3916" s="34">
        <v>12981.0</v>
      </c>
      <c r="M3916" s="49" t="s">
        <v>73</v>
      </c>
      <c r="N3916" s="42" t="s">
        <v>10176</v>
      </c>
      <c r="O3916" s="67">
        <v>45782.71558409723</v>
      </c>
      <c r="P3916" s="26" t="s">
        <v>15191</v>
      </c>
      <c r="Q3916" s="13" t="s">
        <v>75</v>
      </c>
      <c r="R3916" s="13" t="s">
        <v>75</v>
      </c>
      <c r="S3916" s="14" t="s">
        <v>151</v>
      </c>
      <c r="T3916" s="44">
        <v>45782.50682383102</v>
      </c>
      <c r="U3916" s="44">
        <v>45782.50720196759</v>
      </c>
      <c r="V3916" s="202">
        <v>45782.58091232639</v>
      </c>
      <c r="W3916" s="11"/>
      <c r="X3916" s="11"/>
      <c r="Y3916" s="45"/>
      <c r="Z3916" s="45"/>
      <c r="AA3916" s="31"/>
      <c r="AB3916" s="45" t="s">
        <v>15201</v>
      </c>
      <c r="AC3916" s="45"/>
    </row>
    <row r="3917" ht="18.75" customHeight="1">
      <c r="A3917" s="18" t="s">
        <v>15202</v>
      </c>
      <c r="B3917" s="19" t="s">
        <v>4313</v>
      </c>
      <c r="C3917" s="20">
        <v>0.0</v>
      </c>
      <c r="D3917" s="48" t="s">
        <v>15203</v>
      </c>
      <c r="E3917" s="27" t="s">
        <v>11503</v>
      </c>
      <c r="F3917" s="18" t="s">
        <v>11504</v>
      </c>
      <c r="G3917" s="18" t="s">
        <v>35</v>
      </c>
      <c r="H3917" s="40" t="s">
        <v>35</v>
      </c>
      <c r="I3917" s="24" t="s">
        <v>36</v>
      </c>
      <c r="J3917" s="25" t="s">
        <v>92</v>
      </c>
      <c r="K3917" s="26" t="s">
        <v>38</v>
      </c>
      <c r="L3917" s="34">
        <v>12981.0</v>
      </c>
      <c r="M3917" s="49" t="s">
        <v>73</v>
      </c>
      <c r="N3917" s="42" t="s">
        <v>10176</v>
      </c>
      <c r="O3917" s="67">
        <v>45782.71558409723</v>
      </c>
      <c r="P3917" s="26" t="s">
        <v>15191</v>
      </c>
      <c r="Q3917" s="13" t="s">
        <v>75</v>
      </c>
      <c r="R3917" s="13" t="s">
        <v>75</v>
      </c>
      <c r="S3917" s="14" t="s">
        <v>151</v>
      </c>
      <c r="T3917" s="44">
        <v>45782.506874328705</v>
      </c>
      <c r="U3917" s="44">
        <v>45782.507206759255</v>
      </c>
      <c r="V3917" s="202">
        <v>45782.58091232639</v>
      </c>
      <c r="W3917" s="11"/>
      <c r="X3917" s="11"/>
      <c r="Y3917" s="45"/>
      <c r="Z3917" s="45"/>
      <c r="AA3917" s="31"/>
      <c r="AB3917" s="45" t="s">
        <v>15204</v>
      </c>
      <c r="AC3917" s="45"/>
    </row>
    <row r="3918" ht="18.75" customHeight="1">
      <c r="A3918" s="18" t="s">
        <v>15205</v>
      </c>
      <c r="B3918" s="19" t="s">
        <v>4313</v>
      </c>
      <c r="C3918" s="20">
        <v>0.0</v>
      </c>
      <c r="D3918" s="48" t="s">
        <v>15206</v>
      </c>
      <c r="E3918" s="27" t="s">
        <v>11503</v>
      </c>
      <c r="F3918" s="18" t="s">
        <v>11504</v>
      </c>
      <c r="G3918" s="18" t="s">
        <v>35</v>
      </c>
      <c r="H3918" s="40" t="s">
        <v>35</v>
      </c>
      <c r="I3918" s="24" t="s">
        <v>36</v>
      </c>
      <c r="J3918" s="25" t="s">
        <v>92</v>
      </c>
      <c r="K3918" s="26" t="s">
        <v>38</v>
      </c>
      <c r="L3918" s="34">
        <v>12981.0</v>
      </c>
      <c r="M3918" s="49" t="s">
        <v>73</v>
      </c>
      <c r="N3918" s="42" t="s">
        <v>10176</v>
      </c>
      <c r="O3918" s="67">
        <v>45782.71558409723</v>
      </c>
      <c r="P3918" s="26" t="s">
        <v>15191</v>
      </c>
      <c r="Q3918" s="13" t="s">
        <v>75</v>
      </c>
      <c r="R3918" s="13" t="s">
        <v>75</v>
      </c>
      <c r="S3918" s="14" t="s">
        <v>151</v>
      </c>
      <c r="T3918" s="44">
        <v>45782.50707585648</v>
      </c>
      <c r="U3918" s="44">
        <v>45782.50721329861</v>
      </c>
      <c r="V3918" s="202">
        <v>45782.58091232639</v>
      </c>
      <c r="W3918" s="11"/>
      <c r="X3918" s="11"/>
      <c r="Y3918" s="45"/>
      <c r="Z3918" s="45"/>
      <c r="AA3918" s="31"/>
      <c r="AB3918" s="45" t="s">
        <v>15207</v>
      </c>
      <c r="AC3918" s="45"/>
    </row>
    <row r="3919" ht="18.75" customHeight="1">
      <c r="A3919" s="142" t="s">
        <v>15208</v>
      </c>
      <c r="B3919" s="19" t="s">
        <v>3645</v>
      </c>
      <c r="C3919" s="20">
        <v>137.0</v>
      </c>
      <c r="D3919" s="48" t="s">
        <v>15209</v>
      </c>
      <c r="E3919" s="27" t="s">
        <v>85</v>
      </c>
      <c r="F3919" s="18" t="s">
        <v>48</v>
      </c>
      <c r="G3919" s="18" t="s">
        <v>35</v>
      </c>
      <c r="H3919" s="40" t="s">
        <v>35</v>
      </c>
      <c r="I3919" s="37" t="s">
        <v>36</v>
      </c>
      <c r="J3919" s="25" t="s">
        <v>49</v>
      </c>
      <c r="K3919" s="26" t="s">
        <v>38</v>
      </c>
      <c r="L3919" s="25">
        <v>13025.0</v>
      </c>
      <c r="M3919" s="49" t="s">
        <v>50</v>
      </c>
      <c r="N3919" s="42" t="s">
        <v>9953</v>
      </c>
      <c r="O3919" s="67">
        <v>45786.60750077546</v>
      </c>
      <c r="P3919" s="26" t="s">
        <v>15210</v>
      </c>
      <c r="Q3919" s="13" t="s">
        <v>75</v>
      </c>
      <c r="R3919" s="13" t="s">
        <v>75</v>
      </c>
      <c r="S3919" s="13" t="s">
        <v>50</v>
      </c>
      <c r="T3919" s="44">
        <v>45782.457181481484</v>
      </c>
      <c r="U3919" s="44">
        <v>45785.569109097225</v>
      </c>
      <c r="V3919" s="198">
        <v>45786.382870891204</v>
      </c>
      <c r="W3919" s="11"/>
      <c r="X3919" s="11"/>
      <c r="Y3919" s="45"/>
      <c r="Z3919" s="45"/>
      <c r="AA3919" s="31" t="s">
        <v>127</v>
      </c>
      <c r="AB3919" s="45" t="s">
        <v>15211</v>
      </c>
      <c r="AC3919" s="45"/>
    </row>
    <row r="3920" ht="18.75" customHeight="1">
      <c r="A3920" s="142" t="s">
        <v>15212</v>
      </c>
      <c r="B3920" s="19" t="s">
        <v>3636</v>
      </c>
      <c r="C3920" s="20">
        <v>90.0</v>
      </c>
      <c r="D3920" s="48" t="s">
        <v>15213</v>
      </c>
      <c r="E3920" s="27" t="s">
        <v>91</v>
      </c>
      <c r="F3920" s="18" t="s">
        <v>48</v>
      </c>
      <c r="G3920" s="18" t="s">
        <v>35</v>
      </c>
      <c r="H3920" s="40" t="s">
        <v>35</v>
      </c>
      <c r="I3920" s="37" t="s">
        <v>36</v>
      </c>
      <c r="J3920" s="25" t="s">
        <v>49</v>
      </c>
      <c r="K3920" s="26" t="s">
        <v>38</v>
      </c>
      <c r="L3920" s="25">
        <v>13026.0</v>
      </c>
      <c r="M3920" s="49" t="s">
        <v>50</v>
      </c>
      <c r="N3920" s="42" t="s">
        <v>9953</v>
      </c>
      <c r="O3920" s="67">
        <v>45786.60781678241</v>
      </c>
      <c r="P3920" s="35" t="s">
        <v>15214</v>
      </c>
      <c r="Q3920" s="13" t="s">
        <v>75</v>
      </c>
      <c r="R3920" s="13" t="s">
        <v>75</v>
      </c>
      <c r="S3920" s="13" t="s">
        <v>50</v>
      </c>
      <c r="T3920" s="44">
        <v>45785.57021824074</v>
      </c>
      <c r="U3920" s="44">
        <v>45785.57022592593</v>
      </c>
      <c r="V3920" s="198">
        <v>45786.38449159722</v>
      </c>
      <c r="W3920" s="11"/>
      <c r="X3920" s="11"/>
      <c r="Y3920" s="45"/>
      <c r="Z3920" s="45"/>
      <c r="AA3920" s="31" t="s">
        <v>127</v>
      </c>
      <c r="AB3920" s="45" t="s">
        <v>15215</v>
      </c>
      <c r="AC3920" s="45"/>
    </row>
    <row r="3921" ht="18.75" customHeight="1">
      <c r="A3921" s="142" t="s">
        <v>15216</v>
      </c>
      <c r="B3921" s="19" t="s">
        <v>4352</v>
      </c>
      <c r="C3921" s="20">
        <v>0.0</v>
      </c>
      <c r="D3921" s="48" t="s">
        <v>15217</v>
      </c>
      <c r="E3921" s="27" t="s">
        <v>3441</v>
      </c>
      <c r="F3921" s="18" t="s">
        <v>48</v>
      </c>
      <c r="G3921" s="18" t="s">
        <v>35</v>
      </c>
      <c r="H3921" s="40" t="s">
        <v>35</v>
      </c>
      <c r="I3921" s="37" t="s">
        <v>36</v>
      </c>
      <c r="J3921" s="25" t="s">
        <v>49</v>
      </c>
      <c r="K3921" s="26" t="s">
        <v>38</v>
      </c>
      <c r="L3921" s="25">
        <v>12992.0</v>
      </c>
      <c r="M3921" s="49" t="s">
        <v>50</v>
      </c>
      <c r="N3921" s="42" t="s">
        <v>143</v>
      </c>
      <c r="O3921" s="67">
        <v>45783.63501261574</v>
      </c>
      <c r="P3921" s="35" t="s">
        <v>15218</v>
      </c>
      <c r="Q3921" s="13" t="s">
        <v>75</v>
      </c>
      <c r="R3921" s="13" t="s">
        <v>75</v>
      </c>
      <c r="S3921" s="13" t="s">
        <v>50</v>
      </c>
      <c r="T3921" s="44">
        <v>45782.459469560185</v>
      </c>
      <c r="U3921" s="44">
        <v>45783.38043622686</v>
      </c>
      <c r="V3921" s="198">
        <v>45783.42256077546</v>
      </c>
      <c r="W3921" s="11"/>
      <c r="X3921" s="11"/>
      <c r="Y3921" s="45"/>
      <c r="Z3921" s="45"/>
      <c r="AA3921" s="31" t="s">
        <v>127</v>
      </c>
      <c r="AB3921" s="45" t="s">
        <v>15219</v>
      </c>
      <c r="AC3921" s="45"/>
    </row>
    <row r="3922" ht="18.75" customHeight="1">
      <c r="A3922" s="142" t="s">
        <v>15220</v>
      </c>
      <c r="B3922" s="19" t="s">
        <v>4352</v>
      </c>
      <c r="C3922" s="20">
        <v>27.0</v>
      </c>
      <c r="D3922" s="39" t="s">
        <v>15221</v>
      </c>
      <c r="E3922" s="27" t="s">
        <v>72</v>
      </c>
      <c r="F3922" s="18" t="s">
        <v>48</v>
      </c>
      <c r="G3922" s="18" t="s">
        <v>35</v>
      </c>
      <c r="H3922" s="40" t="s">
        <v>35</v>
      </c>
      <c r="I3922" s="37" t="s">
        <v>36</v>
      </c>
      <c r="J3922" s="25" t="s">
        <v>49</v>
      </c>
      <c r="K3922" s="26" t="s">
        <v>38</v>
      </c>
      <c r="L3922" s="25">
        <v>12993.0</v>
      </c>
      <c r="M3922" s="49" t="s">
        <v>50</v>
      </c>
      <c r="N3922" s="42" t="s">
        <v>143</v>
      </c>
      <c r="O3922" s="67">
        <v>45783.63496105324</v>
      </c>
      <c r="P3922" s="35" t="s">
        <v>15222</v>
      </c>
      <c r="Q3922" s="13" t="s">
        <v>75</v>
      </c>
      <c r="R3922" s="13" t="s">
        <v>75</v>
      </c>
      <c r="S3922" s="13" t="s">
        <v>50</v>
      </c>
      <c r="T3922" s="44">
        <v>45782.461514490744</v>
      </c>
      <c r="U3922" s="44">
        <v>45783.38073094907</v>
      </c>
      <c r="V3922" s="198">
        <v>45783.42256077546</v>
      </c>
      <c r="W3922" s="11"/>
      <c r="X3922" s="11"/>
      <c r="Y3922" s="45"/>
      <c r="Z3922" s="45"/>
      <c r="AA3922" s="31" t="s">
        <v>127</v>
      </c>
      <c r="AB3922" s="45" t="s">
        <v>15223</v>
      </c>
      <c r="AC3922" s="45"/>
    </row>
    <row r="3923" ht="18.75" customHeight="1">
      <c r="A3923" s="18" t="s">
        <v>15224</v>
      </c>
      <c r="B3923" s="19" t="s">
        <v>725</v>
      </c>
      <c r="C3923" s="20">
        <v>0.0</v>
      </c>
      <c r="D3923" s="48" t="s">
        <v>15225</v>
      </c>
      <c r="E3923" s="27" t="s">
        <v>408</v>
      </c>
      <c r="F3923" s="18" t="s">
        <v>33</v>
      </c>
      <c r="G3923" s="18" t="s">
        <v>35</v>
      </c>
      <c r="H3923" s="40" t="s">
        <v>35</v>
      </c>
      <c r="I3923" s="37" t="s">
        <v>36</v>
      </c>
      <c r="J3923" s="25" t="s">
        <v>49</v>
      </c>
      <c r="K3923" s="26" t="s">
        <v>38</v>
      </c>
      <c r="L3923" s="25">
        <v>13018.0</v>
      </c>
      <c r="M3923" s="49" t="s">
        <v>50</v>
      </c>
      <c r="N3923" s="42" t="s">
        <v>9953</v>
      </c>
      <c r="O3923" s="67">
        <v>45786.60745135417</v>
      </c>
      <c r="P3923" s="35" t="s">
        <v>15226</v>
      </c>
      <c r="Q3923" s="13" t="s">
        <v>75</v>
      </c>
      <c r="R3923" s="13" t="s">
        <v>75</v>
      </c>
      <c r="S3923" s="13" t="s">
        <v>101</v>
      </c>
      <c r="T3923" s="44">
        <v>45782.462432430555</v>
      </c>
      <c r="U3923" s="44">
        <v>45784.571491979164</v>
      </c>
      <c r="V3923" s="198">
        <v>45784.60055689815</v>
      </c>
      <c r="W3923" s="11"/>
      <c r="X3923" s="11"/>
      <c r="Y3923" s="45"/>
      <c r="Z3923" s="45"/>
      <c r="AA3923" s="31" t="s">
        <v>102</v>
      </c>
      <c r="AB3923" s="45" t="s">
        <v>15227</v>
      </c>
      <c r="AC3923" s="45"/>
    </row>
    <row r="3924" ht="18.75" customHeight="1">
      <c r="A3924" s="18" t="s">
        <v>15228</v>
      </c>
      <c r="B3924" s="19" t="s">
        <v>725</v>
      </c>
      <c r="C3924" s="20">
        <v>0.0</v>
      </c>
      <c r="D3924" s="48" t="s">
        <v>15229</v>
      </c>
      <c r="E3924" s="27" t="s">
        <v>135</v>
      </c>
      <c r="F3924" s="18" t="s">
        <v>48</v>
      </c>
      <c r="G3924" s="18" t="s">
        <v>35</v>
      </c>
      <c r="H3924" s="40" t="s">
        <v>35</v>
      </c>
      <c r="I3924" s="37" t="s">
        <v>36</v>
      </c>
      <c r="J3924" s="25" t="s">
        <v>49</v>
      </c>
      <c r="K3924" s="26" t="s">
        <v>38</v>
      </c>
      <c r="L3924" s="25">
        <v>13018.0</v>
      </c>
      <c r="M3924" s="49" t="s">
        <v>50</v>
      </c>
      <c r="N3924" s="42" t="s">
        <v>9953</v>
      </c>
      <c r="O3924" s="67">
        <v>45786.607772800926</v>
      </c>
      <c r="P3924" s="35" t="s">
        <v>15226</v>
      </c>
      <c r="Q3924" s="13" t="s">
        <v>75</v>
      </c>
      <c r="R3924" s="13" t="s">
        <v>75</v>
      </c>
      <c r="S3924" s="13" t="s">
        <v>101</v>
      </c>
      <c r="T3924" s="44">
        <v>45784.570843078705</v>
      </c>
      <c r="U3924" s="44">
        <v>45784.571496689816</v>
      </c>
      <c r="V3924" s="198">
        <v>45785.663396724536</v>
      </c>
      <c r="W3924" s="11"/>
      <c r="X3924" s="11"/>
      <c r="Y3924" s="45"/>
      <c r="Z3924" s="45"/>
      <c r="AA3924" s="31" t="s">
        <v>102</v>
      </c>
      <c r="AB3924" s="45" t="s">
        <v>15230</v>
      </c>
      <c r="AC3924" s="45"/>
    </row>
    <row r="3925" ht="18.75" customHeight="1">
      <c r="A3925" s="142" t="s">
        <v>15231</v>
      </c>
      <c r="B3925" s="19" t="s">
        <v>12493</v>
      </c>
      <c r="C3925" s="20">
        <v>137.0</v>
      </c>
      <c r="D3925" s="48" t="s">
        <v>15232</v>
      </c>
      <c r="E3925" s="27" t="s">
        <v>85</v>
      </c>
      <c r="F3925" s="18" t="s">
        <v>48</v>
      </c>
      <c r="G3925" s="18" t="s">
        <v>35</v>
      </c>
      <c r="H3925" s="40" t="s">
        <v>35</v>
      </c>
      <c r="I3925" s="37" t="s">
        <v>36</v>
      </c>
      <c r="J3925" s="25" t="s">
        <v>65</v>
      </c>
      <c r="K3925" s="26" t="s">
        <v>38</v>
      </c>
      <c r="L3925" s="25">
        <v>12990.0</v>
      </c>
      <c r="M3925" s="49" t="s">
        <v>50</v>
      </c>
      <c r="N3925" s="42" t="s">
        <v>8469</v>
      </c>
      <c r="O3925" s="67">
        <v>45783.72495202546</v>
      </c>
      <c r="P3925" s="35" t="s">
        <v>15233</v>
      </c>
      <c r="Q3925" s="13" t="s">
        <v>75</v>
      </c>
      <c r="R3925" s="13" t="s">
        <v>75</v>
      </c>
      <c r="S3925" s="13" t="s">
        <v>50</v>
      </c>
      <c r="T3925" s="44">
        <v>45782.465252800925</v>
      </c>
      <c r="U3925" s="44">
        <v>45782.50385517361</v>
      </c>
      <c r="V3925" s="198">
        <v>45783.35323221065</v>
      </c>
      <c r="W3925" s="11"/>
      <c r="X3925" s="11"/>
      <c r="Y3925" s="45"/>
      <c r="Z3925" s="45"/>
      <c r="AA3925" s="31" t="s">
        <v>3059</v>
      </c>
      <c r="AB3925" s="45" t="s">
        <v>15234</v>
      </c>
      <c r="AC3925" s="45"/>
    </row>
    <row r="3926" ht="18.75" customHeight="1">
      <c r="A3926" s="18" t="s">
        <v>15235</v>
      </c>
      <c r="B3926" s="19" t="s">
        <v>8071</v>
      </c>
      <c r="C3926" s="20">
        <v>0.0</v>
      </c>
      <c r="D3926" s="48" t="s">
        <v>15236</v>
      </c>
      <c r="E3926" s="27" t="s">
        <v>3441</v>
      </c>
      <c r="F3926" s="18" t="s">
        <v>48</v>
      </c>
      <c r="G3926" s="18" t="s">
        <v>35</v>
      </c>
      <c r="H3926" s="40" t="s">
        <v>35</v>
      </c>
      <c r="I3926" s="37" t="s">
        <v>36</v>
      </c>
      <c r="J3926" s="25" t="s">
        <v>49</v>
      </c>
      <c r="K3926" s="26" t="s">
        <v>38</v>
      </c>
      <c r="L3926" s="25">
        <v>12995.0</v>
      </c>
      <c r="M3926" s="49" t="s">
        <v>50</v>
      </c>
      <c r="N3926" s="42" t="s">
        <v>143</v>
      </c>
      <c r="O3926" s="67">
        <v>45783.63491342592</v>
      </c>
      <c r="P3926" s="26" t="s">
        <v>15237</v>
      </c>
      <c r="Q3926" s="13" t="s">
        <v>75</v>
      </c>
      <c r="R3926" s="13" t="s">
        <v>75</v>
      </c>
      <c r="S3926" s="13" t="s">
        <v>50</v>
      </c>
      <c r="T3926" s="44">
        <v>45782.71683103009</v>
      </c>
      <c r="U3926" s="44">
        <v>45783.50566761574</v>
      </c>
      <c r="V3926" s="198">
        <v>45783.57389344907</v>
      </c>
      <c r="W3926" s="11"/>
      <c r="X3926" s="11"/>
      <c r="Y3926" s="45"/>
      <c r="Z3926" s="45"/>
      <c r="AA3926" s="31" t="s">
        <v>127</v>
      </c>
      <c r="AB3926" s="45" t="s">
        <v>15238</v>
      </c>
      <c r="AC3926" s="45"/>
    </row>
    <row r="3927" ht="18.75" customHeight="1">
      <c r="A3927" s="18" t="s">
        <v>15239</v>
      </c>
      <c r="B3927" s="19" t="s">
        <v>8071</v>
      </c>
      <c r="C3927" s="20">
        <v>27.0</v>
      </c>
      <c r="D3927" s="39" t="s">
        <v>15240</v>
      </c>
      <c r="E3927" s="27" t="s">
        <v>72</v>
      </c>
      <c r="F3927" s="18" t="s">
        <v>48</v>
      </c>
      <c r="G3927" s="18" t="s">
        <v>35</v>
      </c>
      <c r="H3927" s="40" t="s">
        <v>35</v>
      </c>
      <c r="I3927" s="37" t="s">
        <v>36</v>
      </c>
      <c r="J3927" s="25" t="s">
        <v>49</v>
      </c>
      <c r="K3927" s="26" t="s">
        <v>38</v>
      </c>
      <c r="L3927" s="25">
        <v>12995.0</v>
      </c>
      <c r="M3927" s="49" t="s">
        <v>50</v>
      </c>
      <c r="N3927" s="42" t="s">
        <v>143</v>
      </c>
      <c r="O3927" s="67">
        <v>45783.634865706015</v>
      </c>
      <c r="P3927" s="26" t="s">
        <v>15237</v>
      </c>
      <c r="Q3927" s="13" t="s">
        <v>75</v>
      </c>
      <c r="R3927" s="13" t="s">
        <v>75</v>
      </c>
      <c r="S3927" s="13" t="s">
        <v>50</v>
      </c>
      <c r="T3927" s="44">
        <v>45782.71729969907</v>
      </c>
      <c r="U3927" s="44">
        <v>45783.50575862269</v>
      </c>
      <c r="V3927" s="198">
        <v>45783.57090571759</v>
      </c>
      <c r="W3927" s="11"/>
      <c r="X3927" s="11"/>
      <c r="Y3927" s="45"/>
      <c r="Z3927" s="45"/>
      <c r="AA3927" s="31" t="s">
        <v>127</v>
      </c>
      <c r="AB3927" s="45" t="s">
        <v>15241</v>
      </c>
      <c r="AC3927" s="45"/>
    </row>
    <row r="3928" ht="18.75" customHeight="1">
      <c r="A3928" s="18" t="s">
        <v>15242</v>
      </c>
      <c r="B3928" s="19" t="s">
        <v>8071</v>
      </c>
      <c r="C3928" s="20">
        <v>137.0</v>
      </c>
      <c r="D3928" s="48" t="s">
        <v>15243</v>
      </c>
      <c r="E3928" s="27" t="s">
        <v>85</v>
      </c>
      <c r="F3928" s="18" t="s">
        <v>48</v>
      </c>
      <c r="G3928" s="18" t="s">
        <v>35</v>
      </c>
      <c r="H3928" s="40" t="s">
        <v>35</v>
      </c>
      <c r="I3928" s="37" t="s">
        <v>36</v>
      </c>
      <c r="J3928" s="25" t="s">
        <v>49</v>
      </c>
      <c r="K3928" s="26" t="s">
        <v>38</v>
      </c>
      <c r="L3928" s="25">
        <v>12995.0</v>
      </c>
      <c r="M3928" s="49" t="s">
        <v>50</v>
      </c>
      <c r="N3928" s="42" t="s">
        <v>143</v>
      </c>
      <c r="O3928" s="67">
        <v>45783.63476199074</v>
      </c>
      <c r="P3928" s="26" t="s">
        <v>15237</v>
      </c>
      <c r="Q3928" s="13" t="s">
        <v>75</v>
      </c>
      <c r="R3928" s="13" t="s">
        <v>75</v>
      </c>
      <c r="S3928" s="13" t="s">
        <v>50</v>
      </c>
      <c r="T3928" s="44">
        <v>45782.71740303241</v>
      </c>
      <c r="U3928" s="44">
        <v>45783.50578344907</v>
      </c>
      <c r="V3928" s="198">
        <v>45783.57090571759</v>
      </c>
      <c r="W3928" s="11"/>
      <c r="X3928" s="11"/>
      <c r="Y3928" s="45"/>
      <c r="Z3928" s="45"/>
      <c r="AA3928" s="31" t="s">
        <v>127</v>
      </c>
      <c r="AB3928" s="45" t="s">
        <v>15244</v>
      </c>
      <c r="AC3928" s="45"/>
    </row>
    <row r="3929" ht="18.75" customHeight="1">
      <c r="A3929" s="18" t="s">
        <v>15245</v>
      </c>
      <c r="B3929" s="19" t="s">
        <v>8071</v>
      </c>
      <c r="C3929" s="20">
        <v>90.0</v>
      </c>
      <c r="D3929" s="48" t="s">
        <v>15246</v>
      </c>
      <c r="E3929" s="27" t="s">
        <v>91</v>
      </c>
      <c r="F3929" s="18" t="s">
        <v>48</v>
      </c>
      <c r="G3929" s="18" t="s">
        <v>35</v>
      </c>
      <c r="H3929" s="40" t="s">
        <v>35</v>
      </c>
      <c r="I3929" s="37" t="s">
        <v>36</v>
      </c>
      <c r="J3929" s="25" t="s">
        <v>49</v>
      </c>
      <c r="K3929" s="26" t="s">
        <v>38</v>
      </c>
      <c r="L3929" s="25">
        <v>12995.0</v>
      </c>
      <c r="M3929" s="49" t="s">
        <v>50</v>
      </c>
      <c r="N3929" s="42" t="s">
        <v>143</v>
      </c>
      <c r="O3929" s="67">
        <v>45783.6348158912</v>
      </c>
      <c r="P3929" s="26" t="s">
        <v>15237</v>
      </c>
      <c r="Q3929" s="13" t="s">
        <v>75</v>
      </c>
      <c r="R3929" s="13" t="s">
        <v>75</v>
      </c>
      <c r="S3929" s="13" t="s">
        <v>50</v>
      </c>
      <c r="T3929" s="44">
        <v>45782.71750832176</v>
      </c>
      <c r="U3929" s="44">
        <v>45783.505722754635</v>
      </c>
      <c r="V3929" s="198">
        <v>45783.57090571759</v>
      </c>
      <c r="W3929" s="11"/>
      <c r="X3929" s="11"/>
      <c r="Y3929" s="45"/>
      <c r="Z3929" s="45"/>
      <c r="AA3929" s="31" t="s">
        <v>127</v>
      </c>
      <c r="AB3929" s="45" t="s">
        <v>15247</v>
      </c>
      <c r="AC3929" s="45"/>
    </row>
    <row r="3930" ht="18.75" customHeight="1">
      <c r="A3930" s="142" t="s">
        <v>15248</v>
      </c>
      <c r="B3930" s="19" t="s">
        <v>1192</v>
      </c>
      <c r="C3930" s="20">
        <v>27.0</v>
      </c>
      <c r="D3930" s="39" t="s">
        <v>15249</v>
      </c>
      <c r="E3930" s="27" t="s">
        <v>72</v>
      </c>
      <c r="F3930" s="18" t="s">
        <v>48</v>
      </c>
      <c r="G3930" s="18" t="s">
        <v>35</v>
      </c>
      <c r="H3930" s="40" t="s">
        <v>35</v>
      </c>
      <c r="I3930" s="37" t="s">
        <v>36</v>
      </c>
      <c r="J3930" s="25" t="s">
        <v>65</v>
      </c>
      <c r="K3930" s="26" t="s">
        <v>38</v>
      </c>
      <c r="L3930" s="25">
        <v>13000.0</v>
      </c>
      <c r="M3930" s="49" t="s">
        <v>50</v>
      </c>
      <c r="N3930" s="42" t="s">
        <v>4908</v>
      </c>
      <c r="O3930" s="67">
        <v>45784.71203908564</v>
      </c>
      <c r="P3930" s="35" t="s">
        <v>15250</v>
      </c>
      <c r="Q3930" s="13" t="s">
        <v>75</v>
      </c>
      <c r="R3930" s="13" t="s">
        <v>75</v>
      </c>
      <c r="S3930" s="13" t="s">
        <v>50</v>
      </c>
      <c r="T3930" s="44">
        <v>45782.720770659726</v>
      </c>
      <c r="U3930" s="44">
        <v>45783.646640046296</v>
      </c>
      <c r="V3930" s="198">
        <v>45784.34922584491</v>
      </c>
      <c r="W3930" s="11"/>
      <c r="X3930" s="11"/>
      <c r="Y3930" s="45"/>
      <c r="Z3930" s="45"/>
      <c r="AA3930" s="31" t="s">
        <v>94</v>
      </c>
      <c r="AB3930" s="45" t="s">
        <v>15251</v>
      </c>
      <c r="AC3930" s="45"/>
    </row>
    <row r="3931" ht="18.75" customHeight="1">
      <c r="A3931" s="142" t="s">
        <v>15252</v>
      </c>
      <c r="B3931" s="19" t="s">
        <v>14771</v>
      </c>
      <c r="C3931" s="20">
        <v>90.0</v>
      </c>
      <c r="D3931" s="48" t="s">
        <v>15253</v>
      </c>
      <c r="E3931" s="27" t="s">
        <v>91</v>
      </c>
      <c r="F3931" s="18" t="s">
        <v>48</v>
      </c>
      <c r="G3931" s="18" t="s">
        <v>35</v>
      </c>
      <c r="H3931" s="40" t="s">
        <v>35</v>
      </c>
      <c r="I3931" s="37" t="s">
        <v>36</v>
      </c>
      <c r="J3931" s="25" t="s">
        <v>49</v>
      </c>
      <c r="K3931" s="26" t="s">
        <v>38</v>
      </c>
      <c r="L3931" s="25">
        <v>12994.0</v>
      </c>
      <c r="M3931" s="49" t="s">
        <v>50</v>
      </c>
      <c r="N3931" s="42" t="s">
        <v>143</v>
      </c>
      <c r="O3931" s="67">
        <v>45783.63469872685</v>
      </c>
      <c r="P3931" s="26" t="s">
        <v>15254</v>
      </c>
      <c r="Q3931" s="13" t="s">
        <v>75</v>
      </c>
      <c r="R3931" s="13" t="s">
        <v>75</v>
      </c>
      <c r="S3931" s="13" t="s">
        <v>50</v>
      </c>
      <c r="T3931" s="44">
        <v>45782.72242290509</v>
      </c>
      <c r="U3931" s="44">
        <v>45783.46184837963</v>
      </c>
      <c r="V3931" s="198">
        <v>45783.467583935184</v>
      </c>
      <c r="W3931" s="11"/>
      <c r="X3931" s="11"/>
      <c r="Y3931" s="45"/>
      <c r="Z3931" s="45"/>
      <c r="AA3931" s="31" t="s">
        <v>108</v>
      </c>
      <c r="AB3931" s="45" t="s">
        <v>15255</v>
      </c>
      <c r="AC3931" s="45"/>
    </row>
    <row r="3932" ht="18.75" customHeight="1">
      <c r="A3932" s="142" t="s">
        <v>15256</v>
      </c>
      <c r="B3932" s="19" t="s">
        <v>5469</v>
      </c>
      <c r="C3932" s="20">
        <v>1.0</v>
      </c>
      <c r="D3932" s="48"/>
      <c r="E3932" s="27" t="s">
        <v>11712</v>
      </c>
      <c r="F3932" s="18" t="s">
        <v>48</v>
      </c>
      <c r="G3932" s="18" t="s">
        <v>35</v>
      </c>
      <c r="H3932" s="40" t="s">
        <v>35</v>
      </c>
      <c r="I3932" s="24" t="s">
        <v>665</v>
      </c>
      <c r="J3932" s="25" t="s">
        <v>49</v>
      </c>
      <c r="K3932" s="26" t="s">
        <v>38</v>
      </c>
      <c r="L3932" s="25">
        <v>13008.0</v>
      </c>
      <c r="M3932" s="49" t="s">
        <v>50</v>
      </c>
      <c r="N3932" s="42" t="s">
        <v>5936</v>
      </c>
      <c r="O3932" s="67">
        <v>45784.66469201389</v>
      </c>
      <c r="P3932" s="26" t="s">
        <v>15257</v>
      </c>
      <c r="Q3932" s="13" t="s">
        <v>75</v>
      </c>
      <c r="R3932" s="13" t="s">
        <v>75</v>
      </c>
      <c r="S3932" s="13" t="s">
        <v>50</v>
      </c>
      <c r="T3932" s="44">
        <v>45783.36716361111</v>
      </c>
      <c r="U3932" s="44">
        <v>45784.41809678241</v>
      </c>
      <c r="V3932" s="198">
        <v>45784.57464212963</v>
      </c>
      <c r="W3932" s="11"/>
      <c r="X3932" s="11"/>
      <c r="Y3932" s="45"/>
      <c r="Z3932" s="45"/>
      <c r="AA3932" s="31" t="s">
        <v>102</v>
      </c>
      <c r="AB3932" s="45" t="s">
        <v>15258</v>
      </c>
      <c r="AC3932" s="45"/>
    </row>
    <row r="3933" ht="18.75" customHeight="1">
      <c r="A3933" s="18" t="s">
        <v>15259</v>
      </c>
      <c r="B3933" s="19" t="s">
        <v>7885</v>
      </c>
      <c r="C3933" s="20">
        <v>27.0</v>
      </c>
      <c r="D3933" s="39" t="s">
        <v>15260</v>
      </c>
      <c r="E3933" s="27" t="s">
        <v>72</v>
      </c>
      <c r="F3933" s="18" t="s">
        <v>48</v>
      </c>
      <c r="G3933" s="18" t="s">
        <v>35</v>
      </c>
      <c r="H3933" s="40" t="s">
        <v>35</v>
      </c>
      <c r="I3933" s="37" t="s">
        <v>36</v>
      </c>
      <c r="J3933" s="25" t="s">
        <v>49</v>
      </c>
      <c r="K3933" s="26" t="s">
        <v>38</v>
      </c>
      <c r="L3933" s="25">
        <v>13032.0</v>
      </c>
      <c r="M3933" s="49" t="s">
        <v>50</v>
      </c>
      <c r="N3933" s="42" t="s">
        <v>9953</v>
      </c>
      <c r="O3933" s="67">
        <v>45786.60754646991</v>
      </c>
      <c r="P3933" s="26" t="s">
        <v>15261</v>
      </c>
      <c r="Q3933" s="13" t="s">
        <v>75</v>
      </c>
      <c r="R3933" s="13" t="s">
        <v>75</v>
      </c>
      <c r="S3933" s="13" t="s">
        <v>50</v>
      </c>
      <c r="T3933" s="44">
        <v>45783.6910328125</v>
      </c>
      <c r="U3933" s="44">
        <v>45786.36240481482</v>
      </c>
      <c r="V3933" s="198">
        <v>45786.38854202547</v>
      </c>
      <c r="W3933" s="11"/>
      <c r="X3933" s="11"/>
      <c r="Y3933" s="45"/>
      <c r="Z3933" s="45"/>
      <c r="AA3933" s="31" t="s">
        <v>127</v>
      </c>
      <c r="AB3933" s="45" t="s">
        <v>15262</v>
      </c>
      <c r="AC3933" s="45"/>
    </row>
    <row r="3934" ht="18.75" customHeight="1">
      <c r="A3934" s="18" t="s">
        <v>15263</v>
      </c>
      <c r="B3934" s="19" t="s">
        <v>7885</v>
      </c>
      <c r="C3934" s="20">
        <v>27.0</v>
      </c>
      <c r="D3934" s="39" t="s">
        <v>15264</v>
      </c>
      <c r="E3934" s="27" t="s">
        <v>72</v>
      </c>
      <c r="F3934" s="18" t="s">
        <v>48</v>
      </c>
      <c r="G3934" s="18" t="s">
        <v>35</v>
      </c>
      <c r="H3934" s="40" t="s">
        <v>35</v>
      </c>
      <c r="I3934" s="37" t="s">
        <v>36</v>
      </c>
      <c r="J3934" s="25" t="s">
        <v>49</v>
      </c>
      <c r="K3934" s="26" t="s">
        <v>38</v>
      </c>
      <c r="L3934" s="25">
        <v>13032.0</v>
      </c>
      <c r="M3934" s="49" t="s">
        <v>50</v>
      </c>
      <c r="N3934" s="42" t="s">
        <v>9953</v>
      </c>
      <c r="O3934" s="67">
        <v>45786.60759508102</v>
      </c>
      <c r="P3934" s="26" t="s">
        <v>15261</v>
      </c>
      <c r="Q3934" s="13" t="s">
        <v>75</v>
      </c>
      <c r="R3934" s="13" t="s">
        <v>75</v>
      </c>
      <c r="S3934" s="13" t="s">
        <v>50</v>
      </c>
      <c r="T3934" s="44">
        <v>45783.69116293982</v>
      </c>
      <c r="U3934" s="44">
        <v>45786.362460000004</v>
      </c>
      <c r="V3934" s="198">
        <v>45786.388542037035</v>
      </c>
      <c r="W3934" s="11"/>
      <c r="X3934" s="11"/>
      <c r="Y3934" s="45"/>
      <c r="Z3934" s="45"/>
      <c r="AA3934" s="31" t="s">
        <v>127</v>
      </c>
      <c r="AB3934" s="45" t="s">
        <v>15265</v>
      </c>
      <c r="AC3934" s="45"/>
    </row>
    <row r="3935" ht="18.75" customHeight="1">
      <c r="A3935" s="18" t="s">
        <v>15266</v>
      </c>
      <c r="B3935" s="19" t="s">
        <v>7885</v>
      </c>
      <c r="C3935" s="20">
        <v>137.0</v>
      </c>
      <c r="D3935" s="48" t="s">
        <v>15267</v>
      </c>
      <c r="E3935" s="27" t="s">
        <v>85</v>
      </c>
      <c r="F3935" s="18" t="s">
        <v>48</v>
      </c>
      <c r="G3935" s="18" t="s">
        <v>35</v>
      </c>
      <c r="H3935" s="40" t="s">
        <v>35</v>
      </c>
      <c r="I3935" s="37" t="s">
        <v>36</v>
      </c>
      <c r="J3935" s="25" t="s">
        <v>49</v>
      </c>
      <c r="K3935" s="26" t="s">
        <v>38</v>
      </c>
      <c r="L3935" s="25">
        <v>13032.0</v>
      </c>
      <c r="M3935" s="49" t="s">
        <v>50</v>
      </c>
      <c r="N3935" s="42" t="s">
        <v>9953</v>
      </c>
      <c r="O3935" s="67">
        <v>45786.607640567134</v>
      </c>
      <c r="P3935" s="26" t="s">
        <v>15261</v>
      </c>
      <c r="Q3935" s="13" t="s">
        <v>75</v>
      </c>
      <c r="R3935" s="13" t="s">
        <v>75</v>
      </c>
      <c r="S3935" s="13" t="s">
        <v>50</v>
      </c>
      <c r="T3935" s="44">
        <v>45783.691291655094</v>
      </c>
      <c r="U3935" s="44">
        <v>45786.36246934028</v>
      </c>
      <c r="V3935" s="198">
        <v>45786.382870891204</v>
      </c>
      <c r="W3935" s="11"/>
      <c r="X3935" s="11"/>
      <c r="Y3935" s="45"/>
      <c r="Z3935" s="45"/>
      <c r="AA3935" s="31" t="s">
        <v>127</v>
      </c>
      <c r="AB3935" s="45" t="s">
        <v>15268</v>
      </c>
      <c r="AC3935" s="45"/>
    </row>
    <row r="3936" ht="18.75" customHeight="1">
      <c r="A3936" s="18" t="s">
        <v>15269</v>
      </c>
      <c r="B3936" s="19" t="s">
        <v>7885</v>
      </c>
      <c r="C3936" s="20">
        <v>137.0</v>
      </c>
      <c r="D3936" s="48" t="s">
        <v>15270</v>
      </c>
      <c r="E3936" s="27" t="s">
        <v>85</v>
      </c>
      <c r="F3936" s="18" t="s">
        <v>48</v>
      </c>
      <c r="G3936" s="18" t="s">
        <v>35</v>
      </c>
      <c r="H3936" s="40" t="s">
        <v>35</v>
      </c>
      <c r="I3936" s="37" t="s">
        <v>36</v>
      </c>
      <c r="J3936" s="25" t="s">
        <v>49</v>
      </c>
      <c r="K3936" s="26" t="s">
        <v>38</v>
      </c>
      <c r="L3936" s="25">
        <v>13032.0</v>
      </c>
      <c r="M3936" s="49" t="s">
        <v>50</v>
      </c>
      <c r="N3936" s="42" t="s">
        <v>9953</v>
      </c>
      <c r="O3936" s="67">
        <v>45786.60786938657</v>
      </c>
      <c r="P3936" s="26" t="s">
        <v>15261</v>
      </c>
      <c r="Q3936" s="13" t="s">
        <v>75</v>
      </c>
      <c r="R3936" s="13" t="s">
        <v>75</v>
      </c>
      <c r="S3936" s="13" t="s">
        <v>50</v>
      </c>
      <c r="T3936" s="44">
        <v>45786.36170712963</v>
      </c>
      <c r="U3936" s="44">
        <v>45786.362475381946</v>
      </c>
      <c r="V3936" s="198">
        <v>45786.38287090277</v>
      </c>
      <c r="W3936" s="11"/>
      <c r="X3936" s="11"/>
      <c r="Y3936" s="45"/>
      <c r="Z3936" s="45"/>
      <c r="AA3936" s="31" t="s">
        <v>127</v>
      </c>
      <c r="AB3936" s="45" t="s">
        <v>15271</v>
      </c>
      <c r="AC3936" s="45"/>
    </row>
    <row r="3937" ht="18.75" customHeight="1">
      <c r="A3937" s="18" t="s">
        <v>15272</v>
      </c>
      <c r="B3937" s="19" t="s">
        <v>7885</v>
      </c>
      <c r="C3937" s="20">
        <v>90.0</v>
      </c>
      <c r="D3937" s="48" t="s">
        <v>15273</v>
      </c>
      <c r="E3937" s="27" t="s">
        <v>91</v>
      </c>
      <c r="F3937" s="18" t="s">
        <v>48</v>
      </c>
      <c r="G3937" s="18" t="s">
        <v>35</v>
      </c>
      <c r="H3937" s="40" t="s">
        <v>35</v>
      </c>
      <c r="I3937" s="37" t="s">
        <v>36</v>
      </c>
      <c r="J3937" s="25" t="s">
        <v>49</v>
      </c>
      <c r="K3937" s="26" t="s">
        <v>38</v>
      </c>
      <c r="L3937" s="25">
        <v>13032.0</v>
      </c>
      <c r="M3937" s="49" t="s">
        <v>50</v>
      </c>
      <c r="N3937" s="42" t="s">
        <v>9953</v>
      </c>
      <c r="O3937" s="67">
        <v>45786.607683634254</v>
      </c>
      <c r="P3937" s="26" t="s">
        <v>15261</v>
      </c>
      <c r="Q3937" s="13" t="s">
        <v>75</v>
      </c>
      <c r="R3937" s="13" t="s">
        <v>75</v>
      </c>
      <c r="S3937" s="13" t="s">
        <v>50</v>
      </c>
      <c r="T3937" s="44">
        <v>45783.691539884254</v>
      </c>
      <c r="U3937" s="44">
        <v>45786.362482627315</v>
      </c>
      <c r="V3937" s="198">
        <v>45786.38449159722</v>
      </c>
      <c r="W3937" s="11"/>
      <c r="X3937" s="11"/>
      <c r="Y3937" s="45"/>
      <c r="Z3937" s="45"/>
      <c r="AA3937" s="31" t="s">
        <v>127</v>
      </c>
      <c r="AB3937" s="45" t="s">
        <v>15274</v>
      </c>
      <c r="AC3937" s="45"/>
    </row>
    <row r="3938" ht="18.75" customHeight="1">
      <c r="A3938" s="142" t="s">
        <v>15275</v>
      </c>
      <c r="B3938" s="19" t="s">
        <v>4352</v>
      </c>
      <c r="C3938" s="20">
        <v>90.0</v>
      </c>
      <c r="D3938" s="48" t="s">
        <v>15276</v>
      </c>
      <c r="E3938" s="27" t="s">
        <v>91</v>
      </c>
      <c r="F3938" s="18" t="s">
        <v>48</v>
      </c>
      <c r="G3938" s="18" t="s">
        <v>35</v>
      </c>
      <c r="H3938" s="40" t="s">
        <v>35</v>
      </c>
      <c r="I3938" s="37" t="s">
        <v>36</v>
      </c>
      <c r="J3938" s="25" t="s">
        <v>49</v>
      </c>
      <c r="K3938" s="26" t="s">
        <v>38</v>
      </c>
      <c r="L3938" s="25">
        <v>13027.0</v>
      </c>
      <c r="M3938" s="49" t="s">
        <v>50</v>
      </c>
      <c r="N3938" s="42" t="s">
        <v>9953</v>
      </c>
      <c r="O3938" s="67">
        <v>45786.60772986111</v>
      </c>
      <c r="P3938" s="26" t="s">
        <v>15277</v>
      </c>
      <c r="Q3938" s="13" t="s">
        <v>75</v>
      </c>
      <c r="R3938" s="13" t="s">
        <v>75</v>
      </c>
      <c r="S3938" s="13" t="s">
        <v>50</v>
      </c>
      <c r="T3938" s="44">
        <v>45783.71032355324</v>
      </c>
      <c r="U3938" s="44">
        <v>45785.393432129626</v>
      </c>
      <c r="V3938" s="198">
        <v>45786.38442637731</v>
      </c>
      <c r="W3938" s="11"/>
      <c r="X3938" s="11"/>
      <c r="Y3938" s="45"/>
      <c r="Z3938" s="45"/>
      <c r="AA3938" s="31" t="s">
        <v>127</v>
      </c>
      <c r="AB3938" s="45" t="s">
        <v>15278</v>
      </c>
      <c r="AC3938" s="45"/>
    </row>
    <row r="3939" ht="18.75" customHeight="1">
      <c r="A3939" s="142" t="s">
        <v>15279</v>
      </c>
      <c r="B3939" s="19" t="s">
        <v>1299</v>
      </c>
      <c r="C3939" s="20">
        <v>11.0</v>
      </c>
      <c r="D3939" s="48" t="s">
        <v>15280</v>
      </c>
      <c r="E3939" s="27" t="s">
        <v>112</v>
      </c>
      <c r="F3939" s="18" t="s">
        <v>48</v>
      </c>
      <c r="G3939" s="18" t="s">
        <v>35</v>
      </c>
      <c r="H3939" s="40" t="s">
        <v>35</v>
      </c>
      <c r="I3939" s="37" t="s">
        <v>36</v>
      </c>
      <c r="J3939" s="25" t="s">
        <v>92</v>
      </c>
      <c r="K3939" s="26" t="s">
        <v>38</v>
      </c>
      <c r="L3939" s="25">
        <v>13002.0</v>
      </c>
      <c r="M3939" s="49" t="s">
        <v>50</v>
      </c>
      <c r="N3939" s="42" t="s">
        <v>4767</v>
      </c>
      <c r="O3939" s="67">
        <v>45797.42328945602</v>
      </c>
      <c r="P3939" s="35" t="s">
        <v>13574</v>
      </c>
      <c r="Q3939" s="13" t="s">
        <v>75</v>
      </c>
      <c r="R3939" s="13" t="s">
        <v>75</v>
      </c>
      <c r="S3939" s="13" t="s">
        <v>50</v>
      </c>
      <c r="T3939" s="44">
        <v>45783.71352685185</v>
      </c>
      <c r="U3939" s="44">
        <v>45783.7337927662</v>
      </c>
      <c r="V3939" s="198">
        <v>45784.36982866898</v>
      </c>
      <c r="W3939" s="11"/>
      <c r="X3939" s="11"/>
      <c r="Y3939" s="45"/>
      <c r="Z3939" s="45"/>
      <c r="AA3939" s="31" t="s">
        <v>120</v>
      </c>
      <c r="AB3939" s="45" t="s">
        <v>15281</v>
      </c>
      <c r="AC3939" s="45"/>
    </row>
    <row r="3940" ht="18.75" customHeight="1">
      <c r="A3940" s="142" t="s">
        <v>15282</v>
      </c>
      <c r="B3940" s="19" t="s">
        <v>7736</v>
      </c>
      <c r="C3940" s="20">
        <v>137.0</v>
      </c>
      <c r="D3940" s="48" t="s">
        <v>15283</v>
      </c>
      <c r="E3940" s="27" t="s">
        <v>85</v>
      </c>
      <c r="F3940" s="18" t="s">
        <v>48</v>
      </c>
      <c r="G3940" s="18" t="s">
        <v>35</v>
      </c>
      <c r="H3940" s="40" t="s">
        <v>35</v>
      </c>
      <c r="I3940" s="37" t="s">
        <v>36</v>
      </c>
      <c r="J3940" s="25" t="s">
        <v>49</v>
      </c>
      <c r="K3940" s="26" t="s">
        <v>38</v>
      </c>
      <c r="L3940" s="25">
        <v>13028.0</v>
      </c>
      <c r="M3940" s="49" t="s">
        <v>50</v>
      </c>
      <c r="N3940" s="42" t="s">
        <v>9953</v>
      </c>
      <c r="O3940" s="67">
        <v>45786.607911631945</v>
      </c>
      <c r="P3940" s="35" t="s">
        <v>14457</v>
      </c>
      <c r="Q3940" s="13" t="s">
        <v>75</v>
      </c>
      <c r="R3940" s="13" t="s">
        <v>75</v>
      </c>
      <c r="S3940" s="13" t="s">
        <v>50</v>
      </c>
      <c r="T3940" s="44">
        <v>45783.71822112269</v>
      </c>
      <c r="U3940" s="44">
        <v>45785.59221675926</v>
      </c>
      <c r="V3940" s="198">
        <v>45786.382870891204</v>
      </c>
      <c r="W3940" s="11"/>
      <c r="X3940" s="11"/>
      <c r="Y3940" s="45"/>
      <c r="Z3940" s="45"/>
      <c r="AA3940" s="31" t="s">
        <v>3053</v>
      </c>
      <c r="AB3940" s="45" t="s">
        <v>15284</v>
      </c>
      <c r="AC3940" s="45"/>
    </row>
    <row r="3941" ht="18.75" customHeight="1">
      <c r="A3941" s="18" t="s">
        <v>15285</v>
      </c>
      <c r="B3941" s="19" t="s">
        <v>15286</v>
      </c>
      <c r="C3941" s="20">
        <v>90.0</v>
      </c>
      <c r="D3941" s="48" t="s">
        <v>15287</v>
      </c>
      <c r="E3941" s="27" t="s">
        <v>91</v>
      </c>
      <c r="F3941" s="18" t="s">
        <v>48</v>
      </c>
      <c r="G3941" s="18" t="s">
        <v>35</v>
      </c>
      <c r="H3941" s="40" t="s">
        <v>35</v>
      </c>
      <c r="I3941" s="37" t="s">
        <v>36</v>
      </c>
      <c r="J3941" s="25" t="s">
        <v>420</v>
      </c>
      <c r="K3941" s="26" t="s">
        <v>38</v>
      </c>
      <c r="L3941" s="25">
        <v>13030.0</v>
      </c>
      <c r="M3941" s="49" t="s">
        <v>50</v>
      </c>
      <c r="N3941" s="42" t="s">
        <v>4031</v>
      </c>
      <c r="O3941" s="67">
        <v>45786.57121800926</v>
      </c>
      <c r="P3941" s="26" t="s">
        <v>15288</v>
      </c>
      <c r="Q3941" s="13" t="s">
        <v>75</v>
      </c>
      <c r="R3941" s="13" t="s">
        <v>75</v>
      </c>
      <c r="S3941" s="13" t="s">
        <v>50</v>
      </c>
      <c r="T3941" s="44">
        <v>45783.72090408565</v>
      </c>
      <c r="U3941" s="44">
        <v>45785.43180011574</v>
      </c>
      <c r="V3941" s="198">
        <v>45786.38442637731</v>
      </c>
      <c r="W3941" s="11"/>
      <c r="X3941" s="11"/>
      <c r="Y3941" s="45"/>
      <c r="Z3941" s="45"/>
      <c r="AA3941" s="31" t="s">
        <v>120</v>
      </c>
      <c r="AB3941" s="45" t="s">
        <v>15289</v>
      </c>
      <c r="AC3941" s="45"/>
    </row>
    <row r="3942" ht="18.75" customHeight="1">
      <c r="A3942" s="18" t="s">
        <v>15290</v>
      </c>
      <c r="B3942" s="19" t="s">
        <v>15286</v>
      </c>
      <c r="C3942" s="20">
        <v>11.0</v>
      </c>
      <c r="D3942" s="48" t="s">
        <v>15291</v>
      </c>
      <c r="E3942" s="27" t="s">
        <v>112</v>
      </c>
      <c r="F3942" s="18" t="s">
        <v>48</v>
      </c>
      <c r="G3942" s="18" t="s">
        <v>35</v>
      </c>
      <c r="H3942" s="40" t="s">
        <v>35</v>
      </c>
      <c r="I3942" s="37" t="s">
        <v>36</v>
      </c>
      <c r="J3942" s="25" t="s">
        <v>420</v>
      </c>
      <c r="K3942" s="26" t="s">
        <v>38</v>
      </c>
      <c r="L3942" s="25">
        <v>13030.0</v>
      </c>
      <c r="M3942" s="49" t="s">
        <v>50</v>
      </c>
      <c r="N3942" s="42" t="s">
        <v>4031</v>
      </c>
      <c r="O3942" s="67">
        <v>45786.57129439815</v>
      </c>
      <c r="P3942" s="26" t="s">
        <v>15288</v>
      </c>
      <c r="Q3942" s="13" t="s">
        <v>75</v>
      </c>
      <c r="R3942" s="13" t="s">
        <v>75</v>
      </c>
      <c r="S3942" s="13" t="s">
        <v>50</v>
      </c>
      <c r="T3942" s="44">
        <v>45783.72111712963</v>
      </c>
      <c r="U3942" s="44">
        <v>45785.4318946875</v>
      </c>
      <c r="V3942" s="198">
        <v>45786.37977575231</v>
      </c>
      <c r="W3942" s="11"/>
      <c r="X3942" s="11"/>
      <c r="Y3942" s="45"/>
      <c r="Z3942" s="45"/>
      <c r="AA3942" s="31" t="s">
        <v>120</v>
      </c>
      <c r="AB3942" s="45" t="s">
        <v>15292</v>
      </c>
      <c r="AC3942" s="45"/>
    </row>
    <row r="3943" ht="18.75" customHeight="1">
      <c r="A3943" s="142" t="s">
        <v>15293</v>
      </c>
      <c r="B3943" s="19" t="s">
        <v>5004</v>
      </c>
      <c r="C3943" s="20">
        <v>34.0</v>
      </c>
      <c r="D3943" s="48" t="s">
        <v>15294</v>
      </c>
      <c r="E3943" s="27" t="s">
        <v>47</v>
      </c>
      <c r="F3943" s="18" t="s">
        <v>48</v>
      </c>
      <c r="G3943" s="18" t="s">
        <v>35</v>
      </c>
      <c r="H3943" s="40" t="s">
        <v>35</v>
      </c>
      <c r="I3943" s="37" t="s">
        <v>36</v>
      </c>
      <c r="J3943" s="25" t="s">
        <v>420</v>
      </c>
      <c r="K3943" s="26" t="s">
        <v>38</v>
      </c>
      <c r="L3943" s="25">
        <v>13001.0</v>
      </c>
      <c r="M3943" s="49" t="s">
        <v>50</v>
      </c>
      <c r="N3943" s="42" t="s">
        <v>4031</v>
      </c>
      <c r="O3943" s="67">
        <v>45786.3751572801</v>
      </c>
      <c r="P3943" s="26" t="s">
        <v>15295</v>
      </c>
      <c r="Q3943" s="13" t="s">
        <v>75</v>
      </c>
      <c r="R3943" s="13" t="s">
        <v>75</v>
      </c>
      <c r="S3943" s="13" t="s">
        <v>50</v>
      </c>
      <c r="T3943" s="44">
        <v>45783.7224543287</v>
      </c>
      <c r="U3943" s="44">
        <v>45784.366300740745</v>
      </c>
      <c r="V3943" s="198">
        <v>45784.36948141204</v>
      </c>
      <c r="W3943" s="11"/>
      <c r="X3943" s="11"/>
      <c r="Y3943" s="45"/>
      <c r="Z3943" s="45"/>
      <c r="AA3943" s="31" t="s">
        <v>120</v>
      </c>
      <c r="AB3943" s="45" t="s">
        <v>15296</v>
      </c>
      <c r="AC3943" s="45"/>
    </row>
    <row r="3944" ht="18.75" customHeight="1">
      <c r="A3944" s="18" t="s">
        <v>15297</v>
      </c>
      <c r="B3944" s="19" t="s">
        <v>7868</v>
      </c>
      <c r="C3944" s="20">
        <v>137.0</v>
      </c>
      <c r="D3944" s="48" t="s">
        <v>15298</v>
      </c>
      <c r="E3944" s="27" t="s">
        <v>85</v>
      </c>
      <c r="F3944" s="18" t="s">
        <v>48</v>
      </c>
      <c r="G3944" s="18" t="s">
        <v>35</v>
      </c>
      <c r="H3944" s="40" t="s">
        <v>35</v>
      </c>
      <c r="I3944" s="37" t="s">
        <v>36</v>
      </c>
      <c r="J3944" s="25" t="s">
        <v>65</v>
      </c>
      <c r="K3944" s="26" t="s">
        <v>38</v>
      </c>
      <c r="L3944" s="25">
        <v>13005.0</v>
      </c>
      <c r="M3944" s="49" t="s">
        <v>50</v>
      </c>
      <c r="N3944" s="42" t="s">
        <v>4908</v>
      </c>
      <c r="O3944" s="67">
        <v>45784.71198778936</v>
      </c>
      <c r="P3944" s="35" t="s">
        <v>14304</v>
      </c>
      <c r="Q3944" s="13" t="s">
        <v>75</v>
      </c>
      <c r="R3944" s="13" t="s">
        <v>75</v>
      </c>
      <c r="S3944" s="13" t="s">
        <v>50</v>
      </c>
      <c r="T3944" s="44">
        <v>45783.72322372685</v>
      </c>
      <c r="U3944" s="44">
        <v>45784.38175429398</v>
      </c>
      <c r="V3944" s="198">
        <v>45784.414647928235</v>
      </c>
      <c r="W3944" s="11"/>
      <c r="X3944" s="11"/>
      <c r="Y3944" s="45"/>
      <c r="Z3944" s="45"/>
      <c r="AA3944" s="31" t="s">
        <v>94</v>
      </c>
      <c r="AB3944" s="45" t="s">
        <v>15299</v>
      </c>
      <c r="AC3944" s="45"/>
    </row>
    <row r="3945" ht="18.75" customHeight="1">
      <c r="A3945" s="142" t="s">
        <v>15300</v>
      </c>
      <c r="B3945" s="19" t="s">
        <v>5630</v>
      </c>
      <c r="C3945" s="20">
        <v>34.0</v>
      </c>
      <c r="D3945" s="48" t="s">
        <v>15301</v>
      </c>
      <c r="E3945" s="27" t="s">
        <v>47</v>
      </c>
      <c r="F3945" s="18" t="s">
        <v>48</v>
      </c>
      <c r="G3945" s="18" t="s">
        <v>35</v>
      </c>
      <c r="H3945" s="40" t="s">
        <v>35</v>
      </c>
      <c r="I3945" s="37" t="s">
        <v>36</v>
      </c>
      <c r="J3945" s="25" t="s">
        <v>49</v>
      </c>
      <c r="K3945" s="26" t="s">
        <v>38</v>
      </c>
      <c r="L3945" s="25">
        <v>13006.0</v>
      </c>
      <c r="M3945" s="49" t="s">
        <v>50</v>
      </c>
      <c r="N3945" s="42" t="s">
        <v>5936</v>
      </c>
      <c r="O3945" s="67">
        <v>45784.66464452546</v>
      </c>
      <c r="P3945" s="35" t="s">
        <v>15302</v>
      </c>
      <c r="Q3945" s="13" t="s">
        <v>75</v>
      </c>
      <c r="R3945" s="13" t="s">
        <v>75</v>
      </c>
      <c r="S3945" s="13" t="s">
        <v>50</v>
      </c>
      <c r="T3945" s="44">
        <v>45784.395162789355</v>
      </c>
      <c r="U3945" s="44">
        <v>45784.48563263888</v>
      </c>
      <c r="V3945" s="198">
        <v>45784.5576303125</v>
      </c>
      <c r="W3945" s="11"/>
      <c r="X3945" s="11"/>
      <c r="Y3945" s="45"/>
      <c r="Z3945" s="45"/>
      <c r="AA3945" s="31" t="s">
        <v>102</v>
      </c>
      <c r="AB3945" s="45" t="s">
        <v>15303</v>
      </c>
      <c r="AC3945" s="45"/>
    </row>
    <row r="3946" ht="18.75" customHeight="1">
      <c r="A3946" s="18" t="s">
        <v>15304</v>
      </c>
      <c r="B3946" s="19" t="s">
        <v>4681</v>
      </c>
      <c r="C3946" s="20">
        <v>1.0</v>
      </c>
      <c r="D3946" s="48" t="s">
        <v>15305</v>
      </c>
      <c r="E3946" s="27" t="s">
        <v>3395</v>
      </c>
      <c r="F3946" s="18" t="s">
        <v>48</v>
      </c>
      <c r="G3946" s="18" t="s">
        <v>35</v>
      </c>
      <c r="H3946" s="40" t="s">
        <v>35</v>
      </c>
      <c r="I3946" s="37" t="s">
        <v>36</v>
      </c>
      <c r="J3946" s="25" t="s">
        <v>49</v>
      </c>
      <c r="K3946" s="26" t="s">
        <v>38</v>
      </c>
      <c r="L3946" s="25">
        <v>13007.0</v>
      </c>
      <c r="M3946" s="49" t="s">
        <v>50</v>
      </c>
      <c r="N3946" s="42" t="s">
        <v>5936</v>
      </c>
      <c r="O3946" s="67">
        <v>45784.66459326389</v>
      </c>
      <c r="P3946" s="35" t="s">
        <v>15306</v>
      </c>
      <c r="Q3946" s="13" t="s">
        <v>75</v>
      </c>
      <c r="R3946" s="13" t="s">
        <v>75</v>
      </c>
      <c r="S3946" s="13" t="s">
        <v>50</v>
      </c>
      <c r="T3946" s="44">
        <v>45784.40005280093</v>
      </c>
      <c r="U3946" s="44">
        <v>45784.497205</v>
      </c>
      <c r="V3946" s="198">
        <v>45784.55769695602</v>
      </c>
      <c r="W3946" s="11"/>
      <c r="X3946" s="11"/>
      <c r="Y3946" s="45"/>
      <c r="Z3946" s="45"/>
      <c r="AA3946" s="31" t="s">
        <v>127</v>
      </c>
      <c r="AB3946" s="45" t="s">
        <v>15307</v>
      </c>
      <c r="AC3946" s="45"/>
    </row>
    <row r="3947" ht="18.75" customHeight="1">
      <c r="A3947" s="18" t="s">
        <v>15308</v>
      </c>
      <c r="B3947" s="19" t="s">
        <v>4681</v>
      </c>
      <c r="C3947" s="20">
        <v>1.0</v>
      </c>
      <c r="D3947" s="48" t="s">
        <v>15309</v>
      </c>
      <c r="E3947" s="27" t="s">
        <v>3395</v>
      </c>
      <c r="F3947" s="18" t="s">
        <v>48</v>
      </c>
      <c r="G3947" s="18" t="s">
        <v>35</v>
      </c>
      <c r="H3947" s="40" t="s">
        <v>35</v>
      </c>
      <c r="I3947" s="37" t="s">
        <v>36</v>
      </c>
      <c r="J3947" s="25" t="s">
        <v>49</v>
      </c>
      <c r="K3947" s="26" t="s">
        <v>38</v>
      </c>
      <c r="L3947" s="25">
        <v>13007.0</v>
      </c>
      <c r="M3947" s="49" t="s">
        <v>50</v>
      </c>
      <c r="N3947" s="42" t="s">
        <v>5936</v>
      </c>
      <c r="O3947" s="67">
        <v>45784.66453050926</v>
      </c>
      <c r="P3947" s="35" t="s">
        <v>15306</v>
      </c>
      <c r="Q3947" s="13" t="s">
        <v>75</v>
      </c>
      <c r="R3947" s="13" t="s">
        <v>75</v>
      </c>
      <c r="S3947" s="13" t="s">
        <v>50</v>
      </c>
      <c r="T3947" s="44">
        <v>45784.40014008102</v>
      </c>
      <c r="U3947" s="44">
        <v>45784.497291921296</v>
      </c>
      <c r="V3947" s="198">
        <v>45784.55769695602</v>
      </c>
      <c r="W3947" s="11"/>
      <c r="X3947" s="11"/>
      <c r="Y3947" s="45"/>
      <c r="Z3947" s="45"/>
      <c r="AA3947" s="31" t="s">
        <v>127</v>
      </c>
      <c r="AB3947" s="45" t="s">
        <v>15310</v>
      </c>
      <c r="AC3947" s="45"/>
    </row>
    <row r="3948" ht="18.75" customHeight="1">
      <c r="A3948" s="142" t="s">
        <v>15311</v>
      </c>
      <c r="B3948" s="19" t="s">
        <v>15312</v>
      </c>
      <c r="C3948" s="20">
        <v>90.0</v>
      </c>
      <c r="D3948" s="48" t="s">
        <v>15313</v>
      </c>
      <c r="E3948" s="27" t="s">
        <v>91</v>
      </c>
      <c r="F3948" s="18" t="s">
        <v>48</v>
      </c>
      <c r="G3948" s="18" t="s">
        <v>35</v>
      </c>
      <c r="H3948" s="40" t="s">
        <v>35</v>
      </c>
      <c r="I3948" s="37" t="s">
        <v>36</v>
      </c>
      <c r="J3948" s="25" t="s">
        <v>65</v>
      </c>
      <c r="K3948" s="26" t="s">
        <v>38</v>
      </c>
      <c r="L3948" s="25">
        <v>13161.0</v>
      </c>
      <c r="M3948" s="49" t="s">
        <v>50</v>
      </c>
      <c r="N3948" s="42" t="s">
        <v>149</v>
      </c>
      <c r="O3948" s="67">
        <v>45810.6154844213</v>
      </c>
      <c r="P3948" s="35" t="s">
        <v>15314</v>
      </c>
      <c r="Q3948" s="13" t="s">
        <v>75</v>
      </c>
      <c r="R3948" s="13" t="s">
        <v>75</v>
      </c>
      <c r="S3948" s="13" t="s">
        <v>50</v>
      </c>
      <c r="T3948" s="44">
        <v>45803.43301931713</v>
      </c>
      <c r="U3948" s="44">
        <v>45807.567806747684</v>
      </c>
      <c r="V3948" s="198">
        <v>45810.35118846065</v>
      </c>
      <c r="W3948" s="11"/>
      <c r="X3948" s="11"/>
      <c r="Y3948" s="45">
        <v>302.0</v>
      </c>
      <c r="Z3948" s="45" t="s">
        <v>15315</v>
      </c>
      <c r="AA3948" s="31" t="s">
        <v>120</v>
      </c>
      <c r="AB3948" s="45" t="s">
        <v>15316</v>
      </c>
      <c r="AC3948" s="45"/>
    </row>
    <row r="3949" ht="18.75" customHeight="1">
      <c r="A3949" s="142" t="s">
        <v>15317</v>
      </c>
      <c r="B3949" s="19" t="s">
        <v>5313</v>
      </c>
      <c r="C3949" s="20">
        <v>11.0</v>
      </c>
      <c r="D3949" s="48" t="s">
        <v>15318</v>
      </c>
      <c r="E3949" s="27" t="s">
        <v>112</v>
      </c>
      <c r="F3949" s="18" t="s">
        <v>48</v>
      </c>
      <c r="G3949" s="18" t="s">
        <v>35</v>
      </c>
      <c r="H3949" s="40" t="s">
        <v>35</v>
      </c>
      <c r="I3949" s="37" t="s">
        <v>36</v>
      </c>
      <c r="J3949" s="25" t="s">
        <v>65</v>
      </c>
      <c r="K3949" s="26" t="s">
        <v>38</v>
      </c>
      <c r="L3949" s="25">
        <v>13010.0</v>
      </c>
      <c r="M3949" s="49" t="s">
        <v>50</v>
      </c>
      <c r="N3949" s="42" t="s">
        <v>4908</v>
      </c>
      <c r="O3949" s="67">
        <v>45784.71192023148</v>
      </c>
      <c r="P3949" s="35" t="s">
        <v>14304</v>
      </c>
      <c r="Q3949" s="13" t="s">
        <v>75</v>
      </c>
      <c r="R3949" s="13" t="s">
        <v>75</v>
      </c>
      <c r="S3949" s="13" t="s">
        <v>50</v>
      </c>
      <c r="T3949" s="44">
        <v>45784.42285478009</v>
      </c>
      <c r="U3949" s="44">
        <v>45784.57322640046</v>
      </c>
      <c r="V3949" s="198">
        <v>45784.604616365745</v>
      </c>
      <c r="W3949" s="11"/>
      <c r="X3949" s="11"/>
      <c r="Y3949" s="45"/>
      <c r="Z3949" s="45"/>
      <c r="AA3949" s="31" t="s">
        <v>94</v>
      </c>
      <c r="AB3949" s="45" t="s">
        <v>15319</v>
      </c>
      <c r="AC3949" s="45"/>
    </row>
    <row r="3950" ht="18.75" customHeight="1">
      <c r="A3950" s="142" t="s">
        <v>15320</v>
      </c>
      <c r="B3950" s="19" t="s">
        <v>911</v>
      </c>
      <c r="C3950" s="20">
        <v>1.0</v>
      </c>
      <c r="D3950" s="48" t="s">
        <v>15321</v>
      </c>
      <c r="E3950" s="27" t="s">
        <v>3395</v>
      </c>
      <c r="F3950" s="18" t="s">
        <v>48</v>
      </c>
      <c r="G3950" s="18" t="s">
        <v>35</v>
      </c>
      <c r="H3950" s="40" t="s">
        <v>35</v>
      </c>
      <c r="I3950" s="37" t="s">
        <v>36</v>
      </c>
      <c r="J3950" s="25" t="s">
        <v>49</v>
      </c>
      <c r="K3950" s="26" t="s">
        <v>38</v>
      </c>
      <c r="L3950" s="25">
        <v>13029.0</v>
      </c>
      <c r="M3950" s="49" t="s">
        <v>50</v>
      </c>
      <c r="N3950" s="42" t="s">
        <v>9953</v>
      </c>
      <c r="O3950" s="67">
        <v>45786.607369502315</v>
      </c>
      <c r="P3950" s="35" t="s">
        <v>15322</v>
      </c>
      <c r="Q3950" s="13" t="s">
        <v>75</v>
      </c>
      <c r="R3950" s="13" t="s">
        <v>75</v>
      </c>
      <c r="S3950" s="13" t="s">
        <v>50</v>
      </c>
      <c r="T3950" s="44">
        <v>45784.46498771991</v>
      </c>
      <c r="U3950" s="44">
        <v>45785.47885111111</v>
      </c>
      <c r="V3950" s="198">
        <v>45786.38577158564</v>
      </c>
      <c r="W3950" s="11"/>
      <c r="X3950" s="11"/>
      <c r="Y3950" s="45"/>
      <c r="Z3950" s="45"/>
      <c r="AA3950" s="31" t="s">
        <v>3053</v>
      </c>
      <c r="AB3950" s="45" t="s">
        <v>15323</v>
      </c>
      <c r="AC3950" s="45"/>
    </row>
    <row r="3951" ht="18.75" customHeight="1">
      <c r="A3951" s="142" t="s">
        <v>15324</v>
      </c>
      <c r="B3951" s="19" t="s">
        <v>1811</v>
      </c>
      <c r="C3951" s="20">
        <v>11.0</v>
      </c>
      <c r="D3951" s="48" t="s">
        <v>15325</v>
      </c>
      <c r="E3951" s="27" t="s">
        <v>112</v>
      </c>
      <c r="F3951" s="18" t="s">
        <v>48</v>
      </c>
      <c r="G3951" s="18" t="s">
        <v>35</v>
      </c>
      <c r="H3951" s="40" t="s">
        <v>35</v>
      </c>
      <c r="I3951" s="37" t="s">
        <v>36</v>
      </c>
      <c r="J3951" s="25" t="s">
        <v>49</v>
      </c>
      <c r="K3951" s="26" t="s">
        <v>1506</v>
      </c>
      <c r="L3951" s="25">
        <v>13031.0</v>
      </c>
      <c r="M3951" s="49" t="s">
        <v>50</v>
      </c>
      <c r="N3951" s="42" t="s">
        <v>9953</v>
      </c>
      <c r="O3951" s="67">
        <v>45786.607276875</v>
      </c>
      <c r="P3951" s="35" t="s">
        <v>15326</v>
      </c>
      <c r="Q3951" s="13" t="s">
        <v>75</v>
      </c>
      <c r="R3951" s="13" t="s">
        <v>75</v>
      </c>
      <c r="S3951" s="13" t="s">
        <v>50</v>
      </c>
      <c r="T3951" s="44">
        <v>45785.370914467596</v>
      </c>
      <c r="U3951" s="44">
        <v>45785.39568893518</v>
      </c>
      <c r="V3951" s="198">
        <v>45786.37977575231</v>
      </c>
      <c r="W3951" s="11"/>
      <c r="X3951" s="11"/>
      <c r="Y3951" s="45"/>
      <c r="Z3951" s="45"/>
      <c r="AA3951" s="31" t="s">
        <v>3053</v>
      </c>
      <c r="AB3951" s="45" t="s">
        <v>15327</v>
      </c>
      <c r="AC3951" s="45"/>
    </row>
    <row r="3952" ht="18.75" customHeight="1">
      <c r="A3952" s="142" t="s">
        <v>15328</v>
      </c>
      <c r="B3952" s="19" t="s">
        <v>10456</v>
      </c>
      <c r="C3952" s="20">
        <v>0.0</v>
      </c>
      <c r="D3952" s="48" t="s">
        <v>15329</v>
      </c>
      <c r="E3952" s="27" t="s">
        <v>532</v>
      </c>
      <c r="F3952" s="18" t="s">
        <v>244</v>
      </c>
      <c r="G3952" s="18" t="s">
        <v>35</v>
      </c>
      <c r="H3952" s="40" t="s">
        <v>35</v>
      </c>
      <c r="I3952" s="37" t="s">
        <v>36</v>
      </c>
      <c r="J3952" s="25" t="s">
        <v>65</v>
      </c>
      <c r="K3952" s="26" t="s">
        <v>38</v>
      </c>
      <c r="L3952" s="25">
        <v>13044.0</v>
      </c>
      <c r="M3952" s="49" t="s">
        <v>50</v>
      </c>
      <c r="N3952" s="42" t="s">
        <v>14854</v>
      </c>
      <c r="O3952" s="67">
        <v>45790.63031458334</v>
      </c>
      <c r="P3952" s="35" t="s">
        <v>15330</v>
      </c>
      <c r="Q3952" s="13" t="s">
        <v>75</v>
      </c>
      <c r="R3952" s="13" t="s">
        <v>75</v>
      </c>
      <c r="S3952" s="13" t="s">
        <v>73</v>
      </c>
      <c r="T3952" s="44">
        <v>45785.374530243054</v>
      </c>
      <c r="U3952" s="44">
        <v>45785.396307557865</v>
      </c>
      <c r="V3952" s="198">
        <v>45790.37605247685</v>
      </c>
      <c r="W3952" s="11"/>
      <c r="X3952" s="11"/>
      <c r="Y3952" s="45"/>
      <c r="Z3952" s="45"/>
      <c r="AA3952" s="31" t="s">
        <v>3059</v>
      </c>
      <c r="AB3952" s="45" t="s">
        <v>15331</v>
      </c>
      <c r="AC3952" s="45"/>
    </row>
    <row r="3953" ht="18.75" customHeight="1">
      <c r="A3953" s="142" t="s">
        <v>15332</v>
      </c>
      <c r="B3953" s="19" t="s">
        <v>15333</v>
      </c>
      <c r="C3953" s="20">
        <v>0.0</v>
      </c>
      <c r="D3953" s="48" t="s">
        <v>15334</v>
      </c>
      <c r="E3953" s="27" t="s">
        <v>1595</v>
      </c>
      <c r="F3953" s="18" t="s">
        <v>33</v>
      </c>
      <c r="G3953" s="18" t="s">
        <v>35</v>
      </c>
      <c r="H3953" s="40" t="s">
        <v>35</v>
      </c>
      <c r="I3953" s="37" t="s">
        <v>36</v>
      </c>
      <c r="J3953" s="25" t="s">
        <v>49</v>
      </c>
      <c r="K3953" s="26" t="s">
        <v>38</v>
      </c>
      <c r="L3953" s="25">
        <v>13045.0</v>
      </c>
      <c r="M3953" s="49" t="s">
        <v>50</v>
      </c>
      <c r="N3953" s="42" t="s">
        <v>143</v>
      </c>
      <c r="O3953" s="67">
        <v>45790.634475231476</v>
      </c>
      <c r="P3953" s="35" t="s">
        <v>15335</v>
      </c>
      <c r="Q3953" s="13" t="s">
        <v>75</v>
      </c>
      <c r="R3953" s="13" t="s">
        <v>75</v>
      </c>
      <c r="S3953" s="13" t="s">
        <v>73</v>
      </c>
      <c r="T3953" s="44">
        <v>45785.43529471065</v>
      </c>
      <c r="U3953" s="44">
        <v>45786.4021033912</v>
      </c>
      <c r="V3953" s="198">
        <v>45790.37628398148</v>
      </c>
      <c r="W3953" s="11"/>
      <c r="X3953" s="11"/>
      <c r="Y3953" s="45"/>
      <c r="Z3953" s="45"/>
      <c r="AA3953" s="31" t="s">
        <v>5290</v>
      </c>
      <c r="AB3953" s="45" t="s">
        <v>15336</v>
      </c>
      <c r="AC3953" s="45"/>
    </row>
    <row r="3954" ht="18.75" customHeight="1">
      <c r="A3954" s="142" t="s">
        <v>15337</v>
      </c>
      <c r="B3954" s="19" t="s">
        <v>15338</v>
      </c>
      <c r="C3954" s="20">
        <v>0.0</v>
      </c>
      <c r="D3954" s="48" t="s">
        <v>1651</v>
      </c>
      <c r="E3954" s="27" t="s">
        <v>532</v>
      </c>
      <c r="F3954" s="18" t="s">
        <v>244</v>
      </c>
      <c r="G3954" s="18" t="s">
        <v>35</v>
      </c>
      <c r="H3954" s="40" t="s">
        <v>35</v>
      </c>
      <c r="I3954" s="37" t="s">
        <v>36</v>
      </c>
      <c r="J3954" s="25" t="s">
        <v>65</v>
      </c>
      <c r="K3954" s="26" t="s">
        <v>38</v>
      </c>
      <c r="L3954" s="25">
        <v>2103.0</v>
      </c>
      <c r="M3954" s="49" t="s">
        <v>50</v>
      </c>
      <c r="N3954" s="42" t="s">
        <v>3461</v>
      </c>
      <c r="O3954" s="67">
        <v>45790.63037755787</v>
      </c>
      <c r="P3954" s="26" t="s">
        <v>15339</v>
      </c>
      <c r="Q3954" s="13" t="s">
        <v>75</v>
      </c>
      <c r="R3954" s="13" t="s">
        <v>75</v>
      </c>
      <c r="S3954" s="13" t="s">
        <v>101</v>
      </c>
      <c r="T3954" s="44">
        <v>45785.48037208333</v>
      </c>
      <c r="U3954" s="44">
        <v>45785.64939280093</v>
      </c>
      <c r="V3954" s="198">
        <v>45789.70844011574</v>
      </c>
      <c r="W3954" s="11"/>
      <c r="X3954" s="11"/>
      <c r="Y3954" s="45"/>
      <c r="Z3954" s="45"/>
      <c r="AA3954" s="31" t="s">
        <v>3059</v>
      </c>
      <c r="AB3954" s="45" t="s">
        <v>15340</v>
      </c>
      <c r="AC3954" s="45"/>
    </row>
    <row r="3955" ht="18.75" customHeight="1">
      <c r="A3955" s="142" t="s">
        <v>15341</v>
      </c>
      <c r="B3955" s="19" t="s">
        <v>5469</v>
      </c>
      <c r="C3955" s="20">
        <v>27.0</v>
      </c>
      <c r="D3955" s="39" t="s">
        <v>15342</v>
      </c>
      <c r="E3955" s="27" t="s">
        <v>72</v>
      </c>
      <c r="F3955" s="18" t="s">
        <v>48</v>
      </c>
      <c r="G3955" s="18" t="s">
        <v>35</v>
      </c>
      <c r="H3955" s="40" t="s">
        <v>35</v>
      </c>
      <c r="I3955" s="37" t="s">
        <v>36</v>
      </c>
      <c r="J3955" s="25" t="s">
        <v>49</v>
      </c>
      <c r="K3955" s="26" t="s">
        <v>38</v>
      </c>
      <c r="L3955" s="25">
        <v>13040.0</v>
      </c>
      <c r="M3955" s="49" t="s">
        <v>50</v>
      </c>
      <c r="N3955" s="42" t="s">
        <v>143</v>
      </c>
      <c r="O3955" s="67">
        <v>45789.60878292824</v>
      </c>
      <c r="P3955" s="26" t="s">
        <v>15343</v>
      </c>
      <c r="Q3955" s="13" t="s">
        <v>75</v>
      </c>
      <c r="R3955" s="13" t="s">
        <v>75</v>
      </c>
      <c r="S3955" s="13" t="s">
        <v>50</v>
      </c>
      <c r="T3955" s="44">
        <v>45789.56619835648</v>
      </c>
      <c r="U3955" s="44">
        <v>45789.56624958334</v>
      </c>
      <c r="V3955" s="198">
        <v>45789.570472465275</v>
      </c>
      <c r="W3955" s="11"/>
      <c r="X3955" s="11"/>
      <c r="Y3955" s="45"/>
      <c r="Z3955" s="45"/>
      <c r="AA3955" s="31" t="s">
        <v>102</v>
      </c>
      <c r="AB3955" s="45" t="s">
        <v>15344</v>
      </c>
      <c r="AC3955" s="45"/>
    </row>
    <row r="3956" ht="18.75" customHeight="1">
      <c r="A3956" s="142" t="s">
        <v>15345</v>
      </c>
      <c r="B3956" s="19" t="s">
        <v>15346</v>
      </c>
      <c r="C3956" s="20">
        <v>0.0</v>
      </c>
      <c r="D3956" s="48" t="s">
        <v>15347</v>
      </c>
      <c r="E3956" s="27" t="s">
        <v>3441</v>
      </c>
      <c r="F3956" s="18" t="s">
        <v>48</v>
      </c>
      <c r="G3956" s="18" t="s">
        <v>35</v>
      </c>
      <c r="H3956" s="40" t="s">
        <v>35</v>
      </c>
      <c r="I3956" s="37" t="s">
        <v>36</v>
      </c>
      <c r="J3956" s="25" t="s">
        <v>37</v>
      </c>
      <c r="K3956" s="26" t="s">
        <v>38</v>
      </c>
      <c r="L3956" s="72">
        <v>13189.0</v>
      </c>
      <c r="M3956" s="49" t="s">
        <v>50</v>
      </c>
      <c r="N3956" s="42" t="s">
        <v>41</v>
      </c>
      <c r="O3956" s="67">
        <v>45814.71869579861</v>
      </c>
      <c r="P3956" s="26" t="s">
        <v>15348</v>
      </c>
      <c r="Q3956" s="13" t="s">
        <v>75</v>
      </c>
      <c r="R3956" s="13" t="s">
        <v>75</v>
      </c>
      <c r="S3956" s="13" t="s">
        <v>50</v>
      </c>
      <c r="T3956" s="44">
        <v>45814.44494608796</v>
      </c>
      <c r="U3956" s="44">
        <v>45814.44496648148</v>
      </c>
      <c r="V3956" s="198">
        <v>45814.449996863426</v>
      </c>
      <c r="W3956" s="11"/>
      <c r="X3956" s="11"/>
      <c r="Y3956" s="45">
        <v>302.0</v>
      </c>
      <c r="Z3956" s="45" t="s">
        <v>15349</v>
      </c>
      <c r="AA3956" s="31" t="s">
        <v>120</v>
      </c>
      <c r="AB3956" s="45" t="s">
        <v>15350</v>
      </c>
      <c r="AC3956" s="45"/>
    </row>
    <row r="3957" ht="18.75" customHeight="1">
      <c r="A3957" s="142" t="s">
        <v>15351</v>
      </c>
      <c r="B3957" s="19" t="s">
        <v>140</v>
      </c>
      <c r="C3957" s="20">
        <v>137.0</v>
      </c>
      <c r="D3957" s="48" t="s">
        <v>15352</v>
      </c>
      <c r="E3957" s="27" t="s">
        <v>85</v>
      </c>
      <c r="F3957" s="18" t="s">
        <v>48</v>
      </c>
      <c r="G3957" s="18" t="s">
        <v>35</v>
      </c>
      <c r="H3957" s="40" t="s">
        <v>35</v>
      </c>
      <c r="I3957" s="37" t="s">
        <v>36</v>
      </c>
      <c r="J3957" s="25" t="s">
        <v>49</v>
      </c>
      <c r="K3957" s="26" t="s">
        <v>38</v>
      </c>
      <c r="L3957" s="25">
        <v>13036.0</v>
      </c>
      <c r="M3957" s="49" t="s">
        <v>50</v>
      </c>
      <c r="N3957" s="42" t="s">
        <v>143</v>
      </c>
      <c r="O3957" s="67">
        <v>45789.608729479165</v>
      </c>
      <c r="P3957" s="35" t="s">
        <v>15353</v>
      </c>
      <c r="Q3957" s="13" t="s">
        <v>75</v>
      </c>
      <c r="R3957" s="13" t="s">
        <v>75</v>
      </c>
      <c r="S3957" s="13" t="s">
        <v>50</v>
      </c>
      <c r="T3957" s="44">
        <v>45789.40233138889</v>
      </c>
      <c r="U3957" s="44">
        <v>45789.40244017361</v>
      </c>
      <c r="V3957" s="198">
        <v>45789.42330565972</v>
      </c>
      <c r="W3957" s="11"/>
      <c r="X3957" s="11"/>
      <c r="Y3957" s="45"/>
      <c r="Z3957" s="45"/>
      <c r="AA3957" s="31" t="s">
        <v>145</v>
      </c>
      <c r="AB3957" s="45" t="s">
        <v>15354</v>
      </c>
      <c r="AC3957" s="45"/>
    </row>
    <row r="3958" ht="18.75" customHeight="1">
      <c r="A3958" s="142" t="s">
        <v>15355</v>
      </c>
      <c r="B3958" s="19" t="s">
        <v>3121</v>
      </c>
      <c r="C3958" s="20">
        <v>33.0</v>
      </c>
      <c r="D3958" s="48" t="s">
        <v>15356</v>
      </c>
      <c r="E3958" s="27" t="s">
        <v>6133</v>
      </c>
      <c r="F3958" s="18" t="s">
        <v>48</v>
      </c>
      <c r="G3958" s="18" t="s">
        <v>35</v>
      </c>
      <c r="H3958" s="40" t="s">
        <v>35</v>
      </c>
      <c r="I3958" s="37" t="s">
        <v>36</v>
      </c>
      <c r="J3958" s="25" t="s">
        <v>92</v>
      </c>
      <c r="K3958" s="26" t="s">
        <v>38</v>
      </c>
      <c r="L3958" s="25">
        <v>13082.0</v>
      </c>
      <c r="M3958" s="49" t="s">
        <v>73</v>
      </c>
      <c r="N3958" s="42" t="s">
        <v>15357</v>
      </c>
      <c r="O3958" s="67">
        <v>45798.59722222222</v>
      </c>
      <c r="P3958" s="35" t="s">
        <v>15358</v>
      </c>
      <c r="Q3958" s="13" t="s">
        <v>75</v>
      </c>
      <c r="R3958" s="13" t="s">
        <v>75</v>
      </c>
      <c r="S3958" s="13" t="s">
        <v>73</v>
      </c>
      <c r="T3958" s="44">
        <v>45798.400745810184</v>
      </c>
      <c r="U3958" s="44">
        <v>45798.400812141204</v>
      </c>
      <c r="V3958" s="198">
        <v>45798.40409752315</v>
      </c>
      <c r="W3958" s="11"/>
      <c r="X3958" s="11"/>
      <c r="Y3958" s="45">
        <v>302.0</v>
      </c>
      <c r="Z3958" s="45" t="s">
        <v>15359</v>
      </c>
      <c r="AA3958" s="31" t="s">
        <v>120</v>
      </c>
      <c r="AB3958" s="45" t="s">
        <v>15360</v>
      </c>
      <c r="AC3958" s="45"/>
    </row>
    <row r="3959" ht="18.75" customHeight="1">
      <c r="A3959" s="18" t="s">
        <v>15361</v>
      </c>
      <c r="B3959" s="19" t="s">
        <v>4308</v>
      </c>
      <c r="C3959" s="20">
        <v>1.0</v>
      </c>
      <c r="D3959" s="48" t="s">
        <v>15362</v>
      </c>
      <c r="E3959" s="27" t="s">
        <v>3395</v>
      </c>
      <c r="F3959" s="18" t="s">
        <v>48</v>
      </c>
      <c r="G3959" s="18" t="s">
        <v>35</v>
      </c>
      <c r="H3959" s="40" t="s">
        <v>35</v>
      </c>
      <c r="I3959" s="37" t="s">
        <v>36</v>
      </c>
      <c r="J3959" s="25" t="s">
        <v>92</v>
      </c>
      <c r="K3959" s="26" t="s">
        <v>38</v>
      </c>
      <c r="L3959" s="25">
        <v>13153.0</v>
      </c>
      <c r="M3959" s="49" t="s">
        <v>50</v>
      </c>
      <c r="N3959" s="42" t="s">
        <v>7638</v>
      </c>
      <c r="O3959" s="67">
        <v>45846.462180902774</v>
      </c>
      <c r="P3959" s="35" t="s">
        <v>15363</v>
      </c>
      <c r="Q3959" s="13" t="s">
        <v>75</v>
      </c>
      <c r="R3959" s="13" t="s">
        <v>75</v>
      </c>
      <c r="S3959" s="13" t="s">
        <v>50</v>
      </c>
      <c r="T3959" s="44">
        <v>45786.44791004629</v>
      </c>
      <c r="U3959" s="44">
        <v>45806.40107475694</v>
      </c>
      <c r="V3959" s="198">
        <v>45807.35611975694</v>
      </c>
      <c r="W3959" s="11"/>
      <c r="X3959" s="11"/>
      <c r="Y3959" s="45">
        <v>302.0</v>
      </c>
      <c r="Z3959" s="45" t="s">
        <v>15364</v>
      </c>
      <c r="AA3959" s="31" t="s">
        <v>120</v>
      </c>
      <c r="AB3959" s="45" t="s">
        <v>15365</v>
      </c>
      <c r="AC3959" s="45"/>
    </row>
    <row r="3960" ht="18.75" customHeight="1">
      <c r="A3960" s="18" t="s">
        <v>15366</v>
      </c>
      <c r="B3960" s="19" t="s">
        <v>4308</v>
      </c>
      <c r="C3960" s="20">
        <v>0.0</v>
      </c>
      <c r="D3960" s="48" t="s">
        <v>15367</v>
      </c>
      <c r="E3960" s="27" t="s">
        <v>4430</v>
      </c>
      <c r="F3960" s="18" t="s">
        <v>48</v>
      </c>
      <c r="G3960" s="18" t="s">
        <v>35</v>
      </c>
      <c r="H3960" s="40" t="s">
        <v>35</v>
      </c>
      <c r="I3960" s="37" t="s">
        <v>36</v>
      </c>
      <c r="J3960" s="25" t="s">
        <v>92</v>
      </c>
      <c r="K3960" s="26" t="s">
        <v>38</v>
      </c>
      <c r="L3960" s="25">
        <v>13153.0</v>
      </c>
      <c r="M3960" s="49" t="s">
        <v>50</v>
      </c>
      <c r="N3960" s="42" t="s">
        <v>7638</v>
      </c>
      <c r="O3960" s="67">
        <v>45846.46227790509</v>
      </c>
      <c r="P3960" s="35" t="s">
        <v>15368</v>
      </c>
      <c r="Q3960" s="13" t="s">
        <v>75</v>
      </c>
      <c r="R3960" s="13" t="s">
        <v>75</v>
      </c>
      <c r="S3960" s="13" t="s">
        <v>50</v>
      </c>
      <c r="T3960" s="44">
        <v>45786.45031059028</v>
      </c>
      <c r="U3960" s="44">
        <v>45806.401133368054</v>
      </c>
      <c r="V3960" s="198">
        <v>45807.35611975694</v>
      </c>
      <c r="W3960" s="11"/>
      <c r="X3960" s="11"/>
      <c r="Y3960" s="45">
        <v>302.0</v>
      </c>
      <c r="Z3960" s="45" t="s">
        <v>15369</v>
      </c>
      <c r="AA3960" s="31" t="s">
        <v>120</v>
      </c>
      <c r="AB3960" s="45" t="s">
        <v>15370</v>
      </c>
      <c r="AC3960" s="45"/>
    </row>
    <row r="3961" ht="18.75" customHeight="1">
      <c r="A3961" s="142" t="s">
        <v>15371</v>
      </c>
      <c r="B3961" s="19" t="s">
        <v>115</v>
      </c>
      <c r="C3961" s="20">
        <v>1.0</v>
      </c>
      <c r="D3961" s="48" t="s">
        <v>15372</v>
      </c>
      <c r="E3961" s="27" t="s">
        <v>15373</v>
      </c>
      <c r="F3961" s="18" t="s">
        <v>48</v>
      </c>
      <c r="G3961" s="18" t="s">
        <v>35</v>
      </c>
      <c r="H3961" s="40" t="s">
        <v>35</v>
      </c>
      <c r="I3961" s="37" t="s">
        <v>36</v>
      </c>
      <c r="J3961" s="25" t="s">
        <v>92</v>
      </c>
      <c r="K3961" s="26" t="s">
        <v>38</v>
      </c>
      <c r="L3961" s="25">
        <v>13089.0</v>
      </c>
      <c r="M3961" s="49" t="s">
        <v>50</v>
      </c>
      <c r="N3961" s="42" t="s">
        <v>10176</v>
      </c>
      <c r="O3961" s="67">
        <v>45803.62002592593</v>
      </c>
      <c r="P3961" s="26" t="s">
        <v>15374</v>
      </c>
      <c r="Q3961" s="13" t="s">
        <v>75</v>
      </c>
      <c r="R3961" s="13" t="s">
        <v>75</v>
      </c>
      <c r="S3961" s="13" t="s">
        <v>101</v>
      </c>
      <c r="T3961" s="44">
        <v>45786.60350143518</v>
      </c>
      <c r="U3961" s="44">
        <v>45791.37942982639</v>
      </c>
      <c r="V3961" s="198">
        <v>45797.64045385417</v>
      </c>
      <c r="W3961" s="11"/>
      <c r="X3961" s="11"/>
      <c r="Y3961" s="45">
        <v>302.0</v>
      </c>
      <c r="Z3961" s="45" t="s">
        <v>15375</v>
      </c>
      <c r="AA3961" s="31" t="s">
        <v>120</v>
      </c>
      <c r="AB3961" s="45" t="s">
        <v>15376</v>
      </c>
      <c r="AC3961" s="45"/>
    </row>
    <row r="3962" ht="18.75" customHeight="1">
      <c r="A3962" s="142" t="s">
        <v>15377</v>
      </c>
      <c r="B3962" s="19" t="s">
        <v>9101</v>
      </c>
      <c r="C3962" s="20">
        <v>11.0</v>
      </c>
      <c r="D3962" s="48" t="s">
        <v>15378</v>
      </c>
      <c r="E3962" s="27" t="s">
        <v>112</v>
      </c>
      <c r="F3962" s="18" t="s">
        <v>48</v>
      </c>
      <c r="G3962" s="18" t="s">
        <v>35</v>
      </c>
      <c r="H3962" s="40" t="s">
        <v>35</v>
      </c>
      <c r="I3962" s="37" t="s">
        <v>36</v>
      </c>
      <c r="J3962" s="25" t="s">
        <v>65</v>
      </c>
      <c r="K3962" s="26" t="s">
        <v>38</v>
      </c>
      <c r="L3962" s="25">
        <v>13047.0</v>
      </c>
      <c r="M3962" s="49" t="s">
        <v>50</v>
      </c>
      <c r="N3962" s="42" t="s">
        <v>14854</v>
      </c>
      <c r="O3962" s="67">
        <v>45790.630433287035</v>
      </c>
      <c r="P3962" s="35" t="s">
        <v>15379</v>
      </c>
      <c r="Q3962" s="13" t="s">
        <v>75</v>
      </c>
      <c r="R3962" s="13" t="s">
        <v>75</v>
      </c>
      <c r="S3962" s="13" t="s">
        <v>50</v>
      </c>
      <c r="T3962" s="44">
        <v>45789.37092832176</v>
      </c>
      <c r="U3962" s="44">
        <v>45789.708671643515</v>
      </c>
      <c r="V3962" s="198">
        <v>45790.3658812037</v>
      </c>
      <c r="W3962" s="11"/>
      <c r="X3962" s="11"/>
      <c r="Y3962" s="45"/>
      <c r="Z3962" s="45"/>
      <c r="AA3962" s="31" t="s">
        <v>94</v>
      </c>
      <c r="AB3962" s="45" t="s">
        <v>15380</v>
      </c>
      <c r="AC3962" s="45"/>
    </row>
    <row r="3963" ht="18.75" customHeight="1">
      <c r="A3963" s="18" t="s">
        <v>15381</v>
      </c>
      <c r="B3963" s="19" t="s">
        <v>5650</v>
      </c>
      <c r="C3963" s="20">
        <v>1.0</v>
      </c>
      <c r="D3963" s="48" t="s">
        <v>15382</v>
      </c>
      <c r="E3963" s="27" t="s">
        <v>3395</v>
      </c>
      <c r="F3963" s="18" t="s">
        <v>48</v>
      </c>
      <c r="G3963" s="18" t="s">
        <v>35</v>
      </c>
      <c r="H3963" s="40" t="s">
        <v>35</v>
      </c>
      <c r="I3963" s="37" t="s">
        <v>36</v>
      </c>
      <c r="J3963" s="25" t="s">
        <v>49</v>
      </c>
      <c r="K3963" s="26" t="s">
        <v>38</v>
      </c>
      <c r="L3963" s="25">
        <v>13043.0</v>
      </c>
      <c r="M3963" s="49" t="s">
        <v>50</v>
      </c>
      <c r="N3963" s="42" t="s">
        <v>143</v>
      </c>
      <c r="O3963" s="67">
        <v>45790.63453829861</v>
      </c>
      <c r="P3963" s="35" t="s">
        <v>15383</v>
      </c>
      <c r="Q3963" s="13" t="s">
        <v>75</v>
      </c>
      <c r="R3963" s="13" t="s">
        <v>75</v>
      </c>
      <c r="S3963" s="13" t="s">
        <v>50</v>
      </c>
      <c r="T3963" s="44">
        <v>45789.372139733794</v>
      </c>
      <c r="U3963" s="44">
        <v>45789.68982452546</v>
      </c>
      <c r="V3963" s="198">
        <v>45790.3658812037</v>
      </c>
      <c r="W3963" s="11"/>
      <c r="X3963" s="11"/>
      <c r="Y3963" s="45"/>
      <c r="Z3963" s="45"/>
      <c r="AA3963" s="31" t="s">
        <v>102</v>
      </c>
      <c r="AB3963" s="45" t="s">
        <v>15384</v>
      </c>
      <c r="AC3963" s="45"/>
    </row>
    <row r="3964" ht="18.75" customHeight="1">
      <c r="A3964" s="18" t="s">
        <v>15385</v>
      </c>
      <c r="B3964" s="19" t="s">
        <v>5650</v>
      </c>
      <c r="C3964" s="20">
        <v>11.0</v>
      </c>
      <c r="D3964" s="48" t="s">
        <v>15386</v>
      </c>
      <c r="E3964" s="27" t="s">
        <v>112</v>
      </c>
      <c r="F3964" s="18" t="s">
        <v>48</v>
      </c>
      <c r="G3964" s="18" t="s">
        <v>35</v>
      </c>
      <c r="H3964" s="40" t="s">
        <v>35</v>
      </c>
      <c r="I3964" s="37" t="s">
        <v>36</v>
      </c>
      <c r="J3964" s="25" t="s">
        <v>49</v>
      </c>
      <c r="K3964" s="26" t="s">
        <v>38</v>
      </c>
      <c r="L3964" s="25">
        <v>13043.0</v>
      </c>
      <c r="M3964" s="49" t="s">
        <v>50</v>
      </c>
      <c r="N3964" s="42" t="s">
        <v>143</v>
      </c>
      <c r="O3964" s="67">
        <v>45790.634602499995</v>
      </c>
      <c r="P3964" s="35" t="s">
        <v>15383</v>
      </c>
      <c r="Q3964" s="13" t="s">
        <v>75</v>
      </c>
      <c r="R3964" s="13" t="s">
        <v>75</v>
      </c>
      <c r="S3964" s="13" t="s">
        <v>50</v>
      </c>
      <c r="T3964" s="44">
        <v>45789.37236528935</v>
      </c>
      <c r="U3964" s="44">
        <v>45789.68986013889</v>
      </c>
      <c r="V3964" s="198">
        <v>45790.3658812037</v>
      </c>
      <c r="W3964" s="11"/>
      <c r="X3964" s="11"/>
      <c r="Y3964" s="45"/>
      <c r="Z3964" s="45"/>
      <c r="AA3964" s="31" t="s">
        <v>102</v>
      </c>
      <c r="AB3964" s="45" t="s">
        <v>15387</v>
      </c>
      <c r="AC3964" s="45"/>
    </row>
    <row r="3965" ht="18.75" customHeight="1">
      <c r="A3965" s="142" t="s">
        <v>15388</v>
      </c>
      <c r="B3965" s="19" t="s">
        <v>3645</v>
      </c>
      <c r="C3965" s="20">
        <v>1.0</v>
      </c>
      <c r="D3965" s="48" t="s">
        <v>15389</v>
      </c>
      <c r="E3965" s="27" t="s">
        <v>3395</v>
      </c>
      <c r="F3965" s="18" t="s">
        <v>48</v>
      </c>
      <c r="G3965" s="18" t="s">
        <v>35</v>
      </c>
      <c r="H3965" s="40" t="s">
        <v>35</v>
      </c>
      <c r="I3965" s="37" t="s">
        <v>36</v>
      </c>
      <c r="J3965" s="25" t="s">
        <v>49</v>
      </c>
      <c r="K3965" s="26" t="s">
        <v>38</v>
      </c>
      <c r="L3965" s="25">
        <v>13037.0</v>
      </c>
      <c r="M3965" s="49" t="s">
        <v>50</v>
      </c>
      <c r="N3965" s="42" t="s">
        <v>143</v>
      </c>
      <c r="O3965" s="67">
        <v>45789.60867858796</v>
      </c>
      <c r="P3965" s="35" t="s">
        <v>15390</v>
      </c>
      <c r="Q3965" s="13" t="s">
        <v>75</v>
      </c>
      <c r="R3965" s="13" t="s">
        <v>75</v>
      </c>
      <c r="S3965" s="13" t="s">
        <v>50</v>
      </c>
      <c r="T3965" s="44">
        <v>45789.37404865741</v>
      </c>
      <c r="U3965" s="44">
        <v>45789.42885152777</v>
      </c>
      <c r="V3965" s="198">
        <v>45789.43361532407</v>
      </c>
      <c r="W3965" s="11"/>
      <c r="X3965" s="11"/>
      <c r="Y3965" s="45"/>
      <c r="Z3965" s="45"/>
      <c r="AA3965" s="31" t="s">
        <v>127</v>
      </c>
      <c r="AB3965" s="45" t="s">
        <v>15391</v>
      </c>
      <c r="AC3965" s="45"/>
    </row>
    <row r="3966" ht="18.75" customHeight="1">
      <c r="A3966" s="142" t="s">
        <v>15392</v>
      </c>
      <c r="B3966" s="19" t="s">
        <v>7885</v>
      </c>
      <c r="C3966" s="20">
        <v>1.0</v>
      </c>
      <c r="D3966" s="48" t="s">
        <v>15393</v>
      </c>
      <c r="E3966" s="27" t="s">
        <v>3395</v>
      </c>
      <c r="F3966" s="18" t="s">
        <v>48</v>
      </c>
      <c r="G3966" s="18" t="s">
        <v>35</v>
      </c>
      <c r="H3966" s="40" t="s">
        <v>35</v>
      </c>
      <c r="I3966" s="37" t="s">
        <v>36</v>
      </c>
      <c r="J3966" s="25" t="s">
        <v>49</v>
      </c>
      <c r="K3966" s="26" t="s">
        <v>38</v>
      </c>
      <c r="L3966" s="25">
        <v>13083.0</v>
      </c>
      <c r="M3966" s="49" t="s">
        <v>50</v>
      </c>
      <c r="N3966" s="42" t="s">
        <v>9953</v>
      </c>
      <c r="O3966" s="67">
        <v>45798.627650925926</v>
      </c>
      <c r="P3966" s="35" t="s">
        <v>15394</v>
      </c>
      <c r="Q3966" s="13" t="s">
        <v>75</v>
      </c>
      <c r="R3966" s="13" t="s">
        <v>75</v>
      </c>
      <c r="S3966" s="13" t="s">
        <v>50</v>
      </c>
      <c r="T3966" s="44">
        <v>45789.37488158565</v>
      </c>
      <c r="U3966" s="44">
        <v>45797.66209387731</v>
      </c>
      <c r="V3966" s="198">
        <v>45798.338070972226</v>
      </c>
      <c r="W3966" s="11"/>
      <c r="X3966" s="11"/>
      <c r="Y3966" s="45">
        <v>302.0</v>
      </c>
      <c r="Z3966" s="45" t="s">
        <v>15395</v>
      </c>
      <c r="AA3966" s="31" t="s">
        <v>127</v>
      </c>
      <c r="AB3966" s="45" t="s">
        <v>15396</v>
      </c>
      <c r="AC3966" s="45"/>
    </row>
    <row r="3967" ht="18.75" customHeight="1">
      <c r="A3967" s="142" t="s">
        <v>15397</v>
      </c>
      <c r="B3967" s="19" t="s">
        <v>10831</v>
      </c>
      <c r="C3967" s="20">
        <v>27.0</v>
      </c>
      <c r="D3967" s="39" t="s">
        <v>15398</v>
      </c>
      <c r="E3967" s="27" t="s">
        <v>72</v>
      </c>
      <c r="F3967" s="18" t="s">
        <v>48</v>
      </c>
      <c r="G3967" s="18" t="s">
        <v>35</v>
      </c>
      <c r="H3967" s="40" t="s">
        <v>35</v>
      </c>
      <c r="I3967" s="37" t="s">
        <v>36</v>
      </c>
      <c r="J3967" s="25" t="s">
        <v>37</v>
      </c>
      <c r="K3967" s="26" t="s">
        <v>38</v>
      </c>
      <c r="L3967" s="25">
        <v>13039.0</v>
      </c>
      <c r="M3967" s="49" t="s">
        <v>50</v>
      </c>
      <c r="N3967" s="42" t="s">
        <v>10833</v>
      </c>
      <c r="O3967" s="67">
        <v>45796.44791666667</v>
      </c>
      <c r="P3967" s="35" t="s">
        <v>15399</v>
      </c>
      <c r="Q3967" s="13" t="s">
        <v>75</v>
      </c>
      <c r="R3967" s="13" t="s">
        <v>75</v>
      </c>
      <c r="S3967" s="13" t="s">
        <v>50</v>
      </c>
      <c r="T3967" s="44">
        <v>45789.37597310185</v>
      </c>
      <c r="U3967" s="44">
        <v>45789.5632045949</v>
      </c>
      <c r="V3967" s="198">
        <v>45789.564685335645</v>
      </c>
      <c r="W3967" s="11"/>
      <c r="X3967" s="11"/>
      <c r="Y3967" s="45"/>
      <c r="Z3967" s="45"/>
      <c r="AA3967" s="31" t="s">
        <v>120</v>
      </c>
      <c r="AB3967" s="45" t="s">
        <v>15400</v>
      </c>
      <c r="AC3967" s="45"/>
    </row>
    <row r="3968" ht="18.75" customHeight="1">
      <c r="A3968" s="142" t="s">
        <v>15401</v>
      </c>
      <c r="B3968" s="19" t="s">
        <v>5323</v>
      </c>
      <c r="C3968" s="20">
        <v>34.0</v>
      </c>
      <c r="D3968" s="48" t="s">
        <v>15402</v>
      </c>
      <c r="E3968" s="27" t="s">
        <v>47</v>
      </c>
      <c r="F3968" s="18" t="s">
        <v>48</v>
      </c>
      <c r="G3968" s="18" t="s">
        <v>35</v>
      </c>
      <c r="H3968" s="40" t="s">
        <v>35</v>
      </c>
      <c r="I3968" s="37" t="s">
        <v>36</v>
      </c>
      <c r="J3968" s="25" t="s">
        <v>49</v>
      </c>
      <c r="K3968" s="26" t="s">
        <v>38</v>
      </c>
      <c r="L3968" s="25">
        <v>13038.0</v>
      </c>
      <c r="M3968" s="49" t="s">
        <v>50</v>
      </c>
      <c r="N3968" s="42" t="s">
        <v>143</v>
      </c>
      <c r="O3968" s="67">
        <v>45789.60861894676</v>
      </c>
      <c r="P3968" s="26" t="s">
        <v>15403</v>
      </c>
      <c r="Q3968" s="13" t="s">
        <v>75</v>
      </c>
      <c r="R3968" s="13" t="s">
        <v>75</v>
      </c>
      <c r="S3968" s="13" t="s">
        <v>50</v>
      </c>
      <c r="T3968" s="44">
        <v>45789.420859502316</v>
      </c>
      <c r="U3968" s="44">
        <v>45789.456028078705</v>
      </c>
      <c r="V3968" s="198">
        <v>45789.46946451389</v>
      </c>
      <c r="W3968" s="11"/>
      <c r="X3968" s="11"/>
      <c r="Y3968" s="45"/>
      <c r="Z3968" s="45"/>
      <c r="AA3968" s="31" t="s">
        <v>102</v>
      </c>
      <c r="AB3968" s="45" t="s">
        <v>15404</v>
      </c>
      <c r="AC3968" s="45"/>
    </row>
    <row r="3969" ht="18.75" customHeight="1">
      <c r="A3969" s="142" t="s">
        <v>15405</v>
      </c>
      <c r="B3969" s="19" t="s">
        <v>4450</v>
      </c>
      <c r="C3969" s="20">
        <v>90.0</v>
      </c>
      <c r="D3969" s="48" t="s">
        <v>15406</v>
      </c>
      <c r="E3969" s="27" t="s">
        <v>91</v>
      </c>
      <c r="F3969" s="27" t="s">
        <v>48</v>
      </c>
      <c r="G3969" s="18" t="s">
        <v>35</v>
      </c>
      <c r="H3969" s="40" t="s">
        <v>35</v>
      </c>
      <c r="I3969" s="37" t="s">
        <v>36</v>
      </c>
      <c r="J3969" s="25" t="s">
        <v>420</v>
      </c>
      <c r="K3969" s="26" t="s">
        <v>38</v>
      </c>
      <c r="L3969" s="25">
        <v>13054.0</v>
      </c>
      <c r="M3969" s="49" t="s">
        <v>50</v>
      </c>
      <c r="N3969" s="42" t="s">
        <v>4031</v>
      </c>
      <c r="O3969" s="67">
        <v>45798.57608092592</v>
      </c>
      <c r="P3969" s="35" t="s">
        <v>13574</v>
      </c>
      <c r="Q3969" s="13" t="s">
        <v>75</v>
      </c>
      <c r="R3969" s="13" t="s">
        <v>75</v>
      </c>
      <c r="S3969" s="13" t="s">
        <v>50</v>
      </c>
      <c r="T3969" s="44">
        <v>45789.6444484838</v>
      </c>
      <c r="U3969" s="44">
        <v>45791.37602403935</v>
      </c>
      <c r="V3969" s="198">
        <v>45791.4925519213</v>
      </c>
      <c r="W3969" s="11"/>
      <c r="X3969" s="11"/>
      <c r="Y3969" s="45"/>
      <c r="Z3969" s="45"/>
      <c r="AA3969" s="31" t="s">
        <v>120</v>
      </c>
      <c r="AB3969" s="45" t="s">
        <v>15407</v>
      </c>
      <c r="AC3969" s="45"/>
    </row>
    <row r="3970" ht="18.75" customHeight="1">
      <c r="A3970" s="18" t="s">
        <v>15408</v>
      </c>
      <c r="B3970" s="19" t="s">
        <v>8652</v>
      </c>
      <c r="C3970" s="20">
        <v>0.0</v>
      </c>
      <c r="D3970" s="48" t="s">
        <v>15409</v>
      </c>
      <c r="E3970" s="27" t="s">
        <v>3441</v>
      </c>
      <c r="F3970" s="27" t="s">
        <v>48</v>
      </c>
      <c r="G3970" s="18" t="s">
        <v>35</v>
      </c>
      <c r="H3970" s="40" t="s">
        <v>35</v>
      </c>
      <c r="I3970" s="37" t="s">
        <v>36</v>
      </c>
      <c r="J3970" s="25" t="s">
        <v>65</v>
      </c>
      <c r="K3970" s="26" t="s">
        <v>38</v>
      </c>
      <c r="L3970" s="25">
        <v>13050.0</v>
      </c>
      <c r="M3970" s="49" t="s">
        <v>50</v>
      </c>
      <c r="N3970" s="42" t="s">
        <v>8469</v>
      </c>
      <c r="O3970" s="67">
        <v>45791.71352096065</v>
      </c>
      <c r="P3970" s="35" t="s">
        <v>14304</v>
      </c>
      <c r="Q3970" s="13" t="s">
        <v>75</v>
      </c>
      <c r="R3970" s="13" t="s">
        <v>75</v>
      </c>
      <c r="S3970" s="13" t="s">
        <v>50</v>
      </c>
      <c r="T3970" s="44">
        <v>45789.71340866898</v>
      </c>
      <c r="U3970" s="44">
        <v>45790.715041261574</v>
      </c>
      <c r="V3970" s="198">
        <v>45791.338371342594</v>
      </c>
      <c r="W3970" s="11"/>
      <c r="X3970" s="11"/>
      <c r="Y3970" s="45"/>
      <c r="Z3970" s="45"/>
      <c r="AA3970" s="31" t="s">
        <v>3059</v>
      </c>
      <c r="AB3970" s="45" t="s">
        <v>15410</v>
      </c>
      <c r="AC3970" s="45"/>
    </row>
    <row r="3971" ht="18.75" customHeight="1">
      <c r="A3971" s="18" t="s">
        <v>15411</v>
      </c>
      <c r="B3971" s="19" t="s">
        <v>8652</v>
      </c>
      <c r="C3971" s="20">
        <v>27.0</v>
      </c>
      <c r="D3971" s="39" t="s">
        <v>15412</v>
      </c>
      <c r="E3971" s="27" t="s">
        <v>72</v>
      </c>
      <c r="F3971" s="27" t="s">
        <v>48</v>
      </c>
      <c r="G3971" s="18" t="s">
        <v>35</v>
      </c>
      <c r="H3971" s="40" t="s">
        <v>35</v>
      </c>
      <c r="I3971" s="37" t="s">
        <v>36</v>
      </c>
      <c r="J3971" s="25" t="s">
        <v>65</v>
      </c>
      <c r="K3971" s="26" t="s">
        <v>38</v>
      </c>
      <c r="L3971" s="25">
        <v>13050.0</v>
      </c>
      <c r="M3971" s="49" t="s">
        <v>50</v>
      </c>
      <c r="N3971" s="42" t="s">
        <v>8469</v>
      </c>
      <c r="O3971" s="67">
        <v>45791.71368619213</v>
      </c>
      <c r="P3971" s="35" t="s">
        <v>14304</v>
      </c>
      <c r="Q3971" s="13" t="s">
        <v>75</v>
      </c>
      <c r="R3971" s="13" t="s">
        <v>75</v>
      </c>
      <c r="S3971" s="13" t="s">
        <v>50</v>
      </c>
      <c r="T3971" s="44">
        <v>45789.714164143516</v>
      </c>
      <c r="U3971" s="44">
        <v>45790.71507239583</v>
      </c>
      <c r="V3971" s="198">
        <v>45791.33841679398</v>
      </c>
      <c r="W3971" s="11"/>
      <c r="X3971" s="11"/>
      <c r="Y3971" s="45"/>
      <c r="Z3971" s="45"/>
      <c r="AA3971" s="31" t="s">
        <v>3059</v>
      </c>
      <c r="AB3971" s="45" t="s">
        <v>15413</v>
      </c>
      <c r="AC3971" s="45"/>
    </row>
    <row r="3972" ht="18.75" customHeight="1">
      <c r="A3972" s="18" t="s">
        <v>15414</v>
      </c>
      <c r="B3972" s="19" t="s">
        <v>8652</v>
      </c>
      <c r="C3972" s="20">
        <v>90.0</v>
      </c>
      <c r="D3972" s="48" t="s">
        <v>15415</v>
      </c>
      <c r="E3972" s="27" t="s">
        <v>91</v>
      </c>
      <c r="F3972" s="27" t="s">
        <v>48</v>
      </c>
      <c r="G3972" s="18" t="s">
        <v>35</v>
      </c>
      <c r="H3972" s="40" t="s">
        <v>35</v>
      </c>
      <c r="I3972" s="37" t="s">
        <v>36</v>
      </c>
      <c r="J3972" s="25" t="s">
        <v>65</v>
      </c>
      <c r="K3972" s="26" t="s">
        <v>38</v>
      </c>
      <c r="L3972" s="25">
        <v>13050.0</v>
      </c>
      <c r="M3972" s="49" t="s">
        <v>50</v>
      </c>
      <c r="N3972" s="42" t="s">
        <v>8469</v>
      </c>
      <c r="O3972" s="67">
        <v>45791.713633356485</v>
      </c>
      <c r="P3972" s="35" t="s">
        <v>14304</v>
      </c>
      <c r="Q3972" s="13" t="s">
        <v>75</v>
      </c>
      <c r="R3972" s="13" t="s">
        <v>75</v>
      </c>
      <c r="S3972" s="13" t="s">
        <v>50</v>
      </c>
      <c r="T3972" s="44">
        <v>45789.71430619213</v>
      </c>
      <c r="U3972" s="44">
        <v>45790.715098217595</v>
      </c>
      <c r="V3972" s="198">
        <v>45791.33841679398</v>
      </c>
      <c r="W3972" s="11"/>
      <c r="X3972" s="11"/>
      <c r="Y3972" s="45"/>
      <c r="Z3972" s="45"/>
      <c r="AA3972" s="31" t="s">
        <v>3059</v>
      </c>
      <c r="AB3972" s="45" t="s">
        <v>15416</v>
      </c>
      <c r="AC3972" s="45"/>
    </row>
    <row r="3973" ht="18.75" customHeight="1">
      <c r="A3973" s="18" t="s">
        <v>15417</v>
      </c>
      <c r="B3973" s="19" t="s">
        <v>8652</v>
      </c>
      <c r="C3973" s="20">
        <v>90.0</v>
      </c>
      <c r="D3973" s="48" t="s">
        <v>15418</v>
      </c>
      <c r="E3973" s="27" t="s">
        <v>91</v>
      </c>
      <c r="F3973" s="27" t="s">
        <v>48</v>
      </c>
      <c r="G3973" s="18" t="s">
        <v>35</v>
      </c>
      <c r="H3973" s="40" t="s">
        <v>35</v>
      </c>
      <c r="I3973" s="37" t="s">
        <v>36</v>
      </c>
      <c r="J3973" s="25" t="s">
        <v>65</v>
      </c>
      <c r="K3973" s="26" t="s">
        <v>38</v>
      </c>
      <c r="L3973" s="25">
        <v>13050.0</v>
      </c>
      <c r="M3973" s="49" t="s">
        <v>50</v>
      </c>
      <c r="N3973" s="42" t="s">
        <v>8469</v>
      </c>
      <c r="O3973" s="67">
        <v>45791.71358380787</v>
      </c>
      <c r="P3973" s="35" t="s">
        <v>14304</v>
      </c>
      <c r="Q3973" s="13" t="s">
        <v>75</v>
      </c>
      <c r="R3973" s="13" t="s">
        <v>75</v>
      </c>
      <c r="S3973" s="13" t="s">
        <v>50</v>
      </c>
      <c r="T3973" s="44">
        <v>45789.71443613426</v>
      </c>
      <c r="U3973" s="44">
        <v>45790.71512756945</v>
      </c>
      <c r="V3973" s="198">
        <v>45791.338416805556</v>
      </c>
      <c r="W3973" s="11"/>
      <c r="X3973" s="11"/>
      <c r="Y3973" s="45"/>
      <c r="Z3973" s="45"/>
      <c r="AA3973" s="31" t="s">
        <v>3059</v>
      </c>
      <c r="AB3973" s="45" t="s">
        <v>15419</v>
      </c>
      <c r="AC3973" s="45"/>
    </row>
    <row r="3974" ht="18.75" customHeight="1">
      <c r="A3974" s="142" t="s">
        <v>15420</v>
      </c>
      <c r="B3974" s="19" t="s">
        <v>7999</v>
      </c>
      <c r="C3974" s="20">
        <v>90.0</v>
      </c>
      <c r="D3974" s="48" t="s">
        <v>15421</v>
      </c>
      <c r="E3974" s="27" t="s">
        <v>91</v>
      </c>
      <c r="F3974" s="27" t="s">
        <v>48</v>
      </c>
      <c r="G3974" s="18" t="s">
        <v>35</v>
      </c>
      <c r="H3974" s="40" t="s">
        <v>35</v>
      </c>
      <c r="I3974" s="37" t="s">
        <v>36</v>
      </c>
      <c r="J3974" s="25" t="s">
        <v>49</v>
      </c>
      <c r="K3974" s="26" t="s">
        <v>38</v>
      </c>
      <c r="L3974" s="25">
        <v>13048.0</v>
      </c>
      <c r="M3974" s="49" t="s">
        <v>50</v>
      </c>
      <c r="N3974" s="42" t="s">
        <v>143</v>
      </c>
      <c r="O3974" s="67">
        <v>45790.63465984954</v>
      </c>
      <c r="P3974" s="35" t="s">
        <v>14457</v>
      </c>
      <c r="Q3974" s="13" t="s">
        <v>75</v>
      </c>
      <c r="R3974" s="13" t="s">
        <v>75</v>
      </c>
      <c r="S3974" s="13" t="s">
        <v>50</v>
      </c>
      <c r="T3974" s="44">
        <v>45789.715658483794</v>
      </c>
      <c r="U3974" s="44">
        <v>45790.38285664352</v>
      </c>
      <c r="V3974" s="198">
        <v>45790.398983067134</v>
      </c>
      <c r="W3974" s="11"/>
      <c r="X3974" s="11"/>
      <c r="Y3974" s="45"/>
      <c r="Z3974" s="45"/>
      <c r="AA3974" s="31" t="s">
        <v>127</v>
      </c>
      <c r="AB3974" s="45" t="s">
        <v>15422</v>
      </c>
      <c r="AC3974" s="45"/>
    </row>
    <row r="3975" ht="18.75" customHeight="1">
      <c r="A3975" s="142" t="s">
        <v>15423</v>
      </c>
      <c r="B3975" s="19" t="s">
        <v>4352</v>
      </c>
      <c r="C3975" s="20">
        <v>34.0</v>
      </c>
      <c r="D3975" s="48" t="s">
        <v>15424</v>
      </c>
      <c r="E3975" s="27" t="s">
        <v>47</v>
      </c>
      <c r="F3975" s="27" t="s">
        <v>48</v>
      </c>
      <c r="G3975" s="18" t="s">
        <v>35</v>
      </c>
      <c r="H3975" s="40" t="s">
        <v>35</v>
      </c>
      <c r="I3975" s="37" t="s">
        <v>36</v>
      </c>
      <c r="J3975" s="25" t="s">
        <v>49</v>
      </c>
      <c r="K3975" s="26" t="s">
        <v>38</v>
      </c>
      <c r="L3975" s="25">
        <v>13051.0</v>
      </c>
      <c r="M3975" s="49" t="s">
        <v>73</v>
      </c>
      <c r="N3975" s="42" t="s">
        <v>5936</v>
      </c>
      <c r="O3975" s="67">
        <v>45791.721403668984</v>
      </c>
      <c r="P3975" s="26" t="s">
        <v>15425</v>
      </c>
      <c r="Q3975" s="13" t="s">
        <v>75</v>
      </c>
      <c r="R3975" s="13" t="s">
        <v>75</v>
      </c>
      <c r="S3975" s="13" t="s">
        <v>50</v>
      </c>
      <c r="T3975" s="44">
        <v>45790.41105283565</v>
      </c>
      <c r="U3975" s="44">
        <v>45790.71685945602</v>
      </c>
      <c r="V3975" s="198">
        <v>45791.342004652775</v>
      </c>
      <c r="W3975" s="11"/>
      <c r="X3975" s="11"/>
      <c r="Y3975" s="45"/>
      <c r="Z3975" s="45"/>
      <c r="AA3975" s="31" t="s">
        <v>127</v>
      </c>
      <c r="AB3975" s="45" t="s">
        <v>15426</v>
      </c>
      <c r="AC3975" s="45"/>
    </row>
    <row r="3976" ht="18.75" customHeight="1">
      <c r="A3976" s="142" t="s">
        <v>15427</v>
      </c>
      <c r="B3976" s="19" t="s">
        <v>4352</v>
      </c>
      <c r="C3976" s="20">
        <v>0.0</v>
      </c>
      <c r="D3976" s="48" t="s">
        <v>15428</v>
      </c>
      <c r="E3976" s="27" t="s">
        <v>3441</v>
      </c>
      <c r="F3976" s="27" t="s">
        <v>48</v>
      </c>
      <c r="G3976" s="18" t="s">
        <v>35</v>
      </c>
      <c r="H3976" s="40" t="s">
        <v>35</v>
      </c>
      <c r="I3976" s="37" t="s">
        <v>36</v>
      </c>
      <c r="J3976" s="25" t="s">
        <v>49</v>
      </c>
      <c r="K3976" s="26" t="s">
        <v>38</v>
      </c>
      <c r="L3976" s="25">
        <v>13052.0</v>
      </c>
      <c r="M3976" s="49" t="s">
        <v>73</v>
      </c>
      <c r="N3976" s="42" t="s">
        <v>5936</v>
      </c>
      <c r="O3976" s="67">
        <v>45791.72153256944</v>
      </c>
      <c r="P3976" s="26" t="s">
        <v>15429</v>
      </c>
      <c r="Q3976" s="13" t="s">
        <v>75</v>
      </c>
      <c r="R3976" s="13" t="s">
        <v>75</v>
      </c>
      <c r="S3976" s="13" t="s">
        <v>50</v>
      </c>
      <c r="T3976" s="44">
        <v>45790.41466556713</v>
      </c>
      <c r="U3976" s="44">
        <v>45790.717130069446</v>
      </c>
      <c r="V3976" s="198">
        <v>45791.342004652775</v>
      </c>
      <c r="W3976" s="11"/>
      <c r="X3976" s="11"/>
      <c r="Y3976" s="45"/>
      <c r="Z3976" s="45"/>
      <c r="AA3976" s="31" t="s">
        <v>127</v>
      </c>
      <c r="AB3976" s="45" t="s">
        <v>15430</v>
      </c>
      <c r="AC3976" s="45"/>
    </row>
    <row r="3977" ht="18.75" customHeight="1">
      <c r="A3977" s="142" t="s">
        <v>15431</v>
      </c>
      <c r="B3977" s="19" t="s">
        <v>8459</v>
      </c>
      <c r="C3977" s="20">
        <v>1.0</v>
      </c>
      <c r="D3977" s="48" t="s">
        <v>15432</v>
      </c>
      <c r="E3977" s="27" t="s">
        <v>3395</v>
      </c>
      <c r="F3977" s="27" t="s">
        <v>48</v>
      </c>
      <c r="G3977" s="18" t="s">
        <v>35</v>
      </c>
      <c r="H3977" s="40" t="s">
        <v>35</v>
      </c>
      <c r="I3977" s="37" t="s">
        <v>36</v>
      </c>
      <c r="J3977" s="25" t="s">
        <v>49</v>
      </c>
      <c r="K3977" s="26" t="s">
        <v>38</v>
      </c>
      <c r="L3977" s="25">
        <v>13057.0</v>
      </c>
      <c r="M3977" s="49" t="s">
        <v>50</v>
      </c>
      <c r="N3977" s="42" t="s">
        <v>143</v>
      </c>
      <c r="O3977" s="67">
        <v>45792.61921641204</v>
      </c>
      <c r="P3977" s="35" t="s">
        <v>15433</v>
      </c>
      <c r="Q3977" s="13" t="s">
        <v>75</v>
      </c>
      <c r="R3977" s="13" t="s">
        <v>75</v>
      </c>
      <c r="S3977" s="13" t="s">
        <v>50</v>
      </c>
      <c r="T3977" s="44">
        <v>45790.42026756944</v>
      </c>
      <c r="U3977" s="44">
        <v>45792.45175253472</v>
      </c>
      <c r="V3977" s="198">
        <v>45792.480862743054</v>
      </c>
      <c r="W3977" s="11"/>
      <c r="X3977" s="11"/>
      <c r="Y3977" s="45"/>
      <c r="Z3977" s="45"/>
      <c r="AA3977" s="31" t="s">
        <v>3053</v>
      </c>
      <c r="AB3977" s="45" t="s">
        <v>15434</v>
      </c>
      <c r="AC3977" s="45"/>
    </row>
    <row r="3978" ht="18.75" customHeight="1">
      <c r="A3978" s="18" t="s">
        <v>15435</v>
      </c>
      <c r="B3978" s="19" t="s">
        <v>8071</v>
      </c>
      <c r="C3978" s="20">
        <v>137.0</v>
      </c>
      <c r="D3978" s="48" t="s">
        <v>15436</v>
      </c>
      <c r="E3978" s="27" t="s">
        <v>85</v>
      </c>
      <c r="F3978" s="27" t="s">
        <v>48</v>
      </c>
      <c r="G3978" s="18" t="s">
        <v>35</v>
      </c>
      <c r="H3978" s="40" t="s">
        <v>35</v>
      </c>
      <c r="I3978" s="37" t="s">
        <v>36</v>
      </c>
      <c r="J3978" s="25" t="s">
        <v>49</v>
      </c>
      <c r="K3978" s="26" t="s">
        <v>38</v>
      </c>
      <c r="L3978" s="25">
        <v>13053.0</v>
      </c>
      <c r="M3978" s="49" t="s">
        <v>73</v>
      </c>
      <c r="N3978" s="42" t="s">
        <v>5936</v>
      </c>
      <c r="O3978" s="67">
        <v>45791.721597627315</v>
      </c>
      <c r="P3978" s="26" t="s">
        <v>15437</v>
      </c>
      <c r="Q3978" s="13" t="s">
        <v>75</v>
      </c>
      <c r="R3978" s="13" t="s">
        <v>75</v>
      </c>
      <c r="S3978" s="13" t="s">
        <v>50</v>
      </c>
      <c r="T3978" s="44">
        <v>45790.423944884256</v>
      </c>
      <c r="U3978" s="44">
        <v>45790.71584438658</v>
      </c>
      <c r="V3978" s="198">
        <v>45791.342004652775</v>
      </c>
      <c r="W3978" s="11"/>
      <c r="X3978" s="11"/>
      <c r="Y3978" s="45"/>
      <c r="Z3978" s="45"/>
      <c r="AA3978" s="31" t="s">
        <v>127</v>
      </c>
      <c r="AB3978" s="45" t="s">
        <v>15438</v>
      </c>
      <c r="AC3978" s="45"/>
    </row>
    <row r="3979" ht="18.75" customHeight="1">
      <c r="A3979" s="18" t="s">
        <v>15439</v>
      </c>
      <c r="B3979" s="19" t="s">
        <v>8071</v>
      </c>
      <c r="C3979" s="20">
        <v>90.0</v>
      </c>
      <c r="D3979" s="48" t="s">
        <v>15440</v>
      </c>
      <c r="E3979" s="27" t="s">
        <v>91</v>
      </c>
      <c r="F3979" s="27" t="s">
        <v>48</v>
      </c>
      <c r="G3979" s="18" t="s">
        <v>35</v>
      </c>
      <c r="H3979" s="40" t="s">
        <v>35</v>
      </c>
      <c r="I3979" s="37" t="s">
        <v>36</v>
      </c>
      <c r="J3979" s="25" t="s">
        <v>49</v>
      </c>
      <c r="K3979" s="26" t="s">
        <v>38</v>
      </c>
      <c r="L3979" s="25">
        <v>13053.0</v>
      </c>
      <c r="M3979" s="49" t="s">
        <v>73</v>
      </c>
      <c r="N3979" s="42" t="s">
        <v>5936</v>
      </c>
      <c r="O3979" s="67">
        <v>45791.72165129629</v>
      </c>
      <c r="P3979" s="26" t="s">
        <v>15437</v>
      </c>
      <c r="Q3979" s="13" t="s">
        <v>75</v>
      </c>
      <c r="R3979" s="13" t="s">
        <v>75</v>
      </c>
      <c r="S3979" s="13" t="s">
        <v>50</v>
      </c>
      <c r="T3979" s="44">
        <v>45790.42412327546</v>
      </c>
      <c r="U3979" s="44">
        <v>45790.71586960648</v>
      </c>
      <c r="V3979" s="198">
        <v>45791.342004652775</v>
      </c>
      <c r="W3979" s="11"/>
      <c r="X3979" s="11"/>
      <c r="Y3979" s="45"/>
      <c r="Z3979" s="45"/>
      <c r="AA3979" s="31" t="s">
        <v>127</v>
      </c>
      <c r="AB3979" s="45" t="s">
        <v>15441</v>
      </c>
      <c r="AC3979" s="45"/>
    </row>
    <row r="3980" ht="18.75" customHeight="1">
      <c r="A3980" s="18" t="s">
        <v>15442</v>
      </c>
      <c r="B3980" s="19" t="s">
        <v>4352</v>
      </c>
      <c r="C3980" s="20">
        <v>1.0</v>
      </c>
      <c r="D3980" s="48" t="s">
        <v>15443</v>
      </c>
      <c r="E3980" s="27" t="s">
        <v>3395</v>
      </c>
      <c r="F3980" s="27" t="s">
        <v>48</v>
      </c>
      <c r="G3980" s="18" t="s">
        <v>35</v>
      </c>
      <c r="H3980" s="40" t="s">
        <v>35</v>
      </c>
      <c r="I3980" s="37" t="s">
        <v>36</v>
      </c>
      <c r="J3980" s="25" t="s">
        <v>49</v>
      </c>
      <c r="K3980" s="26" t="s">
        <v>38</v>
      </c>
      <c r="L3980" s="25">
        <v>13084.0</v>
      </c>
      <c r="M3980" s="49" t="s">
        <v>50</v>
      </c>
      <c r="N3980" s="42" t="s">
        <v>9953</v>
      </c>
      <c r="O3980" s="67">
        <v>45798.62735098379</v>
      </c>
      <c r="P3980" s="26"/>
      <c r="Q3980" s="13" t="s">
        <v>75</v>
      </c>
      <c r="R3980" s="13" t="s">
        <v>75</v>
      </c>
      <c r="S3980" s="13" t="s">
        <v>50</v>
      </c>
      <c r="T3980" s="44">
        <v>45790.42584859954</v>
      </c>
      <c r="U3980" s="44">
        <v>45797.66078209491</v>
      </c>
      <c r="V3980" s="198">
        <v>45798.33807096065</v>
      </c>
      <c r="W3980" s="11"/>
      <c r="X3980" s="11"/>
      <c r="Y3980" s="45">
        <v>302.0</v>
      </c>
      <c r="Z3980" s="45" t="s">
        <v>15444</v>
      </c>
      <c r="AA3980" s="31" t="s">
        <v>127</v>
      </c>
      <c r="AB3980" s="45" t="s">
        <v>15445</v>
      </c>
      <c r="AC3980" s="45"/>
    </row>
    <row r="3981" ht="18.75" customHeight="1">
      <c r="A3981" s="18" t="s">
        <v>15446</v>
      </c>
      <c r="B3981" s="19" t="s">
        <v>4352</v>
      </c>
      <c r="C3981" s="20">
        <v>0.0</v>
      </c>
      <c r="D3981" s="48" t="s">
        <v>15447</v>
      </c>
      <c r="E3981" s="27" t="s">
        <v>3441</v>
      </c>
      <c r="F3981" s="27" t="s">
        <v>48</v>
      </c>
      <c r="G3981" s="18" t="s">
        <v>35</v>
      </c>
      <c r="H3981" s="40" t="s">
        <v>35</v>
      </c>
      <c r="I3981" s="37" t="s">
        <v>36</v>
      </c>
      <c r="J3981" s="25" t="s">
        <v>49</v>
      </c>
      <c r="K3981" s="26" t="s">
        <v>38</v>
      </c>
      <c r="L3981" s="25">
        <v>13084.0</v>
      </c>
      <c r="M3981" s="49" t="s">
        <v>50</v>
      </c>
      <c r="N3981" s="42" t="s">
        <v>9953</v>
      </c>
      <c r="O3981" s="67">
        <v>45798.62760211805</v>
      </c>
      <c r="P3981" s="26"/>
      <c r="Q3981" s="13" t="s">
        <v>75</v>
      </c>
      <c r="R3981" s="13" t="s">
        <v>75</v>
      </c>
      <c r="S3981" s="13" t="s">
        <v>50</v>
      </c>
      <c r="T3981" s="44">
        <v>45790.42741186343</v>
      </c>
      <c r="U3981" s="44">
        <v>45797.66066782408</v>
      </c>
      <c r="V3981" s="198">
        <v>45798.46772887732</v>
      </c>
      <c r="W3981" s="11"/>
      <c r="X3981" s="11"/>
      <c r="Y3981" s="45">
        <v>302.0</v>
      </c>
      <c r="Z3981" s="45" t="s">
        <v>15448</v>
      </c>
      <c r="AA3981" s="31" t="s">
        <v>127</v>
      </c>
      <c r="AB3981" s="45" t="s">
        <v>15449</v>
      </c>
      <c r="AC3981" s="45"/>
    </row>
    <row r="3982" ht="18.75" customHeight="1">
      <c r="A3982" s="18" t="s">
        <v>15450</v>
      </c>
      <c r="B3982" s="19" t="s">
        <v>4352</v>
      </c>
      <c r="C3982" s="20">
        <v>0.0</v>
      </c>
      <c r="D3982" s="48" t="s">
        <v>15451</v>
      </c>
      <c r="E3982" s="27" t="s">
        <v>3441</v>
      </c>
      <c r="F3982" s="27" t="s">
        <v>48</v>
      </c>
      <c r="G3982" s="18" t="s">
        <v>35</v>
      </c>
      <c r="H3982" s="40" t="s">
        <v>35</v>
      </c>
      <c r="I3982" s="37" t="s">
        <v>36</v>
      </c>
      <c r="J3982" s="25" t="s">
        <v>49</v>
      </c>
      <c r="K3982" s="26" t="s">
        <v>38</v>
      </c>
      <c r="L3982" s="25">
        <v>13084.0</v>
      </c>
      <c r="M3982" s="49" t="s">
        <v>50</v>
      </c>
      <c r="N3982" s="42" t="s">
        <v>9953</v>
      </c>
      <c r="O3982" s="67">
        <v>45798.627555300925</v>
      </c>
      <c r="P3982" s="26"/>
      <c r="Q3982" s="13" t="s">
        <v>75</v>
      </c>
      <c r="R3982" s="13" t="s">
        <v>75</v>
      </c>
      <c r="S3982" s="13" t="s">
        <v>50</v>
      </c>
      <c r="T3982" s="44">
        <v>45790.42759799768</v>
      </c>
      <c r="U3982" s="44">
        <v>45797.660690833334</v>
      </c>
      <c r="V3982" s="198">
        <v>45798.46774907407</v>
      </c>
      <c r="W3982" s="11"/>
      <c r="X3982" s="11"/>
      <c r="Y3982" s="45">
        <v>302.0</v>
      </c>
      <c r="Z3982" s="45" t="s">
        <v>15452</v>
      </c>
      <c r="AA3982" s="31" t="s">
        <v>127</v>
      </c>
      <c r="AB3982" s="45" t="s">
        <v>15453</v>
      </c>
      <c r="AC3982" s="45"/>
    </row>
    <row r="3983" ht="18.75" customHeight="1">
      <c r="A3983" s="18" t="s">
        <v>15454</v>
      </c>
      <c r="B3983" s="19" t="s">
        <v>4352</v>
      </c>
      <c r="C3983" s="20">
        <v>137.0</v>
      </c>
      <c r="D3983" s="48" t="s">
        <v>15455</v>
      </c>
      <c r="E3983" s="27" t="s">
        <v>85</v>
      </c>
      <c r="F3983" s="27" t="s">
        <v>48</v>
      </c>
      <c r="G3983" s="18" t="s">
        <v>35</v>
      </c>
      <c r="H3983" s="40" t="s">
        <v>35</v>
      </c>
      <c r="I3983" s="37" t="s">
        <v>36</v>
      </c>
      <c r="J3983" s="25" t="s">
        <v>49</v>
      </c>
      <c r="K3983" s="26" t="s">
        <v>38</v>
      </c>
      <c r="L3983" s="25">
        <v>13084.0</v>
      </c>
      <c r="M3983" s="49" t="s">
        <v>50</v>
      </c>
      <c r="N3983" s="42" t="s">
        <v>9953</v>
      </c>
      <c r="O3983" s="67">
        <v>45798.6274608449</v>
      </c>
      <c r="P3983" s="26"/>
      <c r="Q3983" s="13" t="s">
        <v>75</v>
      </c>
      <c r="R3983" s="13" t="s">
        <v>75</v>
      </c>
      <c r="S3983" s="13" t="s">
        <v>50</v>
      </c>
      <c r="T3983" s="44">
        <v>45790.42584859954</v>
      </c>
      <c r="U3983" s="44">
        <v>45797.66073587963</v>
      </c>
      <c r="V3983" s="198">
        <v>45798.336108668984</v>
      </c>
      <c r="W3983" s="11"/>
      <c r="X3983" s="11"/>
      <c r="Y3983" s="45">
        <v>302.0</v>
      </c>
      <c r="Z3983" s="45" t="s">
        <v>15456</v>
      </c>
      <c r="AA3983" s="31" t="s">
        <v>127</v>
      </c>
      <c r="AB3983" s="45" t="s">
        <v>15457</v>
      </c>
      <c r="AC3983" s="45"/>
    </row>
    <row r="3984" ht="18.75" customHeight="1">
      <c r="A3984" s="18" t="s">
        <v>15458</v>
      </c>
      <c r="B3984" s="19" t="s">
        <v>4352</v>
      </c>
      <c r="C3984" s="20">
        <v>137.0</v>
      </c>
      <c r="D3984" s="48" t="s">
        <v>15459</v>
      </c>
      <c r="E3984" s="27" t="s">
        <v>85</v>
      </c>
      <c r="F3984" s="27" t="s">
        <v>48</v>
      </c>
      <c r="G3984" s="18" t="s">
        <v>35</v>
      </c>
      <c r="H3984" s="40" t="s">
        <v>35</v>
      </c>
      <c r="I3984" s="37" t="s">
        <v>36</v>
      </c>
      <c r="J3984" s="25" t="s">
        <v>49</v>
      </c>
      <c r="K3984" s="26" t="s">
        <v>38</v>
      </c>
      <c r="L3984" s="25">
        <v>13084.0</v>
      </c>
      <c r="M3984" s="49" t="s">
        <v>50</v>
      </c>
      <c r="N3984" s="42" t="s">
        <v>9953</v>
      </c>
      <c r="O3984" s="67">
        <v>45798.62750513889</v>
      </c>
      <c r="P3984" s="26"/>
      <c r="Q3984" s="13" t="s">
        <v>75</v>
      </c>
      <c r="R3984" s="13" t="s">
        <v>75</v>
      </c>
      <c r="S3984" s="13" t="s">
        <v>50</v>
      </c>
      <c r="T3984" s="44">
        <v>45790.42822699074</v>
      </c>
      <c r="U3984" s="44">
        <v>45797.660713125</v>
      </c>
      <c r="V3984" s="198">
        <v>45798.33610865741</v>
      </c>
      <c r="W3984" s="11"/>
      <c r="X3984" s="11"/>
      <c r="Y3984" s="45">
        <v>302.0</v>
      </c>
      <c r="Z3984" s="45" t="s">
        <v>15460</v>
      </c>
      <c r="AA3984" s="31" t="s">
        <v>127</v>
      </c>
      <c r="AB3984" s="45" t="s">
        <v>15461</v>
      </c>
      <c r="AC3984" s="45"/>
    </row>
    <row r="3985" ht="18.75" customHeight="1">
      <c r="A3985" s="18" t="s">
        <v>15462</v>
      </c>
      <c r="B3985" s="19" t="s">
        <v>4352</v>
      </c>
      <c r="C3985" s="20">
        <v>90.0</v>
      </c>
      <c r="D3985" s="48" t="s">
        <v>15463</v>
      </c>
      <c r="E3985" s="27" t="s">
        <v>91</v>
      </c>
      <c r="F3985" s="27" t="s">
        <v>48</v>
      </c>
      <c r="G3985" s="18" t="s">
        <v>35</v>
      </c>
      <c r="H3985" s="40" t="s">
        <v>35</v>
      </c>
      <c r="I3985" s="37" t="s">
        <v>36</v>
      </c>
      <c r="J3985" s="25" t="s">
        <v>49</v>
      </c>
      <c r="K3985" s="26" t="s">
        <v>38</v>
      </c>
      <c r="L3985" s="25">
        <v>13084.0</v>
      </c>
      <c r="M3985" s="49" t="s">
        <v>50</v>
      </c>
      <c r="N3985" s="42" t="s">
        <v>9953</v>
      </c>
      <c r="O3985" s="67">
        <v>45798.62727484954</v>
      </c>
      <c r="P3985" s="26"/>
      <c r="Q3985" s="13" t="s">
        <v>75</v>
      </c>
      <c r="R3985" s="13" t="s">
        <v>75</v>
      </c>
      <c r="S3985" s="13" t="s">
        <v>50</v>
      </c>
      <c r="T3985" s="44">
        <v>45790.42841054398</v>
      </c>
      <c r="U3985" s="44">
        <v>45797.660806099535</v>
      </c>
      <c r="V3985" s="198">
        <v>45798.33644133102</v>
      </c>
      <c r="W3985" s="11"/>
      <c r="X3985" s="11"/>
      <c r="Y3985" s="45">
        <v>302.0</v>
      </c>
      <c r="Z3985" s="45" t="s">
        <v>15464</v>
      </c>
      <c r="AA3985" s="31" t="s">
        <v>127</v>
      </c>
      <c r="AB3985" s="45" t="s">
        <v>15465</v>
      </c>
      <c r="AC3985" s="45"/>
    </row>
    <row r="3986" ht="18.75" customHeight="1">
      <c r="A3986" s="18" t="s">
        <v>15466</v>
      </c>
      <c r="B3986" s="19" t="s">
        <v>4352</v>
      </c>
      <c r="C3986" s="20">
        <v>90.0</v>
      </c>
      <c r="D3986" s="48" t="s">
        <v>15467</v>
      </c>
      <c r="E3986" s="27" t="s">
        <v>91</v>
      </c>
      <c r="F3986" s="27" t="s">
        <v>48</v>
      </c>
      <c r="G3986" s="18" t="s">
        <v>35</v>
      </c>
      <c r="H3986" s="40" t="s">
        <v>35</v>
      </c>
      <c r="I3986" s="37" t="s">
        <v>36</v>
      </c>
      <c r="J3986" s="25" t="s">
        <v>49</v>
      </c>
      <c r="K3986" s="26" t="s">
        <v>38</v>
      </c>
      <c r="L3986" s="25">
        <v>13084.0</v>
      </c>
      <c r="M3986" s="49" t="s">
        <v>50</v>
      </c>
      <c r="N3986" s="42" t="s">
        <v>9953</v>
      </c>
      <c r="O3986" s="67">
        <v>45798.627405555555</v>
      </c>
      <c r="P3986" s="26"/>
      <c r="Q3986" s="13" t="s">
        <v>75</v>
      </c>
      <c r="R3986" s="13" t="s">
        <v>75</v>
      </c>
      <c r="S3986" s="13" t="s">
        <v>50</v>
      </c>
      <c r="T3986" s="44">
        <v>45790.428514837964</v>
      </c>
      <c r="U3986" s="44">
        <v>45797.660759189814</v>
      </c>
      <c r="V3986" s="198">
        <v>45798.33644133102</v>
      </c>
      <c r="W3986" s="11"/>
      <c r="X3986" s="11"/>
      <c r="Y3986" s="45">
        <v>302.0</v>
      </c>
      <c r="Z3986" s="45" t="s">
        <v>15468</v>
      </c>
      <c r="AA3986" s="31" t="s">
        <v>127</v>
      </c>
      <c r="AB3986" s="45" t="s">
        <v>15469</v>
      </c>
      <c r="AC3986" s="45"/>
    </row>
    <row r="3987" ht="18.75" customHeight="1">
      <c r="A3987" s="18" t="s">
        <v>15470</v>
      </c>
      <c r="B3987" s="19" t="s">
        <v>5469</v>
      </c>
      <c r="C3987" s="20">
        <v>0.0</v>
      </c>
      <c r="D3987" s="48"/>
      <c r="E3987" s="27" t="s">
        <v>11957</v>
      </c>
      <c r="F3987" s="27" t="s">
        <v>48</v>
      </c>
      <c r="G3987" s="18" t="s">
        <v>35</v>
      </c>
      <c r="H3987" s="40" t="s">
        <v>35</v>
      </c>
      <c r="I3987" s="24" t="s">
        <v>665</v>
      </c>
      <c r="J3987" s="25" t="s">
        <v>49</v>
      </c>
      <c r="K3987" s="26" t="s">
        <v>38</v>
      </c>
      <c r="L3987" s="25">
        <v>13061.0</v>
      </c>
      <c r="M3987" s="49" t="s">
        <v>73</v>
      </c>
      <c r="N3987" s="42" t="s">
        <v>143</v>
      </c>
      <c r="O3987" s="67">
        <v>45793.61240722222</v>
      </c>
      <c r="P3987" s="35" t="s">
        <v>15471</v>
      </c>
      <c r="Q3987" s="13" t="s">
        <v>75</v>
      </c>
      <c r="R3987" s="13" t="s">
        <v>75</v>
      </c>
      <c r="S3987" s="13" t="s">
        <v>73</v>
      </c>
      <c r="T3987" s="44">
        <v>45790.55182460648</v>
      </c>
      <c r="U3987" s="44">
        <v>45790.61481327546</v>
      </c>
      <c r="V3987" s="198">
        <v>45793.41251222222</v>
      </c>
      <c r="W3987" s="11"/>
      <c r="X3987" s="11"/>
      <c r="Y3987" s="45"/>
      <c r="Z3987" s="45"/>
      <c r="AA3987" s="31" t="s">
        <v>102</v>
      </c>
      <c r="AB3987" s="45" t="s">
        <v>15472</v>
      </c>
      <c r="AC3987" s="45"/>
    </row>
    <row r="3988" ht="18.75" customHeight="1">
      <c r="A3988" s="18" t="s">
        <v>15473</v>
      </c>
      <c r="B3988" s="19" t="s">
        <v>5469</v>
      </c>
      <c r="C3988" s="20">
        <v>1.0</v>
      </c>
      <c r="D3988" s="48"/>
      <c r="E3988" s="27" t="s">
        <v>11712</v>
      </c>
      <c r="F3988" s="22" t="s">
        <v>48</v>
      </c>
      <c r="G3988" s="18" t="s">
        <v>35</v>
      </c>
      <c r="H3988" s="40" t="s">
        <v>35</v>
      </c>
      <c r="I3988" s="24" t="s">
        <v>665</v>
      </c>
      <c r="J3988" s="25" t="s">
        <v>49</v>
      </c>
      <c r="K3988" s="26" t="s">
        <v>38</v>
      </c>
      <c r="L3988" s="25">
        <v>13061.0</v>
      </c>
      <c r="M3988" s="49" t="s">
        <v>73</v>
      </c>
      <c r="N3988" s="42" t="s">
        <v>143</v>
      </c>
      <c r="O3988" s="67">
        <v>45793.61248196759</v>
      </c>
      <c r="P3988" s="35" t="s">
        <v>15474</v>
      </c>
      <c r="Q3988" s="13" t="s">
        <v>75</v>
      </c>
      <c r="R3988" s="13" t="s">
        <v>75</v>
      </c>
      <c r="S3988" s="13" t="s">
        <v>101</v>
      </c>
      <c r="T3988" s="44">
        <v>45790.55157202546</v>
      </c>
      <c r="U3988" s="44">
        <v>45790.61476589121</v>
      </c>
      <c r="V3988" s="198">
        <v>45792.484216192126</v>
      </c>
      <c r="W3988" s="11"/>
      <c r="X3988" s="11"/>
      <c r="Y3988" s="45"/>
      <c r="Z3988" s="45"/>
      <c r="AA3988" s="31" t="s">
        <v>102</v>
      </c>
      <c r="AB3988" s="45" t="s">
        <v>15475</v>
      </c>
      <c r="AC3988" s="45"/>
    </row>
    <row r="3989" ht="18.75" customHeight="1">
      <c r="A3989" s="142" t="s">
        <v>15476</v>
      </c>
      <c r="B3989" s="19" t="s">
        <v>3289</v>
      </c>
      <c r="C3989" s="20">
        <v>11.0</v>
      </c>
      <c r="D3989" s="48" t="s">
        <v>15477</v>
      </c>
      <c r="E3989" s="27" t="s">
        <v>112</v>
      </c>
      <c r="F3989" s="27" t="s">
        <v>48</v>
      </c>
      <c r="G3989" s="18" t="s">
        <v>35</v>
      </c>
      <c r="H3989" s="40" t="s">
        <v>35</v>
      </c>
      <c r="I3989" s="37" t="s">
        <v>36</v>
      </c>
      <c r="J3989" s="25" t="s">
        <v>92</v>
      </c>
      <c r="K3989" s="26" t="s">
        <v>38</v>
      </c>
      <c r="L3989" s="25">
        <v>13055.0</v>
      </c>
      <c r="M3989" s="49" t="s">
        <v>50</v>
      </c>
      <c r="N3989" s="42" t="s">
        <v>4362</v>
      </c>
      <c r="O3989" s="67">
        <v>45797.46944444445</v>
      </c>
      <c r="P3989" s="35" t="s">
        <v>15478</v>
      </c>
      <c r="Q3989" s="13" t="s">
        <v>75</v>
      </c>
      <c r="R3989" s="13" t="s">
        <v>75</v>
      </c>
      <c r="S3989" s="13" t="s">
        <v>50</v>
      </c>
      <c r="T3989" s="44">
        <v>45790.70194304398</v>
      </c>
      <c r="U3989" s="44">
        <v>45790.71630489583</v>
      </c>
      <c r="V3989" s="198">
        <v>45791.4925519213</v>
      </c>
      <c r="W3989" s="11"/>
      <c r="X3989" s="11"/>
      <c r="Y3989" s="45"/>
      <c r="Z3989" s="45"/>
      <c r="AA3989" s="31" t="s">
        <v>120</v>
      </c>
      <c r="AB3989" s="45" t="s">
        <v>15479</v>
      </c>
      <c r="AC3989" s="45"/>
    </row>
    <row r="3990" ht="18.75" customHeight="1">
      <c r="A3990" s="18" t="s">
        <v>15480</v>
      </c>
      <c r="B3990" s="19" t="s">
        <v>15481</v>
      </c>
      <c r="C3990" s="20">
        <v>34.0</v>
      </c>
      <c r="D3990" s="48" t="s">
        <v>15482</v>
      </c>
      <c r="E3990" s="27" t="s">
        <v>47</v>
      </c>
      <c r="F3990" s="27" t="s">
        <v>48</v>
      </c>
      <c r="G3990" s="18" t="s">
        <v>35</v>
      </c>
      <c r="H3990" s="40" t="s">
        <v>35</v>
      </c>
      <c r="I3990" s="37" t="s">
        <v>36</v>
      </c>
      <c r="J3990" s="34" t="s">
        <v>15483</v>
      </c>
      <c r="K3990" s="26" t="s">
        <v>38</v>
      </c>
      <c r="L3990" s="25">
        <v>13058.0</v>
      </c>
      <c r="M3990" s="49" t="s">
        <v>50</v>
      </c>
      <c r="N3990" s="42" t="s">
        <v>15484</v>
      </c>
      <c r="O3990" s="67">
        <v>45793.69113116898</v>
      </c>
      <c r="P3990" s="26"/>
      <c r="Q3990" s="13" t="s">
        <v>75</v>
      </c>
      <c r="R3990" s="13" t="s">
        <v>75</v>
      </c>
      <c r="S3990" s="13" t="s">
        <v>50</v>
      </c>
      <c r="T3990" s="44">
        <v>45792.449121805555</v>
      </c>
      <c r="U3990" s="44">
        <v>45792.44920283565</v>
      </c>
      <c r="V3990" s="198">
        <v>45792.48074717593</v>
      </c>
      <c r="W3990" s="11"/>
      <c r="X3990" s="11"/>
      <c r="Y3990" s="45"/>
      <c r="Z3990" s="45"/>
      <c r="AA3990" s="31" t="s">
        <v>94</v>
      </c>
      <c r="AB3990" s="45" t="s">
        <v>15485</v>
      </c>
      <c r="AC3990" s="45"/>
    </row>
    <row r="3991" ht="18.75" customHeight="1">
      <c r="A3991" s="18" t="s">
        <v>15486</v>
      </c>
      <c r="B3991" s="19" t="s">
        <v>15481</v>
      </c>
      <c r="C3991" s="20">
        <v>34.0</v>
      </c>
      <c r="D3991" s="48" t="s">
        <v>15487</v>
      </c>
      <c r="E3991" s="27" t="s">
        <v>47</v>
      </c>
      <c r="F3991" s="27" t="s">
        <v>48</v>
      </c>
      <c r="G3991" s="18" t="s">
        <v>35</v>
      </c>
      <c r="H3991" s="40" t="s">
        <v>35</v>
      </c>
      <c r="I3991" s="37" t="s">
        <v>36</v>
      </c>
      <c r="J3991" s="34" t="s">
        <v>15483</v>
      </c>
      <c r="K3991" s="26" t="s">
        <v>38</v>
      </c>
      <c r="L3991" s="25">
        <v>13058.0</v>
      </c>
      <c r="M3991" s="49" t="s">
        <v>50</v>
      </c>
      <c r="N3991" s="42" t="s">
        <v>15484</v>
      </c>
      <c r="O3991" s="67">
        <v>45793.69119596065</v>
      </c>
      <c r="P3991" s="26"/>
      <c r="Q3991" s="13" t="s">
        <v>75</v>
      </c>
      <c r="R3991" s="13" t="s">
        <v>75</v>
      </c>
      <c r="S3991" s="13" t="s">
        <v>50</v>
      </c>
      <c r="T3991" s="44">
        <v>45792.44918684028</v>
      </c>
      <c r="U3991" s="44">
        <v>45792.449237141205</v>
      </c>
      <c r="V3991" s="198">
        <v>45792.48074717593</v>
      </c>
      <c r="W3991" s="11"/>
      <c r="X3991" s="11"/>
      <c r="Y3991" s="45"/>
      <c r="Z3991" s="45"/>
      <c r="AA3991" s="31" t="s">
        <v>94</v>
      </c>
      <c r="AB3991" s="45" t="s">
        <v>15488</v>
      </c>
      <c r="AC3991" s="45"/>
    </row>
    <row r="3992" ht="18.75" customHeight="1">
      <c r="A3992" s="142" t="s">
        <v>15489</v>
      </c>
      <c r="B3992" s="19" t="s">
        <v>15490</v>
      </c>
      <c r="C3992" s="20">
        <v>90.0</v>
      </c>
      <c r="D3992" s="48" t="s">
        <v>15491</v>
      </c>
      <c r="E3992" s="27" t="s">
        <v>91</v>
      </c>
      <c r="F3992" s="27" t="s">
        <v>48</v>
      </c>
      <c r="G3992" s="18" t="s">
        <v>35</v>
      </c>
      <c r="H3992" s="40" t="s">
        <v>35</v>
      </c>
      <c r="I3992" s="37" t="s">
        <v>36</v>
      </c>
      <c r="J3992" s="25" t="s">
        <v>65</v>
      </c>
      <c r="K3992" s="26" t="s">
        <v>38</v>
      </c>
      <c r="L3992" s="34">
        <v>13060.0</v>
      </c>
      <c r="M3992" s="49" t="s">
        <v>50</v>
      </c>
      <c r="N3992" s="42" t="s">
        <v>149</v>
      </c>
      <c r="O3992" s="67">
        <v>45793.6192218287</v>
      </c>
      <c r="P3992" s="35" t="s">
        <v>15492</v>
      </c>
      <c r="Q3992" s="13" t="s">
        <v>75</v>
      </c>
      <c r="R3992" s="14" t="s">
        <v>151</v>
      </c>
      <c r="S3992" s="14" t="s">
        <v>151</v>
      </c>
      <c r="T3992" s="44">
        <v>45792.66344184028</v>
      </c>
      <c r="U3992" s="69">
        <v>45792.69256122685</v>
      </c>
      <c r="V3992" s="202">
        <v>45792.69257540509</v>
      </c>
      <c r="W3992" s="11"/>
      <c r="X3992" s="11"/>
      <c r="Y3992" s="45"/>
      <c r="Z3992" s="45"/>
      <c r="AA3992" s="31" t="s">
        <v>120</v>
      </c>
      <c r="AB3992" s="45" t="s">
        <v>15493</v>
      </c>
      <c r="AC3992" s="45"/>
    </row>
    <row r="3993" ht="18.75" customHeight="1">
      <c r="A3993" s="142" t="s">
        <v>15494</v>
      </c>
      <c r="B3993" s="19" t="s">
        <v>15495</v>
      </c>
      <c r="C3993" s="20">
        <v>0.0</v>
      </c>
      <c r="D3993" s="48" t="s">
        <v>15496</v>
      </c>
      <c r="E3993" s="27" t="s">
        <v>15497</v>
      </c>
      <c r="F3993" s="27" t="s">
        <v>48</v>
      </c>
      <c r="G3993" s="18" t="s">
        <v>35</v>
      </c>
      <c r="H3993" s="40" t="s">
        <v>35</v>
      </c>
      <c r="I3993" s="37" t="s">
        <v>36</v>
      </c>
      <c r="J3993" s="25" t="s">
        <v>49</v>
      </c>
      <c r="K3993" s="26" t="s">
        <v>38</v>
      </c>
      <c r="L3993" s="25">
        <v>13120.0</v>
      </c>
      <c r="M3993" s="49" t="s">
        <v>50</v>
      </c>
      <c r="N3993" s="42" t="s">
        <v>5936</v>
      </c>
      <c r="O3993" s="67">
        <v>45803.661959062505</v>
      </c>
      <c r="P3993" s="35" t="s">
        <v>15498</v>
      </c>
      <c r="Q3993" s="13" t="s">
        <v>75</v>
      </c>
      <c r="R3993" s="13" t="s">
        <v>75</v>
      </c>
      <c r="S3993" s="13" t="s">
        <v>101</v>
      </c>
      <c r="T3993" s="44">
        <v>45793.36790240741</v>
      </c>
      <c r="U3993" s="44">
        <v>45797.56409321759</v>
      </c>
      <c r="V3993" s="198">
        <v>45800.58807841435</v>
      </c>
      <c r="W3993" s="11"/>
      <c r="X3993" s="11"/>
      <c r="Y3993" s="45">
        <v>302.0</v>
      </c>
      <c r="Z3993" s="45" t="s">
        <v>15499</v>
      </c>
      <c r="AA3993" s="31" t="s">
        <v>102</v>
      </c>
      <c r="AB3993" s="45" t="s">
        <v>15500</v>
      </c>
      <c r="AC3993" s="45"/>
    </row>
    <row r="3994" ht="18.75" customHeight="1">
      <c r="A3994" s="18" t="s">
        <v>15501</v>
      </c>
      <c r="B3994" s="19" t="s">
        <v>4744</v>
      </c>
      <c r="C3994" s="20">
        <v>27.0</v>
      </c>
      <c r="D3994" s="39" t="s">
        <v>15502</v>
      </c>
      <c r="E3994" s="27" t="s">
        <v>72</v>
      </c>
      <c r="F3994" s="27" t="s">
        <v>48</v>
      </c>
      <c r="G3994" s="18" t="s">
        <v>35</v>
      </c>
      <c r="H3994" s="40" t="s">
        <v>35</v>
      </c>
      <c r="I3994" s="37" t="s">
        <v>36</v>
      </c>
      <c r="J3994" s="25" t="s">
        <v>49</v>
      </c>
      <c r="K3994" s="26" t="s">
        <v>38</v>
      </c>
      <c r="L3994" s="25">
        <v>13080.0</v>
      </c>
      <c r="M3994" s="49" t="s">
        <v>50</v>
      </c>
      <c r="N3994" s="42" t="s">
        <v>5936</v>
      </c>
      <c r="O3994" s="67">
        <v>45797.6025670949</v>
      </c>
      <c r="P3994" s="35" t="s">
        <v>15503</v>
      </c>
      <c r="Q3994" s="13" t="s">
        <v>75</v>
      </c>
      <c r="R3994" s="13" t="s">
        <v>75</v>
      </c>
      <c r="S3994" s="13" t="s">
        <v>50</v>
      </c>
      <c r="T3994" s="44">
        <v>45793.37031899305</v>
      </c>
      <c r="U3994" s="44">
        <v>45797.55756427083</v>
      </c>
      <c r="V3994" s="198">
        <v>45797.587756134264</v>
      </c>
      <c r="W3994" s="11"/>
      <c r="X3994" s="11"/>
      <c r="Y3994" s="45">
        <v>302.0</v>
      </c>
      <c r="Z3994" s="45" t="s">
        <v>15504</v>
      </c>
      <c r="AA3994" s="31" t="s">
        <v>102</v>
      </c>
      <c r="AB3994" s="45" t="s">
        <v>15505</v>
      </c>
      <c r="AC3994" s="45"/>
    </row>
    <row r="3995" ht="18.75" customHeight="1">
      <c r="A3995" s="18" t="s">
        <v>15506</v>
      </c>
      <c r="B3995" s="19" t="s">
        <v>4744</v>
      </c>
      <c r="C3995" s="20">
        <v>90.0</v>
      </c>
      <c r="D3995" s="48" t="s">
        <v>15507</v>
      </c>
      <c r="E3995" s="27" t="s">
        <v>91</v>
      </c>
      <c r="F3995" s="27" t="s">
        <v>48</v>
      </c>
      <c r="G3995" s="18" t="s">
        <v>35</v>
      </c>
      <c r="H3995" s="40" t="s">
        <v>35</v>
      </c>
      <c r="I3995" s="37" t="s">
        <v>36</v>
      </c>
      <c r="J3995" s="25" t="s">
        <v>49</v>
      </c>
      <c r="K3995" s="26" t="s">
        <v>38</v>
      </c>
      <c r="L3995" s="25">
        <v>13080.0</v>
      </c>
      <c r="M3995" s="49" t="s">
        <v>50</v>
      </c>
      <c r="N3995" s="42" t="s">
        <v>5936</v>
      </c>
      <c r="O3995" s="67">
        <v>45797.6024312963</v>
      </c>
      <c r="P3995" s="35" t="s">
        <v>15503</v>
      </c>
      <c r="Q3995" s="13" t="s">
        <v>75</v>
      </c>
      <c r="R3995" s="13" t="s">
        <v>75</v>
      </c>
      <c r="S3995" s="13" t="s">
        <v>50</v>
      </c>
      <c r="T3995" s="44">
        <v>45793.37058105324</v>
      </c>
      <c r="U3995" s="44">
        <v>45797.55760509259</v>
      </c>
      <c r="V3995" s="198">
        <v>45797.587756134264</v>
      </c>
      <c r="W3995" s="11"/>
      <c r="X3995" s="11"/>
      <c r="Y3995" s="45">
        <v>302.0</v>
      </c>
      <c r="Z3995" s="45" t="s">
        <v>15508</v>
      </c>
      <c r="AA3995" s="31" t="s">
        <v>102</v>
      </c>
      <c r="AB3995" s="45" t="s">
        <v>15509</v>
      </c>
      <c r="AC3995" s="45"/>
    </row>
    <row r="3996" ht="18.75" customHeight="1">
      <c r="A3996" s="142" t="s">
        <v>15510</v>
      </c>
      <c r="B3996" s="19" t="s">
        <v>5323</v>
      </c>
      <c r="C3996" s="20">
        <v>137.0</v>
      </c>
      <c r="D3996" s="48" t="s">
        <v>15511</v>
      </c>
      <c r="E3996" s="27" t="s">
        <v>85</v>
      </c>
      <c r="F3996" s="27" t="s">
        <v>48</v>
      </c>
      <c r="G3996" s="18" t="s">
        <v>35</v>
      </c>
      <c r="H3996" s="40" t="s">
        <v>35</v>
      </c>
      <c r="I3996" s="37" t="s">
        <v>36</v>
      </c>
      <c r="J3996" s="25" t="s">
        <v>49</v>
      </c>
      <c r="K3996" s="26" t="s">
        <v>38</v>
      </c>
      <c r="L3996" s="25">
        <v>13065.0</v>
      </c>
      <c r="M3996" s="49" t="s">
        <v>73</v>
      </c>
      <c r="N3996" s="42" t="s">
        <v>143</v>
      </c>
      <c r="O3996" s="67">
        <v>45793.61255677084</v>
      </c>
      <c r="P3996" s="35" t="s">
        <v>15512</v>
      </c>
      <c r="Q3996" s="13" t="s">
        <v>75</v>
      </c>
      <c r="R3996" s="13" t="s">
        <v>75</v>
      </c>
      <c r="S3996" s="13" t="s">
        <v>50</v>
      </c>
      <c r="T3996" s="44">
        <v>45793.384757465275</v>
      </c>
      <c r="U3996" s="44">
        <v>45793.47716275463</v>
      </c>
      <c r="V3996" s="198">
        <v>45793.48651815973</v>
      </c>
      <c r="W3996" s="11"/>
      <c r="X3996" s="11"/>
      <c r="Y3996" s="45">
        <v>302.0</v>
      </c>
      <c r="Z3996" s="45" t="s">
        <v>15513</v>
      </c>
      <c r="AA3996" s="31" t="s">
        <v>102</v>
      </c>
      <c r="AB3996" s="45" t="s">
        <v>15514</v>
      </c>
      <c r="AC3996" s="45"/>
    </row>
    <row r="3997" ht="18.75" customHeight="1">
      <c r="A3997" s="18" t="s">
        <v>15515</v>
      </c>
      <c r="B3997" s="19" t="s">
        <v>8902</v>
      </c>
      <c r="C3997" s="20">
        <v>0.0</v>
      </c>
      <c r="D3997" s="18" t="s">
        <v>6028</v>
      </c>
      <c r="E3997" s="27" t="s">
        <v>3834</v>
      </c>
      <c r="F3997" s="27" t="s">
        <v>33</v>
      </c>
      <c r="G3997" s="18" t="s">
        <v>35</v>
      </c>
      <c r="H3997" s="40" t="s">
        <v>35</v>
      </c>
      <c r="I3997" s="37" t="s">
        <v>15516</v>
      </c>
      <c r="J3997" s="25" t="s">
        <v>49</v>
      </c>
      <c r="K3997" s="26" t="s">
        <v>38</v>
      </c>
      <c r="L3997" s="25">
        <v>-13076.0</v>
      </c>
      <c r="M3997" s="49"/>
      <c r="N3997" s="42"/>
      <c r="O3997" s="68"/>
      <c r="P3997" s="35" t="s">
        <v>15517</v>
      </c>
      <c r="Q3997" s="13" t="s">
        <v>75</v>
      </c>
      <c r="R3997" s="13" t="s">
        <v>75</v>
      </c>
      <c r="S3997" s="13"/>
      <c r="T3997" s="44">
        <v>45915.72135947917</v>
      </c>
      <c r="U3997" s="44">
        <v>45915.72133168981</v>
      </c>
      <c r="V3997" s="203"/>
      <c r="W3997" s="11"/>
      <c r="X3997" s="148">
        <v>45930.0</v>
      </c>
      <c r="Y3997" s="45"/>
      <c r="Z3997" s="45"/>
      <c r="AA3997" s="31" t="s">
        <v>102</v>
      </c>
      <c r="AB3997" s="45" t="s">
        <v>15518</v>
      </c>
      <c r="AC3997" s="45"/>
    </row>
    <row r="3998" ht="18.75" customHeight="1">
      <c r="A3998" s="18" t="s">
        <v>15519</v>
      </c>
      <c r="B3998" s="19" t="s">
        <v>8902</v>
      </c>
      <c r="C3998" s="20">
        <v>0.0</v>
      </c>
      <c r="D3998" s="18" t="s">
        <v>6028</v>
      </c>
      <c r="E3998" s="27" t="s">
        <v>3834</v>
      </c>
      <c r="F3998" s="27" t="s">
        <v>33</v>
      </c>
      <c r="G3998" s="18" t="s">
        <v>35</v>
      </c>
      <c r="H3998" s="40" t="s">
        <v>35</v>
      </c>
      <c r="I3998" s="37" t="s">
        <v>15516</v>
      </c>
      <c r="J3998" s="25" t="s">
        <v>49</v>
      </c>
      <c r="K3998" s="26" t="s">
        <v>38</v>
      </c>
      <c r="L3998" s="25">
        <v>-13076.0</v>
      </c>
      <c r="M3998" s="49"/>
      <c r="N3998" s="42"/>
      <c r="O3998" s="68"/>
      <c r="P3998" s="35" t="s">
        <v>15517</v>
      </c>
      <c r="Q3998" s="13" t="s">
        <v>75</v>
      </c>
      <c r="R3998" s="13" t="s">
        <v>75</v>
      </c>
      <c r="S3998" s="13" t="s">
        <v>75</v>
      </c>
      <c r="T3998" s="44">
        <v>45915.72139685185</v>
      </c>
      <c r="U3998" s="44">
        <v>45915.7213715625</v>
      </c>
      <c r="V3998" s="203"/>
      <c r="W3998" s="11"/>
      <c r="X3998" s="148">
        <v>45930.0</v>
      </c>
      <c r="Y3998" s="45"/>
      <c r="Z3998" s="45"/>
      <c r="AA3998" s="31" t="s">
        <v>102</v>
      </c>
      <c r="AB3998" s="45" t="s">
        <v>15520</v>
      </c>
      <c r="AC3998" s="45"/>
    </row>
    <row r="3999" ht="18.75" customHeight="1">
      <c r="A3999" s="18" t="s">
        <v>15521</v>
      </c>
      <c r="B3999" s="19" t="s">
        <v>8902</v>
      </c>
      <c r="C3999" s="20">
        <v>0.0</v>
      </c>
      <c r="D3999" s="18" t="s">
        <v>6028</v>
      </c>
      <c r="E3999" s="27" t="s">
        <v>988</v>
      </c>
      <c r="F3999" s="27" t="s">
        <v>33</v>
      </c>
      <c r="G3999" s="18" t="s">
        <v>35</v>
      </c>
      <c r="H3999" s="40" t="s">
        <v>35</v>
      </c>
      <c r="I3999" s="37" t="s">
        <v>15516</v>
      </c>
      <c r="J3999" s="25" t="s">
        <v>49</v>
      </c>
      <c r="K3999" s="26" t="s">
        <v>38</v>
      </c>
      <c r="L3999" s="25">
        <v>-13078.0</v>
      </c>
      <c r="M3999" s="49"/>
      <c r="N3999" s="42"/>
      <c r="O3999" s="68"/>
      <c r="P3999" s="35" t="s">
        <v>15522</v>
      </c>
      <c r="Q3999" s="13" t="s">
        <v>75</v>
      </c>
      <c r="R3999" s="13" t="s">
        <v>75</v>
      </c>
      <c r="S3999" s="13"/>
      <c r="T3999" s="44">
        <v>45793.389033217594</v>
      </c>
      <c r="U3999" s="44">
        <v>45951.63294684028</v>
      </c>
      <c r="V3999" s="203"/>
      <c r="W3999" s="11"/>
      <c r="X3999" s="148">
        <v>45962.0</v>
      </c>
      <c r="Y3999" s="45"/>
      <c r="Z3999" s="45"/>
      <c r="AA3999" s="31" t="s">
        <v>102</v>
      </c>
      <c r="AB3999" s="45" t="s">
        <v>15523</v>
      </c>
      <c r="AC3999" s="45"/>
    </row>
    <row r="4000" ht="18.75" customHeight="1">
      <c r="A4000" s="18" t="s">
        <v>15524</v>
      </c>
      <c r="B4000" s="19" t="s">
        <v>8902</v>
      </c>
      <c r="C4000" s="20">
        <v>0.0</v>
      </c>
      <c r="D4000" s="18" t="s">
        <v>6028</v>
      </c>
      <c r="E4000" s="27" t="s">
        <v>988</v>
      </c>
      <c r="F4000" s="27" t="s">
        <v>33</v>
      </c>
      <c r="G4000" s="18" t="s">
        <v>35</v>
      </c>
      <c r="H4000" s="40" t="s">
        <v>35</v>
      </c>
      <c r="I4000" s="37" t="s">
        <v>15516</v>
      </c>
      <c r="J4000" s="25" t="s">
        <v>49</v>
      </c>
      <c r="K4000" s="26" t="s">
        <v>38</v>
      </c>
      <c r="L4000" s="25">
        <v>-13078.0</v>
      </c>
      <c r="M4000" s="49"/>
      <c r="N4000" s="42"/>
      <c r="O4000" s="68"/>
      <c r="P4000" s="35" t="s">
        <v>15522</v>
      </c>
      <c r="Q4000" s="13" t="s">
        <v>75</v>
      </c>
      <c r="R4000" s="13" t="s">
        <v>75</v>
      </c>
      <c r="S4000" s="13" t="s">
        <v>75</v>
      </c>
      <c r="T4000" s="44">
        <v>45793.389140960644</v>
      </c>
      <c r="U4000" s="44">
        <v>45951.63291543981</v>
      </c>
      <c r="V4000" s="203"/>
      <c r="W4000" s="11"/>
      <c r="X4000" s="148">
        <v>45962.0</v>
      </c>
      <c r="Y4000" s="45"/>
      <c r="Z4000" s="45"/>
      <c r="AA4000" s="31" t="s">
        <v>102</v>
      </c>
      <c r="AB4000" s="45" t="s">
        <v>15525</v>
      </c>
      <c r="AC4000" s="45"/>
    </row>
    <row r="4001" ht="18.75" customHeight="1">
      <c r="A4001" s="18" t="s">
        <v>15526</v>
      </c>
      <c r="B4001" s="19" t="s">
        <v>3645</v>
      </c>
      <c r="C4001" s="20">
        <v>1.0</v>
      </c>
      <c r="D4001" s="48" t="s">
        <v>15527</v>
      </c>
      <c r="E4001" s="27" t="s">
        <v>3395</v>
      </c>
      <c r="F4001" s="27" t="s">
        <v>48</v>
      </c>
      <c r="G4001" s="18" t="s">
        <v>35</v>
      </c>
      <c r="H4001" s="40" t="s">
        <v>35</v>
      </c>
      <c r="I4001" s="37" t="s">
        <v>36</v>
      </c>
      <c r="J4001" s="25" t="s">
        <v>49</v>
      </c>
      <c r="K4001" s="26" t="s">
        <v>38</v>
      </c>
      <c r="L4001" s="25">
        <v>13066.0</v>
      </c>
      <c r="M4001" s="49" t="s">
        <v>73</v>
      </c>
      <c r="N4001" s="42" t="s">
        <v>143</v>
      </c>
      <c r="O4001" s="67">
        <v>45793.612643773144</v>
      </c>
      <c r="P4001" s="35" t="s">
        <v>15528</v>
      </c>
      <c r="Q4001" s="13" t="s">
        <v>75</v>
      </c>
      <c r="R4001" s="13" t="s">
        <v>75</v>
      </c>
      <c r="S4001" s="13" t="s">
        <v>50</v>
      </c>
      <c r="T4001" s="44">
        <v>45793.39280263889</v>
      </c>
      <c r="U4001" s="44">
        <v>45793.477449768514</v>
      </c>
      <c r="V4001" s="198">
        <v>45793.48692733796</v>
      </c>
      <c r="W4001" s="11"/>
      <c r="X4001" s="11"/>
      <c r="Y4001" s="45">
        <v>302.0</v>
      </c>
      <c r="Z4001" s="45" t="s">
        <v>15529</v>
      </c>
      <c r="AA4001" s="31" t="s">
        <v>127</v>
      </c>
      <c r="AB4001" s="45" t="s">
        <v>15530</v>
      </c>
      <c r="AC4001" s="45"/>
    </row>
    <row r="4002" ht="18.75" customHeight="1">
      <c r="A4002" s="18" t="s">
        <v>15531</v>
      </c>
      <c r="B4002" s="19" t="s">
        <v>3645</v>
      </c>
      <c r="C4002" s="20">
        <v>1.0</v>
      </c>
      <c r="D4002" s="48" t="s">
        <v>15532</v>
      </c>
      <c r="E4002" s="27" t="s">
        <v>3395</v>
      </c>
      <c r="F4002" s="27" t="s">
        <v>48</v>
      </c>
      <c r="G4002" s="18" t="s">
        <v>35</v>
      </c>
      <c r="H4002" s="40" t="s">
        <v>35</v>
      </c>
      <c r="I4002" s="37" t="s">
        <v>36</v>
      </c>
      <c r="J4002" s="25" t="s">
        <v>49</v>
      </c>
      <c r="K4002" s="26" t="s">
        <v>38</v>
      </c>
      <c r="L4002" s="25">
        <v>13066.0</v>
      </c>
      <c r="M4002" s="49" t="s">
        <v>73</v>
      </c>
      <c r="N4002" s="42" t="s">
        <v>143</v>
      </c>
      <c r="O4002" s="67">
        <v>45793.61322465278</v>
      </c>
      <c r="P4002" s="35" t="s">
        <v>15528</v>
      </c>
      <c r="Q4002" s="13" t="s">
        <v>75</v>
      </c>
      <c r="R4002" s="13" t="s">
        <v>75</v>
      </c>
      <c r="S4002" s="13" t="s">
        <v>50</v>
      </c>
      <c r="T4002" s="44">
        <v>45793.39292613426</v>
      </c>
      <c r="U4002" s="44">
        <v>45793.47754769676</v>
      </c>
      <c r="V4002" s="198">
        <v>45793.48692733796</v>
      </c>
      <c r="W4002" s="11"/>
      <c r="X4002" s="11"/>
      <c r="Y4002" s="45">
        <v>302.0</v>
      </c>
      <c r="Z4002" s="45" t="s">
        <v>15533</v>
      </c>
      <c r="AA4002" s="31" t="s">
        <v>127</v>
      </c>
      <c r="AB4002" s="45" t="s">
        <v>15534</v>
      </c>
      <c r="AC4002" s="45"/>
    </row>
    <row r="4003" ht="18.75" customHeight="1">
      <c r="A4003" s="18" t="s">
        <v>15535</v>
      </c>
      <c r="B4003" s="19" t="s">
        <v>3645</v>
      </c>
      <c r="C4003" s="20">
        <v>90.0</v>
      </c>
      <c r="D4003" s="48" t="s">
        <v>15536</v>
      </c>
      <c r="E4003" s="27" t="s">
        <v>91</v>
      </c>
      <c r="F4003" s="27" t="s">
        <v>48</v>
      </c>
      <c r="G4003" s="18" t="s">
        <v>35</v>
      </c>
      <c r="H4003" s="40" t="s">
        <v>35</v>
      </c>
      <c r="I4003" s="37" t="s">
        <v>36</v>
      </c>
      <c r="J4003" s="25" t="s">
        <v>49</v>
      </c>
      <c r="K4003" s="26" t="s">
        <v>38</v>
      </c>
      <c r="L4003" s="25">
        <v>13066.0</v>
      </c>
      <c r="M4003" s="49" t="s">
        <v>73</v>
      </c>
      <c r="N4003" s="42" t="s">
        <v>143</v>
      </c>
      <c r="O4003" s="67">
        <v>45793.61313157408</v>
      </c>
      <c r="P4003" s="35" t="s">
        <v>15528</v>
      </c>
      <c r="Q4003" s="13" t="s">
        <v>75</v>
      </c>
      <c r="R4003" s="13" t="s">
        <v>75</v>
      </c>
      <c r="S4003" s="13" t="s">
        <v>50</v>
      </c>
      <c r="T4003" s="44">
        <v>45793.39306322917</v>
      </c>
      <c r="U4003" s="44">
        <v>45793.47749464121</v>
      </c>
      <c r="V4003" s="198">
        <v>45793.487328993055</v>
      </c>
      <c r="W4003" s="11"/>
      <c r="X4003" s="11"/>
      <c r="Y4003" s="45">
        <v>302.0</v>
      </c>
      <c r="Z4003" s="45" t="s">
        <v>15537</v>
      </c>
      <c r="AA4003" s="31" t="s">
        <v>127</v>
      </c>
      <c r="AB4003" s="45" t="s">
        <v>15538</v>
      </c>
      <c r="AC4003" s="45"/>
    </row>
    <row r="4004" ht="18.75" customHeight="1">
      <c r="A4004" s="18" t="s">
        <v>15539</v>
      </c>
      <c r="B4004" s="19" t="s">
        <v>3645</v>
      </c>
      <c r="C4004" s="20">
        <v>90.0</v>
      </c>
      <c r="D4004" s="48" t="s">
        <v>15540</v>
      </c>
      <c r="E4004" s="27" t="s">
        <v>91</v>
      </c>
      <c r="F4004" s="27" t="s">
        <v>48</v>
      </c>
      <c r="G4004" s="18" t="s">
        <v>35</v>
      </c>
      <c r="H4004" s="40" t="s">
        <v>35</v>
      </c>
      <c r="I4004" s="37" t="s">
        <v>36</v>
      </c>
      <c r="J4004" s="25" t="s">
        <v>49</v>
      </c>
      <c r="K4004" s="26" t="s">
        <v>38</v>
      </c>
      <c r="L4004" s="25">
        <v>13066.0</v>
      </c>
      <c r="M4004" s="49" t="s">
        <v>73</v>
      </c>
      <c r="N4004" s="42" t="s">
        <v>143</v>
      </c>
      <c r="O4004" s="67">
        <v>45793.61327274305</v>
      </c>
      <c r="P4004" s="35" t="s">
        <v>15528</v>
      </c>
      <c r="Q4004" s="13" t="s">
        <v>75</v>
      </c>
      <c r="R4004" s="13" t="s">
        <v>75</v>
      </c>
      <c r="S4004" s="13" t="s">
        <v>50</v>
      </c>
      <c r="T4004" s="44">
        <v>45793.39319430555</v>
      </c>
      <c r="U4004" s="44">
        <v>45793.47757149306</v>
      </c>
      <c r="V4004" s="198">
        <v>45793.48732900463</v>
      </c>
      <c r="W4004" s="11"/>
      <c r="X4004" s="11"/>
      <c r="Y4004" s="45">
        <v>302.0</v>
      </c>
      <c r="Z4004" s="45" t="s">
        <v>15541</v>
      </c>
      <c r="AA4004" s="31" t="s">
        <v>127</v>
      </c>
      <c r="AB4004" s="45" t="s">
        <v>15542</v>
      </c>
      <c r="AC4004" s="45"/>
    </row>
    <row r="4005" ht="18.75" customHeight="1">
      <c r="A4005" s="18" t="s">
        <v>15543</v>
      </c>
      <c r="B4005" s="19" t="s">
        <v>3645</v>
      </c>
      <c r="C4005" s="20">
        <v>90.0</v>
      </c>
      <c r="D4005" s="48" t="s">
        <v>15544</v>
      </c>
      <c r="E4005" s="27" t="s">
        <v>91</v>
      </c>
      <c r="F4005" s="27" t="s">
        <v>48</v>
      </c>
      <c r="G4005" s="18" t="s">
        <v>35</v>
      </c>
      <c r="H4005" s="40" t="s">
        <v>35</v>
      </c>
      <c r="I4005" s="37" t="s">
        <v>36</v>
      </c>
      <c r="J4005" s="25" t="s">
        <v>49</v>
      </c>
      <c r="K4005" s="26" t="s">
        <v>38</v>
      </c>
      <c r="L4005" s="25">
        <v>13066.0</v>
      </c>
      <c r="M4005" s="49" t="s">
        <v>73</v>
      </c>
      <c r="N4005" s="42" t="s">
        <v>143</v>
      </c>
      <c r="O4005" s="67">
        <v>45793.613322731486</v>
      </c>
      <c r="P4005" s="35" t="s">
        <v>15528</v>
      </c>
      <c r="Q4005" s="13" t="s">
        <v>75</v>
      </c>
      <c r="R4005" s="13" t="s">
        <v>75</v>
      </c>
      <c r="S4005" s="13" t="s">
        <v>50</v>
      </c>
      <c r="T4005" s="44">
        <v>45793.39329921296</v>
      </c>
      <c r="U4005" s="44">
        <v>45793.47759981481</v>
      </c>
      <c r="V4005" s="198">
        <v>45793.48732900463</v>
      </c>
      <c r="W4005" s="11"/>
      <c r="X4005" s="11"/>
      <c r="Y4005" s="45">
        <v>302.0</v>
      </c>
      <c r="Z4005" s="45" t="s">
        <v>15545</v>
      </c>
      <c r="AA4005" s="31" t="s">
        <v>127</v>
      </c>
      <c r="AB4005" s="45" t="s">
        <v>15546</v>
      </c>
      <c r="AC4005" s="45"/>
    </row>
    <row r="4006" ht="18.75" customHeight="1">
      <c r="A4006" s="18" t="s">
        <v>15547</v>
      </c>
      <c r="B4006" s="19" t="s">
        <v>3645</v>
      </c>
      <c r="C4006" s="20">
        <v>90.0</v>
      </c>
      <c r="D4006" s="48" t="s">
        <v>15548</v>
      </c>
      <c r="E4006" s="27" t="s">
        <v>91</v>
      </c>
      <c r="F4006" s="27" t="s">
        <v>48</v>
      </c>
      <c r="G4006" s="18" t="s">
        <v>35</v>
      </c>
      <c r="H4006" s="40" t="s">
        <v>35</v>
      </c>
      <c r="I4006" s="37" t="s">
        <v>36</v>
      </c>
      <c r="J4006" s="25" t="s">
        <v>49</v>
      </c>
      <c r="K4006" s="26" t="s">
        <v>38</v>
      </c>
      <c r="L4006" s="25">
        <v>13066.0</v>
      </c>
      <c r="M4006" s="49" t="s">
        <v>73</v>
      </c>
      <c r="N4006" s="42" t="s">
        <v>143</v>
      </c>
      <c r="O4006" s="67">
        <v>45793.613181064815</v>
      </c>
      <c r="P4006" s="35" t="s">
        <v>15528</v>
      </c>
      <c r="Q4006" s="13" t="s">
        <v>75</v>
      </c>
      <c r="R4006" s="13" t="s">
        <v>75</v>
      </c>
      <c r="S4006" s="13" t="s">
        <v>50</v>
      </c>
      <c r="T4006" s="44">
        <v>45793.39355226852</v>
      </c>
      <c r="U4006" s="44">
        <v>45793.477519444445</v>
      </c>
      <c r="V4006" s="198">
        <v>45793.48732900463</v>
      </c>
      <c r="W4006" s="11"/>
      <c r="X4006" s="11"/>
      <c r="Y4006" s="45">
        <v>302.0</v>
      </c>
      <c r="Z4006" s="45" t="s">
        <v>15549</v>
      </c>
      <c r="AA4006" s="31" t="s">
        <v>127</v>
      </c>
      <c r="AB4006" s="45" t="s">
        <v>15550</v>
      </c>
      <c r="AC4006" s="45"/>
    </row>
    <row r="4007" ht="18.75" customHeight="1">
      <c r="A4007" s="142" t="s">
        <v>15551</v>
      </c>
      <c r="B4007" s="19" t="s">
        <v>4352</v>
      </c>
      <c r="C4007" s="20">
        <v>34.0</v>
      </c>
      <c r="D4007" s="48" t="s">
        <v>15552</v>
      </c>
      <c r="E4007" s="27" t="s">
        <v>47</v>
      </c>
      <c r="F4007" s="27" t="s">
        <v>48</v>
      </c>
      <c r="G4007" s="18" t="s">
        <v>35</v>
      </c>
      <c r="H4007" s="40" t="s">
        <v>35</v>
      </c>
      <c r="I4007" s="37" t="s">
        <v>36</v>
      </c>
      <c r="J4007" s="25" t="s">
        <v>49</v>
      </c>
      <c r="K4007" s="26" t="s">
        <v>38</v>
      </c>
      <c r="L4007" s="25">
        <v>13067.0</v>
      </c>
      <c r="M4007" s="49" t="s">
        <v>50</v>
      </c>
      <c r="N4007" s="42" t="s">
        <v>143</v>
      </c>
      <c r="O4007" s="67">
        <v>45793.63888888889</v>
      </c>
      <c r="P4007" s="35" t="s">
        <v>15553</v>
      </c>
      <c r="Q4007" s="13" t="s">
        <v>75</v>
      </c>
      <c r="R4007" s="13" t="s">
        <v>75</v>
      </c>
      <c r="S4007" s="13" t="s">
        <v>50</v>
      </c>
      <c r="T4007" s="44">
        <v>45793.39629175926</v>
      </c>
      <c r="U4007" s="44">
        <v>45793.41937355324</v>
      </c>
      <c r="V4007" s="198">
        <v>45793.55374040509</v>
      </c>
      <c r="W4007" s="11"/>
      <c r="X4007" s="11"/>
      <c r="Y4007" s="45">
        <v>302.0</v>
      </c>
      <c r="Z4007" s="45" t="s">
        <v>15554</v>
      </c>
      <c r="AA4007" s="31" t="s">
        <v>127</v>
      </c>
      <c r="AB4007" s="45" t="s">
        <v>15555</v>
      </c>
      <c r="AC4007" s="45"/>
    </row>
    <row r="4008" ht="18.75" customHeight="1">
      <c r="A4008" s="142" t="s">
        <v>15556</v>
      </c>
      <c r="B4008" s="19" t="s">
        <v>10732</v>
      </c>
      <c r="C4008" s="20">
        <v>0.0</v>
      </c>
      <c r="D4008" s="48" t="s">
        <v>15557</v>
      </c>
      <c r="E4008" s="27" t="s">
        <v>3441</v>
      </c>
      <c r="F4008" s="27" t="s">
        <v>48</v>
      </c>
      <c r="G4008" s="18" t="s">
        <v>35</v>
      </c>
      <c r="H4008" s="40" t="s">
        <v>35</v>
      </c>
      <c r="I4008" s="37" t="s">
        <v>36</v>
      </c>
      <c r="J4008" s="25" t="s">
        <v>65</v>
      </c>
      <c r="K4008" s="26" t="s">
        <v>38</v>
      </c>
      <c r="L4008" s="25">
        <v>13062.0</v>
      </c>
      <c r="M4008" s="49" t="s">
        <v>50</v>
      </c>
      <c r="N4008" s="42" t="s">
        <v>149</v>
      </c>
      <c r="O4008" s="67">
        <v>45793.619280405095</v>
      </c>
      <c r="P4008" s="35" t="s">
        <v>15558</v>
      </c>
      <c r="Q4008" s="13" t="s">
        <v>75</v>
      </c>
      <c r="R4008" s="13" t="s">
        <v>75</v>
      </c>
      <c r="S4008" s="13" t="s">
        <v>50</v>
      </c>
      <c r="T4008" s="44">
        <v>45793.39833921296</v>
      </c>
      <c r="U4008" s="44">
        <v>45793.45717364583</v>
      </c>
      <c r="V4008" s="198">
        <v>45793.46336196759</v>
      </c>
      <c r="W4008" s="11"/>
      <c r="X4008" s="11"/>
      <c r="Y4008" s="45"/>
      <c r="Z4008" s="45"/>
      <c r="AA4008" s="31" t="s">
        <v>3059</v>
      </c>
      <c r="AB4008" s="45" t="s">
        <v>15559</v>
      </c>
      <c r="AC4008" s="45"/>
    </row>
    <row r="4009" ht="18.75" customHeight="1">
      <c r="A4009" s="142" t="s">
        <v>15560</v>
      </c>
      <c r="B4009" s="19" t="s">
        <v>911</v>
      </c>
      <c r="C4009" s="20">
        <v>0.0</v>
      </c>
      <c r="D4009" s="48" t="s">
        <v>15561</v>
      </c>
      <c r="E4009" s="27" t="s">
        <v>3441</v>
      </c>
      <c r="F4009" s="27" t="s">
        <v>48</v>
      </c>
      <c r="G4009" s="18" t="s">
        <v>35</v>
      </c>
      <c r="H4009" s="40" t="s">
        <v>35</v>
      </c>
      <c r="I4009" s="37" t="s">
        <v>36</v>
      </c>
      <c r="J4009" s="25" t="s">
        <v>49</v>
      </c>
      <c r="K4009" s="26" t="s">
        <v>38</v>
      </c>
      <c r="L4009" s="25">
        <v>13063.0</v>
      </c>
      <c r="M4009" s="49" t="s">
        <v>73</v>
      </c>
      <c r="N4009" s="42" t="s">
        <v>143</v>
      </c>
      <c r="O4009" s="67">
        <v>45793.61337648148</v>
      </c>
      <c r="P4009" s="35" t="s">
        <v>15562</v>
      </c>
      <c r="Q4009" s="13" t="s">
        <v>75</v>
      </c>
      <c r="R4009" s="13" t="s">
        <v>75</v>
      </c>
      <c r="S4009" s="13" t="s">
        <v>73</v>
      </c>
      <c r="T4009" s="44">
        <v>45793.403665439815</v>
      </c>
      <c r="U4009" s="44">
        <v>45793.437404826385</v>
      </c>
      <c r="V4009" s="198">
        <v>45793.478083090275</v>
      </c>
      <c r="W4009" s="11"/>
      <c r="X4009" s="11"/>
      <c r="Y4009" s="45">
        <v>302.0</v>
      </c>
      <c r="Z4009" s="45" t="s">
        <v>15563</v>
      </c>
      <c r="AA4009" s="31" t="s">
        <v>3053</v>
      </c>
      <c r="AB4009" s="45" t="s">
        <v>15564</v>
      </c>
      <c r="AC4009" s="45"/>
    </row>
    <row r="4010" ht="18.75" customHeight="1">
      <c r="A4010" s="142" t="s">
        <v>15565</v>
      </c>
      <c r="B4010" s="19" t="s">
        <v>4352</v>
      </c>
      <c r="C4010" s="20">
        <v>90.0</v>
      </c>
      <c r="D4010" s="48" t="s">
        <v>15566</v>
      </c>
      <c r="E4010" s="27" t="s">
        <v>91</v>
      </c>
      <c r="F4010" s="27" t="s">
        <v>48</v>
      </c>
      <c r="G4010" s="18" t="s">
        <v>35</v>
      </c>
      <c r="H4010" s="40" t="s">
        <v>35</v>
      </c>
      <c r="I4010" s="37" t="s">
        <v>36</v>
      </c>
      <c r="J4010" s="25" t="s">
        <v>49</v>
      </c>
      <c r="K4010" s="26" t="s">
        <v>38</v>
      </c>
      <c r="L4010" s="25">
        <v>13119.0</v>
      </c>
      <c r="M4010" s="49" t="s">
        <v>50</v>
      </c>
      <c r="N4010" s="42" t="s">
        <v>5936</v>
      </c>
      <c r="O4010" s="67">
        <v>45803.661917199075</v>
      </c>
      <c r="P4010" s="35" t="s">
        <v>15567</v>
      </c>
      <c r="Q4010" s="13" t="s">
        <v>75</v>
      </c>
      <c r="R4010" s="13" t="s">
        <v>75</v>
      </c>
      <c r="S4010" s="13" t="s">
        <v>50</v>
      </c>
      <c r="T4010" s="44">
        <v>45793.40481416667</v>
      </c>
      <c r="U4010" s="44">
        <v>45803.36806961805</v>
      </c>
      <c r="V4010" s="198">
        <v>45803.420908252316</v>
      </c>
      <c r="W4010" s="11"/>
      <c r="X4010" s="11"/>
      <c r="Y4010" s="45">
        <v>302.0</v>
      </c>
      <c r="Z4010" s="45" t="s">
        <v>15568</v>
      </c>
      <c r="AA4010" s="31" t="s">
        <v>127</v>
      </c>
      <c r="AB4010" s="45" t="s">
        <v>15569</v>
      </c>
      <c r="AC4010" s="45"/>
    </row>
    <row r="4011" ht="18.75" customHeight="1">
      <c r="A4011" s="142" t="s">
        <v>15570</v>
      </c>
      <c r="B4011" s="19" t="s">
        <v>8071</v>
      </c>
      <c r="C4011" s="20">
        <v>27.0</v>
      </c>
      <c r="D4011" s="39" t="s">
        <v>15571</v>
      </c>
      <c r="E4011" s="27" t="s">
        <v>72</v>
      </c>
      <c r="F4011" s="27" t="s">
        <v>48</v>
      </c>
      <c r="G4011" s="18" t="s">
        <v>35</v>
      </c>
      <c r="H4011" s="40" t="s">
        <v>35</v>
      </c>
      <c r="I4011" s="37" t="s">
        <v>36</v>
      </c>
      <c r="J4011" s="25" t="s">
        <v>49</v>
      </c>
      <c r="K4011" s="26" t="s">
        <v>38</v>
      </c>
      <c r="L4011" s="25">
        <v>13064.0</v>
      </c>
      <c r="M4011" s="49" t="s">
        <v>73</v>
      </c>
      <c r="N4011" s="42" t="s">
        <v>143</v>
      </c>
      <c r="O4011" s="67">
        <v>45793.613423159724</v>
      </c>
      <c r="P4011" s="35" t="s">
        <v>15572</v>
      </c>
      <c r="Q4011" s="13" t="s">
        <v>75</v>
      </c>
      <c r="R4011" s="13" t="s">
        <v>75</v>
      </c>
      <c r="S4011" s="13" t="s">
        <v>73</v>
      </c>
      <c r="T4011" s="44">
        <v>45793.40629976852</v>
      </c>
      <c r="U4011" s="44">
        <v>45793.419716226854</v>
      </c>
      <c r="V4011" s="198">
        <v>45793.47184371528</v>
      </c>
      <c r="W4011" s="11"/>
      <c r="X4011" s="11"/>
      <c r="Y4011" s="45"/>
      <c r="Z4011" s="45"/>
      <c r="AA4011" s="31" t="s">
        <v>127</v>
      </c>
      <c r="AB4011" s="45" t="s">
        <v>15573</v>
      </c>
      <c r="AC4011" s="45"/>
    </row>
    <row r="4012" ht="18.75" customHeight="1">
      <c r="A4012" s="142" t="s">
        <v>15574</v>
      </c>
      <c r="B4012" s="19" t="s">
        <v>7403</v>
      </c>
      <c r="C4012" s="20">
        <v>0.0</v>
      </c>
      <c r="D4012" s="48" t="s">
        <v>15575</v>
      </c>
      <c r="E4012" s="27" t="s">
        <v>3441</v>
      </c>
      <c r="F4012" s="27" t="s">
        <v>48</v>
      </c>
      <c r="G4012" s="18" t="s">
        <v>35</v>
      </c>
      <c r="H4012" s="40" t="s">
        <v>35</v>
      </c>
      <c r="I4012" s="37" t="s">
        <v>36</v>
      </c>
      <c r="J4012" s="25" t="s">
        <v>65</v>
      </c>
      <c r="K4012" s="26" t="s">
        <v>38</v>
      </c>
      <c r="L4012" s="25">
        <v>13079.0</v>
      </c>
      <c r="M4012" s="49" t="s">
        <v>50</v>
      </c>
      <c r="N4012" s="42" t="s">
        <v>3442</v>
      </c>
      <c r="O4012" s="67">
        <v>45797.70151252315</v>
      </c>
      <c r="P4012" s="35" t="s">
        <v>15576</v>
      </c>
      <c r="Q4012" s="13" t="s">
        <v>75</v>
      </c>
      <c r="R4012" s="13" t="s">
        <v>75</v>
      </c>
      <c r="S4012" s="13" t="s">
        <v>50</v>
      </c>
      <c r="T4012" s="44">
        <v>45796.45751137732</v>
      </c>
      <c r="U4012" s="44">
        <v>45797.50419033565</v>
      </c>
      <c r="V4012" s="198">
        <v>45797.587716064816</v>
      </c>
      <c r="W4012" s="11"/>
      <c r="X4012" s="11"/>
      <c r="Y4012" s="45">
        <v>302.0</v>
      </c>
      <c r="Z4012" s="45" t="s">
        <v>15577</v>
      </c>
      <c r="AA4012" s="31" t="s">
        <v>94</v>
      </c>
      <c r="AB4012" s="45" t="s">
        <v>15578</v>
      </c>
      <c r="AC4012" s="45"/>
    </row>
    <row r="4013" ht="18.75" customHeight="1">
      <c r="A4013" s="142" t="s">
        <v>15579</v>
      </c>
      <c r="B4013" s="19" t="s">
        <v>7868</v>
      </c>
      <c r="C4013" s="20">
        <v>90.0</v>
      </c>
      <c r="D4013" s="48" t="s">
        <v>15580</v>
      </c>
      <c r="E4013" s="27" t="s">
        <v>91</v>
      </c>
      <c r="F4013" s="27" t="s">
        <v>48</v>
      </c>
      <c r="G4013" s="18" t="s">
        <v>35</v>
      </c>
      <c r="H4013" s="40" t="s">
        <v>35</v>
      </c>
      <c r="I4013" s="37" t="s">
        <v>36</v>
      </c>
      <c r="J4013" s="25" t="s">
        <v>65</v>
      </c>
      <c r="K4013" s="26" t="s">
        <v>38</v>
      </c>
      <c r="L4013" s="25">
        <v>13074.0</v>
      </c>
      <c r="M4013" s="49" t="s">
        <v>50</v>
      </c>
      <c r="N4013" s="42" t="s">
        <v>3442</v>
      </c>
      <c r="O4013" s="67">
        <v>45797.70145768518</v>
      </c>
      <c r="P4013" s="35" t="s">
        <v>14304</v>
      </c>
      <c r="Q4013" s="13" t="s">
        <v>75</v>
      </c>
      <c r="R4013" s="13" t="s">
        <v>75</v>
      </c>
      <c r="S4013" s="13" t="s">
        <v>50</v>
      </c>
      <c r="T4013" s="44">
        <v>45796.457896215274</v>
      </c>
      <c r="U4013" s="44">
        <v>45797.37684715277</v>
      </c>
      <c r="V4013" s="198">
        <v>45797.42640984953</v>
      </c>
      <c r="W4013" s="11"/>
      <c r="X4013" s="11"/>
      <c r="Y4013" s="45">
        <v>302.0</v>
      </c>
      <c r="Z4013" s="45" t="s">
        <v>15581</v>
      </c>
      <c r="AA4013" s="31" t="s">
        <v>94</v>
      </c>
      <c r="AB4013" s="45" t="s">
        <v>15582</v>
      </c>
      <c r="AC4013" s="45"/>
    </row>
    <row r="4014" ht="18.75" customHeight="1">
      <c r="A4014" s="142" t="s">
        <v>15583</v>
      </c>
      <c r="B4014" s="19" t="s">
        <v>9101</v>
      </c>
      <c r="C4014" s="20">
        <v>137.0</v>
      </c>
      <c r="D4014" s="48" t="s">
        <v>15584</v>
      </c>
      <c r="E4014" s="27" t="s">
        <v>85</v>
      </c>
      <c r="F4014" s="27" t="s">
        <v>48</v>
      </c>
      <c r="G4014" s="18" t="s">
        <v>35</v>
      </c>
      <c r="H4014" s="40" t="s">
        <v>35</v>
      </c>
      <c r="I4014" s="37" t="s">
        <v>36</v>
      </c>
      <c r="J4014" s="25" t="s">
        <v>65</v>
      </c>
      <c r="K4014" s="26" t="s">
        <v>38</v>
      </c>
      <c r="L4014" s="25">
        <v>13071.0</v>
      </c>
      <c r="M4014" s="49" t="s">
        <v>50</v>
      </c>
      <c r="N4014" s="42" t="s">
        <v>3442</v>
      </c>
      <c r="O4014" s="67">
        <v>45797.70139618056</v>
      </c>
      <c r="P4014" s="35" t="s">
        <v>14304</v>
      </c>
      <c r="Q4014" s="13" t="s">
        <v>75</v>
      </c>
      <c r="R4014" s="13" t="s">
        <v>75</v>
      </c>
      <c r="S4014" s="13" t="s">
        <v>50</v>
      </c>
      <c r="T4014" s="44">
        <v>45796.45868571759</v>
      </c>
      <c r="U4014" s="44">
        <v>45796.58640364584</v>
      </c>
      <c r="V4014" s="198">
        <v>45797.32629435185</v>
      </c>
      <c r="W4014" s="11"/>
      <c r="X4014" s="11"/>
      <c r="Y4014" s="45">
        <v>302.0</v>
      </c>
      <c r="Z4014" s="45" t="s">
        <v>15585</v>
      </c>
      <c r="AA4014" s="31" t="s">
        <v>94</v>
      </c>
      <c r="AB4014" s="45" t="s">
        <v>15586</v>
      </c>
      <c r="AC4014" s="45"/>
    </row>
    <row r="4015" ht="18.75" customHeight="1">
      <c r="A4015" s="142" t="s">
        <v>15587</v>
      </c>
      <c r="B4015" s="19" t="s">
        <v>5507</v>
      </c>
      <c r="C4015" s="20">
        <v>27.0</v>
      </c>
      <c r="D4015" s="39" t="s">
        <v>15588</v>
      </c>
      <c r="E4015" s="27" t="s">
        <v>72</v>
      </c>
      <c r="F4015" s="27" t="s">
        <v>48</v>
      </c>
      <c r="G4015" s="18" t="s">
        <v>35</v>
      </c>
      <c r="H4015" s="40" t="s">
        <v>35</v>
      </c>
      <c r="I4015" s="37" t="s">
        <v>36</v>
      </c>
      <c r="J4015" s="25" t="s">
        <v>49</v>
      </c>
      <c r="K4015" s="26" t="s">
        <v>38</v>
      </c>
      <c r="L4015" s="25">
        <v>13072.0</v>
      </c>
      <c r="M4015" s="49" t="s">
        <v>50</v>
      </c>
      <c r="N4015" s="42" t="s">
        <v>5936</v>
      </c>
      <c r="O4015" s="67">
        <v>45797.6023744213</v>
      </c>
      <c r="P4015" s="35" t="s">
        <v>15589</v>
      </c>
      <c r="Q4015" s="13" t="s">
        <v>75</v>
      </c>
      <c r="R4015" s="13" t="s">
        <v>75</v>
      </c>
      <c r="S4015" s="13" t="s">
        <v>50</v>
      </c>
      <c r="T4015" s="44">
        <v>45796.45965821759</v>
      </c>
      <c r="U4015" s="44">
        <v>45796.70549399305</v>
      </c>
      <c r="V4015" s="198">
        <v>45797.326372372685</v>
      </c>
      <c r="W4015" s="11"/>
      <c r="X4015" s="11"/>
      <c r="Y4015" s="45">
        <v>302.0</v>
      </c>
      <c r="Z4015" s="45" t="s">
        <v>15590</v>
      </c>
      <c r="AA4015" s="31" t="s">
        <v>127</v>
      </c>
      <c r="AB4015" s="45" t="s">
        <v>15591</v>
      </c>
      <c r="AC4015" s="45"/>
    </row>
    <row r="4016" ht="18.75" customHeight="1">
      <c r="A4016" s="18" t="s">
        <v>15592</v>
      </c>
      <c r="B4016" s="19" t="s">
        <v>9895</v>
      </c>
      <c r="C4016" s="20">
        <v>1.0</v>
      </c>
      <c r="D4016" s="48" t="s">
        <v>15593</v>
      </c>
      <c r="E4016" s="27" t="s">
        <v>3395</v>
      </c>
      <c r="F4016" s="27" t="s">
        <v>48</v>
      </c>
      <c r="G4016" s="18" t="s">
        <v>35</v>
      </c>
      <c r="H4016" s="40" t="s">
        <v>35</v>
      </c>
      <c r="I4016" s="37" t="s">
        <v>36</v>
      </c>
      <c r="J4016" s="25" t="s">
        <v>49</v>
      </c>
      <c r="K4016" s="26" t="s">
        <v>38</v>
      </c>
      <c r="L4016" s="25">
        <v>13113.0</v>
      </c>
      <c r="M4016" s="49" t="s">
        <v>50</v>
      </c>
      <c r="N4016" s="42" t="s">
        <v>5936</v>
      </c>
      <c r="O4016" s="67">
        <v>45800.64137516204</v>
      </c>
      <c r="P4016" s="35" t="s">
        <v>15594</v>
      </c>
      <c r="Q4016" s="13" t="s">
        <v>75</v>
      </c>
      <c r="R4016" s="13" t="s">
        <v>75</v>
      </c>
      <c r="S4016" s="13" t="s">
        <v>50</v>
      </c>
      <c r="T4016" s="44">
        <v>45796.466896990736</v>
      </c>
      <c r="U4016" s="44">
        <v>45800.47271640046</v>
      </c>
      <c r="V4016" s="198">
        <v>45800.54660255787</v>
      </c>
      <c r="W4016" s="11"/>
      <c r="X4016" s="11"/>
      <c r="Y4016" s="45">
        <v>302.0</v>
      </c>
      <c r="Z4016" s="45" t="s">
        <v>15595</v>
      </c>
      <c r="AA4016" s="31" t="s">
        <v>127</v>
      </c>
      <c r="AB4016" s="45" t="s">
        <v>15596</v>
      </c>
      <c r="AC4016" s="45"/>
    </row>
    <row r="4017" ht="18.75" customHeight="1">
      <c r="A4017" s="18" t="s">
        <v>15597</v>
      </c>
      <c r="B4017" s="19" t="s">
        <v>9895</v>
      </c>
      <c r="C4017" s="20">
        <v>1.0</v>
      </c>
      <c r="D4017" s="48" t="s">
        <v>15598</v>
      </c>
      <c r="E4017" s="27" t="s">
        <v>3395</v>
      </c>
      <c r="F4017" s="27" t="s">
        <v>48</v>
      </c>
      <c r="G4017" s="18" t="s">
        <v>35</v>
      </c>
      <c r="H4017" s="40" t="s">
        <v>35</v>
      </c>
      <c r="I4017" s="37" t="s">
        <v>36</v>
      </c>
      <c r="J4017" s="25" t="s">
        <v>49</v>
      </c>
      <c r="K4017" s="26" t="s">
        <v>38</v>
      </c>
      <c r="L4017" s="25">
        <v>13113.0</v>
      </c>
      <c r="M4017" s="49" t="s">
        <v>50</v>
      </c>
      <c r="N4017" s="42" t="s">
        <v>5936</v>
      </c>
      <c r="O4017" s="67">
        <v>45800.641323993055</v>
      </c>
      <c r="P4017" s="35" t="s">
        <v>15594</v>
      </c>
      <c r="Q4017" s="13" t="s">
        <v>75</v>
      </c>
      <c r="R4017" s="13" t="s">
        <v>75</v>
      </c>
      <c r="S4017" s="13" t="s">
        <v>50</v>
      </c>
      <c r="T4017" s="44">
        <v>45796.46730052083</v>
      </c>
      <c r="U4017" s="44">
        <v>45800.47269253472</v>
      </c>
      <c r="V4017" s="198">
        <v>45800.54660255787</v>
      </c>
      <c r="W4017" s="11"/>
      <c r="X4017" s="11"/>
      <c r="Y4017" s="45">
        <v>302.0</v>
      </c>
      <c r="Z4017" s="45" t="s">
        <v>15599</v>
      </c>
      <c r="AA4017" s="31" t="s">
        <v>127</v>
      </c>
      <c r="AB4017" s="45" t="s">
        <v>15600</v>
      </c>
      <c r="AC4017" s="45"/>
    </row>
    <row r="4018" ht="18.75" customHeight="1">
      <c r="A4018" s="18" t="s">
        <v>15601</v>
      </c>
      <c r="B4018" s="19" t="s">
        <v>9895</v>
      </c>
      <c r="C4018" s="20">
        <v>11.0</v>
      </c>
      <c r="D4018" s="48" t="s">
        <v>15602</v>
      </c>
      <c r="E4018" s="27" t="s">
        <v>112</v>
      </c>
      <c r="F4018" s="27" t="s">
        <v>48</v>
      </c>
      <c r="G4018" s="18" t="s">
        <v>35</v>
      </c>
      <c r="H4018" s="40" t="s">
        <v>35</v>
      </c>
      <c r="I4018" s="37" t="s">
        <v>36</v>
      </c>
      <c r="J4018" s="25" t="s">
        <v>49</v>
      </c>
      <c r="K4018" s="26" t="s">
        <v>38</v>
      </c>
      <c r="L4018" s="25">
        <v>13113.0</v>
      </c>
      <c r="M4018" s="49" t="s">
        <v>50</v>
      </c>
      <c r="N4018" s="42" t="s">
        <v>5936</v>
      </c>
      <c r="O4018" s="67">
        <v>45800.641271886576</v>
      </c>
      <c r="P4018" s="35" t="s">
        <v>15594</v>
      </c>
      <c r="Q4018" s="13" t="s">
        <v>75</v>
      </c>
      <c r="R4018" s="13" t="s">
        <v>75</v>
      </c>
      <c r="S4018" s="13" t="s">
        <v>50</v>
      </c>
      <c r="T4018" s="44">
        <v>45796.46743868056</v>
      </c>
      <c r="U4018" s="44">
        <v>45800.47266273148</v>
      </c>
      <c r="V4018" s="198">
        <v>45800.546602546296</v>
      </c>
      <c r="W4018" s="11"/>
      <c r="X4018" s="11"/>
      <c r="Y4018" s="45">
        <v>302.0</v>
      </c>
      <c r="Z4018" s="45" t="s">
        <v>15603</v>
      </c>
      <c r="AA4018" s="31" t="s">
        <v>127</v>
      </c>
      <c r="AB4018" s="45" t="s">
        <v>15604</v>
      </c>
      <c r="AC4018" s="45"/>
    </row>
    <row r="4019" ht="18.75" customHeight="1">
      <c r="A4019" s="142" t="s">
        <v>15605</v>
      </c>
      <c r="B4019" s="19" t="s">
        <v>96</v>
      </c>
      <c r="C4019" s="20">
        <v>0.0</v>
      </c>
      <c r="D4019" s="48" t="s">
        <v>15606</v>
      </c>
      <c r="E4019" s="27" t="s">
        <v>1077</v>
      </c>
      <c r="F4019" s="27" t="s">
        <v>33</v>
      </c>
      <c r="G4019" s="18" t="s">
        <v>34</v>
      </c>
      <c r="H4019" s="40" t="s">
        <v>35</v>
      </c>
      <c r="I4019" s="37" t="s">
        <v>36</v>
      </c>
      <c r="J4019" s="25" t="s">
        <v>49</v>
      </c>
      <c r="K4019" s="26" t="s">
        <v>38</v>
      </c>
      <c r="L4019" s="25">
        <v>13100.0</v>
      </c>
      <c r="M4019" s="49" t="s">
        <v>50</v>
      </c>
      <c r="N4019" s="42" t="s">
        <v>5936</v>
      </c>
      <c r="O4019" s="67">
        <v>45799.64808103009</v>
      </c>
      <c r="P4019" s="35" t="s">
        <v>15607</v>
      </c>
      <c r="Q4019" s="13" t="s">
        <v>75</v>
      </c>
      <c r="R4019" s="13" t="s">
        <v>75</v>
      </c>
      <c r="S4019" s="13" t="s">
        <v>101</v>
      </c>
      <c r="T4019" s="44">
        <v>45796.46897290509</v>
      </c>
      <c r="U4019" s="44">
        <v>45797.44068616898</v>
      </c>
      <c r="V4019" s="198">
        <v>45799.34431509259</v>
      </c>
      <c r="W4019" s="11"/>
      <c r="X4019" s="11"/>
      <c r="Y4019" s="45">
        <v>302.0</v>
      </c>
      <c r="Z4019" s="45" t="s">
        <v>15608</v>
      </c>
      <c r="AA4019" s="31" t="s">
        <v>102</v>
      </c>
      <c r="AB4019" s="45" t="s">
        <v>15609</v>
      </c>
      <c r="AC4019" s="45"/>
    </row>
    <row r="4020" ht="18.75" customHeight="1">
      <c r="A4020" s="142" t="s">
        <v>15610</v>
      </c>
      <c r="B4020" s="19" t="s">
        <v>3645</v>
      </c>
      <c r="C4020" s="20">
        <v>34.0</v>
      </c>
      <c r="D4020" s="48" t="s">
        <v>15611</v>
      </c>
      <c r="E4020" s="27" t="s">
        <v>47</v>
      </c>
      <c r="F4020" s="27" t="s">
        <v>48</v>
      </c>
      <c r="G4020" s="18" t="s">
        <v>35</v>
      </c>
      <c r="H4020" s="40" t="s">
        <v>35</v>
      </c>
      <c r="I4020" s="37" t="s">
        <v>36</v>
      </c>
      <c r="J4020" s="25" t="s">
        <v>49</v>
      </c>
      <c r="K4020" s="26" t="s">
        <v>38</v>
      </c>
      <c r="L4020" s="25">
        <v>13121.0</v>
      </c>
      <c r="M4020" s="49" t="s">
        <v>50</v>
      </c>
      <c r="N4020" s="42" t="s">
        <v>5936</v>
      </c>
      <c r="O4020" s="67">
        <v>45803.66187309028</v>
      </c>
      <c r="P4020" s="35" t="s">
        <v>15612</v>
      </c>
      <c r="Q4020" s="13" t="s">
        <v>75</v>
      </c>
      <c r="R4020" s="13" t="s">
        <v>75</v>
      </c>
      <c r="S4020" s="13" t="s">
        <v>50</v>
      </c>
      <c r="T4020" s="44">
        <v>45796.47178951389</v>
      </c>
      <c r="U4020" s="44">
        <v>45803.44659186342</v>
      </c>
      <c r="V4020" s="198">
        <v>45803.45242101852</v>
      </c>
      <c r="W4020" s="11"/>
      <c r="X4020" s="11"/>
      <c r="Y4020" s="45">
        <v>302.0</v>
      </c>
      <c r="Z4020" s="45" t="s">
        <v>15613</v>
      </c>
      <c r="AA4020" s="31" t="s">
        <v>127</v>
      </c>
      <c r="AB4020" s="45" t="s">
        <v>15614</v>
      </c>
      <c r="AC4020" s="45"/>
    </row>
    <row r="4021" ht="18.75" customHeight="1">
      <c r="A4021" s="18" t="s">
        <v>15615</v>
      </c>
      <c r="B4021" s="19" t="s">
        <v>15616</v>
      </c>
      <c r="C4021" s="20">
        <v>0.0</v>
      </c>
      <c r="D4021" s="48" t="s">
        <v>15617</v>
      </c>
      <c r="E4021" s="27" t="s">
        <v>4430</v>
      </c>
      <c r="F4021" s="27" t="s">
        <v>48</v>
      </c>
      <c r="G4021" s="18" t="s">
        <v>35</v>
      </c>
      <c r="H4021" s="40" t="s">
        <v>35</v>
      </c>
      <c r="I4021" s="37" t="s">
        <v>36</v>
      </c>
      <c r="J4021" s="25" t="s">
        <v>92</v>
      </c>
      <c r="K4021" s="26" t="s">
        <v>38</v>
      </c>
      <c r="L4021" s="25">
        <v>13159.0</v>
      </c>
      <c r="M4021" s="49" t="s">
        <v>73</v>
      </c>
      <c r="N4021" s="42" t="s">
        <v>5352</v>
      </c>
      <c r="O4021" s="67">
        <v>45859.43081197917</v>
      </c>
      <c r="P4021" s="35" t="s">
        <v>15618</v>
      </c>
      <c r="Q4021" s="13" t="s">
        <v>75</v>
      </c>
      <c r="R4021" s="13" t="s">
        <v>75</v>
      </c>
      <c r="S4021" s="13" t="s">
        <v>50</v>
      </c>
      <c r="T4021" s="44">
        <v>45796.62399608796</v>
      </c>
      <c r="U4021" s="44">
        <v>45807.586226307874</v>
      </c>
      <c r="V4021" s="198">
        <v>45810.34343396991</v>
      </c>
      <c r="W4021" s="11"/>
      <c r="X4021" s="11"/>
      <c r="Y4021" s="45">
        <v>302.0</v>
      </c>
      <c r="Z4021" s="45" t="s">
        <v>15619</v>
      </c>
      <c r="AA4021" s="31" t="s">
        <v>120</v>
      </c>
      <c r="AB4021" s="45" t="s">
        <v>15620</v>
      </c>
      <c r="AC4021" s="45"/>
    </row>
    <row r="4022" ht="18.75" customHeight="1">
      <c r="A4022" s="18" t="s">
        <v>15621</v>
      </c>
      <c r="B4022" s="19" t="s">
        <v>15616</v>
      </c>
      <c r="C4022" s="20">
        <v>0.0</v>
      </c>
      <c r="D4022" s="48" t="s">
        <v>15622</v>
      </c>
      <c r="E4022" s="27" t="s">
        <v>4430</v>
      </c>
      <c r="F4022" s="27" t="s">
        <v>48</v>
      </c>
      <c r="G4022" s="18" t="s">
        <v>35</v>
      </c>
      <c r="H4022" s="40" t="s">
        <v>35</v>
      </c>
      <c r="I4022" s="37" t="s">
        <v>36</v>
      </c>
      <c r="J4022" s="25" t="s">
        <v>92</v>
      </c>
      <c r="K4022" s="26" t="s">
        <v>38</v>
      </c>
      <c r="L4022" s="25">
        <v>13159.0</v>
      </c>
      <c r="M4022" s="49" t="s">
        <v>73</v>
      </c>
      <c r="N4022" s="42" t="s">
        <v>5352</v>
      </c>
      <c r="O4022" s="67">
        <v>45859.43072315972</v>
      </c>
      <c r="P4022" s="35" t="s">
        <v>15618</v>
      </c>
      <c r="Q4022" s="13" t="s">
        <v>75</v>
      </c>
      <c r="R4022" s="13" t="s">
        <v>75</v>
      </c>
      <c r="S4022" s="13" t="s">
        <v>50</v>
      </c>
      <c r="T4022" s="44">
        <v>45796.62405958334</v>
      </c>
      <c r="U4022" s="44">
        <v>45807.586193587966</v>
      </c>
      <c r="V4022" s="198">
        <v>45810.34343396991</v>
      </c>
      <c r="W4022" s="11"/>
      <c r="X4022" s="11"/>
      <c r="Y4022" s="45">
        <v>302.0</v>
      </c>
      <c r="Z4022" s="45" t="s">
        <v>15623</v>
      </c>
      <c r="AA4022" s="31" t="s">
        <v>120</v>
      </c>
      <c r="AB4022" s="45" t="s">
        <v>15624</v>
      </c>
      <c r="AC4022" s="45"/>
    </row>
    <row r="4023" ht="18.75" customHeight="1">
      <c r="A4023" s="142" t="s">
        <v>15625</v>
      </c>
      <c r="B4023" s="19" t="s">
        <v>63</v>
      </c>
      <c r="C4023" s="20">
        <v>90.0</v>
      </c>
      <c r="D4023" s="48" t="s">
        <v>15626</v>
      </c>
      <c r="E4023" s="27" t="s">
        <v>91</v>
      </c>
      <c r="F4023" s="27" t="s">
        <v>48</v>
      </c>
      <c r="G4023" s="18" t="s">
        <v>35</v>
      </c>
      <c r="H4023" s="40" t="s">
        <v>35</v>
      </c>
      <c r="I4023" s="37" t="s">
        <v>36</v>
      </c>
      <c r="J4023" s="25" t="s">
        <v>49</v>
      </c>
      <c r="K4023" s="26" t="s">
        <v>38</v>
      </c>
      <c r="L4023" s="25">
        <v>13112.0</v>
      </c>
      <c r="M4023" s="49" t="s">
        <v>50</v>
      </c>
      <c r="N4023" s="42" t="s">
        <v>5936</v>
      </c>
      <c r="O4023" s="67">
        <v>45800.64122185185</v>
      </c>
      <c r="P4023" s="35" t="s">
        <v>15627</v>
      </c>
      <c r="Q4023" s="13" t="s">
        <v>75</v>
      </c>
      <c r="R4023" s="13" t="s">
        <v>75</v>
      </c>
      <c r="S4023" s="13" t="s">
        <v>50</v>
      </c>
      <c r="T4023" s="44">
        <v>45796.62577623843</v>
      </c>
      <c r="U4023" s="44">
        <v>45800.49791496528</v>
      </c>
      <c r="V4023" s="198">
        <v>45800.54415270833</v>
      </c>
      <c r="W4023" s="11"/>
      <c r="X4023" s="11"/>
      <c r="Y4023" s="45">
        <v>302.0</v>
      </c>
      <c r="Z4023" s="45" t="s">
        <v>15628</v>
      </c>
      <c r="AA4023" s="31" t="s">
        <v>94</v>
      </c>
      <c r="AB4023" s="45" t="s">
        <v>15629</v>
      </c>
      <c r="AC4023" s="45"/>
    </row>
    <row r="4024" ht="18.75" customHeight="1">
      <c r="A4024" s="142" t="s">
        <v>15630</v>
      </c>
      <c r="B4024" s="19" t="s">
        <v>15631</v>
      </c>
      <c r="C4024" s="20">
        <v>0.0</v>
      </c>
      <c r="D4024" s="48" t="s">
        <v>15632</v>
      </c>
      <c r="E4024" s="27" t="s">
        <v>3441</v>
      </c>
      <c r="F4024" s="27" t="s">
        <v>48</v>
      </c>
      <c r="G4024" s="18" t="s">
        <v>35</v>
      </c>
      <c r="H4024" s="40" t="s">
        <v>35</v>
      </c>
      <c r="I4024" s="37" t="s">
        <v>36</v>
      </c>
      <c r="J4024" s="25" t="s">
        <v>92</v>
      </c>
      <c r="K4024" s="26" t="s">
        <v>38</v>
      </c>
      <c r="L4024" s="25">
        <v>13073.0</v>
      </c>
      <c r="M4024" s="49" t="s">
        <v>6028</v>
      </c>
      <c r="N4024" s="42" t="s">
        <v>5465</v>
      </c>
      <c r="O4024" s="67">
        <v>45805.371001527776</v>
      </c>
      <c r="P4024" s="35" t="s">
        <v>15633</v>
      </c>
      <c r="Q4024" s="13" t="s">
        <v>75</v>
      </c>
      <c r="R4024" s="13" t="s">
        <v>75</v>
      </c>
      <c r="S4024" s="13" t="s">
        <v>50</v>
      </c>
      <c r="T4024" s="44">
        <v>45796.62962284722</v>
      </c>
      <c r="U4024" s="44">
        <v>45796.647536226854</v>
      </c>
      <c r="V4024" s="198">
        <v>45797.340531064816</v>
      </c>
      <c r="W4024" s="11"/>
      <c r="X4024" s="11"/>
      <c r="Y4024" s="45">
        <v>302.0</v>
      </c>
      <c r="Z4024" s="45" t="s">
        <v>15634</v>
      </c>
      <c r="AA4024" s="31" t="s">
        <v>120</v>
      </c>
      <c r="AB4024" s="45" t="s">
        <v>15635</v>
      </c>
      <c r="AC4024" s="45"/>
    </row>
    <row r="4025" ht="18.75" customHeight="1">
      <c r="A4025" s="142" t="s">
        <v>15636</v>
      </c>
      <c r="B4025" s="19" t="s">
        <v>15637</v>
      </c>
      <c r="C4025" s="20">
        <v>0.0</v>
      </c>
      <c r="D4025" s="48"/>
      <c r="E4025" s="27" t="s">
        <v>1530</v>
      </c>
      <c r="F4025" s="27" t="s">
        <v>33</v>
      </c>
      <c r="G4025" s="18" t="s">
        <v>35</v>
      </c>
      <c r="H4025" s="40" t="s">
        <v>35</v>
      </c>
      <c r="I4025" s="24" t="s">
        <v>665</v>
      </c>
      <c r="J4025" s="25" t="s">
        <v>92</v>
      </c>
      <c r="K4025" s="26" t="s">
        <v>38</v>
      </c>
      <c r="L4025" s="25">
        <v>13099.0</v>
      </c>
      <c r="M4025" s="49" t="s">
        <v>50</v>
      </c>
      <c r="N4025" s="42" t="s">
        <v>15638</v>
      </c>
      <c r="O4025" s="67">
        <v>45800.34617777778</v>
      </c>
      <c r="P4025" s="35" t="s">
        <v>15639</v>
      </c>
      <c r="Q4025" s="13" t="s">
        <v>75</v>
      </c>
      <c r="R4025" s="13" t="s">
        <v>75</v>
      </c>
      <c r="S4025" s="13" t="s">
        <v>101</v>
      </c>
      <c r="T4025" s="44">
        <v>45796.633490555556</v>
      </c>
      <c r="U4025" s="44">
        <v>45796.70253469907</v>
      </c>
      <c r="V4025" s="198">
        <v>45799.344430729165</v>
      </c>
      <c r="W4025" s="11"/>
      <c r="X4025" s="11"/>
      <c r="Y4025" s="45">
        <v>302.0</v>
      </c>
      <c r="Z4025" s="45" t="s">
        <v>15640</v>
      </c>
      <c r="AA4025" s="31" t="s">
        <v>120</v>
      </c>
      <c r="AB4025" s="45" t="s">
        <v>15641</v>
      </c>
      <c r="AC4025" s="45"/>
    </row>
    <row r="4026" ht="18.75" customHeight="1">
      <c r="A4026" s="142" t="s">
        <v>15642</v>
      </c>
      <c r="B4026" s="19" t="s">
        <v>5630</v>
      </c>
      <c r="C4026" s="20">
        <v>34.0</v>
      </c>
      <c r="D4026" s="48" t="s">
        <v>15643</v>
      </c>
      <c r="E4026" s="27" t="s">
        <v>47</v>
      </c>
      <c r="F4026" s="27" t="s">
        <v>48</v>
      </c>
      <c r="G4026" s="18" t="s">
        <v>35</v>
      </c>
      <c r="H4026" s="40" t="s">
        <v>35</v>
      </c>
      <c r="I4026" s="37" t="s">
        <v>36</v>
      </c>
      <c r="J4026" s="25" t="s">
        <v>49</v>
      </c>
      <c r="K4026" s="26" t="s">
        <v>38</v>
      </c>
      <c r="L4026" s="25">
        <v>13087.0</v>
      </c>
      <c r="M4026" s="49" t="s">
        <v>50</v>
      </c>
      <c r="N4026" s="42" t="s">
        <v>9953</v>
      </c>
      <c r="O4026" s="67">
        <v>45798.62722768518</v>
      </c>
      <c r="P4026" s="35" t="s">
        <v>15644</v>
      </c>
      <c r="Q4026" s="13" t="s">
        <v>75</v>
      </c>
      <c r="R4026" s="13" t="s">
        <v>75</v>
      </c>
      <c r="S4026" s="13" t="s">
        <v>50</v>
      </c>
      <c r="T4026" s="44">
        <v>45797.55183005787</v>
      </c>
      <c r="U4026" s="44">
        <v>45797.65882606481</v>
      </c>
      <c r="V4026" s="198">
        <v>45798.340593726854</v>
      </c>
      <c r="W4026" s="11"/>
      <c r="X4026" s="11"/>
      <c r="Y4026" s="45">
        <v>302.0</v>
      </c>
      <c r="Z4026" s="45" t="s">
        <v>15645</v>
      </c>
      <c r="AA4026" s="31" t="s">
        <v>102</v>
      </c>
      <c r="AB4026" s="45" t="s">
        <v>15646</v>
      </c>
      <c r="AC4026" s="45"/>
    </row>
    <row r="4027" ht="18.75" customHeight="1">
      <c r="A4027" s="142" t="s">
        <v>15647</v>
      </c>
      <c r="B4027" s="19" t="s">
        <v>12057</v>
      </c>
      <c r="C4027" s="20">
        <v>90.0</v>
      </c>
      <c r="D4027" s="48" t="s">
        <v>15648</v>
      </c>
      <c r="E4027" s="27" t="s">
        <v>91</v>
      </c>
      <c r="F4027" s="27" t="s">
        <v>48</v>
      </c>
      <c r="G4027" s="18" t="s">
        <v>35</v>
      </c>
      <c r="H4027" s="40" t="s">
        <v>35</v>
      </c>
      <c r="I4027" s="37" t="s">
        <v>36</v>
      </c>
      <c r="J4027" s="25" t="s">
        <v>65</v>
      </c>
      <c r="K4027" s="26" t="s">
        <v>38</v>
      </c>
      <c r="L4027" s="25">
        <v>13116.0</v>
      </c>
      <c r="M4027" s="49" t="s">
        <v>50</v>
      </c>
      <c r="N4027" s="42" t="s">
        <v>14854</v>
      </c>
      <c r="O4027" s="67">
        <v>45800.65496398148</v>
      </c>
      <c r="P4027" s="35" t="s">
        <v>14335</v>
      </c>
      <c r="Q4027" s="13" t="s">
        <v>75</v>
      </c>
      <c r="R4027" s="13" t="s">
        <v>75</v>
      </c>
      <c r="S4027" s="13" t="s">
        <v>50</v>
      </c>
      <c r="T4027" s="44">
        <v>45797.41669665509</v>
      </c>
      <c r="U4027" s="44">
        <v>45800.45120055556</v>
      </c>
      <c r="V4027" s="198">
        <v>45800.55144445602</v>
      </c>
      <c r="W4027" s="11"/>
      <c r="X4027" s="11"/>
      <c r="Y4027" s="45">
        <v>302.0</v>
      </c>
      <c r="Z4027" s="45" t="s">
        <v>15649</v>
      </c>
      <c r="AA4027" s="31" t="s">
        <v>94</v>
      </c>
      <c r="AB4027" s="45" t="s">
        <v>15650</v>
      </c>
      <c r="AC4027" s="45"/>
    </row>
    <row r="4028" ht="18.75" customHeight="1">
      <c r="A4028" s="18" t="s">
        <v>15651</v>
      </c>
      <c r="B4028" s="19" t="s">
        <v>10785</v>
      </c>
      <c r="C4028" s="20">
        <v>0.0</v>
      </c>
      <c r="D4028" s="48" t="s">
        <v>15652</v>
      </c>
      <c r="E4028" s="27" t="s">
        <v>511</v>
      </c>
      <c r="F4028" s="27" t="s">
        <v>33</v>
      </c>
      <c r="G4028" s="18" t="s">
        <v>35</v>
      </c>
      <c r="H4028" s="40" t="s">
        <v>35</v>
      </c>
      <c r="I4028" s="37" t="s">
        <v>36</v>
      </c>
      <c r="J4028" s="25" t="s">
        <v>92</v>
      </c>
      <c r="K4028" s="26" t="s">
        <v>38</v>
      </c>
      <c r="L4028" s="72">
        <v>13292.0</v>
      </c>
      <c r="M4028" s="49" t="s">
        <v>50</v>
      </c>
      <c r="N4028" s="42" t="s">
        <v>13864</v>
      </c>
      <c r="O4028" s="67">
        <v>45861.64855814815</v>
      </c>
      <c r="P4028" s="35" t="s">
        <v>13574</v>
      </c>
      <c r="Q4028" s="13" t="s">
        <v>75</v>
      </c>
      <c r="R4028" s="13" t="s">
        <v>75</v>
      </c>
      <c r="S4028" s="13" t="s">
        <v>9620</v>
      </c>
      <c r="T4028" s="44">
        <v>45797.421741631944</v>
      </c>
      <c r="U4028" s="44">
        <v>45828.71326040509</v>
      </c>
      <c r="V4028" s="198">
        <v>45832.38707182871</v>
      </c>
      <c r="W4028" s="11"/>
      <c r="X4028" s="11"/>
      <c r="Y4028" s="45">
        <v>302.0</v>
      </c>
      <c r="Z4028" s="45" t="s">
        <v>15653</v>
      </c>
      <c r="AA4028" s="31" t="s">
        <v>120</v>
      </c>
      <c r="AB4028" s="45" t="s">
        <v>15654</v>
      </c>
      <c r="AC4028" s="45"/>
    </row>
    <row r="4029" ht="18.75" customHeight="1">
      <c r="A4029" s="18" t="s">
        <v>15655</v>
      </c>
      <c r="B4029" s="19" t="s">
        <v>10785</v>
      </c>
      <c r="C4029" s="20">
        <v>0.0</v>
      </c>
      <c r="D4029" s="48" t="s">
        <v>15656</v>
      </c>
      <c r="E4029" s="27" t="s">
        <v>511</v>
      </c>
      <c r="F4029" s="27" t="s">
        <v>33</v>
      </c>
      <c r="G4029" s="18" t="s">
        <v>35</v>
      </c>
      <c r="H4029" s="40" t="s">
        <v>35</v>
      </c>
      <c r="I4029" s="37" t="s">
        <v>36</v>
      </c>
      <c r="J4029" s="25" t="s">
        <v>92</v>
      </c>
      <c r="K4029" s="26" t="s">
        <v>38</v>
      </c>
      <c r="L4029" s="72">
        <v>13292.0</v>
      </c>
      <c r="M4029" s="49" t="s">
        <v>50</v>
      </c>
      <c r="N4029" s="42" t="s">
        <v>13864</v>
      </c>
      <c r="O4029" s="67">
        <v>45861.64865541666</v>
      </c>
      <c r="P4029" s="35" t="s">
        <v>13574</v>
      </c>
      <c r="Q4029" s="13" t="s">
        <v>75</v>
      </c>
      <c r="R4029" s="13" t="s">
        <v>75</v>
      </c>
      <c r="S4029" s="13" t="s">
        <v>9620</v>
      </c>
      <c r="T4029" s="44">
        <v>45797.421814236106</v>
      </c>
      <c r="U4029" s="44">
        <v>45828.71330902778</v>
      </c>
      <c r="V4029" s="198">
        <v>45832.38707182871</v>
      </c>
      <c r="W4029" s="11"/>
      <c r="X4029" s="11"/>
      <c r="Y4029" s="45">
        <v>302.0</v>
      </c>
      <c r="Z4029" s="45" t="s">
        <v>15657</v>
      </c>
      <c r="AA4029" s="31" t="s">
        <v>120</v>
      </c>
      <c r="AB4029" s="45" t="s">
        <v>15658</v>
      </c>
      <c r="AC4029" s="45"/>
    </row>
    <row r="4030" ht="18.75" customHeight="1">
      <c r="A4030" s="142" t="s">
        <v>15659</v>
      </c>
      <c r="B4030" s="19" t="s">
        <v>15660</v>
      </c>
      <c r="C4030" s="20">
        <v>90.0</v>
      </c>
      <c r="D4030" s="48" t="s">
        <v>15661</v>
      </c>
      <c r="E4030" s="27" t="s">
        <v>91</v>
      </c>
      <c r="F4030" s="27" t="s">
        <v>48</v>
      </c>
      <c r="G4030" s="18" t="s">
        <v>35</v>
      </c>
      <c r="H4030" s="40" t="s">
        <v>35</v>
      </c>
      <c r="I4030" s="37" t="s">
        <v>36</v>
      </c>
      <c r="J4030" s="25" t="s">
        <v>65</v>
      </c>
      <c r="K4030" s="26" t="s">
        <v>38</v>
      </c>
      <c r="L4030" s="25">
        <v>13075.0</v>
      </c>
      <c r="M4030" s="49" t="s">
        <v>50</v>
      </c>
      <c r="N4030" s="42" t="s">
        <v>3442</v>
      </c>
      <c r="O4030" s="67">
        <v>45797.70132850694</v>
      </c>
      <c r="P4030" s="35" t="s">
        <v>15576</v>
      </c>
      <c r="Q4030" s="13" t="s">
        <v>75</v>
      </c>
      <c r="R4030" s="13" t="s">
        <v>75</v>
      </c>
      <c r="S4030" s="13" t="s">
        <v>50</v>
      </c>
      <c r="T4030" s="44">
        <v>45797.40309197917</v>
      </c>
      <c r="U4030" s="44">
        <v>45797.43267329861</v>
      </c>
      <c r="V4030" s="198">
        <v>45797.438029490746</v>
      </c>
      <c r="W4030" s="11"/>
      <c r="X4030" s="11"/>
      <c r="Y4030" s="45">
        <v>302.0</v>
      </c>
      <c r="Z4030" s="45" t="s">
        <v>15662</v>
      </c>
      <c r="AA4030" s="31" t="s">
        <v>94</v>
      </c>
      <c r="AB4030" s="45" t="s">
        <v>15663</v>
      </c>
      <c r="AC4030" s="45"/>
    </row>
    <row r="4031" ht="18.75" customHeight="1">
      <c r="A4031" s="142" t="s">
        <v>15664</v>
      </c>
      <c r="B4031" s="19" t="s">
        <v>4147</v>
      </c>
      <c r="C4031" s="20">
        <v>0.0</v>
      </c>
      <c r="D4031" s="48" t="s">
        <v>15665</v>
      </c>
      <c r="E4031" s="27" t="s">
        <v>3441</v>
      </c>
      <c r="F4031" s="27" t="s">
        <v>48</v>
      </c>
      <c r="G4031" s="18" t="s">
        <v>35</v>
      </c>
      <c r="H4031" s="40" t="s">
        <v>35</v>
      </c>
      <c r="I4031" s="37" t="s">
        <v>36</v>
      </c>
      <c r="J4031" s="25" t="s">
        <v>49</v>
      </c>
      <c r="K4031" s="26" t="s">
        <v>38</v>
      </c>
      <c r="L4031" s="25">
        <v>13077.0</v>
      </c>
      <c r="M4031" s="49" t="s">
        <v>50</v>
      </c>
      <c r="N4031" s="42" t="s">
        <v>5936</v>
      </c>
      <c r="O4031" s="67">
        <v>45797.60229326389</v>
      </c>
      <c r="P4031" s="35" t="s">
        <v>15666</v>
      </c>
      <c r="Q4031" s="13" t="s">
        <v>75</v>
      </c>
      <c r="R4031" s="13" t="s">
        <v>75</v>
      </c>
      <c r="S4031" s="13" t="s">
        <v>50</v>
      </c>
      <c r="T4031" s="44">
        <v>45797.404540578704</v>
      </c>
      <c r="U4031" s="44">
        <v>45797.444619166665</v>
      </c>
      <c r="V4031" s="198">
        <v>45797.45526931713</v>
      </c>
      <c r="W4031" s="11"/>
      <c r="X4031" s="11"/>
      <c r="Y4031" s="45">
        <v>302.0</v>
      </c>
      <c r="Z4031" s="45" t="s">
        <v>15667</v>
      </c>
      <c r="AA4031" s="31" t="s">
        <v>127</v>
      </c>
      <c r="AB4031" s="45" t="s">
        <v>15668</v>
      </c>
      <c r="AC4031" s="45"/>
    </row>
    <row r="4032" ht="18.75" customHeight="1">
      <c r="A4032" s="142" t="s">
        <v>15669</v>
      </c>
      <c r="B4032" s="19" t="s">
        <v>4313</v>
      </c>
      <c r="C4032" s="20">
        <v>1.0</v>
      </c>
      <c r="D4032" s="48" t="s">
        <v>15670</v>
      </c>
      <c r="E4032" s="27" t="s">
        <v>3395</v>
      </c>
      <c r="F4032" s="27" t="s">
        <v>48</v>
      </c>
      <c r="G4032" s="18" t="s">
        <v>35</v>
      </c>
      <c r="H4032" s="40" t="s">
        <v>35</v>
      </c>
      <c r="I4032" s="37" t="s">
        <v>36</v>
      </c>
      <c r="J4032" s="25" t="s">
        <v>92</v>
      </c>
      <c r="K4032" s="26" t="s">
        <v>38</v>
      </c>
      <c r="L4032" s="25">
        <v>13085.0</v>
      </c>
      <c r="M4032" s="49" t="s">
        <v>50</v>
      </c>
      <c r="N4032" s="42" t="s">
        <v>10176</v>
      </c>
      <c r="O4032" s="67">
        <v>45803.61994471065</v>
      </c>
      <c r="P4032" s="35" t="s">
        <v>15671</v>
      </c>
      <c r="Q4032" s="13" t="s">
        <v>75</v>
      </c>
      <c r="R4032" s="13" t="s">
        <v>75</v>
      </c>
      <c r="S4032" s="13" t="s">
        <v>50</v>
      </c>
      <c r="T4032" s="44">
        <v>45797.40666648148</v>
      </c>
      <c r="U4032" s="44">
        <v>45797.66503568287</v>
      </c>
      <c r="V4032" s="198">
        <v>45798.467978472225</v>
      </c>
      <c r="W4032" s="11"/>
      <c r="X4032" s="11"/>
      <c r="Y4032" s="45">
        <v>302.0</v>
      </c>
      <c r="Z4032" s="45" t="s">
        <v>15672</v>
      </c>
      <c r="AA4032" s="31" t="s">
        <v>120</v>
      </c>
      <c r="AB4032" s="45" t="s">
        <v>15673</v>
      </c>
      <c r="AC4032" s="45"/>
    </row>
    <row r="4033" ht="18.75" customHeight="1">
      <c r="A4033" s="142" t="s">
        <v>15674</v>
      </c>
      <c r="B4033" s="19" t="s">
        <v>1345</v>
      </c>
      <c r="C4033" s="20">
        <v>34.0</v>
      </c>
      <c r="D4033" s="48" t="s">
        <v>15675</v>
      </c>
      <c r="E4033" s="27" t="s">
        <v>47</v>
      </c>
      <c r="F4033" s="27" t="s">
        <v>48</v>
      </c>
      <c r="G4033" s="18" t="s">
        <v>35</v>
      </c>
      <c r="H4033" s="40" t="s">
        <v>35</v>
      </c>
      <c r="I4033" s="37" t="s">
        <v>36</v>
      </c>
      <c r="J4033" s="25" t="s">
        <v>65</v>
      </c>
      <c r="K4033" s="26" t="s">
        <v>38</v>
      </c>
      <c r="L4033" s="25">
        <v>13086.0</v>
      </c>
      <c r="M4033" s="49" t="s">
        <v>50</v>
      </c>
      <c r="N4033" s="42" t="s">
        <v>4908</v>
      </c>
      <c r="O4033" s="67">
        <v>45798.66234048611</v>
      </c>
      <c r="P4033" s="35" t="s">
        <v>15676</v>
      </c>
      <c r="Q4033" s="13" t="s">
        <v>75</v>
      </c>
      <c r="R4033" s="13" t="s">
        <v>75</v>
      </c>
      <c r="S4033" s="13" t="s">
        <v>50</v>
      </c>
      <c r="T4033" s="44">
        <v>45797.407728425926</v>
      </c>
      <c r="U4033" s="44">
        <v>45797.67307305556</v>
      </c>
      <c r="V4033" s="198">
        <v>45798.34070898149</v>
      </c>
      <c r="W4033" s="11"/>
      <c r="X4033" s="11"/>
      <c r="Y4033" s="45">
        <v>302.0</v>
      </c>
      <c r="Z4033" s="45" t="s">
        <v>15677</v>
      </c>
      <c r="AA4033" s="31" t="s">
        <v>94</v>
      </c>
      <c r="AB4033" s="45" t="s">
        <v>15678</v>
      </c>
      <c r="AC4033" s="45"/>
    </row>
    <row r="4034" ht="18.75" customHeight="1">
      <c r="A4034" s="142" t="s">
        <v>15679</v>
      </c>
      <c r="B4034" s="19" t="s">
        <v>11376</v>
      </c>
      <c r="C4034" s="20">
        <v>27.0</v>
      </c>
      <c r="D4034" s="39" t="s">
        <v>15680</v>
      </c>
      <c r="E4034" s="27" t="s">
        <v>72</v>
      </c>
      <c r="F4034" s="27" t="s">
        <v>48</v>
      </c>
      <c r="G4034" s="18" t="s">
        <v>35</v>
      </c>
      <c r="H4034" s="40" t="s">
        <v>35</v>
      </c>
      <c r="I4034" s="37" t="s">
        <v>36</v>
      </c>
      <c r="J4034" s="25" t="s">
        <v>65</v>
      </c>
      <c r="K4034" s="26" t="s">
        <v>38</v>
      </c>
      <c r="L4034" s="25">
        <v>13114.0</v>
      </c>
      <c r="M4034" s="49" t="s">
        <v>50</v>
      </c>
      <c r="N4034" s="42" t="s">
        <v>14854</v>
      </c>
      <c r="O4034" s="67">
        <v>45800.65490734954</v>
      </c>
      <c r="P4034" s="35" t="s">
        <v>14304</v>
      </c>
      <c r="Q4034" s="13" t="s">
        <v>75</v>
      </c>
      <c r="R4034" s="13" t="s">
        <v>75</v>
      </c>
      <c r="S4034" s="13" t="s">
        <v>50</v>
      </c>
      <c r="T4034" s="44">
        <v>45797.42275326389</v>
      </c>
      <c r="U4034" s="44">
        <v>45800.55838511574</v>
      </c>
      <c r="V4034" s="198">
        <v>45800.561052997684</v>
      </c>
      <c r="W4034" s="11"/>
      <c r="X4034" s="11"/>
      <c r="Y4034" s="45">
        <v>302.0</v>
      </c>
      <c r="Z4034" s="45" t="s">
        <v>15681</v>
      </c>
      <c r="AA4034" s="31" t="s">
        <v>3059</v>
      </c>
      <c r="AB4034" s="45" t="s">
        <v>15682</v>
      </c>
      <c r="AC4034" s="45"/>
    </row>
    <row r="4035" ht="18.75" customHeight="1">
      <c r="A4035" s="18" t="s">
        <v>15683</v>
      </c>
      <c r="B4035" s="19" t="s">
        <v>4035</v>
      </c>
      <c r="C4035" s="20">
        <v>90.0</v>
      </c>
      <c r="D4035" s="48" t="s">
        <v>15684</v>
      </c>
      <c r="E4035" s="27" t="s">
        <v>91</v>
      </c>
      <c r="F4035" s="27" t="s">
        <v>48</v>
      </c>
      <c r="G4035" s="18" t="s">
        <v>35</v>
      </c>
      <c r="H4035" s="40" t="s">
        <v>35</v>
      </c>
      <c r="I4035" s="37" t="s">
        <v>36</v>
      </c>
      <c r="J4035" s="25" t="s">
        <v>65</v>
      </c>
      <c r="K4035" s="26" t="s">
        <v>38</v>
      </c>
      <c r="L4035" s="25">
        <v>13115.0</v>
      </c>
      <c r="M4035" s="49" t="s">
        <v>50</v>
      </c>
      <c r="N4035" s="42" t="s">
        <v>14854</v>
      </c>
      <c r="O4035" s="67">
        <v>45800.65507862269</v>
      </c>
      <c r="P4035" s="35" t="s">
        <v>14304</v>
      </c>
      <c r="Q4035" s="13" t="s">
        <v>75</v>
      </c>
      <c r="R4035" s="13" t="s">
        <v>75</v>
      </c>
      <c r="S4035" s="13" t="s">
        <v>50</v>
      </c>
      <c r="T4035" s="44">
        <v>45797.41225314815</v>
      </c>
      <c r="U4035" s="44">
        <v>45800.55988148148</v>
      </c>
      <c r="V4035" s="198">
        <v>45800.564070312495</v>
      </c>
      <c r="W4035" s="11"/>
      <c r="X4035" s="11"/>
      <c r="Y4035" s="45">
        <v>302.0</v>
      </c>
      <c r="Z4035" s="45" t="s">
        <v>15685</v>
      </c>
      <c r="AA4035" s="31" t="s">
        <v>94</v>
      </c>
      <c r="AB4035" s="45" t="s">
        <v>15686</v>
      </c>
      <c r="AC4035" s="45"/>
    </row>
    <row r="4036" ht="18.75" customHeight="1">
      <c r="A4036" s="18" t="s">
        <v>15687</v>
      </c>
      <c r="B4036" s="19" t="s">
        <v>4035</v>
      </c>
      <c r="C4036" s="20">
        <v>137.0</v>
      </c>
      <c r="D4036" s="48" t="s">
        <v>15688</v>
      </c>
      <c r="E4036" s="27" t="s">
        <v>85</v>
      </c>
      <c r="F4036" s="27" t="s">
        <v>48</v>
      </c>
      <c r="G4036" s="18" t="s">
        <v>35</v>
      </c>
      <c r="H4036" s="40" t="s">
        <v>35</v>
      </c>
      <c r="I4036" s="37" t="s">
        <v>36</v>
      </c>
      <c r="J4036" s="25" t="s">
        <v>65</v>
      </c>
      <c r="K4036" s="26" t="s">
        <v>38</v>
      </c>
      <c r="L4036" s="25">
        <v>13115.0</v>
      </c>
      <c r="M4036" s="49" t="s">
        <v>50</v>
      </c>
      <c r="N4036" s="42" t="s">
        <v>14854</v>
      </c>
      <c r="O4036" s="67">
        <v>45800.65502150463</v>
      </c>
      <c r="P4036" s="35" t="s">
        <v>14304</v>
      </c>
      <c r="Q4036" s="13" t="s">
        <v>75</v>
      </c>
      <c r="R4036" s="13" t="s">
        <v>75</v>
      </c>
      <c r="S4036" s="13" t="s">
        <v>50</v>
      </c>
      <c r="T4036" s="44">
        <v>45797.41259762731</v>
      </c>
      <c r="U4036" s="44">
        <v>45800.559850729165</v>
      </c>
      <c r="V4036" s="198">
        <v>45800.564070312495</v>
      </c>
      <c r="W4036" s="11"/>
      <c r="X4036" s="11"/>
      <c r="Y4036" s="45">
        <v>302.0</v>
      </c>
      <c r="Z4036" s="45" t="s">
        <v>15689</v>
      </c>
      <c r="AA4036" s="31" t="s">
        <v>94</v>
      </c>
      <c r="AB4036" s="45" t="s">
        <v>15690</v>
      </c>
      <c r="AC4036" s="45"/>
    </row>
    <row r="4037" ht="18.75" customHeight="1">
      <c r="A4037" s="142" t="s">
        <v>15691</v>
      </c>
      <c r="B4037" s="19" t="s">
        <v>802</v>
      </c>
      <c r="C4037" s="20">
        <v>137.0</v>
      </c>
      <c r="D4037" s="48" t="s">
        <v>15692</v>
      </c>
      <c r="E4037" s="27" t="s">
        <v>85</v>
      </c>
      <c r="F4037" s="27" t="s">
        <v>48</v>
      </c>
      <c r="G4037" s="18" t="s">
        <v>35</v>
      </c>
      <c r="H4037" s="40" t="s">
        <v>35</v>
      </c>
      <c r="I4037" s="37" t="s">
        <v>36</v>
      </c>
      <c r="J4037" s="25" t="s">
        <v>49</v>
      </c>
      <c r="K4037" s="26" t="s">
        <v>805</v>
      </c>
      <c r="L4037" s="25">
        <v>13091.0</v>
      </c>
      <c r="M4037" s="49" t="s">
        <v>50</v>
      </c>
      <c r="N4037" s="42" t="s">
        <v>9953</v>
      </c>
      <c r="O4037" s="67">
        <v>45798.62717976852</v>
      </c>
      <c r="P4037" s="35" t="s">
        <v>15693</v>
      </c>
      <c r="Q4037" s="13" t="s">
        <v>75</v>
      </c>
      <c r="R4037" s="13" t="s">
        <v>75</v>
      </c>
      <c r="S4037" s="13" t="s">
        <v>50</v>
      </c>
      <c r="T4037" s="44">
        <v>45797.691762372684</v>
      </c>
      <c r="U4037" s="44">
        <v>45798.556874560185</v>
      </c>
      <c r="V4037" s="198">
        <v>45798.56945109954</v>
      </c>
      <c r="W4037" s="11"/>
      <c r="X4037" s="11"/>
      <c r="Y4037" s="45">
        <v>302.0</v>
      </c>
      <c r="Z4037" s="45" t="s">
        <v>15694</v>
      </c>
      <c r="AA4037" s="31"/>
      <c r="AB4037" s="45" t="s">
        <v>15695</v>
      </c>
      <c r="AC4037" s="45"/>
    </row>
    <row r="4038" ht="18.75" customHeight="1">
      <c r="A4038" s="18" t="s">
        <v>15696</v>
      </c>
      <c r="B4038" s="19" t="s">
        <v>15697</v>
      </c>
      <c r="C4038" s="20">
        <v>0.0</v>
      </c>
      <c r="D4038" s="48" t="s">
        <v>15698</v>
      </c>
      <c r="E4038" s="27" t="s">
        <v>3441</v>
      </c>
      <c r="F4038" s="27" t="s">
        <v>48</v>
      </c>
      <c r="G4038" s="18" t="s">
        <v>35</v>
      </c>
      <c r="H4038" s="40" t="s">
        <v>35</v>
      </c>
      <c r="I4038" s="37" t="s">
        <v>36</v>
      </c>
      <c r="J4038" s="25" t="s">
        <v>49</v>
      </c>
      <c r="K4038" s="26" t="s">
        <v>38</v>
      </c>
      <c r="L4038" s="25">
        <v>13092.0</v>
      </c>
      <c r="M4038" s="49" t="s">
        <v>50</v>
      </c>
      <c r="N4038" s="42" t="s">
        <v>5936</v>
      </c>
      <c r="O4038" s="67">
        <v>45799.64793506944</v>
      </c>
      <c r="P4038" s="35" t="s">
        <v>15699</v>
      </c>
      <c r="Q4038" s="13" t="s">
        <v>75</v>
      </c>
      <c r="R4038" s="13" t="s">
        <v>75</v>
      </c>
      <c r="S4038" s="13" t="s">
        <v>50</v>
      </c>
      <c r="T4038" s="44">
        <v>45797.698661041664</v>
      </c>
      <c r="U4038" s="44">
        <v>45798.65622321759</v>
      </c>
      <c r="V4038" s="198">
        <v>45799.34939021991</v>
      </c>
      <c r="W4038" s="11"/>
      <c r="X4038" s="11"/>
      <c r="Y4038" s="45">
        <v>302.0</v>
      </c>
      <c r="Z4038" s="45" t="s">
        <v>15700</v>
      </c>
      <c r="AA4038" s="31"/>
      <c r="AB4038" s="45" t="s">
        <v>15701</v>
      </c>
      <c r="AC4038" s="45"/>
    </row>
    <row r="4039" ht="18.75" customHeight="1">
      <c r="A4039" s="18" t="s">
        <v>15702</v>
      </c>
      <c r="B4039" s="19" t="s">
        <v>15697</v>
      </c>
      <c r="C4039" s="20">
        <v>137.0</v>
      </c>
      <c r="D4039" s="48" t="s">
        <v>15703</v>
      </c>
      <c r="E4039" s="27" t="s">
        <v>85</v>
      </c>
      <c r="F4039" s="27" t="s">
        <v>48</v>
      </c>
      <c r="G4039" s="18" t="s">
        <v>35</v>
      </c>
      <c r="H4039" s="40" t="s">
        <v>35</v>
      </c>
      <c r="I4039" s="37" t="s">
        <v>36</v>
      </c>
      <c r="J4039" s="25" t="s">
        <v>49</v>
      </c>
      <c r="K4039" s="26" t="s">
        <v>38</v>
      </c>
      <c r="L4039" s="25">
        <v>13092.0</v>
      </c>
      <c r="M4039" s="49" t="s">
        <v>50</v>
      </c>
      <c r="N4039" s="42" t="s">
        <v>5936</v>
      </c>
      <c r="O4039" s="67">
        <v>45799.64801246527</v>
      </c>
      <c r="P4039" s="35" t="s">
        <v>15699</v>
      </c>
      <c r="Q4039" s="13" t="s">
        <v>75</v>
      </c>
      <c r="R4039" s="13" t="s">
        <v>75</v>
      </c>
      <c r="S4039" s="13" t="s">
        <v>50</v>
      </c>
      <c r="T4039" s="44">
        <v>45797.71536732639</v>
      </c>
      <c r="U4039" s="44">
        <v>45798.656193194445</v>
      </c>
      <c r="V4039" s="198">
        <v>45799.34939021991</v>
      </c>
      <c r="W4039" s="11"/>
      <c r="X4039" s="11"/>
      <c r="Y4039" s="45">
        <v>302.0</v>
      </c>
      <c r="Z4039" s="45" t="s">
        <v>15704</v>
      </c>
      <c r="AA4039" s="31"/>
      <c r="AB4039" s="45" t="s">
        <v>15705</v>
      </c>
      <c r="AC4039" s="45"/>
    </row>
    <row r="4040" ht="18.75" customHeight="1">
      <c r="A4040" s="142" t="s">
        <v>15706</v>
      </c>
      <c r="B4040" s="19" t="s">
        <v>4711</v>
      </c>
      <c r="C4040" s="20">
        <v>1.0</v>
      </c>
      <c r="D4040" s="48" t="s">
        <v>15707</v>
      </c>
      <c r="E4040" s="27" t="s">
        <v>11712</v>
      </c>
      <c r="F4040" s="27" t="s">
        <v>48</v>
      </c>
      <c r="G4040" s="18" t="s">
        <v>35</v>
      </c>
      <c r="H4040" s="40" t="s">
        <v>35</v>
      </c>
      <c r="I4040" s="37" t="s">
        <v>36</v>
      </c>
      <c r="J4040" s="25" t="s">
        <v>65</v>
      </c>
      <c r="K4040" s="26" t="s">
        <v>38</v>
      </c>
      <c r="L4040" s="25">
        <v>13104.0</v>
      </c>
      <c r="M4040" s="49" t="s">
        <v>50</v>
      </c>
      <c r="N4040" s="42" t="s">
        <v>14854</v>
      </c>
      <c r="O4040" s="67">
        <v>45800.65485422454</v>
      </c>
      <c r="P4040" s="35" t="s">
        <v>15708</v>
      </c>
      <c r="Q4040" s="13" t="s">
        <v>75</v>
      </c>
      <c r="R4040" s="13" t="s">
        <v>75</v>
      </c>
      <c r="S4040" s="13" t="s">
        <v>9620</v>
      </c>
      <c r="T4040" s="44">
        <v>45797.699915081015</v>
      </c>
      <c r="U4040" s="44">
        <v>45799.449898148145</v>
      </c>
      <c r="V4040" s="198">
        <v>45799.5663287037</v>
      </c>
      <c r="W4040" s="11"/>
      <c r="X4040" s="11"/>
      <c r="Y4040" s="45">
        <v>302.0</v>
      </c>
      <c r="Z4040" s="45" t="s">
        <v>15709</v>
      </c>
      <c r="AA4040" s="31"/>
      <c r="AB4040" s="45" t="s">
        <v>15710</v>
      </c>
      <c r="AC4040" s="45"/>
    </row>
    <row r="4041" ht="18.75" customHeight="1">
      <c r="A4041" s="142" t="s">
        <v>15711</v>
      </c>
      <c r="B4041" s="19" t="s">
        <v>15712</v>
      </c>
      <c r="C4041" s="20">
        <v>0.0</v>
      </c>
      <c r="D4041" s="48" t="s">
        <v>15713</v>
      </c>
      <c r="E4041" s="27" t="s">
        <v>3441</v>
      </c>
      <c r="F4041" s="27" t="s">
        <v>48</v>
      </c>
      <c r="G4041" s="18" t="s">
        <v>35</v>
      </c>
      <c r="H4041" s="40" t="s">
        <v>35</v>
      </c>
      <c r="I4041" s="37" t="s">
        <v>36</v>
      </c>
      <c r="J4041" s="25" t="s">
        <v>65</v>
      </c>
      <c r="K4041" s="26" t="s">
        <v>38</v>
      </c>
      <c r="L4041" s="25">
        <v>13090.0</v>
      </c>
      <c r="M4041" s="49" t="s">
        <v>50</v>
      </c>
      <c r="N4041" s="42" t="s">
        <v>4908</v>
      </c>
      <c r="O4041" s="67">
        <v>45798.66239997685</v>
      </c>
      <c r="P4041" s="35" t="s">
        <v>15714</v>
      </c>
      <c r="Q4041" s="13" t="s">
        <v>75</v>
      </c>
      <c r="R4041" s="13" t="s">
        <v>75</v>
      </c>
      <c r="S4041" s="13" t="s">
        <v>50</v>
      </c>
      <c r="T4041" s="44">
        <v>45797.70218275463</v>
      </c>
      <c r="U4041" s="44">
        <v>45798.418574814816</v>
      </c>
      <c r="V4041" s="198">
        <v>45798.46797848379</v>
      </c>
      <c r="W4041" s="11"/>
      <c r="X4041" s="11"/>
      <c r="Y4041" s="45">
        <v>302.0</v>
      </c>
      <c r="Z4041" s="45" t="s">
        <v>15715</v>
      </c>
      <c r="AA4041" s="31"/>
      <c r="AB4041" s="45" t="s">
        <v>15716</v>
      </c>
      <c r="AC4041" s="45"/>
    </row>
    <row r="4042" ht="18.75" customHeight="1">
      <c r="A4042" s="142" t="s">
        <v>15717</v>
      </c>
      <c r="B4042" s="19" t="s">
        <v>10785</v>
      </c>
      <c r="C4042" s="20">
        <v>0.0</v>
      </c>
      <c r="D4042" s="48" t="s">
        <v>15718</v>
      </c>
      <c r="E4042" s="27" t="s">
        <v>15497</v>
      </c>
      <c r="F4042" s="27" t="s">
        <v>48</v>
      </c>
      <c r="G4042" s="18" t="s">
        <v>35</v>
      </c>
      <c r="H4042" s="40" t="s">
        <v>35</v>
      </c>
      <c r="I4042" s="37" t="s">
        <v>36</v>
      </c>
      <c r="J4042" s="25" t="s">
        <v>92</v>
      </c>
      <c r="K4042" s="26" t="s">
        <v>38</v>
      </c>
      <c r="L4042" s="72">
        <v>13331.0</v>
      </c>
      <c r="M4042" s="49" t="s">
        <v>50</v>
      </c>
      <c r="N4042" s="42" t="s">
        <v>13864</v>
      </c>
      <c r="O4042" s="67">
        <v>45861.649079675924</v>
      </c>
      <c r="P4042" s="35" t="s">
        <v>13574</v>
      </c>
      <c r="Q4042" s="13" t="s">
        <v>75</v>
      </c>
      <c r="R4042" s="13" t="s">
        <v>75</v>
      </c>
      <c r="S4042" s="13" t="s">
        <v>50</v>
      </c>
      <c r="T4042" s="44">
        <v>45797.717539537036</v>
      </c>
      <c r="U4042" s="44">
        <v>45828.71156123842</v>
      </c>
      <c r="V4042" s="198">
        <v>45835.55810642361</v>
      </c>
      <c r="W4042" s="11"/>
      <c r="X4042" s="11"/>
      <c r="Y4042" s="45">
        <v>302.0</v>
      </c>
      <c r="Z4042" s="45" t="s">
        <v>15719</v>
      </c>
      <c r="AA4042" s="31"/>
      <c r="AB4042" s="45" t="s">
        <v>15720</v>
      </c>
      <c r="AC4042" s="45"/>
    </row>
    <row r="4043" ht="18.75" customHeight="1">
      <c r="A4043" s="142" t="s">
        <v>15721</v>
      </c>
      <c r="B4043" s="19" t="s">
        <v>15722</v>
      </c>
      <c r="C4043" s="20">
        <v>0.0</v>
      </c>
      <c r="D4043" s="48" t="s">
        <v>15723</v>
      </c>
      <c r="E4043" s="27" t="s">
        <v>3441</v>
      </c>
      <c r="F4043" s="27" t="s">
        <v>48</v>
      </c>
      <c r="G4043" s="18" t="s">
        <v>35</v>
      </c>
      <c r="H4043" s="40" t="s">
        <v>35</v>
      </c>
      <c r="I4043" s="37" t="s">
        <v>36</v>
      </c>
      <c r="J4043" s="25" t="s">
        <v>65</v>
      </c>
      <c r="K4043" s="26" t="s">
        <v>38</v>
      </c>
      <c r="L4043" s="72">
        <v>13178.0</v>
      </c>
      <c r="M4043" s="49" t="s">
        <v>50</v>
      </c>
      <c r="N4043" s="42" t="s">
        <v>5102</v>
      </c>
      <c r="O4043" s="67">
        <v>45813.65535325231</v>
      </c>
      <c r="P4043" s="35" t="s">
        <v>15724</v>
      </c>
      <c r="Q4043" s="13" t="s">
        <v>75</v>
      </c>
      <c r="R4043" s="13" t="s">
        <v>75</v>
      </c>
      <c r="S4043" s="13" t="s">
        <v>50</v>
      </c>
      <c r="T4043" s="44">
        <v>45812.69832784722</v>
      </c>
      <c r="U4043" s="44">
        <v>45812.698343854165</v>
      </c>
      <c r="V4043" s="198">
        <v>45812.70329225695</v>
      </c>
      <c r="W4043" s="11"/>
      <c r="X4043" s="11"/>
      <c r="Y4043" s="45">
        <v>302.0</v>
      </c>
      <c r="Z4043" s="45" t="s">
        <v>15725</v>
      </c>
      <c r="AA4043" s="31"/>
      <c r="AB4043" s="45" t="s">
        <v>15726</v>
      </c>
      <c r="AC4043" s="45"/>
    </row>
    <row r="4044" ht="18.75" customHeight="1">
      <c r="A4044" s="142" t="s">
        <v>15727</v>
      </c>
      <c r="B4044" s="19" t="s">
        <v>15728</v>
      </c>
      <c r="C4044" s="20">
        <v>137.0</v>
      </c>
      <c r="D4044" s="48" t="s">
        <v>15729</v>
      </c>
      <c r="E4044" s="27" t="s">
        <v>85</v>
      </c>
      <c r="F4044" s="27" t="s">
        <v>48</v>
      </c>
      <c r="G4044" s="18" t="s">
        <v>35</v>
      </c>
      <c r="H4044" s="40" t="s">
        <v>35</v>
      </c>
      <c r="I4044" s="37" t="s">
        <v>36</v>
      </c>
      <c r="J4044" s="25" t="s">
        <v>15730</v>
      </c>
      <c r="K4044" s="26" t="s">
        <v>2978</v>
      </c>
      <c r="L4044" s="25">
        <v>13093.0</v>
      </c>
      <c r="M4044" s="49" t="s">
        <v>50</v>
      </c>
      <c r="N4044" s="42" t="s">
        <v>4616</v>
      </c>
      <c r="O4044" s="67">
        <v>45799.60527526621</v>
      </c>
      <c r="P4044" s="35" t="s">
        <v>15731</v>
      </c>
      <c r="Q4044" s="13" t="s">
        <v>75</v>
      </c>
      <c r="R4044" s="13" t="s">
        <v>75</v>
      </c>
      <c r="S4044" s="13" t="s">
        <v>50</v>
      </c>
      <c r="T4044" s="44">
        <v>45798.6415328125</v>
      </c>
      <c r="U4044" s="44">
        <v>45798.69377203703</v>
      </c>
      <c r="V4044" s="198">
        <v>45799.34939023148</v>
      </c>
      <c r="W4044" s="11"/>
      <c r="X4044" s="11"/>
      <c r="Y4044" s="45">
        <v>302.0</v>
      </c>
      <c r="Z4044" s="45" t="s">
        <v>15732</v>
      </c>
      <c r="AA4044" s="31"/>
      <c r="AB4044" s="45" t="s">
        <v>15733</v>
      </c>
      <c r="AC4044" s="45"/>
    </row>
    <row r="4045" ht="18.75" customHeight="1">
      <c r="A4045" s="142" t="s">
        <v>15734</v>
      </c>
      <c r="B4045" s="19" t="s">
        <v>11243</v>
      </c>
      <c r="C4045" s="20">
        <v>0.0</v>
      </c>
      <c r="D4045" s="48" t="s">
        <v>15735</v>
      </c>
      <c r="E4045" s="27" t="s">
        <v>1595</v>
      </c>
      <c r="F4045" s="27" t="s">
        <v>33</v>
      </c>
      <c r="G4045" s="18" t="s">
        <v>35</v>
      </c>
      <c r="H4045" s="40" t="s">
        <v>35</v>
      </c>
      <c r="I4045" s="37" t="s">
        <v>36</v>
      </c>
      <c r="J4045" s="25" t="s">
        <v>49</v>
      </c>
      <c r="K4045" s="26" t="s">
        <v>38</v>
      </c>
      <c r="L4045" s="25">
        <v>13108.0</v>
      </c>
      <c r="M4045" s="49" t="s">
        <v>50</v>
      </c>
      <c r="N4045" s="42" t="s">
        <v>5936</v>
      </c>
      <c r="O4045" s="67">
        <v>45800.641164560184</v>
      </c>
      <c r="P4045" s="35" t="s">
        <v>15666</v>
      </c>
      <c r="Q4045" s="13" t="s">
        <v>75</v>
      </c>
      <c r="R4045" s="13" t="s">
        <v>75</v>
      </c>
      <c r="S4045" s="13" t="s">
        <v>101</v>
      </c>
      <c r="T4045" s="44">
        <v>45798.38436671296</v>
      </c>
      <c r="U4045" s="44">
        <v>45798.47967540509</v>
      </c>
      <c r="V4045" s="198">
        <v>45799.73243512731</v>
      </c>
      <c r="W4045" s="11"/>
      <c r="X4045" s="11"/>
      <c r="Y4045" s="45">
        <v>302.0</v>
      </c>
      <c r="Z4045" s="45" t="s">
        <v>15736</v>
      </c>
      <c r="AA4045" s="31"/>
      <c r="AB4045" s="45" t="s">
        <v>15737</v>
      </c>
      <c r="AC4045" s="45"/>
    </row>
    <row r="4046" ht="18.75" customHeight="1">
      <c r="A4046" s="142" t="s">
        <v>15738</v>
      </c>
      <c r="B4046" s="19" t="s">
        <v>15739</v>
      </c>
      <c r="C4046" s="20">
        <v>0.0</v>
      </c>
      <c r="D4046" s="48"/>
      <c r="E4046" s="27" t="s">
        <v>3441</v>
      </c>
      <c r="F4046" s="27" t="s">
        <v>48</v>
      </c>
      <c r="G4046" s="18" t="s">
        <v>35</v>
      </c>
      <c r="H4046" s="40" t="s">
        <v>35</v>
      </c>
      <c r="I4046" s="24" t="s">
        <v>665</v>
      </c>
      <c r="J4046" s="25" t="s">
        <v>65</v>
      </c>
      <c r="K4046" s="26" t="s">
        <v>38</v>
      </c>
      <c r="L4046" s="25">
        <v>13088.0</v>
      </c>
      <c r="M4046" s="49" t="s">
        <v>50</v>
      </c>
      <c r="N4046" s="42" t="s">
        <v>4908</v>
      </c>
      <c r="O4046" s="67">
        <v>45798.662452233795</v>
      </c>
      <c r="P4046" s="35" t="s">
        <v>15740</v>
      </c>
      <c r="Q4046" s="13" t="s">
        <v>75</v>
      </c>
      <c r="R4046" s="13" t="s">
        <v>75</v>
      </c>
      <c r="S4046" s="13" t="s">
        <v>50</v>
      </c>
      <c r="T4046" s="44">
        <v>45798.47466710648</v>
      </c>
      <c r="U4046" s="44">
        <v>45798.47526050926</v>
      </c>
      <c r="V4046" s="198">
        <v>45798.512885185184</v>
      </c>
      <c r="W4046" s="11"/>
      <c r="X4046" s="11"/>
      <c r="Y4046" s="45">
        <v>302.0</v>
      </c>
      <c r="Z4046" s="45" t="s">
        <v>15741</v>
      </c>
      <c r="AA4046" s="31" t="e">
        <v>#N/A</v>
      </c>
      <c r="AB4046" s="45" t="s">
        <v>15742</v>
      </c>
      <c r="AC4046" s="45"/>
    </row>
    <row r="4047" ht="18.75" customHeight="1">
      <c r="A4047" s="18" t="s">
        <v>15743</v>
      </c>
      <c r="B4047" s="19" t="s">
        <v>10529</v>
      </c>
      <c r="C4047" s="20">
        <v>0.0</v>
      </c>
      <c r="D4047" s="48" t="s">
        <v>15744</v>
      </c>
      <c r="E4047" s="27" t="s">
        <v>4430</v>
      </c>
      <c r="F4047" s="27" t="s">
        <v>48</v>
      </c>
      <c r="G4047" s="18" t="s">
        <v>35</v>
      </c>
      <c r="H4047" s="40" t="s">
        <v>35</v>
      </c>
      <c r="I4047" s="37" t="s">
        <v>36</v>
      </c>
      <c r="J4047" s="25" t="s">
        <v>92</v>
      </c>
      <c r="K4047" s="26" t="s">
        <v>38</v>
      </c>
      <c r="L4047" s="72">
        <v>13172.0</v>
      </c>
      <c r="M4047" s="49" t="s">
        <v>50</v>
      </c>
      <c r="N4047" s="42" t="s">
        <v>15745</v>
      </c>
      <c r="O4047" s="67">
        <v>45812.707094745376</v>
      </c>
      <c r="P4047" s="26" t="s">
        <v>15746</v>
      </c>
      <c r="Q4047" s="13" t="s">
        <v>75</v>
      </c>
      <c r="R4047" s="13" t="s">
        <v>75</v>
      </c>
      <c r="S4047" s="13" t="s">
        <v>73</v>
      </c>
      <c r="T4047" s="44">
        <v>45800.39234799768</v>
      </c>
      <c r="U4047" s="44">
        <v>45811.36563251157</v>
      </c>
      <c r="V4047" s="198">
        <v>45811.45646386574</v>
      </c>
      <c r="W4047" s="11"/>
      <c r="X4047" s="11"/>
      <c r="Y4047" s="45">
        <v>302.0</v>
      </c>
      <c r="Z4047" s="45" t="s">
        <v>15747</v>
      </c>
      <c r="AA4047" s="31"/>
      <c r="AB4047" s="45" t="s">
        <v>15748</v>
      </c>
      <c r="AC4047" s="45"/>
    </row>
    <row r="4048" ht="18.75" customHeight="1">
      <c r="A4048" s="18" t="s">
        <v>15749</v>
      </c>
      <c r="B4048" s="19" t="s">
        <v>10529</v>
      </c>
      <c r="C4048" s="20">
        <v>0.0</v>
      </c>
      <c r="D4048" s="48" t="s">
        <v>15750</v>
      </c>
      <c r="E4048" s="27" t="s">
        <v>4430</v>
      </c>
      <c r="F4048" s="27" t="s">
        <v>48</v>
      </c>
      <c r="G4048" s="18" t="s">
        <v>35</v>
      </c>
      <c r="H4048" s="40" t="s">
        <v>35</v>
      </c>
      <c r="I4048" s="37" t="s">
        <v>36</v>
      </c>
      <c r="J4048" s="25" t="s">
        <v>92</v>
      </c>
      <c r="K4048" s="26" t="s">
        <v>38</v>
      </c>
      <c r="L4048" s="72">
        <v>13172.0</v>
      </c>
      <c r="M4048" s="49" t="s">
        <v>50</v>
      </c>
      <c r="N4048" s="42" t="s">
        <v>15745</v>
      </c>
      <c r="O4048" s="67">
        <v>45812.70715037037</v>
      </c>
      <c r="P4048" s="26" t="s">
        <v>15746</v>
      </c>
      <c r="Q4048" s="13" t="s">
        <v>75</v>
      </c>
      <c r="R4048" s="13" t="s">
        <v>75</v>
      </c>
      <c r="S4048" s="13" t="s">
        <v>73</v>
      </c>
      <c r="T4048" s="44">
        <v>45800.39248212963</v>
      </c>
      <c r="U4048" s="44">
        <v>45811.36567565972</v>
      </c>
      <c r="V4048" s="198">
        <v>45811.456579687496</v>
      </c>
      <c r="W4048" s="11"/>
      <c r="X4048" s="11"/>
      <c r="Y4048" s="45">
        <v>302.0</v>
      </c>
      <c r="Z4048" s="45" t="s">
        <v>15751</v>
      </c>
      <c r="AA4048" s="31"/>
      <c r="AB4048" s="45" t="s">
        <v>15752</v>
      </c>
      <c r="AC4048" s="45"/>
    </row>
    <row r="4049" ht="18.75" customHeight="1">
      <c r="A4049" s="18" t="s">
        <v>15753</v>
      </c>
      <c r="B4049" s="19" t="s">
        <v>10529</v>
      </c>
      <c r="C4049" s="20">
        <v>0.0</v>
      </c>
      <c r="D4049" s="48" t="s">
        <v>15754</v>
      </c>
      <c r="E4049" s="27" t="s">
        <v>4430</v>
      </c>
      <c r="F4049" s="27" t="s">
        <v>48</v>
      </c>
      <c r="G4049" s="18" t="s">
        <v>35</v>
      </c>
      <c r="H4049" s="40" t="s">
        <v>35</v>
      </c>
      <c r="I4049" s="37" t="s">
        <v>36</v>
      </c>
      <c r="J4049" s="25" t="s">
        <v>92</v>
      </c>
      <c r="K4049" s="26" t="s">
        <v>38</v>
      </c>
      <c r="L4049" s="72">
        <v>13172.0</v>
      </c>
      <c r="M4049" s="49" t="s">
        <v>50</v>
      </c>
      <c r="N4049" s="42" t="s">
        <v>15745</v>
      </c>
      <c r="O4049" s="67">
        <v>45812.707332777776</v>
      </c>
      <c r="P4049" s="26" t="s">
        <v>15746</v>
      </c>
      <c r="Q4049" s="13" t="s">
        <v>75</v>
      </c>
      <c r="R4049" s="13" t="s">
        <v>75</v>
      </c>
      <c r="S4049" s="13" t="s">
        <v>73</v>
      </c>
      <c r="T4049" s="44">
        <v>45800.39299424768</v>
      </c>
      <c r="U4049" s="44">
        <v>45811.36575891204</v>
      </c>
      <c r="V4049" s="198">
        <v>45811.45669564814</v>
      </c>
      <c r="W4049" s="11"/>
      <c r="X4049" s="11"/>
      <c r="Y4049" s="45">
        <v>302.0</v>
      </c>
      <c r="Z4049" s="45" t="s">
        <v>15755</v>
      </c>
      <c r="AA4049" s="31"/>
      <c r="AB4049" s="45" t="s">
        <v>15756</v>
      </c>
      <c r="AC4049" s="45"/>
    </row>
    <row r="4050" ht="18.75" customHeight="1">
      <c r="A4050" s="18" t="s">
        <v>15757</v>
      </c>
      <c r="B4050" s="19" t="s">
        <v>10529</v>
      </c>
      <c r="C4050" s="20">
        <v>0.0</v>
      </c>
      <c r="D4050" s="48" t="s">
        <v>15758</v>
      </c>
      <c r="E4050" s="27" t="s">
        <v>4430</v>
      </c>
      <c r="F4050" s="27" t="s">
        <v>48</v>
      </c>
      <c r="G4050" s="18" t="s">
        <v>35</v>
      </c>
      <c r="H4050" s="40" t="s">
        <v>35</v>
      </c>
      <c r="I4050" s="37" t="s">
        <v>36</v>
      </c>
      <c r="J4050" s="25" t="s">
        <v>92</v>
      </c>
      <c r="K4050" s="26" t="s">
        <v>38</v>
      </c>
      <c r="L4050" s="72">
        <v>13172.0</v>
      </c>
      <c r="M4050" s="49" t="s">
        <v>50</v>
      </c>
      <c r="N4050" s="42" t="s">
        <v>15745</v>
      </c>
      <c r="O4050" s="67">
        <v>45812.70729047454</v>
      </c>
      <c r="P4050" s="26" t="s">
        <v>15746</v>
      </c>
      <c r="Q4050" s="13" t="s">
        <v>75</v>
      </c>
      <c r="R4050" s="13" t="s">
        <v>75</v>
      </c>
      <c r="S4050" s="13" t="s">
        <v>73</v>
      </c>
      <c r="T4050" s="44">
        <v>45800.39264042824</v>
      </c>
      <c r="U4050" s="44">
        <v>45811.36573284722</v>
      </c>
      <c r="V4050" s="198">
        <v>45811.456695636574</v>
      </c>
      <c r="W4050" s="11"/>
      <c r="X4050" s="11"/>
      <c r="Y4050" s="45">
        <v>302.0</v>
      </c>
      <c r="Z4050" s="45" t="s">
        <v>15759</v>
      </c>
      <c r="AA4050" s="31"/>
      <c r="AB4050" s="45" t="s">
        <v>15760</v>
      </c>
      <c r="AC4050" s="45"/>
    </row>
    <row r="4051" ht="18.75" customHeight="1">
      <c r="A4051" s="18" t="s">
        <v>15761</v>
      </c>
      <c r="B4051" s="19" t="s">
        <v>10529</v>
      </c>
      <c r="C4051" s="20">
        <v>0.0</v>
      </c>
      <c r="D4051" s="48" t="s">
        <v>15762</v>
      </c>
      <c r="E4051" s="27" t="s">
        <v>4430</v>
      </c>
      <c r="F4051" s="27" t="s">
        <v>48</v>
      </c>
      <c r="G4051" s="18" t="s">
        <v>35</v>
      </c>
      <c r="H4051" s="40" t="s">
        <v>35</v>
      </c>
      <c r="I4051" s="37" t="s">
        <v>36</v>
      </c>
      <c r="J4051" s="25" t="s">
        <v>92</v>
      </c>
      <c r="K4051" s="26" t="s">
        <v>38</v>
      </c>
      <c r="L4051" s="72">
        <v>13172.0</v>
      </c>
      <c r="M4051" s="49" t="s">
        <v>50</v>
      </c>
      <c r="N4051" s="42" t="s">
        <v>15745</v>
      </c>
      <c r="O4051" s="67">
        <v>45812.70724336806</v>
      </c>
      <c r="P4051" s="26" t="s">
        <v>15746</v>
      </c>
      <c r="Q4051" s="13" t="s">
        <v>75</v>
      </c>
      <c r="R4051" s="13" t="s">
        <v>75</v>
      </c>
      <c r="S4051" s="13" t="s">
        <v>73</v>
      </c>
      <c r="T4051" s="44">
        <v>45800.39255585648</v>
      </c>
      <c r="U4051" s="44">
        <v>45811.36570547454</v>
      </c>
      <c r="V4051" s="198">
        <v>45811.45657969908</v>
      </c>
      <c r="W4051" s="11"/>
      <c r="X4051" s="11"/>
      <c r="Y4051" s="45">
        <v>302.0</v>
      </c>
      <c r="Z4051" s="45" t="s">
        <v>15763</v>
      </c>
      <c r="AA4051" s="31"/>
      <c r="AB4051" s="45" t="s">
        <v>15764</v>
      </c>
      <c r="AC4051" s="45"/>
    </row>
    <row r="4052" ht="18.75" customHeight="1">
      <c r="A4052" s="18" t="s">
        <v>15765</v>
      </c>
      <c r="B4052" s="19" t="s">
        <v>10529</v>
      </c>
      <c r="C4052" s="20">
        <v>0.0</v>
      </c>
      <c r="D4052" s="48" t="s">
        <v>15766</v>
      </c>
      <c r="E4052" s="27" t="s">
        <v>4430</v>
      </c>
      <c r="F4052" s="27" t="s">
        <v>48</v>
      </c>
      <c r="G4052" s="18" t="s">
        <v>35</v>
      </c>
      <c r="H4052" s="40" t="s">
        <v>35</v>
      </c>
      <c r="I4052" s="37" t="s">
        <v>36</v>
      </c>
      <c r="J4052" s="25" t="s">
        <v>92</v>
      </c>
      <c r="K4052" s="26" t="s">
        <v>38</v>
      </c>
      <c r="L4052" s="72">
        <v>13172.0</v>
      </c>
      <c r="M4052" s="49" t="s">
        <v>50</v>
      </c>
      <c r="N4052" s="42" t="s">
        <v>15745</v>
      </c>
      <c r="O4052" s="67">
        <v>45812.70782402778</v>
      </c>
      <c r="P4052" s="26" t="s">
        <v>15746</v>
      </c>
      <c r="Q4052" s="13" t="s">
        <v>75</v>
      </c>
      <c r="R4052" s="13" t="s">
        <v>75</v>
      </c>
      <c r="S4052" s="13" t="s">
        <v>73</v>
      </c>
      <c r="T4052" s="44">
        <v>45800.39313454861</v>
      </c>
      <c r="U4052" s="44">
        <v>45811.36640653935</v>
      </c>
      <c r="V4052" s="198">
        <v>45811.45715891204</v>
      </c>
      <c r="W4052" s="11"/>
      <c r="X4052" s="11"/>
      <c r="Y4052" s="45">
        <v>302.0</v>
      </c>
      <c r="Z4052" s="45" t="s">
        <v>15767</v>
      </c>
      <c r="AA4052" s="31"/>
      <c r="AB4052" s="45" t="s">
        <v>15768</v>
      </c>
      <c r="AC4052" s="45"/>
    </row>
    <row r="4053" ht="18.75" customHeight="1">
      <c r="A4053" s="18" t="s">
        <v>15769</v>
      </c>
      <c r="B4053" s="19" t="s">
        <v>10529</v>
      </c>
      <c r="C4053" s="20">
        <v>0.0</v>
      </c>
      <c r="D4053" s="48" t="s">
        <v>15770</v>
      </c>
      <c r="E4053" s="27" t="s">
        <v>4430</v>
      </c>
      <c r="F4053" s="27" t="s">
        <v>48</v>
      </c>
      <c r="G4053" s="18" t="s">
        <v>35</v>
      </c>
      <c r="H4053" s="40" t="s">
        <v>35</v>
      </c>
      <c r="I4053" s="37" t="s">
        <v>36</v>
      </c>
      <c r="J4053" s="25" t="s">
        <v>92</v>
      </c>
      <c r="K4053" s="26" t="s">
        <v>38</v>
      </c>
      <c r="L4053" s="72">
        <v>13172.0</v>
      </c>
      <c r="M4053" s="49" t="s">
        <v>50</v>
      </c>
      <c r="N4053" s="42" t="s">
        <v>15745</v>
      </c>
      <c r="O4053" s="67">
        <v>45812.70738172454</v>
      </c>
      <c r="P4053" s="26" t="s">
        <v>15746</v>
      </c>
      <c r="Q4053" s="13" t="s">
        <v>75</v>
      </c>
      <c r="R4053" s="13" t="s">
        <v>75</v>
      </c>
      <c r="S4053" s="13" t="s">
        <v>73</v>
      </c>
      <c r="T4053" s="44">
        <v>45800.39321260416</v>
      </c>
      <c r="U4053" s="44">
        <v>45811.36579203704</v>
      </c>
      <c r="V4053" s="198">
        <v>45811.45669564814</v>
      </c>
      <c r="W4053" s="11"/>
      <c r="X4053" s="11"/>
      <c r="Y4053" s="45">
        <v>302.0</v>
      </c>
      <c r="Z4053" s="45" t="s">
        <v>15771</v>
      </c>
      <c r="AA4053" s="31"/>
      <c r="AB4053" s="45" t="s">
        <v>15772</v>
      </c>
      <c r="AC4053" s="45"/>
    </row>
    <row r="4054" ht="18.75" customHeight="1">
      <c r="A4054" s="18" t="s">
        <v>15773</v>
      </c>
      <c r="B4054" s="19" t="s">
        <v>10529</v>
      </c>
      <c r="C4054" s="20">
        <v>0.0</v>
      </c>
      <c r="D4054" s="48" t="s">
        <v>15774</v>
      </c>
      <c r="E4054" s="27" t="s">
        <v>4430</v>
      </c>
      <c r="F4054" s="27" t="s">
        <v>48</v>
      </c>
      <c r="G4054" s="18" t="s">
        <v>35</v>
      </c>
      <c r="H4054" s="40" t="s">
        <v>35</v>
      </c>
      <c r="I4054" s="37" t="s">
        <v>36</v>
      </c>
      <c r="J4054" s="25" t="s">
        <v>92</v>
      </c>
      <c r="K4054" s="26" t="s">
        <v>38</v>
      </c>
      <c r="L4054" s="72">
        <v>13172.0</v>
      </c>
      <c r="M4054" s="49" t="s">
        <v>50</v>
      </c>
      <c r="N4054" s="42" t="s">
        <v>15745</v>
      </c>
      <c r="O4054" s="67">
        <v>45812.707485798615</v>
      </c>
      <c r="P4054" s="26" t="s">
        <v>15746</v>
      </c>
      <c r="Q4054" s="13" t="s">
        <v>75</v>
      </c>
      <c r="R4054" s="13" t="s">
        <v>75</v>
      </c>
      <c r="S4054" s="13" t="s">
        <v>73</v>
      </c>
      <c r="T4054" s="44">
        <v>45800.39327083333</v>
      </c>
      <c r="U4054" s="44">
        <v>45811.365838275466</v>
      </c>
      <c r="V4054" s="198">
        <v>45811.45681449074</v>
      </c>
      <c r="W4054" s="11"/>
      <c r="X4054" s="11"/>
      <c r="Y4054" s="45">
        <v>302.0</v>
      </c>
      <c r="Z4054" s="45" t="s">
        <v>15775</v>
      </c>
      <c r="AA4054" s="31"/>
      <c r="AB4054" s="45" t="s">
        <v>15776</v>
      </c>
      <c r="AC4054" s="45"/>
    </row>
    <row r="4055" ht="18.75" customHeight="1">
      <c r="A4055" s="18" t="s">
        <v>15777</v>
      </c>
      <c r="B4055" s="19" t="s">
        <v>10529</v>
      </c>
      <c r="C4055" s="20">
        <v>0.0</v>
      </c>
      <c r="D4055" s="48" t="s">
        <v>15778</v>
      </c>
      <c r="E4055" s="27" t="s">
        <v>4430</v>
      </c>
      <c r="F4055" s="27" t="s">
        <v>48</v>
      </c>
      <c r="G4055" s="18" t="s">
        <v>35</v>
      </c>
      <c r="H4055" s="40" t="s">
        <v>35</v>
      </c>
      <c r="I4055" s="37" t="s">
        <v>36</v>
      </c>
      <c r="J4055" s="25" t="s">
        <v>92</v>
      </c>
      <c r="K4055" s="26" t="s">
        <v>38</v>
      </c>
      <c r="L4055" s="72">
        <v>13172.0</v>
      </c>
      <c r="M4055" s="49" t="s">
        <v>50</v>
      </c>
      <c r="N4055" s="42" t="s">
        <v>15745</v>
      </c>
      <c r="O4055" s="67">
        <v>45812.70767684028</v>
      </c>
      <c r="P4055" s="26" t="s">
        <v>15746</v>
      </c>
      <c r="Q4055" s="13" t="s">
        <v>75</v>
      </c>
      <c r="R4055" s="13" t="s">
        <v>75</v>
      </c>
      <c r="S4055" s="13" t="s">
        <v>73</v>
      </c>
      <c r="T4055" s="44">
        <v>45800.39335056713</v>
      </c>
      <c r="U4055" s="44">
        <v>45811.366328414355</v>
      </c>
      <c r="V4055" s="198">
        <v>45811.45704243056</v>
      </c>
      <c r="W4055" s="11"/>
      <c r="X4055" s="11"/>
      <c r="Y4055" s="45">
        <v>302.0</v>
      </c>
      <c r="Z4055" s="45" t="s">
        <v>15779</v>
      </c>
      <c r="AA4055" s="31"/>
      <c r="AB4055" s="45" t="s">
        <v>15780</v>
      </c>
      <c r="AC4055" s="45"/>
    </row>
    <row r="4056" ht="18.75" customHeight="1">
      <c r="A4056" s="18" t="s">
        <v>15781</v>
      </c>
      <c r="B4056" s="19" t="s">
        <v>10529</v>
      </c>
      <c r="C4056" s="20">
        <v>0.0</v>
      </c>
      <c r="D4056" s="48" t="s">
        <v>15782</v>
      </c>
      <c r="E4056" s="27" t="s">
        <v>4430</v>
      </c>
      <c r="F4056" s="27" t="s">
        <v>48</v>
      </c>
      <c r="G4056" s="18" t="s">
        <v>35</v>
      </c>
      <c r="H4056" s="40" t="s">
        <v>35</v>
      </c>
      <c r="I4056" s="37" t="s">
        <v>36</v>
      </c>
      <c r="J4056" s="25" t="s">
        <v>92</v>
      </c>
      <c r="K4056" s="26" t="s">
        <v>38</v>
      </c>
      <c r="L4056" s="72">
        <v>13172.0</v>
      </c>
      <c r="M4056" s="49" t="s">
        <v>50</v>
      </c>
      <c r="N4056" s="42" t="s">
        <v>15745</v>
      </c>
      <c r="O4056" s="67">
        <v>45812.70743300926</v>
      </c>
      <c r="P4056" s="26" t="s">
        <v>15746</v>
      </c>
      <c r="Q4056" s="13" t="s">
        <v>75</v>
      </c>
      <c r="R4056" s="13" t="s">
        <v>75</v>
      </c>
      <c r="S4056" s="13" t="s">
        <v>73</v>
      </c>
      <c r="T4056" s="44">
        <v>45800.39343188658</v>
      </c>
      <c r="U4056" s="44">
        <v>45811.36581019676</v>
      </c>
      <c r="V4056" s="198">
        <v>45811.45681449074</v>
      </c>
      <c r="W4056" s="11"/>
      <c r="X4056" s="11"/>
      <c r="Y4056" s="45">
        <v>302.0</v>
      </c>
      <c r="Z4056" s="45" t="s">
        <v>15783</v>
      </c>
      <c r="AA4056" s="31"/>
      <c r="AB4056" s="45" t="s">
        <v>15784</v>
      </c>
      <c r="AC4056" s="45"/>
    </row>
    <row r="4057" ht="18.75" customHeight="1">
      <c r="A4057" s="18" t="s">
        <v>15785</v>
      </c>
      <c r="B4057" s="19" t="s">
        <v>10529</v>
      </c>
      <c r="C4057" s="20">
        <v>0.0</v>
      </c>
      <c r="D4057" s="48" t="s">
        <v>15786</v>
      </c>
      <c r="E4057" s="27" t="s">
        <v>4430</v>
      </c>
      <c r="F4057" s="27" t="s">
        <v>48</v>
      </c>
      <c r="G4057" s="18" t="s">
        <v>35</v>
      </c>
      <c r="H4057" s="40" t="s">
        <v>35</v>
      </c>
      <c r="I4057" s="37" t="s">
        <v>36</v>
      </c>
      <c r="J4057" s="25" t="s">
        <v>92</v>
      </c>
      <c r="K4057" s="26" t="s">
        <v>38</v>
      </c>
      <c r="L4057" s="72">
        <v>13172.0</v>
      </c>
      <c r="M4057" s="49" t="s">
        <v>50</v>
      </c>
      <c r="N4057" s="42" t="s">
        <v>15745</v>
      </c>
      <c r="O4057" s="67">
        <v>45812.70762782407</v>
      </c>
      <c r="P4057" s="26" t="s">
        <v>15746</v>
      </c>
      <c r="Q4057" s="13" t="s">
        <v>75</v>
      </c>
      <c r="R4057" s="13" t="s">
        <v>75</v>
      </c>
      <c r="S4057" s="13" t="s">
        <v>73</v>
      </c>
      <c r="T4057" s="44">
        <v>45800.393500590275</v>
      </c>
      <c r="U4057" s="44">
        <v>45811.366293576386</v>
      </c>
      <c r="V4057" s="198">
        <v>45811.45704241898</v>
      </c>
      <c r="W4057" s="11"/>
      <c r="X4057" s="11"/>
      <c r="Y4057" s="45">
        <v>302.0</v>
      </c>
      <c r="Z4057" s="45" t="s">
        <v>15787</v>
      </c>
      <c r="AA4057" s="31"/>
      <c r="AB4057" s="45" t="s">
        <v>15788</v>
      </c>
      <c r="AC4057" s="45"/>
    </row>
    <row r="4058" ht="18.75" customHeight="1">
      <c r="A4058" s="18" t="s">
        <v>15789</v>
      </c>
      <c r="B4058" s="19" t="s">
        <v>10529</v>
      </c>
      <c r="C4058" s="20">
        <v>0.0</v>
      </c>
      <c r="D4058" s="48" t="s">
        <v>15790</v>
      </c>
      <c r="E4058" s="27" t="s">
        <v>4430</v>
      </c>
      <c r="F4058" s="27" t="s">
        <v>48</v>
      </c>
      <c r="G4058" s="18" t="s">
        <v>35</v>
      </c>
      <c r="H4058" s="40" t="s">
        <v>35</v>
      </c>
      <c r="I4058" s="37" t="s">
        <v>36</v>
      </c>
      <c r="J4058" s="25" t="s">
        <v>92</v>
      </c>
      <c r="K4058" s="26" t="s">
        <v>38</v>
      </c>
      <c r="L4058" s="72">
        <v>13172.0</v>
      </c>
      <c r="M4058" s="49" t="s">
        <v>50</v>
      </c>
      <c r="N4058" s="42" t="s">
        <v>15745</v>
      </c>
      <c r="O4058" s="67">
        <v>45812.70757342593</v>
      </c>
      <c r="P4058" s="26" t="s">
        <v>15746</v>
      </c>
      <c r="Q4058" s="13" t="s">
        <v>75</v>
      </c>
      <c r="R4058" s="13" t="s">
        <v>75</v>
      </c>
      <c r="S4058" s="13" t="s">
        <v>73</v>
      </c>
      <c r="T4058" s="44">
        <v>45800.39357400463</v>
      </c>
      <c r="U4058" s="44">
        <v>45811.36589</v>
      </c>
      <c r="V4058" s="198">
        <v>45811.45692667824</v>
      </c>
      <c r="W4058" s="11"/>
      <c r="X4058" s="11"/>
      <c r="Y4058" s="45">
        <v>302.0</v>
      </c>
      <c r="Z4058" s="45" t="s">
        <v>15791</v>
      </c>
      <c r="AA4058" s="31"/>
      <c r="AB4058" s="45" t="s">
        <v>15792</v>
      </c>
      <c r="AC4058" s="45"/>
    </row>
    <row r="4059" ht="18.75" customHeight="1">
      <c r="A4059" s="18" t="s">
        <v>15793</v>
      </c>
      <c r="B4059" s="19" t="s">
        <v>10529</v>
      </c>
      <c r="C4059" s="20">
        <v>0.0</v>
      </c>
      <c r="D4059" s="48" t="s">
        <v>15794</v>
      </c>
      <c r="E4059" s="27" t="s">
        <v>4430</v>
      </c>
      <c r="F4059" s="27" t="s">
        <v>48</v>
      </c>
      <c r="G4059" s="18" t="s">
        <v>35</v>
      </c>
      <c r="H4059" s="40" t="s">
        <v>35</v>
      </c>
      <c r="I4059" s="37" t="s">
        <v>36</v>
      </c>
      <c r="J4059" s="25" t="s">
        <v>92</v>
      </c>
      <c r="K4059" s="26" t="s">
        <v>38</v>
      </c>
      <c r="L4059" s="72">
        <v>13172.0</v>
      </c>
      <c r="M4059" s="49" t="s">
        <v>50</v>
      </c>
      <c r="N4059" s="42" t="s">
        <v>15745</v>
      </c>
      <c r="O4059" s="67">
        <v>45812.70753034722</v>
      </c>
      <c r="P4059" s="26" t="s">
        <v>15746</v>
      </c>
      <c r="Q4059" s="13" t="s">
        <v>75</v>
      </c>
      <c r="R4059" s="13" t="s">
        <v>75</v>
      </c>
      <c r="S4059" s="13" t="s">
        <v>73</v>
      </c>
      <c r="T4059" s="44">
        <v>45800.39364962963</v>
      </c>
      <c r="U4059" s="44">
        <v>45811.36586160879</v>
      </c>
      <c r="V4059" s="198">
        <v>45811.45692667824</v>
      </c>
      <c r="W4059" s="11"/>
      <c r="X4059" s="11"/>
      <c r="Y4059" s="45">
        <v>302.0</v>
      </c>
      <c r="Z4059" s="45" t="s">
        <v>15795</v>
      </c>
      <c r="AA4059" s="31"/>
      <c r="AB4059" s="45" t="s">
        <v>15796</v>
      </c>
      <c r="AC4059" s="45"/>
    </row>
    <row r="4060" ht="18.75" customHeight="1">
      <c r="A4060" s="18" t="s">
        <v>15797</v>
      </c>
      <c r="B4060" s="19" t="s">
        <v>10529</v>
      </c>
      <c r="C4060" s="20">
        <v>0.0</v>
      </c>
      <c r="D4060" s="48" t="s">
        <v>15798</v>
      </c>
      <c r="E4060" s="27" t="s">
        <v>4430</v>
      </c>
      <c r="F4060" s="27" t="s">
        <v>48</v>
      </c>
      <c r="G4060" s="18" t="s">
        <v>35</v>
      </c>
      <c r="H4060" s="40" t="s">
        <v>35</v>
      </c>
      <c r="I4060" s="37" t="s">
        <v>36</v>
      </c>
      <c r="J4060" s="25" t="s">
        <v>92</v>
      </c>
      <c r="K4060" s="26" t="s">
        <v>38</v>
      </c>
      <c r="L4060" s="72">
        <v>13172.0</v>
      </c>
      <c r="M4060" s="49" t="s">
        <v>50</v>
      </c>
      <c r="N4060" s="42" t="s">
        <v>15745</v>
      </c>
      <c r="O4060" s="67">
        <v>45812.70799201389</v>
      </c>
      <c r="P4060" s="26" t="s">
        <v>15746</v>
      </c>
      <c r="Q4060" s="13" t="s">
        <v>75</v>
      </c>
      <c r="R4060" s="13" t="s">
        <v>75</v>
      </c>
      <c r="S4060" s="13" t="s">
        <v>73</v>
      </c>
      <c r="T4060" s="44">
        <v>45800.39377607639</v>
      </c>
      <c r="U4060" s="44">
        <v>45811.36648405093</v>
      </c>
      <c r="V4060" s="198">
        <v>45811.45727457176</v>
      </c>
      <c r="W4060" s="11"/>
      <c r="X4060" s="11"/>
      <c r="Y4060" s="45">
        <v>302.0</v>
      </c>
      <c r="Z4060" s="45" t="s">
        <v>15799</v>
      </c>
      <c r="AA4060" s="31"/>
      <c r="AB4060" s="45" t="s">
        <v>15800</v>
      </c>
      <c r="AC4060" s="45"/>
    </row>
    <row r="4061" ht="18.75" customHeight="1">
      <c r="A4061" s="18" t="s">
        <v>15801</v>
      </c>
      <c r="B4061" s="19" t="s">
        <v>10529</v>
      </c>
      <c r="C4061" s="20">
        <v>0.0</v>
      </c>
      <c r="D4061" s="48" t="s">
        <v>15802</v>
      </c>
      <c r="E4061" s="27" t="s">
        <v>4430</v>
      </c>
      <c r="F4061" s="27" t="s">
        <v>48</v>
      </c>
      <c r="G4061" s="18" t="s">
        <v>35</v>
      </c>
      <c r="H4061" s="40" t="s">
        <v>35</v>
      </c>
      <c r="I4061" s="37" t="s">
        <v>36</v>
      </c>
      <c r="J4061" s="25" t="s">
        <v>92</v>
      </c>
      <c r="K4061" s="26" t="s">
        <v>38</v>
      </c>
      <c r="L4061" s="72">
        <v>13172.0</v>
      </c>
      <c r="M4061" s="49" t="s">
        <v>50</v>
      </c>
      <c r="N4061" s="42" t="s">
        <v>15745</v>
      </c>
      <c r="O4061" s="67">
        <v>45812.707931111116</v>
      </c>
      <c r="P4061" s="26" t="s">
        <v>15746</v>
      </c>
      <c r="Q4061" s="13" t="s">
        <v>75</v>
      </c>
      <c r="R4061" s="13" t="s">
        <v>75</v>
      </c>
      <c r="S4061" s="13" t="s">
        <v>73</v>
      </c>
      <c r="T4061" s="44">
        <v>45800.3938778125</v>
      </c>
      <c r="U4061" s="44">
        <v>45811.3664550463</v>
      </c>
      <c r="V4061" s="198">
        <v>45811.45727457176</v>
      </c>
      <c r="W4061" s="11"/>
      <c r="X4061" s="11"/>
      <c r="Y4061" s="45">
        <v>302.0</v>
      </c>
      <c r="Z4061" s="45" t="s">
        <v>15803</v>
      </c>
      <c r="AA4061" s="31"/>
      <c r="AB4061" s="45" t="s">
        <v>15804</v>
      </c>
      <c r="AC4061" s="45"/>
    </row>
    <row r="4062" ht="18.75" customHeight="1">
      <c r="A4062" s="18" t="s">
        <v>15805</v>
      </c>
      <c r="B4062" s="19" t="s">
        <v>10529</v>
      </c>
      <c r="C4062" s="20">
        <v>0.0</v>
      </c>
      <c r="D4062" s="48" t="s">
        <v>15806</v>
      </c>
      <c r="E4062" s="27" t="s">
        <v>4430</v>
      </c>
      <c r="F4062" s="27" t="s">
        <v>48</v>
      </c>
      <c r="G4062" s="18" t="s">
        <v>35</v>
      </c>
      <c r="H4062" s="40" t="s">
        <v>35</v>
      </c>
      <c r="I4062" s="37" t="s">
        <v>36</v>
      </c>
      <c r="J4062" s="25" t="s">
        <v>92</v>
      </c>
      <c r="K4062" s="26" t="s">
        <v>38</v>
      </c>
      <c r="L4062" s="72">
        <v>13172.0</v>
      </c>
      <c r="M4062" s="49" t="s">
        <v>50</v>
      </c>
      <c r="N4062" s="42" t="s">
        <v>15745</v>
      </c>
      <c r="O4062" s="67">
        <v>45812.70787221065</v>
      </c>
      <c r="P4062" s="26" t="s">
        <v>15746</v>
      </c>
      <c r="Q4062" s="13" t="s">
        <v>75</v>
      </c>
      <c r="R4062" s="13" t="s">
        <v>75</v>
      </c>
      <c r="S4062" s="13" t="s">
        <v>73</v>
      </c>
      <c r="T4062" s="44">
        <v>45800.393937430556</v>
      </c>
      <c r="U4062" s="44">
        <v>45811.366431539354</v>
      </c>
      <c r="V4062" s="198">
        <v>45811.45715891204</v>
      </c>
      <c r="W4062" s="11"/>
      <c r="X4062" s="11"/>
      <c r="Y4062" s="45">
        <v>302.0</v>
      </c>
      <c r="Z4062" s="45" t="s">
        <v>15807</v>
      </c>
      <c r="AA4062" s="31"/>
      <c r="AB4062" s="45" t="s">
        <v>15808</v>
      </c>
      <c r="AC4062" s="45"/>
    </row>
    <row r="4063" ht="18.75" customHeight="1">
      <c r="A4063" s="18" t="s">
        <v>15809</v>
      </c>
      <c r="B4063" s="19" t="s">
        <v>7885</v>
      </c>
      <c r="C4063" s="20">
        <v>137.0</v>
      </c>
      <c r="D4063" s="48" t="s">
        <v>15810</v>
      </c>
      <c r="E4063" s="27" t="s">
        <v>85</v>
      </c>
      <c r="F4063" s="27" t="s">
        <v>48</v>
      </c>
      <c r="G4063" s="18" t="s">
        <v>35</v>
      </c>
      <c r="H4063" s="40" t="s">
        <v>35</v>
      </c>
      <c r="I4063" s="37" t="s">
        <v>36</v>
      </c>
      <c r="J4063" s="25" t="s">
        <v>49</v>
      </c>
      <c r="K4063" s="26" t="s">
        <v>38</v>
      </c>
      <c r="L4063" s="72">
        <v>13186.0</v>
      </c>
      <c r="M4063" s="49" t="s">
        <v>15811</v>
      </c>
      <c r="N4063" s="42"/>
      <c r="O4063" s="67">
        <v>45814.37722271991</v>
      </c>
      <c r="P4063" s="35" t="s">
        <v>15812</v>
      </c>
      <c r="Q4063" s="13" t="s">
        <v>75</v>
      </c>
      <c r="R4063" s="13" t="s">
        <v>75</v>
      </c>
      <c r="S4063" s="13" t="s">
        <v>75</v>
      </c>
      <c r="T4063" s="44">
        <v>45799.485392291666</v>
      </c>
      <c r="U4063" s="44">
        <v>45814.37722271991</v>
      </c>
      <c r="V4063" s="198">
        <v>45814.37722271991</v>
      </c>
      <c r="W4063" s="11"/>
      <c r="X4063" s="11"/>
      <c r="Y4063" s="45"/>
      <c r="Z4063" s="45"/>
      <c r="AA4063" s="31"/>
      <c r="AB4063" s="45" t="s">
        <v>15813</v>
      </c>
      <c r="AC4063" s="45"/>
    </row>
    <row r="4064" ht="18.75" customHeight="1">
      <c r="A4064" s="18" t="s">
        <v>15814</v>
      </c>
      <c r="B4064" s="19" t="s">
        <v>7885</v>
      </c>
      <c r="C4064" s="20">
        <v>11.0</v>
      </c>
      <c r="D4064" s="48" t="s">
        <v>15815</v>
      </c>
      <c r="E4064" s="27" t="s">
        <v>112</v>
      </c>
      <c r="F4064" s="27" t="s">
        <v>48</v>
      </c>
      <c r="G4064" s="18" t="s">
        <v>35</v>
      </c>
      <c r="H4064" s="40" t="s">
        <v>35</v>
      </c>
      <c r="I4064" s="37" t="s">
        <v>36</v>
      </c>
      <c r="J4064" s="25" t="s">
        <v>49</v>
      </c>
      <c r="K4064" s="26" t="s">
        <v>38</v>
      </c>
      <c r="L4064" s="72">
        <v>13186.0</v>
      </c>
      <c r="M4064" s="49" t="s">
        <v>15811</v>
      </c>
      <c r="N4064" s="42"/>
      <c r="O4064" s="67">
        <v>45814.377323043984</v>
      </c>
      <c r="P4064" s="35" t="s">
        <v>15812</v>
      </c>
      <c r="Q4064" s="13" t="s">
        <v>75</v>
      </c>
      <c r="R4064" s="13" t="s">
        <v>75</v>
      </c>
      <c r="S4064" s="13" t="s">
        <v>75</v>
      </c>
      <c r="T4064" s="44">
        <v>45799.48631533565</v>
      </c>
      <c r="U4064" s="44">
        <v>45814.377323043984</v>
      </c>
      <c r="V4064" s="198">
        <v>45814.377323043984</v>
      </c>
      <c r="W4064" s="11"/>
      <c r="X4064" s="11"/>
      <c r="Y4064" s="45"/>
      <c r="Z4064" s="45"/>
      <c r="AA4064" s="31"/>
      <c r="AB4064" s="45" t="s">
        <v>15816</v>
      </c>
      <c r="AC4064" s="45"/>
    </row>
    <row r="4065" ht="18.75" customHeight="1">
      <c r="A4065" s="142" t="s">
        <v>15817</v>
      </c>
      <c r="B4065" s="19" t="s">
        <v>473</v>
      </c>
      <c r="C4065" s="20">
        <v>0.0</v>
      </c>
      <c r="D4065" s="48" t="s">
        <v>15818</v>
      </c>
      <c r="E4065" s="27" t="s">
        <v>3441</v>
      </c>
      <c r="F4065" s="27" t="s">
        <v>48</v>
      </c>
      <c r="G4065" s="18" t="s">
        <v>35</v>
      </c>
      <c r="H4065" s="40" t="s">
        <v>35</v>
      </c>
      <c r="I4065" s="37" t="s">
        <v>36</v>
      </c>
      <c r="J4065" s="25" t="s">
        <v>65</v>
      </c>
      <c r="K4065" s="26" t="s">
        <v>38</v>
      </c>
      <c r="L4065" s="25">
        <v>13129.0</v>
      </c>
      <c r="M4065" s="49" t="s">
        <v>50</v>
      </c>
      <c r="N4065" s="42" t="s">
        <v>14854</v>
      </c>
      <c r="O4065" s="67">
        <v>45805.632409178244</v>
      </c>
      <c r="P4065" s="35" t="s">
        <v>15819</v>
      </c>
      <c r="Q4065" s="13" t="s">
        <v>75</v>
      </c>
      <c r="R4065" s="13" t="s">
        <v>75</v>
      </c>
      <c r="S4065" s="13" t="s">
        <v>50</v>
      </c>
      <c r="T4065" s="44">
        <v>45799.48866700231</v>
      </c>
      <c r="U4065" s="44">
        <v>45804.63633040509</v>
      </c>
      <c r="V4065" s="198">
        <v>45805.330923078705</v>
      </c>
      <c r="W4065" s="11"/>
      <c r="X4065" s="11"/>
      <c r="Y4065" s="45">
        <v>302.0</v>
      </c>
      <c r="Z4065" s="45" t="s">
        <v>15820</v>
      </c>
      <c r="AA4065" s="31"/>
      <c r="AB4065" s="45" t="s">
        <v>15821</v>
      </c>
      <c r="AC4065" s="45"/>
    </row>
    <row r="4066" ht="18.75" customHeight="1">
      <c r="A4066" s="142" t="s">
        <v>15822</v>
      </c>
      <c r="B4066" s="19" t="s">
        <v>802</v>
      </c>
      <c r="C4066" s="20">
        <v>0.0</v>
      </c>
      <c r="D4066" s="48" t="s">
        <v>15823</v>
      </c>
      <c r="E4066" s="22" t="s">
        <v>804</v>
      </c>
      <c r="F4066" s="27" t="s">
        <v>244</v>
      </c>
      <c r="G4066" s="18" t="s">
        <v>35</v>
      </c>
      <c r="H4066" s="40" t="s">
        <v>35</v>
      </c>
      <c r="I4066" s="37" t="s">
        <v>36</v>
      </c>
      <c r="J4066" s="25" t="s">
        <v>49</v>
      </c>
      <c r="K4066" s="26" t="s">
        <v>38</v>
      </c>
      <c r="L4066" s="25">
        <v>13124.0</v>
      </c>
      <c r="M4066" s="49" t="s">
        <v>50</v>
      </c>
      <c r="N4066" s="42" t="s">
        <v>5936</v>
      </c>
      <c r="O4066" s="67">
        <v>45804.655857199075</v>
      </c>
      <c r="P4066" s="35" t="s">
        <v>15824</v>
      </c>
      <c r="Q4066" s="13" t="s">
        <v>75</v>
      </c>
      <c r="R4066" s="13" t="s">
        <v>75</v>
      </c>
      <c r="S4066" s="13" t="s">
        <v>101</v>
      </c>
      <c r="T4066" s="44">
        <v>45799.51820748842</v>
      </c>
      <c r="U4066" s="44">
        <v>45800.65382921296</v>
      </c>
      <c r="V4066" s="198">
        <v>45803.72400915509</v>
      </c>
      <c r="W4066" s="11"/>
      <c r="X4066" s="11"/>
      <c r="Y4066" s="45">
        <v>302.0</v>
      </c>
      <c r="Z4066" s="45" t="s">
        <v>15825</v>
      </c>
      <c r="AA4066" s="31"/>
      <c r="AB4066" s="45" t="s">
        <v>15826</v>
      </c>
      <c r="AC4066" s="45"/>
    </row>
    <row r="4067" ht="18.75" customHeight="1">
      <c r="A4067" s="142" t="s">
        <v>15827</v>
      </c>
      <c r="B4067" s="19" t="s">
        <v>4035</v>
      </c>
      <c r="C4067" s="20">
        <v>90.0</v>
      </c>
      <c r="D4067" s="48" t="s">
        <v>15828</v>
      </c>
      <c r="E4067" s="27" t="s">
        <v>91</v>
      </c>
      <c r="F4067" s="27" t="s">
        <v>48</v>
      </c>
      <c r="G4067" s="18" t="s">
        <v>35</v>
      </c>
      <c r="H4067" s="40" t="s">
        <v>35</v>
      </c>
      <c r="I4067" s="37" t="s">
        <v>36</v>
      </c>
      <c r="J4067" s="25" t="s">
        <v>65</v>
      </c>
      <c r="K4067" s="26" t="s">
        <v>38</v>
      </c>
      <c r="L4067" s="25">
        <v>13111.0</v>
      </c>
      <c r="M4067" s="49" t="s">
        <v>50</v>
      </c>
      <c r="N4067" s="42" t="s">
        <v>14854</v>
      </c>
      <c r="O4067" s="67">
        <v>45800.6548047338</v>
      </c>
      <c r="P4067" s="35" t="s">
        <v>15829</v>
      </c>
      <c r="Q4067" s="13" t="s">
        <v>75</v>
      </c>
      <c r="R4067" s="13" t="s">
        <v>75</v>
      </c>
      <c r="S4067" s="13" t="s">
        <v>50</v>
      </c>
      <c r="T4067" s="44">
        <v>45799.522914560184</v>
      </c>
      <c r="U4067" s="44">
        <v>45800.45875961806</v>
      </c>
      <c r="V4067" s="198">
        <v>45800.54396386574</v>
      </c>
      <c r="W4067" s="11"/>
      <c r="X4067" s="11"/>
      <c r="Y4067" s="45">
        <v>302.0</v>
      </c>
      <c r="Z4067" s="45" t="s">
        <v>15830</v>
      </c>
      <c r="AA4067" s="31"/>
      <c r="AB4067" s="45" t="s">
        <v>15831</v>
      </c>
      <c r="AC4067" s="45"/>
    </row>
    <row r="4068" ht="18.75" customHeight="1">
      <c r="A4068" s="142" t="s">
        <v>15832</v>
      </c>
      <c r="B4068" s="19" t="s">
        <v>15833</v>
      </c>
      <c r="C4068" s="20">
        <v>0.0</v>
      </c>
      <c r="D4068" s="48" t="s">
        <v>15834</v>
      </c>
      <c r="E4068" s="27" t="s">
        <v>3441</v>
      </c>
      <c r="F4068" s="27" t="s">
        <v>48</v>
      </c>
      <c r="G4068" s="18" t="s">
        <v>35</v>
      </c>
      <c r="H4068" s="40" t="s">
        <v>35</v>
      </c>
      <c r="I4068" s="37" t="s">
        <v>36</v>
      </c>
      <c r="J4068" s="25" t="s">
        <v>49</v>
      </c>
      <c r="K4068" s="26" t="s">
        <v>38</v>
      </c>
      <c r="L4068" s="25">
        <v>13105.0</v>
      </c>
      <c r="M4068" s="49" t="s">
        <v>50</v>
      </c>
      <c r="N4068" s="42" t="s">
        <v>5936</v>
      </c>
      <c r="O4068" s="67">
        <v>45800.64111040509</v>
      </c>
      <c r="P4068" s="35" t="s">
        <v>15666</v>
      </c>
      <c r="Q4068" s="13" t="s">
        <v>75</v>
      </c>
      <c r="R4068" s="13" t="s">
        <v>75</v>
      </c>
      <c r="S4068" s="13" t="s">
        <v>50</v>
      </c>
      <c r="T4068" s="44">
        <v>45799.52341418981</v>
      </c>
      <c r="U4068" s="44">
        <v>45799.67165912037</v>
      </c>
      <c r="V4068" s="198">
        <v>45800.34221038195</v>
      </c>
      <c r="W4068" s="11"/>
      <c r="X4068" s="11"/>
      <c r="Y4068" s="45">
        <v>302.0</v>
      </c>
      <c r="Z4068" s="45" t="s">
        <v>15835</v>
      </c>
      <c r="AA4068" s="31"/>
      <c r="AB4068" s="45" t="s">
        <v>15836</v>
      </c>
      <c r="AC4068" s="45"/>
    </row>
    <row r="4069" ht="18.75" customHeight="1">
      <c r="A4069" s="142" t="s">
        <v>15837</v>
      </c>
      <c r="B4069" s="19" t="s">
        <v>15838</v>
      </c>
      <c r="C4069" s="20">
        <v>0.0</v>
      </c>
      <c r="D4069" s="48" t="s">
        <v>15839</v>
      </c>
      <c r="E4069" s="27" t="s">
        <v>3441</v>
      </c>
      <c r="F4069" s="27" t="s">
        <v>48</v>
      </c>
      <c r="G4069" s="18" t="s">
        <v>35</v>
      </c>
      <c r="H4069" s="40" t="s">
        <v>35</v>
      </c>
      <c r="I4069" s="37" t="s">
        <v>36</v>
      </c>
      <c r="J4069" s="25" t="s">
        <v>49</v>
      </c>
      <c r="K4069" s="26" t="s">
        <v>38</v>
      </c>
      <c r="L4069" s="25">
        <v>13102.0</v>
      </c>
      <c r="M4069" s="49" t="s">
        <v>50</v>
      </c>
      <c r="N4069" s="42" t="s">
        <v>5936</v>
      </c>
      <c r="O4069" s="67">
        <v>45799.68541666667</v>
      </c>
      <c r="P4069" s="35" t="s">
        <v>15840</v>
      </c>
      <c r="Q4069" s="13" t="s">
        <v>75</v>
      </c>
      <c r="R4069" s="13" t="s">
        <v>75</v>
      </c>
      <c r="S4069" s="13" t="s">
        <v>50</v>
      </c>
      <c r="T4069" s="44">
        <v>45799.52511715278</v>
      </c>
      <c r="U4069" s="44">
        <v>45799.6322625926</v>
      </c>
      <c r="V4069" s="198">
        <v>45799.63562164352</v>
      </c>
      <c r="W4069" s="11"/>
      <c r="X4069" s="11"/>
      <c r="Y4069" s="45">
        <v>302.0</v>
      </c>
      <c r="Z4069" s="45" t="s">
        <v>15841</v>
      </c>
      <c r="AA4069" s="31"/>
      <c r="AB4069" s="45" t="s">
        <v>15842</v>
      </c>
      <c r="AC4069" s="45"/>
    </row>
    <row r="4070" ht="18.75" customHeight="1">
      <c r="A4070" s="18" t="s">
        <v>15843</v>
      </c>
      <c r="B4070" s="19" t="s">
        <v>725</v>
      </c>
      <c r="C4070" s="20">
        <v>1.0</v>
      </c>
      <c r="D4070" s="205" t="s">
        <v>15844</v>
      </c>
      <c r="E4070" s="27" t="s">
        <v>11712</v>
      </c>
      <c r="F4070" s="27" t="s">
        <v>48</v>
      </c>
      <c r="G4070" s="18" t="s">
        <v>35</v>
      </c>
      <c r="H4070" s="40" t="s">
        <v>35</v>
      </c>
      <c r="I4070" s="37" t="s">
        <v>36</v>
      </c>
      <c r="J4070" s="25" t="s">
        <v>49</v>
      </c>
      <c r="K4070" s="26" t="s">
        <v>38</v>
      </c>
      <c r="L4070" s="34">
        <v>13101.0</v>
      </c>
      <c r="M4070" s="49" t="s">
        <v>50</v>
      </c>
      <c r="N4070" s="42" t="s">
        <v>143</v>
      </c>
      <c r="O4070" s="67">
        <v>45793.61248196759</v>
      </c>
      <c r="P4070" s="26" t="s">
        <v>15473</v>
      </c>
      <c r="Q4070" s="13" t="s">
        <v>75</v>
      </c>
      <c r="R4070" s="13" t="s">
        <v>75</v>
      </c>
      <c r="S4070" s="13" t="s">
        <v>73</v>
      </c>
      <c r="T4070" s="44">
        <v>45799.621120138894</v>
      </c>
      <c r="U4070" s="44">
        <v>45799.62204795139</v>
      </c>
      <c r="V4070" s="198">
        <v>45799.62667607639</v>
      </c>
      <c r="W4070" s="11"/>
      <c r="X4070" s="11"/>
      <c r="Y4070" s="45">
        <v>302.0</v>
      </c>
      <c r="Z4070" s="45" t="s">
        <v>15845</v>
      </c>
      <c r="AA4070" s="31"/>
      <c r="AB4070" s="45" t="s">
        <v>15846</v>
      </c>
      <c r="AC4070" s="45"/>
    </row>
    <row r="4071" ht="18.75" customHeight="1">
      <c r="A4071" s="18" t="s">
        <v>15847</v>
      </c>
      <c r="B4071" s="19" t="s">
        <v>725</v>
      </c>
      <c r="C4071" s="20">
        <v>0.0</v>
      </c>
      <c r="D4071" s="205" t="s">
        <v>15848</v>
      </c>
      <c r="E4071" s="27" t="s">
        <v>11957</v>
      </c>
      <c r="F4071" s="27" t="s">
        <v>48</v>
      </c>
      <c r="G4071" s="18" t="s">
        <v>35</v>
      </c>
      <c r="H4071" s="40" t="s">
        <v>35</v>
      </c>
      <c r="I4071" s="37" t="s">
        <v>36</v>
      </c>
      <c r="J4071" s="25" t="s">
        <v>49</v>
      </c>
      <c r="K4071" s="26" t="s">
        <v>38</v>
      </c>
      <c r="L4071" s="34">
        <v>13101.0</v>
      </c>
      <c r="M4071" s="49" t="s">
        <v>50</v>
      </c>
      <c r="N4071" s="42" t="s">
        <v>143</v>
      </c>
      <c r="O4071" s="67">
        <v>45793.61240722222</v>
      </c>
      <c r="P4071" s="26" t="s">
        <v>15470</v>
      </c>
      <c r="Q4071" s="13" t="s">
        <v>75</v>
      </c>
      <c r="R4071" s="13" t="s">
        <v>75</v>
      </c>
      <c r="S4071" s="13" t="s">
        <v>73</v>
      </c>
      <c r="T4071" s="44">
        <v>45799.621327395835</v>
      </c>
      <c r="U4071" s="44">
        <v>45799.622088495365</v>
      </c>
      <c r="V4071" s="198">
        <v>45799.626676064814</v>
      </c>
      <c r="W4071" s="11"/>
      <c r="X4071" s="11"/>
      <c r="Y4071" s="45">
        <v>302.0</v>
      </c>
      <c r="Z4071" s="45" t="s">
        <v>15849</v>
      </c>
      <c r="AA4071" s="31"/>
      <c r="AB4071" s="45" t="s">
        <v>15850</v>
      </c>
      <c r="AC4071" s="45"/>
    </row>
    <row r="4072" ht="18.75" customHeight="1">
      <c r="A4072" s="142" t="s">
        <v>15851</v>
      </c>
      <c r="B4072" s="19" t="s">
        <v>4450</v>
      </c>
      <c r="C4072" s="20">
        <v>34.0</v>
      </c>
      <c r="D4072" s="205" t="s">
        <v>15852</v>
      </c>
      <c r="E4072" s="27" t="s">
        <v>47</v>
      </c>
      <c r="F4072" s="27" t="s">
        <v>48</v>
      </c>
      <c r="G4072" s="18" t="s">
        <v>35</v>
      </c>
      <c r="H4072" s="40" t="s">
        <v>35</v>
      </c>
      <c r="I4072" s="37" t="s">
        <v>36</v>
      </c>
      <c r="J4072" s="25" t="s">
        <v>420</v>
      </c>
      <c r="K4072" s="26" t="s">
        <v>38</v>
      </c>
      <c r="L4072" s="25">
        <v>13106.0</v>
      </c>
      <c r="M4072" s="49" t="s">
        <v>50</v>
      </c>
      <c r="N4072" s="42" t="s">
        <v>4031</v>
      </c>
      <c r="O4072" s="67">
        <v>45800.57426652778</v>
      </c>
      <c r="P4072" s="35" t="s">
        <v>15853</v>
      </c>
      <c r="Q4072" s="13" t="s">
        <v>75</v>
      </c>
      <c r="R4072" s="13" t="s">
        <v>75</v>
      </c>
      <c r="S4072" s="13" t="s">
        <v>50</v>
      </c>
      <c r="T4072" s="44">
        <v>45799.67687931713</v>
      </c>
      <c r="U4072" s="44">
        <v>45799.727258287036</v>
      </c>
      <c r="V4072" s="198">
        <v>45800.34232607639</v>
      </c>
      <c r="W4072" s="11"/>
      <c r="X4072" s="11"/>
      <c r="Y4072" s="45">
        <v>302.0</v>
      </c>
      <c r="Z4072" s="45" t="s">
        <v>15854</v>
      </c>
      <c r="AA4072" s="31"/>
      <c r="AB4072" s="45" t="s">
        <v>15855</v>
      </c>
      <c r="AC4072" s="45"/>
    </row>
    <row r="4073" ht="18.75" customHeight="1">
      <c r="A4073" s="142" t="s">
        <v>15856</v>
      </c>
      <c r="B4073" s="19" t="s">
        <v>15697</v>
      </c>
      <c r="C4073" s="20">
        <v>0.0</v>
      </c>
      <c r="D4073" s="205" t="s">
        <v>15857</v>
      </c>
      <c r="E4073" s="27" t="s">
        <v>3441</v>
      </c>
      <c r="F4073" s="27" t="s">
        <v>48</v>
      </c>
      <c r="G4073" s="18" t="s">
        <v>35</v>
      </c>
      <c r="H4073" s="40" t="s">
        <v>35</v>
      </c>
      <c r="I4073" s="37" t="s">
        <v>36</v>
      </c>
      <c r="J4073" s="25" t="s">
        <v>49</v>
      </c>
      <c r="K4073" s="26" t="s">
        <v>2978</v>
      </c>
      <c r="L4073" s="25">
        <v>13117.0</v>
      </c>
      <c r="M4073" s="49" t="s">
        <v>50</v>
      </c>
      <c r="N4073" s="42" t="s">
        <v>5936</v>
      </c>
      <c r="O4073" s="67">
        <v>45803.66182258102</v>
      </c>
      <c r="P4073" s="35" t="s">
        <v>15858</v>
      </c>
      <c r="Q4073" s="13" t="s">
        <v>75</v>
      </c>
      <c r="R4073" s="13" t="s">
        <v>75</v>
      </c>
      <c r="S4073" s="13" t="s">
        <v>50</v>
      </c>
      <c r="T4073" s="44">
        <v>45799.678125798615</v>
      </c>
      <c r="U4073" s="44">
        <v>45800.67067680556</v>
      </c>
      <c r="V4073" s="198">
        <v>45803.42090824074</v>
      </c>
      <c r="W4073" s="11"/>
      <c r="X4073" s="11"/>
      <c r="Y4073" s="45">
        <v>302.0</v>
      </c>
      <c r="Z4073" s="45" t="s">
        <v>15859</v>
      </c>
      <c r="AA4073" s="31"/>
      <c r="AB4073" s="45" t="s">
        <v>15860</v>
      </c>
      <c r="AC4073" s="45"/>
    </row>
    <row r="4074" ht="18.75" customHeight="1">
      <c r="A4074" s="142" t="s">
        <v>15861</v>
      </c>
      <c r="B4074" s="19" t="s">
        <v>104</v>
      </c>
      <c r="C4074" s="20">
        <v>90.0</v>
      </c>
      <c r="D4074" s="205" t="s">
        <v>15862</v>
      </c>
      <c r="E4074" s="27" t="s">
        <v>91</v>
      </c>
      <c r="F4074" s="27" t="s">
        <v>48</v>
      </c>
      <c r="G4074" s="18" t="s">
        <v>35</v>
      </c>
      <c r="H4074" s="40" t="s">
        <v>35</v>
      </c>
      <c r="I4074" s="37" t="s">
        <v>36</v>
      </c>
      <c r="J4074" s="25" t="s">
        <v>49</v>
      </c>
      <c r="K4074" s="26" t="s">
        <v>1184</v>
      </c>
      <c r="L4074" s="25">
        <v>13107.0</v>
      </c>
      <c r="M4074" s="49" t="s">
        <v>50</v>
      </c>
      <c r="N4074" s="42" t="s">
        <v>5936</v>
      </c>
      <c r="O4074" s="67">
        <v>45800.64105309028</v>
      </c>
      <c r="P4074" s="35" t="s">
        <v>15863</v>
      </c>
      <c r="Q4074" s="13" t="s">
        <v>75</v>
      </c>
      <c r="R4074" s="13" t="s">
        <v>75</v>
      </c>
      <c r="S4074" s="13" t="s">
        <v>50</v>
      </c>
      <c r="T4074" s="44">
        <v>45799.68025943287</v>
      </c>
      <c r="U4074" s="44">
        <v>45799.721166504634</v>
      </c>
      <c r="V4074" s="198">
        <v>45800.34221038195</v>
      </c>
      <c r="W4074" s="11"/>
      <c r="X4074" s="11"/>
      <c r="Y4074" s="45">
        <v>302.0</v>
      </c>
      <c r="Z4074" s="45" t="s">
        <v>15864</v>
      </c>
      <c r="AA4074" s="31"/>
      <c r="AB4074" s="45" t="s">
        <v>15865</v>
      </c>
      <c r="AC4074" s="45"/>
    </row>
    <row r="4075" ht="18.75" customHeight="1">
      <c r="A4075" s="18" t="s">
        <v>15866</v>
      </c>
      <c r="B4075" s="19" t="s">
        <v>11449</v>
      </c>
      <c r="C4075" s="20">
        <v>11.0</v>
      </c>
      <c r="D4075" s="205" t="s">
        <v>15867</v>
      </c>
      <c r="E4075" s="27" t="s">
        <v>112</v>
      </c>
      <c r="F4075" s="27" t="s">
        <v>48</v>
      </c>
      <c r="G4075" s="18" t="s">
        <v>35</v>
      </c>
      <c r="H4075" s="40" t="s">
        <v>35</v>
      </c>
      <c r="I4075" s="37" t="s">
        <v>36</v>
      </c>
      <c r="J4075" s="25" t="s">
        <v>65</v>
      </c>
      <c r="K4075" s="26" t="s">
        <v>38</v>
      </c>
      <c r="L4075" s="25">
        <v>13110.0</v>
      </c>
      <c r="M4075" s="49" t="s">
        <v>50</v>
      </c>
      <c r="N4075" s="42" t="s">
        <v>14854</v>
      </c>
      <c r="O4075" s="67">
        <v>45800.654758495366</v>
      </c>
      <c r="P4075" s="35" t="s">
        <v>15868</v>
      </c>
      <c r="Q4075" s="13" t="s">
        <v>75</v>
      </c>
      <c r="R4075" s="13" t="s">
        <v>75</v>
      </c>
      <c r="S4075" s="13" t="s">
        <v>50</v>
      </c>
      <c r="T4075" s="44">
        <v>45799.68546648148</v>
      </c>
      <c r="U4075" s="44">
        <v>45800.411995787035</v>
      </c>
      <c r="V4075" s="198">
        <v>45800.43873700232</v>
      </c>
      <c r="W4075" s="11"/>
      <c r="X4075" s="11"/>
      <c r="Y4075" s="45">
        <v>302.0</v>
      </c>
      <c r="Z4075" s="45" t="s">
        <v>15869</v>
      </c>
      <c r="AA4075" s="31"/>
      <c r="AB4075" s="45" t="s">
        <v>15870</v>
      </c>
      <c r="AC4075" s="45"/>
    </row>
    <row r="4076" ht="18.75" customHeight="1">
      <c r="A4076" s="18" t="s">
        <v>15871</v>
      </c>
      <c r="B4076" s="19" t="s">
        <v>11449</v>
      </c>
      <c r="C4076" s="20">
        <v>11.0</v>
      </c>
      <c r="D4076" s="205" t="s">
        <v>15872</v>
      </c>
      <c r="E4076" s="27" t="s">
        <v>112</v>
      </c>
      <c r="F4076" s="27" t="s">
        <v>48</v>
      </c>
      <c r="G4076" s="18" t="s">
        <v>35</v>
      </c>
      <c r="H4076" s="40" t="s">
        <v>35</v>
      </c>
      <c r="I4076" s="37" t="s">
        <v>36</v>
      </c>
      <c r="J4076" s="25" t="s">
        <v>65</v>
      </c>
      <c r="K4076" s="26" t="s">
        <v>38</v>
      </c>
      <c r="L4076" s="25">
        <v>13110.0</v>
      </c>
      <c r="M4076" s="49" t="s">
        <v>50</v>
      </c>
      <c r="N4076" s="42" t="s">
        <v>14854</v>
      </c>
      <c r="O4076" s="67">
        <v>45800.6547115162</v>
      </c>
      <c r="P4076" s="35" t="s">
        <v>15868</v>
      </c>
      <c r="Q4076" s="13" t="s">
        <v>75</v>
      </c>
      <c r="R4076" s="13" t="s">
        <v>75</v>
      </c>
      <c r="S4076" s="13" t="s">
        <v>50</v>
      </c>
      <c r="T4076" s="44">
        <v>45799.6855349074</v>
      </c>
      <c r="U4076" s="44">
        <v>45800.4119575</v>
      </c>
      <c r="V4076" s="198">
        <v>45800.43873699074</v>
      </c>
      <c r="W4076" s="11"/>
      <c r="X4076" s="11"/>
      <c r="Y4076" s="45">
        <v>302.0</v>
      </c>
      <c r="Z4076" s="45" t="s">
        <v>15873</v>
      </c>
      <c r="AA4076" s="31"/>
      <c r="AB4076" s="45" t="s">
        <v>15874</v>
      </c>
      <c r="AC4076" s="45"/>
    </row>
    <row r="4077" ht="18.75" customHeight="1">
      <c r="A4077" s="18" t="s">
        <v>15875</v>
      </c>
      <c r="B4077" s="19" t="s">
        <v>11449</v>
      </c>
      <c r="C4077" s="20">
        <v>90.0</v>
      </c>
      <c r="D4077" s="205" t="s">
        <v>15876</v>
      </c>
      <c r="E4077" s="27" t="s">
        <v>91</v>
      </c>
      <c r="F4077" s="27" t="s">
        <v>48</v>
      </c>
      <c r="G4077" s="18" t="s">
        <v>35</v>
      </c>
      <c r="H4077" s="40" t="s">
        <v>35</v>
      </c>
      <c r="I4077" s="37" t="s">
        <v>36</v>
      </c>
      <c r="J4077" s="25" t="s">
        <v>65</v>
      </c>
      <c r="K4077" s="26" t="s">
        <v>38</v>
      </c>
      <c r="L4077" s="25">
        <v>13110.0</v>
      </c>
      <c r="M4077" s="49" t="s">
        <v>50</v>
      </c>
      <c r="N4077" s="42" t="s">
        <v>14854</v>
      </c>
      <c r="O4077" s="67">
        <v>45800.6546621875</v>
      </c>
      <c r="P4077" s="35" t="s">
        <v>15868</v>
      </c>
      <c r="Q4077" s="13" t="s">
        <v>75</v>
      </c>
      <c r="R4077" s="13" t="s">
        <v>75</v>
      </c>
      <c r="S4077" s="13" t="s">
        <v>50</v>
      </c>
      <c r="T4077" s="44">
        <v>45799.68579530093</v>
      </c>
      <c r="U4077" s="44">
        <v>45800.411916111116</v>
      </c>
      <c r="V4077" s="198">
        <v>45800.43873699074</v>
      </c>
      <c r="W4077" s="11"/>
      <c r="X4077" s="11"/>
      <c r="Y4077" s="45">
        <v>302.0</v>
      </c>
      <c r="Z4077" s="45" t="s">
        <v>15877</v>
      </c>
      <c r="AA4077" s="31"/>
      <c r="AB4077" s="45" t="s">
        <v>15878</v>
      </c>
      <c r="AC4077" s="45"/>
    </row>
    <row r="4078" ht="18.75" customHeight="1">
      <c r="A4078" s="142" t="s">
        <v>15879</v>
      </c>
      <c r="B4078" s="19" t="s">
        <v>15880</v>
      </c>
      <c r="C4078" s="20">
        <v>90.0</v>
      </c>
      <c r="D4078" s="205" t="s">
        <v>15881</v>
      </c>
      <c r="E4078" s="27" t="s">
        <v>91</v>
      </c>
      <c r="F4078" s="27" t="s">
        <v>48</v>
      </c>
      <c r="G4078" s="18" t="s">
        <v>35</v>
      </c>
      <c r="H4078" s="40" t="s">
        <v>35</v>
      </c>
      <c r="I4078" s="37" t="s">
        <v>36</v>
      </c>
      <c r="J4078" s="25" t="s">
        <v>92</v>
      </c>
      <c r="K4078" s="26" t="s">
        <v>38</v>
      </c>
      <c r="L4078" s="25">
        <v>13109.0</v>
      </c>
      <c r="M4078" s="49" t="s">
        <v>50</v>
      </c>
      <c r="N4078" s="42" t="s">
        <v>4827</v>
      </c>
      <c r="O4078" s="67">
        <v>45803.61597222222</v>
      </c>
      <c r="P4078" s="35" t="s">
        <v>15882</v>
      </c>
      <c r="Q4078" s="13" t="s">
        <v>75</v>
      </c>
      <c r="R4078" s="13" t="s">
        <v>75</v>
      </c>
      <c r="S4078" s="13" t="s">
        <v>50</v>
      </c>
      <c r="T4078" s="44">
        <v>45799.71407949074</v>
      </c>
      <c r="U4078" s="44">
        <v>45800.41145774306</v>
      </c>
      <c r="V4078" s="198">
        <v>45800.43416953704</v>
      </c>
      <c r="W4078" s="11"/>
      <c r="X4078" s="11"/>
      <c r="Y4078" s="45">
        <v>302.0</v>
      </c>
      <c r="Z4078" s="45" t="s">
        <v>15883</v>
      </c>
      <c r="AA4078" s="31"/>
      <c r="AB4078" s="45" t="s">
        <v>15884</v>
      </c>
      <c r="AC4078" s="45"/>
    </row>
    <row r="4079" ht="18.75" customHeight="1">
      <c r="A4079" s="142" t="s">
        <v>15885</v>
      </c>
      <c r="B4079" s="19" t="s">
        <v>15886</v>
      </c>
      <c r="C4079" s="20">
        <v>0.0</v>
      </c>
      <c r="D4079" s="48" t="s">
        <v>15887</v>
      </c>
      <c r="E4079" s="27" t="s">
        <v>3834</v>
      </c>
      <c r="F4079" s="27" t="s">
        <v>33</v>
      </c>
      <c r="G4079" s="18" t="s">
        <v>35</v>
      </c>
      <c r="H4079" s="40" t="s">
        <v>35</v>
      </c>
      <c r="I4079" s="37" t="s">
        <v>36</v>
      </c>
      <c r="J4079" s="25" t="s">
        <v>49</v>
      </c>
      <c r="K4079" s="26" t="s">
        <v>38</v>
      </c>
      <c r="L4079" s="25">
        <v>13156.0</v>
      </c>
      <c r="M4079" s="49" t="s">
        <v>50</v>
      </c>
      <c r="N4079" s="42" t="s">
        <v>106</v>
      </c>
      <c r="O4079" s="67">
        <v>45807.60747942129</v>
      </c>
      <c r="P4079" s="35" t="s">
        <v>15888</v>
      </c>
      <c r="Q4079" s="13" t="s">
        <v>75</v>
      </c>
      <c r="R4079" s="13" t="s">
        <v>75</v>
      </c>
      <c r="S4079" s="13" t="s">
        <v>50</v>
      </c>
      <c r="T4079" s="44">
        <v>45800.389307488425</v>
      </c>
      <c r="U4079" s="44">
        <v>45805.64672521991</v>
      </c>
      <c r="V4079" s="198">
        <v>45807.35195214121</v>
      </c>
      <c r="W4079" s="11"/>
      <c r="X4079" s="11"/>
      <c r="Y4079" s="45">
        <v>302.0</v>
      </c>
      <c r="Z4079" s="45" t="s">
        <v>15889</v>
      </c>
      <c r="AA4079" s="31"/>
      <c r="AB4079" s="45" t="s">
        <v>15890</v>
      </c>
      <c r="AC4079" s="45"/>
    </row>
    <row r="4080" ht="18.75" customHeight="1">
      <c r="A4080" s="142" t="s">
        <v>15891</v>
      </c>
      <c r="B4080" s="19" t="s">
        <v>15892</v>
      </c>
      <c r="C4080" s="20">
        <v>1.0</v>
      </c>
      <c r="D4080" s="48" t="s">
        <v>15893</v>
      </c>
      <c r="E4080" s="27" t="s">
        <v>11712</v>
      </c>
      <c r="F4080" s="27" t="s">
        <v>48</v>
      </c>
      <c r="G4080" s="18" t="s">
        <v>35</v>
      </c>
      <c r="H4080" s="40" t="s">
        <v>35</v>
      </c>
      <c r="I4080" s="37" t="s">
        <v>36</v>
      </c>
      <c r="J4080" s="25" t="s">
        <v>1170</v>
      </c>
      <c r="K4080" s="26" t="s">
        <v>38</v>
      </c>
      <c r="L4080" s="72">
        <v>13194.0</v>
      </c>
      <c r="M4080" s="49" t="s">
        <v>50</v>
      </c>
      <c r="N4080" s="42" t="s">
        <v>15894</v>
      </c>
      <c r="O4080" s="67">
        <v>45814.597107152775</v>
      </c>
      <c r="P4080" s="35" t="s">
        <v>15895</v>
      </c>
      <c r="Q4080" s="13" t="s">
        <v>75</v>
      </c>
      <c r="R4080" s="13" t="s">
        <v>75</v>
      </c>
      <c r="S4080" s="13" t="s">
        <v>101</v>
      </c>
      <c r="T4080" s="44">
        <v>45800.62894306713</v>
      </c>
      <c r="U4080" s="44">
        <v>45800.70609773148</v>
      </c>
      <c r="V4080" s="198">
        <v>45814.44316546296</v>
      </c>
      <c r="W4080" s="11"/>
      <c r="X4080" s="11"/>
      <c r="Y4080" s="45">
        <v>302.0</v>
      </c>
      <c r="Z4080" s="45" t="s">
        <v>15896</v>
      </c>
      <c r="AA4080" s="31"/>
      <c r="AB4080" s="45" t="s">
        <v>15897</v>
      </c>
      <c r="AC4080" s="45"/>
    </row>
    <row r="4081" ht="18.75" customHeight="1">
      <c r="A4081" s="142" t="s">
        <v>15898</v>
      </c>
      <c r="B4081" s="19" t="s">
        <v>3158</v>
      </c>
      <c r="C4081" s="20">
        <v>1.0</v>
      </c>
      <c r="D4081" s="48" t="s">
        <v>15899</v>
      </c>
      <c r="E4081" s="27" t="s">
        <v>155</v>
      </c>
      <c r="F4081" s="27" t="s">
        <v>48</v>
      </c>
      <c r="G4081" s="18" t="s">
        <v>35</v>
      </c>
      <c r="H4081" s="40" t="s">
        <v>35</v>
      </c>
      <c r="I4081" s="37" t="s">
        <v>36</v>
      </c>
      <c r="J4081" s="25" t="s">
        <v>2600</v>
      </c>
      <c r="K4081" s="26" t="s">
        <v>38</v>
      </c>
      <c r="L4081" s="25">
        <v>13132.0</v>
      </c>
      <c r="M4081" s="49" t="s">
        <v>50</v>
      </c>
      <c r="N4081" s="42" t="s">
        <v>15900</v>
      </c>
      <c r="O4081" s="67">
        <v>45805.709871053245</v>
      </c>
      <c r="P4081" s="35" t="s">
        <v>15901</v>
      </c>
      <c r="Q4081" s="13" t="s">
        <v>75</v>
      </c>
      <c r="R4081" s="13" t="s">
        <v>75</v>
      </c>
      <c r="S4081" s="13" t="s">
        <v>50</v>
      </c>
      <c r="T4081" s="44">
        <v>45803.67444927084</v>
      </c>
      <c r="U4081" s="44">
        <v>45803.67450652778</v>
      </c>
      <c r="V4081" s="198">
        <v>45805.42611015047</v>
      </c>
      <c r="W4081" s="11"/>
      <c r="X4081" s="11"/>
      <c r="Y4081" s="45">
        <v>302.0</v>
      </c>
      <c r="Z4081" s="45" t="s">
        <v>15902</v>
      </c>
      <c r="AA4081" s="31"/>
      <c r="AB4081" s="45" t="s">
        <v>15903</v>
      </c>
      <c r="AC4081" s="45"/>
    </row>
    <row r="4082" ht="18.75" customHeight="1">
      <c r="A4082" s="142" t="s">
        <v>15904</v>
      </c>
      <c r="B4082" s="19" t="s">
        <v>11215</v>
      </c>
      <c r="C4082" s="20">
        <v>90.0</v>
      </c>
      <c r="D4082" s="48" t="s">
        <v>15905</v>
      </c>
      <c r="E4082" s="27" t="s">
        <v>91</v>
      </c>
      <c r="F4082" s="27" t="s">
        <v>48</v>
      </c>
      <c r="G4082" s="18" t="s">
        <v>35</v>
      </c>
      <c r="H4082" s="40" t="s">
        <v>35</v>
      </c>
      <c r="I4082" s="37" t="s">
        <v>36</v>
      </c>
      <c r="J4082" s="25" t="s">
        <v>49</v>
      </c>
      <c r="K4082" s="26" t="s">
        <v>11217</v>
      </c>
      <c r="L4082" s="25">
        <v>13122.0</v>
      </c>
      <c r="M4082" s="49" t="s">
        <v>50</v>
      </c>
      <c r="N4082" s="42" t="s">
        <v>5936</v>
      </c>
      <c r="O4082" s="67">
        <v>45803.661775636574</v>
      </c>
      <c r="P4082" s="35" t="s">
        <v>15906</v>
      </c>
      <c r="Q4082" s="13" t="s">
        <v>75</v>
      </c>
      <c r="R4082" s="13" t="s">
        <v>75</v>
      </c>
      <c r="S4082" s="13" t="s">
        <v>50</v>
      </c>
      <c r="T4082" s="44">
        <v>45803.4666788426</v>
      </c>
      <c r="U4082" s="44">
        <v>45803.556803784726</v>
      </c>
      <c r="V4082" s="198">
        <v>45803.55935991898</v>
      </c>
      <c r="W4082" s="11"/>
      <c r="X4082" s="11"/>
      <c r="Y4082" s="45">
        <v>302.0</v>
      </c>
      <c r="Z4082" s="45" t="s">
        <v>15907</v>
      </c>
      <c r="AA4082" s="31"/>
      <c r="AB4082" s="45" t="s">
        <v>15908</v>
      </c>
      <c r="AC4082" s="45"/>
    </row>
    <row r="4083" ht="18.75" customHeight="1">
      <c r="A4083" s="18" t="s">
        <v>15909</v>
      </c>
      <c r="B4083" s="19" t="s">
        <v>451</v>
      </c>
      <c r="C4083" s="20">
        <v>0.0</v>
      </c>
      <c r="D4083" s="48" t="s">
        <v>15910</v>
      </c>
      <c r="E4083" s="27" t="s">
        <v>491</v>
      </c>
      <c r="F4083" s="27" t="s">
        <v>33</v>
      </c>
      <c r="G4083" s="18" t="s">
        <v>34</v>
      </c>
      <c r="H4083" s="40" t="s">
        <v>35</v>
      </c>
      <c r="I4083" s="37" t="s">
        <v>36</v>
      </c>
      <c r="J4083" s="25" t="s">
        <v>49</v>
      </c>
      <c r="K4083" s="26" t="s">
        <v>38</v>
      </c>
      <c r="L4083" s="25">
        <v>13147.0</v>
      </c>
      <c r="M4083" s="49" t="s">
        <v>50</v>
      </c>
      <c r="N4083" s="42" t="s">
        <v>143</v>
      </c>
      <c r="O4083" s="67">
        <v>45806.68284221065</v>
      </c>
      <c r="P4083" s="35" t="s">
        <v>15911</v>
      </c>
      <c r="Q4083" s="13" t="s">
        <v>75</v>
      </c>
      <c r="R4083" s="13" t="s">
        <v>75</v>
      </c>
      <c r="S4083" s="13" t="s">
        <v>50</v>
      </c>
      <c r="T4083" s="44">
        <v>45806.40246780093</v>
      </c>
      <c r="U4083" s="44">
        <v>45806.402666423615</v>
      </c>
      <c r="V4083" s="198">
        <v>45806.42405741898</v>
      </c>
      <c r="W4083" s="11"/>
      <c r="X4083" s="11"/>
      <c r="Y4083" s="45">
        <v>302.0</v>
      </c>
      <c r="Z4083" s="45" t="s">
        <v>15912</v>
      </c>
      <c r="AA4083" s="31"/>
      <c r="AB4083" s="45" t="s">
        <v>15913</v>
      </c>
      <c r="AC4083" s="45"/>
    </row>
    <row r="4084" ht="18.75" customHeight="1">
      <c r="A4084" s="18" t="s">
        <v>15914</v>
      </c>
      <c r="B4084" s="19" t="s">
        <v>451</v>
      </c>
      <c r="C4084" s="20">
        <v>0.0</v>
      </c>
      <c r="D4084" s="48" t="s">
        <v>15915</v>
      </c>
      <c r="E4084" s="27" t="s">
        <v>491</v>
      </c>
      <c r="F4084" s="27" t="s">
        <v>33</v>
      </c>
      <c r="G4084" s="18" t="s">
        <v>34</v>
      </c>
      <c r="H4084" s="40" t="s">
        <v>35</v>
      </c>
      <c r="I4084" s="37" t="s">
        <v>36</v>
      </c>
      <c r="J4084" s="25" t="s">
        <v>49</v>
      </c>
      <c r="K4084" s="26" t="s">
        <v>38</v>
      </c>
      <c r="L4084" s="25">
        <v>13147.0</v>
      </c>
      <c r="M4084" s="49" t="s">
        <v>50</v>
      </c>
      <c r="N4084" s="42" t="s">
        <v>143</v>
      </c>
      <c r="O4084" s="67">
        <v>45806.682930740746</v>
      </c>
      <c r="P4084" s="35" t="s">
        <v>15911</v>
      </c>
      <c r="Q4084" s="13" t="s">
        <v>75</v>
      </c>
      <c r="R4084" s="13" t="s">
        <v>75</v>
      </c>
      <c r="S4084" s="13" t="s">
        <v>50</v>
      </c>
      <c r="T4084" s="44">
        <v>45806.40254130787</v>
      </c>
      <c r="U4084" s="44">
        <v>45806.40269690972</v>
      </c>
      <c r="V4084" s="198">
        <v>45806.42405741898</v>
      </c>
      <c r="W4084" s="11"/>
      <c r="X4084" s="11"/>
      <c r="Y4084" s="45">
        <v>302.0</v>
      </c>
      <c r="Z4084" s="45" t="s">
        <v>15916</v>
      </c>
      <c r="AA4084" s="31"/>
      <c r="AB4084" s="45" t="s">
        <v>15917</v>
      </c>
      <c r="AC4084" s="45"/>
    </row>
    <row r="4085" ht="18.75" customHeight="1">
      <c r="A4085" s="18" t="s">
        <v>15918</v>
      </c>
      <c r="B4085" s="19" t="s">
        <v>451</v>
      </c>
      <c r="C4085" s="20">
        <v>0.0</v>
      </c>
      <c r="D4085" s="177" t="s">
        <v>15919</v>
      </c>
      <c r="E4085" s="27" t="s">
        <v>681</v>
      </c>
      <c r="F4085" s="27" t="s">
        <v>244</v>
      </c>
      <c r="G4085" s="18" t="s">
        <v>35</v>
      </c>
      <c r="H4085" s="40" t="s">
        <v>35</v>
      </c>
      <c r="I4085" s="37" t="s">
        <v>36</v>
      </c>
      <c r="J4085" s="25" t="s">
        <v>49</v>
      </c>
      <c r="K4085" s="26" t="s">
        <v>38</v>
      </c>
      <c r="L4085" s="25">
        <v>13147.0</v>
      </c>
      <c r="M4085" s="49" t="s">
        <v>50</v>
      </c>
      <c r="N4085" s="42" t="s">
        <v>143</v>
      </c>
      <c r="O4085" s="67">
        <v>45806.6830015625</v>
      </c>
      <c r="P4085" s="35" t="s">
        <v>15911</v>
      </c>
      <c r="Q4085" s="13" t="s">
        <v>75</v>
      </c>
      <c r="R4085" s="13" t="s">
        <v>75</v>
      </c>
      <c r="S4085" s="13" t="s">
        <v>73</v>
      </c>
      <c r="T4085" s="44">
        <v>45806.47305881944</v>
      </c>
      <c r="U4085" s="44">
        <v>45806.473075636575</v>
      </c>
      <c r="V4085" s="198">
        <v>45806.48717700232</v>
      </c>
      <c r="W4085" s="11"/>
      <c r="X4085" s="11"/>
      <c r="Y4085" s="45">
        <v>302.0</v>
      </c>
      <c r="Z4085" s="45" t="s">
        <v>15920</v>
      </c>
      <c r="AA4085" s="31"/>
      <c r="AB4085" s="45" t="s">
        <v>15921</v>
      </c>
      <c r="AC4085" s="45"/>
    </row>
    <row r="4086" ht="18.75" customHeight="1">
      <c r="A4086" s="142" t="s">
        <v>15922</v>
      </c>
      <c r="B4086" s="19" t="s">
        <v>2877</v>
      </c>
      <c r="C4086" s="20">
        <v>0.0</v>
      </c>
      <c r="D4086" s="48" t="s">
        <v>15923</v>
      </c>
      <c r="E4086" s="27" t="s">
        <v>2089</v>
      </c>
      <c r="F4086" s="27" t="s">
        <v>33</v>
      </c>
      <c r="G4086" s="18" t="s">
        <v>35</v>
      </c>
      <c r="H4086" s="40" t="s">
        <v>35</v>
      </c>
      <c r="I4086" s="37" t="s">
        <v>36</v>
      </c>
      <c r="J4086" s="25" t="s">
        <v>49</v>
      </c>
      <c r="K4086" s="26" t="s">
        <v>447</v>
      </c>
      <c r="L4086" s="25">
        <v>13131.0</v>
      </c>
      <c r="M4086" s="49" t="s">
        <v>50</v>
      </c>
      <c r="N4086" s="42" t="s">
        <v>5936</v>
      </c>
      <c r="O4086" s="67">
        <v>45805.627170162035</v>
      </c>
      <c r="P4086" s="35" t="s">
        <v>15924</v>
      </c>
      <c r="Q4086" s="13" t="s">
        <v>75</v>
      </c>
      <c r="R4086" s="13" t="s">
        <v>75</v>
      </c>
      <c r="S4086" s="13" t="s">
        <v>101</v>
      </c>
      <c r="T4086" s="44">
        <v>45803.470523703705</v>
      </c>
      <c r="U4086" s="44">
        <v>45803.49064021991</v>
      </c>
      <c r="V4086" s="198">
        <v>45804.47904975695</v>
      </c>
      <c r="W4086" s="11"/>
      <c r="X4086" s="11"/>
      <c r="Y4086" s="45">
        <v>302.0</v>
      </c>
      <c r="Z4086" s="45" t="s">
        <v>15925</v>
      </c>
      <c r="AA4086" s="31"/>
      <c r="AB4086" s="45" t="s">
        <v>15926</v>
      </c>
      <c r="AC4086" s="45"/>
    </row>
    <row r="4087" ht="18.75" customHeight="1">
      <c r="A4087" s="142" t="s">
        <v>15927</v>
      </c>
      <c r="B4087" s="19" t="s">
        <v>8743</v>
      </c>
      <c r="C4087" s="20">
        <v>0.0</v>
      </c>
      <c r="D4087" s="48" t="s">
        <v>15928</v>
      </c>
      <c r="E4087" s="27" t="s">
        <v>3441</v>
      </c>
      <c r="F4087" s="27" t="s">
        <v>48</v>
      </c>
      <c r="G4087" s="18" t="s">
        <v>35</v>
      </c>
      <c r="H4087" s="40" t="s">
        <v>35</v>
      </c>
      <c r="I4087" s="37" t="s">
        <v>36</v>
      </c>
      <c r="J4087" s="25" t="s">
        <v>65</v>
      </c>
      <c r="K4087" s="26" t="s">
        <v>38</v>
      </c>
      <c r="L4087" s="25">
        <v>13127.0</v>
      </c>
      <c r="M4087" s="49" t="s">
        <v>50</v>
      </c>
      <c r="N4087" s="42" t="s">
        <v>10703</v>
      </c>
      <c r="O4087" s="67">
        <v>45804.683870810186</v>
      </c>
      <c r="P4087" s="35" t="s">
        <v>15929</v>
      </c>
      <c r="Q4087" s="13" t="s">
        <v>75</v>
      </c>
      <c r="R4087" s="13" t="s">
        <v>75</v>
      </c>
      <c r="S4087" s="13" t="s">
        <v>50</v>
      </c>
      <c r="T4087" s="44">
        <v>45803.4942641088</v>
      </c>
      <c r="U4087" s="44">
        <v>45804.452954039356</v>
      </c>
      <c r="V4087" s="198">
        <v>45804.571108460645</v>
      </c>
      <c r="W4087" s="11"/>
      <c r="X4087" s="11"/>
      <c r="Y4087" s="45">
        <v>302.0</v>
      </c>
      <c r="Z4087" s="45" t="s">
        <v>15930</v>
      </c>
      <c r="AA4087" s="31"/>
      <c r="AB4087" s="45" t="s">
        <v>15931</v>
      </c>
      <c r="AC4087" s="45"/>
    </row>
    <row r="4088" ht="18.75" customHeight="1">
      <c r="A4088" s="142" t="s">
        <v>15932</v>
      </c>
      <c r="B4088" s="19" t="s">
        <v>4604</v>
      </c>
      <c r="C4088" s="20">
        <v>0.0</v>
      </c>
      <c r="D4088" s="48" t="s">
        <v>15933</v>
      </c>
      <c r="E4088" s="27" t="s">
        <v>3441</v>
      </c>
      <c r="F4088" s="27" t="s">
        <v>48</v>
      </c>
      <c r="G4088" s="18" t="s">
        <v>35</v>
      </c>
      <c r="H4088" s="40" t="s">
        <v>35</v>
      </c>
      <c r="I4088" s="37" t="s">
        <v>36</v>
      </c>
      <c r="J4088" s="25" t="s">
        <v>65</v>
      </c>
      <c r="K4088" s="26" t="s">
        <v>38</v>
      </c>
      <c r="L4088" s="25">
        <v>13123.0</v>
      </c>
      <c r="M4088" s="49" t="s">
        <v>50</v>
      </c>
      <c r="N4088" s="42" t="s">
        <v>10703</v>
      </c>
      <c r="O4088" s="67">
        <v>45804.68382445602</v>
      </c>
      <c r="P4088" s="35" t="s">
        <v>15934</v>
      </c>
      <c r="Q4088" s="13" t="s">
        <v>75</v>
      </c>
      <c r="R4088" s="13" t="s">
        <v>75</v>
      </c>
      <c r="S4088" s="13" t="s">
        <v>50</v>
      </c>
      <c r="T4088" s="44">
        <v>45803.697812604165</v>
      </c>
      <c r="U4088" s="44">
        <v>45803.71691826389</v>
      </c>
      <c r="V4088" s="198">
        <v>45804.33302273148</v>
      </c>
      <c r="W4088" s="11"/>
      <c r="X4088" s="11"/>
      <c r="Y4088" s="45">
        <v>302.0</v>
      </c>
      <c r="Z4088" s="45" t="s">
        <v>15935</v>
      </c>
      <c r="AA4088" s="31"/>
      <c r="AB4088" s="45" t="s">
        <v>15936</v>
      </c>
      <c r="AC4088" s="45"/>
    </row>
    <row r="4089" ht="18.75" customHeight="1">
      <c r="A4089" s="142" t="s">
        <v>15937</v>
      </c>
      <c r="B4089" s="19" t="s">
        <v>4604</v>
      </c>
      <c r="C4089" s="20">
        <v>137.0</v>
      </c>
      <c r="D4089" s="48" t="s">
        <v>15938</v>
      </c>
      <c r="E4089" s="27" t="s">
        <v>85</v>
      </c>
      <c r="F4089" s="27" t="s">
        <v>48</v>
      </c>
      <c r="G4089" s="18" t="s">
        <v>35</v>
      </c>
      <c r="H4089" s="40" t="s">
        <v>35</v>
      </c>
      <c r="I4089" s="37" t="s">
        <v>36</v>
      </c>
      <c r="J4089" s="25" t="s">
        <v>65</v>
      </c>
      <c r="K4089" s="26" t="s">
        <v>38</v>
      </c>
      <c r="L4089" s="25">
        <v>13125.0</v>
      </c>
      <c r="M4089" s="49" t="s">
        <v>50</v>
      </c>
      <c r="N4089" s="42" t="s">
        <v>10703</v>
      </c>
      <c r="O4089" s="67">
        <v>45804.68378375</v>
      </c>
      <c r="P4089" s="35" t="s">
        <v>15939</v>
      </c>
      <c r="Q4089" s="13" t="s">
        <v>75</v>
      </c>
      <c r="R4089" s="13" t="s">
        <v>75</v>
      </c>
      <c r="S4089" s="13" t="s">
        <v>50</v>
      </c>
      <c r="T4089" s="44">
        <v>45803.700821446764</v>
      </c>
      <c r="U4089" s="44">
        <v>45804.40812678241</v>
      </c>
      <c r="V4089" s="198">
        <v>45804.42144863426</v>
      </c>
      <c r="W4089" s="11"/>
      <c r="X4089" s="11"/>
      <c r="Y4089" s="45">
        <v>302.0</v>
      </c>
      <c r="Z4089" s="45" t="s">
        <v>15940</v>
      </c>
      <c r="AA4089" s="31"/>
      <c r="AB4089" s="45" t="s">
        <v>15941</v>
      </c>
      <c r="AC4089" s="45"/>
    </row>
    <row r="4090" ht="18.75" customHeight="1">
      <c r="A4090" s="18" t="s">
        <v>15942</v>
      </c>
      <c r="B4090" s="19" t="s">
        <v>8743</v>
      </c>
      <c r="C4090" s="20">
        <v>0.0</v>
      </c>
      <c r="D4090" s="48" t="s">
        <v>15943</v>
      </c>
      <c r="E4090" s="27" t="s">
        <v>4430</v>
      </c>
      <c r="F4090" s="27" t="s">
        <v>48</v>
      </c>
      <c r="G4090" s="18" t="s">
        <v>35</v>
      </c>
      <c r="H4090" s="40" t="s">
        <v>35</v>
      </c>
      <c r="I4090" s="37" t="s">
        <v>36</v>
      </c>
      <c r="J4090" s="25" t="s">
        <v>65</v>
      </c>
      <c r="K4090" s="26" t="s">
        <v>38</v>
      </c>
      <c r="L4090" s="25">
        <v>13126.0</v>
      </c>
      <c r="M4090" s="49" t="s">
        <v>50</v>
      </c>
      <c r="N4090" s="42" t="s">
        <v>10703</v>
      </c>
      <c r="O4090" s="67">
        <v>45804.68373664352</v>
      </c>
      <c r="P4090" s="35" t="s">
        <v>15944</v>
      </c>
      <c r="Q4090" s="13" t="s">
        <v>75</v>
      </c>
      <c r="R4090" s="13" t="s">
        <v>75</v>
      </c>
      <c r="S4090" s="13" t="s">
        <v>50</v>
      </c>
      <c r="T4090" s="44">
        <v>45804.37882586806</v>
      </c>
      <c r="U4090" s="44">
        <v>45804.40963872685</v>
      </c>
      <c r="V4090" s="198">
        <v>45804.545291331015</v>
      </c>
      <c r="W4090" s="11"/>
      <c r="X4090" s="11"/>
      <c r="Y4090" s="45">
        <v>302.0</v>
      </c>
      <c r="Z4090" s="45" t="s">
        <v>15945</v>
      </c>
      <c r="AA4090" s="31"/>
      <c r="AB4090" s="45" t="s">
        <v>15946</v>
      </c>
      <c r="AC4090" s="45"/>
    </row>
    <row r="4091" ht="18.75" customHeight="1">
      <c r="A4091" s="18" t="s">
        <v>15947</v>
      </c>
      <c r="B4091" s="19" t="s">
        <v>8743</v>
      </c>
      <c r="C4091" s="20">
        <v>0.0</v>
      </c>
      <c r="D4091" s="48" t="s">
        <v>15948</v>
      </c>
      <c r="E4091" s="27" t="s">
        <v>4430</v>
      </c>
      <c r="F4091" s="27" t="s">
        <v>48</v>
      </c>
      <c r="G4091" s="18" t="s">
        <v>35</v>
      </c>
      <c r="H4091" s="40" t="s">
        <v>35</v>
      </c>
      <c r="I4091" s="37" t="s">
        <v>36</v>
      </c>
      <c r="J4091" s="25" t="s">
        <v>65</v>
      </c>
      <c r="K4091" s="26" t="s">
        <v>38</v>
      </c>
      <c r="L4091" s="25">
        <v>13126.0</v>
      </c>
      <c r="M4091" s="49" t="s">
        <v>50</v>
      </c>
      <c r="N4091" s="42" t="s">
        <v>10703</v>
      </c>
      <c r="O4091" s="67">
        <v>45804.68368428241</v>
      </c>
      <c r="P4091" s="35" t="s">
        <v>15944</v>
      </c>
      <c r="Q4091" s="13" t="s">
        <v>75</v>
      </c>
      <c r="R4091" s="13" t="s">
        <v>75</v>
      </c>
      <c r="S4091" s="13" t="s">
        <v>50</v>
      </c>
      <c r="T4091" s="44">
        <v>45804.378946875004</v>
      </c>
      <c r="U4091" s="44">
        <v>45804.40967170139</v>
      </c>
      <c r="V4091" s="198">
        <v>45804.5452913426</v>
      </c>
      <c r="W4091" s="11"/>
      <c r="X4091" s="11"/>
      <c r="Y4091" s="45">
        <v>302.0</v>
      </c>
      <c r="Z4091" s="45" t="s">
        <v>15949</v>
      </c>
      <c r="AA4091" s="31"/>
      <c r="AB4091" s="45" t="s">
        <v>15950</v>
      </c>
      <c r="AC4091" s="45"/>
    </row>
    <row r="4092" ht="18.75" customHeight="1">
      <c r="A4092" s="18" t="s">
        <v>15951</v>
      </c>
      <c r="B4092" s="19" t="s">
        <v>8743</v>
      </c>
      <c r="C4092" s="20">
        <v>0.0</v>
      </c>
      <c r="D4092" s="48" t="s">
        <v>15952</v>
      </c>
      <c r="E4092" s="27" t="s">
        <v>4430</v>
      </c>
      <c r="F4092" s="27" t="s">
        <v>48</v>
      </c>
      <c r="G4092" s="18" t="s">
        <v>35</v>
      </c>
      <c r="H4092" s="40" t="s">
        <v>35</v>
      </c>
      <c r="I4092" s="37" t="s">
        <v>36</v>
      </c>
      <c r="J4092" s="25" t="s">
        <v>65</v>
      </c>
      <c r="K4092" s="26" t="s">
        <v>38</v>
      </c>
      <c r="L4092" s="25">
        <v>13126.0</v>
      </c>
      <c r="M4092" s="49" t="s">
        <v>50</v>
      </c>
      <c r="N4092" s="42" t="s">
        <v>10703</v>
      </c>
      <c r="O4092" s="67">
        <v>45804.68348717593</v>
      </c>
      <c r="P4092" s="35" t="s">
        <v>15944</v>
      </c>
      <c r="Q4092" s="13" t="s">
        <v>75</v>
      </c>
      <c r="R4092" s="13" t="s">
        <v>75</v>
      </c>
      <c r="S4092" s="13" t="s">
        <v>50</v>
      </c>
      <c r="T4092" s="44">
        <v>45804.37900590278</v>
      </c>
      <c r="U4092" s="44">
        <v>45804.40982064814</v>
      </c>
      <c r="V4092" s="198">
        <v>45804.5452913426</v>
      </c>
      <c r="W4092" s="11"/>
      <c r="X4092" s="11"/>
      <c r="Y4092" s="45">
        <v>302.0</v>
      </c>
      <c r="Z4092" s="45" t="s">
        <v>15953</v>
      </c>
      <c r="AA4092" s="31"/>
      <c r="AB4092" s="45" t="s">
        <v>15954</v>
      </c>
      <c r="AC4092" s="45"/>
    </row>
    <row r="4093" ht="18.75" customHeight="1">
      <c r="A4093" s="18" t="s">
        <v>15955</v>
      </c>
      <c r="B4093" s="19" t="s">
        <v>8743</v>
      </c>
      <c r="C4093" s="20">
        <v>0.0</v>
      </c>
      <c r="D4093" s="48" t="s">
        <v>15956</v>
      </c>
      <c r="E4093" s="27" t="s">
        <v>4430</v>
      </c>
      <c r="F4093" s="27" t="s">
        <v>48</v>
      </c>
      <c r="G4093" s="18" t="s">
        <v>35</v>
      </c>
      <c r="H4093" s="40" t="s">
        <v>35</v>
      </c>
      <c r="I4093" s="37" t="s">
        <v>36</v>
      </c>
      <c r="J4093" s="25" t="s">
        <v>65</v>
      </c>
      <c r="K4093" s="26" t="s">
        <v>38</v>
      </c>
      <c r="L4093" s="25">
        <v>13126.0</v>
      </c>
      <c r="M4093" s="49" t="s">
        <v>50</v>
      </c>
      <c r="N4093" s="42" t="s">
        <v>10703</v>
      </c>
      <c r="O4093" s="67">
        <v>45804.683575393516</v>
      </c>
      <c r="P4093" s="35" t="s">
        <v>15944</v>
      </c>
      <c r="Q4093" s="13" t="s">
        <v>75</v>
      </c>
      <c r="R4093" s="13" t="s">
        <v>75</v>
      </c>
      <c r="S4093" s="13" t="s">
        <v>50</v>
      </c>
      <c r="T4093" s="44">
        <v>45804.37906582176</v>
      </c>
      <c r="U4093" s="44">
        <v>45804.409790578706</v>
      </c>
      <c r="V4093" s="198">
        <v>45804.5452913426</v>
      </c>
      <c r="W4093" s="11"/>
      <c r="X4093" s="11"/>
      <c r="Y4093" s="45">
        <v>302.0</v>
      </c>
      <c r="Z4093" s="45" t="s">
        <v>15957</v>
      </c>
      <c r="AA4093" s="31"/>
      <c r="AB4093" s="45" t="s">
        <v>15958</v>
      </c>
      <c r="AC4093" s="45"/>
    </row>
    <row r="4094" ht="18.75" customHeight="1">
      <c r="A4094" s="142" t="s">
        <v>15959</v>
      </c>
      <c r="B4094" s="19" t="s">
        <v>4352</v>
      </c>
      <c r="C4094" s="20">
        <v>1.0</v>
      </c>
      <c r="D4094" s="48" t="s">
        <v>15960</v>
      </c>
      <c r="E4094" s="27" t="s">
        <v>3395</v>
      </c>
      <c r="F4094" s="27" t="s">
        <v>48</v>
      </c>
      <c r="G4094" s="18" t="s">
        <v>35</v>
      </c>
      <c r="H4094" s="40" t="s">
        <v>35</v>
      </c>
      <c r="I4094" s="37" t="s">
        <v>36</v>
      </c>
      <c r="J4094" s="25" t="s">
        <v>49</v>
      </c>
      <c r="K4094" s="26" t="s">
        <v>38</v>
      </c>
      <c r="L4094" s="25">
        <v>13145.0</v>
      </c>
      <c r="M4094" s="49" t="s">
        <v>50</v>
      </c>
      <c r="N4094" s="42" t="s">
        <v>5936</v>
      </c>
      <c r="O4094" s="67">
        <v>45806.606414525464</v>
      </c>
      <c r="P4094" s="35" t="s">
        <v>15961</v>
      </c>
      <c r="Q4094" s="13" t="s">
        <v>75</v>
      </c>
      <c r="R4094" s="13" t="s">
        <v>75</v>
      </c>
      <c r="S4094" s="13" t="s">
        <v>50</v>
      </c>
      <c r="T4094" s="44">
        <v>45805.40545290509</v>
      </c>
      <c r="U4094" s="44">
        <v>45806.38750520833</v>
      </c>
      <c r="V4094" s="198">
        <v>45806.41723384259</v>
      </c>
      <c r="W4094" s="11"/>
      <c r="X4094" s="11"/>
      <c r="Y4094" s="45">
        <v>302.0</v>
      </c>
      <c r="Z4094" s="45" t="s">
        <v>15962</v>
      </c>
      <c r="AA4094" s="31"/>
      <c r="AB4094" s="45" t="s">
        <v>15963</v>
      </c>
      <c r="AC4094" s="45"/>
    </row>
    <row r="4095" ht="18.75" customHeight="1">
      <c r="A4095" s="142" t="s">
        <v>15964</v>
      </c>
      <c r="B4095" s="19" t="s">
        <v>4352</v>
      </c>
      <c r="C4095" s="20">
        <v>1.0</v>
      </c>
      <c r="D4095" s="48" t="s">
        <v>15965</v>
      </c>
      <c r="E4095" s="27" t="s">
        <v>3395</v>
      </c>
      <c r="F4095" s="27" t="s">
        <v>48</v>
      </c>
      <c r="G4095" s="18" t="s">
        <v>35</v>
      </c>
      <c r="H4095" s="40" t="s">
        <v>35</v>
      </c>
      <c r="I4095" s="37" t="s">
        <v>36</v>
      </c>
      <c r="J4095" s="25" t="s">
        <v>49</v>
      </c>
      <c r="K4095" s="26" t="s">
        <v>38</v>
      </c>
      <c r="L4095" s="25">
        <v>13144.0</v>
      </c>
      <c r="M4095" s="49" t="s">
        <v>50</v>
      </c>
      <c r="N4095" s="42" t="s">
        <v>5936</v>
      </c>
      <c r="O4095" s="67">
        <v>45806.60629422453</v>
      </c>
      <c r="P4095" s="35" t="s">
        <v>15966</v>
      </c>
      <c r="Q4095" s="13" t="s">
        <v>75</v>
      </c>
      <c r="R4095" s="13" t="s">
        <v>75</v>
      </c>
      <c r="S4095" s="13" t="s">
        <v>50</v>
      </c>
      <c r="T4095" s="44">
        <v>45805.406579710645</v>
      </c>
      <c r="U4095" s="44">
        <v>45806.387796932875</v>
      </c>
      <c r="V4095" s="198">
        <v>45806.41723385417</v>
      </c>
      <c r="W4095" s="11"/>
      <c r="X4095" s="11"/>
      <c r="Y4095" s="45">
        <v>302.0</v>
      </c>
      <c r="Z4095" s="45" t="s">
        <v>15967</v>
      </c>
      <c r="AA4095" s="31"/>
      <c r="AB4095" s="45" t="s">
        <v>15968</v>
      </c>
      <c r="AC4095" s="45"/>
    </row>
    <row r="4096" ht="18.75" customHeight="1">
      <c r="A4096" s="18" t="s">
        <v>15969</v>
      </c>
      <c r="B4096" s="19" t="s">
        <v>3645</v>
      </c>
      <c r="C4096" s="20">
        <v>137.0</v>
      </c>
      <c r="D4096" s="48" t="s">
        <v>15970</v>
      </c>
      <c r="E4096" s="27" t="s">
        <v>85</v>
      </c>
      <c r="F4096" s="27" t="s">
        <v>48</v>
      </c>
      <c r="G4096" s="18" t="s">
        <v>35</v>
      </c>
      <c r="H4096" s="40" t="s">
        <v>35</v>
      </c>
      <c r="I4096" s="37" t="s">
        <v>36</v>
      </c>
      <c r="J4096" s="25" t="s">
        <v>49</v>
      </c>
      <c r="K4096" s="26" t="s">
        <v>38</v>
      </c>
      <c r="L4096" s="25">
        <v>13133.0</v>
      </c>
      <c r="M4096" s="49" t="s">
        <v>50</v>
      </c>
      <c r="N4096" s="42" t="s">
        <v>5936</v>
      </c>
      <c r="O4096" s="67">
        <v>45805.626817303244</v>
      </c>
      <c r="P4096" s="35" t="s">
        <v>15971</v>
      </c>
      <c r="Q4096" s="13" t="s">
        <v>75</v>
      </c>
      <c r="R4096" s="13" t="s">
        <v>75</v>
      </c>
      <c r="S4096" s="13" t="s">
        <v>50</v>
      </c>
      <c r="T4096" s="44">
        <v>45805.40747436343</v>
      </c>
      <c r="U4096" s="44">
        <v>45805.44885930556</v>
      </c>
      <c r="V4096" s="198">
        <v>45805.458718449074</v>
      </c>
      <c r="W4096" s="11"/>
      <c r="X4096" s="11"/>
      <c r="Y4096" s="45">
        <v>302.0</v>
      </c>
      <c r="Z4096" s="45" t="s">
        <v>15972</v>
      </c>
      <c r="AA4096" s="31"/>
      <c r="AB4096" s="45" t="s">
        <v>15973</v>
      </c>
      <c r="AC4096" s="45"/>
    </row>
    <row r="4097" ht="18.75" customHeight="1">
      <c r="A4097" s="18" t="s">
        <v>15974</v>
      </c>
      <c r="B4097" s="19" t="s">
        <v>3645</v>
      </c>
      <c r="C4097" s="20">
        <v>137.0</v>
      </c>
      <c r="D4097" s="206" t="s">
        <v>15975</v>
      </c>
      <c r="E4097" s="27" t="s">
        <v>85</v>
      </c>
      <c r="F4097" s="27" t="s">
        <v>48</v>
      </c>
      <c r="G4097" s="18" t="s">
        <v>35</v>
      </c>
      <c r="H4097" s="40" t="s">
        <v>35</v>
      </c>
      <c r="I4097" s="37" t="s">
        <v>36</v>
      </c>
      <c r="J4097" s="25" t="s">
        <v>49</v>
      </c>
      <c r="K4097" s="26" t="s">
        <v>38</v>
      </c>
      <c r="L4097" s="25">
        <v>13133.0</v>
      </c>
      <c r="M4097" s="49" t="s">
        <v>50</v>
      </c>
      <c r="N4097" s="42" t="s">
        <v>5936</v>
      </c>
      <c r="O4097" s="67">
        <v>45805.626962615745</v>
      </c>
      <c r="P4097" s="35" t="s">
        <v>15971</v>
      </c>
      <c r="Q4097" s="13" t="s">
        <v>75</v>
      </c>
      <c r="R4097" s="13" t="s">
        <v>75</v>
      </c>
      <c r="S4097" s="13" t="s">
        <v>50</v>
      </c>
      <c r="T4097" s="44">
        <v>45805.40753456019</v>
      </c>
      <c r="U4097" s="44">
        <v>45805.4488315625</v>
      </c>
      <c r="V4097" s="198">
        <v>45805.458718449074</v>
      </c>
      <c r="W4097" s="11"/>
      <c r="X4097" s="11"/>
      <c r="Y4097" s="45">
        <v>302.0</v>
      </c>
      <c r="Z4097" s="45" t="s">
        <v>15976</v>
      </c>
      <c r="AA4097" s="31"/>
      <c r="AB4097" s="45" t="s">
        <v>15977</v>
      </c>
      <c r="AC4097" s="45"/>
    </row>
    <row r="4098" ht="18.75" customHeight="1">
      <c r="A4098" s="142" t="s">
        <v>15978</v>
      </c>
      <c r="B4098" s="19" t="s">
        <v>5507</v>
      </c>
      <c r="C4098" s="20">
        <v>34.0</v>
      </c>
      <c r="D4098" s="48" t="s">
        <v>15979</v>
      </c>
      <c r="E4098" s="27" t="s">
        <v>47</v>
      </c>
      <c r="F4098" s="27" t="s">
        <v>48</v>
      </c>
      <c r="G4098" s="18" t="s">
        <v>35</v>
      </c>
      <c r="H4098" s="40" t="s">
        <v>35</v>
      </c>
      <c r="I4098" s="37" t="s">
        <v>36</v>
      </c>
      <c r="J4098" s="25" t="s">
        <v>49</v>
      </c>
      <c r="K4098" s="26" t="s">
        <v>38</v>
      </c>
      <c r="L4098" s="25">
        <v>13134.0</v>
      </c>
      <c r="M4098" s="49" t="s">
        <v>50</v>
      </c>
      <c r="N4098" s="42" t="s">
        <v>5936</v>
      </c>
      <c r="O4098" s="67">
        <v>45805.626752048614</v>
      </c>
      <c r="P4098" s="35" t="s">
        <v>15980</v>
      </c>
      <c r="Q4098" s="13" t="s">
        <v>75</v>
      </c>
      <c r="R4098" s="13" t="s">
        <v>75</v>
      </c>
      <c r="S4098" s="13" t="s">
        <v>50</v>
      </c>
      <c r="T4098" s="44">
        <v>45805.41008239583</v>
      </c>
      <c r="U4098" s="44">
        <v>45805.446962581016</v>
      </c>
      <c r="V4098" s="198">
        <v>45805.456153437495</v>
      </c>
      <c r="W4098" s="11"/>
      <c r="X4098" s="11"/>
      <c r="Y4098" s="45">
        <v>302.0</v>
      </c>
      <c r="Z4098" s="45" t="s">
        <v>15981</v>
      </c>
      <c r="AA4098" s="31"/>
      <c r="AB4098" s="45" t="s">
        <v>15982</v>
      </c>
      <c r="AC4098" s="45"/>
    </row>
    <row r="4099" ht="18.75" customHeight="1">
      <c r="A4099" s="142" t="s">
        <v>15983</v>
      </c>
      <c r="B4099" s="19" t="s">
        <v>3762</v>
      </c>
      <c r="C4099" s="20">
        <v>90.0</v>
      </c>
      <c r="D4099" s="48" t="s">
        <v>15984</v>
      </c>
      <c r="E4099" s="27" t="s">
        <v>91</v>
      </c>
      <c r="F4099" s="27" t="s">
        <v>48</v>
      </c>
      <c r="G4099" s="18" t="s">
        <v>35</v>
      </c>
      <c r="H4099" s="40" t="s">
        <v>35</v>
      </c>
      <c r="I4099" s="37" t="s">
        <v>36</v>
      </c>
      <c r="J4099" s="25" t="s">
        <v>65</v>
      </c>
      <c r="K4099" s="26" t="s">
        <v>38</v>
      </c>
      <c r="L4099" s="25">
        <v>13135.0</v>
      </c>
      <c r="M4099" s="49" t="s">
        <v>50</v>
      </c>
      <c r="N4099" s="42" t="s">
        <v>14854</v>
      </c>
      <c r="O4099" s="67">
        <v>45805.63235959491</v>
      </c>
      <c r="P4099" s="35" t="s">
        <v>15985</v>
      </c>
      <c r="Q4099" s="13" t="s">
        <v>75</v>
      </c>
      <c r="R4099" s="13" t="s">
        <v>75</v>
      </c>
      <c r="S4099" s="13" t="s">
        <v>50</v>
      </c>
      <c r="T4099" s="44">
        <v>45805.41222677083</v>
      </c>
      <c r="U4099" s="44">
        <v>45805.4473434838</v>
      </c>
      <c r="V4099" s="198">
        <v>45805.45634041667</v>
      </c>
      <c r="W4099" s="11"/>
      <c r="X4099" s="11"/>
      <c r="Y4099" s="45">
        <v>302.0</v>
      </c>
      <c r="Z4099" s="45" t="s">
        <v>15986</v>
      </c>
      <c r="AA4099" s="31"/>
      <c r="AB4099" s="45" t="s">
        <v>15987</v>
      </c>
      <c r="AC4099" s="45"/>
    </row>
    <row r="4100" ht="18.75" customHeight="1">
      <c r="A4100" s="142" t="s">
        <v>15988</v>
      </c>
      <c r="B4100" s="19" t="s">
        <v>14510</v>
      </c>
      <c r="C4100" s="20">
        <v>137.0</v>
      </c>
      <c r="D4100" s="48" t="s">
        <v>15989</v>
      </c>
      <c r="E4100" s="27" t="s">
        <v>85</v>
      </c>
      <c r="F4100" s="27" t="s">
        <v>48</v>
      </c>
      <c r="G4100" s="18" t="s">
        <v>35</v>
      </c>
      <c r="H4100" s="40" t="s">
        <v>35</v>
      </c>
      <c r="I4100" s="37" t="s">
        <v>36</v>
      </c>
      <c r="J4100" s="25" t="s">
        <v>15990</v>
      </c>
      <c r="K4100" s="26" t="s">
        <v>38</v>
      </c>
      <c r="L4100" s="25">
        <v>13128.0</v>
      </c>
      <c r="M4100" s="49" t="s">
        <v>15811</v>
      </c>
      <c r="N4100" s="42"/>
      <c r="O4100" s="67">
        <v>45804.73519315972</v>
      </c>
      <c r="P4100" s="26" t="s">
        <v>15991</v>
      </c>
      <c r="Q4100" s="13" t="s">
        <v>73</v>
      </c>
      <c r="R4100" s="13" t="s">
        <v>75</v>
      </c>
      <c r="S4100" s="13" t="s">
        <v>75</v>
      </c>
      <c r="T4100" s="44">
        <v>45804.657660578705</v>
      </c>
      <c r="U4100" s="44">
        <v>45804.73519315972</v>
      </c>
      <c r="V4100" s="198">
        <v>45804.73519315972</v>
      </c>
      <c r="W4100" s="11"/>
      <c r="X4100" s="11"/>
      <c r="Y4100" s="45"/>
      <c r="Z4100" s="45"/>
      <c r="AA4100" s="31"/>
      <c r="AB4100" s="45" t="s">
        <v>15992</v>
      </c>
      <c r="AC4100" s="45"/>
    </row>
    <row r="4101" ht="18.75" customHeight="1">
      <c r="A4101" s="142" t="s">
        <v>15993</v>
      </c>
      <c r="B4101" s="19" t="s">
        <v>15994</v>
      </c>
      <c r="C4101" s="20">
        <v>0.0</v>
      </c>
      <c r="D4101" s="177" t="s">
        <v>15995</v>
      </c>
      <c r="E4101" s="27" t="s">
        <v>713</v>
      </c>
      <c r="F4101" s="27" t="s">
        <v>33</v>
      </c>
      <c r="G4101" s="18" t="s">
        <v>35</v>
      </c>
      <c r="H4101" s="40" t="s">
        <v>35</v>
      </c>
      <c r="I4101" s="37" t="s">
        <v>36</v>
      </c>
      <c r="J4101" s="25" t="s">
        <v>15996</v>
      </c>
      <c r="K4101" s="26" t="s">
        <v>38</v>
      </c>
      <c r="L4101" s="25">
        <v>13154.0</v>
      </c>
      <c r="M4101" s="49" t="s">
        <v>50</v>
      </c>
      <c r="N4101" s="42" t="s">
        <v>15997</v>
      </c>
      <c r="O4101" s="67">
        <v>45807.63922758102</v>
      </c>
      <c r="P4101" s="35" t="s">
        <v>15998</v>
      </c>
      <c r="Q4101" s="13" t="s">
        <v>75</v>
      </c>
      <c r="R4101" s="13" t="s">
        <v>75</v>
      </c>
      <c r="S4101" s="13" t="s">
        <v>73</v>
      </c>
      <c r="T4101" s="44">
        <v>45805.43193788195</v>
      </c>
      <c r="U4101" s="44">
        <v>45806.377009814816</v>
      </c>
      <c r="V4101" s="198">
        <v>45806.48682954861</v>
      </c>
      <c r="W4101" s="11"/>
      <c r="X4101" s="11"/>
      <c r="Y4101" s="45">
        <v>302.0</v>
      </c>
      <c r="Z4101" s="45" t="s">
        <v>15999</v>
      </c>
      <c r="AA4101" s="31"/>
      <c r="AB4101" s="45" t="s">
        <v>16000</v>
      </c>
      <c r="AC4101" s="45"/>
    </row>
    <row r="4102" ht="18.75" customHeight="1">
      <c r="A4102" s="142" t="s">
        <v>16001</v>
      </c>
      <c r="B4102" s="19" t="s">
        <v>9909</v>
      </c>
      <c r="C4102" s="20">
        <v>1.0</v>
      </c>
      <c r="D4102" s="48" t="s">
        <v>16002</v>
      </c>
      <c r="E4102" s="27" t="s">
        <v>3395</v>
      </c>
      <c r="F4102" s="27" t="s">
        <v>48</v>
      </c>
      <c r="G4102" s="18" t="s">
        <v>35</v>
      </c>
      <c r="H4102" s="40" t="s">
        <v>35</v>
      </c>
      <c r="I4102" s="37" t="s">
        <v>36</v>
      </c>
      <c r="J4102" s="25" t="s">
        <v>420</v>
      </c>
      <c r="K4102" s="26" t="s">
        <v>38</v>
      </c>
      <c r="L4102" s="25">
        <v>13143.0</v>
      </c>
      <c r="M4102" s="49" t="s">
        <v>50</v>
      </c>
      <c r="N4102" s="42" t="s">
        <v>4031</v>
      </c>
      <c r="O4102" s="67">
        <v>45806.56311855324</v>
      </c>
      <c r="P4102" s="35" t="s">
        <v>16003</v>
      </c>
      <c r="Q4102" s="13" t="s">
        <v>75</v>
      </c>
      <c r="R4102" s="13" t="s">
        <v>75</v>
      </c>
      <c r="S4102" s="13" t="s">
        <v>50</v>
      </c>
      <c r="T4102" s="44">
        <v>45805.42009583334</v>
      </c>
      <c r="U4102" s="44">
        <v>45806.38699623843</v>
      </c>
      <c r="V4102" s="198">
        <v>45806.41717858796</v>
      </c>
      <c r="W4102" s="11"/>
      <c r="X4102" s="11"/>
      <c r="Y4102" s="45">
        <v>302.0</v>
      </c>
      <c r="Z4102" s="45" t="s">
        <v>16004</v>
      </c>
      <c r="AA4102" s="31"/>
      <c r="AB4102" s="45" t="s">
        <v>16005</v>
      </c>
      <c r="AC4102" s="45"/>
    </row>
    <row r="4103" ht="18.75" customHeight="1">
      <c r="A4103" s="18" t="s">
        <v>16006</v>
      </c>
      <c r="B4103" s="19" t="s">
        <v>1192</v>
      </c>
      <c r="C4103" s="20">
        <v>27.0</v>
      </c>
      <c r="D4103" s="39" t="s">
        <v>16007</v>
      </c>
      <c r="E4103" s="27" t="s">
        <v>72</v>
      </c>
      <c r="F4103" s="27" t="s">
        <v>48</v>
      </c>
      <c r="G4103" s="18" t="s">
        <v>35</v>
      </c>
      <c r="H4103" s="40" t="s">
        <v>35</v>
      </c>
      <c r="I4103" s="37" t="s">
        <v>36</v>
      </c>
      <c r="J4103" s="25" t="s">
        <v>65</v>
      </c>
      <c r="K4103" s="26" t="s">
        <v>38</v>
      </c>
      <c r="L4103" s="25">
        <v>13136.0</v>
      </c>
      <c r="M4103" s="49" t="s">
        <v>50</v>
      </c>
      <c r="N4103" s="42" t="s">
        <v>14854</v>
      </c>
      <c r="O4103" s="67">
        <v>45805.63231385416</v>
      </c>
      <c r="P4103" s="35" t="s">
        <v>15829</v>
      </c>
      <c r="Q4103" s="13" t="s">
        <v>75</v>
      </c>
      <c r="R4103" s="13" t="s">
        <v>75</v>
      </c>
      <c r="S4103" s="13" t="s">
        <v>50</v>
      </c>
      <c r="T4103" s="44">
        <v>45805.422062025464</v>
      </c>
      <c r="U4103" s="44">
        <v>45805.44910865741</v>
      </c>
      <c r="V4103" s="198">
        <v>45805.454130405094</v>
      </c>
      <c r="W4103" s="11"/>
      <c r="X4103" s="11"/>
      <c r="Y4103" s="45">
        <v>302.0</v>
      </c>
      <c r="Z4103" s="45" t="s">
        <v>16008</v>
      </c>
      <c r="AA4103" s="31"/>
      <c r="AB4103" s="45" t="s">
        <v>16009</v>
      </c>
      <c r="AC4103" s="45"/>
    </row>
    <row r="4104" ht="18.75" customHeight="1">
      <c r="A4104" s="18" t="s">
        <v>16010</v>
      </c>
      <c r="B4104" s="19" t="s">
        <v>1192</v>
      </c>
      <c r="C4104" s="20">
        <v>27.0</v>
      </c>
      <c r="D4104" s="39" t="s">
        <v>16011</v>
      </c>
      <c r="E4104" s="27" t="s">
        <v>72</v>
      </c>
      <c r="F4104" s="27" t="s">
        <v>48</v>
      </c>
      <c r="G4104" s="18" t="s">
        <v>35</v>
      </c>
      <c r="H4104" s="40" t="s">
        <v>35</v>
      </c>
      <c r="I4104" s="37" t="s">
        <v>36</v>
      </c>
      <c r="J4104" s="25" t="s">
        <v>65</v>
      </c>
      <c r="K4104" s="26" t="s">
        <v>38</v>
      </c>
      <c r="L4104" s="25">
        <v>13136.0</v>
      </c>
      <c r="M4104" s="49" t="s">
        <v>50</v>
      </c>
      <c r="N4104" s="42" t="s">
        <v>14854</v>
      </c>
      <c r="O4104" s="67">
        <v>45805.65672086806</v>
      </c>
      <c r="P4104" s="35" t="s">
        <v>15829</v>
      </c>
      <c r="Q4104" s="13" t="s">
        <v>75</v>
      </c>
      <c r="R4104" s="13" t="s">
        <v>75</v>
      </c>
      <c r="S4104" s="13" t="s">
        <v>50</v>
      </c>
      <c r="T4104" s="44">
        <v>45805.42213472222</v>
      </c>
      <c r="U4104" s="44">
        <v>45805.449162164354</v>
      </c>
      <c r="V4104" s="198">
        <v>45805.454211805554</v>
      </c>
      <c r="W4104" s="11"/>
      <c r="X4104" s="11"/>
      <c r="Y4104" s="45">
        <v>302.0</v>
      </c>
      <c r="Z4104" s="45" t="s">
        <v>16012</v>
      </c>
      <c r="AA4104" s="31"/>
      <c r="AB4104" s="45" t="s">
        <v>16013</v>
      </c>
      <c r="AC4104" s="45"/>
    </row>
    <row r="4105" ht="18.75" customHeight="1">
      <c r="A4105" s="18" t="s">
        <v>16014</v>
      </c>
      <c r="B4105" s="19" t="s">
        <v>1192</v>
      </c>
      <c r="C4105" s="20">
        <v>137.0</v>
      </c>
      <c r="D4105" s="48" t="s">
        <v>16015</v>
      </c>
      <c r="E4105" s="27" t="s">
        <v>85</v>
      </c>
      <c r="F4105" s="27" t="s">
        <v>48</v>
      </c>
      <c r="G4105" s="18" t="s">
        <v>35</v>
      </c>
      <c r="H4105" s="40" t="s">
        <v>35</v>
      </c>
      <c r="I4105" s="37" t="s">
        <v>36</v>
      </c>
      <c r="J4105" s="25" t="s">
        <v>65</v>
      </c>
      <c r="K4105" s="26" t="s">
        <v>38</v>
      </c>
      <c r="L4105" s="25">
        <v>13136.0</v>
      </c>
      <c r="M4105" s="49" t="s">
        <v>50</v>
      </c>
      <c r="N4105" s="42" t="s">
        <v>14854</v>
      </c>
      <c r="O4105" s="67">
        <v>45805.63225898148</v>
      </c>
      <c r="P4105" s="35" t="s">
        <v>15829</v>
      </c>
      <c r="Q4105" s="13" t="s">
        <v>75</v>
      </c>
      <c r="R4105" s="13" t="s">
        <v>75</v>
      </c>
      <c r="S4105" s="13" t="s">
        <v>50</v>
      </c>
      <c r="T4105" s="44">
        <v>45805.4222544213</v>
      </c>
      <c r="U4105" s="44">
        <v>45805.44913612268</v>
      </c>
      <c r="V4105" s="198">
        <v>45805.458718449074</v>
      </c>
      <c r="W4105" s="11"/>
      <c r="X4105" s="11"/>
      <c r="Y4105" s="45">
        <v>302.0</v>
      </c>
      <c r="Z4105" s="45" t="s">
        <v>16016</v>
      </c>
      <c r="AA4105" s="31"/>
      <c r="AB4105" s="45" t="s">
        <v>16017</v>
      </c>
      <c r="AC4105" s="45"/>
    </row>
    <row r="4106" ht="18.75" customHeight="1">
      <c r="A4106" s="142" t="s">
        <v>16018</v>
      </c>
      <c r="B4106" s="19" t="s">
        <v>4901</v>
      </c>
      <c r="C4106" s="20">
        <v>90.0</v>
      </c>
      <c r="D4106" s="48" t="s">
        <v>16019</v>
      </c>
      <c r="E4106" s="27" t="s">
        <v>91</v>
      </c>
      <c r="F4106" s="27" t="s">
        <v>48</v>
      </c>
      <c r="G4106" s="18" t="s">
        <v>35</v>
      </c>
      <c r="H4106" s="40" t="s">
        <v>35</v>
      </c>
      <c r="I4106" s="37" t="s">
        <v>36</v>
      </c>
      <c r="J4106" s="25" t="s">
        <v>49</v>
      </c>
      <c r="K4106" s="26" t="s">
        <v>38</v>
      </c>
      <c r="L4106" s="25">
        <v>13137.0</v>
      </c>
      <c r="M4106" s="49" t="s">
        <v>50</v>
      </c>
      <c r="N4106" s="42" t="s">
        <v>5936</v>
      </c>
      <c r="O4106" s="67">
        <v>45805.62670001158</v>
      </c>
      <c r="P4106" s="35" t="s">
        <v>16020</v>
      </c>
      <c r="Q4106" s="13" t="s">
        <v>75</v>
      </c>
      <c r="R4106" s="13" t="s">
        <v>75</v>
      </c>
      <c r="S4106" s="13" t="s">
        <v>50</v>
      </c>
      <c r="T4106" s="44">
        <v>45805.424535451384</v>
      </c>
      <c r="U4106" s="44">
        <v>45805.447758738424</v>
      </c>
      <c r="V4106" s="198">
        <v>45805.4587184375</v>
      </c>
      <c r="W4106" s="11"/>
      <c r="X4106" s="11"/>
      <c r="Y4106" s="45">
        <v>302.0</v>
      </c>
      <c r="Z4106" s="45" t="s">
        <v>16021</v>
      </c>
      <c r="AA4106" s="31"/>
      <c r="AB4106" s="45" t="s">
        <v>16022</v>
      </c>
      <c r="AC4106" s="45"/>
    </row>
    <row r="4107" ht="18.75" customHeight="1">
      <c r="A4107" s="142" t="s">
        <v>16023</v>
      </c>
      <c r="B4107" s="19" t="s">
        <v>6153</v>
      </c>
      <c r="C4107" s="20">
        <v>90.0</v>
      </c>
      <c r="D4107" s="48" t="s">
        <v>16024</v>
      </c>
      <c r="E4107" s="27" t="s">
        <v>91</v>
      </c>
      <c r="F4107" s="27" t="s">
        <v>48</v>
      </c>
      <c r="G4107" s="18" t="s">
        <v>35</v>
      </c>
      <c r="H4107" s="40" t="s">
        <v>35</v>
      </c>
      <c r="I4107" s="37" t="s">
        <v>36</v>
      </c>
      <c r="J4107" s="25" t="s">
        <v>65</v>
      </c>
      <c r="K4107" s="26" t="s">
        <v>38</v>
      </c>
      <c r="L4107" s="25">
        <v>13141.0</v>
      </c>
      <c r="M4107" s="49" t="s">
        <v>50</v>
      </c>
      <c r="N4107" s="42" t="s">
        <v>10703</v>
      </c>
      <c r="O4107" s="67">
        <v>45806.67323503472</v>
      </c>
      <c r="P4107" s="26" t="s">
        <v>16025</v>
      </c>
      <c r="Q4107" s="13" t="s">
        <v>75</v>
      </c>
      <c r="R4107" s="13" t="s">
        <v>75</v>
      </c>
      <c r="S4107" s="13" t="s">
        <v>50</v>
      </c>
      <c r="T4107" s="44">
        <v>45805.556173819445</v>
      </c>
      <c r="U4107" s="44">
        <v>45805.73476871528</v>
      </c>
      <c r="V4107" s="198">
        <v>45806.35588700231</v>
      </c>
      <c r="W4107" s="11"/>
      <c r="X4107" s="11"/>
      <c r="Y4107" s="45">
        <v>302.0</v>
      </c>
      <c r="Z4107" s="45" t="s">
        <v>16026</v>
      </c>
      <c r="AA4107" s="31"/>
      <c r="AB4107" s="45" t="s">
        <v>16027</v>
      </c>
      <c r="AC4107" s="45"/>
    </row>
    <row r="4108" ht="18.75" customHeight="1">
      <c r="A4108" s="142" t="s">
        <v>16028</v>
      </c>
      <c r="B4108" s="19" t="s">
        <v>5277</v>
      </c>
      <c r="C4108" s="20">
        <v>1.0</v>
      </c>
      <c r="D4108" s="125" t="s">
        <v>16029</v>
      </c>
      <c r="E4108" s="27" t="s">
        <v>155</v>
      </c>
      <c r="F4108" s="27" t="s">
        <v>48</v>
      </c>
      <c r="G4108" s="18" t="s">
        <v>35</v>
      </c>
      <c r="H4108" s="40" t="s">
        <v>35</v>
      </c>
      <c r="I4108" s="37" t="s">
        <v>36</v>
      </c>
      <c r="J4108" s="25" t="s">
        <v>65</v>
      </c>
      <c r="K4108" s="26" t="s">
        <v>38</v>
      </c>
      <c r="L4108" s="72">
        <v>13165.0</v>
      </c>
      <c r="M4108" s="49" t="s">
        <v>50</v>
      </c>
      <c r="N4108" s="42" t="s">
        <v>14184</v>
      </c>
      <c r="O4108" s="67">
        <v>45811.67933377315</v>
      </c>
      <c r="P4108" s="35" t="s">
        <v>16030</v>
      </c>
      <c r="Q4108" s="13" t="s">
        <v>75</v>
      </c>
      <c r="R4108" s="13" t="s">
        <v>75</v>
      </c>
      <c r="S4108" s="13" t="s">
        <v>9620</v>
      </c>
      <c r="T4108" s="44">
        <v>45805.55846789352</v>
      </c>
      <c r="U4108" s="44">
        <v>45807.44609549768</v>
      </c>
      <c r="V4108" s="198">
        <v>45810.628595243055</v>
      </c>
      <c r="W4108" s="11"/>
      <c r="X4108" s="11"/>
      <c r="Y4108" s="45">
        <v>302.0</v>
      </c>
      <c r="Z4108" s="45" t="s">
        <v>16031</v>
      </c>
      <c r="AA4108" s="31"/>
      <c r="AB4108" s="45" t="s">
        <v>16032</v>
      </c>
      <c r="AC4108" s="45"/>
    </row>
    <row r="4109" ht="18.75" customHeight="1">
      <c r="A4109" s="142" t="s">
        <v>16033</v>
      </c>
      <c r="B4109" s="19" t="s">
        <v>9205</v>
      </c>
      <c r="C4109" s="20">
        <v>34.0</v>
      </c>
      <c r="D4109" s="48" t="s">
        <v>16034</v>
      </c>
      <c r="E4109" s="27" t="s">
        <v>47</v>
      </c>
      <c r="F4109" s="27" t="s">
        <v>48</v>
      </c>
      <c r="G4109" s="18" t="s">
        <v>35</v>
      </c>
      <c r="H4109" s="40" t="s">
        <v>35</v>
      </c>
      <c r="I4109" s="37" t="s">
        <v>36</v>
      </c>
      <c r="J4109" s="25" t="s">
        <v>49</v>
      </c>
      <c r="K4109" s="26" t="s">
        <v>38</v>
      </c>
      <c r="L4109" s="25">
        <v>13142.0</v>
      </c>
      <c r="M4109" s="49" t="s">
        <v>50</v>
      </c>
      <c r="N4109" s="42" t="s">
        <v>5936</v>
      </c>
      <c r="O4109" s="67">
        <v>45806.60619348379</v>
      </c>
      <c r="P4109" s="35" t="s">
        <v>16035</v>
      </c>
      <c r="Q4109" s="13" t="s">
        <v>75</v>
      </c>
      <c r="R4109" s="13" t="s">
        <v>75</v>
      </c>
      <c r="S4109" s="13" t="s">
        <v>50</v>
      </c>
      <c r="T4109" s="44">
        <v>45805.56089126157</v>
      </c>
      <c r="U4109" s="44">
        <v>45805.72743871528</v>
      </c>
      <c r="V4109" s="198">
        <v>45806.35588700231</v>
      </c>
      <c r="W4109" s="11"/>
      <c r="X4109" s="11"/>
      <c r="Y4109" s="45">
        <v>302.0</v>
      </c>
      <c r="Z4109" s="45" t="s">
        <v>16036</v>
      </c>
      <c r="AA4109" s="31"/>
      <c r="AB4109" s="45" t="s">
        <v>16037</v>
      </c>
      <c r="AC4109" s="45"/>
    </row>
    <row r="4110" ht="18.75" customHeight="1">
      <c r="A4110" s="142" t="s">
        <v>16038</v>
      </c>
      <c r="B4110" s="19" t="s">
        <v>1759</v>
      </c>
      <c r="C4110" s="47">
        <v>27.0</v>
      </c>
      <c r="D4110" s="39" t="s">
        <v>16039</v>
      </c>
      <c r="E4110" s="27" t="s">
        <v>72</v>
      </c>
      <c r="F4110" s="27" t="s">
        <v>48</v>
      </c>
      <c r="G4110" s="18" t="s">
        <v>35</v>
      </c>
      <c r="H4110" s="40" t="s">
        <v>35</v>
      </c>
      <c r="I4110" s="37" t="s">
        <v>36</v>
      </c>
      <c r="J4110" s="25" t="s">
        <v>15990</v>
      </c>
      <c r="K4110" s="26" t="s">
        <v>38</v>
      </c>
      <c r="L4110" s="25">
        <v>13140.0</v>
      </c>
      <c r="M4110" s="49" t="s">
        <v>15811</v>
      </c>
      <c r="N4110" s="42"/>
      <c r="O4110" s="67">
        <v>45805.73693306713</v>
      </c>
      <c r="P4110" s="35" t="s">
        <v>16040</v>
      </c>
      <c r="Q4110" s="13" t="s">
        <v>75</v>
      </c>
      <c r="R4110" s="13" t="s">
        <v>75</v>
      </c>
      <c r="S4110" s="13" t="s">
        <v>75</v>
      </c>
      <c r="T4110" s="44">
        <v>45805.562900150464</v>
      </c>
      <c r="U4110" s="44">
        <v>45805.73693306713</v>
      </c>
      <c r="V4110" s="198">
        <v>45805.73693306713</v>
      </c>
      <c r="W4110" s="11"/>
      <c r="X4110" s="11"/>
      <c r="Y4110" s="45"/>
      <c r="Z4110" s="45"/>
      <c r="AA4110" s="31"/>
      <c r="AB4110" s="45" t="s">
        <v>16041</v>
      </c>
      <c r="AC4110" s="45"/>
    </row>
    <row r="4111" ht="18.75" customHeight="1">
      <c r="A4111" s="142" t="s">
        <v>16042</v>
      </c>
      <c r="B4111" s="19" t="s">
        <v>3289</v>
      </c>
      <c r="C4111" s="20">
        <v>0.0</v>
      </c>
      <c r="D4111" s="48" t="s">
        <v>16043</v>
      </c>
      <c r="E4111" s="27" t="s">
        <v>3441</v>
      </c>
      <c r="F4111" s="27" t="s">
        <v>48</v>
      </c>
      <c r="G4111" s="18" t="s">
        <v>35</v>
      </c>
      <c r="H4111" s="40" t="s">
        <v>35</v>
      </c>
      <c r="I4111" s="37" t="s">
        <v>36</v>
      </c>
      <c r="J4111" s="25" t="s">
        <v>92</v>
      </c>
      <c r="K4111" s="26" t="s">
        <v>38</v>
      </c>
      <c r="L4111" s="72">
        <v>13138.0</v>
      </c>
      <c r="M4111" s="49" t="s">
        <v>50</v>
      </c>
      <c r="N4111" s="42" t="s">
        <v>4362</v>
      </c>
      <c r="O4111" s="67">
        <v>45810.69585282408</v>
      </c>
      <c r="P4111" s="35" t="s">
        <v>16044</v>
      </c>
      <c r="Q4111" s="13" t="s">
        <v>75</v>
      </c>
      <c r="R4111" s="13" t="s">
        <v>75</v>
      </c>
      <c r="S4111" s="13" t="s">
        <v>50</v>
      </c>
      <c r="T4111" s="44">
        <v>45805.57280711806</v>
      </c>
      <c r="U4111" s="44">
        <v>45805.5798845949</v>
      </c>
      <c r="V4111" s="198">
        <v>45805.63283501157</v>
      </c>
      <c r="W4111" s="11"/>
      <c r="X4111" s="11"/>
      <c r="Y4111" s="207">
        <v>302.0</v>
      </c>
      <c r="Z4111" s="45" t="s">
        <v>16045</v>
      </c>
      <c r="AA4111" s="31"/>
      <c r="AB4111" s="45" t="s">
        <v>16046</v>
      </c>
      <c r="AC4111" s="45"/>
    </row>
    <row r="4112" ht="18.75" customHeight="1">
      <c r="A4112" s="142" t="s">
        <v>16047</v>
      </c>
      <c r="B4112" s="19" t="s">
        <v>8512</v>
      </c>
      <c r="C4112" s="20">
        <v>11.0</v>
      </c>
      <c r="D4112" s="48" t="s">
        <v>16048</v>
      </c>
      <c r="E4112" s="27" t="s">
        <v>112</v>
      </c>
      <c r="F4112" s="27" t="s">
        <v>48</v>
      </c>
      <c r="G4112" s="18" t="s">
        <v>35</v>
      </c>
      <c r="H4112" s="40" t="s">
        <v>35</v>
      </c>
      <c r="I4112" s="37" t="s">
        <v>36</v>
      </c>
      <c r="J4112" s="25" t="s">
        <v>15990</v>
      </c>
      <c r="K4112" s="26" t="s">
        <v>38</v>
      </c>
      <c r="L4112" s="25">
        <v>13139.0</v>
      </c>
      <c r="M4112" s="49" t="s">
        <v>15811</v>
      </c>
      <c r="N4112" s="42"/>
      <c r="O4112" s="67">
        <v>45805.69216986111</v>
      </c>
      <c r="P4112" s="35" t="s">
        <v>16040</v>
      </c>
      <c r="Q4112" s="13" t="s">
        <v>75</v>
      </c>
      <c r="R4112" s="13" t="s">
        <v>75</v>
      </c>
      <c r="S4112" s="13" t="s">
        <v>75</v>
      </c>
      <c r="T4112" s="44">
        <v>45805.57649571759</v>
      </c>
      <c r="U4112" s="44">
        <v>45805.69216986111</v>
      </c>
      <c r="V4112" s="198">
        <v>45805.69216986111</v>
      </c>
      <c r="W4112" s="11"/>
      <c r="X4112" s="11"/>
      <c r="Y4112" s="45"/>
      <c r="Z4112" s="45"/>
      <c r="AA4112" s="31"/>
      <c r="AB4112" s="45" t="s">
        <v>16049</v>
      </c>
      <c r="AC4112" s="45"/>
    </row>
    <row r="4113" ht="18.75" customHeight="1">
      <c r="A4113" s="142" t="s">
        <v>16050</v>
      </c>
      <c r="B4113" s="19" t="s">
        <v>4957</v>
      </c>
      <c r="C4113" s="20">
        <v>1.0</v>
      </c>
      <c r="D4113" s="48"/>
      <c r="E4113" s="27" t="s">
        <v>3395</v>
      </c>
      <c r="F4113" s="27" t="s">
        <v>48</v>
      </c>
      <c r="G4113" s="18" t="s">
        <v>35</v>
      </c>
      <c r="H4113" s="40" t="s">
        <v>35</v>
      </c>
      <c r="I4113" s="24" t="s">
        <v>665</v>
      </c>
      <c r="J4113" s="25" t="s">
        <v>92</v>
      </c>
      <c r="K4113" s="26" t="s">
        <v>38</v>
      </c>
      <c r="L4113" s="25">
        <v>13151.0</v>
      </c>
      <c r="M4113" s="49"/>
      <c r="N4113" s="42"/>
      <c r="O4113" s="68"/>
      <c r="P4113" s="26" t="s">
        <v>16051</v>
      </c>
      <c r="Q4113" s="13" t="s">
        <v>75</v>
      </c>
      <c r="R4113" s="13" t="s">
        <v>75</v>
      </c>
      <c r="S4113" s="13" t="s">
        <v>73</v>
      </c>
      <c r="T4113" s="44">
        <v>45806.67806917824</v>
      </c>
      <c r="U4113" s="44">
        <v>45806.6833018287</v>
      </c>
      <c r="V4113" s="198">
        <v>45806.68812853009</v>
      </c>
      <c r="W4113" s="11"/>
      <c r="X4113" s="11"/>
      <c r="Y4113" s="45">
        <v>302.0</v>
      </c>
      <c r="Z4113" s="45" t="s">
        <v>16052</v>
      </c>
      <c r="AA4113" s="31"/>
      <c r="AB4113" s="45" t="s">
        <v>16053</v>
      </c>
      <c r="AC4113" s="45"/>
    </row>
    <row r="4114" ht="18.75" customHeight="1">
      <c r="A4114" s="142" t="s">
        <v>16054</v>
      </c>
      <c r="B4114" s="19" t="s">
        <v>4293</v>
      </c>
      <c r="C4114" s="20">
        <v>0.0</v>
      </c>
      <c r="D4114" s="48" t="s">
        <v>16055</v>
      </c>
      <c r="E4114" s="27" t="s">
        <v>135</v>
      </c>
      <c r="F4114" s="27" t="s">
        <v>48</v>
      </c>
      <c r="G4114" s="18" t="s">
        <v>35</v>
      </c>
      <c r="H4114" s="40" t="s">
        <v>35</v>
      </c>
      <c r="I4114" s="37" t="s">
        <v>36</v>
      </c>
      <c r="J4114" s="25" t="s">
        <v>49</v>
      </c>
      <c r="K4114" s="26" t="s">
        <v>38</v>
      </c>
      <c r="L4114" s="72">
        <v>13155.0</v>
      </c>
      <c r="M4114" s="49" t="s">
        <v>50</v>
      </c>
      <c r="N4114" s="42" t="s">
        <v>106</v>
      </c>
      <c r="O4114" s="67">
        <v>45807.607540578705</v>
      </c>
      <c r="P4114" s="35" t="s">
        <v>16056</v>
      </c>
      <c r="Q4114" s="13" t="s">
        <v>75</v>
      </c>
      <c r="R4114" s="13" t="s">
        <v>75</v>
      </c>
      <c r="S4114" s="13" t="s">
        <v>9620</v>
      </c>
      <c r="T4114" s="44">
        <v>45805.69693564815</v>
      </c>
      <c r="U4114" s="44">
        <v>45806.45603927084</v>
      </c>
      <c r="V4114" s="198">
        <v>45806.646236678236</v>
      </c>
      <c r="W4114" s="11"/>
      <c r="X4114" s="11"/>
      <c r="Y4114" s="45">
        <v>302.0</v>
      </c>
      <c r="Z4114" s="45" t="s">
        <v>16057</v>
      </c>
      <c r="AA4114" s="31"/>
      <c r="AB4114" s="45" t="s">
        <v>16058</v>
      </c>
      <c r="AC4114" s="45"/>
    </row>
    <row r="4115" ht="18.75" customHeight="1">
      <c r="A4115" s="142" t="s">
        <v>16059</v>
      </c>
      <c r="B4115" s="19" t="s">
        <v>16060</v>
      </c>
      <c r="C4115" s="20">
        <v>0.0</v>
      </c>
      <c r="D4115" s="18" t="s">
        <v>16061</v>
      </c>
      <c r="E4115" s="27" t="s">
        <v>4430</v>
      </c>
      <c r="F4115" s="27" t="s">
        <v>48</v>
      </c>
      <c r="G4115" s="18" t="s">
        <v>35</v>
      </c>
      <c r="H4115" s="40" t="s">
        <v>35</v>
      </c>
      <c r="I4115" s="37" t="s">
        <v>36</v>
      </c>
      <c r="J4115" s="25" t="s">
        <v>65</v>
      </c>
      <c r="K4115" s="26" t="s">
        <v>38</v>
      </c>
      <c r="L4115" s="72">
        <v>13678.0</v>
      </c>
      <c r="M4115" s="49" t="s">
        <v>50</v>
      </c>
      <c r="N4115" s="42" t="s">
        <v>149</v>
      </c>
      <c r="O4115" s="67">
        <v>45891.60099584491</v>
      </c>
      <c r="P4115" s="35" t="s">
        <v>16062</v>
      </c>
      <c r="Q4115" s="13" t="s">
        <v>75</v>
      </c>
      <c r="R4115" s="13" t="s">
        <v>75</v>
      </c>
      <c r="S4115" s="13" t="s">
        <v>50</v>
      </c>
      <c r="T4115" s="44">
        <v>45891.47349215278</v>
      </c>
      <c r="U4115" s="44">
        <v>45891.47350577546</v>
      </c>
      <c r="V4115" s="198">
        <v>45891.47599219908</v>
      </c>
      <c r="W4115" s="11"/>
      <c r="X4115" s="11"/>
      <c r="Y4115" s="45">
        <v>302.0</v>
      </c>
      <c r="Z4115" s="45" t="s">
        <v>16063</v>
      </c>
      <c r="AA4115" s="31"/>
      <c r="AB4115" s="45" t="s">
        <v>16064</v>
      </c>
      <c r="AC4115" s="45"/>
    </row>
    <row r="4116" ht="18.75" customHeight="1">
      <c r="A4116" s="142" t="s">
        <v>16065</v>
      </c>
      <c r="B4116" s="19" t="s">
        <v>11243</v>
      </c>
      <c r="C4116" s="20">
        <v>0.0</v>
      </c>
      <c r="D4116" s="48" t="s">
        <v>16066</v>
      </c>
      <c r="E4116" s="27" t="s">
        <v>11953</v>
      </c>
      <c r="F4116" s="27" t="s">
        <v>48</v>
      </c>
      <c r="G4116" s="18" t="s">
        <v>35</v>
      </c>
      <c r="H4116" s="40" t="s">
        <v>35</v>
      </c>
      <c r="I4116" s="37" t="s">
        <v>36</v>
      </c>
      <c r="J4116" s="25" t="s">
        <v>49</v>
      </c>
      <c r="K4116" s="26" t="s">
        <v>38</v>
      </c>
      <c r="L4116" s="72">
        <v>13197.0</v>
      </c>
      <c r="M4116" s="49" t="s">
        <v>50</v>
      </c>
      <c r="N4116" s="42" t="s">
        <v>9953</v>
      </c>
      <c r="O4116" s="67">
        <v>45817.59126528935</v>
      </c>
      <c r="P4116" s="35" t="s">
        <v>15666</v>
      </c>
      <c r="Q4116" s="13" t="s">
        <v>75</v>
      </c>
      <c r="R4116" s="13" t="s">
        <v>75</v>
      </c>
      <c r="S4116" s="13" t="s">
        <v>50</v>
      </c>
      <c r="T4116" s="44">
        <v>45805.7040934838</v>
      </c>
      <c r="U4116" s="44">
        <v>45805.74196694445</v>
      </c>
      <c r="V4116" s="198">
        <v>45817.46525642361</v>
      </c>
      <c r="W4116" s="11"/>
      <c r="X4116" s="11"/>
      <c r="Y4116" s="45">
        <v>302.0</v>
      </c>
      <c r="Z4116" s="45" t="s">
        <v>16067</v>
      </c>
      <c r="AA4116" s="31"/>
      <c r="AB4116" s="45" t="s">
        <v>16068</v>
      </c>
      <c r="AC4116" s="45"/>
    </row>
    <row r="4117" ht="18.75" customHeight="1">
      <c r="A4117" s="142" t="s">
        <v>16069</v>
      </c>
      <c r="B4117" s="19" t="s">
        <v>5650</v>
      </c>
      <c r="C4117" s="20">
        <v>0.0</v>
      </c>
      <c r="D4117" s="48" t="s">
        <v>16070</v>
      </c>
      <c r="E4117" s="27" t="s">
        <v>165</v>
      </c>
      <c r="F4117" s="27" t="s">
        <v>33</v>
      </c>
      <c r="G4117" s="18" t="s">
        <v>34</v>
      </c>
      <c r="H4117" s="40" t="s">
        <v>35</v>
      </c>
      <c r="I4117" s="37" t="s">
        <v>36</v>
      </c>
      <c r="J4117" s="25" t="s">
        <v>49</v>
      </c>
      <c r="K4117" s="26" t="s">
        <v>38</v>
      </c>
      <c r="L4117" s="25">
        <v>13163.0</v>
      </c>
      <c r="M4117" s="49" t="s">
        <v>50</v>
      </c>
      <c r="N4117" s="42" t="s">
        <v>5936</v>
      </c>
      <c r="O4117" s="67">
        <v>45810.675376851854</v>
      </c>
      <c r="P4117" s="35" t="s">
        <v>16071</v>
      </c>
      <c r="Q4117" s="13" t="s">
        <v>75</v>
      </c>
      <c r="R4117" s="13" t="s">
        <v>75</v>
      </c>
      <c r="S4117" s="13" t="s">
        <v>101</v>
      </c>
      <c r="T4117" s="44">
        <v>45805.70603916667</v>
      </c>
      <c r="U4117" s="44">
        <v>45805.741155625</v>
      </c>
      <c r="V4117" s="198">
        <v>45807.64215813657</v>
      </c>
      <c r="W4117" s="11"/>
      <c r="X4117" s="11"/>
      <c r="Y4117" s="45">
        <v>302.0</v>
      </c>
      <c r="Z4117" s="45" t="s">
        <v>16072</v>
      </c>
      <c r="AA4117" s="31"/>
      <c r="AB4117" s="45" t="s">
        <v>16073</v>
      </c>
      <c r="AC4117" s="45"/>
    </row>
    <row r="4118" ht="18.75" customHeight="1">
      <c r="A4118" s="142" t="s">
        <v>16074</v>
      </c>
      <c r="B4118" s="19" t="s">
        <v>4215</v>
      </c>
      <c r="C4118" s="20">
        <v>0.0</v>
      </c>
      <c r="D4118" s="48" t="s">
        <v>16075</v>
      </c>
      <c r="E4118" s="27" t="s">
        <v>545</v>
      </c>
      <c r="F4118" s="27" t="s">
        <v>33</v>
      </c>
      <c r="G4118" s="18" t="s">
        <v>34</v>
      </c>
      <c r="H4118" s="40" t="s">
        <v>35</v>
      </c>
      <c r="I4118" s="37" t="s">
        <v>36</v>
      </c>
      <c r="J4118" s="25" t="s">
        <v>420</v>
      </c>
      <c r="K4118" s="26" t="s">
        <v>38</v>
      </c>
      <c r="L4118" s="25">
        <v>13162.0</v>
      </c>
      <c r="M4118" s="49" t="s">
        <v>50</v>
      </c>
      <c r="N4118" s="42" t="s">
        <v>4031</v>
      </c>
      <c r="O4118" s="67">
        <v>45810.569769884256</v>
      </c>
      <c r="P4118" s="35" t="s">
        <v>16076</v>
      </c>
      <c r="Q4118" s="13" t="s">
        <v>75</v>
      </c>
      <c r="R4118" s="13" t="s">
        <v>75</v>
      </c>
      <c r="S4118" s="13" t="s">
        <v>101</v>
      </c>
      <c r="T4118" s="44">
        <v>45806.376191539355</v>
      </c>
      <c r="U4118" s="44">
        <v>45806.392538622684</v>
      </c>
      <c r="V4118" s="198">
        <v>45807.695906203706</v>
      </c>
      <c r="W4118" s="11"/>
      <c r="X4118" s="11"/>
      <c r="Y4118" s="45">
        <v>302.0</v>
      </c>
      <c r="Z4118" s="45" t="s">
        <v>16077</v>
      </c>
      <c r="AA4118" s="31"/>
      <c r="AB4118" s="45" t="s">
        <v>16078</v>
      </c>
      <c r="AC4118" s="45"/>
    </row>
    <row r="4119" ht="18.75" customHeight="1">
      <c r="A4119" s="18" t="s">
        <v>16079</v>
      </c>
      <c r="B4119" s="19" t="s">
        <v>7703</v>
      </c>
      <c r="C4119" s="20">
        <v>34.0</v>
      </c>
      <c r="D4119" s="48" t="s">
        <v>16080</v>
      </c>
      <c r="E4119" s="27" t="s">
        <v>47</v>
      </c>
      <c r="F4119" s="27" t="s">
        <v>48</v>
      </c>
      <c r="G4119" s="18" t="s">
        <v>35</v>
      </c>
      <c r="H4119" s="40" t="s">
        <v>35</v>
      </c>
      <c r="I4119" s="37" t="s">
        <v>36</v>
      </c>
      <c r="J4119" s="25" t="s">
        <v>65</v>
      </c>
      <c r="K4119" s="26" t="s">
        <v>38</v>
      </c>
      <c r="L4119" s="72">
        <v>13168.0</v>
      </c>
      <c r="M4119" s="49" t="s">
        <v>50</v>
      </c>
      <c r="N4119" s="42" t="s">
        <v>14184</v>
      </c>
      <c r="O4119" s="67">
        <v>45811.679285983795</v>
      </c>
      <c r="P4119" s="35" t="s">
        <v>16081</v>
      </c>
      <c r="Q4119" s="13" t="s">
        <v>75</v>
      </c>
      <c r="R4119" s="13" t="s">
        <v>75</v>
      </c>
      <c r="S4119" s="13" t="s">
        <v>50</v>
      </c>
      <c r="T4119" s="44">
        <v>45806.408981203705</v>
      </c>
      <c r="U4119" s="44">
        <v>45811.36884780093</v>
      </c>
      <c r="V4119" s="198">
        <v>45811.373519189816</v>
      </c>
      <c r="W4119" s="11"/>
      <c r="X4119" s="11"/>
      <c r="Y4119" s="45">
        <v>302.0</v>
      </c>
      <c r="Z4119" s="45" t="s">
        <v>16082</v>
      </c>
      <c r="AA4119" s="31"/>
      <c r="AB4119" s="45" t="s">
        <v>16083</v>
      </c>
      <c r="AC4119" s="45"/>
    </row>
    <row r="4120" ht="18.75" customHeight="1">
      <c r="A4120" s="18" t="s">
        <v>16084</v>
      </c>
      <c r="B4120" s="19" t="s">
        <v>7703</v>
      </c>
      <c r="C4120" s="20">
        <v>34.0</v>
      </c>
      <c r="D4120" s="48" t="s">
        <v>16085</v>
      </c>
      <c r="E4120" s="27" t="s">
        <v>47</v>
      </c>
      <c r="F4120" s="27" t="s">
        <v>48</v>
      </c>
      <c r="G4120" s="18" t="s">
        <v>35</v>
      </c>
      <c r="H4120" s="40" t="s">
        <v>35</v>
      </c>
      <c r="I4120" s="37" t="s">
        <v>36</v>
      </c>
      <c r="J4120" s="25" t="s">
        <v>65</v>
      </c>
      <c r="K4120" s="26" t="s">
        <v>38</v>
      </c>
      <c r="L4120" s="72">
        <v>13168.0</v>
      </c>
      <c r="M4120" s="49" t="s">
        <v>50</v>
      </c>
      <c r="N4120" s="42" t="s">
        <v>14184</v>
      </c>
      <c r="O4120" s="67">
        <v>45811.67923226852</v>
      </c>
      <c r="P4120" s="35" t="s">
        <v>16081</v>
      </c>
      <c r="Q4120" s="13" t="s">
        <v>75</v>
      </c>
      <c r="R4120" s="13" t="s">
        <v>75</v>
      </c>
      <c r="S4120" s="13" t="s">
        <v>50</v>
      </c>
      <c r="T4120" s="44">
        <v>45806.409053055555</v>
      </c>
      <c r="U4120" s="44">
        <v>45811.36887127315</v>
      </c>
      <c r="V4120" s="198">
        <v>45811.373519201385</v>
      </c>
      <c r="W4120" s="11"/>
      <c r="X4120" s="11"/>
      <c r="Y4120" s="45">
        <v>302.0</v>
      </c>
      <c r="Z4120" s="45" t="s">
        <v>16086</v>
      </c>
      <c r="AA4120" s="31"/>
      <c r="AB4120" s="45" t="s">
        <v>16087</v>
      </c>
      <c r="AC4120" s="45"/>
    </row>
    <row r="4121" ht="18.75" customHeight="1">
      <c r="A4121" s="18" t="s">
        <v>16088</v>
      </c>
      <c r="B4121" s="19" t="s">
        <v>7703</v>
      </c>
      <c r="C4121" s="20">
        <v>34.0</v>
      </c>
      <c r="D4121" s="48" t="s">
        <v>16089</v>
      </c>
      <c r="E4121" s="27" t="s">
        <v>47</v>
      </c>
      <c r="F4121" s="27" t="s">
        <v>48</v>
      </c>
      <c r="G4121" s="18" t="s">
        <v>35</v>
      </c>
      <c r="H4121" s="40" t="s">
        <v>35</v>
      </c>
      <c r="I4121" s="37" t="s">
        <v>36</v>
      </c>
      <c r="J4121" s="25" t="s">
        <v>65</v>
      </c>
      <c r="K4121" s="26" t="s">
        <v>38</v>
      </c>
      <c r="L4121" s="72">
        <v>13168.0</v>
      </c>
      <c r="M4121" s="49" t="s">
        <v>50</v>
      </c>
      <c r="N4121" s="42" t="s">
        <v>14184</v>
      </c>
      <c r="O4121" s="67">
        <v>45811.67918508102</v>
      </c>
      <c r="P4121" s="35" t="s">
        <v>16081</v>
      </c>
      <c r="Q4121" s="13" t="s">
        <v>75</v>
      </c>
      <c r="R4121" s="13" t="s">
        <v>75</v>
      </c>
      <c r="S4121" s="13" t="s">
        <v>50</v>
      </c>
      <c r="T4121" s="44">
        <v>45806.40910434027</v>
      </c>
      <c r="U4121" s="44">
        <v>45811.36889840278</v>
      </c>
      <c r="V4121" s="198">
        <v>45811.373519201385</v>
      </c>
      <c r="W4121" s="11"/>
      <c r="X4121" s="11"/>
      <c r="Y4121" s="45">
        <v>302.0</v>
      </c>
      <c r="Z4121" s="45" t="s">
        <v>16090</v>
      </c>
      <c r="AA4121" s="31"/>
      <c r="AB4121" s="45" t="s">
        <v>16091</v>
      </c>
      <c r="AC4121" s="45"/>
    </row>
    <row r="4122" ht="18.75" customHeight="1">
      <c r="A4122" s="142" t="s">
        <v>16092</v>
      </c>
      <c r="B4122" s="19" t="s">
        <v>4711</v>
      </c>
      <c r="C4122" s="20">
        <v>0.0</v>
      </c>
      <c r="D4122" s="48" t="s">
        <v>16093</v>
      </c>
      <c r="E4122" s="27" t="s">
        <v>135</v>
      </c>
      <c r="F4122" s="27" t="s">
        <v>48</v>
      </c>
      <c r="G4122" s="18" t="s">
        <v>35</v>
      </c>
      <c r="H4122" s="40" t="s">
        <v>35</v>
      </c>
      <c r="I4122" s="37" t="s">
        <v>36</v>
      </c>
      <c r="J4122" s="25" t="s">
        <v>65</v>
      </c>
      <c r="K4122" s="26" t="s">
        <v>38</v>
      </c>
      <c r="L4122" s="72">
        <v>13150.0</v>
      </c>
      <c r="M4122" s="49" t="s">
        <v>50</v>
      </c>
      <c r="N4122" s="42" t="s">
        <v>10703</v>
      </c>
      <c r="O4122" s="67">
        <v>45806.673335740736</v>
      </c>
      <c r="P4122" s="35" t="s">
        <v>16094</v>
      </c>
      <c r="Q4122" s="13" t="s">
        <v>75</v>
      </c>
      <c r="R4122" s="13" t="s">
        <v>75</v>
      </c>
      <c r="S4122" s="13" t="s">
        <v>9620</v>
      </c>
      <c r="T4122" s="44">
        <v>45806.410298159724</v>
      </c>
      <c r="U4122" s="44">
        <v>45806.43077253472</v>
      </c>
      <c r="V4122" s="198">
        <v>45806.64623668982</v>
      </c>
      <c r="W4122" s="11"/>
      <c r="X4122" s="11"/>
      <c r="Y4122" s="45">
        <v>302.0</v>
      </c>
      <c r="Z4122" s="45" t="s">
        <v>16095</v>
      </c>
      <c r="AA4122" s="31"/>
      <c r="AB4122" s="45" t="s">
        <v>16096</v>
      </c>
      <c r="AC4122" s="45"/>
    </row>
    <row r="4123" ht="18.75" customHeight="1">
      <c r="A4123" s="142" t="s">
        <v>16097</v>
      </c>
      <c r="B4123" s="19" t="s">
        <v>7403</v>
      </c>
      <c r="C4123" s="20">
        <v>11.0</v>
      </c>
      <c r="D4123" s="48" t="s">
        <v>16098</v>
      </c>
      <c r="E4123" s="27" t="s">
        <v>112</v>
      </c>
      <c r="F4123" s="27" t="s">
        <v>48</v>
      </c>
      <c r="G4123" s="18" t="s">
        <v>35</v>
      </c>
      <c r="H4123" s="40" t="s">
        <v>35</v>
      </c>
      <c r="I4123" s="37" t="s">
        <v>36</v>
      </c>
      <c r="J4123" s="25" t="s">
        <v>65</v>
      </c>
      <c r="K4123" s="26" t="s">
        <v>38</v>
      </c>
      <c r="L4123" s="72">
        <v>13146.0</v>
      </c>
      <c r="M4123" s="49" t="s">
        <v>50</v>
      </c>
      <c r="N4123" s="42" t="s">
        <v>10703</v>
      </c>
      <c r="O4123" s="67">
        <v>45806.67338121528</v>
      </c>
      <c r="P4123" s="35" t="s">
        <v>16099</v>
      </c>
      <c r="Q4123" s="13" t="s">
        <v>75</v>
      </c>
      <c r="R4123" s="13" t="s">
        <v>75</v>
      </c>
      <c r="S4123" s="13" t="s">
        <v>50</v>
      </c>
      <c r="T4123" s="44">
        <v>45806.415715104165</v>
      </c>
      <c r="U4123" s="44">
        <v>45806.44597703704</v>
      </c>
      <c r="V4123" s="198">
        <v>45806.44766846065</v>
      </c>
      <c r="W4123" s="11"/>
      <c r="X4123" s="11"/>
      <c r="Y4123" s="45">
        <v>302.0</v>
      </c>
      <c r="Z4123" s="45" t="s">
        <v>16100</v>
      </c>
      <c r="AA4123" s="31"/>
      <c r="AB4123" s="45" t="s">
        <v>16101</v>
      </c>
      <c r="AC4123" s="45"/>
    </row>
    <row r="4124" ht="18.75" customHeight="1">
      <c r="A4124" s="142" t="s">
        <v>16102</v>
      </c>
      <c r="B4124" s="19" t="s">
        <v>911</v>
      </c>
      <c r="C4124" s="20">
        <v>0.0</v>
      </c>
      <c r="D4124" s="48" t="s">
        <v>16103</v>
      </c>
      <c r="E4124" s="27" t="s">
        <v>3441</v>
      </c>
      <c r="F4124" s="27" t="s">
        <v>48</v>
      </c>
      <c r="G4124" s="18" t="s">
        <v>35</v>
      </c>
      <c r="H4124" s="40" t="s">
        <v>35</v>
      </c>
      <c r="I4124" s="37" t="s">
        <v>36</v>
      </c>
      <c r="J4124" s="25" t="s">
        <v>49</v>
      </c>
      <c r="K4124" s="26" t="s">
        <v>38</v>
      </c>
      <c r="L4124" s="25">
        <v>13160.0</v>
      </c>
      <c r="M4124" s="49" t="s">
        <v>50</v>
      </c>
      <c r="N4124" s="42" t="s">
        <v>5936</v>
      </c>
      <c r="O4124" s="67">
        <v>45810.675504467596</v>
      </c>
      <c r="P4124" s="35" t="s">
        <v>16104</v>
      </c>
      <c r="Q4124" s="13" t="s">
        <v>75</v>
      </c>
      <c r="R4124" s="13" t="s">
        <v>75</v>
      </c>
      <c r="S4124" s="13" t="s">
        <v>50</v>
      </c>
      <c r="T4124" s="44">
        <v>45806.62553630787</v>
      </c>
      <c r="U4124" s="44">
        <v>45807.60191107639</v>
      </c>
      <c r="V4124" s="198">
        <v>45810.34158150463</v>
      </c>
      <c r="W4124" s="11"/>
      <c r="X4124" s="11"/>
      <c r="Y4124" s="45">
        <v>302.0</v>
      </c>
      <c r="Z4124" s="45" t="s">
        <v>16105</v>
      </c>
      <c r="AA4124" s="31"/>
      <c r="AB4124" s="45" t="s">
        <v>16106</v>
      </c>
      <c r="AC4124" s="45"/>
    </row>
    <row r="4125" ht="18.75" customHeight="1">
      <c r="A4125" s="18" t="s">
        <v>16107</v>
      </c>
      <c r="B4125" s="19" t="s">
        <v>530</v>
      </c>
      <c r="C4125" s="20">
        <v>0.0</v>
      </c>
      <c r="D4125" s="48" t="s">
        <v>16108</v>
      </c>
      <c r="E4125" s="27" t="s">
        <v>532</v>
      </c>
      <c r="F4125" s="27" t="s">
        <v>244</v>
      </c>
      <c r="G4125" s="18" t="s">
        <v>35</v>
      </c>
      <c r="H4125" s="40" t="s">
        <v>35</v>
      </c>
      <c r="I4125" s="37" t="s">
        <v>36</v>
      </c>
      <c r="J4125" s="25" t="s">
        <v>92</v>
      </c>
      <c r="K4125" s="26" t="s">
        <v>38</v>
      </c>
      <c r="L4125" s="72">
        <v>13179.0</v>
      </c>
      <c r="M4125" s="49" t="s">
        <v>73</v>
      </c>
      <c r="N4125" s="42" t="s">
        <v>4767</v>
      </c>
      <c r="O4125" s="67">
        <v>45820.61787732639</v>
      </c>
      <c r="P4125" s="35" t="s">
        <v>16109</v>
      </c>
      <c r="Q4125" s="13" t="s">
        <v>75</v>
      </c>
      <c r="R4125" s="13" t="s">
        <v>75</v>
      </c>
      <c r="S4125" s="13" t="s">
        <v>73</v>
      </c>
      <c r="T4125" s="44">
        <v>45806.64437734954</v>
      </c>
      <c r="U4125" s="44">
        <v>45807.42485113426</v>
      </c>
      <c r="V4125" s="198">
        <v>45812.344359016206</v>
      </c>
      <c r="W4125" s="11"/>
      <c r="X4125" s="11"/>
      <c r="Y4125" s="45">
        <v>302.0</v>
      </c>
      <c r="Z4125" s="45" t="s">
        <v>16110</v>
      </c>
      <c r="AA4125" s="31"/>
      <c r="AB4125" s="45" t="s">
        <v>16111</v>
      </c>
      <c r="AC4125" s="45"/>
    </row>
    <row r="4126" ht="18.75" customHeight="1">
      <c r="A4126" s="18" t="s">
        <v>16112</v>
      </c>
      <c r="B4126" s="19" t="s">
        <v>530</v>
      </c>
      <c r="C4126" s="20">
        <v>1.0</v>
      </c>
      <c r="D4126" s="48" t="s">
        <v>16113</v>
      </c>
      <c r="E4126" s="27" t="s">
        <v>3395</v>
      </c>
      <c r="F4126" s="27" t="s">
        <v>48</v>
      </c>
      <c r="G4126" s="18" t="s">
        <v>35</v>
      </c>
      <c r="H4126" s="40" t="s">
        <v>35</v>
      </c>
      <c r="I4126" s="37" t="s">
        <v>36</v>
      </c>
      <c r="J4126" s="25" t="s">
        <v>92</v>
      </c>
      <c r="K4126" s="26" t="s">
        <v>38</v>
      </c>
      <c r="L4126" s="72">
        <v>13179.0</v>
      </c>
      <c r="M4126" s="49" t="s">
        <v>73</v>
      </c>
      <c r="N4126" s="42" t="s">
        <v>4767</v>
      </c>
      <c r="O4126" s="67">
        <v>45881.479094780094</v>
      </c>
      <c r="P4126" s="35" t="s">
        <v>16109</v>
      </c>
      <c r="Q4126" s="13" t="s">
        <v>75</v>
      </c>
      <c r="R4126" s="13" t="s">
        <v>75</v>
      </c>
      <c r="S4126" s="13" t="s">
        <v>73</v>
      </c>
      <c r="T4126" s="44">
        <v>45806.644429803244</v>
      </c>
      <c r="U4126" s="44">
        <v>45807.42479238426</v>
      </c>
      <c r="V4126" s="198">
        <v>45807.67038679398</v>
      </c>
      <c r="W4126" s="11"/>
      <c r="X4126" s="11"/>
      <c r="Y4126" s="45">
        <v>302.0</v>
      </c>
      <c r="Z4126" s="45" t="s">
        <v>16114</v>
      </c>
      <c r="AA4126" s="31"/>
      <c r="AB4126" s="45" t="s">
        <v>16115</v>
      </c>
      <c r="AC4126" s="45"/>
    </row>
    <row r="4127" ht="18.75" customHeight="1">
      <c r="A4127" s="18" t="s">
        <v>16116</v>
      </c>
      <c r="B4127" s="19" t="s">
        <v>530</v>
      </c>
      <c r="C4127" s="20">
        <v>1.0</v>
      </c>
      <c r="D4127" s="48" t="s">
        <v>16117</v>
      </c>
      <c r="E4127" s="27" t="s">
        <v>3395</v>
      </c>
      <c r="F4127" s="27" t="s">
        <v>48</v>
      </c>
      <c r="G4127" s="18" t="s">
        <v>35</v>
      </c>
      <c r="H4127" s="40" t="s">
        <v>35</v>
      </c>
      <c r="I4127" s="37" t="s">
        <v>36</v>
      </c>
      <c r="J4127" s="25" t="s">
        <v>92</v>
      </c>
      <c r="K4127" s="26" t="s">
        <v>38</v>
      </c>
      <c r="L4127" s="72">
        <v>13179.0</v>
      </c>
      <c r="M4127" s="49" t="s">
        <v>73</v>
      </c>
      <c r="N4127" s="42" t="s">
        <v>4767</v>
      </c>
      <c r="O4127" s="67">
        <v>45820.61828385417</v>
      </c>
      <c r="P4127" s="35" t="s">
        <v>16109</v>
      </c>
      <c r="Q4127" s="13" t="s">
        <v>75</v>
      </c>
      <c r="R4127" s="13" t="s">
        <v>75</v>
      </c>
      <c r="S4127" s="13" t="s">
        <v>73</v>
      </c>
      <c r="T4127" s="44">
        <v>45806.64450572917</v>
      </c>
      <c r="U4127" s="44">
        <v>45807.42469986111</v>
      </c>
      <c r="V4127" s="198">
        <v>45807.67038678241</v>
      </c>
      <c r="W4127" s="11"/>
      <c r="X4127" s="11"/>
      <c r="Y4127" s="45">
        <v>302.0</v>
      </c>
      <c r="Z4127" s="45" t="s">
        <v>16118</v>
      </c>
      <c r="AA4127" s="31"/>
      <c r="AB4127" s="45" t="s">
        <v>16119</v>
      </c>
      <c r="AC4127" s="45"/>
    </row>
    <row r="4128" ht="18.75" customHeight="1">
      <c r="A4128" s="18" t="s">
        <v>16120</v>
      </c>
      <c r="B4128" s="19" t="s">
        <v>530</v>
      </c>
      <c r="C4128" s="20">
        <v>0.0</v>
      </c>
      <c r="D4128" s="48" t="s">
        <v>16121</v>
      </c>
      <c r="E4128" s="27" t="s">
        <v>3441</v>
      </c>
      <c r="F4128" s="27" t="s">
        <v>48</v>
      </c>
      <c r="G4128" s="18" t="s">
        <v>35</v>
      </c>
      <c r="H4128" s="40" t="s">
        <v>35</v>
      </c>
      <c r="I4128" s="37" t="s">
        <v>36</v>
      </c>
      <c r="J4128" s="25" t="s">
        <v>92</v>
      </c>
      <c r="K4128" s="26" t="s">
        <v>38</v>
      </c>
      <c r="L4128" s="72">
        <v>13179.0</v>
      </c>
      <c r="M4128" s="49" t="s">
        <v>73</v>
      </c>
      <c r="N4128" s="42" t="s">
        <v>4767</v>
      </c>
      <c r="O4128" s="67">
        <v>45820.61791037037</v>
      </c>
      <c r="P4128" s="35" t="s">
        <v>16109</v>
      </c>
      <c r="Q4128" s="13" t="s">
        <v>75</v>
      </c>
      <c r="R4128" s="13" t="s">
        <v>75</v>
      </c>
      <c r="S4128" s="13" t="s">
        <v>73</v>
      </c>
      <c r="T4128" s="44">
        <v>45806.64430377315</v>
      </c>
      <c r="U4128" s="44">
        <v>45807.42490457176</v>
      </c>
      <c r="V4128" s="198">
        <v>45807.6766775</v>
      </c>
      <c r="W4128" s="11"/>
      <c r="X4128" s="11"/>
      <c r="Y4128" s="45">
        <v>302.0</v>
      </c>
      <c r="Z4128" s="45" t="s">
        <v>16122</v>
      </c>
      <c r="AA4128" s="31"/>
      <c r="AB4128" s="45" t="s">
        <v>16123</v>
      </c>
      <c r="AC4128" s="45"/>
    </row>
    <row r="4129" ht="18.75" customHeight="1">
      <c r="A4129" s="18" t="s">
        <v>16124</v>
      </c>
      <c r="B4129" s="19" t="s">
        <v>530</v>
      </c>
      <c r="C4129" s="20">
        <v>11.0</v>
      </c>
      <c r="D4129" s="48" t="s">
        <v>16125</v>
      </c>
      <c r="E4129" s="27" t="s">
        <v>112</v>
      </c>
      <c r="F4129" s="27" t="s">
        <v>48</v>
      </c>
      <c r="G4129" s="18" t="s">
        <v>35</v>
      </c>
      <c r="H4129" s="40" t="s">
        <v>35</v>
      </c>
      <c r="I4129" s="37" t="s">
        <v>36</v>
      </c>
      <c r="J4129" s="25" t="s">
        <v>92</v>
      </c>
      <c r="K4129" s="26" t="s">
        <v>38</v>
      </c>
      <c r="L4129" s="72">
        <v>13179.0</v>
      </c>
      <c r="M4129" s="49" t="s">
        <v>73</v>
      </c>
      <c r="N4129" s="42" t="s">
        <v>4767</v>
      </c>
      <c r="O4129" s="67">
        <v>45820.617809965275</v>
      </c>
      <c r="P4129" s="35" t="s">
        <v>16109</v>
      </c>
      <c r="Q4129" s="13" t="s">
        <v>75</v>
      </c>
      <c r="R4129" s="13" t="s">
        <v>75</v>
      </c>
      <c r="S4129" s="13" t="s">
        <v>73</v>
      </c>
      <c r="T4129" s="44">
        <v>45806.64421423611</v>
      </c>
      <c r="U4129" s="44">
        <v>45807.42463414352</v>
      </c>
      <c r="V4129" s="198">
        <v>45807.680098136574</v>
      </c>
      <c r="W4129" s="11"/>
      <c r="X4129" s="11"/>
      <c r="Y4129" s="45">
        <v>302.0</v>
      </c>
      <c r="Z4129" s="45" t="s">
        <v>16126</v>
      </c>
      <c r="AA4129" s="31"/>
      <c r="AB4129" s="45" t="s">
        <v>16127</v>
      </c>
      <c r="AC4129" s="45"/>
    </row>
    <row r="4130" ht="18.75" customHeight="1">
      <c r="A4130" s="18" t="s">
        <v>16128</v>
      </c>
      <c r="B4130" s="19" t="s">
        <v>530</v>
      </c>
      <c r="C4130" s="20">
        <v>34.0</v>
      </c>
      <c r="D4130" s="48" t="s">
        <v>16129</v>
      </c>
      <c r="E4130" s="27" t="s">
        <v>47</v>
      </c>
      <c r="F4130" s="27" t="s">
        <v>48</v>
      </c>
      <c r="G4130" s="18" t="s">
        <v>35</v>
      </c>
      <c r="H4130" s="40" t="s">
        <v>35</v>
      </c>
      <c r="I4130" s="24" t="s">
        <v>36</v>
      </c>
      <c r="J4130" s="25" t="s">
        <v>92</v>
      </c>
      <c r="K4130" s="26" t="s">
        <v>38</v>
      </c>
      <c r="L4130" s="72">
        <v>13179.0</v>
      </c>
      <c r="M4130" s="49" t="s">
        <v>73</v>
      </c>
      <c r="N4130" s="42" t="s">
        <v>4767</v>
      </c>
      <c r="O4130" s="208">
        <v>45819.416666666664</v>
      </c>
      <c r="P4130" s="35" t="s">
        <v>16109</v>
      </c>
      <c r="Q4130" s="13" t="s">
        <v>75</v>
      </c>
      <c r="R4130" s="13" t="s">
        <v>75</v>
      </c>
      <c r="S4130" s="13" t="s">
        <v>73</v>
      </c>
      <c r="T4130" s="44">
        <v>45806.64411162037</v>
      </c>
      <c r="U4130" s="44">
        <v>45807.4246756713</v>
      </c>
      <c r="V4130" s="198">
        <v>45807.680213506945</v>
      </c>
      <c r="W4130" s="11"/>
      <c r="X4130" s="11"/>
      <c r="Y4130" s="45">
        <v>302.0</v>
      </c>
      <c r="Z4130" s="45" t="s">
        <v>16130</v>
      </c>
      <c r="AA4130" s="31"/>
      <c r="AB4130" s="45" t="s">
        <v>16131</v>
      </c>
      <c r="AC4130" s="45"/>
    </row>
    <row r="4131" ht="18.75" customHeight="1">
      <c r="A4131" s="18" t="s">
        <v>16132</v>
      </c>
      <c r="B4131" s="19" t="s">
        <v>530</v>
      </c>
      <c r="C4131" s="20">
        <v>34.0</v>
      </c>
      <c r="D4131" s="48" t="s">
        <v>16133</v>
      </c>
      <c r="E4131" s="27" t="s">
        <v>47</v>
      </c>
      <c r="F4131" s="27" t="s">
        <v>48</v>
      </c>
      <c r="G4131" s="18" t="s">
        <v>35</v>
      </c>
      <c r="H4131" s="40" t="s">
        <v>35</v>
      </c>
      <c r="I4131" s="24" t="s">
        <v>36</v>
      </c>
      <c r="J4131" s="25" t="s">
        <v>92</v>
      </c>
      <c r="K4131" s="26" t="s">
        <v>38</v>
      </c>
      <c r="L4131" s="72">
        <v>13179.0</v>
      </c>
      <c r="M4131" s="49" t="s">
        <v>73</v>
      </c>
      <c r="N4131" s="42" t="s">
        <v>4767</v>
      </c>
      <c r="O4131" s="208">
        <v>45819.416666666664</v>
      </c>
      <c r="P4131" s="35" t="s">
        <v>16109</v>
      </c>
      <c r="Q4131" s="13" t="s">
        <v>75</v>
      </c>
      <c r="R4131" s="13" t="s">
        <v>75</v>
      </c>
      <c r="S4131" s="13" t="s">
        <v>73</v>
      </c>
      <c r="T4131" s="44">
        <v>45806.64402096065</v>
      </c>
      <c r="U4131" s="44">
        <v>45807.42472087963</v>
      </c>
      <c r="V4131" s="198">
        <v>45807.68021351851</v>
      </c>
      <c r="W4131" s="11"/>
      <c r="X4131" s="11"/>
      <c r="Y4131" s="45">
        <v>302.0</v>
      </c>
      <c r="Z4131" s="45" t="s">
        <v>16134</v>
      </c>
      <c r="AA4131" s="31"/>
      <c r="AB4131" s="45" t="s">
        <v>16135</v>
      </c>
      <c r="AC4131" s="45"/>
    </row>
    <row r="4132" ht="18.75" customHeight="1">
      <c r="A4132" s="18" t="s">
        <v>16136</v>
      </c>
      <c r="B4132" s="19" t="s">
        <v>530</v>
      </c>
      <c r="C4132" s="20">
        <v>34.0</v>
      </c>
      <c r="D4132" s="48" t="s">
        <v>16137</v>
      </c>
      <c r="E4132" s="27" t="s">
        <v>47</v>
      </c>
      <c r="F4132" s="27" t="s">
        <v>48</v>
      </c>
      <c r="G4132" s="18" t="s">
        <v>35</v>
      </c>
      <c r="H4132" s="40" t="s">
        <v>35</v>
      </c>
      <c r="I4132" s="24" t="s">
        <v>36</v>
      </c>
      <c r="J4132" s="25" t="s">
        <v>92</v>
      </c>
      <c r="K4132" s="26" t="s">
        <v>38</v>
      </c>
      <c r="L4132" s="72">
        <v>13179.0</v>
      </c>
      <c r="M4132" s="49" t="s">
        <v>73</v>
      </c>
      <c r="N4132" s="42" t="s">
        <v>4767</v>
      </c>
      <c r="O4132" s="208">
        <v>45819.416666666664</v>
      </c>
      <c r="P4132" s="35" t="s">
        <v>16109</v>
      </c>
      <c r="Q4132" s="13" t="s">
        <v>75</v>
      </c>
      <c r="R4132" s="13" t="s">
        <v>75</v>
      </c>
      <c r="S4132" s="13" t="s">
        <v>73</v>
      </c>
      <c r="T4132" s="44">
        <v>45806.64392746528</v>
      </c>
      <c r="U4132" s="44">
        <v>45807.42475100694</v>
      </c>
      <c r="V4132" s="198">
        <v>45807.68032940972</v>
      </c>
      <c r="W4132" s="11"/>
      <c r="X4132" s="11"/>
      <c r="Y4132" s="45">
        <v>302.0</v>
      </c>
      <c r="Z4132" s="45" t="s">
        <v>16138</v>
      </c>
      <c r="AA4132" s="31"/>
      <c r="AB4132" s="45" t="s">
        <v>16139</v>
      </c>
      <c r="AC4132" s="45"/>
    </row>
    <row r="4133" ht="18.75" customHeight="1">
      <c r="A4133" s="18" t="s">
        <v>16140</v>
      </c>
      <c r="B4133" s="19" t="s">
        <v>530</v>
      </c>
      <c r="C4133" s="20">
        <v>0.0</v>
      </c>
      <c r="D4133" s="48" t="s">
        <v>16141</v>
      </c>
      <c r="E4133" s="27" t="s">
        <v>4430</v>
      </c>
      <c r="F4133" s="27" t="s">
        <v>48</v>
      </c>
      <c r="G4133" s="18" t="s">
        <v>35</v>
      </c>
      <c r="H4133" s="40" t="s">
        <v>35</v>
      </c>
      <c r="I4133" s="24" t="s">
        <v>36</v>
      </c>
      <c r="J4133" s="25" t="s">
        <v>92</v>
      </c>
      <c r="K4133" s="26" t="s">
        <v>38</v>
      </c>
      <c r="L4133" s="72">
        <v>13179.0</v>
      </c>
      <c r="M4133" s="49" t="s">
        <v>73</v>
      </c>
      <c r="N4133" s="42" t="s">
        <v>4767</v>
      </c>
      <c r="O4133" s="208">
        <v>45819.416666666664</v>
      </c>
      <c r="P4133" s="35" t="s">
        <v>16109</v>
      </c>
      <c r="Q4133" s="13" t="s">
        <v>75</v>
      </c>
      <c r="R4133" s="13" t="s">
        <v>75</v>
      </c>
      <c r="S4133" s="13" t="s">
        <v>73</v>
      </c>
      <c r="T4133" s="44">
        <v>45806.64386596065</v>
      </c>
      <c r="U4133" s="44">
        <v>45807.424929155095</v>
      </c>
      <c r="V4133" s="198">
        <v>45807.68694104167</v>
      </c>
      <c r="W4133" s="11"/>
      <c r="X4133" s="11"/>
      <c r="Y4133" s="45">
        <v>302.0</v>
      </c>
      <c r="Z4133" s="45" t="s">
        <v>16142</v>
      </c>
      <c r="AA4133" s="31"/>
      <c r="AB4133" s="45" t="s">
        <v>16143</v>
      </c>
      <c r="AC4133" s="45"/>
    </row>
    <row r="4134" ht="18.75" customHeight="1">
      <c r="A4134" s="18" t="s">
        <v>16144</v>
      </c>
      <c r="B4134" s="19" t="s">
        <v>530</v>
      </c>
      <c r="C4134" s="20">
        <v>0.0</v>
      </c>
      <c r="D4134" s="48" t="s">
        <v>16145</v>
      </c>
      <c r="E4134" s="27" t="s">
        <v>4430</v>
      </c>
      <c r="F4134" s="27" t="s">
        <v>48</v>
      </c>
      <c r="G4134" s="18" t="s">
        <v>35</v>
      </c>
      <c r="H4134" s="40" t="s">
        <v>35</v>
      </c>
      <c r="I4134" s="24" t="s">
        <v>36</v>
      </c>
      <c r="J4134" s="25" t="s">
        <v>92</v>
      </c>
      <c r="K4134" s="26" t="s">
        <v>38</v>
      </c>
      <c r="L4134" s="72">
        <v>13179.0</v>
      </c>
      <c r="M4134" s="49" t="s">
        <v>73</v>
      </c>
      <c r="N4134" s="42" t="s">
        <v>4767</v>
      </c>
      <c r="O4134" s="208">
        <v>45819.416666666664</v>
      </c>
      <c r="P4134" s="35" t="s">
        <v>16109</v>
      </c>
      <c r="Q4134" s="13" t="s">
        <v>75</v>
      </c>
      <c r="R4134" s="13" t="s">
        <v>75</v>
      </c>
      <c r="S4134" s="13" t="s">
        <v>73</v>
      </c>
      <c r="T4134" s="44">
        <v>45806.643794675925</v>
      </c>
      <c r="U4134" s="44">
        <v>45807.42476684028</v>
      </c>
      <c r="V4134" s="198">
        <v>45807.686826307865</v>
      </c>
      <c r="W4134" s="11"/>
      <c r="X4134" s="11"/>
      <c r="Y4134" s="45">
        <v>302.0</v>
      </c>
      <c r="Z4134" s="45" t="s">
        <v>16146</v>
      </c>
      <c r="AA4134" s="31"/>
      <c r="AB4134" s="45" t="s">
        <v>16147</v>
      </c>
      <c r="AC4134" s="45"/>
    </row>
    <row r="4135" ht="18.75" customHeight="1">
      <c r="A4135" s="18" t="s">
        <v>16148</v>
      </c>
      <c r="B4135" s="19" t="s">
        <v>530</v>
      </c>
      <c r="C4135" s="20">
        <v>0.0</v>
      </c>
      <c r="D4135" s="48" t="s">
        <v>16149</v>
      </c>
      <c r="E4135" s="27" t="s">
        <v>4430</v>
      </c>
      <c r="F4135" s="27" t="s">
        <v>48</v>
      </c>
      <c r="G4135" s="18" t="s">
        <v>35</v>
      </c>
      <c r="H4135" s="40" t="s">
        <v>35</v>
      </c>
      <c r="I4135" s="24" t="s">
        <v>36</v>
      </c>
      <c r="J4135" s="25" t="s">
        <v>92</v>
      </c>
      <c r="K4135" s="26" t="s">
        <v>38</v>
      </c>
      <c r="L4135" s="72">
        <v>13179.0</v>
      </c>
      <c r="M4135" s="49" t="s">
        <v>73</v>
      </c>
      <c r="N4135" s="42" t="s">
        <v>4767</v>
      </c>
      <c r="O4135" s="208">
        <v>45819.416666666664</v>
      </c>
      <c r="P4135" s="35" t="s">
        <v>16109</v>
      </c>
      <c r="Q4135" s="13" t="s">
        <v>75</v>
      </c>
      <c r="R4135" s="13" t="s">
        <v>75</v>
      </c>
      <c r="S4135" s="13" t="s">
        <v>73</v>
      </c>
      <c r="T4135" s="44">
        <v>45806.64373210648</v>
      </c>
      <c r="U4135" s="44">
        <v>45807.42488027777</v>
      </c>
      <c r="V4135" s="198">
        <v>45807.68694104167</v>
      </c>
      <c r="W4135" s="11"/>
      <c r="X4135" s="11"/>
      <c r="Y4135" s="45">
        <v>302.0</v>
      </c>
      <c r="Z4135" s="45" t="s">
        <v>16150</v>
      </c>
      <c r="AA4135" s="31"/>
      <c r="AB4135" s="45" t="s">
        <v>16151</v>
      </c>
      <c r="AC4135" s="45"/>
    </row>
    <row r="4136" ht="18.75" customHeight="1">
      <c r="A4136" s="18" t="s">
        <v>16152</v>
      </c>
      <c r="B4136" s="19" t="s">
        <v>530</v>
      </c>
      <c r="C4136" s="20">
        <v>0.0</v>
      </c>
      <c r="D4136" s="48" t="s">
        <v>16153</v>
      </c>
      <c r="E4136" s="27" t="s">
        <v>4430</v>
      </c>
      <c r="F4136" s="27" t="s">
        <v>48</v>
      </c>
      <c r="G4136" s="18" t="s">
        <v>35</v>
      </c>
      <c r="H4136" s="40" t="s">
        <v>35</v>
      </c>
      <c r="I4136" s="24" t="s">
        <v>36</v>
      </c>
      <c r="J4136" s="25" t="s">
        <v>92</v>
      </c>
      <c r="K4136" s="26" t="s">
        <v>38</v>
      </c>
      <c r="L4136" s="72">
        <v>13179.0</v>
      </c>
      <c r="M4136" s="49" t="s">
        <v>73</v>
      </c>
      <c r="N4136" s="42" t="s">
        <v>4767</v>
      </c>
      <c r="O4136" s="208">
        <v>45819.416666666664</v>
      </c>
      <c r="P4136" s="35" t="s">
        <v>16109</v>
      </c>
      <c r="Q4136" s="13" t="s">
        <v>75</v>
      </c>
      <c r="R4136" s="13" t="s">
        <v>75</v>
      </c>
      <c r="S4136" s="13" t="s">
        <v>73</v>
      </c>
      <c r="T4136" s="44">
        <v>45806.64362206019</v>
      </c>
      <c r="U4136" s="44">
        <v>45807.42481524305</v>
      </c>
      <c r="V4136" s="198">
        <v>45807.68682631945</v>
      </c>
      <c r="W4136" s="11"/>
      <c r="X4136" s="11"/>
      <c r="Y4136" s="45"/>
      <c r="Z4136" s="45"/>
      <c r="AA4136" s="31"/>
      <c r="AB4136" s="45" t="s">
        <v>16154</v>
      </c>
      <c r="AC4136" s="45"/>
    </row>
    <row r="4137" ht="18.75" customHeight="1">
      <c r="A4137" s="18" t="s">
        <v>16155</v>
      </c>
      <c r="B4137" s="19" t="s">
        <v>1299</v>
      </c>
      <c r="C4137" s="20">
        <v>0.0</v>
      </c>
      <c r="D4137" s="48" t="s">
        <v>16156</v>
      </c>
      <c r="E4137" s="27" t="s">
        <v>532</v>
      </c>
      <c r="F4137" s="27" t="s">
        <v>244</v>
      </c>
      <c r="G4137" s="18" t="s">
        <v>35</v>
      </c>
      <c r="H4137" s="40" t="s">
        <v>35</v>
      </c>
      <c r="I4137" s="37" t="s">
        <v>36</v>
      </c>
      <c r="J4137" s="25" t="s">
        <v>92</v>
      </c>
      <c r="K4137" s="26" t="s">
        <v>38</v>
      </c>
      <c r="L4137" s="72">
        <v>13180.0</v>
      </c>
      <c r="M4137" s="49" t="s">
        <v>73</v>
      </c>
      <c r="N4137" s="42" t="s">
        <v>4767</v>
      </c>
      <c r="O4137" s="67">
        <v>45820.61808770833</v>
      </c>
      <c r="P4137" s="35" t="s">
        <v>16157</v>
      </c>
      <c r="Q4137" s="13" t="s">
        <v>75</v>
      </c>
      <c r="R4137" s="13" t="s">
        <v>75</v>
      </c>
      <c r="S4137" s="13" t="s">
        <v>50</v>
      </c>
      <c r="T4137" s="44">
        <v>45806.65697399306</v>
      </c>
      <c r="U4137" s="44">
        <v>45807.425167928246</v>
      </c>
      <c r="V4137" s="198">
        <v>45813.33596027778</v>
      </c>
      <c r="W4137" s="11"/>
      <c r="X4137" s="11"/>
      <c r="Y4137" s="45">
        <v>302.0</v>
      </c>
      <c r="Z4137" s="45" t="s">
        <v>16158</v>
      </c>
      <c r="AA4137" s="31"/>
      <c r="AB4137" s="45" t="s">
        <v>16159</v>
      </c>
      <c r="AC4137" s="45"/>
    </row>
    <row r="4138" ht="18.75" customHeight="1">
      <c r="A4138" s="18" t="s">
        <v>16160</v>
      </c>
      <c r="B4138" s="19" t="s">
        <v>1299</v>
      </c>
      <c r="C4138" s="20">
        <v>1.0</v>
      </c>
      <c r="D4138" s="48" t="s">
        <v>16161</v>
      </c>
      <c r="E4138" s="27" t="s">
        <v>3395</v>
      </c>
      <c r="F4138" s="27" t="s">
        <v>48</v>
      </c>
      <c r="G4138" s="18" t="s">
        <v>35</v>
      </c>
      <c r="H4138" s="40" t="s">
        <v>35</v>
      </c>
      <c r="I4138" s="37" t="s">
        <v>36</v>
      </c>
      <c r="J4138" s="25" t="s">
        <v>92</v>
      </c>
      <c r="K4138" s="26" t="s">
        <v>38</v>
      </c>
      <c r="L4138" s="72">
        <v>13180.0</v>
      </c>
      <c r="M4138" s="49" t="s">
        <v>73</v>
      </c>
      <c r="N4138" s="42" t="s">
        <v>4767</v>
      </c>
      <c r="O4138" s="67">
        <v>45881.47929993056</v>
      </c>
      <c r="P4138" s="35" t="s">
        <v>16157</v>
      </c>
      <c r="Q4138" s="13" t="s">
        <v>75</v>
      </c>
      <c r="R4138" s="13" t="s">
        <v>75</v>
      </c>
      <c r="S4138" s="13" t="s">
        <v>73</v>
      </c>
      <c r="T4138" s="44">
        <v>45806.657252731486</v>
      </c>
      <c r="U4138" s="44">
        <v>45807.425141388885</v>
      </c>
      <c r="V4138" s="198">
        <v>45807.670616504634</v>
      </c>
      <c r="W4138" s="11"/>
      <c r="X4138" s="11"/>
      <c r="Y4138" s="45">
        <v>302.0</v>
      </c>
      <c r="Z4138" s="45" t="s">
        <v>16162</v>
      </c>
      <c r="AA4138" s="31"/>
      <c r="AB4138" s="45" t="s">
        <v>16163</v>
      </c>
      <c r="AC4138" s="45"/>
    </row>
    <row r="4139" ht="18.75" customHeight="1">
      <c r="A4139" s="18" t="s">
        <v>16164</v>
      </c>
      <c r="B4139" s="19" t="s">
        <v>1299</v>
      </c>
      <c r="C4139" s="20">
        <v>1.0</v>
      </c>
      <c r="D4139" s="48" t="s">
        <v>16165</v>
      </c>
      <c r="E4139" s="27" t="s">
        <v>3395</v>
      </c>
      <c r="F4139" s="27" t="s">
        <v>48</v>
      </c>
      <c r="G4139" s="18" t="s">
        <v>35</v>
      </c>
      <c r="H4139" s="40" t="s">
        <v>35</v>
      </c>
      <c r="I4139" s="37" t="s">
        <v>36</v>
      </c>
      <c r="J4139" s="25" t="s">
        <v>92</v>
      </c>
      <c r="K4139" s="26" t="s">
        <v>38</v>
      </c>
      <c r="L4139" s="72">
        <v>13180.0</v>
      </c>
      <c r="M4139" s="49" t="s">
        <v>73</v>
      </c>
      <c r="N4139" s="42" t="s">
        <v>4767</v>
      </c>
      <c r="O4139" s="67">
        <v>45881.47919724537</v>
      </c>
      <c r="P4139" s="35" t="s">
        <v>16157</v>
      </c>
      <c r="Q4139" s="13" t="s">
        <v>75</v>
      </c>
      <c r="R4139" s="13" t="s">
        <v>75</v>
      </c>
      <c r="S4139" s="13" t="s">
        <v>73</v>
      </c>
      <c r="T4139" s="44">
        <v>45806.65763584491</v>
      </c>
      <c r="U4139" s="44">
        <v>45807.42506090278</v>
      </c>
      <c r="V4139" s="198">
        <v>45807.67050068287</v>
      </c>
      <c r="W4139" s="11"/>
      <c r="X4139" s="11"/>
      <c r="Y4139" s="45">
        <v>302.0</v>
      </c>
      <c r="Z4139" s="45" t="s">
        <v>16166</v>
      </c>
      <c r="AA4139" s="31"/>
      <c r="AB4139" s="45" t="s">
        <v>16167</v>
      </c>
      <c r="AC4139" s="45"/>
    </row>
    <row r="4140" ht="18.75" customHeight="1">
      <c r="A4140" s="18" t="s">
        <v>16168</v>
      </c>
      <c r="B4140" s="19" t="s">
        <v>1299</v>
      </c>
      <c r="C4140" s="20">
        <v>1.0</v>
      </c>
      <c r="D4140" s="48" t="s">
        <v>16169</v>
      </c>
      <c r="E4140" s="27" t="s">
        <v>3395</v>
      </c>
      <c r="F4140" s="27" t="s">
        <v>48</v>
      </c>
      <c r="G4140" s="18" t="s">
        <v>35</v>
      </c>
      <c r="H4140" s="40" t="s">
        <v>35</v>
      </c>
      <c r="I4140" s="37" t="s">
        <v>36</v>
      </c>
      <c r="J4140" s="25" t="s">
        <v>92</v>
      </c>
      <c r="K4140" s="26" t="s">
        <v>38</v>
      </c>
      <c r="L4140" s="72">
        <v>13180.0</v>
      </c>
      <c r="M4140" s="49" t="s">
        <v>73</v>
      </c>
      <c r="N4140" s="42" t="s">
        <v>4767</v>
      </c>
      <c r="O4140" s="67">
        <v>45881.47923384259</v>
      </c>
      <c r="P4140" s="35" t="s">
        <v>16157</v>
      </c>
      <c r="Q4140" s="13" t="s">
        <v>75</v>
      </c>
      <c r="R4140" s="13" t="s">
        <v>75</v>
      </c>
      <c r="S4140" s="13" t="s">
        <v>73</v>
      </c>
      <c r="T4140" s="44">
        <v>45806.65774671297</v>
      </c>
      <c r="U4140" s="44">
        <v>45807.425085069444</v>
      </c>
      <c r="V4140" s="198">
        <v>45807.67050069444</v>
      </c>
      <c r="W4140" s="11"/>
      <c r="X4140" s="11"/>
      <c r="Y4140" s="45">
        <v>302.0</v>
      </c>
      <c r="Z4140" s="45" t="s">
        <v>16170</v>
      </c>
      <c r="AA4140" s="31"/>
      <c r="AB4140" s="45" t="s">
        <v>16171</v>
      </c>
      <c r="AC4140" s="45"/>
    </row>
    <row r="4141" ht="18.75" customHeight="1">
      <c r="A4141" s="18" t="s">
        <v>16172</v>
      </c>
      <c r="B4141" s="19" t="s">
        <v>1299</v>
      </c>
      <c r="C4141" s="20">
        <v>1.0</v>
      </c>
      <c r="D4141" s="48" t="s">
        <v>16173</v>
      </c>
      <c r="E4141" s="27" t="s">
        <v>3395</v>
      </c>
      <c r="F4141" s="27" t="s">
        <v>48</v>
      </c>
      <c r="G4141" s="18" t="s">
        <v>35</v>
      </c>
      <c r="H4141" s="40" t="s">
        <v>35</v>
      </c>
      <c r="I4141" s="37" t="s">
        <v>36</v>
      </c>
      <c r="J4141" s="25" t="s">
        <v>92</v>
      </c>
      <c r="K4141" s="26" t="s">
        <v>38</v>
      </c>
      <c r="L4141" s="72">
        <v>13180.0</v>
      </c>
      <c r="M4141" s="49" t="s">
        <v>73</v>
      </c>
      <c r="N4141" s="42" t="s">
        <v>4767</v>
      </c>
      <c r="O4141" s="67">
        <v>45881.47932747685</v>
      </c>
      <c r="P4141" s="35" t="s">
        <v>16157</v>
      </c>
      <c r="Q4141" s="13" t="s">
        <v>75</v>
      </c>
      <c r="R4141" s="13" t="s">
        <v>75</v>
      </c>
      <c r="S4141" s="13" t="s">
        <v>73</v>
      </c>
      <c r="T4141" s="44">
        <v>45806.65788167824</v>
      </c>
      <c r="U4141" s="44">
        <v>45807.42519144676</v>
      </c>
      <c r="V4141" s="198">
        <v>45807.67073262732</v>
      </c>
      <c r="W4141" s="11"/>
      <c r="X4141" s="11"/>
      <c r="Y4141" s="45">
        <v>302.0</v>
      </c>
      <c r="Z4141" s="45" t="s">
        <v>16174</v>
      </c>
      <c r="AA4141" s="31"/>
      <c r="AB4141" s="45" t="s">
        <v>16175</v>
      </c>
      <c r="AC4141" s="45"/>
    </row>
    <row r="4142" ht="18.75" customHeight="1">
      <c r="A4142" s="18" t="s">
        <v>16176</v>
      </c>
      <c r="B4142" s="19" t="s">
        <v>1299</v>
      </c>
      <c r="C4142" s="20">
        <v>1.0</v>
      </c>
      <c r="D4142" s="48" t="s">
        <v>16177</v>
      </c>
      <c r="E4142" s="27" t="s">
        <v>3395</v>
      </c>
      <c r="F4142" s="27" t="s">
        <v>48</v>
      </c>
      <c r="G4142" s="18" t="s">
        <v>35</v>
      </c>
      <c r="H4142" s="40" t="s">
        <v>35</v>
      </c>
      <c r="I4142" s="37" t="s">
        <v>36</v>
      </c>
      <c r="J4142" s="25" t="s">
        <v>92</v>
      </c>
      <c r="K4142" s="26" t="s">
        <v>38</v>
      </c>
      <c r="L4142" s="72">
        <v>13180.0</v>
      </c>
      <c r="M4142" s="49" t="s">
        <v>73</v>
      </c>
      <c r="N4142" s="42" t="s">
        <v>4767</v>
      </c>
      <c r="O4142" s="67">
        <v>45881.47927009259</v>
      </c>
      <c r="P4142" s="35" t="s">
        <v>16157</v>
      </c>
      <c r="Q4142" s="13" t="s">
        <v>75</v>
      </c>
      <c r="R4142" s="13" t="s">
        <v>75</v>
      </c>
      <c r="S4142" s="13" t="s">
        <v>73</v>
      </c>
      <c r="T4142" s="44">
        <v>45806.65799085648</v>
      </c>
      <c r="U4142" s="44">
        <v>45807.42511430556</v>
      </c>
      <c r="V4142" s="198">
        <v>45807.670616504634</v>
      </c>
      <c r="W4142" s="11"/>
      <c r="X4142" s="11"/>
      <c r="Y4142" s="45">
        <v>302.0</v>
      </c>
      <c r="Z4142" s="45" t="s">
        <v>16178</v>
      </c>
      <c r="AA4142" s="31"/>
      <c r="AB4142" s="45" t="s">
        <v>16179</v>
      </c>
      <c r="AC4142" s="45"/>
    </row>
    <row r="4143" ht="18.75" customHeight="1">
      <c r="A4143" s="18" t="s">
        <v>16180</v>
      </c>
      <c r="B4143" s="19" t="s">
        <v>1299</v>
      </c>
      <c r="C4143" s="20">
        <v>1.0</v>
      </c>
      <c r="D4143" s="48" t="s">
        <v>16181</v>
      </c>
      <c r="E4143" s="27" t="s">
        <v>3395</v>
      </c>
      <c r="F4143" s="27" t="s">
        <v>48</v>
      </c>
      <c r="G4143" s="18" t="s">
        <v>35</v>
      </c>
      <c r="H4143" s="40" t="s">
        <v>35</v>
      </c>
      <c r="I4143" s="37" t="s">
        <v>36</v>
      </c>
      <c r="J4143" s="25" t="s">
        <v>92</v>
      </c>
      <c r="K4143" s="26" t="s">
        <v>38</v>
      </c>
      <c r="L4143" s="72">
        <v>13180.0</v>
      </c>
      <c r="M4143" s="49" t="s">
        <v>73</v>
      </c>
      <c r="N4143" s="42" t="s">
        <v>4767</v>
      </c>
      <c r="O4143" s="67">
        <v>45881.47915950231</v>
      </c>
      <c r="P4143" s="35" t="s">
        <v>16157</v>
      </c>
      <c r="Q4143" s="13" t="s">
        <v>75</v>
      </c>
      <c r="R4143" s="13" t="s">
        <v>75</v>
      </c>
      <c r="S4143" s="13" t="s">
        <v>73</v>
      </c>
      <c r="T4143" s="44">
        <v>45806.65810341435</v>
      </c>
      <c r="U4143" s="44">
        <v>45807.425013125</v>
      </c>
      <c r="V4143" s="198">
        <v>45807.67038679398</v>
      </c>
      <c r="W4143" s="11"/>
      <c r="X4143" s="11"/>
      <c r="Y4143" s="45">
        <v>302.0</v>
      </c>
      <c r="Z4143" s="45" t="s">
        <v>16182</v>
      </c>
      <c r="AA4143" s="31"/>
      <c r="AB4143" s="45" t="s">
        <v>16183</v>
      </c>
      <c r="AC4143" s="45"/>
    </row>
    <row r="4144" ht="18.75" customHeight="1">
      <c r="A4144" s="18" t="s">
        <v>16184</v>
      </c>
      <c r="B4144" s="19" t="s">
        <v>1299</v>
      </c>
      <c r="C4144" s="20">
        <v>137.0</v>
      </c>
      <c r="D4144" s="48" t="s">
        <v>16185</v>
      </c>
      <c r="E4144" s="27" t="s">
        <v>85</v>
      </c>
      <c r="F4144" s="27" t="s">
        <v>48</v>
      </c>
      <c r="G4144" s="18" t="s">
        <v>35</v>
      </c>
      <c r="H4144" s="40" t="s">
        <v>35</v>
      </c>
      <c r="I4144" s="37" t="s">
        <v>36</v>
      </c>
      <c r="J4144" s="25" t="s">
        <v>92</v>
      </c>
      <c r="K4144" s="26" t="s">
        <v>38</v>
      </c>
      <c r="L4144" s="72">
        <v>13180.0</v>
      </c>
      <c r="M4144" s="49" t="s">
        <v>73</v>
      </c>
      <c r="N4144" s="42" t="s">
        <v>4767</v>
      </c>
      <c r="O4144" s="67">
        <v>45820.61801815972</v>
      </c>
      <c r="P4144" s="35" t="s">
        <v>16157</v>
      </c>
      <c r="Q4144" s="13" t="s">
        <v>75</v>
      </c>
      <c r="R4144" s="13" t="s">
        <v>75</v>
      </c>
      <c r="S4144" s="13" t="s">
        <v>73</v>
      </c>
      <c r="T4144" s="44">
        <v>45806.658468368056</v>
      </c>
      <c r="U4144" s="44">
        <v>45807.42503680555</v>
      </c>
      <c r="V4144" s="198">
        <v>45807.67808922454</v>
      </c>
      <c r="W4144" s="11"/>
      <c r="X4144" s="11"/>
      <c r="Y4144" s="45">
        <v>302.0</v>
      </c>
      <c r="Z4144" s="45" t="s">
        <v>16186</v>
      </c>
      <c r="AA4144" s="31"/>
      <c r="AB4144" s="45" t="s">
        <v>16187</v>
      </c>
      <c r="AC4144" s="45"/>
    </row>
    <row r="4145" ht="18.75" customHeight="1">
      <c r="A4145" s="142" t="s">
        <v>16188</v>
      </c>
      <c r="B4145" s="19" t="s">
        <v>16189</v>
      </c>
      <c r="C4145" s="20">
        <v>33.0</v>
      </c>
      <c r="D4145" s="48" t="s">
        <v>16190</v>
      </c>
      <c r="E4145" s="27" t="s">
        <v>6133</v>
      </c>
      <c r="F4145" s="27" t="s">
        <v>48</v>
      </c>
      <c r="G4145" s="18" t="s">
        <v>35</v>
      </c>
      <c r="H4145" s="40" t="s">
        <v>35</v>
      </c>
      <c r="I4145" s="37" t="s">
        <v>36</v>
      </c>
      <c r="J4145" s="25" t="s">
        <v>92</v>
      </c>
      <c r="K4145" s="26" t="s">
        <v>38</v>
      </c>
      <c r="L4145" s="34">
        <v>13149.0</v>
      </c>
      <c r="M4145" s="49" t="s">
        <v>50</v>
      </c>
      <c r="N4145" s="42" t="s">
        <v>13864</v>
      </c>
      <c r="O4145" s="67">
        <v>45810.69626185185</v>
      </c>
      <c r="P4145" s="35" t="s">
        <v>16191</v>
      </c>
      <c r="Q4145" s="13" t="s">
        <v>75</v>
      </c>
      <c r="R4145" s="13" t="s">
        <v>75</v>
      </c>
      <c r="S4145" s="13" t="s">
        <v>73</v>
      </c>
      <c r="T4145" s="44">
        <v>45806.64192855324</v>
      </c>
      <c r="U4145" s="44">
        <v>45806.67306699074</v>
      </c>
      <c r="V4145" s="198">
        <v>45807.680098125</v>
      </c>
      <c r="W4145" s="11"/>
      <c r="X4145" s="11"/>
      <c r="Y4145" s="45">
        <v>302.0</v>
      </c>
      <c r="Z4145" s="45" t="s">
        <v>16192</v>
      </c>
      <c r="AA4145" s="31"/>
      <c r="AB4145" s="45" t="s">
        <v>16193</v>
      </c>
      <c r="AC4145" s="45"/>
    </row>
    <row r="4146" ht="18.75" customHeight="1">
      <c r="A4146" s="142" t="s">
        <v>16194</v>
      </c>
      <c r="B4146" s="19" t="s">
        <v>8652</v>
      </c>
      <c r="C4146" s="20">
        <v>0.0</v>
      </c>
      <c r="D4146" s="48" t="s">
        <v>16195</v>
      </c>
      <c r="E4146" s="27" t="s">
        <v>713</v>
      </c>
      <c r="F4146" s="27" t="s">
        <v>33</v>
      </c>
      <c r="G4146" s="18" t="s">
        <v>35</v>
      </c>
      <c r="H4146" s="40" t="s">
        <v>35</v>
      </c>
      <c r="I4146" s="37" t="s">
        <v>36</v>
      </c>
      <c r="J4146" s="25" t="s">
        <v>65</v>
      </c>
      <c r="K4146" s="26" t="s">
        <v>38</v>
      </c>
      <c r="L4146" s="72">
        <v>13184.0</v>
      </c>
      <c r="M4146" s="49" t="s">
        <v>50</v>
      </c>
      <c r="N4146" s="42" t="s">
        <v>5102</v>
      </c>
      <c r="O4146" s="67">
        <v>45813.6554503588</v>
      </c>
      <c r="P4146" s="35" t="s">
        <v>15829</v>
      </c>
      <c r="Q4146" s="13" t="s">
        <v>75</v>
      </c>
      <c r="R4146" s="13" t="s">
        <v>75</v>
      </c>
      <c r="S4146" s="13" t="s">
        <v>50</v>
      </c>
      <c r="T4146" s="44">
        <v>45807.440734398144</v>
      </c>
      <c r="U4146" s="44">
        <v>45810.49252128472</v>
      </c>
      <c r="V4146" s="44">
        <v>45813.58919458333</v>
      </c>
      <c r="W4146" s="11"/>
      <c r="X4146" s="11"/>
      <c r="Y4146" s="45">
        <v>302.0</v>
      </c>
      <c r="Z4146" s="45" t="s">
        <v>16196</v>
      </c>
      <c r="AA4146" s="31"/>
      <c r="AB4146" s="45" t="s">
        <v>16197</v>
      </c>
      <c r="AC4146" s="45"/>
    </row>
    <row r="4147" ht="18.75" customHeight="1">
      <c r="A4147" s="18" t="s">
        <v>16198</v>
      </c>
      <c r="B4147" s="19" t="s">
        <v>4187</v>
      </c>
      <c r="C4147" s="20">
        <v>90.0</v>
      </c>
      <c r="D4147" s="48" t="s">
        <v>16199</v>
      </c>
      <c r="E4147" s="27" t="s">
        <v>91</v>
      </c>
      <c r="F4147" s="27" t="s">
        <v>48</v>
      </c>
      <c r="G4147" s="18" t="s">
        <v>35</v>
      </c>
      <c r="H4147" s="40" t="s">
        <v>35</v>
      </c>
      <c r="I4147" s="37" t="s">
        <v>36</v>
      </c>
      <c r="J4147" s="25" t="s">
        <v>65</v>
      </c>
      <c r="K4147" s="26" t="s">
        <v>38</v>
      </c>
      <c r="L4147" s="72">
        <v>13183.0</v>
      </c>
      <c r="M4147" s="49" t="s">
        <v>50</v>
      </c>
      <c r="N4147" s="42" t="s">
        <v>5102</v>
      </c>
      <c r="O4147" s="67">
        <v>45813.655749756945</v>
      </c>
      <c r="P4147" s="35" t="s">
        <v>16200</v>
      </c>
      <c r="Q4147" s="13" t="s">
        <v>75</v>
      </c>
      <c r="R4147" s="13" t="s">
        <v>75</v>
      </c>
      <c r="S4147" s="13" t="s">
        <v>50</v>
      </c>
      <c r="T4147" s="44">
        <v>45807.596442685186</v>
      </c>
      <c r="U4147" s="44">
        <v>45813.52490422454</v>
      </c>
      <c r="V4147" s="44">
        <v>45813.55725042824</v>
      </c>
      <c r="W4147" s="11"/>
      <c r="X4147" s="11"/>
      <c r="Y4147" s="45">
        <v>302.0</v>
      </c>
      <c r="Z4147" s="45" t="s">
        <v>16201</v>
      </c>
      <c r="AA4147" s="31"/>
      <c r="AB4147" s="45" t="s">
        <v>16202</v>
      </c>
      <c r="AC4147" s="45"/>
    </row>
    <row r="4148" ht="18.75" customHeight="1">
      <c r="A4148" s="18" t="s">
        <v>16203</v>
      </c>
      <c r="B4148" s="19" t="s">
        <v>4187</v>
      </c>
      <c r="C4148" s="20">
        <v>11.0</v>
      </c>
      <c r="D4148" s="48" t="s">
        <v>16204</v>
      </c>
      <c r="E4148" s="27" t="s">
        <v>112</v>
      </c>
      <c r="F4148" s="27" t="s">
        <v>48</v>
      </c>
      <c r="G4148" s="18" t="s">
        <v>35</v>
      </c>
      <c r="H4148" s="40" t="s">
        <v>35</v>
      </c>
      <c r="I4148" s="37" t="s">
        <v>36</v>
      </c>
      <c r="J4148" s="25" t="s">
        <v>65</v>
      </c>
      <c r="K4148" s="26" t="s">
        <v>38</v>
      </c>
      <c r="L4148" s="72">
        <v>13183.0</v>
      </c>
      <c r="M4148" s="49" t="s">
        <v>50</v>
      </c>
      <c r="N4148" s="42" t="s">
        <v>5102</v>
      </c>
      <c r="O4148" s="67">
        <v>45813.655901817125</v>
      </c>
      <c r="P4148" s="35" t="s">
        <v>16200</v>
      </c>
      <c r="Q4148" s="13" t="s">
        <v>75</v>
      </c>
      <c r="R4148" s="13" t="s">
        <v>75</v>
      </c>
      <c r="S4148" s="13" t="s">
        <v>50</v>
      </c>
      <c r="T4148" s="44">
        <v>45807.597003020834</v>
      </c>
      <c r="U4148" s="44">
        <v>45813.52487896991</v>
      </c>
      <c r="V4148" s="44">
        <v>45813.55725041666</v>
      </c>
      <c r="W4148" s="11"/>
      <c r="X4148" s="11"/>
      <c r="Y4148" s="45">
        <v>302.0</v>
      </c>
      <c r="Z4148" s="45" t="s">
        <v>16205</v>
      </c>
      <c r="AA4148" s="31"/>
      <c r="AB4148" s="45" t="s">
        <v>16206</v>
      </c>
      <c r="AC4148" s="45"/>
    </row>
    <row r="4149" ht="18.75" customHeight="1">
      <c r="A4149" s="18" t="s">
        <v>16207</v>
      </c>
      <c r="B4149" s="19" t="s">
        <v>4187</v>
      </c>
      <c r="C4149" s="20">
        <v>0.0</v>
      </c>
      <c r="D4149" s="48" t="s">
        <v>16208</v>
      </c>
      <c r="E4149" s="27" t="s">
        <v>3441</v>
      </c>
      <c r="F4149" s="27" t="s">
        <v>48</v>
      </c>
      <c r="G4149" s="18" t="s">
        <v>35</v>
      </c>
      <c r="H4149" s="40" t="s">
        <v>35</v>
      </c>
      <c r="I4149" s="37" t="s">
        <v>36</v>
      </c>
      <c r="J4149" s="25" t="s">
        <v>65</v>
      </c>
      <c r="K4149" s="26" t="s">
        <v>38</v>
      </c>
      <c r="L4149" s="72">
        <v>13183.0</v>
      </c>
      <c r="M4149" s="49" t="s">
        <v>50</v>
      </c>
      <c r="N4149" s="42" t="s">
        <v>5102</v>
      </c>
      <c r="O4149" s="67">
        <v>45813.65594715277</v>
      </c>
      <c r="P4149" s="35" t="s">
        <v>16200</v>
      </c>
      <c r="Q4149" s="13" t="s">
        <v>75</v>
      </c>
      <c r="R4149" s="13" t="s">
        <v>75</v>
      </c>
      <c r="S4149" s="13" t="s">
        <v>50</v>
      </c>
      <c r="T4149" s="44">
        <v>45807.4601458449</v>
      </c>
      <c r="U4149" s="44">
        <v>45813.52485192129</v>
      </c>
      <c r="V4149" s="44">
        <v>45813.55718150463</v>
      </c>
      <c r="W4149" s="11"/>
      <c r="X4149" s="11"/>
      <c r="Y4149" s="45">
        <v>302.0</v>
      </c>
      <c r="Z4149" s="45" t="s">
        <v>16209</v>
      </c>
      <c r="AA4149" s="31"/>
      <c r="AB4149" s="45" t="s">
        <v>16210</v>
      </c>
      <c r="AC4149" s="45"/>
    </row>
    <row r="4150" ht="18.75" customHeight="1">
      <c r="A4150" s="18" t="s">
        <v>16211</v>
      </c>
      <c r="B4150" s="19" t="s">
        <v>9801</v>
      </c>
      <c r="C4150" s="20">
        <v>1.0</v>
      </c>
      <c r="D4150" s="48" t="s">
        <v>16212</v>
      </c>
      <c r="E4150" s="27" t="s">
        <v>3395</v>
      </c>
      <c r="F4150" s="27" t="s">
        <v>48</v>
      </c>
      <c r="G4150" s="18" t="s">
        <v>35</v>
      </c>
      <c r="H4150" s="40" t="s">
        <v>35</v>
      </c>
      <c r="I4150" s="37" t="s">
        <v>36</v>
      </c>
      <c r="J4150" s="25" t="s">
        <v>65</v>
      </c>
      <c r="K4150" s="26" t="s">
        <v>38</v>
      </c>
      <c r="L4150" s="72">
        <v>13170.0</v>
      </c>
      <c r="M4150" s="49" t="s">
        <v>50</v>
      </c>
      <c r="N4150" s="42" t="s">
        <v>14184</v>
      </c>
      <c r="O4150" s="67">
        <v>45811.67908854167</v>
      </c>
      <c r="P4150" s="35" t="s">
        <v>16213</v>
      </c>
      <c r="Q4150" s="13" t="s">
        <v>75</v>
      </c>
      <c r="R4150" s="13" t="s">
        <v>75</v>
      </c>
      <c r="S4150" s="13" t="s">
        <v>50</v>
      </c>
      <c r="T4150" s="44">
        <v>45807.63586872685</v>
      </c>
      <c r="U4150" s="44">
        <v>45811.37866429398</v>
      </c>
      <c r="V4150" s="44">
        <v>45811.38402924768</v>
      </c>
      <c r="W4150" s="11"/>
      <c r="X4150" s="11"/>
      <c r="Y4150" s="45">
        <v>302.0</v>
      </c>
      <c r="Z4150" s="45" t="s">
        <v>16214</v>
      </c>
      <c r="AA4150" s="31"/>
      <c r="AB4150" s="45" t="s">
        <v>16215</v>
      </c>
      <c r="AC4150" s="45"/>
    </row>
    <row r="4151" ht="18.75" customHeight="1">
      <c r="A4151" s="18" t="s">
        <v>16216</v>
      </c>
      <c r="B4151" s="19" t="s">
        <v>9801</v>
      </c>
      <c r="C4151" s="20">
        <v>1.0</v>
      </c>
      <c r="D4151" s="48" t="s">
        <v>16217</v>
      </c>
      <c r="E4151" s="27" t="s">
        <v>3395</v>
      </c>
      <c r="F4151" s="27" t="s">
        <v>48</v>
      </c>
      <c r="G4151" s="18" t="s">
        <v>35</v>
      </c>
      <c r="H4151" s="40" t="s">
        <v>35</v>
      </c>
      <c r="I4151" s="37" t="s">
        <v>36</v>
      </c>
      <c r="J4151" s="25" t="s">
        <v>65</v>
      </c>
      <c r="K4151" s="26" t="s">
        <v>38</v>
      </c>
      <c r="L4151" s="72">
        <v>13170.0</v>
      </c>
      <c r="M4151" s="49" t="s">
        <v>50</v>
      </c>
      <c r="N4151" s="42" t="s">
        <v>14184</v>
      </c>
      <c r="O4151" s="67">
        <v>45811.679141851855</v>
      </c>
      <c r="P4151" s="35" t="s">
        <v>16213</v>
      </c>
      <c r="Q4151" s="13" t="s">
        <v>75</v>
      </c>
      <c r="R4151" s="13" t="s">
        <v>75</v>
      </c>
      <c r="S4151" s="13" t="s">
        <v>50</v>
      </c>
      <c r="T4151" s="44">
        <v>45807.63583211806</v>
      </c>
      <c r="U4151" s="44">
        <v>45811.378623171295</v>
      </c>
      <c r="V4151" s="44">
        <v>45811.38402924768</v>
      </c>
      <c r="W4151" s="11"/>
      <c r="X4151" s="11"/>
      <c r="Y4151" s="45">
        <v>302.0</v>
      </c>
      <c r="Z4151" s="45" t="s">
        <v>16218</v>
      </c>
      <c r="AA4151" s="31"/>
      <c r="AB4151" s="45" t="s">
        <v>16219</v>
      </c>
      <c r="AC4151" s="45"/>
    </row>
    <row r="4152" ht="18.75" customHeight="1">
      <c r="A4152" s="18" t="s">
        <v>16220</v>
      </c>
      <c r="B4152" s="19" t="s">
        <v>9801</v>
      </c>
      <c r="C4152" s="20">
        <v>1.0</v>
      </c>
      <c r="D4152" s="48" t="s">
        <v>16221</v>
      </c>
      <c r="E4152" s="27" t="s">
        <v>3395</v>
      </c>
      <c r="F4152" s="27" t="s">
        <v>48</v>
      </c>
      <c r="G4152" s="18" t="s">
        <v>35</v>
      </c>
      <c r="H4152" s="40" t="s">
        <v>35</v>
      </c>
      <c r="I4152" s="24" t="s">
        <v>36</v>
      </c>
      <c r="J4152" s="34" t="s">
        <v>92</v>
      </c>
      <c r="K4152" s="26" t="s">
        <v>38</v>
      </c>
      <c r="L4152" s="25"/>
      <c r="M4152" s="152" t="s">
        <v>5408</v>
      </c>
      <c r="N4152" s="42"/>
      <c r="O4152" s="209">
        <v>45811.376696203704</v>
      </c>
      <c r="P4152" s="35" t="s">
        <v>16213</v>
      </c>
      <c r="Q4152" s="13" t="s">
        <v>75</v>
      </c>
      <c r="R4152" s="13" t="s">
        <v>75</v>
      </c>
      <c r="S4152" s="13" t="s">
        <v>75</v>
      </c>
      <c r="T4152" s="44">
        <v>45807.635901574075</v>
      </c>
      <c r="U4152" s="44">
        <v>45811.37869597222</v>
      </c>
      <c r="V4152" s="13"/>
      <c r="W4152" s="11"/>
      <c r="X4152" s="11"/>
      <c r="Y4152" s="45"/>
      <c r="Z4152" s="45"/>
      <c r="AA4152" s="31"/>
      <c r="AB4152" s="45" t="s">
        <v>16222</v>
      </c>
      <c r="AC4152" s="45"/>
    </row>
    <row r="4153" ht="18.75" customHeight="1">
      <c r="A4153" s="142" t="s">
        <v>16223</v>
      </c>
      <c r="B4153" s="19" t="s">
        <v>12907</v>
      </c>
      <c r="C4153" s="20">
        <v>137.0</v>
      </c>
      <c r="D4153" s="48" t="s">
        <v>16224</v>
      </c>
      <c r="E4153" s="27" t="s">
        <v>85</v>
      </c>
      <c r="F4153" s="27" t="s">
        <v>48</v>
      </c>
      <c r="G4153" s="18" t="s">
        <v>35</v>
      </c>
      <c r="H4153" s="40" t="s">
        <v>35</v>
      </c>
      <c r="I4153" s="37" t="s">
        <v>36</v>
      </c>
      <c r="J4153" s="25" t="s">
        <v>65</v>
      </c>
      <c r="K4153" s="26" t="s">
        <v>38</v>
      </c>
      <c r="L4153" s="72">
        <v>13182.0</v>
      </c>
      <c r="M4153" s="49" t="s">
        <v>50</v>
      </c>
      <c r="N4153" s="42" t="s">
        <v>5102</v>
      </c>
      <c r="O4153" s="67">
        <v>45813.65585516204</v>
      </c>
      <c r="P4153" s="35" t="s">
        <v>15829</v>
      </c>
      <c r="Q4153" s="13" t="s">
        <v>75</v>
      </c>
      <c r="R4153" s="13" t="s">
        <v>75</v>
      </c>
      <c r="S4153" s="13" t="s">
        <v>50</v>
      </c>
      <c r="T4153" s="44">
        <v>45807.61294390046</v>
      </c>
      <c r="U4153" s="44">
        <v>45813.40784694444</v>
      </c>
      <c r="V4153" s="44">
        <v>45813.483640046295</v>
      </c>
      <c r="W4153" s="11"/>
      <c r="X4153" s="11"/>
      <c r="Y4153" s="45">
        <v>302.0</v>
      </c>
      <c r="Z4153" s="45" t="s">
        <v>16225</v>
      </c>
      <c r="AA4153" s="31"/>
      <c r="AB4153" s="45" t="s">
        <v>16226</v>
      </c>
      <c r="AC4153" s="45"/>
    </row>
    <row r="4154" ht="18.75" customHeight="1">
      <c r="A4154" s="18" t="s">
        <v>16227</v>
      </c>
      <c r="B4154" s="19" t="s">
        <v>15016</v>
      </c>
      <c r="C4154" s="20">
        <v>11.0</v>
      </c>
      <c r="D4154" s="18" t="s">
        <v>16228</v>
      </c>
      <c r="E4154" s="27" t="s">
        <v>112</v>
      </c>
      <c r="F4154" s="27" t="s">
        <v>48</v>
      </c>
      <c r="G4154" s="18" t="s">
        <v>35</v>
      </c>
      <c r="H4154" s="40" t="s">
        <v>35</v>
      </c>
      <c r="I4154" s="37" t="s">
        <v>36</v>
      </c>
      <c r="J4154" s="25" t="s">
        <v>65</v>
      </c>
      <c r="K4154" s="26" t="s">
        <v>38</v>
      </c>
      <c r="L4154" s="72">
        <v>13294.0</v>
      </c>
      <c r="M4154" s="49" t="s">
        <v>50</v>
      </c>
      <c r="N4154" s="42" t="s">
        <v>14854</v>
      </c>
      <c r="O4154" s="67">
        <v>45833.644723958336</v>
      </c>
      <c r="P4154" s="35" t="s">
        <v>15829</v>
      </c>
      <c r="Q4154" s="13" t="s">
        <v>75</v>
      </c>
      <c r="R4154" s="13" t="s">
        <v>75</v>
      </c>
      <c r="S4154" s="13" t="s">
        <v>50</v>
      </c>
      <c r="T4154" s="44">
        <v>45807.615891504625</v>
      </c>
      <c r="U4154" s="44">
        <v>45833.44843121528</v>
      </c>
      <c r="V4154" s="44">
        <v>45833.580022870374</v>
      </c>
      <c r="W4154" s="11"/>
      <c r="X4154" s="11"/>
      <c r="Y4154" s="45">
        <v>302.0</v>
      </c>
      <c r="Z4154" s="45" t="s">
        <v>16229</v>
      </c>
      <c r="AA4154" s="31"/>
      <c r="AB4154" s="45" t="s">
        <v>16230</v>
      </c>
      <c r="AC4154" s="45"/>
    </row>
    <row r="4155" ht="18.75" customHeight="1">
      <c r="A4155" s="18" t="s">
        <v>16231</v>
      </c>
      <c r="B4155" s="19" t="s">
        <v>15016</v>
      </c>
      <c r="C4155" s="20">
        <v>11.0</v>
      </c>
      <c r="D4155" s="18" t="s">
        <v>16232</v>
      </c>
      <c r="E4155" s="27" t="s">
        <v>112</v>
      </c>
      <c r="F4155" s="27" t="s">
        <v>48</v>
      </c>
      <c r="G4155" s="18" t="s">
        <v>35</v>
      </c>
      <c r="H4155" s="40" t="s">
        <v>35</v>
      </c>
      <c r="I4155" s="37" t="s">
        <v>36</v>
      </c>
      <c r="J4155" s="25" t="s">
        <v>65</v>
      </c>
      <c r="K4155" s="26" t="s">
        <v>38</v>
      </c>
      <c r="L4155" s="72">
        <v>13294.0</v>
      </c>
      <c r="M4155" s="49" t="s">
        <v>50</v>
      </c>
      <c r="N4155" s="42" t="s">
        <v>14854</v>
      </c>
      <c r="O4155" s="67">
        <v>45833.64477590278</v>
      </c>
      <c r="P4155" s="35" t="s">
        <v>15829</v>
      </c>
      <c r="Q4155" s="13" t="s">
        <v>75</v>
      </c>
      <c r="R4155" s="13" t="s">
        <v>75</v>
      </c>
      <c r="S4155" s="13" t="s">
        <v>50</v>
      </c>
      <c r="T4155" s="44">
        <v>45807.615953773144</v>
      </c>
      <c r="U4155" s="44">
        <v>45833.448396817126</v>
      </c>
      <c r="V4155" s="44">
        <v>45833.5800228588</v>
      </c>
      <c r="W4155" s="11"/>
      <c r="X4155" s="11"/>
      <c r="Y4155" s="45">
        <v>302.0</v>
      </c>
      <c r="Z4155" s="45" t="s">
        <v>16233</v>
      </c>
      <c r="AA4155" s="31"/>
      <c r="AB4155" s="45" t="s">
        <v>16234</v>
      </c>
      <c r="AC4155" s="45"/>
    </row>
    <row r="4156" ht="18.75" customHeight="1">
      <c r="A4156" s="18" t="s">
        <v>16235</v>
      </c>
      <c r="B4156" s="19" t="s">
        <v>15016</v>
      </c>
      <c r="C4156" s="20">
        <v>11.0</v>
      </c>
      <c r="D4156" s="18" t="s">
        <v>16236</v>
      </c>
      <c r="E4156" s="27" t="s">
        <v>112</v>
      </c>
      <c r="F4156" s="27" t="s">
        <v>48</v>
      </c>
      <c r="G4156" s="18" t="s">
        <v>35</v>
      </c>
      <c r="H4156" s="40" t="s">
        <v>35</v>
      </c>
      <c r="I4156" s="37" t="s">
        <v>36</v>
      </c>
      <c r="J4156" s="25" t="s">
        <v>65</v>
      </c>
      <c r="K4156" s="26" t="s">
        <v>38</v>
      </c>
      <c r="L4156" s="72">
        <v>13294.0</v>
      </c>
      <c r="M4156" s="49" t="s">
        <v>50</v>
      </c>
      <c r="N4156" s="42" t="s">
        <v>14854</v>
      </c>
      <c r="O4156" s="67">
        <v>45833.644649803246</v>
      </c>
      <c r="P4156" s="35" t="s">
        <v>15829</v>
      </c>
      <c r="Q4156" s="13" t="s">
        <v>75</v>
      </c>
      <c r="R4156" s="13" t="s">
        <v>75</v>
      </c>
      <c r="S4156" s="13" t="s">
        <v>50</v>
      </c>
      <c r="T4156" s="44">
        <v>45807.61600922454</v>
      </c>
      <c r="U4156" s="44">
        <v>45833.448457164355</v>
      </c>
      <c r="V4156" s="44">
        <v>45833.580022870374</v>
      </c>
      <c r="W4156" s="11"/>
      <c r="X4156" s="11"/>
      <c r="Y4156" s="45">
        <v>302.0</v>
      </c>
      <c r="Z4156" s="45" t="s">
        <v>16237</v>
      </c>
      <c r="AA4156" s="31"/>
      <c r="AB4156" s="45" t="s">
        <v>16238</v>
      </c>
      <c r="AC4156" s="45"/>
    </row>
    <row r="4157" ht="18.75" customHeight="1">
      <c r="A4157" s="142" t="s">
        <v>16239</v>
      </c>
      <c r="B4157" s="19" t="s">
        <v>7703</v>
      </c>
      <c r="C4157" s="20">
        <v>0.0</v>
      </c>
      <c r="D4157" s="48" t="s">
        <v>1602</v>
      </c>
      <c r="E4157" s="27" t="s">
        <v>135</v>
      </c>
      <c r="F4157" s="27" t="s">
        <v>48</v>
      </c>
      <c r="G4157" s="18" t="s">
        <v>35</v>
      </c>
      <c r="H4157" s="40" t="s">
        <v>35</v>
      </c>
      <c r="I4157" s="37" t="s">
        <v>36</v>
      </c>
      <c r="J4157" s="25" t="s">
        <v>65</v>
      </c>
      <c r="K4157" s="26" t="s">
        <v>38</v>
      </c>
      <c r="L4157" s="72">
        <v>13195.0</v>
      </c>
      <c r="M4157" s="49" t="s">
        <v>50</v>
      </c>
      <c r="N4157" s="42" t="s">
        <v>3461</v>
      </c>
      <c r="O4157" s="67">
        <v>45814.66706150463</v>
      </c>
      <c r="P4157" s="35" t="s">
        <v>16240</v>
      </c>
      <c r="Q4157" s="13" t="s">
        <v>75</v>
      </c>
      <c r="R4157" s="13" t="s">
        <v>75</v>
      </c>
      <c r="S4157" s="13" t="s">
        <v>50</v>
      </c>
      <c r="T4157" s="44">
        <v>45807.719723993054</v>
      </c>
      <c r="U4157" s="44">
        <v>45812.40750032407</v>
      </c>
      <c r="V4157" s="44">
        <v>45814.54440511574</v>
      </c>
      <c r="W4157" s="11"/>
      <c r="X4157" s="11"/>
      <c r="Y4157" s="45">
        <v>302.0</v>
      </c>
      <c r="Z4157" s="45" t="s">
        <v>16241</v>
      </c>
      <c r="AA4157" s="31"/>
      <c r="AB4157" s="45" t="s">
        <v>16242</v>
      </c>
      <c r="AC4157" s="45"/>
    </row>
    <row r="4158" ht="18.75" customHeight="1">
      <c r="A4158" s="142" t="s">
        <v>16243</v>
      </c>
      <c r="B4158" s="19" t="s">
        <v>12937</v>
      </c>
      <c r="C4158" s="20">
        <v>137.0</v>
      </c>
      <c r="D4158" s="48" t="s">
        <v>16244</v>
      </c>
      <c r="E4158" s="27" t="s">
        <v>85</v>
      </c>
      <c r="F4158" s="27" t="s">
        <v>48</v>
      </c>
      <c r="G4158" s="18" t="s">
        <v>35</v>
      </c>
      <c r="H4158" s="40" t="s">
        <v>35</v>
      </c>
      <c r="I4158" s="37" t="s">
        <v>36</v>
      </c>
      <c r="J4158" s="25" t="s">
        <v>65</v>
      </c>
      <c r="K4158" s="26" t="s">
        <v>38</v>
      </c>
      <c r="L4158" s="72">
        <v>13174.0</v>
      </c>
      <c r="M4158" s="49" t="s">
        <v>50</v>
      </c>
      <c r="N4158" s="42" t="s">
        <v>14184</v>
      </c>
      <c r="O4158" s="67">
        <v>45811.67904743056</v>
      </c>
      <c r="P4158" s="35" t="s">
        <v>15829</v>
      </c>
      <c r="Q4158" s="13" t="s">
        <v>75</v>
      </c>
      <c r="R4158" s="13" t="s">
        <v>75</v>
      </c>
      <c r="S4158" s="13" t="s">
        <v>50</v>
      </c>
      <c r="T4158" s="44">
        <v>45810.40059178241</v>
      </c>
      <c r="U4158" s="44">
        <v>45811.509333055554</v>
      </c>
      <c r="V4158" s="44">
        <v>45811.548290335646</v>
      </c>
      <c r="W4158" s="11"/>
      <c r="X4158" s="11"/>
      <c r="Y4158" s="45">
        <v>302.0</v>
      </c>
      <c r="Z4158" s="45" t="s">
        <v>16245</v>
      </c>
      <c r="AA4158" s="31"/>
      <c r="AB4158" s="45" t="s">
        <v>16246</v>
      </c>
      <c r="AC4158" s="45"/>
    </row>
    <row r="4159" ht="18.75" customHeight="1">
      <c r="A4159" s="142" t="s">
        <v>16247</v>
      </c>
      <c r="B4159" s="19" t="s">
        <v>4147</v>
      </c>
      <c r="C4159" s="20">
        <v>1.0</v>
      </c>
      <c r="D4159" s="48" t="s">
        <v>16248</v>
      </c>
      <c r="E4159" s="27" t="s">
        <v>3395</v>
      </c>
      <c r="F4159" s="27" t="s">
        <v>48</v>
      </c>
      <c r="G4159" s="18" t="s">
        <v>35</v>
      </c>
      <c r="H4159" s="40" t="s">
        <v>35</v>
      </c>
      <c r="I4159" s="37" t="s">
        <v>36</v>
      </c>
      <c r="J4159" s="25" t="s">
        <v>49</v>
      </c>
      <c r="K4159" s="26" t="s">
        <v>38</v>
      </c>
      <c r="L4159" s="72">
        <v>13166.0</v>
      </c>
      <c r="M4159" s="49" t="s">
        <v>50</v>
      </c>
      <c r="N4159" s="42" t="s">
        <v>5936</v>
      </c>
      <c r="O4159" s="67">
        <v>45811.655582060186</v>
      </c>
      <c r="P4159" s="35" t="s">
        <v>15980</v>
      </c>
      <c r="Q4159" s="13" t="s">
        <v>75</v>
      </c>
      <c r="R4159" s="13" t="s">
        <v>75</v>
      </c>
      <c r="S4159" s="13" t="s">
        <v>50</v>
      </c>
      <c r="T4159" s="44">
        <v>45810.40352832176</v>
      </c>
      <c r="U4159" s="44">
        <v>45811.37039577546</v>
      </c>
      <c r="V4159" s="44">
        <v>45811.37384403935</v>
      </c>
      <c r="W4159" s="11"/>
      <c r="X4159" s="11"/>
      <c r="Y4159" s="45">
        <v>302.0</v>
      </c>
      <c r="Z4159" s="45" t="s">
        <v>16249</v>
      </c>
      <c r="AA4159" s="31"/>
      <c r="AB4159" s="45" t="s">
        <v>16250</v>
      </c>
      <c r="AC4159" s="45"/>
    </row>
    <row r="4160" ht="18.75" customHeight="1">
      <c r="A4160" s="18" t="s">
        <v>16251</v>
      </c>
      <c r="B4160" s="19" t="s">
        <v>5287</v>
      </c>
      <c r="C4160" s="20">
        <v>0.0</v>
      </c>
      <c r="D4160" s="48"/>
      <c r="E4160" s="27" t="s">
        <v>1595</v>
      </c>
      <c r="F4160" s="27" t="s">
        <v>33</v>
      </c>
      <c r="G4160" s="18" t="s">
        <v>35</v>
      </c>
      <c r="H4160" s="40" t="s">
        <v>35</v>
      </c>
      <c r="I4160" s="37" t="s">
        <v>984</v>
      </c>
      <c r="J4160" s="25" t="s">
        <v>49</v>
      </c>
      <c r="K4160" s="26" t="s">
        <v>12614</v>
      </c>
      <c r="L4160" s="72">
        <v>-13213.0</v>
      </c>
      <c r="M4160" s="49"/>
      <c r="N4160" s="42"/>
      <c r="O4160" s="68"/>
      <c r="P4160" s="35" t="s">
        <v>16252</v>
      </c>
      <c r="Q4160" s="13" t="s">
        <v>75</v>
      </c>
      <c r="R4160" s="13" t="s">
        <v>75</v>
      </c>
      <c r="S4160" s="13"/>
      <c r="T4160" s="44">
        <v>45810.40752112269</v>
      </c>
      <c r="U4160" s="44">
        <v>45818.72784775463</v>
      </c>
      <c r="V4160" s="13"/>
      <c r="W4160" s="11"/>
      <c r="X4160" s="148">
        <v>46082.0</v>
      </c>
      <c r="Y4160" s="45"/>
      <c r="Z4160" s="45"/>
      <c r="AA4160" s="31"/>
      <c r="AB4160" s="45" t="s">
        <v>16253</v>
      </c>
      <c r="AC4160" s="45"/>
    </row>
    <row r="4161" ht="18.75" customHeight="1">
      <c r="A4161" s="18" t="s">
        <v>16254</v>
      </c>
      <c r="B4161" s="19" t="s">
        <v>5287</v>
      </c>
      <c r="C4161" s="20">
        <v>0.0</v>
      </c>
      <c r="D4161" s="48"/>
      <c r="E4161" s="27" t="s">
        <v>1595</v>
      </c>
      <c r="F4161" s="27" t="s">
        <v>33</v>
      </c>
      <c r="G4161" s="18" t="s">
        <v>35</v>
      </c>
      <c r="H4161" s="40" t="s">
        <v>35</v>
      </c>
      <c r="I4161" s="37" t="s">
        <v>984</v>
      </c>
      <c r="J4161" s="25" t="s">
        <v>49</v>
      </c>
      <c r="K4161" s="26" t="s">
        <v>12614</v>
      </c>
      <c r="L4161" s="72">
        <v>-13213.0</v>
      </c>
      <c r="M4161" s="49"/>
      <c r="N4161" s="42"/>
      <c r="O4161" s="68"/>
      <c r="P4161" s="35" t="s">
        <v>16252</v>
      </c>
      <c r="Q4161" s="13" t="s">
        <v>75</v>
      </c>
      <c r="R4161" s="13" t="s">
        <v>75</v>
      </c>
      <c r="S4161" s="13" t="s">
        <v>75</v>
      </c>
      <c r="T4161" s="44">
        <v>45810.40757026621</v>
      </c>
      <c r="U4161" s="44">
        <v>45818.728087905096</v>
      </c>
      <c r="V4161" s="13"/>
      <c r="W4161" s="11"/>
      <c r="X4161" s="148">
        <v>46082.0</v>
      </c>
      <c r="Y4161" s="45"/>
      <c r="Z4161" s="45"/>
      <c r="AA4161" s="31"/>
      <c r="AB4161" s="45" t="s">
        <v>16255</v>
      </c>
      <c r="AC4161" s="45"/>
    </row>
    <row r="4162" ht="18.75" customHeight="1">
      <c r="A4162" s="18" t="s">
        <v>16256</v>
      </c>
      <c r="B4162" s="19" t="s">
        <v>5287</v>
      </c>
      <c r="C4162" s="20">
        <v>0.0</v>
      </c>
      <c r="D4162" s="206"/>
      <c r="E4162" s="27" t="s">
        <v>1595</v>
      </c>
      <c r="F4162" s="27" t="s">
        <v>33</v>
      </c>
      <c r="G4162" s="18" t="s">
        <v>35</v>
      </c>
      <c r="H4162" s="40" t="s">
        <v>35</v>
      </c>
      <c r="I4162" s="37" t="s">
        <v>984</v>
      </c>
      <c r="J4162" s="25" t="s">
        <v>49</v>
      </c>
      <c r="K4162" s="26" t="s">
        <v>12614</v>
      </c>
      <c r="L4162" s="72">
        <v>-13213.0</v>
      </c>
      <c r="M4162" s="49"/>
      <c r="N4162" s="42"/>
      <c r="O4162" s="68"/>
      <c r="P4162" s="35" t="s">
        <v>16252</v>
      </c>
      <c r="Q4162" s="13" t="s">
        <v>75</v>
      </c>
      <c r="R4162" s="13" t="s">
        <v>75</v>
      </c>
      <c r="S4162" s="13" t="s">
        <v>75</v>
      </c>
      <c r="T4162" s="44">
        <v>45810.40762229166</v>
      </c>
      <c r="U4162" s="44">
        <v>45818.728313506945</v>
      </c>
      <c r="V4162" s="13"/>
      <c r="W4162" s="11"/>
      <c r="X4162" s="148">
        <v>46082.0</v>
      </c>
      <c r="Y4162" s="45"/>
      <c r="Z4162" s="45"/>
      <c r="AA4162" s="31"/>
      <c r="AB4162" s="45" t="s">
        <v>16257</v>
      </c>
      <c r="AC4162" s="45"/>
    </row>
    <row r="4163" ht="18.75" customHeight="1">
      <c r="A4163" s="18" t="s">
        <v>16258</v>
      </c>
      <c r="B4163" s="19" t="s">
        <v>5287</v>
      </c>
      <c r="C4163" s="20">
        <v>0.0</v>
      </c>
      <c r="D4163" s="48"/>
      <c r="E4163" s="27" t="s">
        <v>1595</v>
      </c>
      <c r="F4163" s="27" t="s">
        <v>33</v>
      </c>
      <c r="G4163" s="18" t="s">
        <v>35</v>
      </c>
      <c r="H4163" s="40" t="s">
        <v>35</v>
      </c>
      <c r="I4163" s="37" t="s">
        <v>984</v>
      </c>
      <c r="J4163" s="25" t="s">
        <v>49</v>
      </c>
      <c r="K4163" s="26" t="s">
        <v>12614</v>
      </c>
      <c r="L4163" s="72">
        <v>-13213.0</v>
      </c>
      <c r="M4163" s="49"/>
      <c r="N4163" s="42"/>
      <c r="O4163" s="68"/>
      <c r="P4163" s="35" t="s">
        <v>16252</v>
      </c>
      <c r="Q4163" s="13" t="s">
        <v>75</v>
      </c>
      <c r="R4163" s="13" t="s">
        <v>75</v>
      </c>
      <c r="S4163" s="13" t="s">
        <v>75</v>
      </c>
      <c r="T4163" s="44">
        <v>45810.40767400463</v>
      </c>
      <c r="U4163" s="44">
        <v>45818.7284265625</v>
      </c>
      <c r="V4163" s="13"/>
      <c r="W4163" s="11"/>
      <c r="X4163" s="148">
        <v>46082.0</v>
      </c>
      <c r="Y4163" s="45"/>
      <c r="Z4163" s="45"/>
      <c r="AA4163" s="31"/>
      <c r="AB4163" s="45" t="s">
        <v>16259</v>
      </c>
      <c r="AC4163" s="45"/>
    </row>
    <row r="4164" ht="18.75" customHeight="1">
      <c r="A4164" s="18" t="s">
        <v>16260</v>
      </c>
      <c r="B4164" s="19" t="s">
        <v>5287</v>
      </c>
      <c r="C4164" s="20">
        <v>0.0</v>
      </c>
      <c r="D4164" s="48"/>
      <c r="E4164" s="27" t="s">
        <v>1595</v>
      </c>
      <c r="F4164" s="27" t="s">
        <v>33</v>
      </c>
      <c r="G4164" s="18" t="s">
        <v>35</v>
      </c>
      <c r="H4164" s="40" t="s">
        <v>35</v>
      </c>
      <c r="I4164" s="37" t="s">
        <v>984</v>
      </c>
      <c r="J4164" s="25" t="s">
        <v>49</v>
      </c>
      <c r="K4164" s="26" t="s">
        <v>12614</v>
      </c>
      <c r="L4164" s="72">
        <v>-13213.0</v>
      </c>
      <c r="M4164" s="49"/>
      <c r="N4164" s="42"/>
      <c r="O4164" s="68"/>
      <c r="P4164" s="35" t="s">
        <v>16252</v>
      </c>
      <c r="Q4164" s="13" t="s">
        <v>75</v>
      </c>
      <c r="R4164" s="13" t="s">
        <v>75</v>
      </c>
      <c r="S4164" s="13" t="s">
        <v>75</v>
      </c>
      <c r="T4164" s="44">
        <v>45810.40772231482</v>
      </c>
      <c r="U4164" s="44">
        <v>45818.72865797454</v>
      </c>
      <c r="V4164" s="13"/>
      <c r="W4164" s="11"/>
      <c r="X4164" s="148">
        <v>46082.0</v>
      </c>
      <c r="Y4164" s="45"/>
      <c r="Z4164" s="45"/>
      <c r="AA4164" s="31"/>
      <c r="AB4164" s="45" t="s">
        <v>16261</v>
      </c>
      <c r="AC4164" s="45"/>
    </row>
    <row r="4165" ht="18.75" customHeight="1">
      <c r="A4165" s="18" t="s">
        <v>16262</v>
      </c>
      <c r="B4165" s="19" t="s">
        <v>5287</v>
      </c>
      <c r="C4165" s="20">
        <v>0.0</v>
      </c>
      <c r="D4165" s="48"/>
      <c r="E4165" s="27" t="s">
        <v>1595</v>
      </c>
      <c r="F4165" s="27" t="s">
        <v>33</v>
      </c>
      <c r="G4165" s="18" t="s">
        <v>35</v>
      </c>
      <c r="H4165" s="40" t="s">
        <v>35</v>
      </c>
      <c r="I4165" s="37" t="s">
        <v>984</v>
      </c>
      <c r="J4165" s="25" t="s">
        <v>49</v>
      </c>
      <c r="K4165" s="26" t="s">
        <v>12614</v>
      </c>
      <c r="L4165" s="72">
        <v>-13213.0</v>
      </c>
      <c r="M4165" s="49"/>
      <c r="N4165" s="42"/>
      <c r="O4165" s="68"/>
      <c r="P4165" s="35" t="s">
        <v>16252</v>
      </c>
      <c r="Q4165" s="13" t="s">
        <v>75</v>
      </c>
      <c r="R4165" s="13" t="s">
        <v>75</v>
      </c>
      <c r="S4165" s="13" t="s">
        <v>75</v>
      </c>
      <c r="T4165" s="44">
        <v>45810.40779293982</v>
      </c>
      <c r="U4165" s="44">
        <v>45818.72877375</v>
      </c>
      <c r="V4165" s="13"/>
      <c r="W4165" s="11"/>
      <c r="X4165" s="148">
        <v>46082.0</v>
      </c>
      <c r="Y4165" s="45"/>
      <c r="Z4165" s="45"/>
      <c r="AA4165" s="31"/>
      <c r="AB4165" s="45" t="s">
        <v>16263</v>
      </c>
      <c r="AC4165" s="45"/>
    </row>
    <row r="4166" ht="18.75" customHeight="1">
      <c r="A4166" s="142" t="s">
        <v>16264</v>
      </c>
      <c r="B4166" s="19" t="s">
        <v>5630</v>
      </c>
      <c r="C4166" s="20">
        <v>90.0</v>
      </c>
      <c r="D4166" s="48" t="s">
        <v>16265</v>
      </c>
      <c r="E4166" s="27" t="s">
        <v>91</v>
      </c>
      <c r="F4166" s="27" t="s">
        <v>48</v>
      </c>
      <c r="G4166" s="18" t="s">
        <v>35</v>
      </c>
      <c r="H4166" s="40" t="s">
        <v>35</v>
      </c>
      <c r="I4166" s="37" t="s">
        <v>36</v>
      </c>
      <c r="J4166" s="25" t="s">
        <v>49</v>
      </c>
      <c r="K4166" s="26" t="s">
        <v>38</v>
      </c>
      <c r="L4166" s="25">
        <v>13164.0</v>
      </c>
      <c r="M4166" s="49" t="s">
        <v>50</v>
      </c>
      <c r="N4166" s="42" t="s">
        <v>5936</v>
      </c>
      <c r="O4166" s="67">
        <v>45810.67543791667</v>
      </c>
      <c r="P4166" s="35" t="s">
        <v>16266</v>
      </c>
      <c r="Q4166" s="13" t="s">
        <v>75</v>
      </c>
      <c r="R4166" s="13" t="s">
        <v>75</v>
      </c>
      <c r="S4166" s="13" t="s">
        <v>50</v>
      </c>
      <c r="T4166" s="44">
        <v>45810.408661203706</v>
      </c>
      <c r="U4166" s="44">
        <v>45810.49242174768</v>
      </c>
      <c r="V4166" s="44">
        <v>45810.54695927083</v>
      </c>
      <c r="W4166" s="11"/>
      <c r="X4166" s="11"/>
      <c r="Y4166" s="45">
        <v>302.0</v>
      </c>
      <c r="Z4166" s="45" t="s">
        <v>16267</v>
      </c>
      <c r="AA4166" s="31"/>
      <c r="AB4166" s="45" t="s">
        <v>16268</v>
      </c>
      <c r="AC4166" s="45"/>
    </row>
    <row r="4167" ht="18.75" customHeight="1">
      <c r="A4167" s="18" t="s">
        <v>16269</v>
      </c>
      <c r="B4167" s="19" t="s">
        <v>96</v>
      </c>
      <c r="C4167" s="20">
        <v>0.0</v>
      </c>
      <c r="D4167" s="48" t="s">
        <v>16270</v>
      </c>
      <c r="E4167" s="27" t="s">
        <v>408</v>
      </c>
      <c r="F4167" s="27" t="s">
        <v>33</v>
      </c>
      <c r="G4167" s="18" t="s">
        <v>34</v>
      </c>
      <c r="H4167" s="40" t="s">
        <v>35</v>
      </c>
      <c r="I4167" s="37" t="s">
        <v>36</v>
      </c>
      <c r="J4167" s="25" t="s">
        <v>49</v>
      </c>
      <c r="K4167" s="26" t="s">
        <v>38</v>
      </c>
      <c r="L4167" s="72">
        <v>13188.0</v>
      </c>
      <c r="M4167" s="49" t="s">
        <v>50</v>
      </c>
      <c r="N4167" s="42" t="s">
        <v>5936</v>
      </c>
      <c r="O4167" s="67">
        <v>45814.62669582176</v>
      </c>
      <c r="P4167" s="35" t="s">
        <v>16271</v>
      </c>
      <c r="Q4167" s="13" t="s">
        <v>75</v>
      </c>
      <c r="R4167" s="13" t="s">
        <v>75</v>
      </c>
      <c r="S4167" s="13" t="s">
        <v>50</v>
      </c>
      <c r="T4167" s="44">
        <v>45810.41675923611</v>
      </c>
      <c r="U4167" s="44">
        <v>45810.557733912035</v>
      </c>
      <c r="V4167" s="44">
        <v>45814.41674875</v>
      </c>
      <c r="W4167" s="11"/>
      <c r="X4167" s="11"/>
      <c r="Y4167" s="45">
        <v>302.0</v>
      </c>
      <c r="Z4167" s="45" t="s">
        <v>16272</v>
      </c>
      <c r="AA4167" s="31"/>
      <c r="AB4167" s="45" t="s">
        <v>16273</v>
      </c>
      <c r="AC4167" s="45"/>
    </row>
    <row r="4168" ht="18.75" customHeight="1">
      <c r="A4168" s="18" t="s">
        <v>16274</v>
      </c>
      <c r="B4168" s="19" t="s">
        <v>96</v>
      </c>
      <c r="C4168" s="20">
        <v>0.0</v>
      </c>
      <c r="D4168" s="48" t="s">
        <v>16275</v>
      </c>
      <c r="E4168" s="27" t="s">
        <v>268</v>
      </c>
      <c r="F4168" s="27" t="s">
        <v>33</v>
      </c>
      <c r="G4168" s="18" t="s">
        <v>34</v>
      </c>
      <c r="H4168" s="40" t="s">
        <v>35</v>
      </c>
      <c r="I4168" s="37" t="s">
        <v>36</v>
      </c>
      <c r="J4168" s="25" t="s">
        <v>49</v>
      </c>
      <c r="K4168" s="26" t="s">
        <v>38</v>
      </c>
      <c r="L4168" s="72">
        <v>13188.0</v>
      </c>
      <c r="M4168" s="49" t="s">
        <v>50</v>
      </c>
      <c r="N4168" s="42" t="s">
        <v>5936</v>
      </c>
      <c r="O4168" s="67">
        <v>45814.626741307875</v>
      </c>
      <c r="P4168" s="35" t="s">
        <v>16271</v>
      </c>
      <c r="Q4168" s="13" t="s">
        <v>75</v>
      </c>
      <c r="R4168" s="13" t="s">
        <v>75</v>
      </c>
      <c r="S4168" s="13" t="s">
        <v>50</v>
      </c>
      <c r="T4168" s="44">
        <v>45810.41699481482</v>
      </c>
      <c r="U4168" s="44">
        <v>45810.55768986111</v>
      </c>
      <c r="V4168" s="44">
        <v>45814.41674875</v>
      </c>
      <c r="W4168" s="11"/>
      <c r="X4168" s="11"/>
      <c r="Y4168" s="45">
        <v>302.0</v>
      </c>
      <c r="Z4168" s="45" t="s">
        <v>16276</v>
      </c>
      <c r="AA4168" s="31"/>
      <c r="AB4168" s="45" t="s">
        <v>16277</v>
      </c>
      <c r="AC4168" s="45"/>
    </row>
    <row r="4169" ht="18.75" customHeight="1">
      <c r="A4169" s="142" t="s">
        <v>16278</v>
      </c>
      <c r="B4169" s="19" t="s">
        <v>96</v>
      </c>
      <c r="C4169" s="20">
        <v>0.0</v>
      </c>
      <c r="D4169" s="48" t="s">
        <v>16279</v>
      </c>
      <c r="E4169" s="27" t="s">
        <v>491</v>
      </c>
      <c r="F4169" s="27" t="s">
        <v>33</v>
      </c>
      <c r="G4169" s="18" t="s">
        <v>34</v>
      </c>
      <c r="H4169" s="40" t="s">
        <v>35</v>
      </c>
      <c r="I4169" s="37" t="s">
        <v>36</v>
      </c>
      <c r="J4169" s="25" t="s">
        <v>49</v>
      </c>
      <c r="K4169" s="26" t="s">
        <v>38</v>
      </c>
      <c r="L4169" s="72">
        <v>13193.0</v>
      </c>
      <c r="M4169" s="49" t="s">
        <v>50</v>
      </c>
      <c r="N4169" s="42" t="s">
        <v>5936</v>
      </c>
      <c r="O4169" s="67">
        <v>45814.626611134256</v>
      </c>
      <c r="P4169" s="35" t="s">
        <v>16280</v>
      </c>
      <c r="Q4169" s="13" t="s">
        <v>75</v>
      </c>
      <c r="R4169" s="13" t="s">
        <v>75</v>
      </c>
      <c r="S4169" s="13" t="s">
        <v>50</v>
      </c>
      <c r="T4169" s="44">
        <v>45810.41863270833</v>
      </c>
      <c r="U4169" s="44">
        <v>45813.58360881945</v>
      </c>
      <c r="V4169" s="44">
        <v>45814.46154025463</v>
      </c>
      <c r="W4169" s="11"/>
      <c r="X4169" s="11"/>
      <c r="Y4169" s="45">
        <v>302.0</v>
      </c>
      <c r="Z4169" s="45" t="s">
        <v>16281</v>
      </c>
      <c r="AA4169" s="31"/>
      <c r="AB4169" s="45" t="s">
        <v>16282</v>
      </c>
      <c r="AC4169" s="45"/>
    </row>
    <row r="4170" ht="18.75" customHeight="1">
      <c r="A4170" s="142" t="s">
        <v>16283</v>
      </c>
      <c r="B4170" s="19" t="s">
        <v>16284</v>
      </c>
      <c r="C4170" s="20">
        <v>1.0</v>
      </c>
      <c r="D4170" s="48" t="s">
        <v>16285</v>
      </c>
      <c r="E4170" s="27" t="s">
        <v>3395</v>
      </c>
      <c r="F4170" s="27" t="s">
        <v>48</v>
      </c>
      <c r="G4170" s="18" t="s">
        <v>35</v>
      </c>
      <c r="H4170" s="40" t="s">
        <v>35</v>
      </c>
      <c r="I4170" s="37" t="s">
        <v>36</v>
      </c>
      <c r="J4170" s="25" t="s">
        <v>65</v>
      </c>
      <c r="K4170" s="26" t="s">
        <v>38</v>
      </c>
      <c r="L4170" s="72">
        <v>13173.0</v>
      </c>
      <c r="M4170" s="49" t="s">
        <v>50</v>
      </c>
      <c r="N4170" s="42" t="s">
        <v>14184</v>
      </c>
      <c r="O4170" s="67">
        <v>45811.67899829861</v>
      </c>
      <c r="P4170" s="35" t="s">
        <v>16286</v>
      </c>
      <c r="Q4170" s="13" t="s">
        <v>75</v>
      </c>
      <c r="R4170" s="13" t="s">
        <v>75</v>
      </c>
      <c r="S4170" s="13" t="s">
        <v>50</v>
      </c>
      <c r="T4170" s="44">
        <v>45810.657936331016</v>
      </c>
      <c r="U4170" s="44">
        <v>45811.440916770836</v>
      </c>
      <c r="V4170" s="44">
        <v>45811.485213935186</v>
      </c>
      <c r="W4170" s="11"/>
      <c r="X4170" s="11"/>
      <c r="Y4170" s="45">
        <v>302.0</v>
      </c>
      <c r="Z4170" s="45" t="s">
        <v>16287</v>
      </c>
      <c r="AA4170" s="31"/>
      <c r="AB4170" s="45" t="s">
        <v>16288</v>
      </c>
      <c r="AC4170" s="45"/>
    </row>
    <row r="4171" ht="18.75" customHeight="1">
      <c r="A4171" s="142" t="s">
        <v>16289</v>
      </c>
      <c r="B4171" s="19" t="s">
        <v>9750</v>
      </c>
      <c r="C4171" s="20">
        <v>27.0</v>
      </c>
      <c r="D4171" s="39" t="s">
        <v>16290</v>
      </c>
      <c r="E4171" s="27" t="s">
        <v>72</v>
      </c>
      <c r="F4171" s="27" t="s">
        <v>48</v>
      </c>
      <c r="G4171" s="18" t="s">
        <v>35</v>
      </c>
      <c r="H4171" s="40" t="s">
        <v>35</v>
      </c>
      <c r="I4171" s="37" t="s">
        <v>36</v>
      </c>
      <c r="J4171" s="25" t="s">
        <v>65</v>
      </c>
      <c r="K4171" s="26" t="s">
        <v>38</v>
      </c>
      <c r="L4171" s="72">
        <v>13167.0</v>
      </c>
      <c r="M4171" s="49" t="s">
        <v>50</v>
      </c>
      <c r="N4171" s="42" t="s">
        <v>14184</v>
      </c>
      <c r="O4171" s="67">
        <v>45811.67893741898</v>
      </c>
      <c r="P4171" s="35" t="s">
        <v>15829</v>
      </c>
      <c r="Q4171" s="13" t="s">
        <v>75</v>
      </c>
      <c r="R4171" s="13" t="s">
        <v>75</v>
      </c>
      <c r="S4171" s="13" t="s">
        <v>50</v>
      </c>
      <c r="T4171" s="44">
        <v>45810.67666690973</v>
      </c>
      <c r="U4171" s="44">
        <v>45811.37273778935</v>
      </c>
      <c r="V4171" s="44">
        <v>45811.37384403935</v>
      </c>
      <c r="W4171" s="11"/>
      <c r="X4171" s="11"/>
      <c r="Y4171" s="45">
        <v>302.0</v>
      </c>
      <c r="Z4171" s="45" t="s">
        <v>16291</v>
      </c>
      <c r="AA4171" s="31"/>
      <c r="AB4171" s="45" t="s">
        <v>16292</v>
      </c>
      <c r="AC4171" s="45"/>
    </row>
    <row r="4172" ht="18.75" customHeight="1">
      <c r="A4172" s="142" t="s">
        <v>16293</v>
      </c>
      <c r="B4172" s="19" t="s">
        <v>3289</v>
      </c>
      <c r="C4172" s="20">
        <v>0.0</v>
      </c>
      <c r="D4172" s="210" t="s">
        <v>16294</v>
      </c>
      <c r="E4172" s="22" t="s">
        <v>2167</v>
      </c>
      <c r="F4172" s="27" t="s">
        <v>33</v>
      </c>
      <c r="G4172" s="18" t="s">
        <v>35</v>
      </c>
      <c r="H4172" s="40" t="s">
        <v>35</v>
      </c>
      <c r="I4172" s="37" t="s">
        <v>36</v>
      </c>
      <c r="J4172" s="25" t="s">
        <v>92</v>
      </c>
      <c r="K4172" s="26" t="s">
        <v>38</v>
      </c>
      <c r="L4172" s="72">
        <v>13176.0</v>
      </c>
      <c r="M4172" s="49" t="s">
        <v>50</v>
      </c>
      <c r="N4172" s="42" t="s">
        <v>14029</v>
      </c>
      <c r="O4172" s="67">
        <v>45817.57690013888</v>
      </c>
      <c r="P4172" s="35" t="s">
        <v>16295</v>
      </c>
      <c r="Q4172" s="13" t="s">
        <v>75</v>
      </c>
      <c r="R4172" s="13" t="s">
        <v>75</v>
      </c>
      <c r="S4172" s="13" t="s">
        <v>73</v>
      </c>
      <c r="T4172" s="44">
        <v>45811.45106461806</v>
      </c>
      <c r="U4172" s="44">
        <v>45811.50630318287</v>
      </c>
      <c r="V4172" s="44">
        <v>45812.36177054398</v>
      </c>
      <c r="W4172" s="11"/>
      <c r="X4172" s="11"/>
      <c r="Y4172" s="45">
        <v>302.0</v>
      </c>
      <c r="Z4172" s="45" t="s">
        <v>16296</v>
      </c>
      <c r="AA4172" s="31"/>
      <c r="AB4172" s="45" t="s">
        <v>16297</v>
      </c>
      <c r="AC4172" s="45"/>
    </row>
    <row r="4173" ht="18.75" customHeight="1">
      <c r="A4173" s="142" t="s">
        <v>16298</v>
      </c>
      <c r="B4173" s="19" t="s">
        <v>1359</v>
      </c>
      <c r="C4173" s="20">
        <v>34.0</v>
      </c>
      <c r="D4173" s="211" t="s">
        <v>16299</v>
      </c>
      <c r="E4173" s="27" t="s">
        <v>47</v>
      </c>
      <c r="F4173" s="27" t="s">
        <v>48</v>
      </c>
      <c r="G4173" s="18" t="s">
        <v>35</v>
      </c>
      <c r="H4173" s="40" t="s">
        <v>35</v>
      </c>
      <c r="I4173" s="37" t="s">
        <v>36</v>
      </c>
      <c r="J4173" s="25" t="s">
        <v>420</v>
      </c>
      <c r="K4173" s="26" t="s">
        <v>38</v>
      </c>
      <c r="L4173" s="72">
        <v>13283.0</v>
      </c>
      <c r="M4173" s="49" t="s">
        <v>50</v>
      </c>
      <c r="N4173" s="42" t="s">
        <v>4031</v>
      </c>
      <c r="O4173" s="67">
        <v>45832.56495550926</v>
      </c>
      <c r="P4173" s="35" t="s">
        <v>16300</v>
      </c>
      <c r="Q4173" s="13" t="s">
        <v>75</v>
      </c>
      <c r="R4173" s="13" t="s">
        <v>75</v>
      </c>
      <c r="S4173" s="13" t="s">
        <v>50</v>
      </c>
      <c r="T4173" s="44">
        <v>45813.41179287037</v>
      </c>
      <c r="U4173" s="44">
        <v>45832.47549196759</v>
      </c>
      <c r="V4173" s="44">
        <v>45832.489164363426</v>
      </c>
      <c r="W4173" s="11"/>
      <c r="X4173" s="11"/>
      <c r="Y4173" s="45">
        <v>302.0</v>
      </c>
      <c r="Z4173" s="45" t="s">
        <v>16301</v>
      </c>
      <c r="AA4173" s="31"/>
      <c r="AB4173" s="45" t="s">
        <v>16302</v>
      </c>
      <c r="AC4173" s="45"/>
    </row>
    <row r="4174" ht="18.75" customHeight="1">
      <c r="A4174" s="142" t="s">
        <v>16303</v>
      </c>
      <c r="B4174" s="19" t="s">
        <v>1359</v>
      </c>
      <c r="C4174" s="20">
        <v>11.0</v>
      </c>
      <c r="D4174" s="210" t="s">
        <v>16304</v>
      </c>
      <c r="E4174" s="27" t="s">
        <v>112</v>
      </c>
      <c r="F4174" s="27" t="s">
        <v>48</v>
      </c>
      <c r="G4174" s="18" t="s">
        <v>35</v>
      </c>
      <c r="H4174" s="40" t="s">
        <v>35</v>
      </c>
      <c r="I4174" s="37" t="s">
        <v>36</v>
      </c>
      <c r="J4174" s="25" t="s">
        <v>420</v>
      </c>
      <c r="K4174" s="26" t="s">
        <v>38</v>
      </c>
      <c r="L4174" s="72">
        <v>13177.0</v>
      </c>
      <c r="M4174" s="49" t="s">
        <v>50</v>
      </c>
      <c r="N4174" s="42" t="s">
        <v>4031</v>
      </c>
      <c r="O4174" s="67">
        <v>45813.56185105324</v>
      </c>
      <c r="P4174" s="35" t="s">
        <v>16305</v>
      </c>
      <c r="Q4174" s="13" t="s">
        <v>75</v>
      </c>
      <c r="R4174" s="13" t="s">
        <v>75</v>
      </c>
      <c r="S4174" s="13" t="s">
        <v>50</v>
      </c>
      <c r="T4174" s="44">
        <v>45812.368567129626</v>
      </c>
      <c r="U4174" s="44">
        <v>45812.51103666666</v>
      </c>
      <c r="V4174" s="44">
        <v>45812.69337784722</v>
      </c>
      <c r="W4174" s="11"/>
      <c r="X4174" s="11"/>
      <c r="Y4174" s="45">
        <v>302.0</v>
      </c>
      <c r="Z4174" s="45" t="s">
        <v>16306</v>
      </c>
      <c r="AA4174" s="31"/>
      <c r="AB4174" s="45" t="s">
        <v>16307</v>
      </c>
      <c r="AC4174" s="45"/>
    </row>
    <row r="4175" ht="18.75" customHeight="1">
      <c r="A4175" s="18" t="s">
        <v>16308</v>
      </c>
      <c r="B4175" s="19" t="s">
        <v>7490</v>
      </c>
      <c r="C4175" s="20">
        <v>0.0</v>
      </c>
      <c r="D4175" s="210" t="s">
        <v>1646</v>
      </c>
      <c r="E4175" s="27" t="s">
        <v>13303</v>
      </c>
      <c r="F4175" s="27" t="s">
        <v>48</v>
      </c>
      <c r="G4175" s="18" t="s">
        <v>35</v>
      </c>
      <c r="H4175" s="40" t="s">
        <v>35</v>
      </c>
      <c r="I4175" s="37" t="s">
        <v>36</v>
      </c>
      <c r="J4175" s="25" t="s">
        <v>92</v>
      </c>
      <c r="K4175" s="26" t="s">
        <v>38</v>
      </c>
      <c r="L4175" s="72">
        <v>13206.0</v>
      </c>
      <c r="M4175" s="49" t="s">
        <v>73</v>
      </c>
      <c r="N4175" s="42" t="s">
        <v>6840</v>
      </c>
      <c r="O4175" s="67">
        <v>45834.64747571759</v>
      </c>
      <c r="P4175" s="35" t="s">
        <v>16309</v>
      </c>
      <c r="Q4175" s="13" t="s">
        <v>75</v>
      </c>
      <c r="R4175" s="13" t="s">
        <v>75</v>
      </c>
      <c r="S4175" s="13" t="s">
        <v>9620</v>
      </c>
      <c r="T4175" s="44">
        <v>45812.3936921875</v>
      </c>
      <c r="U4175" s="44">
        <v>45812.507210763884</v>
      </c>
      <c r="V4175" s="44">
        <v>45817.4404493287</v>
      </c>
      <c r="W4175" s="11"/>
      <c r="X4175" s="11"/>
      <c r="Y4175" s="45"/>
      <c r="Z4175" s="45" t="s">
        <v>16310</v>
      </c>
      <c r="AA4175" s="31"/>
      <c r="AB4175" s="45" t="s">
        <v>16311</v>
      </c>
      <c r="AC4175" s="45"/>
    </row>
    <row r="4176" ht="18.75" customHeight="1">
      <c r="A4176" s="18" t="s">
        <v>16312</v>
      </c>
      <c r="B4176" s="19" t="s">
        <v>7490</v>
      </c>
      <c r="C4176" s="20">
        <v>0.0</v>
      </c>
      <c r="D4176" s="212" t="s">
        <v>16313</v>
      </c>
      <c r="E4176" s="27" t="s">
        <v>13303</v>
      </c>
      <c r="F4176" s="27" t="s">
        <v>48</v>
      </c>
      <c r="G4176" s="18" t="s">
        <v>35</v>
      </c>
      <c r="H4176" s="40" t="s">
        <v>35</v>
      </c>
      <c r="I4176" s="37" t="s">
        <v>36</v>
      </c>
      <c r="J4176" s="25" t="s">
        <v>92</v>
      </c>
      <c r="K4176" s="26" t="s">
        <v>38</v>
      </c>
      <c r="L4176" s="72">
        <v>13206.0</v>
      </c>
      <c r="M4176" s="49" t="s">
        <v>73</v>
      </c>
      <c r="N4176" s="42" t="s">
        <v>6840</v>
      </c>
      <c r="O4176" s="67">
        <v>45834.64754513889</v>
      </c>
      <c r="P4176" s="35" t="s">
        <v>16309</v>
      </c>
      <c r="Q4176" s="13" t="s">
        <v>75</v>
      </c>
      <c r="R4176" s="13" t="s">
        <v>75</v>
      </c>
      <c r="S4176" s="13" t="s">
        <v>9620</v>
      </c>
      <c r="T4176" s="44">
        <v>45812.393753888886</v>
      </c>
      <c r="U4176" s="44">
        <v>45812.50724839121</v>
      </c>
      <c r="V4176" s="44">
        <v>45817.62656244213</v>
      </c>
      <c r="W4176" s="11"/>
      <c r="X4176" s="11"/>
      <c r="Y4176" s="45">
        <v>302.0</v>
      </c>
      <c r="Z4176" s="45" t="s">
        <v>16314</v>
      </c>
      <c r="AA4176" s="31"/>
      <c r="AB4176" s="45" t="s">
        <v>16315</v>
      </c>
      <c r="AC4176" s="45"/>
    </row>
    <row r="4177" ht="18.75" customHeight="1">
      <c r="A4177" s="142" t="s">
        <v>16316</v>
      </c>
      <c r="B4177" s="19" t="s">
        <v>5346</v>
      </c>
      <c r="C4177" s="20">
        <v>11.0</v>
      </c>
      <c r="D4177" s="210" t="s">
        <v>16317</v>
      </c>
      <c r="E4177" s="27" t="s">
        <v>112</v>
      </c>
      <c r="F4177" s="27" t="s">
        <v>48</v>
      </c>
      <c r="G4177" s="18" t="s">
        <v>35</v>
      </c>
      <c r="H4177" s="40" t="s">
        <v>35</v>
      </c>
      <c r="I4177" s="37" t="s">
        <v>36</v>
      </c>
      <c r="J4177" s="25" t="s">
        <v>49</v>
      </c>
      <c r="K4177" s="26" t="s">
        <v>38</v>
      </c>
      <c r="L4177" s="72">
        <v>13187.0</v>
      </c>
      <c r="M4177" s="49" t="s">
        <v>50</v>
      </c>
      <c r="N4177" s="42" t="s">
        <v>5936</v>
      </c>
      <c r="O4177" s="67">
        <v>45814.62655233796</v>
      </c>
      <c r="P4177" s="35" t="s">
        <v>16318</v>
      </c>
      <c r="Q4177" s="13" t="s">
        <v>75</v>
      </c>
      <c r="R4177" s="13" t="s">
        <v>75</v>
      </c>
      <c r="S4177" s="13" t="s">
        <v>50</v>
      </c>
      <c r="T4177" s="44">
        <v>45812.55543076389</v>
      </c>
      <c r="U4177" s="44">
        <v>45813.71817222222</v>
      </c>
      <c r="V4177" s="44">
        <v>45814.377015509264</v>
      </c>
      <c r="W4177" s="11"/>
      <c r="X4177" s="11"/>
      <c r="Y4177" s="45">
        <v>302.0</v>
      </c>
      <c r="Z4177" s="45" t="s">
        <v>16319</v>
      </c>
      <c r="AA4177" s="31"/>
      <c r="AB4177" s="45" t="s">
        <v>16320</v>
      </c>
      <c r="AC4177" s="45"/>
    </row>
    <row r="4178" ht="18.75" customHeight="1">
      <c r="A4178" s="18" t="s">
        <v>16321</v>
      </c>
      <c r="B4178" s="19" t="s">
        <v>746</v>
      </c>
      <c r="C4178" s="20">
        <v>0.0</v>
      </c>
      <c r="D4178" s="210" t="s">
        <v>16322</v>
      </c>
      <c r="E4178" s="27" t="s">
        <v>4430</v>
      </c>
      <c r="F4178" s="27" t="s">
        <v>48</v>
      </c>
      <c r="G4178" s="18" t="s">
        <v>35</v>
      </c>
      <c r="H4178" s="40" t="s">
        <v>35</v>
      </c>
      <c r="I4178" s="37" t="s">
        <v>36</v>
      </c>
      <c r="J4178" s="25" t="s">
        <v>65</v>
      </c>
      <c r="K4178" s="26" t="s">
        <v>38</v>
      </c>
      <c r="L4178" s="72">
        <v>13191.0</v>
      </c>
      <c r="M4178" s="49" t="s">
        <v>50</v>
      </c>
      <c r="N4178" s="42" t="s">
        <v>3461</v>
      </c>
      <c r="O4178" s="67">
        <v>45814.66700261574</v>
      </c>
      <c r="P4178" s="35" t="s">
        <v>16323</v>
      </c>
      <c r="Q4178" s="13" t="s">
        <v>75</v>
      </c>
      <c r="R4178" s="13" t="s">
        <v>75</v>
      </c>
      <c r="S4178" s="13" t="s">
        <v>50</v>
      </c>
      <c r="T4178" s="44">
        <v>45812.59322570602</v>
      </c>
      <c r="U4178" s="44">
        <v>45813.703588958335</v>
      </c>
      <c r="V4178" s="44">
        <v>45814.461829293985</v>
      </c>
      <c r="W4178" s="11"/>
      <c r="X4178" s="11"/>
      <c r="Y4178" s="45">
        <v>302.0</v>
      </c>
      <c r="Z4178" s="45" t="s">
        <v>16324</v>
      </c>
      <c r="AA4178" s="31"/>
      <c r="AB4178" s="45" t="s">
        <v>16325</v>
      </c>
      <c r="AC4178" s="45"/>
    </row>
    <row r="4179" ht="18.75" customHeight="1">
      <c r="A4179" s="18" t="s">
        <v>16326</v>
      </c>
      <c r="B4179" s="19" t="s">
        <v>746</v>
      </c>
      <c r="C4179" s="20">
        <v>0.0</v>
      </c>
      <c r="D4179" s="210" t="s">
        <v>16327</v>
      </c>
      <c r="E4179" s="27" t="s">
        <v>3441</v>
      </c>
      <c r="F4179" s="27" t="s">
        <v>48</v>
      </c>
      <c r="G4179" s="18" t="s">
        <v>35</v>
      </c>
      <c r="H4179" s="40" t="s">
        <v>35</v>
      </c>
      <c r="I4179" s="37" t="s">
        <v>36</v>
      </c>
      <c r="J4179" s="25" t="s">
        <v>65</v>
      </c>
      <c r="K4179" s="26" t="s">
        <v>38</v>
      </c>
      <c r="L4179" s="72">
        <v>13191.0</v>
      </c>
      <c r="M4179" s="49" t="s">
        <v>50</v>
      </c>
      <c r="N4179" s="42" t="s">
        <v>3461</v>
      </c>
      <c r="O4179" s="67">
        <v>45814.666883530095</v>
      </c>
      <c r="P4179" s="35" t="s">
        <v>16323</v>
      </c>
      <c r="Q4179" s="13" t="s">
        <v>75</v>
      </c>
      <c r="R4179" s="13" t="s">
        <v>75</v>
      </c>
      <c r="S4179" s="13" t="s">
        <v>50</v>
      </c>
      <c r="T4179" s="44">
        <v>45812.59386633102</v>
      </c>
      <c r="U4179" s="44">
        <v>45813.703618217594</v>
      </c>
      <c r="V4179" s="44">
        <v>45814.377204375</v>
      </c>
      <c r="W4179" s="11"/>
      <c r="X4179" s="11"/>
      <c r="Y4179" s="45">
        <v>302.0</v>
      </c>
      <c r="Z4179" s="45" t="s">
        <v>16328</v>
      </c>
      <c r="AA4179" s="31"/>
      <c r="AB4179" s="45" t="s">
        <v>16329</v>
      </c>
      <c r="AC4179" s="45"/>
    </row>
    <row r="4180" ht="18.75" customHeight="1">
      <c r="A4180" s="142" t="s">
        <v>16330</v>
      </c>
      <c r="B4180" s="19" t="s">
        <v>5469</v>
      </c>
      <c r="C4180" s="20">
        <v>0.0</v>
      </c>
      <c r="D4180" s="210" t="s">
        <v>16331</v>
      </c>
      <c r="E4180" s="27" t="s">
        <v>11957</v>
      </c>
      <c r="F4180" s="27" t="s">
        <v>48</v>
      </c>
      <c r="G4180" s="18" t="s">
        <v>35</v>
      </c>
      <c r="H4180" s="40" t="s">
        <v>35</v>
      </c>
      <c r="I4180" s="37" t="s">
        <v>36</v>
      </c>
      <c r="J4180" s="25" t="s">
        <v>49</v>
      </c>
      <c r="K4180" s="26" t="s">
        <v>38</v>
      </c>
      <c r="L4180" s="72">
        <v>13243.0</v>
      </c>
      <c r="M4180" s="49" t="s">
        <v>50</v>
      </c>
      <c r="N4180" s="42" t="s">
        <v>5936</v>
      </c>
      <c r="O4180" s="67">
        <v>45824.673765659725</v>
      </c>
      <c r="P4180" s="35" t="s">
        <v>15666</v>
      </c>
      <c r="Q4180" s="13" t="s">
        <v>75</v>
      </c>
      <c r="R4180" s="13" t="s">
        <v>75</v>
      </c>
      <c r="S4180" s="13" t="s">
        <v>50</v>
      </c>
      <c r="T4180" s="44">
        <v>45813.40365709491</v>
      </c>
      <c r="U4180" s="44">
        <v>45813.583009814814</v>
      </c>
      <c r="V4180" s="44">
        <v>45824.39070949074</v>
      </c>
      <c r="W4180" s="11"/>
      <c r="X4180" s="11"/>
      <c r="Y4180" s="45">
        <v>302.0</v>
      </c>
      <c r="Z4180" s="45" t="s">
        <v>16332</v>
      </c>
      <c r="AA4180" s="31"/>
      <c r="AB4180" s="45" t="s">
        <v>16333</v>
      </c>
      <c r="AC4180" s="45"/>
    </row>
    <row r="4181" ht="18.75" customHeight="1">
      <c r="A4181" s="142" t="s">
        <v>16334</v>
      </c>
      <c r="B4181" s="19" t="s">
        <v>9895</v>
      </c>
      <c r="C4181" s="20">
        <v>34.0</v>
      </c>
      <c r="D4181" s="210" t="s">
        <v>16335</v>
      </c>
      <c r="E4181" s="27" t="s">
        <v>47</v>
      </c>
      <c r="F4181" s="27" t="s">
        <v>48</v>
      </c>
      <c r="G4181" s="18" t="s">
        <v>35</v>
      </c>
      <c r="H4181" s="40" t="s">
        <v>35</v>
      </c>
      <c r="I4181" s="37" t="s">
        <v>36</v>
      </c>
      <c r="J4181" s="25" t="s">
        <v>49</v>
      </c>
      <c r="K4181" s="26" t="s">
        <v>38</v>
      </c>
      <c r="L4181" s="72">
        <v>13185.0</v>
      </c>
      <c r="M4181" s="49" t="s">
        <v>50</v>
      </c>
      <c r="N4181" s="42" t="s">
        <v>5936</v>
      </c>
      <c r="O4181" s="67">
        <v>45813.666945833334</v>
      </c>
      <c r="P4181" s="35" t="s">
        <v>16336</v>
      </c>
      <c r="Q4181" s="13" t="s">
        <v>75</v>
      </c>
      <c r="R4181" s="13" t="s">
        <v>75</v>
      </c>
      <c r="S4181" s="13" t="s">
        <v>50</v>
      </c>
      <c r="T4181" s="44">
        <v>45813.499000497686</v>
      </c>
      <c r="U4181" s="44">
        <v>45813.58110460648</v>
      </c>
      <c r="V4181" s="44">
        <v>45813.598106481484</v>
      </c>
      <c r="W4181" s="11"/>
      <c r="X4181" s="11"/>
      <c r="Y4181" s="45">
        <v>302.0</v>
      </c>
      <c r="Z4181" s="45" t="s">
        <v>16337</v>
      </c>
      <c r="AA4181" s="31"/>
      <c r="AB4181" s="45" t="s">
        <v>16338</v>
      </c>
      <c r="AC4181" s="45"/>
    </row>
    <row r="4182" ht="18.75" customHeight="1">
      <c r="A4182" s="142" t="s">
        <v>16339</v>
      </c>
      <c r="B4182" s="19" t="s">
        <v>6153</v>
      </c>
      <c r="C4182" s="20">
        <v>90.0</v>
      </c>
      <c r="D4182" s="210" t="s">
        <v>16340</v>
      </c>
      <c r="E4182" s="27" t="s">
        <v>91</v>
      </c>
      <c r="F4182" s="27" t="s">
        <v>48</v>
      </c>
      <c r="G4182" s="18" t="s">
        <v>35</v>
      </c>
      <c r="H4182" s="40" t="s">
        <v>35</v>
      </c>
      <c r="I4182" s="37" t="s">
        <v>36</v>
      </c>
      <c r="J4182" s="25" t="s">
        <v>420</v>
      </c>
      <c r="K4182" s="26" t="s">
        <v>38</v>
      </c>
      <c r="L4182" s="72">
        <v>13192.0</v>
      </c>
      <c r="M4182" s="49" t="s">
        <v>50</v>
      </c>
      <c r="N4182" s="42" t="s">
        <v>4031</v>
      </c>
      <c r="O4182" s="67">
        <v>45814.666705497686</v>
      </c>
      <c r="P4182" s="35" t="s">
        <v>16341</v>
      </c>
      <c r="Q4182" s="13" t="s">
        <v>75</v>
      </c>
      <c r="R4182" s="13" t="s">
        <v>75</v>
      </c>
      <c r="S4182" s="13" t="s">
        <v>50</v>
      </c>
      <c r="T4182" s="44">
        <v>45817.61970436343</v>
      </c>
      <c r="U4182" s="44">
        <v>45817.62473144676</v>
      </c>
      <c r="V4182" s="44">
        <v>45817.62689586806</v>
      </c>
      <c r="W4182" s="11"/>
      <c r="X4182" s="11"/>
      <c r="Y4182" s="45">
        <v>302.0</v>
      </c>
      <c r="Z4182" s="45" t="s">
        <v>16342</v>
      </c>
      <c r="AA4182" s="31"/>
      <c r="AB4182" s="45" t="s">
        <v>16343</v>
      </c>
      <c r="AC4182" s="45"/>
    </row>
    <row r="4183" ht="18.75" customHeight="1">
      <c r="A4183" s="142" t="s">
        <v>16344</v>
      </c>
      <c r="B4183" s="19" t="s">
        <v>63</v>
      </c>
      <c r="C4183" s="20">
        <v>11.0</v>
      </c>
      <c r="D4183" s="211" t="s">
        <v>16345</v>
      </c>
      <c r="E4183" s="27" t="s">
        <v>112</v>
      </c>
      <c r="F4183" s="27" t="s">
        <v>48</v>
      </c>
      <c r="G4183" s="18" t="s">
        <v>35</v>
      </c>
      <c r="H4183" s="40" t="s">
        <v>35</v>
      </c>
      <c r="I4183" s="37" t="s">
        <v>36</v>
      </c>
      <c r="J4183" s="25" t="s">
        <v>49</v>
      </c>
      <c r="K4183" s="26" t="s">
        <v>38</v>
      </c>
      <c r="L4183" s="72">
        <v>13199.0</v>
      </c>
      <c r="M4183" s="49" t="s">
        <v>50</v>
      </c>
      <c r="N4183" s="42" t="s">
        <v>143</v>
      </c>
      <c r="O4183" s="67">
        <v>45818.5911690162</v>
      </c>
      <c r="P4183" s="35" t="s">
        <v>15666</v>
      </c>
      <c r="Q4183" s="13" t="s">
        <v>75</v>
      </c>
      <c r="R4183" s="13" t="s">
        <v>75</v>
      </c>
      <c r="S4183" s="13" t="s">
        <v>50</v>
      </c>
      <c r="T4183" s="44">
        <v>45814.381838125</v>
      </c>
      <c r="U4183" s="44">
        <v>45818.37314855324</v>
      </c>
      <c r="V4183" s="44">
        <v>45818.37466289352</v>
      </c>
      <c r="W4183" s="11"/>
      <c r="X4183" s="11"/>
      <c r="Y4183" s="45">
        <v>302.0</v>
      </c>
      <c r="Z4183" s="45" t="s">
        <v>16346</v>
      </c>
      <c r="AA4183" s="31"/>
      <c r="AB4183" s="45" t="s">
        <v>16347</v>
      </c>
      <c r="AC4183" s="45"/>
    </row>
    <row r="4184" ht="18.75" customHeight="1">
      <c r="A4184" s="142" t="s">
        <v>16348</v>
      </c>
      <c r="B4184" s="19" t="s">
        <v>8426</v>
      </c>
      <c r="C4184" s="20">
        <v>0.0</v>
      </c>
      <c r="D4184" s="210" t="s">
        <v>16349</v>
      </c>
      <c r="E4184" s="27" t="s">
        <v>408</v>
      </c>
      <c r="F4184" s="27" t="s">
        <v>33</v>
      </c>
      <c r="G4184" s="18" t="s">
        <v>34</v>
      </c>
      <c r="H4184" s="40" t="s">
        <v>35</v>
      </c>
      <c r="I4184" s="37" t="s">
        <v>36</v>
      </c>
      <c r="J4184" s="25" t="s">
        <v>49</v>
      </c>
      <c r="K4184" s="26" t="s">
        <v>38</v>
      </c>
      <c r="L4184" s="72">
        <v>13224.0</v>
      </c>
      <c r="M4184" s="49" t="s">
        <v>50</v>
      </c>
      <c r="N4184" s="42" t="s">
        <v>143</v>
      </c>
      <c r="O4184" s="67">
        <v>45819.65078895833</v>
      </c>
      <c r="P4184" s="35" t="s">
        <v>16350</v>
      </c>
      <c r="Q4184" s="13" t="s">
        <v>75</v>
      </c>
      <c r="R4184" s="13" t="s">
        <v>75</v>
      </c>
      <c r="S4184" s="13" t="s">
        <v>9620</v>
      </c>
      <c r="T4184" s="44">
        <v>45814.65275359954</v>
      </c>
      <c r="U4184" s="44">
        <v>45814.69444090278</v>
      </c>
      <c r="V4184" s="44">
        <v>45818.66089329861</v>
      </c>
      <c r="W4184" s="11"/>
      <c r="X4184" s="11"/>
      <c r="Y4184" s="207">
        <v>302.0</v>
      </c>
      <c r="Z4184" s="45" t="s">
        <v>16351</v>
      </c>
      <c r="AA4184" s="31"/>
      <c r="AB4184" s="45" t="s">
        <v>16352</v>
      </c>
      <c r="AC4184" s="45"/>
    </row>
    <row r="4185" ht="18.75" customHeight="1">
      <c r="A4185" s="142" t="s">
        <v>16353</v>
      </c>
      <c r="B4185" s="19" t="s">
        <v>725</v>
      </c>
      <c r="C4185" s="20">
        <v>0.0</v>
      </c>
      <c r="D4185" s="210" t="s">
        <v>16354</v>
      </c>
      <c r="E4185" s="27" t="s">
        <v>11957</v>
      </c>
      <c r="F4185" s="27" t="s">
        <v>48</v>
      </c>
      <c r="G4185" s="18" t="s">
        <v>35</v>
      </c>
      <c r="H4185" s="40" t="s">
        <v>35</v>
      </c>
      <c r="I4185" s="37" t="s">
        <v>36</v>
      </c>
      <c r="J4185" s="25" t="s">
        <v>49</v>
      </c>
      <c r="K4185" s="26" t="s">
        <v>38</v>
      </c>
      <c r="L4185" s="72">
        <v>13240.0</v>
      </c>
      <c r="M4185" s="49" t="s">
        <v>50</v>
      </c>
      <c r="N4185" s="42" t="s">
        <v>5936</v>
      </c>
      <c r="O4185" s="67">
        <v>45821.70277777778</v>
      </c>
      <c r="P4185" s="35" t="s">
        <v>16355</v>
      </c>
      <c r="Q4185" s="13" t="s">
        <v>75</v>
      </c>
      <c r="R4185" s="13" t="s">
        <v>75</v>
      </c>
      <c r="S4185" s="13" t="s">
        <v>9620</v>
      </c>
      <c r="T4185" s="44">
        <v>45814.65679623843</v>
      </c>
      <c r="U4185" s="44">
        <v>45814.69508282407</v>
      </c>
      <c r="V4185" s="44">
        <v>45820.71876376157</v>
      </c>
      <c r="W4185" s="11"/>
      <c r="X4185" s="11"/>
      <c r="Y4185" s="45"/>
      <c r="Z4185" s="45"/>
      <c r="AA4185" s="31"/>
      <c r="AB4185" s="45" t="s">
        <v>16356</v>
      </c>
      <c r="AC4185" s="45"/>
    </row>
    <row r="4186" ht="18.75" customHeight="1">
      <c r="A4186" s="142" t="s">
        <v>16357</v>
      </c>
      <c r="B4186" s="19" t="s">
        <v>96</v>
      </c>
      <c r="C4186" s="20">
        <v>0.0</v>
      </c>
      <c r="D4186" s="210" t="s">
        <v>16358</v>
      </c>
      <c r="E4186" s="22" t="s">
        <v>98</v>
      </c>
      <c r="F4186" s="27" t="s">
        <v>33</v>
      </c>
      <c r="G4186" s="18" t="s">
        <v>35</v>
      </c>
      <c r="H4186" s="40" t="s">
        <v>35</v>
      </c>
      <c r="I4186" s="37" t="s">
        <v>36</v>
      </c>
      <c r="J4186" s="25" t="s">
        <v>49</v>
      </c>
      <c r="K4186" s="26" t="s">
        <v>38</v>
      </c>
      <c r="L4186" s="72">
        <v>13196.0</v>
      </c>
      <c r="M4186" s="49" t="s">
        <v>50</v>
      </c>
      <c r="N4186" s="42" t="s">
        <v>9953</v>
      </c>
      <c r="O4186" s="67">
        <v>45817.591190983796</v>
      </c>
      <c r="P4186" s="35" t="s">
        <v>16359</v>
      </c>
      <c r="Q4186" s="13" t="s">
        <v>75</v>
      </c>
      <c r="R4186" s="13" t="s">
        <v>75</v>
      </c>
      <c r="S4186" s="13" t="s">
        <v>101</v>
      </c>
      <c r="T4186" s="44">
        <v>45814.66564707176</v>
      </c>
      <c r="U4186" s="44">
        <v>45814.72501915509</v>
      </c>
      <c r="V4186" s="44">
        <v>45817.437467118056</v>
      </c>
      <c r="W4186" s="11"/>
      <c r="X4186" s="11"/>
      <c r="Y4186" s="45">
        <v>302.0</v>
      </c>
      <c r="Z4186" s="45" t="s">
        <v>16360</v>
      </c>
      <c r="AA4186" s="31"/>
      <c r="AB4186" s="45" t="s">
        <v>16361</v>
      </c>
      <c r="AC4186" s="45"/>
    </row>
    <row r="4187" ht="18.75" customHeight="1">
      <c r="A4187" s="142" t="s">
        <v>16362</v>
      </c>
      <c r="B4187" s="19" t="s">
        <v>16363</v>
      </c>
      <c r="C4187" s="20">
        <v>34.0</v>
      </c>
      <c r="D4187" s="211" t="s">
        <v>16364</v>
      </c>
      <c r="E4187" s="27" t="s">
        <v>47</v>
      </c>
      <c r="F4187" s="27" t="s">
        <v>48</v>
      </c>
      <c r="G4187" s="18" t="s">
        <v>35</v>
      </c>
      <c r="H4187" s="40" t="s">
        <v>35</v>
      </c>
      <c r="I4187" s="37" t="s">
        <v>36</v>
      </c>
      <c r="J4187" s="25" t="s">
        <v>49</v>
      </c>
      <c r="K4187" s="26" t="s">
        <v>447</v>
      </c>
      <c r="L4187" s="72">
        <v>13205.0</v>
      </c>
      <c r="M4187" s="49" t="s">
        <v>50</v>
      </c>
      <c r="N4187" s="42" t="s">
        <v>143</v>
      </c>
      <c r="O4187" s="67">
        <v>45818.59101422454</v>
      </c>
      <c r="P4187" s="35" t="s">
        <v>16365</v>
      </c>
      <c r="Q4187" s="13" t="s">
        <v>75</v>
      </c>
      <c r="R4187" s="13" t="s">
        <v>75</v>
      </c>
      <c r="S4187" s="13" t="s">
        <v>50</v>
      </c>
      <c r="T4187" s="44">
        <v>45817.71849695602</v>
      </c>
      <c r="U4187" s="44">
        <v>45817.72668126157</v>
      </c>
      <c r="V4187" s="44">
        <v>45818.35753519676</v>
      </c>
      <c r="W4187" s="11"/>
      <c r="X4187" s="11"/>
      <c r="Y4187" s="45">
        <v>302.0</v>
      </c>
      <c r="Z4187" s="45" t="s">
        <v>16366</v>
      </c>
      <c r="AA4187" s="31"/>
      <c r="AB4187" s="45" t="s">
        <v>16367</v>
      </c>
      <c r="AC4187" s="45"/>
    </row>
    <row r="4188" ht="18.75" customHeight="1">
      <c r="A4188" s="18" t="s">
        <v>16368</v>
      </c>
      <c r="B4188" s="19" t="s">
        <v>16369</v>
      </c>
      <c r="C4188" s="20">
        <v>0.0</v>
      </c>
      <c r="D4188" s="210" t="s">
        <v>16370</v>
      </c>
      <c r="E4188" s="27" t="s">
        <v>3834</v>
      </c>
      <c r="F4188" s="27" t="s">
        <v>33</v>
      </c>
      <c r="G4188" s="18" t="s">
        <v>34</v>
      </c>
      <c r="H4188" s="40" t="s">
        <v>35</v>
      </c>
      <c r="I4188" s="37" t="s">
        <v>36</v>
      </c>
      <c r="J4188" s="25" t="s">
        <v>49</v>
      </c>
      <c r="K4188" s="26" t="s">
        <v>16371</v>
      </c>
      <c r="L4188" s="72">
        <v>13225.0</v>
      </c>
      <c r="M4188" s="49" t="s">
        <v>50</v>
      </c>
      <c r="N4188" s="42" t="s">
        <v>143</v>
      </c>
      <c r="O4188" s="67">
        <v>45819.650889791665</v>
      </c>
      <c r="P4188" s="35" t="s">
        <v>16372</v>
      </c>
      <c r="Q4188" s="13" t="s">
        <v>75</v>
      </c>
      <c r="R4188" s="13" t="s">
        <v>75</v>
      </c>
      <c r="S4188" s="13" t="s">
        <v>50</v>
      </c>
      <c r="T4188" s="44">
        <v>45814.68588618055</v>
      </c>
      <c r="U4188" s="44">
        <v>45814.68855195602</v>
      </c>
      <c r="V4188" s="44">
        <v>45819.42319936343</v>
      </c>
      <c r="W4188" s="11"/>
      <c r="X4188" s="11"/>
      <c r="Y4188" s="45">
        <v>302.0</v>
      </c>
      <c r="Z4188" s="45" t="s">
        <v>16373</v>
      </c>
      <c r="AA4188" s="31"/>
      <c r="AB4188" s="45" t="s">
        <v>16374</v>
      </c>
      <c r="AC4188" s="45"/>
    </row>
    <row r="4189" ht="18.75" customHeight="1">
      <c r="A4189" s="18" t="s">
        <v>16375</v>
      </c>
      <c r="B4189" s="19" t="s">
        <v>16369</v>
      </c>
      <c r="C4189" s="20">
        <v>0.0</v>
      </c>
      <c r="D4189" s="210" t="s">
        <v>16376</v>
      </c>
      <c r="E4189" s="27" t="s">
        <v>3834</v>
      </c>
      <c r="F4189" s="27" t="s">
        <v>33</v>
      </c>
      <c r="G4189" s="18" t="s">
        <v>34</v>
      </c>
      <c r="H4189" s="40" t="s">
        <v>35</v>
      </c>
      <c r="I4189" s="37" t="s">
        <v>36</v>
      </c>
      <c r="J4189" s="25" t="s">
        <v>49</v>
      </c>
      <c r="K4189" s="26" t="s">
        <v>16371</v>
      </c>
      <c r="L4189" s="72">
        <v>13225.0</v>
      </c>
      <c r="M4189" s="49" t="s">
        <v>50</v>
      </c>
      <c r="N4189" s="42" t="s">
        <v>143</v>
      </c>
      <c r="O4189" s="67">
        <v>45819.65084346065</v>
      </c>
      <c r="P4189" s="35" t="s">
        <v>16372</v>
      </c>
      <c r="Q4189" s="13" t="s">
        <v>75</v>
      </c>
      <c r="R4189" s="13" t="s">
        <v>75</v>
      </c>
      <c r="S4189" s="13" t="s">
        <v>50</v>
      </c>
      <c r="T4189" s="44">
        <v>45814.68582414352</v>
      </c>
      <c r="U4189" s="44">
        <v>45814.68848517361</v>
      </c>
      <c r="V4189" s="44">
        <v>45819.42310353009</v>
      </c>
      <c r="W4189" s="11"/>
      <c r="X4189" s="11"/>
      <c r="Y4189" s="45">
        <v>302.0</v>
      </c>
      <c r="Z4189" s="45" t="s">
        <v>16377</v>
      </c>
      <c r="AA4189" s="31"/>
      <c r="AB4189" s="45" t="s">
        <v>16378</v>
      </c>
      <c r="AC4189" s="45"/>
    </row>
    <row r="4190" ht="18.75" customHeight="1">
      <c r="A4190" s="18" t="s">
        <v>16379</v>
      </c>
      <c r="B4190" s="19" t="s">
        <v>16369</v>
      </c>
      <c r="C4190" s="20">
        <v>0.0</v>
      </c>
      <c r="D4190" s="210" t="s">
        <v>16380</v>
      </c>
      <c r="E4190" s="27" t="s">
        <v>3834</v>
      </c>
      <c r="F4190" s="27" t="s">
        <v>33</v>
      </c>
      <c r="G4190" s="18" t="s">
        <v>34</v>
      </c>
      <c r="H4190" s="40" t="s">
        <v>35</v>
      </c>
      <c r="I4190" s="37" t="s">
        <v>36</v>
      </c>
      <c r="J4190" s="25" t="s">
        <v>49</v>
      </c>
      <c r="K4190" s="26" t="s">
        <v>16371</v>
      </c>
      <c r="L4190" s="72">
        <v>13225.0</v>
      </c>
      <c r="M4190" s="49" t="s">
        <v>50</v>
      </c>
      <c r="N4190" s="42" t="s">
        <v>143</v>
      </c>
      <c r="O4190" s="67">
        <v>45819.650934247686</v>
      </c>
      <c r="P4190" s="35" t="s">
        <v>16372</v>
      </c>
      <c r="Q4190" s="13" t="s">
        <v>75</v>
      </c>
      <c r="R4190" s="13" t="s">
        <v>75</v>
      </c>
      <c r="S4190" s="13" t="s">
        <v>9620</v>
      </c>
      <c r="T4190" s="44">
        <v>45814.685936759255</v>
      </c>
      <c r="U4190" s="44">
        <v>45814.688581608796</v>
      </c>
      <c r="V4190" s="44">
        <v>45818.49643438657</v>
      </c>
      <c r="W4190" s="11"/>
      <c r="X4190" s="11"/>
      <c r="Y4190" s="45">
        <v>302.0</v>
      </c>
      <c r="Z4190" s="45" t="s">
        <v>16381</v>
      </c>
      <c r="AA4190" s="31"/>
      <c r="AB4190" s="45" t="s">
        <v>16382</v>
      </c>
      <c r="AC4190" s="45"/>
    </row>
    <row r="4191" ht="18.75" customHeight="1">
      <c r="A4191" s="18" t="s">
        <v>16383</v>
      </c>
      <c r="B4191" s="19" t="s">
        <v>5650</v>
      </c>
      <c r="C4191" s="20">
        <v>11.0</v>
      </c>
      <c r="D4191" s="211" t="s">
        <v>16384</v>
      </c>
      <c r="E4191" s="27" t="s">
        <v>112</v>
      </c>
      <c r="F4191" s="27" t="s">
        <v>48</v>
      </c>
      <c r="G4191" s="18" t="s">
        <v>35</v>
      </c>
      <c r="H4191" s="40" t="s">
        <v>35</v>
      </c>
      <c r="I4191" s="37" t="s">
        <v>36</v>
      </c>
      <c r="J4191" s="25" t="s">
        <v>49</v>
      </c>
      <c r="K4191" s="26" t="s">
        <v>38</v>
      </c>
      <c r="L4191" s="72">
        <v>13282.0</v>
      </c>
      <c r="M4191" s="49" t="s">
        <v>50</v>
      </c>
      <c r="N4191" s="42" t="s">
        <v>143</v>
      </c>
      <c r="O4191" s="67">
        <v>45832.577792199074</v>
      </c>
      <c r="P4191" s="35" t="s">
        <v>16385</v>
      </c>
      <c r="Q4191" s="13" t="s">
        <v>75</v>
      </c>
      <c r="R4191" s="13" t="s">
        <v>75</v>
      </c>
      <c r="S4191" s="13" t="s">
        <v>50</v>
      </c>
      <c r="T4191" s="44">
        <v>45814.71084939815</v>
      </c>
      <c r="U4191" s="44">
        <v>45832.47164233796</v>
      </c>
      <c r="V4191" s="44">
        <v>45832.48847277778</v>
      </c>
      <c r="W4191" s="11"/>
      <c r="X4191" s="11"/>
      <c r="Y4191" s="45">
        <v>302.0</v>
      </c>
      <c r="Z4191" s="45" t="s">
        <v>16386</v>
      </c>
      <c r="AA4191" s="31"/>
      <c r="AB4191" s="45" t="s">
        <v>16387</v>
      </c>
      <c r="AC4191" s="45"/>
    </row>
    <row r="4192" ht="18.75" customHeight="1">
      <c r="A4192" s="18" t="s">
        <v>16388</v>
      </c>
      <c r="B4192" s="19" t="s">
        <v>5650</v>
      </c>
      <c r="C4192" s="20">
        <v>90.0</v>
      </c>
      <c r="D4192" s="211" t="s">
        <v>16389</v>
      </c>
      <c r="E4192" s="27" t="s">
        <v>91</v>
      </c>
      <c r="F4192" s="27" t="s">
        <v>48</v>
      </c>
      <c r="G4192" s="18" t="s">
        <v>35</v>
      </c>
      <c r="H4192" s="40" t="s">
        <v>35</v>
      </c>
      <c r="I4192" s="37" t="s">
        <v>36</v>
      </c>
      <c r="J4192" s="25" t="s">
        <v>49</v>
      </c>
      <c r="K4192" s="26" t="s">
        <v>38</v>
      </c>
      <c r="L4192" s="72">
        <v>13282.0</v>
      </c>
      <c r="M4192" s="49" t="s">
        <v>50</v>
      </c>
      <c r="N4192" s="42" t="s">
        <v>143</v>
      </c>
      <c r="O4192" s="67">
        <v>45832.57774679398</v>
      </c>
      <c r="P4192" s="35" t="s">
        <v>16385</v>
      </c>
      <c r="Q4192" s="13" t="s">
        <v>75</v>
      </c>
      <c r="R4192" s="13" t="s">
        <v>75</v>
      </c>
      <c r="S4192" s="13" t="s">
        <v>50</v>
      </c>
      <c r="T4192" s="44">
        <v>45814.7121428588</v>
      </c>
      <c r="U4192" s="44">
        <v>45832.4716658449</v>
      </c>
      <c r="V4192" s="44">
        <v>45832.48847278935</v>
      </c>
      <c r="W4192" s="11"/>
      <c r="X4192" s="11"/>
      <c r="Y4192" s="45">
        <v>302.0</v>
      </c>
      <c r="Z4192" s="45" t="s">
        <v>16390</v>
      </c>
      <c r="AA4192" s="31"/>
      <c r="AB4192" s="45" t="s">
        <v>16391</v>
      </c>
      <c r="AC4192" s="45"/>
    </row>
    <row r="4193" ht="18.75" customHeight="1">
      <c r="A4193" s="18" t="s">
        <v>16392</v>
      </c>
      <c r="B4193" s="19" t="s">
        <v>5650</v>
      </c>
      <c r="C4193" s="20">
        <v>34.0</v>
      </c>
      <c r="D4193" s="211" t="s">
        <v>16393</v>
      </c>
      <c r="E4193" s="27" t="s">
        <v>47</v>
      </c>
      <c r="F4193" s="27" t="s">
        <v>48</v>
      </c>
      <c r="G4193" s="18" t="s">
        <v>35</v>
      </c>
      <c r="H4193" s="40" t="s">
        <v>35</v>
      </c>
      <c r="I4193" s="37" t="s">
        <v>36</v>
      </c>
      <c r="J4193" s="25" t="s">
        <v>49</v>
      </c>
      <c r="K4193" s="26" t="s">
        <v>38</v>
      </c>
      <c r="L4193" s="72">
        <v>13282.0</v>
      </c>
      <c r="M4193" s="49" t="s">
        <v>50</v>
      </c>
      <c r="N4193" s="42" t="s">
        <v>143</v>
      </c>
      <c r="O4193" s="67">
        <v>45832.577680636576</v>
      </c>
      <c r="P4193" s="35" t="s">
        <v>16385</v>
      </c>
      <c r="Q4193" s="13" t="s">
        <v>75</v>
      </c>
      <c r="R4193" s="13" t="s">
        <v>75</v>
      </c>
      <c r="S4193" s="13" t="s">
        <v>50</v>
      </c>
      <c r="T4193" s="44">
        <v>45814.712252418976</v>
      </c>
      <c r="U4193" s="44">
        <v>45832.471694548614</v>
      </c>
      <c r="V4193" s="44">
        <v>45832.48847278935</v>
      </c>
      <c r="W4193" s="11"/>
      <c r="X4193" s="11"/>
      <c r="Y4193" s="45">
        <v>302.0</v>
      </c>
      <c r="Z4193" s="45" t="s">
        <v>16394</v>
      </c>
      <c r="AA4193" s="31"/>
      <c r="AB4193" s="45" t="s">
        <v>16395</v>
      </c>
      <c r="AC4193" s="45"/>
    </row>
    <row r="4194" ht="18.75" customHeight="1">
      <c r="A4194" s="18" t="s">
        <v>16396</v>
      </c>
      <c r="B4194" s="19" t="s">
        <v>5650</v>
      </c>
      <c r="C4194" s="20">
        <v>34.0</v>
      </c>
      <c r="D4194" s="211" t="s">
        <v>16397</v>
      </c>
      <c r="E4194" s="27" t="s">
        <v>47</v>
      </c>
      <c r="F4194" s="27" t="s">
        <v>48</v>
      </c>
      <c r="G4194" s="18" t="s">
        <v>35</v>
      </c>
      <c r="H4194" s="40" t="s">
        <v>35</v>
      </c>
      <c r="I4194" s="37" t="s">
        <v>36</v>
      </c>
      <c r="J4194" s="25" t="s">
        <v>49</v>
      </c>
      <c r="K4194" s="26" t="s">
        <v>38</v>
      </c>
      <c r="L4194" s="72">
        <v>13282.0</v>
      </c>
      <c r="M4194" s="49" t="s">
        <v>50</v>
      </c>
      <c r="N4194" s="42" t="s">
        <v>143</v>
      </c>
      <c r="O4194" s="67">
        <v>45832.57762539352</v>
      </c>
      <c r="P4194" s="35" t="s">
        <v>16385</v>
      </c>
      <c r="Q4194" s="13" t="s">
        <v>75</v>
      </c>
      <c r="R4194" s="13" t="s">
        <v>75</v>
      </c>
      <c r="S4194" s="13" t="s">
        <v>50</v>
      </c>
      <c r="T4194" s="44">
        <v>45814.71284710648</v>
      </c>
      <c r="U4194" s="44">
        <v>45832.47180241898</v>
      </c>
      <c r="V4194" s="44">
        <v>45832.48858559028</v>
      </c>
      <c r="W4194" s="11"/>
      <c r="X4194" s="11"/>
      <c r="Y4194" s="45">
        <v>302.0</v>
      </c>
      <c r="Z4194" s="45" t="s">
        <v>16398</v>
      </c>
      <c r="AA4194" s="31"/>
      <c r="AB4194" s="45" t="s">
        <v>16399</v>
      </c>
      <c r="AC4194" s="45"/>
    </row>
    <row r="4195" ht="18.75" customHeight="1">
      <c r="A4195" s="142" t="s">
        <v>16400</v>
      </c>
      <c r="B4195" s="19" t="s">
        <v>5542</v>
      </c>
      <c r="C4195" s="20">
        <v>1.0</v>
      </c>
      <c r="D4195" s="211" t="s">
        <v>16401</v>
      </c>
      <c r="E4195" s="27" t="s">
        <v>3395</v>
      </c>
      <c r="F4195" s="27" t="s">
        <v>48</v>
      </c>
      <c r="G4195" s="18" t="s">
        <v>35</v>
      </c>
      <c r="H4195" s="40" t="s">
        <v>35</v>
      </c>
      <c r="I4195" s="37" t="s">
        <v>36</v>
      </c>
      <c r="J4195" s="25" t="s">
        <v>49</v>
      </c>
      <c r="K4195" s="26" t="s">
        <v>38</v>
      </c>
      <c r="L4195" s="72">
        <v>13214.0</v>
      </c>
      <c r="M4195" s="49" t="s">
        <v>50</v>
      </c>
      <c r="N4195" s="42" t="s">
        <v>143</v>
      </c>
      <c r="O4195" s="67">
        <v>45819.65098290509</v>
      </c>
      <c r="P4195" s="35" t="s">
        <v>15666</v>
      </c>
      <c r="Q4195" s="13" t="s">
        <v>75</v>
      </c>
      <c r="R4195" s="13" t="s">
        <v>75</v>
      </c>
      <c r="S4195" s="13" t="s">
        <v>50</v>
      </c>
      <c r="T4195" s="44">
        <v>45814.72353969907</v>
      </c>
      <c r="U4195" s="44">
        <v>45818.60964422453</v>
      </c>
      <c r="V4195" s="44">
        <v>45819.34989513889</v>
      </c>
      <c r="W4195" s="11"/>
      <c r="X4195" s="11"/>
      <c r="Y4195" s="45">
        <v>302.0</v>
      </c>
      <c r="Z4195" s="45" t="s">
        <v>16402</v>
      </c>
      <c r="AA4195" s="31"/>
      <c r="AB4195" s="45" t="s">
        <v>16403</v>
      </c>
      <c r="AC4195" s="45"/>
    </row>
    <row r="4196" ht="18.75" customHeight="1">
      <c r="A4196" s="142" t="s">
        <v>16404</v>
      </c>
      <c r="B4196" s="19" t="s">
        <v>16405</v>
      </c>
      <c r="C4196" s="20">
        <v>34.0</v>
      </c>
      <c r="D4196" s="211" t="s">
        <v>16406</v>
      </c>
      <c r="E4196" s="27" t="s">
        <v>47</v>
      </c>
      <c r="F4196" s="27" t="s">
        <v>48</v>
      </c>
      <c r="G4196" s="18" t="s">
        <v>35</v>
      </c>
      <c r="H4196" s="40" t="s">
        <v>35</v>
      </c>
      <c r="I4196" s="24" t="s">
        <v>36</v>
      </c>
      <c r="J4196" s="25" t="s">
        <v>65</v>
      </c>
      <c r="K4196" s="26" t="s">
        <v>38</v>
      </c>
      <c r="L4196" s="72">
        <v>13890.0</v>
      </c>
      <c r="M4196" s="213" t="s">
        <v>16407</v>
      </c>
      <c r="N4196" s="214" t="s">
        <v>16408</v>
      </c>
      <c r="O4196" s="215">
        <v>45917.0</v>
      </c>
      <c r="P4196" s="35" t="s">
        <v>16409</v>
      </c>
      <c r="Q4196" s="13" t="s">
        <v>75</v>
      </c>
      <c r="R4196" s="13" t="s">
        <v>75</v>
      </c>
      <c r="S4196" s="13" t="s">
        <v>73</v>
      </c>
      <c r="T4196" s="44">
        <v>45917.40590355324</v>
      </c>
      <c r="U4196" s="44">
        <v>45917.40598063657</v>
      </c>
      <c r="V4196" s="44">
        <v>45917.47194371528</v>
      </c>
      <c r="W4196" s="11"/>
      <c r="X4196" s="148">
        <v>45870.0</v>
      </c>
      <c r="Y4196" s="45">
        <v>302.0</v>
      </c>
      <c r="Z4196" s="45" t="s">
        <v>16410</v>
      </c>
      <c r="AA4196" s="31"/>
      <c r="AB4196" s="45" t="s">
        <v>16411</v>
      </c>
      <c r="AC4196" s="45"/>
    </row>
    <row r="4197" ht="18.75" customHeight="1">
      <c r="A4197" s="142" t="s">
        <v>16412</v>
      </c>
      <c r="B4197" s="19" t="s">
        <v>4450</v>
      </c>
      <c r="C4197" s="20">
        <v>90.0</v>
      </c>
      <c r="D4197" s="210" t="s">
        <v>16413</v>
      </c>
      <c r="E4197" s="27" t="s">
        <v>91</v>
      </c>
      <c r="F4197" s="27" t="s">
        <v>48</v>
      </c>
      <c r="G4197" s="18" t="s">
        <v>35</v>
      </c>
      <c r="H4197" s="40" t="s">
        <v>35</v>
      </c>
      <c r="I4197" s="37" t="s">
        <v>36</v>
      </c>
      <c r="J4197" s="25" t="s">
        <v>420</v>
      </c>
      <c r="K4197" s="26" t="s">
        <v>38</v>
      </c>
      <c r="L4197" s="72">
        <v>13198.0</v>
      </c>
      <c r="M4197" s="49" t="s">
        <v>50</v>
      </c>
      <c r="N4197" s="42" t="s">
        <v>4031</v>
      </c>
      <c r="O4197" s="67">
        <v>45817.64427418981</v>
      </c>
      <c r="P4197" s="35" t="s">
        <v>16414</v>
      </c>
      <c r="Q4197" s="13" t="s">
        <v>75</v>
      </c>
      <c r="R4197" s="13" t="s">
        <v>75</v>
      </c>
      <c r="S4197" s="13" t="s">
        <v>50</v>
      </c>
      <c r="T4197" s="44">
        <v>45817.39076663194</v>
      </c>
      <c r="U4197" s="44">
        <v>45817.46209347222</v>
      </c>
      <c r="V4197" s="44">
        <v>45817.46500873842</v>
      </c>
      <c r="W4197" s="11"/>
      <c r="X4197" s="11"/>
      <c r="Y4197" s="45">
        <v>302.0</v>
      </c>
      <c r="Z4197" s="45" t="s">
        <v>16415</v>
      </c>
      <c r="AA4197" s="31"/>
      <c r="AB4197" s="45" t="s">
        <v>16416</v>
      </c>
      <c r="AC4197" s="45"/>
    </row>
    <row r="4198" ht="18.75" customHeight="1">
      <c r="A4198" s="142" t="s">
        <v>16417</v>
      </c>
      <c r="B4198" s="19" t="s">
        <v>16418</v>
      </c>
      <c r="C4198" s="20">
        <v>11.0</v>
      </c>
      <c r="D4198" s="211" t="s">
        <v>16419</v>
      </c>
      <c r="E4198" s="27" t="s">
        <v>112</v>
      </c>
      <c r="F4198" s="27" t="s">
        <v>48</v>
      </c>
      <c r="G4198" s="18" t="s">
        <v>35</v>
      </c>
      <c r="H4198" s="40" t="s">
        <v>35</v>
      </c>
      <c r="I4198" s="37" t="s">
        <v>36</v>
      </c>
      <c r="J4198" s="25" t="s">
        <v>65</v>
      </c>
      <c r="K4198" s="26" t="s">
        <v>38</v>
      </c>
      <c r="L4198" s="72">
        <v>13215.0</v>
      </c>
      <c r="M4198" s="49" t="s">
        <v>50</v>
      </c>
      <c r="N4198" s="42" t="s">
        <v>4908</v>
      </c>
      <c r="O4198" s="67">
        <v>45819.64271788194</v>
      </c>
      <c r="P4198" s="35" t="s">
        <v>16420</v>
      </c>
      <c r="Q4198" s="13" t="s">
        <v>75</v>
      </c>
      <c r="R4198" s="13" t="s">
        <v>75</v>
      </c>
      <c r="S4198" s="13" t="s">
        <v>50</v>
      </c>
      <c r="T4198" s="44">
        <v>45817.39314994213</v>
      </c>
      <c r="U4198" s="44">
        <v>45818.63336046296</v>
      </c>
      <c r="V4198" s="44">
        <v>45819.34972416666</v>
      </c>
      <c r="W4198" s="11"/>
      <c r="X4198" s="11"/>
      <c r="Y4198" s="45">
        <v>302.0</v>
      </c>
      <c r="Z4198" s="45" t="s">
        <v>16421</v>
      </c>
      <c r="AA4198" s="31"/>
      <c r="AB4198" s="45" t="s">
        <v>16422</v>
      </c>
      <c r="AC4198" s="45"/>
    </row>
    <row r="4199" ht="18.75" customHeight="1">
      <c r="A4199" s="142" t="s">
        <v>16423</v>
      </c>
      <c r="B4199" s="19" t="s">
        <v>4352</v>
      </c>
      <c r="C4199" s="20">
        <v>27.0</v>
      </c>
      <c r="D4199" s="39" t="s">
        <v>16424</v>
      </c>
      <c r="E4199" s="27" t="s">
        <v>72</v>
      </c>
      <c r="F4199" s="27" t="s">
        <v>48</v>
      </c>
      <c r="G4199" s="18" t="s">
        <v>35</v>
      </c>
      <c r="H4199" s="40" t="s">
        <v>35</v>
      </c>
      <c r="I4199" s="37" t="s">
        <v>36</v>
      </c>
      <c r="J4199" s="25" t="s">
        <v>49</v>
      </c>
      <c r="K4199" s="26" t="s">
        <v>38</v>
      </c>
      <c r="L4199" s="72">
        <v>13200.0</v>
      </c>
      <c r="M4199" s="49" t="s">
        <v>50</v>
      </c>
      <c r="N4199" s="42" t="s">
        <v>143</v>
      </c>
      <c r="O4199" s="67">
        <v>45818.59111422454</v>
      </c>
      <c r="P4199" s="35" t="s">
        <v>16425</v>
      </c>
      <c r="Q4199" s="13" t="s">
        <v>75</v>
      </c>
      <c r="R4199" s="13" t="s">
        <v>75</v>
      </c>
      <c r="S4199" s="13" t="s">
        <v>50</v>
      </c>
      <c r="T4199" s="44">
        <v>45817.408000324074</v>
      </c>
      <c r="U4199" s="44">
        <v>45817.729599259255</v>
      </c>
      <c r="V4199" s="44">
        <v>45818.36693215278</v>
      </c>
      <c r="W4199" s="11"/>
      <c r="X4199" s="11"/>
      <c r="Y4199" s="45">
        <v>302.0</v>
      </c>
      <c r="Z4199" s="45" t="s">
        <v>16426</v>
      </c>
      <c r="AA4199" s="31"/>
      <c r="AB4199" s="45" t="s">
        <v>16427</v>
      </c>
      <c r="AC4199" s="45"/>
    </row>
    <row r="4200" ht="18.75" customHeight="1">
      <c r="A4200" s="142" t="s">
        <v>16428</v>
      </c>
      <c r="B4200" s="19" t="s">
        <v>4352</v>
      </c>
      <c r="C4200" s="20">
        <v>1.0</v>
      </c>
      <c r="D4200" s="211" t="s">
        <v>16429</v>
      </c>
      <c r="E4200" s="27" t="s">
        <v>3395</v>
      </c>
      <c r="F4200" s="27" t="s">
        <v>48</v>
      </c>
      <c r="G4200" s="18" t="s">
        <v>35</v>
      </c>
      <c r="H4200" s="40" t="s">
        <v>35</v>
      </c>
      <c r="I4200" s="37" t="s">
        <v>36</v>
      </c>
      <c r="J4200" s="25" t="s">
        <v>49</v>
      </c>
      <c r="K4200" s="26" t="s">
        <v>38</v>
      </c>
      <c r="L4200" s="72">
        <v>13201.0</v>
      </c>
      <c r="M4200" s="49" t="s">
        <v>50</v>
      </c>
      <c r="N4200" s="42" t="s">
        <v>143</v>
      </c>
      <c r="O4200" s="67">
        <v>45818.59096412037</v>
      </c>
      <c r="P4200" s="35" t="s">
        <v>16430</v>
      </c>
      <c r="Q4200" s="13" t="s">
        <v>75</v>
      </c>
      <c r="R4200" s="13" t="s">
        <v>75</v>
      </c>
      <c r="S4200" s="13" t="s">
        <v>50</v>
      </c>
      <c r="T4200" s="44">
        <v>45817.42057587963</v>
      </c>
      <c r="U4200" s="44">
        <v>45817.73005653935</v>
      </c>
      <c r="V4200" s="44">
        <v>45818.37334293981</v>
      </c>
      <c r="W4200" s="11"/>
      <c r="X4200" s="11"/>
      <c r="Y4200" s="45">
        <v>302.0</v>
      </c>
      <c r="Z4200" s="45" t="s">
        <v>16431</v>
      </c>
      <c r="AA4200" s="31"/>
      <c r="AB4200" s="45" t="s">
        <v>16432</v>
      </c>
      <c r="AC4200" s="45"/>
    </row>
    <row r="4201" ht="18.75" customHeight="1">
      <c r="A4201" s="142" t="s">
        <v>16433</v>
      </c>
      <c r="B4201" s="19" t="s">
        <v>8203</v>
      </c>
      <c r="C4201" s="20">
        <v>27.0</v>
      </c>
      <c r="D4201" s="39" t="s">
        <v>16434</v>
      </c>
      <c r="E4201" s="27" t="s">
        <v>72</v>
      </c>
      <c r="F4201" s="27" t="s">
        <v>48</v>
      </c>
      <c r="G4201" s="18" t="s">
        <v>35</v>
      </c>
      <c r="H4201" s="40" t="s">
        <v>35</v>
      </c>
      <c r="I4201" s="37" t="s">
        <v>36</v>
      </c>
      <c r="J4201" s="25" t="s">
        <v>65</v>
      </c>
      <c r="K4201" s="26" t="s">
        <v>38</v>
      </c>
      <c r="L4201" s="72">
        <v>13202.0</v>
      </c>
      <c r="M4201" s="49" t="s">
        <v>50</v>
      </c>
      <c r="N4201" s="42" t="s">
        <v>149</v>
      </c>
      <c r="O4201" s="67">
        <v>45818.626520624995</v>
      </c>
      <c r="P4201" s="35" t="s">
        <v>16435</v>
      </c>
      <c r="Q4201" s="13" t="s">
        <v>75</v>
      </c>
      <c r="R4201" s="13" t="s">
        <v>75</v>
      </c>
      <c r="S4201" s="13" t="s">
        <v>50</v>
      </c>
      <c r="T4201" s="44">
        <v>45817.43298989584</v>
      </c>
      <c r="U4201" s="44">
        <v>45817.68761125</v>
      </c>
      <c r="V4201" s="44">
        <v>45818.36679292824</v>
      </c>
      <c r="W4201" s="11"/>
      <c r="X4201" s="11"/>
      <c r="Y4201" s="45">
        <v>302.0</v>
      </c>
      <c r="Z4201" s="45" t="s">
        <v>16436</v>
      </c>
      <c r="AA4201" s="31"/>
      <c r="AB4201" s="45" t="s">
        <v>16437</v>
      </c>
      <c r="AC4201" s="45"/>
    </row>
    <row r="4202" ht="18.75" customHeight="1">
      <c r="A4202" s="142" t="s">
        <v>16438</v>
      </c>
      <c r="B4202" s="19" t="s">
        <v>96</v>
      </c>
      <c r="C4202" s="20">
        <v>0.0</v>
      </c>
      <c r="D4202" s="210" t="s">
        <v>16439</v>
      </c>
      <c r="E4202" s="27" t="s">
        <v>11957</v>
      </c>
      <c r="F4202" s="27" t="s">
        <v>48</v>
      </c>
      <c r="G4202" s="18" t="s">
        <v>35</v>
      </c>
      <c r="H4202" s="40" t="s">
        <v>35</v>
      </c>
      <c r="I4202" s="37" t="s">
        <v>36</v>
      </c>
      <c r="J4202" s="25" t="s">
        <v>49</v>
      </c>
      <c r="K4202" s="26" t="s">
        <v>38</v>
      </c>
      <c r="L4202" s="72">
        <v>13249.0</v>
      </c>
      <c r="M4202" s="49" t="s">
        <v>50</v>
      </c>
      <c r="N4202" s="42" t="s">
        <v>5936</v>
      </c>
      <c r="O4202" s="67">
        <v>45825.57829694444</v>
      </c>
      <c r="P4202" s="35" t="s">
        <v>16440</v>
      </c>
      <c r="Q4202" s="13" t="s">
        <v>75</v>
      </c>
      <c r="R4202" s="13" t="s">
        <v>75</v>
      </c>
      <c r="S4202" s="13" t="s">
        <v>9620</v>
      </c>
      <c r="T4202" s="44">
        <v>45817.43816791667</v>
      </c>
      <c r="U4202" s="44">
        <v>45818.64555623842</v>
      </c>
      <c r="V4202" s="44">
        <v>45825.289581516205</v>
      </c>
      <c r="W4202" s="11"/>
      <c r="X4202" s="11"/>
      <c r="Y4202" s="45">
        <v>302.0</v>
      </c>
      <c r="Z4202" s="45" t="s">
        <v>16441</v>
      </c>
      <c r="AA4202" s="31"/>
      <c r="AB4202" s="45" t="s">
        <v>16442</v>
      </c>
      <c r="AC4202" s="45"/>
    </row>
    <row r="4203" ht="18.75" customHeight="1">
      <c r="A4203" s="18" t="s">
        <v>16443</v>
      </c>
      <c r="B4203" s="19" t="s">
        <v>2138</v>
      </c>
      <c r="C4203" s="20">
        <v>34.0</v>
      </c>
      <c r="D4203" s="211" t="s">
        <v>16444</v>
      </c>
      <c r="E4203" s="27" t="s">
        <v>47</v>
      </c>
      <c r="F4203" s="27" t="s">
        <v>48</v>
      </c>
      <c r="G4203" s="18" t="s">
        <v>35</v>
      </c>
      <c r="H4203" s="40" t="s">
        <v>35</v>
      </c>
      <c r="I4203" s="37" t="s">
        <v>36</v>
      </c>
      <c r="J4203" s="25" t="s">
        <v>65</v>
      </c>
      <c r="K4203" s="26" t="s">
        <v>38</v>
      </c>
      <c r="L4203" s="72">
        <v>13203.0</v>
      </c>
      <c r="M4203" s="49" t="s">
        <v>50</v>
      </c>
      <c r="N4203" s="42" t="s">
        <v>149</v>
      </c>
      <c r="O4203" s="67">
        <v>45818.626589224536</v>
      </c>
      <c r="P4203" s="35" t="s">
        <v>16445</v>
      </c>
      <c r="Q4203" s="13" t="s">
        <v>75</v>
      </c>
      <c r="R4203" s="13" t="s">
        <v>75</v>
      </c>
      <c r="S4203" s="13" t="s">
        <v>50</v>
      </c>
      <c r="T4203" s="44">
        <v>45817.439676678245</v>
      </c>
      <c r="U4203" s="44">
        <v>45817.69523702546</v>
      </c>
      <c r="V4203" s="44">
        <v>45818.366792939814</v>
      </c>
      <c r="W4203" s="11"/>
      <c r="X4203" s="11"/>
      <c r="Y4203" s="45">
        <v>302.0</v>
      </c>
      <c r="Z4203" s="45" t="s">
        <v>16446</v>
      </c>
      <c r="AA4203" s="31"/>
      <c r="AB4203" s="45" t="s">
        <v>16447</v>
      </c>
      <c r="AC4203" s="45"/>
    </row>
    <row r="4204" ht="18.75" customHeight="1">
      <c r="A4204" s="18" t="s">
        <v>16448</v>
      </c>
      <c r="B4204" s="19" t="s">
        <v>2138</v>
      </c>
      <c r="C4204" s="20">
        <v>27.0</v>
      </c>
      <c r="D4204" s="39" t="s">
        <v>16449</v>
      </c>
      <c r="E4204" s="27" t="s">
        <v>72</v>
      </c>
      <c r="F4204" s="27" t="s">
        <v>48</v>
      </c>
      <c r="G4204" s="18" t="s">
        <v>35</v>
      </c>
      <c r="H4204" s="40" t="s">
        <v>35</v>
      </c>
      <c r="I4204" s="37" t="s">
        <v>36</v>
      </c>
      <c r="J4204" s="25" t="s">
        <v>65</v>
      </c>
      <c r="K4204" s="26" t="s">
        <v>38</v>
      </c>
      <c r="L4204" s="72">
        <v>13203.0</v>
      </c>
      <c r="M4204" s="49" t="s">
        <v>50</v>
      </c>
      <c r="N4204" s="42" t="s">
        <v>149</v>
      </c>
      <c r="O4204" s="67">
        <v>45818.62665820602</v>
      </c>
      <c r="P4204" s="35" t="s">
        <v>16445</v>
      </c>
      <c r="Q4204" s="13" t="s">
        <v>75</v>
      </c>
      <c r="R4204" s="13" t="s">
        <v>75</v>
      </c>
      <c r="S4204" s="13" t="s">
        <v>50</v>
      </c>
      <c r="T4204" s="44">
        <v>45817.43983909722</v>
      </c>
      <c r="U4204" s="44">
        <v>45817.69525853009</v>
      </c>
      <c r="V4204" s="44">
        <v>45818.366792939814</v>
      </c>
      <c r="W4204" s="11"/>
      <c r="X4204" s="11"/>
      <c r="Y4204" s="45">
        <v>302.0</v>
      </c>
      <c r="Z4204" s="45" t="s">
        <v>16450</v>
      </c>
      <c r="AA4204" s="31"/>
      <c r="AB4204" s="45" t="s">
        <v>16451</v>
      </c>
      <c r="AC4204" s="45"/>
    </row>
    <row r="4205" ht="18.75" customHeight="1">
      <c r="A4205" s="142" t="s">
        <v>16452</v>
      </c>
      <c r="B4205" s="19" t="s">
        <v>16453</v>
      </c>
      <c r="C4205" s="20">
        <v>90.0</v>
      </c>
      <c r="D4205" s="211" t="s">
        <v>16454</v>
      </c>
      <c r="E4205" s="27" t="s">
        <v>91</v>
      </c>
      <c r="F4205" s="27" t="s">
        <v>48</v>
      </c>
      <c r="G4205" s="18" t="s">
        <v>35</v>
      </c>
      <c r="H4205" s="40" t="s">
        <v>35</v>
      </c>
      <c r="I4205" s="37" t="s">
        <v>36</v>
      </c>
      <c r="J4205" s="25" t="s">
        <v>518</v>
      </c>
      <c r="K4205" s="26" t="s">
        <v>38</v>
      </c>
      <c r="L4205" s="72">
        <v>13207.0</v>
      </c>
      <c r="M4205" s="49" t="s">
        <v>50</v>
      </c>
      <c r="N4205" s="42" t="s">
        <v>4616</v>
      </c>
      <c r="O4205" s="67">
        <v>45820.58427695602</v>
      </c>
      <c r="P4205" s="35" t="s">
        <v>16455</v>
      </c>
      <c r="Q4205" s="13" t="s">
        <v>75</v>
      </c>
      <c r="R4205" s="13" t="s">
        <v>75</v>
      </c>
      <c r="S4205" s="13" t="s">
        <v>50</v>
      </c>
      <c r="T4205" s="44">
        <v>45817.42913449074</v>
      </c>
      <c r="U4205" s="44">
        <v>45818.485220393515</v>
      </c>
      <c r="V4205" s="44">
        <v>45818.49028537037</v>
      </c>
      <c r="W4205" s="11"/>
      <c r="X4205" s="11"/>
      <c r="Y4205" s="45">
        <v>302.0</v>
      </c>
      <c r="Z4205" s="45" t="s">
        <v>16456</v>
      </c>
      <c r="AA4205" s="31"/>
      <c r="AB4205" s="45" t="s">
        <v>16457</v>
      </c>
      <c r="AC4205" s="45"/>
    </row>
    <row r="4206" ht="18.75" customHeight="1">
      <c r="A4206" s="142" t="s">
        <v>16458</v>
      </c>
      <c r="B4206" s="19" t="s">
        <v>16459</v>
      </c>
      <c r="C4206" s="20">
        <v>137.0</v>
      </c>
      <c r="D4206" s="211" t="s">
        <v>16460</v>
      </c>
      <c r="E4206" s="27" t="s">
        <v>85</v>
      </c>
      <c r="F4206" s="27" t="s">
        <v>48</v>
      </c>
      <c r="G4206" s="18" t="s">
        <v>35</v>
      </c>
      <c r="H4206" s="40" t="s">
        <v>35</v>
      </c>
      <c r="I4206" s="37" t="s">
        <v>36</v>
      </c>
      <c r="J4206" s="25" t="s">
        <v>49</v>
      </c>
      <c r="K4206" s="26" t="s">
        <v>447</v>
      </c>
      <c r="L4206" s="72">
        <v>13258.0</v>
      </c>
      <c r="M4206" s="49" t="s">
        <v>73</v>
      </c>
      <c r="N4206" s="42" t="s">
        <v>143</v>
      </c>
      <c r="O4206" s="67">
        <v>45826.60098474537</v>
      </c>
      <c r="P4206" s="35" t="s">
        <v>16461</v>
      </c>
      <c r="Q4206" s="13" t="s">
        <v>75</v>
      </c>
      <c r="R4206" s="13" t="s">
        <v>75</v>
      </c>
      <c r="S4206" s="13" t="s">
        <v>73</v>
      </c>
      <c r="T4206" s="44">
        <v>45826.422015034725</v>
      </c>
      <c r="U4206" s="44">
        <v>45826.422193148144</v>
      </c>
      <c r="V4206" s="44">
        <v>45826.45802601852</v>
      </c>
      <c r="W4206" s="11"/>
      <c r="X4206" s="11"/>
      <c r="Y4206" s="45">
        <v>302.0</v>
      </c>
      <c r="Z4206" s="45" t="s">
        <v>16462</v>
      </c>
      <c r="AA4206" s="31"/>
      <c r="AB4206" s="45" t="s">
        <v>16463</v>
      </c>
      <c r="AC4206" s="45"/>
    </row>
    <row r="4207" ht="18.75" customHeight="1">
      <c r="A4207" s="142" t="s">
        <v>16464</v>
      </c>
      <c r="B4207" s="19" t="s">
        <v>7173</v>
      </c>
      <c r="C4207" s="20">
        <v>90.0</v>
      </c>
      <c r="D4207" s="211" t="s">
        <v>16465</v>
      </c>
      <c r="E4207" s="27" t="s">
        <v>91</v>
      </c>
      <c r="F4207" s="27" t="s">
        <v>48</v>
      </c>
      <c r="G4207" s="18" t="s">
        <v>35</v>
      </c>
      <c r="H4207" s="40" t="s">
        <v>35</v>
      </c>
      <c r="I4207" s="37" t="s">
        <v>36</v>
      </c>
      <c r="J4207" s="25" t="s">
        <v>65</v>
      </c>
      <c r="K4207" s="26" t="s">
        <v>38</v>
      </c>
      <c r="L4207" s="72">
        <v>13226.0</v>
      </c>
      <c r="M4207" s="49" t="s">
        <v>50</v>
      </c>
      <c r="N4207" s="42" t="s">
        <v>4908</v>
      </c>
      <c r="O4207" s="67">
        <v>45819.64279922454</v>
      </c>
      <c r="P4207" s="35" t="s">
        <v>15829</v>
      </c>
      <c r="Q4207" s="13" t="s">
        <v>75</v>
      </c>
      <c r="R4207" s="13" t="s">
        <v>75</v>
      </c>
      <c r="S4207" s="13" t="s">
        <v>50</v>
      </c>
      <c r="T4207" s="44">
        <v>45817.44710474537</v>
      </c>
      <c r="U4207" s="44">
        <v>45819.37851643519</v>
      </c>
      <c r="V4207" s="44">
        <v>45819.47589107639</v>
      </c>
      <c r="W4207" s="11"/>
      <c r="X4207" s="11"/>
      <c r="Y4207" s="45">
        <v>302.0</v>
      </c>
      <c r="Z4207" s="45" t="s">
        <v>16466</v>
      </c>
      <c r="AA4207" s="31"/>
      <c r="AB4207" s="45" t="s">
        <v>16467</v>
      </c>
      <c r="AC4207" s="45"/>
    </row>
    <row r="4208" ht="18.75" customHeight="1">
      <c r="A4208" s="18" t="s">
        <v>16468</v>
      </c>
      <c r="B4208" s="19" t="s">
        <v>8071</v>
      </c>
      <c r="C4208" s="20">
        <v>11.0</v>
      </c>
      <c r="D4208" s="211" t="s">
        <v>16469</v>
      </c>
      <c r="E4208" s="27" t="s">
        <v>112</v>
      </c>
      <c r="F4208" s="27" t="s">
        <v>48</v>
      </c>
      <c r="G4208" s="18" t="s">
        <v>35</v>
      </c>
      <c r="H4208" s="40" t="s">
        <v>35</v>
      </c>
      <c r="I4208" s="37" t="s">
        <v>36</v>
      </c>
      <c r="J4208" s="25" t="s">
        <v>49</v>
      </c>
      <c r="K4208" s="26" t="s">
        <v>38</v>
      </c>
      <c r="L4208" s="72">
        <v>13204.0</v>
      </c>
      <c r="M4208" s="49" t="s">
        <v>50</v>
      </c>
      <c r="N4208" s="42" t="s">
        <v>143</v>
      </c>
      <c r="O4208" s="67">
        <v>45818.5908975</v>
      </c>
      <c r="P4208" s="35" t="s">
        <v>16470</v>
      </c>
      <c r="Q4208" s="13" t="s">
        <v>75</v>
      </c>
      <c r="R4208" s="13" t="s">
        <v>75</v>
      </c>
      <c r="S4208" s="13" t="s">
        <v>50</v>
      </c>
      <c r="T4208" s="44">
        <v>45817.44839197917</v>
      </c>
      <c r="U4208" s="44">
        <v>45817.49024381944</v>
      </c>
      <c r="V4208" s="44">
        <v>45818.35753519676</v>
      </c>
      <c r="W4208" s="11"/>
      <c r="X4208" s="11"/>
      <c r="Y4208" s="45">
        <v>302.0</v>
      </c>
      <c r="Z4208" s="45" t="s">
        <v>16471</v>
      </c>
      <c r="AA4208" s="31"/>
      <c r="AB4208" s="45" t="s">
        <v>16472</v>
      </c>
      <c r="AC4208" s="45"/>
    </row>
    <row r="4209" ht="18.75" customHeight="1">
      <c r="A4209" s="18" t="s">
        <v>16473</v>
      </c>
      <c r="B4209" s="19" t="s">
        <v>8071</v>
      </c>
      <c r="C4209" s="20">
        <v>90.0</v>
      </c>
      <c r="D4209" s="211" t="s">
        <v>16474</v>
      </c>
      <c r="E4209" s="27" t="s">
        <v>91</v>
      </c>
      <c r="F4209" s="27" t="s">
        <v>48</v>
      </c>
      <c r="G4209" s="18" t="s">
        <v>35</v>
      </c>
      <c r="H4209" s="40" t="s">
        <v>35</v>
      </c>
      <c r="I4209" s="37" t="s">
        <v>36</v>
      </c>
      <c r="J4209" s="25" t="s">
        <v>49</v>
      </c>
      <c r="K4209" s="26" t="s">
        <v>38</v>
      </c>
      <c r="L4209" s="72">
        <v>13204.0</v>
      </c>
      <c r="M4209" s="49" t="s">
        <v>50</v>
      </c>
      <c r="N4209" s="42" t="s">
        <v>143</v>
      </c>
      <c r="O4209" s="67">
        <v>45818.59106269676</v>
      </c>
      <c r="P4209" s="35" t="s">
        <v>16470</v>
      </c>
      <c r="Q4209" s="13" t="s">
        <v>75</v>
      </c>
      <c r="R4209" s="13" t="s">
        <v>75</v>
      </c>
      <c r="S4209" s="13" t="s">
        <v>50</v>
      </c>
      <c r="T4209" s="44">
        <v>45817.44856427083</v>
      </c>
      <c r="U4209" s="44">
        <v>45817.49020828704</v>
      </c>
      <c r="V4209" s="44">
        <v>45818.35753518519</v>
      </c>
      <c r="W4209" s="11"/>
      <c r="X4209" s="11"/>
      <c r="Y4209" s="45">
        <v>302.0</v>
      </c>
      <c r="Z4209" s="45" t="s">
        <v>16475</v>
      </c>
      <c r="AA4209" s="31"/>
      <c r="AB4209" s="45" t="s">
        <v>16476</v>
      </c>
      <c r="AC4209" s="45"/>
    </row>
    <row r="4210" ht="18.75" customHeight="1">
      <c r="A4210" s="142" t="s">
        <v>16477</v>
      </c>
      <c r="B4210" s="19" t="s">
        <v>3049</v>
      </c>
      <c r="C4210" s="20">
        <v>0.0</v>
      </c>
      <c r="D4210" s="210" t="s">
        <v>16478</v>
      </c>
      <c r="E4210" s="27" t="s">
        <v>16479</v>
      </c>
      <c r="F4210" s="27" t="s">
        <v>48</v>
      </c>
      <c r="G4210" s="18" t="s">
        <v>35</v>
      </c>
      <c r="H4210" s="40" t="s">
        <v>35</v>
      </c>
      <c r="I4210" s="37" t="s">
        <v>36</v>
      </c>
      <c r="J4210" s="25" t="s">
        <v>49</v>
      </c>
      <c r="K4210" s="26" t="s">
        <v>3051</v>
      </c>
      <c r="L4210" s="72">
        <v>13268.0</v>
      </c>
      <c r="M4210" s="49" t="s">
        <v>50</v>
      </c>
      <c r="N4210" s="42" t="s">
        <v>5936</v>
      </c>
      <c r="O4210" s="67">
        <v>45831.54320472223</v>
      </c>
      <c r="P4210" s="35" t="s">
        <v>16480</v>
      </c>
      <c r="Q4210" s="13" t="s">
        <v>75</v>
      </c>
      <c r="R4210" s="13" t="s">
        <v>75</v>
      </c>
      <c r="S4210" s="13" t="s">
        <v>9620</v>
      </c>
      <c r="T4210" s="44">
        <v>45817.67518263889</v>
      </c>
      <c r="U4210" s="44">
        <v>45817.68939474537</v>
      </c>
      <c r="V4210" s="44">
        <v>45828.29486380787</v>
      </c>
      <c r="W4210" s="11"/>
      <c r="X4210" s="11"/>
      <c r="Y4210" s="45">
        <v>302.0</v>
      </c>
      <c r="Z4210" s="45" t="s">
        <v>16481</v>
      </c>
      <c r="AA4210" s="31"/>
      <c r="AB4210" s="45" t="s">
        <v>16482</v>
      </c>
      <c r="AC4210" s="45"/>
    </row>
    <row r="4211" ht="18.75" customHeight="1">
      <c r="A4211" s="142" t="s">
        <v>16483</v>
      </c>
      <c r="B4211" s="19" t="s">
        <v>5507</v>
      </c>
      <c r="C4211" s="20">
        <v>11.0</v>
      </c>
      <c r="D4211" s="211" t="s">
        <v>16484</v>
      </c>
      <c r="E4211" s="27" t="s">
        <v>112</v>
      </c>
      <c r="F4211" s="27" t="s">
        <v>48</v>
      </c>
      <c r="G4211" s="18" t="s">
        <v>35</v>
      </c>
      <c r="H4211" s="40" t="s">
        <v>35</v>
      </c>
      <c r="I4211" s="37" t="s">
        <v>36</v>
      </c>
      <c r="J4211" s="25" t="s">
        <v>92</v>
      </c>
      <c r="K4211" s="26" t="s">
        <v>38</v>
      </c>
      <c r="L4211" s="72">
        <v>13208.0</v>
      </c>
      <c r="M4211" s="49" t="s">
        <v>15811</v>
      </c>
      <c r="N4211" s="42"/>
      <c r="O4211" s="67">
        <v>45818.600079537035</v>
      </c>
      <c r="P4211" s="35" t="s">
        <v>16485</v>
      </c>
      <c r="Q4211" s="13" t="s">
        <v>75</v>
      </c>
      <c r="R4211" s="13" t="s">
        <v>75</v>
      </c>
      <c r="S4211" s="13" t="s">
        <v>75</v>
      </c>
      <c r="T4211" s="44">
        <v>45818.40192087963</v>
      </c>
      <c r="U4211" s="44">
        <v>45818.600079537035</v>
      </c>
      <c r="V4211" s="44">
        <v>45818.600079537035</v>
      </c>
      <c r="W4211" s="11"/>
      <c r="X4211" s="11"/>
      <c r="Y4211" s="45"/>
      <c r="Z4211" s="45"/>
      <c r="AA4211" s="31"/>
      <c r="AB4211" s="45" t="s">
        <v>16486</v>
      </c>
      <c r="AC4211" s="45"/>
    </row>
    <row r="4212" ht="18.75" customHeight="1">
      <c r="A4212" s="142" t="s">
        <v>16487</v>
      </c>
      <c r="B4212" s="19" t="s">
        <v>12907</v>
      </c>
      <c r="C4212" s="20">
        <v>137.0</v>
      </c>
      <c r="D4212" s="211" t="s">
        <v>16488</v>
      </c>
      <c r="E4212" s="27" t="s">
        <v>85</v>
      </c>
      <c r="F4212" s="27" t="s">
        <v>48</v>
      </c>
      <c r="G4212" s="18" t="s">
        <v>35</v>
      </c>
      <c r="H4212" s="40" t="s">
        <v>35</v>
      </c>
      <c r="I4212" s="37" t="s">
        <v>36</v>
      </c>
      <c r="J4212" s="25" t="s">
        <v>65</v>
      </c>
      <c r="K4212" s="26" t="s">
        <v>38</v>
      </c>
      <c r="L4212" s="72">
        <v>13322.0</v>
      </c>
      <c r="M4212" s="49" t="s">
        <v>50</v>
      </c>
      <c r="N4212" s="42" t="s">
        <v>14854</v>
      </c>
      <c r="O4212" s="67">
        <v>45839.668502824075</v>
      </c>
      <c r="P4212" s="35" t="s">
        <v>16489</v>
      </c>
      <c r="Q4212" s="13" t="s">
        <v>75</v>
      </c>
      <c r="R4212" s="13" t="s">
        <v>75</v>
      </c>
      <c r="S4212" s="13" t="s">
        <v>50</v>
      </c>
      <c r="T4212" s="44">
        <v>45818.41245873843</v>
      </c>
      <c r="U4212" s="44">
        <v>45838.569427256945</v>
      </c>
      <c r="V4212" s="44">
        <v>45839.3775824537</v>
      </c>
      <c r="W4212" s="11"/>
      <c r="X4212" s="11"/>
      <c r="Y4212" s="45">
        <v>302.0</v>
      </c>
      <c r="Z4212" s="45" t="s">
        <v>16490</v>
      </c>
      <c r="AA4212" s="31"/>
      <c r="AB4212" s="45" t="s">
        <v>16491</v>
      </c>
      <c r="AC4212" s="45"/>
    </row>
    <row r="4213" ht="18.75" customHeight="1">
      <c r="A4213" s="142" t="s">
        <v>16492</v>
      </c>
      <c r="B4213" s="19" t="s">
        <v>16493</v>
      </c>
      <c r="C4213" s="20">
        <v>0.0</v>
      </c>
      <c r="D4213" s="211" t="s">
        <v>16494</v>
      </c>
      <c r="E4213" s="27" t="s">
        <v>4430</v>
      </c>
      <c r="F4213" s="27" t="s">
        <v>48</v>
      </c>
      <c r="G4213" s="18" t="s">
        <v>35</v>
      </c>
      <c r="H4213" s="40" t="s">
        <v>35</v>
      </c>
      <c r="I4213" s="37" t="s">
        <v>36</v>
      </c>
      <c r="J4213" s="25" t="s">
        <v>49</v>
      </c>
      <c r="K4213" s="26" t="s">
        <v>805</v>
      </c>
      <c r="L4213" s="72">
        <v>13259.0</v>
      </c>
      <c r="M4213" s="49" t="s">
        <v>73</v>
      </c>
      <c r="N4213" s="42" t="s">
        <v>143</v>
      </c>
      <c r="O4213" s="67">
        <v>45826.60083052084</v>
      </c>
      <c r="P4213" s="35" t="s">
        <v>16495</v>
      </c>
      <c r="Q4213" s="13" t="s">
        <v>75</v>
      </c>
      <c r="R4213" s="13" t="s">
        <v>75</v>
      </c>
      <c r="S4213" s="13" t="s">
        <v>73</v>
      </c>
      <c r="T4213" s="44">
        <v>45825.63602900463</v>
      </c>
      <c r="U4213" s="44">
        <v>45825.63604803241</v>
      </c>
      <c r="V4213" s="44">
        <v>45826.4582219213</v>
      </c>
      <c r="W4213" s="11"/>
      <c r="X4213" s="11"/>
      <c r="Y4213" s="45">
        <v>302.0</v>
      </c>
      <c r="Z4213" s="45" t="s">
        <v>16496</v>
      </c>
      <c r="AA4213" s="31"/>
      <c r="AB4213" s="45" t="s">
        <v>16497</v>
      </c>
      <c r="AC4213" s="45"/>
    </row>
    <row r="4214" ht="18.75" customHeight="1">
      <c r="A4214" s="18" t="s">
        <v>16498</v>
      </c>
      <c r="B4214" s="19" t="s">
        <v>147</v>
      </c>
      <c r="C4214" s="20">
        <v>137.0</v>
      </c>
      <c r="D4214" s="211" t="s">
        <v>16499</v>
      </c>
      <c r="E4214" s="27" t="s">
        <v>85</v>
      </c>
      <c r="F4214" s="27" t="s">
        <v>48</v>
      </c>
      <c r="G4214" s="18" t="s">
        <v>35</v>
      </c>
      <c r="H4214" s="40" t="s">
        <v>35</v>
      </c>
      <c r="I4214" s="37" t="s">
        <v>36</v>
      </c>
      <c r="J4214" s="25" t="s">
        <v>65</v>
      </c>
      <c r="K4214" s="26" t="s">
        <v>38</v>
      </c>
      <c r="L4214" s="72">
        <v>13216.0</v>
      </c>
      <c r="M4214" s="49" t="s">
        <v>50</v>
      </c>
      <c r="N4214" s="42" t="s">
        <v>4908</v>
      </c>
      <c r="O4214" s="67">
        <v>45819.64290479167</v>
      </c>
      <c r="P4214" s="35" t="s">
        <v>15829</v>
      </c>
      <c r="Q4214" s="13" t="s">
        <v>75</v>
      </c>
      <c r="R4214" s="13" t="s">
        <v>75</v>
      </c>
      <c r="S4214" s="13" t="s">
        <v>50</v>
      </c>
      <c r="T4214" s="44">
        <v>45818.42399138889</v>
      </c>
      <c r="U4214" s="44">
        <v>45818.6834772338</v>
      </c>
      <c r="V4214" s="44">
        <v>45819.34023769676</v>
      </c>
      <c r="W4214" s="11"/>
      <c r="X4214" s="11"/>
      <c r="Y4214" s="45">
        <v>302.0</v>
      </c>
      <c r="Z4214" s="45" t="s">
        <v>16500</v>
      </c>
      <c r="AA4214" s="31"/>
      <c r="AB4214" s="45" t="s">
        <v>16501</v>
      </c>
      <c r="AC4214" s="45"/>
    </row>
    <row r="4215" ht="18.75" customHeight="1">
      <c r="A4215" s="18" t="s">
        <v>16502</v>
      </c>
      <c r="B4215" s="19" t="s">
        <v>147</v>
      </c>
      <c r="C4215" s="20">
        <v>137.0</v>
      </c>
      <c r="D4215" s="211" t="s">
        <v>16503</v>
      </c>
      <c r="E4215" s="27" t="s">
        <v>85</v>
      </c>
      <c r="F4215" s="27" t="s">
        <v>48</v>
      </c>
      <c r="G4215" s="18" t="s">
        <v>35</v>
      </c>
      <c r="H4215" s="40" t="s">
        <v>35</v>
      </c>
      <c r="I4215" s="37" t="s">
        <v>36</v>
      </c>
      <c r="J4215" s="25" t="s">
        <v>65</v>
      </c>
      <c r="K4215" s="26" t="s">
        <v>38</v>
      </c>
      <c r="L4215" s="72">
        <v>13216.0</v>
      </c>
      <c r="M4215" s="49" t="s">
        <v>50</v>
      </c>
      <c r="N4215" s="42" t="s">
        <v>4908</v>
      </c>
      <c r="O4215" s="67">
        <v>45819.64285956019</v>
      </c>
      <c r="P4215" s="35" t="s">
        <v>15829</v>
      </c>
      <c r="Q4215" s="13" t="s">
        <v>75</v>
      </c>
      <c r="R4215" s="13" t="s">
        <v>75</v>
      </c>
      <c r="S4215" s="13" t="s">
        <v>50</v>
      </c>
      <c r="T4215" s="44">
        <v>45818.42405725694</v>
      </c>
      <c r="U4215" s="44">
        <v>45818.68343988426</v>
      </c>
      <c r="V4215" s="44">
        <v>45819.340132916666</v>
      </c>
      <c r="W4215" s="11"/>
      <c r="X4215" s="11"/>
      <c r="Y4215" s="45">
        <v>302.0</v>
      </c>
      <c r="Z4215" s="45" t="s">
        <v>16504</v>
      </c>
      <c r="AA4215" s="31"/>
      <c r="AB4215" s="45" t="s">
        <v>16505</v>
      </c>
      <c r="AC4215" s="45"/>
    </row>
    <row r="4216" ht="18.75" customHeight="1">
      <c r="A4216" s="142" t="s">
        <v>16506</v>
      </c>
      <c r="B4216" s="19" t="s">
        <v>4313</v>
      </c>
      <c r="C4216" s="20">
        <v>0.0</v>
      </c>
      <c r="D4216" s="216" t="s">
        <v>16507</v>
      </c>
      <c r="E4216" s="27" t="s">
        <v>11503</v>
      </c>
      <c r="F4216" s="27" t="s">
        <v>11504</v>
      </c>
      <c r="G4216" s="18" t="s">
        <v>35</v>
      </c>
      <c r="H4216" s="40" t="s">
        <v>35</v>
      </c>
      <c r="I4216" s="37" t="s">
        <v>36</v>
      </c>
      <c r="J4216" s="25" t="s">
        <v>92</v>
      </c>
      <c r="K4216" s="26" t="s">
        <v>38</v>
      </c>
      <c r="L4216" s="72">
        <v>13209.0</v>
      </c>
      <c r="M4216" s="49" t="s">
        <v>50</v>
      </c>
      <c r="N4216" s="42" t="s">
        <v>136</v>
      </c>
      <c r="O4216" s="67">
        <v>45819.57322116898</v>
      </c>
      <c r="P4216" s="35" t="s">
        <v>16508</v>
      </c>
      <c r="Q4216" s="13" t="s">
        <v>75</v>
      </c>
      <c r="R4216" s="13" t="s">
        <v>75</v>
      </c>
      <c r="S4216" s="13" t="s">
        <v>50</v>
      </c>
      <c r="T4216" s="44">
        <v>45818.426065486114</v>
      </c>
      <c r="U4216" s="44">
        <v>45818.55840199074</v>
      </c>
      <c r="V4216" s="44">
        <v>45818.70703767361</v>
      </c>
      <c r="W4216" s="11"/>
      <c r="X4216" s="11"/>
      <c r="Y4216" s="45">
        <v>302.0</v>
      </c>
      <c r="Z4216" s="45" t="s">
        <v>16509</v>
      </c>
      <c r="AA4216" s="31"/>
      <c r="AB4216" s="45" t="s">
        <v>16510</v>
      </c>
      <c r="AC4216" s="45"/>
    </row>
    <row r="4217" ht="18.75" customHeight="1">
      <c r="A4217" s="142" t="s">
        <v>16511</v>
      </c>
      <c r="B4217" s="19" t="s">
        <v>3289</v>
      </c>
      <c r="C4217" s="20">
        <v>0.0</v>
      </c>
      <c r="D4217" s="217">
        <v>20045.0</v>
      </c>
      <c r="E4217" s="27" t="s">
        <v>713</v>
      </c>
      <c r="F4217" s="27" t="s">
        <v>33</v>
      </c>
      <c r="G4217" s="18" t="s">
        <v>35</v>
      </c>
      <c r="H4217" s="40" t="s">
        <v>35</v>
      </c>
      <c r="I4217" s="37" t="s">
        <v>36</v>
      </c>
      <c r="J4217" s="25" t="s">
        <v>92</v>
      </c>
      <c r="K4217" s="26" t="s">
        <v>38</v>
      </c>
      <c r="L4217" s="72">
        <v>13222.0</v>
      </c>
      <c r="M4217" s="49" t="s">
        <v>50</v>
      </c>
      <c r="N4217" s="42" t="s">
        <v>16512</v>
      </c>
      <c r="O4217" s="67">
        <v>45838.68529681713</v>
      </c>
      <c r="P4217" s="35" t="s">
        <v>16513</v>
      </c>
      <c r="Q4217" s="13" t="s">
        <v>75</v>
      </c>
      <c r="R4217" s="13" t="s">
        <v>75</v>
      </c>
      <c r="S4217" s="13" t="s">
        <v>9620</v>
      </c>
      <c r="T4217" s="44">
        <v>45818.428230011574</v>
      </c>
      <c r="U4217" s="44">
        <v>45818.47556346065</v>
      </c>
      <c r="V4217" s="44">
        <v>45819.29444525463</v>
      </c>
      <c r="W4217" s="11"/>
      <c r="X4217" s="11"/>
      <c r="Y4217" s="45">
        <v>302.0</v>
      </c>
      <c r="Z4217" s="45" t="s">
        <v>16514</v>
      </c>
      <c r="AA4217" s="31"/>
      <c r="AB4217" s="45" t="s">
        <v>16515</v>
      </c>
      <c r="AC4217" s="45"/>
    </row>
    <row r="4218" ht="18.75" customHeight="1">
      <c r="A4218" s="142" t="s">
        <v>16516</v>
      </c>
      <c r="B4218" s="19" t="s">
        <v>4313</v>
      </c>
      <c r="C4218" s="20">
        <v>0.0</v>
      </c>
      <c r="D4218" s="216" t="s">
        <v>16517</v>
      </c>
      <c r="E4218" s="27" t="s">
        <v>11503</v>
      </c>
      <c r="F4218" s="27" t="s">
        <v>11504</v>
      </c>
      <c r="G4218" s="18" t="s">
        <v>35</v>
      </c>
      <c r="H4218" s="40" t="s">
        <v>35</v>
      </c>
      <c r="I4218" s="37" t="s">
        <v>36</v>
      </c>
      <c r="J4218" s="25" t="s">
        <v>92</v>
      </c>
      <c r="K4218" s="26" t="s">
        <v>38</v>
      </c>
      <c r="L4218" s="72">
        <v>13210.0</v>
      </c>
      <c r="M4218" s="49" t="s">
        <v>50</v>
      </c>
      <c r="N4218" s="42" t="s">
        <v>136</v>
      </c>
      <c r="O4218" s="67">
        <v>45819.57355552084</v>
      </c>
      <c r="P4218" s="35" t="s">
        <v>16518</v>
      </c>
      <c r="Q4218" s="13" t="s">
        <v>75</v>
      </c>
      <c r="R4218" s="13" t="s">
        <v>75</v>
      </c>
      <c r="S4218" s="13" t="s">
        <v>50</v>
      </c>
      <c r="T4218" s="44">
        <v>45818.4290805787</v>
      </c>
      <c r="U4218" s="44">
        <v>45818.47340023148</v>
      </c>
      <c r="V4218" s="44">
        <v>45818.70697371528</v>
      </c>
      <c r="W4218" s="11"/>
      <c r="X4218" s="11"/>
      <c r="Y4218" s="45">
        <v>302.0</v>
      </c>
      <c r="Z4218" s="45" t="s">
        <v>16519</v>
      </c>
      <c r="AA4218" s="31"/>
      <c r="AB4218" s="45" t="s">
        <v>16520</v>
      </c>
      <c r="AC4218" s="45"/>
    </row>
    <row r="4219" ht="18.75" customHeight="1">
      <c r="A4219" s="142" t="s">
        <v>16521</v>
      </c>
      <c r="B4219" s="19" t="s">
        <v>16522</v>
      </c>
      <c r="C4219" s="20">
        <v>0.0</v>
      </c>
      <c r="D4219" s="216" t="s">
        <v>16523</v>
      </c>
      <c r="E4219" s="27" t="s">
        <v>11503</v>
      </c>
      <c r="F4219" s="27" t="s">
        <v>11504</v>
      </c>
      <c r="G4219" s="18" t="s">
        <v>35</v>
      </c>
      <c r="H4219" s="40" t="s">
        <v>35</v>
      </c>
      <c r="I4219" s="37" t="s">
        <v>36</v>
      </c>
      <c r="J4219" s="25" t="s">
        <v>92</v>
      </c>
      <c r="K4219" s="26" t="s">
        <v>38</v>
      </c>
      <c r="L4219" s="72">
        <v>13211.0</v>
      </c>
      <c r="M4219" s="49" t="s">
        <v>50</v>
      </c>
      <c r="N4219" s="42" t="s">
        <v>136</v>
      </c>
      <c r="O4219" s="67">
        <v>45819.57363033565</v>
      </c>
      <c r="P4219" s="35" t="s">
        <v>16524</v>
      </c>
      <c r="Q4219" s="13" t="s">
        <v>75</v>
      </c>
      <c r="R4219" s="13" t="s">
        <v>75</v>
      </c>
      <c r="S4219" s="13" t="s">
        <v>50</v>
      </c>
      <c r="T4219" s="44">
        <v>45818.43173542824</v>
      </c>
      <c r="U4219" s="44">
        <v>45818.47887162037</v>
      </c>
      <c r="V4219" s="44">
        <v>45818.70703766204</v>
      </c>
      <c r="W4219" s="11"/>
      <c r="X4219" s="11"/>
      <c r="Y4219" s="45">
        <v>302.0</v>
      </c>
      <c r="Z4219" s="45" t="s">
        <v>16525</v>
      </c>
      <c r="AA4219" s="31"/>
      <c r="AB4219" s="45" t="s">
        <v>16526</v>
      </c>
      <c r="AC4219" s="45"/>
    </row>
    <row r="4220" ht="18.75" customHeight="1">
      <c r="A4220" s="18" t="s">
        <v>16527</v>
      </c>
      <c r="B4220" s="19" t="s">
        <v>4313</v>
      </c>
      <c r="C4220" s="20">
        <v>0.0</v>
      </c>
      <c r="D4220" s="216" t="s">
        <v>16528</v>
      </c>
      <c r="E4220" s="27" t="s">
        <v>11503</v>
      </c>
      <c r="F4220" s="27" t="s">
        <v>11504</v>
      </c>
      <c r="G4220" s="18" t="s">
        <v>35</v>
      </c>
      <c r="H4220" s="40" t="s">
        <v>35</v>
      </c>
      <c r="I4220" s="37" t="s">
        <v>36</v>
      </c>
      <c r="J4220" s="25" t="s">
        <v>92</v>
      </c>
      <c r="K4220" s="26" t="s">
        <v>38</v>
      </c>
      <c r="L4220" s="72">
        <v>13212.0</v>
      </c>
      <c r="M4220" s="49" t="s">
        <v>50</v>
      </c>
      <c r="N4220" s="42" t="s">
        <v>136</v>
      </c>
      <c r="O4220" s="67">
        <v>45819.573334120374</v>
      </c>
      <c r="P4220" s="35" t="s">
        <v>16529</v>
      </c>
      <c r="Q4220" s="13" t="s">
        <v>75</v>
      </c>
      <c r="R4220" s="13" t="s">
        <v>75</v>
      </c>
      <c r="S4220" s="13" t="s">
        <v>50</v>
      </c>
      <c r="T4220" s="44">
        <v>45818.43264998843</v>
      </c>
      <c r="U4220" s="44">
        <v>45818.64340777778</v>
      </c>
      <c r="V4220" s="44">
        <v>45818.70703767361</v>
      </c>
      <c r="W4220" s="11"/>
      <c r="X4220" s="11"/>
      <c r="Y4220" s="45">
        <v>302.0</v>
      </c>
      <c r="Z4220" s="45" t="s">
        <v>16530</v>
      </c>
      <c r="AA4220" s="31"/>
      <c r="AB4220" s="45" t="s">
        <v>16531</v>
      </c>
      <c r="AC4220" s="45"/>
    </row>
    <row r="4221" ht="18.75" customHeight="1">
      <c r="A4221" s="18" t="s">
        <v>16532</v>
      </c>
      <c r="B4221" s="19" t="s">
        <v>4313</v>
      </c>
      <c r="C4221" s="20">
        <v>0.0</v>
      </c>
      <c r="D4221" s="216" t="s">
        <v>16533</v>
      </c>
      <c r="E4221" s="27" t="s">
        <v>11503</v>
      </c>
      <c r="F4221" s="27" t="s">
        <v>11504</v>
      </c>
      <c r="G4221" s="18" t="s">
        <v>35</v>
      </c>
      <c r="H4221" s="40" t="s">
        <v>35</v>
      </c>
      <c r="I4221" s="37" t="s">
        <v>36</v>
      </c>
      <c r="J4221" s="25" t="s">
        <v>92</v>
      </c>
      <c r="K4221" s="26" t="s">
        <v>38</v>
      </c>
      <c r="L4221" s="72">
        <v>13212.0</v>
      </c>
      <c r="M4221" s="49" t="s">
        <v>50</v>
      </c>
      <c r="N4221" s="42" t="s">
        <v>136</v>
      </c>
      <c r="O4221" s="67">
        <v>45819.57341261574</v>
      </c>
      <c r="P4221" s="35" t="s">
        <v>16529</v>
      </c>
      <c r="Q4221" s="13" t="s">
        <v>75</v>
      </c>
      <c r="R4221" s="13" t="s">
        <v>75</v>
      </c>
      <c r="S4221" s="13" t="s">
        <v>50</v>
      </c>
      <c r="T4221" s="44">
        <v>45818.43270625</v>
      </c>
      <c r="U4221" s="44">
        <v>45818.64334550926</v>
      </c>
      <c r="V4221" s="44">
        <v>45818.70703767361</v>
      </c>
      <c r="W4221" s="11"/>
      <c r="X4221" s="11"/>
      <c r="Y4221" s="45">
        <v>302.0</v>
      </c>
      <c r="Z4221" s="45" t="s">
        <v>16534</v>
      </c>
      <c r="AA4221" s="31"/>
      <c r="AB4221" s="45" t="s">
        <v>16535</v>
      </c>
      <c r="AC4221" s="45"/>
    </row>
    <row r="4222" ht="18.75" customHeight="1">
      <c r="A4222" s="142" t="s">
        <v>16536</v>
      </c>
      <c r="B4222" s="19" t="s">
        <v>16537</v>
      </c>
      <c r="C4222" s="20">
        <v>0.0</v>
      </c>
      <c r="D4222" s="48" t="s">
        <v>16538</v>
      </c>
      <c r="E4222" s="27" t="s">
        <v>3441</v>
      </c>
      <c r="F4222" s="27" t="s">
        <v>48</v>
      </c>
      <c r="G4222" s="18" t="s">
        <v>35</v>
      </c>
      <c r="H4222" s="40" t="s">
        <v>35</v>
      </c>
      <c r="I4222" s="24" t="s">
        <v>36</v>
      </c>
      <c r="J4222" s="25" t="s">
        <v>92</v>
      </c>
      <c r="K4222" s="26" t="s">
        <v>38</v>
      </c>
      <c r="L4222" s="34">
        <v>13223.0</v>
      </c>
      <c r="M4222" s="152" t="s">
        <v>16539</v>
      </c>
      <c r="N4222" s="42"/>
      <c r="O4222" s="209">
        <v>45819.40761451389</v>
      </c>
      <c r="P4222" s="35" t="s">
        <v>16540</v>
      </c>
      <c r="Q4222" s="13" t="s">
        <v>75</v>
      </c>
      <c r="R4222" s="13" t="s">
        <v>75</v>
      </c>
      <c r="S4222" s="14" t="s">
        <v>16541</v>
      </c>
      <c r="T4222" s="44">
        <v>45819.37947814815</v>
      </c>
      <c r="U4222" s="44">
        <v>45819.402028888886</v>
      </c>
      <c r="V4222" s="69">
        <v>45819.40774608796</v>
      </c>
      <c r="W4222" s="11"/>
      <c r="X4222" s="11"/>
      <c r="Y4222" s="45"/>
      <c r="Z4222" s="45"/>
      <c r="AA4222" s="31"/>
      <c r="AB4222" s="45" t="s">
        <v>16542</v>
      </c>
      <c r="AC4222" s="45"/>
    </row>
    <row r="4223" ht="18.75" customHeight="1">
      <c r="A4223" s="142" t="s">
        <v>16543</v>
      </c>
      <c r="B4223" s="19" t="s">
        <v>4885</v>
      </c>
      <c r="C4223" s="20">
        <v>27.0</v>
      </c>
      <c r="D4223" s="39" t="s">
        <v>16544</v>
      </c>
      <c r="E4223" s="27" t="s">
        <v>72</v>
      </c>
      <c r="F4223" s="22" t="s">
        <v>48</v>
      </c>
      <c r="G4223" s="18" t="s">
        <v>35</v>
      </c>
      <c r="H4223" s="40" t="s">
        <v>35</v>
      </c>
      <c r="I4223" s="37" t="s">
        <v>36</v>
      </c>
      <c r="J4223" s="25" t="s">
        <v>92</v>
      </c>
      <c r="K4223" s="26" t="s">
        <v>38</v>
      </c>
      <c r="L4223" s="72">
        <v>13217.0</v>
      </c>
      <c r="M4223" s="49" t="s">
        <v>73</v>
      </c>
      <c r="N4223" s="42" t="s">
        <v>16545</v>
      </c>
      <c r="O4223" s="67">
        <v>45847.579917361116</v>
      </c>
      <c r="P4223" s="35" t="s">
        <v>13574</v>
      </c>
      <c r="Q4223" s="13" t="s">
        <v>75</v>
      </c>
      <c r="R4223" s="13" t="s">
        <v>75</v>
      </c>
      <c r="S4223" s="13" t="s">
        <v>50</v>
      </c>
      <c r="T4223" s="44">
        <v>45818.440421493055</v>
      </c>
      <c r="U4223" s="44">
        <v>45818.47789516204</v>
      </c>
      <c r="V4223" s="44">
        <v>45819.34474804398</v>
      </c>
      <c r="W4223" s="11"/>
      <c r="X4223" s="11"/>
      <c r="Y4223" s="45">
        <v>302.0</v>
      </c>
      <c r="Z4223" s="45" t="s">
        <v>16546</v>
      </c>
      <c r="AA4223" s="31"/>
      <c r="AB4223" s="45" t="s">
        <v>16547</v>
      </c>
      <c r="AC4223" s="45"/>
    </row>
    <row r="4224" ht="18.75" customHeight="1">
      <c r="A4224" s="142" t="s">
        <v>16548</v>
      </c>
      <c r="B4224" s="19" t="s">
        <v>7303</v>
      </c>
      <c r="C4224" s="20">
        <v>11.0</v>
      </c>
      <c r="D4224" s="211" t="s">
        <v>16549</v>
      </c>
      <c r="E4224" s="27" t="s">
        <v>112</v>
      </c>
      <c r="F4224" s="27" t="s">
        <v>48</v>
      </c>
      <c r="G4224" s="18" t="s">
        <v>35</v>
      </c>
      <c r="H4224" s="40" t="s">
        <v>35</v>
      </c>
      <c r="I4224" s="37" t="s">
        <v>36</v>
      </c>
      <c r="J4224" s="25" t="s">
        <v>49</v>
      </c>
      <c r="K4224" s="26" t="s">
        <v>38</v>
      </c>
      <c r="L4224" s="72">
        <v>13218.0</v>
      </c>
      <c r="M4224" s="49" t="s">
        <v>50</v>
      </c>
      <c r="N4224" s="42" t="s">
        <v>143</v>
      </c>
      <c r="O4224" s="67">
        <v>45819.651029166664</v>
      </c>
      <c r="P4224" s="35" t="s">
        <v>15666</v>
      </c>
      <c r="Q4224" s="13" t="s">
        <v>75</v>
      </c>
      <c r="R4224" s="13" t="s">
        <v>75</v>
      </c>
      <c r="S4224" s="13" t="s">
        <v>50</v>
      </c>
      <c r="T4224" s="44">
        <v>45818.61065290509</v>
      </c>
      <c r="U4224" s="44">
        <v>45818.64104120371</v>
      </c>
      <c r="V4224" s="44">
        <v>45819.348844374996</v>
      </c>
      <c r="W4224" s="11"/>
      <c r="X4224" s="11"/>
      <c r="Y4224" s="45">
        <v>302.0</v>
      </c>
      <c r="Z4224" s="45" t="s">
        <v>16550</v>
      </c>
      <c r="AA4224" s="31"/>
      <c r="AB4224" s="45" t="s">
        <v>16551</v>
      </c>
      <c r="AC4224" s="45"/>
    </row>
    <row r="4225" ht="18.75" customHeight="1">
      <c r="A4225" s="142" t="s">
        <v>16552</v>
      </c>
      <c r="B4225" s="19" t="s">
        <v>16553</v>
      </c>
      <c r="C4225" s="20">
        <v>0.0</v>
      </c>
      <c r="D4225" s="217">
        <v>20065.0</v>
      </c>
      <c r="E4225" s="27" t="s">
        <v>1911</v>
      </c>
      <c r="F4225" s="27" t="s">
        <v>244</v>
      </c>
      <c r="G4225" s="18" t="s">
        <v>35</v>
      </c>
      <c r="H4225" s="40" t="s">
        <v>35</v>
      </c>
      <c r="I4225" s="37" t="s">
        <v>36</v>
      </c>
      <c r="J4225" s="25" t="s">
        <v>49</v>
      </c>
      <c r="K4225" s="26" t="s">
        <v>38</v>
      </c>
      <c r="L4225" s="72">
        <v>13230.0</v>
      </c>
      <c r="M4225" s="49" t="s">
        <v>50</v>
      </c>
      <c r="N4225" s="42" t="s">
        <v>143</v>
      </c>
      <c r="O4225" s="67">
        <v>45820.56716224537</v>
      </c>
      <c r="P4225" s="35" t="s">
        <v>16554</v>
      </c>
      <c r="Q4225" s="13" t="s">
        <v>75</v>
      </c>
      <c r="R4225" s="13" t="s">
        <v>75</v>
      </c>
      <c r="S4225" s="13" t="s">
        <v>9620</v>
      </c>
      <c r="T4225" s="44">
        <v>45818.61255038195</v>
      </c>
      <c r="U4225" s="44">
        <v>45818.64778748843</v>
      </c>
      <c r="V4225" s="44">
        <v>45820.31191506944</v>
      </c>
      <c r="W4225" s="11"/>
      <c r="X4225" s="11"/>
      <c r="Y4225" s="45">
        <v>302.0</v>
      </c>
      <c r="Z4225" s="45" t="s">
        <v>16555</v>
      </c>
      <c r="AA4225" s="31"/>
      <c r="AB4225" s="45" t="s">
        <v>16556</v>
      </c>
      <c r="AC4225" s="45"/>
    </row>
    <row r="4226" ht="18.75" customHeight="1">
      <c r="A4226" s="142" t="s">
        <v>16557</v>
      </c>
      <c r="B4226" s="19" t="s">
        <v>15739</v>
      </c>
      <c r="C4226" s="20">
        <v>90.0</v>
      </c>
      <c r="D4226" s="211" t="s">
        <v>16558</v>
      </c>
      <c r="E4226" s="27" t="s">
        <v>91</v>
      </c>
      <c r="F4226" s="27" t="s">
        <v>48</v>
      </c>
      <c r="G4226" s="18" t="s">
        <v>35</v>
      </c>
      <c r="H4226" s="40" t="s">
        <v>35</v>
      </c>
      <c r="I4226" s="37" t="s">
        <v>36</v>
      </c>
      <c r="J4226" s="25" t="s">
        <v>65</v>
      </c>
      <c r="K4226" s="26" t="s">
        <v>38</v>
      </c>
      <c r="L4226" s="72">
        <v>13219.0</v>
      </c>
      <c r="M4226" s="49" t="s">
        <v>50</v>
      </c>
      <c r="N4226" s="42" t="s">
        <v>4908</v>
      </c>
      <c r="O4226" s="67">
        <v>45819.64295337963</v>
      </c>
      <c r="P4226" s="35" t="s">
        <v>16559</v>
      </c>
      <c r="Q4226" s="13" t="s">
        <v>75</v>
      </c>
      <c r="R4226" s="13" t="s">
        <v>75</v>
      </c>
      <c r="S4226" s="13" t="s">
        <v>50</v>
      </c>
      <c r="T4226" s="44">
        <v>45818.64980167824</v>
      </c>
      <c r="U4226" s="44">
        <v>45818.68577664351</v>
      </c>
      <c r="V4226" s="44">
        <v>45819.34029825231</v>
      </c>
      <c r="W4226" s="11"/>
      <c r="X4226" s="11"/>
      <c r="Y4226" s="45">
        <v>302.0</v>
      </c>
      <c r="Z4226" s="45" t="s">
        <v>16560</v>
      </c>
      <c r="AA4226" s="31"/>
      <c r="AB4226" s="45" t="s">
        <v>16561</v>
      </c>
      <c r="AC4226" s="45"/>
    </row>
    <row r="4227" ht="18.75" customHeight="1">
      <c r="A4227" s="142" t="s">
        <v>16562</v>
      </c>
      <c r="B4227" s="19" t="s">
        <v>16563</v>
      </c>
      <c r="C4227" s="20">
        <v>0.0</v>
      </c>
      <c r="D4227" s="211" t="s">
        <v>16564</v>
      </c>
      <c r="E4227" s="27" t="s">
        <v>3441</v>
      </c>
      <c r="F4227" s="27" t="s">
        <v>48</v>
      </c>
      <c r="G4227" s="18" t="s">
        <v>35</v>
      </c>
      <c r="H4227" s="40" t="s">
        <v>35</v>
      </c>
      <c r="I4227" s="37" t="s">
        <v>36</v>
      </c>
      <c r="J4227" s="25" t="s">
        <v>65</v>
      </c>
      <c r="K4227" s="26" t="s">
        <v>38</v>
      </c>
      <c r="L4227" s="72">
        <v>13220.0</v>
      </c>
      <c r="M4227" s="49" t="s">
        <v>50</v>
      </c>
      <c r="N4227" s="42" t="s">
        <v>4908</v>
      </c>
      <c r="O4227" s="67">
        <v>45819.64300170139</v>
      </c>
      <c r="P4227" s="35" t="s">
        <v>16565</v>
      </c>
      <c r="Q4227" s="13" t="s">
        <v>75</v>
      </c>
      <c r="R4227" s="13" t="s">
        <v>75</v>
      </c>
      <c r="S4227" s="13" t="s">
        <v>50</v>
      </c>
      <c r="T4227" s="44">
        <v>45818.65661907407</v>
      </c>
      <c r="U4227" s="44">
        <v>45818.68522076389</v>
      </c>
      <c r="V4227" s="44">
        <v>45819.344455625</v>
      </c>
      <c r="W4227" s="11"/>
      <c r="X4227" s="11"/>
      <c r="Y4227" s="45">
        <v>302.0</v>
      </c>
      <c r="Z4227" s="45" t="s">
        <v>16566</v>
      </c>
      <c r="AA4227" s="31"/>
      <c r="AB4227" s="45" t="s">
        <v>16567</v>
      </c>
      <c r="AC4227" s="45"/>
    </row>
    <row r="4228" ht="18.75" customHeight="1">
      <c r="A4228" s="142" t="s">
        <v>16568</v>
      </c>
      <c r="B4228" s="19" t="s">
        <v>15712</v>
      </c>
      <c r="C4228" s="20">
        <v>0.0</v>
      </c>
      <c r="D4228" s="211" t="s">
        <v>16569</v>
      </c>
      <c r="E4228" s="27" t="s">
        <v>3441</v>
      </c>
      <c r="F4228" s="27" t="s">
        <v>48</v>
      </c>
      <c r="G4228" s="18" t="s">
        <v>35</v>
      </c>
      <c r="H4228" s="40" t="s">
        <v>35</v>
      </c>
      <c r="I4228" s="37" t="s">
        <v>36</v>
      </c>
      <c r="J4228" s="25" t="s">
        <v>65</v>
      </c>
      <c r="K4228" s="26" t="s">
        <v>38</v>
      </c>
      <c r="L4228" s="72">
        <v>13291.0</v>
      </c>
      <c r="M4228" s="49" t="s">
        <v>50</v>
      </c>
      <c r="N4228" s="42" t="s">
        <v>14854</v>
      </c>
      <c r="O4228" s="67">
        <v>45833.64460131944</v>
      </c>
      <c r="P4228" s="35" t="s">
        <v>14372</v>
      </c>
      <c r="Q4228" s="13" t="s">
        <v>75</v>
      </c>
      <c r="R4228" s="13" t="s">
        <v>75</v>
      </c>
      <c r="S4228" s="13" t="s">
        <v>50</v>
      </c>
      <c r="T4228" s="44">
        <v>45819.57531612269</v>
      </c>
      <c r="U4228" s="44">
        <v>45833.447575196755</v>
      </c>
      <c r="V4228" s="44">
        <v>45833.46259912037</v>
      </c>
      <c r="W4228" s="11"/>
      <c r="X4228" s="11"/>
      <c r="Y4228" s="207">
        <v>302.0</v>
      </c>
      <c r="Z4228" s="45" t="s">
        <v>16570</v>
      </c>
      <c r="AA4228" s="31"/>
      <c r="AB4228" s="45" t="s">
        <v>16571</v>
      </c>
      <c r="AC4228" s="45"/>
    </row>
    <row r="4229" ht="18.75" customHeight="1">
      <c r="A4229" s="142" t="s">
        <v>16572</v>
      </c>
      <c r="B4229" s="19" t="s">
        <v>3645</v>
      </c>
      <c r="C4229" s="20">
        <v>27.0</v>
      </c>
      <c r="D4229" s="39" t="s">
        <v>16573</v>
      </c>
      <c r="E4229" s="27" t="s">
        <v>72</v>
      </c>
      <c r="F4229" s="27" t="s">
        <v>48</v>
      </c>
      <c r="G4229" s="18" t="s">
        <v>35</v>
      </c>
      <c r="H4229" s="40" t="s">
        <v>35</v>
      </c>
      <c r="I4229" s="37" t="s">
        <v>36</v>
      </c>
      <c r="J4229" s="25" t="s">
        <v>49</v>
      </c>
      <c r="K4229" s="26" t="s">
        <v>38</v>
      </c>
      <c r="L4229" s="72">
        <v>13227.0</v>
      </c>
      <c r="M4229" s="49" t="s">
        <v>50</v>
      </c>
      <c r="N4229" s="42" t="s">
        <v>143</v>
      </c>
      <c r="O4229" s="67">
        <v>45819.65107670139</v>
      </c>
      <c r="P4229" s="35" t="s">
        <v>16574</v>
      </c>
      <c r="Q4229" s="13" t="s">
        <v>75</v>
      </c>
      <c r="R4229" s="13" t="s">
        <v>75</v>
      </c>
      <c r="S4229" s="13" t="s">
        <v>50</v>
      </c>
      <c r="T4229" s="44">
        <v>45818.6596628588</v>
      </c>
      <c r="U4229" s="44">
        <v>45819.509970486106</v>
      </c>
      <c r="V4229" s="44">
        <v>45819.56423736111</v>
      </c>
      <c r="W4229" s="11"/>
      <c r="X4229" s="11"/>
      <c r="Y4229" s="45">
        <v>302.0</v>
      </c>
      <c r="Z4229" s="45" t="s">
        <v>16575</v>
      </c>
      <c r="AA4229" s="31"/>
      <c r="AB4229" s="45" t="s">
        <v>16576</v>
      </c>
      <c r="AC4229" s="45"/>
    </row>
    <row r="4230" ht="18.75" customHeight="1">
      <c r="A4230" s="142" t="s">
        <v>16577</v>
      </c>
      <c r="B4230" s="19" t="s">
        <v>16578</v>
      </c>
      <c r="C4230" s="20">
        <v>0.0</v>
      </c>
      <c r="D4230" s="211" t="s">
        <v>16579</v>
      </c>
      <c r="E4230" s="27" t="s">
        <v>3441</v>
      </c>
      <c r="F4230" s="27" t="s">
        <v>48</v>
      </c>
      <c r="G4230" s="18" t="s">
        <v>35</v>
      </c>
      <c r="H4230" s="40" t="s">
        <v>35</v>
      </c>
      <c r="I4230" s="37" t="s">
        <v>36</v>
      </c>
      <c r="J4230" s="25" t="s">
        <v>65</v>
      </c>
      <c r="K4230" s="26" t="s">
        <v>38</v>
      </c>
      <c r="L4230" s="72">
        <v>13221.0</v>
      </c>
      <c r="M4230" s="49" t="s">
        <v>50</v>
      </c>
      <c r="N4230" s="42" t="s">
        <v>4908</v>
      </c>
      <c r="O4230" s="67">
        <v>45819.643049606486</v>
      </c>
      <c r="P4230" s="35" t="s">
        <v>14372</v>
      </c>
      <c r="Q4230" s="13" t="s">
        <v>75</v>
      </c>
      <c r="R4230" s="13" t="s">
        <v>75</v>
      </c>
      <c r="S4230" s="13" t="s">
        <v>50</v>
      </c>
      <c r="T4230" s="44">
        <v>45818.66102960648</v>
      </c>
      <c r="U4230" s="44">
        <v>45818.68627046296</v>
      </c>
      <c r="V4230" s="44">
        <v>45819.344455625</v>
      </c>
      <c r="W4230" s="11"/>
      <c r="X4230" s="11"/>
      <c r="Y4230" s="45">
        <v>302.0</v>
      </c>
      <c r="Z4230" s="45" t="s">
        <v>16580</v>
      </c>
      <c r="AA4230" s="31"/>
      <c r="AB4230" s="45" t="s">
        <v>16581</v>
      </c>
      <c r="AC4230" s="45"/>
    </row>
    <row r="4231" ht="18.75" customHeight="1">
      <c r="A4231" s="142" t="s">
        <v>16582</v>
      </c>
      <c r="B4231" s="19" t="s">
        <v>16583</v>
      </c>
      <c r="C4231" s="20">
        <v>0.0</v>
      </c>
      <c r="D4231" s="211" t="s">
        <v>16584</v>
      </c>
      <c r="E4231" s="27" t="s">
        <v>4430</v>
      </c>
      <c r="F4231" s="27" t="s">
        <v>48</v>
      </c>
      <c r="G4231" s="18" t="s">
        <v>35</v>
      </c>
      <c r="H4231" s="40" t="s">
        <v>35</v>
      </c>
      <c r="I4231" s="37" t="s">
        <v>36</v>
      </c>
      <c r="J4231" s="25" t="s">
        <v>65</v>
      </c>
      <c r="K4231" s="26" t="s">
        <v>38</v>
      </c>
      <c r="L4231" s="72">
        <v>13228.0</v>
      </c>
      <c r="M4231" s="49" t="s">
        <v>50</v>
      </c>
      <c r="N4231" s="42" t="s">
        <v>4908</v>
      </c>
      <c r="O4231" s="67">
        <v>45819.64310674768</v>
      </c>
      <c r="P4231" s="35" t="s">
        <v>16585</v>
      </c>
      <c r="Q4231" s="13" t="s">
        <v>75</v>
      </c>
      <c r="R4231" s="13" t="s">
        <v>75</v>
      </c>
      <c r="S4231" s="13" t="s">
        <v>50</v>
      </c>
      <c r="T4231" s="44">
        <v>45818.6624952662</v>
      </c>
      <c r="U4231" s="44">
        <v>45818.68851057871</v>
      </c>
      <c r="V4231" s="44">
        <v>45819.55653065973</v>
      </c>
      <c r="W4231" s="11"/>
      <c r="X4231" s="11"/>
      <c r="Y4231" s="207">
        <v>302.0</v>
      </c>
      <c r="Z4231" s="45" t="s">
        <v>16586</v>
      </c>
      <c r="AA4231" s="31"/>
      <c r="AB4231" s="45" t="s">
        <v>16587</v>
      </c>
      <c r="AC4231" s="45"/>
    </row>
    <row r="4232" ht="18.75" customHeight="1">
      <c r="A4232" s="18" t="s">
        <v>16588</v>
      </c>
      <c r="B4232" s="19" t="s">
        <v>5287</v>
      </c>
      <c r="C4232" s="20">
        <v>1.0</v>
      </c>
      <c r="D4232" s="211" t="s">
        <v>16589</v>
      </c>
      <c r="E4232" s="27" t="s">
        <v>3395</v>
      </c>
      <c r="F4232" s="27" t="s">
        <v>48</v>
      </c>
      <c r="G4232" s="18" t="s">
        <v>35</v>
      </c>
      <c r="H4232" s="40" t="s">
        <v>35</v>
      </c>
      <c r="I4232" s="37" t="s">
        <v>36</v>
      </c>
      <c r="J4232" s="25" t="s">
        <v>49</v>
      </c>
      <c r="K4232" s="26" t="s">
        <v>12614</v>
      </c>
      <c r="L4232" s="72">
        <v>13316.0</v>
      </c>
      <c r="M4232" s="49" t="s">
        <v>73</v>
      </c>
      <c r="N4232" s="42" t="s">
        <v>9953</v>
      </c>
      <c r="O4232" s="67">
        <v>45838.63898854167</v>
      </c>
      <c r="P4232" s="35" t="s">
        <v>16590</v>
      </c>
      <c r="Q4232" s="13" t="s">
        <v>75</v>
      </c>
      <c r="R4232" s="13" t="s">
        <v>75</v>
      </c>
      <c r="S4232" s="13" t="s">
        <v>50</v>
      </c>
      <c r="T4232" s="44">
        <v>45819.67964287037</v>
      </c>
      <c r="U4232" s="44">
        <v>45835.64357050926</v>
      </c>
      <c r="V4232" s="44">
        <v>45838.376674259256</v>
      </c>
      <c r="W4232" s="11"/>
      <c r="X4232" s="11"/>
      <c r="Y4232" s="45">
        <v>302.0</v>
      </c>
      <c r="Z4232" s="45" t="s">
        <v>16591</v>
      </c>
      <c r="AA4232" s="31"/>
      <c r="AB4232" s="45" t="s">
        <v>16592</v>
      </c>
      <c r="AC4232" s="45"/>
    </row>
    <row r="4233" ht="18.75" customHeight="1">
      <c r="A4233" s="18" t="s">
        <v>16593</v>
      </c>
      <c r="B4233" s="19" t="s">
        <v>5287</v>
      </c>
      <c r="C4233" s="20">
        <v>1.0</v>
      </c>
      <c r="D4233" s="211" t="s">
        <v>16594</v>
      </c>
      <c r="E4233" s="27" t="s">
        <v>3395</v>
      </c>
      <c r="F4233" s="27" t="s">
        <v>48</v>
      </c>
      <c r="G4233" s="18" t="s">
        <v>35</v>
      </c>
      <c r="H4233" s="40" t="s">
        <v>35</v>
      </c>
      <c r="I4233" s="37" t="s">
        <v>36</v>
      </c>
      <c r="J4233" s="25" t="s">
        <v>49</v>
      </c>
      <c r="K4233" s="26" t="s">
        <v>12614</v>
      </c>
      <c r="L4233" s="72">
        <v>13316.0</v>
      </c>
      <c r="M4233" s="49" t="s">
        <v>73</v>
      </c>
      <c r="N4233" s="42" t="s">
        <v>9953</v>
      </c>
      <c r="O4233" s="67">
        <v>45838.63922496528</v>
      </c>
      <c r="P4233" s="35" t="s">
        <v>16590</v>
      </c>
      <c r="Q4233" s="13" t="s">
        <v>75</v>
      </c>
      <c r="R4233" s="13" t="s">
        <v>75</v>
      </c>
      <c r="S4233" s="13" t="s">
        <v>50</v>
      </c>
      <c r="T4233" s="44">
        <v>45819.67975638889</v>
      </c>
      <c r="U4233" s="44">
        <v>45835.64365686342</v>
      </c>
      <c r="V4233" s="44">
        <v>45838.376905682875</v>
      </c>
      <c r="W4233" s="11"/>
      <c r="X4233" s="11"/>
      <c r="Y4233" s="45">
        <v>302.0</v>
      </c>
      <c r="Z4233" s="45" t="s">
        <v>16595</v>
      </c>
      <c r="AA4233" s="31"/>
      <c r="AB4233" s="45" t="s">
        <v>16596</v>
      </c>
      <c r="AC4233" s="45"/>
    </row>
    <row r="4234" ht="18.75" customHeight="1">
      <c r="A4234" s="18" t="s">
        <v>16597</v>
      </c>
      <c r="B4234" s="19" t="s">
        <v>5287</v>
      </c>
      <c r="C4234" s="20">
        <v>0.0</v>
      </c>
      <c r="D4234" s="211" t="s">
        <v>16598</v>
      </c>
      <c r="E4234" s="27" t="s">
        <v>3441</v>
      </c>
      <c r="F4234" s="27" t="s">
        <v>48</v>
      </c>
      <c r="G4234" s="18" t="s">
        <v>35</v>
      </c>
      <c r="H4234" s="40" t="s">
        <v>35</v>
      </c>
      <c r="I4234" s="37" t="s">
        <v>36</v>
      </c>
      <c r="J4234" s="25" t="s">
        <v>49</v>
      </c>
      <c r="K4234" s="26" t="s">
        <v>12614</v>
      </c>
      <c r="L4234" s="72">
        <v>13316.0</v>
      </c>
      <c r="M4234" s="49" t="s">
        <v>73</v>
      </c>
      <c r="N4234" s="42" t="s">
        <v>9953</v>
      </c>
      <c r="O4234" s="67">
        <v>45838.63910534722</v>
      </c>
      <c r="P4234" s="35" t="s">
        <v>16590</v>
      </c>
      <c r="Q4234" s="13" t="s">
        <v>75</v>
      </c>
      <c r="R4234" s="13" t="s">
        <v>75</v>
      </c>
      <c r="S4234" s="13" t="s">
        <v>50</v>
      </c>
      <c r="T4234" s="44">
        <v>45819.679688449076</v>
      </c>
      <c r="U4234" s="44">
        <v>45835.643608240745</v>
      </c>
      <c r="V4234" s="44">
        <v>45838.3767903125</v>
      </c>
      <c r="W4234" s="11"/>
      <c r="X4234" s="11"/>
      <c r="Y4234" s="45">
        <v>302.0</v>
      </c>
      <c r="Z4234" s="45" t="s">
        <v>16599</v>
      </c>
      <c r="AA4234" s="31"/>
      <c r="AB4234" s="45" t="s">
        <v>16600</v>
      </c>
      <c r="AC4234" s="45"/>
    </row>
    <row r="4235" ht="18.75" customHeight="1">
      <c r="A4235" s="18" t="s">
        <v>16601</v>
      </c>
      <c r="B4235" s="19" t="s">
        <v>5287</v>
      </c>
      <c r="C4235" s="20">
        <v>27.0</v>
      </c>
      <c r="D4235" s="39" t="s">
        <v>16602</v>
      </c>
      <c r="E4235" s="27" t="s">
        <v>72</v>
      </c>
      <c r="F4235" s="27" t="s">
        <v>48</v>
      </c>
      <c r="G4235" s="18" t="s">
        <v>35</v>
      </c>
      <c r="H4235" s="40" t="s">
        <v>35</v>
      </c>
      <c r="I4235" s="37" t="s">
        <v>36</v>
      </c>
      <c r="J4235" s="25" t="s">
        <v>49</v>
      </c>
      <c r="K4235" s="26" t="s">
        <v>12614</v>
      </c>
      <c r="L4235" s="72">
        <v>13316.0</v>
      </c>
      <c r="M4235" s="49" t="s">
        <v>73</v>
      </c>
      <c r="N4235" s="42" t="s">
        <v>9953</v>
      </c>
      <c r="O4235" s="67">
        <v>45838.63916559028</v>
      </c>
      <c r="P4235" s="35" t="s">
        <v>16590</v>
      </c>
      <c r="Q4235" s="13" t="s">
        <v>75</v>
      </c>
      <c r="R4235" s="13" t="s">
        <v>75</v>
      </c>
      <c r="S4235" s="13" t="s">
        <v>50</v>
      </c>
      <c r="T4235" s="44">
        <v>45819.67972209491</v>
      </c>
      <c r="U4235" s="44">
        <v>45835.64363006945</v>
      </c>
      <c r="V4235" s="44">
        <v>45838.3767903125</v>
      </c>
      <c r="W4235" s="11"/>
      <c r="X4235" s="11"/>
      <c r="Y4235" s="45">
        <v>302.0</v>
      </c>
      <c r="Z4235" s="45" t="s">
        <v>16603</v>
      </c>
      <c r="AA4235" s="31"/>
      <c r="AB4235" s="45" t="s">
        <v>16604</v>
      </c>
      <c r="AC4235" s="45"/>
    </row>
    <row r="4236" ht="18.75" customHeight="1">
      <c r="A4236" s="142" t="s">
        <v>16605</v>
      </c>
      <c r="B4236" s="19" t="s">
        <v>473</v>
      </c>
      <c r="C4236" s="20">
        <v>11.0</v>
      </c>
      <c r="D4236" s="18" t="s">
        <v>16606</v>
      </c>
      <c r="E4236" s="27" t="s">
        <v>112</v>
      </c>
      <c r="F4236" s="27" t="s">
        <v>48</v>
      </c>
      <c r="G4236" s="18" t="s">
        <v>35</v>
      </c>
      <c r="H4236" s="40" t="s">
        <v>35</v>
      </c>
      <c r="I4236" s="37" t="s">
        <v>36</v>
      </c>
      <c r="J4236" s="25" t="s">
        <v>65</v>
      </c>
      <c r="K4236" s="26" t="s">
        <v>38</v>
      </c>
      <c r="L4236" s="72">
        <v>13231.0</v>
      </c>
      <c r="M4236" s="49" t="s">
        <v>50</v>
      </c>
      <c r="N4236" s="42" t="s">
        <v>4908</v>
      </c>
      <c r="O4236" s="67">
        <v>45820.66811329861</v>
      </c>
      <c r="P4236" s="35" t="s">
        <v>15829</v>
      </c>
      <c r="Q4236" s="13" t="s">
        <v>75</v>
      </c>
      <c r="R4236" s="13" t="s">
        <v>75</v>
      </c>
      <c r="S4236" s="13" t="s">
        <v>50</v>
      </c>
      <c r="T4236" s="44">
        <v>45819.418270787035</v>
      </c>
      <c r="U4236" s="44">
        <v>45820.37500673611</v>
      </c>
      <c r="V4236" s="44">
        <v>45820.42382872685</v>
      </c>
      <c r="W4236" s="11"/>
      <c r="X4236" s="11"/>
      <c r="Y4236" s="45">
        <v>302.0</v>
      </c>
      <c r="Z4236" s="45" t="s">
        <v>16607</v>
      </c>
      <c r="AA4236" s="31"/>
      <c r="AB4236" s="45" t="s">
        <v>16608</v>
      </c>
      <c r="AC4236" s="45"/>
    </row>
    <row r="4237" ht="18.75" customHeight="1">
      <c r="A4237" s="142" t="s">
        <v>16609</v>
      </c>
      <c r="B4237" s="19" t="s">
        <v>7868</v>
      </c>
      <c r="C4237" s="20">
        <v>27.0</v>
      </c>
      <c r="D4237" s="39" t="s">
        <v>16610</v>
      </c>
      <c r="E4237" s="27" t="s">
        <v>72</v>
      </c>
      <c r="F4237" s="27" t="s">
        <v>48</v>
      </c>
      <c r="G4237" s="18" t="s">
        <v>35</v>
      </c>
      <c r="H4237" s="40" t="s">
        <v>35</v>
      </c>
      <c r="I4237" s="37" t="s">
        <v>36</v>
      </c>
      <c r="J4237" s="25" t="s">
        <v>65</v>
      </c>
      <c r="K4237" s="26" t="s">
        <v>38</v>
      </c>
      <c r="L4237" s="72">
        <v>13232.0</v>
      </c>
      <c r="M4237" s="49" t="s">
        <v>50</v>
      </c>
      <c r="N4237" s="42" t="s">
        <v>4908</v>
      </c>
      <c r="O4237" s="67">
        <v>45820.66804534722</v>
      </c>
      <c r="P4237" s="35" t="s">
        <v>16611</v>
      </c>
      <c r="Q4237" s="13" t="s">
        <v>75</v>
      </c>
      <c r="R4237" s="13" t="s">
        <v>75</v>
      </c>
      <c r="S4237" s="13" t="s">
        <v>50</v>
      </c>
      <c r="T4237" s="44">
        <v>45819.4191720949</v>
      </c>
      <c r="U4237" s="44">
        <v>45820.37448366898</v>
      </c>
      <c r="V4237" s="44">
        <v>45820.42382872685</v>
      </c>
      <c r="W4237" s="11"/>
      <c r="X4237" s="11"/>
      <c r="Y4237" s="45">
        <v>302.0</v>
      </c>
      <c r="Z4237" s="45" t="s">
        <v>16612</v>
      </c>
      <c r="AA4237" s="31"/>
      <c r="AB4237" s="45" t="s">
        <v>16613</v>
      </c>
      <c r="AC4237" s="45"/>
    </row>
    <row r="4238" ht="18.75" customHeight="1">
      <c r="A4238" s="142" t="s">
        <v>16614</v>
      </c>
      <c r="B4238" s="19" t="s">
        <v>4941</v>
      </c>
      <c r="C4238" s="20">
        <v>1.0</v>
      </c>
      <c r="D4238" s="18" t="s">
        <v>16615</v>
      </c>
      <c r="E4238" s="27" t="s">
        <v>3395</v>
      </c>
      <c r="F4238" s="27" t="s">
        <v>48</v>
      </c>
      <c r="G4238" s="18" t="s">
        <v>35</v>
      </c>
      <c r="H4238" s="40" t="s">
        <v>35</v>
      </c>
      <c r="I4238" s="37" t="s">
        <v>36</v>
      </c>
      <c r="J4238" s="25" t="s">
        <v>49</v>
      </c>
      <c r="K4238" s="26" t="s">
        <v>38</v>
      </c>
      <c r="L4238" s="72">
        <v>13238.0</v>
      </c>
      <c r="M4238" s="49" t="s">
        <v>50</v>
      </c>
      <c r="N4238" s="42" t="s">
        <v>143</v>
      </c>
      <c r="O4238" s="67">
        <v>45820.56709810185</v>
      </c>
      <c r="P4238" s="35" t="s">
        <v>15666</v>
      </c>
      <c r="Q4238" s="13" t="s">
        <v>75</v>
      </c>
      <c r="R4238" s="13" t="s">
        <v>75</v>
      </c>
      <c r="S4238" s="13" t="s">
        <v>50</v>
      </c>
      <c r="T4238" s="44">
        <v>45820.469608831016</v>
      </c>
      <c r="U4238" s="44">
        <v>45820.48270518519</v>
      </c>
      <c r="V4238" s="44">
        <v>45820.49758278935</v>
      </c>
      <c r="W4238" s="11"/>
      <c r="X4238" s="11"/>
      <c r="Y4238" s="45">
        <v>302.0</v>
      </c>
      <c r="Z4238" s="45" t="s">
        <v>16616</v>
      </c>
      <c r="AA4238" s="31"/>
      <c r="AB4238" s="45" t="s">
        <v>16617</v>
      </c>
      <c r="AC4238" s="45"/>
    </row>
    <row r="4239" ht="18.75" customHeight="1">
      <c r="A4239" s="18" t="s">
        <v>16618</v>
      </c>
      <c r="B4239" s="19" t="s">
        <v>9801</v>
      </c>
      <c r="C4239" s="20">
        <v>27.0</v>
      </c>
      <c r="D4239" s="39" t="s">
        <v>16619</v>
      </c>
      <c r="E4239" s="27" t="s">
        <v>72</v>
      </c>
      <c r="F4239" s="27" t="s">
        <v>48</v>
      </c>
      <c r="G4239" s="18" t="s">
        <v>35</v>
      </c>
      <c r="H4239" s="40" t="s">
        <v>35</v>
      </c>
      <c r="I4239" s="37" t="s">
        <v>36</v>
      </c>
      <c r="J4239" s="25" t="s">
        <v>65</v>
      </c>
      <c r="K4239" s="26" t="s">
        <v>38</v>
      </c>
      <c r="L4239" s="72">
        <v>13234.0</v>
      </c>
      <c r="M4239" s="49" t="s">
        <v>50</v>
      </c>
      <c r="N4239" s="42" t="s">
        <v>4908</v>
      </c>
      <c r="O4239" s="67">
        <v>45820.667990312504</v>
      </c>
      <c r="P4239" s="35" t="s">
        <v>15829</v>
      </c>
      <c r="Q4239" s="13" t="s">
        <v>75</v>
      </c>
      <c r="R4239" s="13" t="s">
        <v>75</v>
      </c>
      <c r="S4239" s="13" t="s">
        <v>50</v>
      </c>
      <c r="T4239" s="44">
        <v>45819.464625520835</v>
      </c>
      <c r="U4239" s="44">
        <v>45820.37593692129</v>
      </c>
      <c r="V4239" s="44">
        <v>45820.42382872685</v>
      </c>
      <c r="W4239" s="11"/>
      <c r="X4239" s="11"/>
      <c r="Y4239" s="207">
        <v>302.0</v>
      </c>
      <c r="Z4239" s="45" t="s">
        <v>16620</v>
      </c>
      <c r="AA4239" s="31"/>
      <c r="AB4239" s="45" t="s">
        <v>16621</v>
      </c>
      <c r="AC4239" s="45"/>
    </row>
    <row r="4240" ht="18.75" customHeight="1">
      <c r="A4240" s="18" t="s">
        <v>16622</v>
      </c>
      <c r="B4240" s="19" t="s">
        <v>9801</v>
      </c>
      <c r="C4240" s="20">
        <v>27.0</v>
      </c>
      <c r="D4240" s="39" t="s">
        <v>16623</v>
      </c>
      <c r="E4240" s="27" t="s">
        <v>72</v>
      </c>
      <c r="F4240" s="27" t="s">
        <v>48</v>
      </c>
      <c r="G4240" s="18" t="s">
        <v>35</v>
      </c>
      <c r="H4240" s="40" t="s">
        <v>35</v>
      </c>
      <c r="I4240" s="37" t="s">
        <v>36</v>
      </c>
      <c r="J4240" s="25" t="s">
        <v>65</v>
      </c>
      <c r="K4240" s="26" t="s">
        <v>38</v>
      </c>
      <c r="L4240" s="72">
        <v>13234.0</v>
      </c>
      <c r="M4240" s="49" t="s">
        <v>50</v>
      </c>
      <c r="N4240" s="42" t="s">
        <v>4908</v>
      </c>
      <c r="O4240" s="67">
        <v>45820.66794085648</v>
      </c>
      <c r="P4240" s="35" t="s">
        <v>15829</v>
      </c>
      <c r="Q4240" s="13" t="s">
        <v>75</v>
      </c>
      <c r="R4240" s="13" t="s">
        <v>75</v>
      </c>
      <c r="S4240" s="13" t="s">
        <v>50</v>
      </c>
      <c r="T4240" s="44">
        <v>45819.464685</v>
      </c>
      <c r="U4240" s="44">
        <v>45820.37596643518</v>
      </c>
      <c r="V4240" s="44">
        <v>45820.42382872685</v>
      </c>
      <c r="W4240" s="11"/>
      <c r="X4240" s="11"/>
      <c r="Y4240" s="207">
        <v>302.0</v>
      </c>
      <c r="Z4240" s="45" t="s">
        <v>16624</v>
      </c>
      <c r="AA4240" s="31"/>
      <c r="AB4240" s="45" t="s">
        <v>16625</v>
      </c>
      <c r="AC4240" s="45"/>
    </row>
    <row r="4241" ht="18.75" customHeight="1">
      <c r="A4241" s="142" t="s">
        <v>16626</v>
      </c>
      <c r="B4241" s="19" t="s">
        <v>4941</v>
      </c>
      <c r="C4241" s="20">
        <v>1.0</v>
      </c>
      <c r="D4241" s="142" t="s">
        <v>16627</v>
      </c>
      <c r="E4241" s="27" t="s">
        <v>155</v>
      </c>
      <c r="F4241" s="27" t="s">
        <v>48</v>
      </c>
      <c r="G4241" s="18" t="s">
        <v>35</v>
      </c>
      <c r="H4241" s="40" t="s">
        <v>35</v>
      </c>
      <c r="I4241" s="37" t="s">
        <v>36</v>
      </c>
      <c r="J4241" s="25" t="s">
        <v>49</v>
      </c>
      <c r="K4241" s="26" t="s">
        <v>38</v>
      </c>
      <c r="L4241" s="72">
        <v>13250.0</v>
      </c>
      <c r="M4241" s="49" t="s">
        <v>50</v>
      </c>
      <c r="N4241" s="42" t="s">
        <v>5936</v>
      </c>
      <c r="O4241" s="67">
        <v>45825.578239560185</v>
      </c>
      <c r="P4241" s="35" t="s">
        <v>16628</v>
      </c>
      <c r="Q4241" s="13" t="s">
        <v>75</v>
      </c>
      <c r="R4241" s="13" t="s">
        <v>75</v>
      </c>
      <c r="S4241" s="13" t="s">
        <v>9620</v>
      </c>
      <c r="T4241" s="44">
        <v>45819.465768194445</v>
      </c>
      <c r="U4241" s="44">
        <v>45820.574152002315</v>
      </c>
      <c r="V4241" s="44">
        <v>45825.44330708333</v>
      </c>
      <c r="W4241" s="11"/>
      <c r="X4241" s="11"/>
      <c r="Y4241" s="45">
        <v>302.0</v>
      </c>
      <c r="Z4241" s="45" t="s">
        <v>16629</v>
      </c>
      <c r="AA4241" s="31"/>
      <c r="AB4241" s="45" t="s">
        <v>16630</v>
      </c>
      <c r="AC4241" s="45"/>
    </row>
    <row r="4242" ht="18.75" customHeight="1">
      <c r="A4242" s="142" t="s">
        <v>16631</v>
      </c>
      <c r="B4242" s="19" t="s">
        <v>8921</v>
      </c>
      <c r="C4242" s="20">
        <v>33.0</v>
      </c>
      <c r="D4242" s="18" t="s">
        <v>16632</v>
      </c>
      <c r="E4242" s="27" t="s">
        <v>6133</v>
      </c>
      <c r="F4242" s="27" t="s">
        <v>48</v>
      </c>
      <c r="G4242" s="18" t="s">
        <v>35</v>
      </c>
      <c r="H4242" s="40" t="s">
        <v>35</v>
      </c>
      <c r="I4242" s="37" t="s">
        <v>36</v>
      </c>
      <c r="J4242" s="25" t="s">
        <v>49</v>
      </c>
      <c r="K4242" s="26" t="s">
        <v>1506</v>
      </c>
      <c r="L4242" s="72">
        <v>13229.0</v>
      </c>
      <c r="M4242" s="49" t="s">
        <v>50</v>
      </c>
      <c r="N4242" s="42" t="s">
        <v>143</v>
      </c>
      <c r="O4242" s="67">
        <v>45820.566990798616</v>
      </c>
      <c r="P4242" s="35" t="s">
        <v>16633</v>
      </c>
      <c r="Q4242" s="13" t="s">
        <v>75</v>
      </c>
      <c r="R4242" s="13" t="s">
        <v>75</v>
      </c>
      <c r="S4242" s="13" t="s">
        <v>50</v>
      </c>
      <c r="T4242" s="44">
        <v>45819.47620347222</v>
      </c>
      <c r="U4242" s="44">
        <v>45819.681627349535</v>
      </c>
      <c r="V4242" s="44">
        <v>45820.33794938657</v>
      </c>
      <c r="W4242" s="11"/>
      <c r="X4242" s="11"/>
      <c r="Y4242" s="45">
        <v>302.0</v>
      </c>
      <c r="Z4242" s="45" t="s">
        <v>16634</v>
      </c>
      <c r="AA4242" s="31"/>
      <c r="AB4242" s="45" t="s">
        <v>16635</v>
      </c>
      <c r="AC4242" s="45"/>
    </row>
    <row r="4243" ht="18.75" customHeight="1">
      <c r="A4243" s="142" t="s">
        <v>16636</v>
      </c>
      <c r="B4243" s="19" t="s">
        <v>1299</v>
      </c>
      <c r="C4243" s="20">
        <v>90.0</v>
      </c>
      <c r="D4243" s="18" t="s">
        <v>16637</v>
      </c>
      <c r="E4243" s="27" t="s">
        <v>91</v>
      </c>
      <c r="F4243" s="27" t="s">
        <v>48</v>
      </c>
      <c r="G4243" s="18" t="s">
        <v>35</v>
      </c>
      <c r="H4243" s="40" t="s">
        <v>35</v>
      </c>
      <c r="I4243" s="37" t="s">
        <v>36</v>
      </c>
      <c r="J4243" s="25" t="s">
        <v>92</v>
      </c>
      <c r="K4243" s="26" t="s">
        <v>38</v>
      </c>
      <c r="L4243" s="72">
        <v>13235.0</v>
      </c>
      <c r="M4243" s="49" t="s">
        <v>73</v>
      </c>
      <c r="N4243" s="42" t="s">
        <v>4767</v>
      </c>
      <c r="O4243" s="67">
        <v>45820.618164375</v>
      </c>
      <c r="P4243" s="35" t="s">
        <v>13574</v>
      </c>
      <c r="Q4243" s="13" t="s">
        <v>75</v>
      </c>
      <c r="R4243" s="13" t="s">
        <v>75</v>
      </c>
      <c r="S4243" s="13" t="s">
        <v>50</v>
      </c>
      <c r="T4243" s="44">
        <v>45819.47869726852</v>
      </c>
      <c r="U4243" s="44">
        <v>45820.37656547454</v>
      </c>
      <c r="V4243" s="44">
        <v>45820.46271476852</v>
      </c>
      <c r="W4243" s="11"/>
      <c r="X4243" s="11"/>
      <c r="Y4243" s="45">
        <v>302.0</v>
      </c>
      <c r="Z4243" s="45" t="s">
        <v>16638</v>
      </c>
      <c r="AA4243" s="31"/>
      <c r="AB4243" s="45" t="s">
        <v>16639</v>
      </c>
      <c r="AC4243" s="45"/>
    </row>
    <row r="4244" ht="18.75" customHeight="1">
      <c r="A4244" s="142" t="s">
        <v>16640</v>
      </c>
      <c r="B4244" s="19" t="s">
        <v>1345</v>
      </c>
      <c r="C4244" s="20">
        <v>0.0</v>
      </c>
      <c r="D4244" s="32">
        <v>20073.0</v>
      </c>
      <c r="E4244" s="27" t="s">
        <v>16641</v>
      </c>
      <c r="F4244" s="27" t="s">
        <v>48</v>
      </c>
      <c r="G4244" s="18" t="s">
        <v>35</v>
      </c>
      <c r="H4244" s="40" t="s">
        <v>35</v>
      </c>
      <c r="I4244" s="37" t="s">
        <v>36</v>
      </c>
      <c r="J4244" s="25" t="s">
        <v>420</v>
      </c>
      <c r="K4244" s="26" t="s">
        <v>38</v>
      </c>
      <c r="L4244" s="72">
        <v>13248.0</v>
      </c>
      <c r="M4244" s="49" t="s">
        <v>50</v>
      </c>
      <c r="N4244" s="42" t="s">
        <v>4031</v>
      </c>
      <c r="O4244" s="67">
        <v>45825.559662430554</v>
      </c>
      <c r="P4244" s="35" t="s">
        <v>16642</v>
      </c>
      <c r="Q4244" s="13" t="s">
        <v>75</v>
      </c>
      <c r="R4244" s="13" t="s">
        <v>75</v>
      </c>
      <c r="S4244" s="13" t="s">
        <v>9620</v>
      </c>
      <c r="T4244" s="44">
        <v>45820.41252640046</v>
      </c>
      <c r="U4244" s="44">
        <v>45820.57924561342</v>
      </c>
      <c r="V4244" s="44">
        <v>45825.28958153936</v>
      </c>
      <c r="W4244" s="11"/>
      <c r="X4244" s="11"/>
      <c r="Y4244" s="45">
        <v>302.0</v>
      </c>
      <c r="Z4244" s="45" t="s">
        <v>16643</v>
      </c>
      <c r="AA4244" s="31"/>
      <c r="AB4244" s="45" t="s">
        <v>16644</v>
      </c>
      <c r="AC4244" s="45"/>
    </row>
    <row r="4245" ht="18.75" customHeight="1">
      <c r="A4245" s="142" t="s">
        <v>16645</v>
      </c>
      <c r="B4245" s="19" t="s">
        <v>4352</v>
      </c>
      <c r="C4245" s="20">
        <v>137.0</v>
      </c>
      <c r="D4245" s="18" t="s">
        <v>16646</v>
      </c>
      <c r="E4245" s="27" t="s">
        <v>85</v>
      </c>
      <c r="F4245" s="27" t="s">
        <v>48</v>
      </c>
      <c r="G4245" s="18" t="s">
        <v>35</v>
      </c>
      <c r="H4245" s="40" t="s">
        <v>35</v>
      </c>
      <c r="I4245" s="37" t="s">
        <v>36</v>
      </c>
      <c r="J4245" s="25" t="s">
        <v>49</v>
      </c>
      <c r="K4245" s="26" t="s">
        <v>38</v>
      </c>
      <c r="L4245" s="72">
        <v>13237.0</v>
      </c>
      <c r="M4245" s="49" t="s">
        <v>50</v>
      </c>
      <c r="N4245" s="42" t="s">
        <v>143</v>
      </c>
      <c r="O4245" s="67">
        <v>45820.56704013889</v>
      </c>
      <c r="P4245" s="35" t="s">
        <v>16647</v>
      </c>
      <c r="Q4245" s="13" t="s">
        <v>75</v>
      </c>
      <c r="R4245" s="13" t="s">
        <v>75</v>
      </c>
      <c r="S4245" s="13" t="s">
        <v>50</v>
      </c>
      <c r="T4245" s="44">
        <v>45820.415938182865</v>
      </c>
      <c r="U4245" s="44">
        <v>45820.47002689815</v>
      </c>
      <c r="V4245" s="44">
        <v>45820.4729821875</v>
      </c>
      <c r="W4245" s="11"/>
      <c r="X4245" s="11"/>
      <c r="Y4245" s="45">
        <v>302.0</v>
      </c>
      <c r="Z4245" s="45" t="s">
        <v>16648</v>
      </c>
      <c r="AA4245" s="31"/>
      <c r="AB4245" s="45" t="s">
        <v>16649</v>
      </c>
      <c r="AC4245" s="45"/>
    </row>
    <row r="4246" ht="18.75" customHeight="1">
      <c r="A4246" s="142" t="s">
        <v>16650</v>
      </c>
      <c r="B4246" s="19" t="s">
        <v>4352</v>
      </c>
      <c r="C4246" s="20">
        <v>137.0</v>
      </c>
      <c r="D4246" s="18" t="s">
        <v>16651</v>
      </c>
      <c r="E4246" s="27" t="s">
        <v>85</v>
      </c>
      <c r="F4246" s="27" t="s">
        <v>48</v>
      </c>
      <c r="G4246" s="18" t="s">
        <v>35</v>
      </c>
      <c r="H4246" s="40" t="s">
        <v>35</v>
      </c>
      <c r="I4246" s="37" t="s">
        <v>36</v>
      </c>
      <c r="J4246" s="25" t="s">
        <v>49</v>
      </c>
      <c r="K4246" s="26" t="s">
        <v>38</v>
      </c>
      <c r="L4246" s="72">
        <v>13236.0</v>
      </c>
      <c r="M4246" s="49" t="s">
        <v>50</v>
      </c>
      <c r="N4246" s="42" t="s">
        <v>143</v>
      </c>
      <c r="O4246" s="67">
        <v>45820.56692849537</v>
      </c>
      <c r="P4246" s="35" t="s">
        <v>16652</v>
      </c>
      <c r="Q4246" s="13" t="s">
        <v>75</v>
      </c>
      <c r="R4246" s="13" t="s">
        <v>75</v>
      </c>
      <c r="S4246" s="13" t="s">
        <v>50</v>
      </c>
      <c r="T4246" s="44">
        <v>45820.41749569445</v>
      </c>
      <c r="U4246" s="44">
        <v>45820.46968766204</v>
      </c>
      <c r="V4246" s="44">
        <v>45820.4729821875</v>
      </c>
      <c r="W4246" s="11"/>
      <c r="X4246" s="11"/>
      <c r="Y4246" s="45">
        <v>302.0</v>
      </c>
      <c r="Z4246" s="45" t="s">
        <v>16653</v>
      </c>
      <c r="AA4246" s="31"/>
      <c r="AB4246" s="45" t="s">
        <v>16654</v>
      </c>
      <c r="AC4246" s="45"/>
    </row>
    <row r="4247" ht="18.75" customHeight="1">
      <c r="A4247" s="142" t="s">
        <v>16655</v>
      </c>
      <c r="B4247" s="19" t="s">
        <v>4293</v>
      </c>
      <c r="C4247" s="20">
        <v>34.0</v>
      </c>
      <c r="D4247" s="18" t="s">
        <v>16656</v>
      </c>
      <c r="E4247" s="27" t="s">
        <v>47</v>
      </c>
      <c r="F4247" s="27" t="s">
        <v>48</v>
      </c>
      <c r="G4247" s="18" t="s">
        <v>35</v>
      </c>
      <c r="H4247" s="40" t="s">
        <v>35</v>
      </c>
      <c r="I4247" s="37" t="s">
        <v>36</v>
      </c>
      <c r="J4247" s="25" t="s">
        <v>65</v>
      </c>
      <c r="K4247" s="26" t="s">
        <v>38</v>
      </c>
      <c r="L4247" s="72">
        <v>13239.0</v>
      </c>
      <c r="M4247" s="49" t="s">
        <v>50</v>
      </c>
      <c r="N4247" s="42" t="s">
        <v>149</v>
      </c>
      <c r="O4247" s="67">
        <v>45821.61683375</v>
      </c>
      <c r="P4247" s="35" t="s">
        <v>16657</v>
      </c>
      <c r="Q4247" s="13" t="s">
        <v>75</v>
      </c>
      <c r="R4247" s="13" t="s">
        <v>75</v>
      </c>
      <c r="S4247" s="13" t="s">
        <v>50</v>
      </c>
      <c r="T4247" s="44">
        <v>45820.47172534722</v>
      </c>
      <c r="U4247" s="44">
        <v>45820.585872951386</v>
      </c>
      <c r="V4247" s="44">
        <v>45821.3356321875</v>
      </c>
      <c r="W4247" s="11"/>
      <c r="X4247" s="11"/>
      <c r="Y4247" s="45">
        <v>302.0</v>
      </c>
      <c r="Z4247" s="45" t="s">
        <v>16658</v>
      </c>
      <c r="AA4247" s="31"/>
      <c r="AB4247" s="45" t="s">
        <v>16659</v>
      </c>
      <c r="AC4247" s="45"/>
    </row>
    <row r="4248" ht="18.75" customHeight="1">
      <c r="A4248" s="18" t="s">
        <v>16660</v>
      </c>
      <c r="B4248" s="19" t="s">
        <v>16661</v>
      </c>
      <c r="C4248" s="20">
        <v>34.0</v>
      </c>
      <c r="D4248" s="18" t="s">
        <v>16662</v>
      </c>
      <c r="E4248" s="27" t="s">
        <v>47</v>
      </c>
      <c r="F4248" s="27" t="s">
        <v>48</v>
      </c>
      <c r="G4248" s="18" t="s">
        <v>35</v>
      </c>
      <c r="H4248" s="40" t="s">
        <v>35</v>
      </c>
      <c r="I4248" s="37" t="s">
        <v>36</v>
      </c>
      <c r="J4248" s="25" t="s">
        <v>49</v>
      </c>
      <c r="K4248" s="26" t="s">
        <v>447</v>
      </c>
      <c r="L4248" s="72">
        <v>13260.0</v>
      </c>
      <c r="M4248" s="49" t="s">
        <v>73</v>
      </c>
      <c r="N4248" s="42" t="s">
        <v>143</v>
      </c>
      <c r="O4248" s="67">
        <v>45826.60077300926</v>
      </c>
      <c r="P4248" s="35" t="s">
        <v>16663</v>
      </c>
      <c r="Q4248" s="13" t="s">
        <v>75</v>
      </c>
      <c r="R4248" s="13" t="s">
        <v>75</v>
      </c>
      <c r="S4248" s="13" t="s">
        <v>73</v>
      </c>
      <c r="T4248" s="44">
        <v>45820.58965165509</v>
      </c>
      <c r="U4248" s="44">
        <v>45825.59252818287</v>
      </c>
      <c r="V4248" s="44">
        <v>45826.45960120371</v>
      </c>
      <c r="W4248" s="11"/>
      <c r="X4248" s="11"/>
      <c r="Y4248" s="45">
        <v>302.0</v>
      </c>
      <c r="Z4248" s="45" t="s">
        <v>16664</v>
      </c>
      <c r="AA4248" s="31"/>
      <c r="AB4248" s="45" t="s">
        <v>16665</v>
      </c>
      <c r="AC4248" s="45"/>
    </row>
    <row r="4249" ht="18.75" customHeight="1">
      <c r="A4249" s="18" t="s">
        <v>16666</v>
      </c>
      <c r="B4249" s="19" t="s">
        <v>16661</v>
      </c>
      <c r="C4249" s="20">
        <v>34.0</v>
      </c>
      <c r="D4249" s="18" t="s">
        <v>16667</v>
      </c>
      <c r="E4249" s="27" t="s">
        <v>47</v>
      </c>
      <c r="F4249" s="27" t="s">
        <v>48</v>
      </c>
      <c r="G4249" s="18" t="s">
        <v>35</v>
      </c>
      <c r="H4249" s="40" t="s">
        <v>35</v>
      </c>
      <c r="I4249" s="37" t="s">
        <v>36</v>
      </c>
      <c r="J4249" s="25" t="s">
        <v>49</v>
      </c>
      <c r="K4249" s="26" t="s">
        <v>38</v>
      </c>
      <c r="L4249" s="72">
        <v>13260.0</v>
      </c>
      <c r="M4249" s="49" t="s">
        <v>73</v>
      </c>
      <c r="N4249" s="42" t="s">
        <v>143</v>
      </c>
      <c r="O4249" s="67">
        <v>45826.600706666664</v>
      </c>
      <c r="P4249" s="35" t="s">
        <v>16663</v>
      </c>
      <c r="Q4249" s="13" t="s">
        <v>75</v>
      </c>
      <c r="R4249" s="13" t="s">
        <v>75</v>
      </c>
      <c r="S4249" s="13" t="s">
        <v>73</v>
      </c>
      <c r="T4249" s="44">
        <v>45820.58069275463</v>
      </c>
      <c r="U4249" s="44">
        <v>45825.59256287037</v>
      </c>
      <c r="V4249" s="44">
        <v>45826.46255763889</v>
      </c>
      <c r="W4249" s="11"/>
      <c r="X4249" s="11"/>
      <c r="Y4249" s="45">
        <v>302.0</v>
      </c>
      <c r="Z4249" s="45" t="s">
        <v>16668</v>
      </c>
      <c r="AA4249" s="31"/>
      <c r="AB4249" s="45" t="s">
        <v>16669</v>
      </c>
      <c r="AC4249" s="45"/>
    </row>
    <row r="4250" ht="18.75" customHeight="1">
      <c r="A4250" s="142" t="s">
        <v>16670</v>
      </c>
      <c r="B4250" s="19" t="s">
        <v>12692</v>
      </c>
      <c r="C4250" s="20">
        <v>27.0</v>
      </c>
      <c r="D4250" s="39" t="s">
        <v>16671</v>
      </c>
      <c r="E4250" s="27" t="s">
        <v>72</v>
      </c>
      <c r="F4250" s="27" t="s">
        <v>48</v>
      </c>
      <c r="G4250" s="18" t="s">
        <v>35</v>
      </c>
      <c r="H4250" s="40" t="s">
        <v>35</v>
      </c>
      <c r="I4250" s="24" t="s">
        <v>36</v>
      </c>
      <c r="J4250" s="25" t="s">
        <v>9775</v>
      </c>
      <c r="K4250" s="26" t="s">
        <v>38</v>
      </c>
      <c r="L4250" s="72">
        <v>13244.0</v>
      </c>
      <c r="M4250" s="152" t="s">
        <v>50</v>
      </c>
      <c r="N4250" s="65" t="s">
        <v>16672</v>
      </c>
      <c r="O4250" s="209">
        <v>45825.483761574076</v>
      </c>
      <c r="P4250" s="35" t="s">
        <v>16673</v>
      </c>
      <c r="Q4250" s="13" t="s">
        <v>75</v>
      </c>
      <c r="R4250" s="13" t="s">
        <v>75</v>
      </c>
      <c r="S4250" s="13" t="s">
        <v>50</v>
      </c>
      <c r="T4250" s="44">
        <v>45821.67353966435</v>
      </c>
      <c r="U4250" s="44">
        <v>45821.67358870371</v>
      </c>
      <c r="V4250" s="44">
        <v>45824.428426597224</v>
      </c>
      <c r="W4250" s="11"/>
      <c r="X4250" s="11"/>
      <c r="Y4250" s="45">
        <v>302.0</v>
      </c>
      <c r="Z4250" s="45" t="s">
        <v>16674</v>
      </c>
      <c r="AA4250" s="31"/>
      <c r="AB4250" s="45" t="s">
        <v>16675</v>
      </c>
      <c r="AC4250" s="45"/>
    </row>
    <row r="4251" ht="18.75" customHeight="1">
      <c r="A4251" s="142" t="s">
        <v>16676</v>
      </c>
      <c r="B4251" s="19" t="s">
        <v>12493</v>
      </c>
      <c r="C4251" s="20">
        <v>0.0</v>
      </c>
      <c r="D4251" s="18" t="s">
        <v>16677</v>
      </c>
      <c r="E4251" s="27" t="s">
        <v>3441</v>
      </c>
      <c r="F4251" s="27" t="s">
        <v>48</v>
      </c>
      <c r="G4251" s="18" t="s">
        <v>35</v>
      </c>
      <c r="H4251" s="40" t="s">
        <v>35</v>
      </c>
      <c r="I4251" s="37" t="s">
        <v>36</v>
      </c>
      <c r="J4251" s="25" t="s">
        <v>65</v>
      </c>
      <c r="K4251" s="26" t="s">
        <v>38</v>
      </c>
      <c r="L4251" s="72">
        <v>13303.0</v>
      </c>
      <c r="M4251" s="49" t="s">
        <v>50</v>
      </c>
      <c r="N4251" s="42" t="s">
        <v>8104</v>
      </c>
      <c r="O4251" s="67">
        <v>45834.59416230324</v>
      </c>
      <c r="P4251" s="35" t="s">
        <v>16678</v>
      </c>
      <c r="Q4251" s="13" t="s">
        <v>75</v>
      </c>
      <c r="R4251" s="13" t="s">
        <v>75</v>
      </c>
      <c r="S4251" s="13" t="s">
        <v>50</v>
      </c>
      <c r="T4251" s="44">
        <v>45820.58375820602</v>
      </c>
      <c r="U4251" s="44">
        <v>45834.48368893519</v>
      </c>
      <c r="V4251" s="44">
        <v>45834.49009290509</v>
      </c>
      <c r="W4251" s="11"/>
      <c r="X4251" s="11"/>
      <c r="Y4251" s="45">
        <v>302.0</v>
      </c>
      <c r="Z4251" s="45" t="s">
        <v>16679</v>
      </c>
      <c r="AA4251" s="31"/>
      <c r="AB4251" s="45" t="s">
        <v>16680</v>
      </c>
      <c r="AC4251" s="45"/>
    </row>
    <row r="4252" ht="18.75" customHeight="1">
      <c r="A4252" s="142" t="s">
        <v>16681</v>
      </c>
      <c r="B4252" s="19" t="s">
        <v>16682</v>
      </c>
      <c r="C4252" s="20">
        <v>34.0</v>
      </c>
      <c r="D4252" s="18" t="s">
        <v>16683</v>
      </c>
      <c r="E4252" s="27" t="s">
        <v>47</v>
      </c>
      <c r="F4252" s="27" t="s">
        <v>48</v>
      </c>
      <c r="G4252" s="18" t="s">
        <v>35</v>
      </c>
      <c r="H4252" s="40" t="s">
        <v>35</v>
      </c>
      <c r="I4252" s="37" t="s">
        <v>36</v>
      </c>
      <c r="J4252" s="25" t="s">
        <v>49</v>
      </c>
      <c r="K4252" s="26" t="s">
        <v>38</v>
      </c>
      <c r="L4252" s="72">
        <v>13241.0</v>
      </c>
      <c r="M4252" s="49" t="s">
        <v>50</v>
      </c>
      <c r="N4252" s="42" t="s">
        <v>5936</v>
      </c>
      <c r="O4252" s="67">
        <v>45824.70277777778</v>
      </c>
      <c r="P4252" s="35" t="s">
        <v>15666</v>
      </c>
      <c r="Q4252" s="13" t="s">
        <v>75</v>
      </c>
      <c r="R4252" s="13" t="s">
        <v>75</v>
      </c>
      <c r="S4252" s="13" t="s">
        <v>50</v>
      </c>
      <c r="T4252" s="44">
        <v>45820.72245318287</v>
      </c>
      <c r="U4252" s="44">
        <v>45820.723964641205</v>
      </c>
      <c r="V4252" s="44">
        <v>45821.33563219907</v>
      </c>
      <c r="W4252" s="11"/>
      <c r="X4252" s="11"/>
      <c r="Y4252" s="45">
        <v>302.0</v>
      </c>
      <c r="Z4252" s="45" t="s">
        <v>16684</v>
      </c>
      <c r="AA4252" s="31"/>
      <c r="AB4252" s="218" t="s">
        <v>16685</v>
      </c>
      <c r="AC4252" s="45"/>
    </row>
    <row r="4253" ht="18.75" customHeight="1">
      <c r="A4253" s="142" t="s">
        <v>16686</v>
      </c>
      <c r="B4253" s="19" t="s">
        <v>9205</v>
      </c>
      <c r="C4253" s="20">
        <v>34.0</v>
      </c>
      <c r="D4253" s="18" t="s">
        <v>16687</v>
      </c>
      <c r="E4253" s="27" t="s">
        <v>47</v>
      </c>
      <c r="F4253" s="27" t="s">
        <v>48</v>
      </c>
      <c r="G4253" s="18" t="s">
        <v>35</v>
      </c>
      <c r="H4253" s="40" t="s">
        <v>35</v>
      </c>
      <c r="I4253" s="37" t="s">
        <v>36</v>
      </c>
      <c r="J4253" s="25" t="s">
        <v>49</v>
      </c>
      <c r="K4253" s="26" t="s">
        <v>38</v>
      </c>
      <c r="L4253" s="72">
        <v>13247.0</v>
      </c>
      <c r="M4253" s="49" t="s">
        <v>50</v>
      </c>
      <c r="N4253" s="42" t="s">
        <v>5936</v>
      </c>
      <c r="O4253" s="67">
        <v>45825.57817033565</v>
      </c>
      <c r="P4253" s="35" t="s">
        <v>16688</v>
      </c>
      <c r="Q4253" s="13" t="s">
        <v>75</v>
      </c>
      <c r="R4253" s="13" t="s">
        <v>75</v>
      </c>
      <c r="S4253" s="13" t="s">
        <v>50</v>
      </c>
      <c r="T4253" s="44">
        <v>45821.460725694444</v>
      </c>
      <c r="U4253" s="44">
        <v>45824.724630682875</v>
      </c>
      <c r="V4253" s="44">
        <v>45825.327012291666</v>
      </c>
      <c r="W4253" s="11"/>
      <c r="X4253" s="11"/>
      <c r="Y4253" s="45">
        <v>302.0</v>
      </c>
      <c r="Z4253" s="45" t="s">
        <v>16689</v>
      </c>
      <c r="AA4253" s="31"/>
      <c r="AB4253" s="45" t="s">
        <v>16690</v>
      </c>
      <c r="AC4253" s="45"/>
    </row>
    <row r="4254" ht="18.75" customHeight="1">
      <c r="A4254" s="142" t="s">
        <v>16691</v>
      </c>
      <c r="B4254" s="19" t="s">
        <v>548</v>
      </c>
      <c r="C4254" s="20">
        <v>90.0</v>
      </c>
      <c r="D4254" s="18" t="s">
        <v>16692</v>
      </c>
      <c r="E4254" s="27" t="s">
        <v>91</v>
      </c>
      <c r="F4254" s="27" t="s">
        <v>48</v>
      </c>
      <c r="G4254" s="18" t="s">
        <v>35</v>
      </c>
      <c r="H4254" s="40" t="s">
        <v>35</v>
      </c>
      <c r="I4254" s="37" t="s">
        <v>36</v>
      </c>
      <c r="J4254" s="25" t="s">
        <v>92</v>
      </c>
      <c r="K4254" s="26" t="s">
        <v>38</v>
      </c>
      <c r="L4254" s="72">
        <v>13245.0</v>
      </c>
      <c r="M4254" s="49" t="s">
        <v>50</v>
      </c>
      <c r="N4254" s="42" t="s">
        <v>7145</v>
      </c>
      <c r="O4254" s="67">
        <v>45835.60780556713</v>
      </c>
      <c r="P4254" s="35" t="s">
        <v>16693</v>
      </c>
      <c r="Q4254" s="13" t="s">
        <v>75</v>
      </c>
      <c r="R4254" s="13" t="s">
        <v>75</v>
      </c>
      <c r="S4254" s="13" t="s">
        <v>50</v>
      </c>
      <c r="T4254" s="44">
        <v>45821.67649027778</v>
      </c>
      <c r="U4254" s="44">
        <v>45821.70356568287</v>
      </c>
      <c r="V4254" s="44">
        <v>45824.428426597224</v>
      </c>
      <c r="W4254" s="11"/>
      <c r="X4254" s="11"/>
      <c r="Y4254" s="45">
        <v>302.0</v>
      </c>
      <c r="Z4254" s="45" t="s">
        <v>16694</v>
      </c>
      <c r="AA4254" s="31"/>
      <c r="AB4254" s="45" t="s">
        <v>16695</v>
      </c>
      <c r="AC4254" s="45"/>
    </row>
    <row r="4255" ht="18.75" customHeight="1">
      <c r="A4255" s="142" t="s">
        <v>16696</v>
      </c>
      <c r="B4255" s="19" t="s">
        <v>473</v>
      </c>
      <c r="C4255" s="20">
        <v>0.0</v>
      </c>
      <c r="D4255" s="18" t="s">
        <v>16697</v>
      </c>
      <c r="E4255" s="27" t="s">
        <v>3441</v>
      </c>
      <c r="F4255" s="27" t="s">
        <v>48</v>
      </c>
      <c r="G4255" s="18" t="s">
        <v>35</v>
      </c>
      <c r="H4255" s="40" t="s">
        <v>35</v>
      </c>
      <c r="I4255" s="37" t="s">
        <v>36</v>
      </c>
      <c r="J4255" s="25" t="s">
        <v>65</v>
      </c>
      <c r="K4255" s="26" t="s">
        <v>38</v>
      </c>
      <c r="L4255" s="72">
        <v>13255.0</v>
      </c>
      <c r="M4255" s="49" t="s">
        <v>50</v>
      </c>
      <c r="N4255" s="42" t="s">
        <v>16408</v>
      </c>
      <c r="O4255" s="67">
        <v>45826.711805555555</v>
      </c>
      <c r="P4255" s="35" t="s">
        <v>16698</v>
      </c>
      <c r="Q4255" s="13" t="s">
        <v>75</v>
      </c>
      <c r="R4255" s="13" t="s">
        <v>75</v>
      </c>
      <c r="S4255" s="13" t="s">
        <v>73</v>
      </c>
      <c r="T4255" s="44">
        <v>45821.683996782405</v>
      </c>
      <c r="U4255" s="44">
        <v>45826.44286540509</v>
      </c>
      <c r="V4255" s="44">
        <v>45826.4481068287</v>
      </c>
      <c r="W4255" s="11"/>
      <c r="X4255" s="11"/>
      <c r="Y4255" s="45">
        <v>302.0</v>
      </c>
      <c r="Z4255" s="45" t="s">
        <v>16699</v>
      </c>
      <c r="AA4255" s="31"/>
      <c r="AB4255" s="45" t="s">
        <v>16700</v>
      </c>
      <c r="AC4255" s="45"/>
    </row>
    <row r="4256" ht="18.75" customHeight="1">
      <c r="A4256" s="142" t="s">
        <v>16701</v>
      </c>
      <c r="B4256" s="19" t="s">
        <v>16702</v>
      </c>
      <c r="C4256" s="20">
        <v>0.0</v>
      </c>
      <c r="D4256" s="32">
        <v>20104.0</v>
      </c>
      <c r="E4256" s="27" t="s">
        <v>135</v>
      </c>
      <c r="F4256" s="27" t="s">
        <v>48</v>
      </c>
      <c r="G4256" s="18" t="s">
        <v>35</v>
      </c>
      <c r="H4256" s="40" t="s">
        <v>35</v>
      </c>
      <c r="I4256" s="37" t="s">
        <v>36</v>
      </c>
      <c r="J4256" s="25" t="s">
        <v>49</v>
      </c>
      <c r="K4256" s="26" t="s">
        <v>38</v>
      </c>
      <c r="L4256" s="72">
        <v>13312.0</v>
      </c>
      <c r="M4256" s="49" t="s">
        <v>50</v>
      </c>
      <c r="N4256" s="42" t="s">
        <v>143</v>
      </c>
      <c r="O4256" s="67">
        <v>45835.594821875</v>
      </c>
      <c r="P4256" s="35" t="s">
        <v>15666</v>
      </c>
      <c r="Q4256" s="13" t="s">
        <v>75</v>
      </c>
      <c r="R4256" s="13" t="s">
        <v>75</v>
      </c>
      <c r="S4256" s="13" t="s">
        <v>9620</v>
      </c>
      <c r="T4256" s="44">
        <v>45821.68733407407</v>
      </c>
      <c r="U4256" s="44">
        <v>45828.687169247685</v>
      </c>
      <c r="V4256" s="44">
        <v>45835.57552699074</v>
      </c>
      <c r="W4256" s="11"/>
      <c r="X4256" s="11"/>
      <c r="Y4256" s="45">
        <v>302.0</v>
      </c>
      <c r="Z4256" s="45" t="s">
        <v>16703</v>
      </c>
      <c r="AA4256" s="31"/>
      <c r="AB4256" s="45" t="s">
        <v>16704</v>
      </c>
      <c r="AC4256" s="45"/>
    </row>
    <row r="4257" ht="18.75" customHeight="1">
      <c r="A4257" s="142" t="s">
        <v>16705</v>
      </c>
      <c r="B4257" s="19" t="s">
        <v>3645</v>
      </c>
      <c r="C4257" s="20">
        <v>0.0</v>
      </c>
      <c r="D4257" s="32">
        <v>20080.0</v>
      </c>
      <c r="E4257" s="27" t="s">
        <v>13781</v>
      </c>
      <c r="F4257" s="27" t="s">
        <v>48</v>
      </c>
      <c r="G4257" s="18" t="s">
        <v>35</v>
      </c>
      <c r="H4257" s="40" t="s">
        <v>35</v>
      </c>
      <c r="I4257" s="37" t="s">
        <v>36</v>
      </c>
      <c r="J4257" s="25" t="s">
        <v>49</v>
      </c>
      <c r="K4257" s="26" t="s">
        <v>38</v>
      </c>
      <c r="L4257" s="72">
        <v>13279.0</v>
      </c>
      <c r="M4257" s="49" t="s">
        <v>50</v>
      </c>
      <c r="N4257" s="42" t="s">
        <v>143</v>
      </c>
      <c r="O4257" s="67">
        <v>45832.57743978009</v>
      </c>
      <c r="P4257" s="35" t="s">
        <v>16706</v>
      </c>
      <c r="Q4257" s="13" t="s">
        <v>75</v>
      </c>
      <c r="R4257" s="13" t="s">
        <v>75</v>
      </c>
      <c r="S4257" s="13" t="s">
        <v>9620</v>
      </c>
      <c r="T4257" s="44">
        <v>45825.3487053125</v>
      </c>
      <c r="U4257" s="44">
        <v>45825.597016562504</v>
      </c>
      <c r="V4257" s="44">
        <v>45828.5489146412</v>
      </c>
      <c r="W4257" s="11"/>
      <c r="X4257" s="11"/>
      <c r="Y4257" s="45">
        <v>302.0</v>
      </c>
      <c r="Z4257" s="45" t="s">
        <v>16707</v>
      </c>
      <c r="AA4257" s="31"/>
      <c r="AB4257" s="45" t="s">
        <v>16708</v>
      </c>
      <c r="AC4257" s="45"/>
    </row>
    <row r="4258" ht="18.75" customHeight="1">
      <c r="A4258" s="142" t="s">
        <v>16709</v>
      </c>
      <c r="B4258" s="19" t="s">
        <v>3645</v>
      </c>
      <c r="C4258" s="20">
        <v>34.0</v>
      </c>
      <c r="D4258" s="18" t="s">
        <v>16710</v>
      </c>
      <c r="E4258" s="27" t="s">
        <v>47</v>
      </c>
      <c r="F4258" s="27" t="s">
        <v>48</v>
      </c>
      <c r="G4258" s="18" t="s">
        <v>35</v>
      </c>
      <c r="H4258" s="40" t="s">
        <v>35</v>
      </c>
      <c r="I4258" s="37" t="s">
        <v>36</v>
      </c>
      <c r="J4258" s="25" t="s">
        <v>49</v>
      </c>
      <c r="K4258" s="26" t="s">
        <v>38</v>
      </c>
      <c r="L4258" s="72">
        <v>13266.0</v>
      </c>
      <c r="M4258" s="49" t="s">
        <v>73</v>
      </c>
      <c r="N4258" s="42" t="s">
        <v>143</v>
      </c>
      <c r="O4258" s="67">
        <v>45826.600609953704</v>
      </c>
      <c r="P4258" s="35" t="s">
        <v>16711</v>
      </c>
      <c r="Q4258" s="13" t="s">
        <v>75</v>
      </c>
      <c r="R4258" s="13" t="s">
        <v>75</v>
      </c>
      <c r="S4258" s="13" t="s">
        <v>73</v>
      </c>
      <c r="T4258" s="44">
        <v>45825.35186414352</v>
      </c>
      <c r="U4258" s="44">
        <v>45826.517698298616</v>
      </c>
      <c r="V4258" s="44">
        <v>45826.53374287037</v>
      </c>
      <c r="W4258" s="11"/>
      <c r="X4258" s="11"/>
      <c r="Y4258" s="45">
        <v>302.0</v>
      </c>
      <c r="Z4258" s="45" t="s">
        <v>16712</v>
      </c>
      <c r="AA4258" s="31"/>
      <c r="AB4258" s="45" t="s">
        <v>16713</v>
      </c>
      <c r="AC4258" s="45"/>
    </row>
    <row r="4259" ht="18.75" customHeight="1">
      <c r="A4259" s="142" t="s">
        <v>16714</v>
      </c>
      <c r="B4259" s="19" t="s">
        <v>3645</v>
      </c>
      <c r="C4259" s="20">
        <v>1.0</v>
      </c>
      <c r="D4259" s="32">
        <v>20069.0</v>
      </c>
      <c r="E4259" s="27" t="s">
        <v>16715</v>
      </c>
      <c r="F4259" s="27" t="s">
        <v>48</v>
      </c>
      <c r="G4259" s="18" t="s">
        <v>35</v>
      </c>
      <c r="H4259" s="40" t="s">
        <v>35</v>
      </c>
      <c r="I4259" s="37" t="s">
        <v>36</v>
      </c>
      <c r="J4259" s="25" t="s">
        <v>49</v>
      </c>
      <c r="K4259" s="26" t="s">
        <v>38</v>
      </c>
      <c r="L4259" s="72">
        <v>13264.0</v>
      </c>
      <c r="M4259" s="49" t="s">
        <v>73</v>
      </c>
      <c r="N4259" s="42" t="s">
        <v>143</v>
      </c>
      <c r="O4259" s="67">
        <v>45826.600515185186</v>
      </c>
      <c r="P4259" s="35" t="s">
        <v>16716</v>
      </c>
      <c r="Q4259" s="13" t="s">
        <v>75</v>
      </c>
      <c r="R4259" s="13" t="s">
        <v>75</v>
      </c>
      <c r="S4259" s="13" t="s">
        <v>50</v>
      </c>
      <c r="T4259" s="44">
        <v>45826.51683532407</v>
      </c>
      <c r="U4259" s="44">
        <v>45826.51686081018</v>
      </c>
      <c r="V4259" s="44">
        <v>45826.53044849537</v>
      </c>
      <c r="W4259" s="11"/>
      <c r="X4259" s="11"/>
      <c r="Y4259" s="45">
        <v>302.0</v>
      </c>
      <c r="Z4259" s="45" t="s">
        <v>16717</v>
      </c>
      <c r="AA4259" s="31"/>
      <c r="AB4259" s="45" t="s">
        <v>16718</v>
      </c>
      <c r="AC4259" s="45"/>
    </row>
    <row r="4260" ht="18.75" customHeight="1">
      <c r="A4260" s="18" t="s">
        <v>16719</v>
      </c>
      <c r="B4260" s="19" t="s">
        <v>16720</v>
      </c>
      <c r="C4260" s="20">
        <v>0.0</v>
      </c>
      <c r="D4260" s="32">
        <v>20145.0</v>
      </c>
      <c r="E4260" s="27" t="s">
        <v>135</v>
      </c>
      <c r="F4260" s="27" t="s">
        <v>48</v>
      </c>
      <c r="G4260" s="18" t="s">
        <v>35</v>
      </c>
      <c r="H4260" s="40" t="s">
        <v>35</v>
      </c>
      <c r="I4260" s="37" t="s">
        <v>36</v>
      </c>
      <c r="J4260" s="25" t="s">
        <v>65</v>
      </c>
      <c r="K4260" s="26" t="s">
        <v>38</v>
      </c>
      <c r="L4260" s="72">
        <v>13460.0</v>
      </c>
      <c r="M4260" s="49" t="s">
        <v>50</v>
      </c>
      <c r="N4260" s="42" t="s">
        <v>5883</v>
      </c>
      <c r="O4260" s="67">
        <v>45861.64626709491</v>
      </c>
      <c r="P4260" s="35" t="s">
        <v>16721</v>
      </c>
      <c r="Q4260" s="13" t="s">
        <v>75</v>
      </c>
      <c r="R4260" s="13" t="s">
        <v>75</v>
      </c>
      <c r="S4260" s="13" t="s">
        <v>9620</v>
      </c>
      <c r="T4260" s="44">
        <v>45852.62901888889</v>
      </c>
      <c r="U4260" s="44">
        <v>45852.65870259259</v>
      </c>
      <c r="V4260" s="44">
        <v>45856.254103576386</v>
      </c>
      <c r="W4260" s="11"/>
      <c r="X4260" s="148">
        <v>45852.0</v>
      </c>
      <c r="Y4260" s="45">
        <v>302.0</v>
      </c>
      <c r="Z4260" s="45" t="s">
        <v>16722</v>
      </c>
      <c r="AA4260" s="31"/>
      <c r="AB4260" s="45" t="s">
        <v>16723</v>
      </c>
      <c r="AC4260" s="45"/>
    </row>
    <row r="4261" ht="18.75" customHeight="1">
      <c r="A4261" s="18" t="s">
        <v>16724</v>
      </c>
      <c r="B4261" s="19" t="s">
        <v>16720</v>
      </c>
      <c r="C4261" s="20">
        <v>0.0</v>
      </c>
      <c r="D4261" s="32">
        <v>20146.0</v>
      </c>
      <c r="E4261" s="27" t="s">
        <v>11957</v>
      </c>
      <c r="F4261" s="27" t="s">
        <v>48</v>
      </c>
      <c r="G4261" s="18" t="s">
        <v>35</v>
      </c>
      <c r="H4261" s="40" t="s">
        <v>35</v>
      </c>
      <c r="I4261" s="37" t="s">
        <v>36</v>
      </c>
      <c r="J4261" s="25" t="s">
        <v>65</v>
      </c>
      <c r="K4261" s="26" t="s">
        <v>38</v>
      </c>
      <c r="L4261" s="72">
        <v>13460.0</v>
      </c>
      <c r="M4261" s="49" t="s">
        <v>50</v>
      </c>
      <c r="N4261" s="42" t="s">
        <v>5883</v>
      </c>
      <c r="O4261" s="67">
        <v>45861.64632299768</v>
      </c>
      <c r="P4261" s="35" t="s">
        <v>16721</v>
      </c>
      <c r="Q4261" s="13" t="s">
        <v>75</v>
      </c>
      <c r="R4261" s="13" t="s">
        <v>75</v>
      </c>
      <c r="S4261" s="13" t="s">
        <v>9620</v>
      </c>
      <c r="T4261" s="44">
        <v>45852.62905185185</v>
      </c>
      <c r="U4261" s="44">
        <v>45852.65872994213</v>
      </c>
      <c r="V4261" s="44">
        <v>45860.45212642361</v>
      </c>
      <c r="W4261" s="11"/>
      <c r="X4261" s="148">
        <v>45852.0</v>
      </c>
      <c r="Y4261" s="45">
        <v>302.0</v>
      </c>
      <c r="Z4261" s="45" t="s">
        <v>16725</v>
      </c>
      <c r="AA4261" s="31"/>
      <c r="AB4261" s="45" t="s">
        <v>16726</v>
      </c>
      <c r="AC4261" s="45"/>
    </row>
    <row r="4262" ht="18.75" customHeight="1">
      <c r="A4262" s="142" t="s">
        <v>16727</v>
      </c>
      <c r="B4262" s="19" t="s">
        <v>16728</v>
      </c>
      <c r="C4262" s="20">
        <v>0.0</v>
      </c>
      <c r="D4262" s="32">
        <v>20147.0</v>
      </c>
      <c r="E4262" s="27" t="s">
        <v>4097</v>
      </c>
      <c r="F4262" s="27" t="s">
        <v>33</v>
      </c>
      <c r="G4262" s="18" t="s">
        <v>35</v>
      </c>
      <c r="H4262" s="40" t="s">
        <v>35</v>
      </c>
      <c r="I4262" s="37" t="s">
        <v>36</v>
      </c>
      <c r="J4262" s="25" t="s">
        <v>65</v>
      </c>
      <c r="K4262" s="26" t="s">
        <v>38</v>
      </c>
      <c r="L4262" s="72">
        <v>13423.0</v>
      </c>
      <c r="M4262" s="49" t="s">
        <v>50</v>
      </c>
      <c r="N4262" s="42" t="s">
        <v>5897</v>
      </c>
      <c r="O4262" s="67">
        <v>45855.67470978009</v>
      </c>
      <c r="P4262" s="35" t="s">
        <v>16729</v>
      </c>
      <c r="Q4262" s="13" t="s">
        <v>75</v>
      </c>
      <c r="R4262" s="13" t="s">
        <v>75</v>
      </c>
      <c r="S4262" s="13" t="s">
        <v>9620</v>
      </c>
      <c r="T4262" s="44">
        <v>45852.62908144676</v>
      </c>
      <c r="U4262" s="44">
        <v>45852.658675810184</v>
      </c>
      <c r="V4262" s="44">
        <v>45855.29135537037</v>
      </c>
      <c r="W4262" s="11"/>
      <c r="X4262" s="148">
        <v>45852.0</v>
      </c>
      <c r="Y4262" s="45">
        <v>302.0</v>
      </c>
      <c r="Z4262" s="45" t="s">
        <v>16730</v>
      </c>
      <c r="AA4262" s="31"/>
      <c r="AB4262" s="45" t="s">
        <v>16731</v>
      </c>
      <c r="AC4262" s="45"/>
    </row>
    <row r="4263" ht="18.75" customHeight="1">
      <c r="A4263" s="142" t="s">
        <v>16732</v>
      </c>
      <c r="B4263" s="19" t="s">
        <v>7528</v>
      </c>
      <c r="C4263" s="20">
        <v>1.0</v>
      </c>
      <c r="D4263" s="32">
        <v>20082.0</v>
      </c>
      <c r="E4263" s="27" t="s">
        <v>11712</v>
      </c>
      <c r="F4263" s="27" t="s">
        <v>48</v>
      </c>
      <c r="G4263" s="18" t="s">
        <v>35</v>
      </c>
      <c r="H4263" s="40" t="s">
        <v>35</v>
      </c>
      <c r="I4263" s="37" t="s">
        <v>36</v>
      </c>
      <c r="J4263" s="25" t="s">
        <v>49</v>
      </c>
      <c r="K4263" s="26" t="s">
        <v>11967</v>
      </c>
      <c r="L4263" s="72">
        <v>13302.0</v>
      </c>
      <c r="M4263" s="49" t="s">
        <v>50</v>
      </c>
      <c r="N4263" s="42" t="s">
        <v>143</v>
      </c>
      <c r="O4263" s="67">
        <v>45834.60918836806</v>
      </c>
      <c r="P4263" s="35" t="s">
        <v>16733</v>
      </c>
      <c r="Q4263" s="13" t="s">
        <v>75</v>
      </c>
      <c r="R4263" s="13" t="s">
        <v>75</v>
      </c>
      <c r="S4263" s="13" t="s">
        <v>9620</v>
      </c>
      <c r="T4263" s="44">
        <v>45825.57048815972</v>
      </c>
      <c r="U4263" s="44">
        <v>45825.59903726852</v>
      </c>
      <c r="V4263" s="44">
        <v>45834.411896631944</v>
      </c>
      <c r="W4263" s="11"/>
      <c r="X4263" s="11"/>
      <c r="Y4263" s="45">
        <v>302.0</v>
      </c>
      <c r="Z4263" s="45" t="s">
        <v>16734</v>
      </c>
      <c r="AA4263" s="31"/>
      <c r="AB4263" s="45" t="s">
        <v>16735</v>
      </c>
      <c r="AC4263" s="45"/>
    </row>
    <row r="4264" ht="18.75" customHeight="1">
      <c r="A4264" s="142" t="s">
        <v>16736</v>
      </c>
      <c r="B4264" s="19" t="s">
        <v>12133</v>
      </c>
      <c r="C4264" s="20">
        <v>34.0</v>
      </c>
      <c r="D4264" s="18" t="s">
        <v>16737</v>
      </c>
      <c r="E4264" s="27" t="s">
        <v>47</v>
      </c>
      <c r="F4264" s="27" t="s">
        <v>48</v>
      </c>
      <c r="G4264" s="18" t="s">
        <v>35</v>
      </c>
      <c r="H4264" s="40" t="s">
        <v>35</v>
      </c>
      <c r="I4264" s="37" t="s">
        <v>36</v>
      </c>
      <c r="J4264" s="25" t="s">
        <v>65</v>
      </c>
      <c r="K4264" s="26" t="s">
        <v>38</v>
      </c>
      <c r="L4264" s="72">
        <v>13256.0</v>
      </c>
      <c r="M4264" s="49" t="s">
        <v>50</v>
      </c>
      <c r="N4264" s="42" t="s">
        <v>16408</v>
      </c>
      <c r="O4264" s="67">
        <v>45826.711111111115</v>
      </c>
      <c r="P4264" s="35" t="s">
        <v>16738</v>
      </c>
      <c r="Q4264" s="13" t="s">
        <v>75</v>
      </c>
      <c r="R4264" s="13" t="s">
        <v>75</v>
      </c>
      <c r="S4264" s="13" t="s">
        <v>73</v>
      </c>
      <c r="T4264" s="44">
        <v>45825.652570833336</v>
      </c>
      <c r="U4264" s="44">
        <v>45825.65259211806</v>
      </c>
      <c r="V4264" s="44">
        <v>45826.4481068287</v>
      </c>
      <c r="W4264" s="11"/>
      <c r="X4264" s="11"/>
      <c r="Y4264" s="45">
        <v>302.0</v>
      </c>
      <c r="Z4264" s="45" t="s">
        <v>16739</v>
      </c>
      <c r="AA4264" s="31"/>
      <c r="AB4264" s="45" t="s">
        <v>16740</v>
      </c>
      <c r="AC4264" s="45"/>
    </row>
    <row r="4265" ht="18.75" customHeight="1">
      <c r="A4265" s="142" t="s">
        <v>16741</v>
      </c>
      <c r="B4265" s="19" t="s">
        <v>16742</v>
      </c>
      <c r="C4265" s="20">
        <v>34.0</v>
      </c>
      <c r="D4265" s="18" t="s">
        <v>16743</v>
      </c>
      <c r="E4265" s="27" t="s">
        <v>47</v>
      </c>
      <c r="F4265" s="27" t="s">
        <v>48</v>
      </c>
      <c r="G4265" s="18" t="s">
        <v>35</v>
      </c>
      <c r="H4265" s="40" t="s">
        <v>35</v>
      </c>
      <c r="I4265" s="37" t="s">
        <v>36</v>
      </c>
      <c r="J4265" s="25" t="s">
        <v>49</v>
      </c>
      <c r="K4265" s="26" t="s">
        <v>238</v>
      </c>
      <c r="L4265" s="72">
        <v>13261.0</v>
      </c>
      <c r="M4265" s="49" t="s">
        <v>73</v>
      </c>
      <c r="N4265" s="42" t="s">
        <v>143</v>
      </c>
      <c r="O4265" s="67">
        <v>45826.60026574074</v>
      </c>
      <c r="P4265" s="35" t="s">
        <v>16744</v>
      </c>
      <c r="Q4265" s="13" t="s">
        <v>75</v>
      </c>
      <c r="R4265" s="13" t="s">
        <v>75</v>
      </c>
      <c r="S4265" s="13" t="s">
        <v>73</v>
      </c>
      <c r="T4265" s="44">
        <v>45826.466808576384</v>
      </c>
      <c r="U4265" s="44">
        <v>45826.46725190972</v>
      </c>
      <c r="V4265" s="44">
        <v>45826.469260115744</v>
      </c>
      <c r="W4265" s="11"/>
      <c r="X4265" s="11"/>
      <c r="Y4265" s="45">
        <v>302.0</v>
      </c>
      <c r="Z4265" s="45" t="s">
        <v>16745</v>
      </c>
      <c r="AA4265" s="31"/>
      <c r="AB4265" s="45" t="s">
        <v>16746</v>
      </c>
      <c r="AC4265" s="45"/>
    </row>
    <row r="4266" ht="18.75" customHeight="1">
      <c r="A4266" s="142" t="s">
        <v>16747</v>
      </c>
      <c r="B4266" s="19" t="s">
        <v>8933</v>
      </c>
      <c r="C4266" s="20">
        <v>90.0</v>
      </c>
      <c r="D4266" s="18" t="s">
        <v>16748</v>
      </c>
      <c r="E4266" s="27" t="s">
        <v>91</v>
      </c>
      <c r="F4266" s="27" t="s">
        <v>48</v>
      </c>
      <c r="G4266" s="18" t="s">
        <v>35</v>
      </c>
      <c r="H4266" s="40" t="s">
        <v>35</v>
      </c>
      <c r="I4266" s="37" t="s">
        <v>36</v>
      </c>
      <c r="J4266" s="25" t="s">
        <v>65</v>
      </c>
      <c r="K4266" s="26" t="s">
        <v>38</v>
      </c>
      <c r="L4266" s="72">
        <v>13272.0</v>
      </c>
      <c r="M4266" s="49" t="s">
        <v>50</v>
      </c>
      <c r="N4266" s="42" t="s">
        <v>3442</v>
      </c>
      <c r="O4266" s="67">
        <v>45831.543755844905</v>
      </c>
      <c r="P4266" s="35" t="s">
        <v>15829</v>
      </c>
      <c r="Q4266" s="13" t="s">
        <v>75</v>
      </c>
      <c r="R4266" s="13" t="s">
        <v>75</v>
      </c>
      <c r="S4266" s="13" t="s">
        <v>50</v>
      </c>
      <c r="T4266" s="44">
        <v>45825.5756690625</v>
      </c>
      <c r="U4266" s="44">
        <v>45828.492448715275</v>
      </c>
      <c r="V4266" s="44">
        <v>45828.56735510417</v>
      </c>
      <c r="W4266" s="11"/>
      <c r="X4266" s="11"/>
      <c r="Y4266" s="45">
        <v>302.0</v>
      </c>
      <c r="Z4266" s="45" t="s">
        <v>16749</v>
      </c>
      <c r="AA4266" s="31"/>
      <c r="AB4266" s="45" t="s">
        <v>16750</v>
      </c>
      <c r="AC4266" s="45"/>
    </row>
    <row r="4267" ht="18.75" customHeight="1">
      <c r="A4267" s="142" t="s">
        <v>16751</v>
      </c>
      <c r="B4267" s="19" t="s">
        <v>10846</v>
      </c>
      <c r="C4267" s="20">
        <v>90.0</v>
      </c>
      <c r="D4267" s="18" t="s">
        <v>16752</v>
      </c>
      <c r="E4267" s="27" t="s">
        <v>91</v>
      </c>
      <c r="F4267" s="27" t="s">
        <v>48</v>
      </c>
      <c r="G4267" s="18" t="s">
        <v>35</v>
      </c>
      <c r="H4267" s="40" t="s">
        <v>35</v>
      </c>
      <c r="I4267" s="37" t="s">
        <v>36</v>
      </c>
      <c r="J4267" s="25" t="s">
        <v>49</v>
      </c>
      <c r="K4267" s="26" t="s">
        <v>10848</v>
      </c>
      <c r="L4267" s="72">
        <v>13262.0</v>
      </c>
      <c r="M4267" s="49" t="s">
        <v>73</v>
      </c>
      <c r="N4267" s="42" t="s">
        <v>143</v>
      </c>
      <c r="O4267" s="67">
        <v>45826.60021686343</v>
      </c>
      <c r="P4267" s="35" t="s">
        <v>16753</v>
      </c>
      <c r="Q4267" s="13" t="s">
        <v>75</v>
      </c>
      <c r="R4267" s="13" t="s">
        <v>75</v>
      </c>
      <c r="S4267" s="13" t="s">
        <v>73</v>
      </c>
      <c r="T4267" s="44">
        <v>45825.57640583333</v>
      </c>
      <c r="U4267" s="44">
        <v>45825.64026385416</v>
      </c>
      <c r="V4267" s="44">
        <v>45826.458092534725</v>
      </c>
      <c r="W4267" s="11"/>
      <c r="X4267" s="11"/>
      <c r="Y4267" s="45">
        <v>302.0</v>
      </c>
      <c r="Z4267" s="45" t="s">
        <v>16754</v>
      </c>
      <c r="AA4267" s="31"/>
      <c r="AB4267" s="45" t="s">
        <v>16755</v>
      </c>
      <c r="AC4267" s="45"/>
    </row>
    <row r="4268" ht="18.75" customHeight="1">
      <c r="A4268" s="18" t="s">
        <v>16756</v>
      </c>
      <c r="B4268" s="19" t="s">
        <v>4604</v>
      </c>
      <c r="C4268" s="20">
        <v>11.0</v>
      </c>
      <c r="D4268" s="18" t="s">
        <v>16757</v>
      </c>
      <c r="E4268" s="27" t="s">
        <v>112</v>
      </c>
      <c r="F4268" s="27" t="s">
        <v>48</v>
      </c>
      <c r="G4268" s="18" t="s">
        <v>35</v>
      </c>
      <c r="H4268" s="40" t="s">
        <v>35</v>
      </c>
      <c r="I4268" s="37" t="s">
        <v>36</v>
      </c>
      <c r="J4268" s="25" t="s">
        <v>65</v>
      </c>
      <c r="K4268" s="26" t="s">
        <v>38</v>
      </c>
      <c r="L4268" s="72">
        <v>13273.0</v>
      </c>
      <c r="M4268" s="49" t="s">
        <v>50</v>
      </c>
      <c r="N4268" s="42" t="s">
        <v>3442</v>
      </c>
      <c r="O4268" s="67">
        <v>45831.54370434028</v>
      </c>
      <c r="P4268" s="35" t="s">
        <v>16758</v>
      </c>
      <c r="Q4268" s="13" t="s">
        <v>75</v>
      </c>
      <c r="R4268" s="13" t="s">
        <v>75</v>
      </c>
      <c r="S4268" s="13" t="s">
        <v>50</v>
      </c>
      <c r="T4268" s="44">
        <v>45825.57716940972</v>
      </c>
      <c r="U4268" s="44">
        <v>45826.540579837965</v>
      </c>
      <c r="V4268" s="44">
        <v>45828.561799675925</v>
      </c>
      <c r="W4268" s="11"/>
      <c r="X4268" s="11"/>
      <c r="Y4268" s="45">
        <v>302.0</v>
      </c>
      <c r="Z4268" s="45" t="s">
        <v>16759</v>
      </c>
      <c r="AA4268" s="31"/>
      <c r="AB4268" s="45" t="s">
        <v>16760</v>
      </c>
      <c r="AC4268" s="45"/>
    </row>
    <row r="4269" ht="18.75" customHeight="1">
      <c r="A4269" s="18" t="s">
        <v>16761</v>
      </c>
      <c r="B4269" s="19" t="s">
        <v>4604</v>
      </c>
      <c r="C4269" s="20">
        <v>11.0</v>
      </c>
      <c r="D4269" s="18" t="s">
        <v>16762</v>
      </c>
      <c r="E4269" s="27" t="s">
        <v>112</v>
      </c>
      <c r="F4269" s="27" t="s">
        <v>48</v>
      </c>
      <c r="G4269" s="18" t="s">
        <v>35</v>
      </c>
      <c r="H4269" s="40" t="s">
        <v>35</v>
      </c>
      <c r="I4269" s="37" t="s">
        <v>36</v>
      </c>
      <c r="J4269" s="25" t="s">
        <v>65</v>
      </c>
      <c r="K4269" s="26" t="s">
        <v>38</v>
      </c>
      <c r="L4269" s="72">
        <v>13273.0</v>
      </c>
      <c r="M4269" s="49" t="s">
        <v>50</v>
      </c>
      <c r="N4269" s="42" t="s">
        <v>3442</v>
      </c>
      <c r="O4269" s="67">
        <v>45831.54360559028</v>
      </c>
      <c r="P4269" s="35" t="s">
        <v>16758</v>
      </c>
      <c r="Q4269" s="13" t="s">
        <v>75</v>
      </c>
      <c r="R4269" s="13" t="s">
        <v>75</v>
      </c>
      <c r="S4269" s="13" t="s">
        <v>50</v>
      </c>
      <c r="T4269" s="44">
        <v>45825.57755265046</v>
      </c>
      <c r="U4269" s="44">
        <v>45826.54065490741</v>
      </c>
      <c r="V4269" s="44">
        <v>45828.561799675925</v>
      </c>
      <c r="W4269" s="11"/>
      <c r="X4269" s="11"/>
      <c r="Y4269" s="45">
        <v>302.0</v>
      </c>
      <c r="Z4269" s="45" t="s">
        <v>16763</v>
      </c>
      <c r="AA4269" s="31"/>
      <c r="AB4269" s="45" t="s">
        <v>16764</v>
      </c>
      <c r="AC4269" s="45"/>
    </row>
    <row r="4270" ht="18.75" customHeight="1">
      <c r="A4270" s="18" t="s">
        <v>16765</v>
      </c>
      <c r="B4270" s="19" t="s">
        <v>4604</v>
      </c>
      <c r="C4270" s="20">
        <v>11.0</v>
      </c>
      <c r="D4270" s="18" t="s">
        <v>16766</v>
      </c>
      <c r="E4270" s="27" t="s">
        <v>112</v>
      </c>
      <c r="F4270" s="27" t="s">
        <v>48</v>
      </c>
      <c r="G4270" s="18" t="s">
        <v>35</v>
      </c>
      <c r="H4270" s="40" t="s">
        <v>35</v>
      </c>
      <c r="I4270" s="37" t="s">
        <v>36</v>
      </c>
      <c r="J4270" s="25" t="s">
        <v>65</v>
      </c>
      <c r="K4270" s="26" t="s">
        <v>38</v>
      </c>
      <c r="L4270" s="72">
        <v>13273.0</v>
      </c>
      <c r="M4270" s="49" t="s">
        <v>50</v>
      </c>
      <c r="N4270" s="42" t="s">
        <v>3442</v>
      </c>
      <c r="O4270" s="67">
        <v>45831.543555208336</v>
      </c>
      <c r="P4270" s="35" t="s">
        <v>16758</v>
      </c>
      <c r="Q4270" s="13" t="s">
        <v>75</v>
      </c>
      <c r="R4270" s="13" t="s">
        <v>75</v>
      </c>
      <c r="S4270" s="13" t="s">
        <v>50</v>
      </c>
      <c r="T4270" s="44">
        <v>45825.57761335648</v>
      </c>
      <c r="U4270" s="44">
        <v>45826.54067574074</v>
      </c>
      <c r="V4270" s="44">
        <v>45828.561799675925</v>
      </c>
      <c r="W4270" s="11"/>
      <c r="X4270" s="11"/>
      <c r="Y4270" s="45">
        <v>302.0</v>
      </c>
      <c r="Z4270" s="45" t="s">
        <v>16767</v>
      </c>
      <c r="AA4270" s="31"/>
      <c r="AB4270" s="45" t="s">
        <v>16768</v>
      </c>
      <c r="AC4270" s="45"/>
    </row>
    <row r="4271" ht="18.75" customHeight="1">
      <c r="A4271" s="18" t="s">
        <v>16769</v>
      </c>
      <c r="B4271" s="19" t="s">
        <v>4604</v>
      </c>
      <c r="C4271" s="20">
        <v>11.0</v>
      </c>
      <c r="D4271" s="18" t="s">
        <v>16770</v>
      </c>
      <c r="E4271" s="27" t="s">
        <v>112</v>
      </c>
      <c r="F4271" s="27" t="s">
        <v>48</v>
      </c>
      <c r="G4271" s="18" t="s">
        <v>35</v>
      </c>
      <c r="H4271" s="40" t="s">
        <v>35</v>
      </c>
      <c r="I4271" s="37" t="s">
        <v>36</v>
      </c>
      <c r="J4271" s="25" t="s">
        <v>65</v>
      </c>
      <c r="K4271" s="26" t="s">
        <v>38</v>
      </c>
      <c r="L4271" s="72">
        <v>13273.0</v>
      </c>
      <c r="M4271" s="49" t="s">
        <v>50</v>
      </c>
      <c r="N4271" s="42" t="s">
        <v>3442</v>
      </c>
      <c r="O4271" s="67">
        <v>45831.543492013894</v>
      </c>
      <c r="P4271" s="35" t="s">
        <v>16758</v>
      </c>
      <c r="Q4271" s="13" t="s">
        <v>75</v>
      </c>
      <c r="R4271" s="13" t="s">
        <v>75</v>
      </c>
      <c r="S4271" s="13" t="s">
        <v>50</v>
      </c>
      <c r="T4271" s="44">
        <v>45825.577684502314</v>
      </c>
      <c r="U4271" s="44">
        <v>45826.54069563658</v>
      </c>
      <c r="V4271" s="44">
        <v>45828.561799675925</v>
      </c>
      <c r="W4271" s="11"/>
      <c r="X4271" s="11"/>
      <c r="Y4271" s="45">
        <v>302.0</v>
      </c>
      <c r="Z4271" s="45" t="s">
        <v>16771</v>
      </c>
      <c r="AA4271" s="31"/>
      <c r="AB4271" s="45" t="s">
        <v>16772</v>
      </c>
      <c r="AC4271" s="45"/>
    </row>
    <row r="4272" ht="18.75" customHeight="1">
      <c r="A4272" s="18" t="s">
        <v>16773</v>
      </c>
      <c r="B4272" s="19" t="s">
        <v>4604</v>
      </c>
      <c r="C4272" s="20">
        <v>0.0</v>
      </c>
      <c r="D4272" s="18" t="s">
        <v>16774</v>
      </c>
      <c r="E4272" s="27" t="s">
        <v>3441</v>
      </c>
      <c r="F4272" s="27" t="s">
        <v>48</v>
      </c>
      <c r="G4272" s="18" t="s">
        <v>35</v>
      </c>
      <c r="H4272" s="40" t="s">
        <v>35</v>
      </c>
      <c r="I4272" s="37" t="s">
        <v>36</v>
      </c>
      <c r="J4272" s="25" t="s">
        <v>65</v>
      </c>
      <c r="K4272" s="26" t="s">
        <v>38</v>
      </c>
      <c r="L4272" s="72">
        <v>13273.0</v>
      </c>
      <c r="M4272" s="49" t="s">
        <v>50</v>
      </c>
      <c r="N4272" s="42" t="s">
        <v>3442</v>
      </c>
      <c r="O4272" s="67">
        <v>45831.54365703704</v>
      </c>
      <c r="P4272" s="35" t="s">
        <v>16758</v>
      </c>
      <c r="Q4272" s="13" t="s">
        <v>75</v>
      </c>
      <c r="R4272" s="13" t="s">
        <v>75</v>
      </c>
      <c r="S4272" s="13" t="s">
        <v>50</v>
      </c>
      <c r="T4272" s="44">
        <v>45825.57775986111</v>
      </c>
      <c r="U4272" s="44">
        <v>45826.540630393516</v>
      </c>
      <c r="V4272" s="44">
        <v>45828.56145314815</v>
      </c>
      <c r="W4272" s="11"/>
      <c r="X4272" s="11"/>
      <c r="Y4272" s="45">
        <v>302.0</v>
      </c>
      <c r="Z4272" s="45" t="s">
        <v>16775</v>
      </c>
      <c r="AA4272" s="31"/>
      <c r="AB4272" s="45" t="s">
        <v>16776</v>
      </c>
      <c r="AC4272" s="45"/>
    </row>
    <row r="4273" ht="18.75" customHeight="1">
      <c r="A4273" s="142" t="s">
        <v>16777</v>
      </c>
      <c r="B4273" s="19" t="s">
        <v>16778</v>
      </c>
      <c r="C4273" s="20">
        <v>27.0</v>
      </c>
      <c r="D4273" s="39" t="s">
        <v>16779</v>
      </c>
      <c r="E4273" s="27" t="s">
        <v>72</v>
      </c>
      <c r="F4273" s="27" t="s">
        <v>48</v>
      </c>
      <c r="G4273" s="18" t="s">
        <v>35</v>
      </c>
      <c r="H4273" s="40" t="s">
        <v>35</v>
      </c>
      <c r="I4273" s="37" t="s">
        <v>36</v>
      </c>
      <c r="J4273" s="25" t="s">
        <v>49</v>
      </c>
      <c r="K4273" s="26" t="s">
        <v>238</v>
      </c>
      <c r="L4273" s="72">
        <v>13263.0</v>
      </c>
      <c r="M4273" s="49" t="s">
        <v>73</v>
      </c>
      <c r="N4273" s="42" t="s">
        <v>143</v>
      </c>
      <c r="O4273" s="67">
        <v>45826.600166261574</v>
      </c>
      <c r="P4273" s="35" t="s">
        <v>16780</v>
      </c>
      <c r="Q4273" s="13" t="s">
        <v>75</v>
      </c>
      <c r="R4273" s="13" t="s">
        <v>75</v>
      </c>
      <c r="S4273" s="13" t="s">
        <v>73</v>
      </c>
      <c r="T4273" s="44">
        <v>45826.46743193287</v>
      </c>
      <c r="U4273" s="44">
        <v>45826.46745260416</v>
      </c>
      <c r="V4273" s="44">
        <v>45826.47740096065</v>
      </c>
      <c r="W4273" s="11"/>
      <c r="X4273" s="11"/>
      <c r="Y4273" s="45">
        <v>302.0</v>
      </c>
      <c r="Z4273" s="45" t="s">
        <v>16781</v>
      </c>
      <c r="AA4273" s="31"/>
      <c r="AB4273" s="45" t="s">
        <v>16782</v>
      </c>
      <c r="AC4273" s="45"/>
    </row>
    <row r="4274" ht="18.75" customHeight="1">
      <c r="A4274" s="18" t="s">
        <v>16783</v>
      </c>
      <c r="B4274" s="19" t="s">
        <v>8825</v>
      </c>
      <c r="C4274" s="20">
        <v>90.0</v>
      </c>
      <c r="D4274" s="18" t="s">
        <v>16784</v>
      </c>
      <c r="E4274" s="27" t="s">
        <v>91</v>
      </c>
      <c r="F4274" s="27" t="s">
        <v>48</v>
      </c>
      <c r="G4274" s="18" t="s">
        <v>35</v>
      </c>
      <c r="H4274" s="40" t="s">
        <v>35</v>
      </c>
      <c r="I4274" s="37" t="s">
        <v>36</v>
      </c>
      <c r="J4274" s="25" t="s">
        <v>11095</v>
      </c>
      <c r="K4274" s="26" t="s">
        <v>38</v>
      </c>
      <c r="L4274" s="72">
        <v>13253.0</v>
      </c>
      <c r="M4274" s="49" t="s">
        <v>15811</v>
      </c>
      <c r="N4274" s="42"/>
      <c r="O4274" s="67">
        <v>45825.747792395836</v>
      </c>
      <c r="P4274" s="35" t="s">
        <v>16785</v>
      </c>
      <c r="Q4274" s="13" t="s">
        <v>75</v>
      </c>
      <c r="R4274" s="13" t="s">
        <v>75</v>
      </c>
      <c r="S4274" s="13" t="s">
        <v>75</v>
      </c>
      <c r="T4274" s="44">
        <v>45825.74220145833</v>
      </c>
      <c r="U4274" s="44">
        <v>45825.747792395836</v>
      </c>
      <c r="V4274" s="44">
        <v>45825.747792395836</v>
      </c>
      <c r="W4274" s="11"/>
      <c r="X4274" s="11"/>
      <c r="Y4274" s="45"/>
      <c r="Z4274" s="45"/>
      <c r="AA4274" s="31"/>
      <c r="AB4274" s="45" t="s">
        <v>16786</v>
      </c>
      <c r="AC4274" s="45"/>
    </row>
    <row r="4275" ht="18.75" customHeight="1">
      <c r="A4275" s="18" t="s">
        <v>16787</v>
      </c>
      <c r="B4275" s="19" t="s">
        <v>8825</v>
      </c>
      <c r="C4275" s="20">
        <v>27.0</v>
      </c>
      <c r="D4275" s="39" t="s">
        <v>16788</v>
      </c>
      <c r="E4275" s="27" t="s">
        <v>72</v>
      </c>
      <c r="F4275" s="27" t="s">
        <v>48</v>
      </c>
      <c r="G4275" s="18" t="s">
        <v>35</v>
      </c>
      <c r="H4275" s="40" t="s">
        <v>35</v>
      </c>
      <c r="I4275" s="37" t="s">
        <v>36</v>
      </c>
      <c r="J4275" s="25" t="s">
        <v>11095</v>
      </c>
      <c r="K4275" s="26" t="s">
        <v>38</v>
      </c>
      <c r="L4275" s="72">
        <v>13253.0</v>
      </c>
      <c r="M4275" s="49" t="s">
        <v>15811</v>
      </c>
      <c r="N4275" s="42"/>
      <c r="O4275" s="67">
        <v>45825.74787868056</v>
      </c>
      <c r="P4275" s="35" t="s">
        <v>16785</v>
      </c>
      <c r="Q4275" s="13" t="s">
        <v>75</v>
      </c>
      <c r="R4275" s="13" t="s">
        <v>75</v>
      </c>
      <c r="S4275" s="13" t="s">
        <v>75</v>
      </c>
      <c r="T4275" s="44">
        <v>45825.74232005787</v>
      </c>
      <c r="U4275" s="44">
        <v>45825.74787868056</v>
      </c>
      <c r="V4275" s="44">
        <v>45825.74787868056</v>
      </c>
      <c r="W4275" s="11"/>
      <c r="X4275" s="11"/>
      <c r="Y4275" s="45"/>
      <c r="Z4275" s="45"/>
      <c r="AA4275" s="31"/>
      <c r="AB4275" s="45" t="s">
        <v>16789</v>
      </c>
      <c r="AC4275" s="45"/>
    </row>
    <row r="4276" ht="18.75" customHeight="1">
      <c r="A4276" s="142" t="s">
        <v>16790</v>
      </c>
      <c r="B4276" s="19" t="s">
        <v>16791</v>
      </c>
      <c r="C4276" s="20">
        <v>90.0</v>
      </c>
      <c r="D4276" s="18" t="s">
        <v>16792</v>
      </c>
      <c r="E4276" s="27" t="s">
        <v>91</v>
      </c>
      <c r="F4276" s="27" t="s">
        <v>48</v>
      </c>
      <c r="G4276" s="18" t="s">
        <v>35</v>
      </c>
      <c r="H4276" s="40" t="s">
        <v>35</v>
      </c>
      <c r="I4276" s="37" t="s">
        <v>36</v>
      </c>
      <c r="J4276" s="25" t="s">
        <v>65</v>
      </c>
      <c r="K4276" s="26" t="s">
        <v>38</v>
      </c>
      <c r="L4276" s="72">
        <v>13257.0</v>
      </c>
      <c r="M4276" s="49" t="s">
        <v>50</v>
      </c>
      <c r="N4276" s="42" t="s">
        <v>16408</v>
      </c>
      <c r="O4276" s="67">
        <v>45826.711111111115</v>
      </c>
      <c r="P4276" s="35" t="s">
        <v>14372</v>
      </c>
      <c r="Q4276" s="13" t="s">
        <v>75</v>
      </c>
      <c r="R4276" s="13" t="s">
        <v>75</v>
      </c>
      <c r="S4276" s="13" t="s">
        <v>73</v>
      </c>
      <c r="T4276" s="44">
        <v>45826.37318527778</v>
      </c>
      <c r="U4276" s="44">
        <v>45826.42052828704</v>
      </c>
      <c r="V4276" s="44">
        <v>45826.44822287037</v>
      </c>
      <c r="W4276" s="11"/>
      <c r="X4276" s="11"/>
      <c r="Y4276" s="45">
        <v>302.0</v>
      </c>
      <c r="Z4276" s="45" t="s">
        <v>16793</v>
      </c>
      <c r="AA4276" s="31"/>
      <c r="AB4276" s="45" t="s">
        <v>16794</v>
      </c>
      <c r="AC4276" s="45"/>
    </row>
    <row r="4277" ht="18.75" customHeight="1">
      <c r="A4277" s="142" t="s">
        <v>16795</v>
      </c>
      <c r="B4277" s="19" t="s">
        <v>104</v>
      </c>
      <c r="C4277" s="20">
        <v>1.0</v>
      </c>
      <c r="D4277" s="18" t="s">
        <v>16796</v>
      </c>
      <c r="E4277" s="27" t="s">
        <v>3395</v>
      </c>
      <c r="F4277" s="27" t="s">
        <v>48</v>
      </c>
      <c r="G4277" s="18" t="s">
        <v>35</v>
      </c>
      <c r="H4277" s="40" t="s">
        <v>35</v>
      </c>
      <c r="I4277" s="37" t="s">
        <v>36</v>
      </c>
      <c r="J4277" s="25" t="s">
        <v>49</v>
      </c>
      <c r="K4277" s="26" t="s">
        <v>1184</v>
      </c>
      <c r="L4277" s="72">
        <v>13270.0</v>
      </c>
      <c r="M4277" s="49" t="s">
        <v>50</v>
      </c>
      <c r="N4277" s="42" t="s">
        <v>5936</v>
      </c>
      <c r="O4277" s="67">
        <v>45831.5432962037</v>
      </c>
      <c r="P4277" s="35" t="s">
        <v>16797</v>
      </c>
      <c r="Q4277" s="13" t="s">
        <v>75</v>
      </c>
      <c r="R4277" s="13" t="s">
        <v>75</v>
      </c>
      <c r="S4277" s="13" t="s">
        <v>50</v>
      </c>
      <c r="T4277" s="44">
        <v>45826.374308750004</v>
      </c>
      <c r="U4277" s="44">
        <v>45826.58877030092</v>
      </c>
      <c r="V4277" s="44">
        <v>45828.46481575232</v>
      </c>
      <c r="W4277" s="11"/>
      <c r="X4277" s="11"/>
      <c r="Y4277" s="45">
        <v>302.0</v>
      </c>
      <c r="Z4277" s="45" t="s">
        <v>16798</v>
      </c>
      <c r="AA4277" s="31"/>
      <c r="AB4277" s="45" t="s">
        <v>16799</v>
      </c>
      <c r="AC4277" s="45"/>
    </row>
    <row r="4278" ht="18.75" customHeight="1">
      <c r="A4278" s="142" t="s">
        <v>16800</v>
      </c>
      <c r="B4278" s="19" t="s">
        <v>16801</v>
      </c>
      <c r="C4278" s="20">
        <v>1.0</v>
      </c>
      <c r="D4278" s="18" t="s">
        <v>16802</v>
      </c>
      <c r="E4278" s="27" t="s">
        <v>3395</v>
      </c>
      <c r="F4278" s="27" t="s">
        <v>48</v>
      </c>
      <c r="G4278" s="18" t="s">
        <v>35</v>
      </c>
      <c r="H4278" s="40" t="s">
        <v>35</v>
      </c>
      <c r="I4278" s="37" t="s">
        <v>36</v>
      </c>
      <c r="J4278" s="25" t="s">
        <v>11095</v>
      </c>
      <c r="K4278" s="26" t="s">
        <v>38</v>
      </c>
      <c r="L4278" s="72">
        <v>13321.0</v>
      </c>
      <c r="M4278" s="49" t="s">
        <v>15811</v>
      </c>
      <c r="N4278" s="42"/>
      <c r="O4278" s="67">
        <v>45838.768617511574</v>
      </c>
      <c r="P4278" s="35" t="s">
        <v>16803</v>
      </c>
      <c r="Q4278" s="13" t="s">
        <v>75</v>
      </c>
      <c r="R4278" s="13" t="s">
        <v>75</v>
      </c>
      <c r="S4278" s="13" t="s">
        <v>75</v>
      </c>
      <c r="T4278" s="44">
        <v>45826.375121018515</v>
      </c>
      <c r="U4278" s="44">
        <v>45838.768617511574</v>
      </c>
      <c r="V4278" s="44">
        <v>45838.768617511574</v>
      </c>
      <c r="W4278" s="11"/>
      <c r="X4278" s="11"/>
      <c r="Y4278" s="45"/>
      <c r="Z4278" s="45"/>
      <c r="AA4278" s="31"/>
      <c r="AB4278" s="45" t="s">
        <v>16804</v>
      </c>
      <c r="AC4278" s="45"/>
    </row>
    <row r="4279" ht="18.75" customHeight="1">
      <c r="A4279" s="142" t="s">
        <v>16805</v>
      </c>
      <c r="B4279" s="19" t="s">
        <v>5039</v>
      </c>
      <c r="C4279" s="20">
        <v>0.0</v>
      </c>
      <c r="D4279" s="32">
        <v>20085.0</v>
      </c>
      <c r="E4279" s="27" t="s">
        <v>14531</v>
      </c>
      <c r="F4279" s="27" t="s">
        <v>48</v>
      </c>
      <c r="G4279" s="18" t="s">
        <v>35</v>
      </c>
      <c r="H4279" s="40" t="s">
        <v>35</v>
      </c>
      <c r="I4279" s="37" t="s">
        <v>36</v>
      </c>
      <c r="J4279" s="25" t="s">
        <v>49</v>
      </c>
      <c r="K4279" s="26" t="s">
        <v>38</v>
      </c>
      <c r="L4279" s="72">
        <v>13308.0</v>
      </c>
      <c r="M4279" s="49" t="s">
        <v>50</v>
      </c>
      <c r="N4279" s="42" t="s">
        <v>143</v>
      </c>
      <c r="O4279" s="67">
        <v>45835.59477841435</v>
      </c>
      <c r="P4279" s="35" t="s">
        <v>16806</v>
      </c>
      <c r="Q4279" s="13" t="s">
        <v>75</v>
      </c>
      <c r="R4279" s="13" t="s">
        <v>75</v>
      </c>
      <c r="S4279" s="13" t="s">
        <v>9620</v>
      </c>
      <c r="T4279" s="44">
        <v>45826.37750162037</v>
      </c>
      <c r="U4279" s="44">
        <v>45826.51183869213</v>
      </c>
      <c r="V4279" s="44">
        <v>45835.36954840278</v>
      </c>
      <c r="W4279" s="11"/>
      <c r="X4279" s="11"/>
      <c r="Y4279" s="45">
        <v>302.0</v>
      </c>
      <c r="Z4279" s="45" t="s">
        <v>16807</v>
      </c>
      <c r="AA4279" s="31"/>
      <c r="AB4279" s="45" t="s">
        <v>16808</v>
      </c>
      <c r="AC4279" s="45"/>
    </row>
    <row r="4280" ht="18.75" customHeight="1">
      <c r="A4280" s="142" t="s">
        <v>16809</v>
      </c>
      <c r="B4280" s="19" t="s">
        <v>16810</v>
      </c>
      <c r="C4280" s="20">
        <v>27.0</v>
      </c>
      <c r="D4280" s="39" t="s">
        <v>16811</v>
      </c>
      <c r="E4280" s="27" t="s">
        <v>72</v>
      </c>
      <c r="F4280" s="27" t="s">
        <v>48</v>
      </c>
      <c r="G4280" s="18" t="s">
        <v>35</v>
      </c>
      <c r="H4280" s="40" t="s">
        <v>35</v>
      </c>
      <c r="I4280" s="37" t="s">
        <v>36</v>
      </c>
      <c r="J4280" s="25" t="s">
        <v>49</v>
      </c>
      <c r="K4280" s="26" t="s">
        <v>238</v>
      </c>
      <c r="L4280" s="72">
        <v>13265.0</v>
      </c>
      <c r="M4280" s="49" t="s">
        <v>73</v>
      </c>
      <c r="N4280" s="42" t="s">
        <v>143</v>
      </c>
      <c r="O4280" s="67">
        <v>45826.60010797453</v>
      </c>
      <c r="P4280" s="35" t="s">
        <v>16812</v>
      </c>
      <c r="Q4280" s="13" t="s">
        <v>75</v>
      </c>
      <c r="R4280" s="13" t="s">
        <v>75</v>
      </c>
      <c r="S4280" s="13" t="s">
        <v>73</v>
      </c>
      <c r="T4280" s="44">
        <v>45826.48599641204</v>
      </c>
      <c r="U4280" s="44">
        <v>45826.48602055556</v>
      </c>
      <c r="V4280" s="44">
        <v>45826.53265091435</v>
      </c>
      <c r="W4280" s="11"/>
      <c r="X4280" s="11"/>
      <c r="Y4280" s="45">
        <v>302.0</v>
      </c>
      <c r="Z4280" s="45" t="s">
        <v>16813</v>
      </c>
      <c r="AA4280" s="31"/>
      <c r="AB4280" s="45" t="s">
        <v>16814</v>
      </c>
      <c r="AC4280" s="45"/>
    </row>
    <row r="4281" ht="18.75" customHeight="1">
      <c r="A4281" s="142" t="s">
        <v>16815</v>
      </c>
      <c r="B4281" s="19" t="s">
        <v>16816</v>
      </c>
      <c r="C4281" s="20">
        <v>1.0</v>
      </c>
      <c r="D4281" s="18" t="s">
        <v>16817</v>
      </c>
      <c r="E4281" s="27" t="s">
        <v>3395</v>
      </c>
      <c r="F4281" s="27" t="s">
        <v>48</v>
      </c>
      <c r="G4281" s="18" t="s">
        <v>35</v>
      </c>
      <c r="H4281" s="40" t="s">
        <v>35</v>
      </c>
      <c r="I4281" s="37" t="s">
        <v>36</v>
      </c>
      <c r="J4281" s="25" t="s">
        <v>65</v>
      </c>
      <c r="K4281" s="26" t="s">
        <v>38</v>
      </c>
      <c r="L4281" s="72">
        <v>13271.0</v>
      </c>
      <c r="M4281" s="49" t="s">
        <v>50</v>
      </c>
      <c r="N4281" s="42" t="s">
        <v>3442</v>
      </c>
      <c r="O4281" s="67">
        <v>45831.543427881945</v>
      </c>
      <c r="P4281" s="35" t="s">
        <v>16818</v>
      </c>
      <c r="Q4281" s="13" t="s">
        <v>75</v>
      </c>
      <c r="R4281" s="13" t="s">
        <v>75</v>
      </c>
      <c r="S4281" s="13" t="s">
        <v>50</v>
      </c>
      <c r="T4281" s="44">
        <v>45826.49841753472</v>
      </c>
      <c r="U4281" s="44">
        <v>45826.664790925926</v>
      </c>
      <c r="V4281" s="44">
        <v>45828.46550853009</v>
      </c>
      <c r="W4281" s="11"/>
      <c r="X4281" s="11"/>
      <c r="Y4281" s="45">
        <v>302.0</v>
      </c>
      <c r="Z4281" s="45" t="s">
        <v>16819</v>
      </c>
      <c r="AA4281" s="31"/>
      <c r="AB4281" s="45" t="s">
        <v>16820</v>
      </c>
      <c r="AC4281" s="45"/>
    </row>
    <row r="4282" ht="18.75" customHeight="1">
      <c r="A4282" s="18" t="s">
        <v>16821</v>
      </c>
      <c r="B4282" s="19" t="s">
        <v>16822</v>
      </c>
      <c r="C4282" s="20">
        <v>0.0</v>
      </c>
      <c r="D4282" s="32">
        <v>20090.0</v>
      </c>
      <c r="E4282" s="27" t="s">
        <v>15497</v>
      </c>
      <c r="F4282" s="27" t="s">
        <v>48</v>
      </c>
      <c r="G4282" s="18" t="s">
        <v>35</v>
      </c>
      <c r="H4282" s="40" t="s">
        <v>35</v>
      </c>
      <c r="I4282" s="37" t="s">
        <v>36</v>
      </c>
      <c r="J4282" s="25" t="s">
        <v>49</v>
      </c>
      <c r="K4282" s="26" t="s">
        <v>38</v>
      </c>
      <c r="L4282" s="72">
        <v>13301.0</v>
      </c>
      <c r="M4282" s="49" t="s">
        <v>50</v>
      </c>
      <c r="N4282" s="42" t="s">
        <v>143</v>
      </c>
      <c r="O4282" s="67">
        <v>45835.594734224534</v>
      </c>
      <c r="P4282" s="35" t="s">
        <v>16823</v>
      </c>
      <c r="Q4282" s="13" t="s">
        <v>75</v>
      </c>
      <c r="R4282" s="13" t="s">
        <v>75</v>
      </c>
      <c r="S4282" s="13" t="s">
        <v>9620</v>
      </c>
      <c r="T4282" s="44">
        <v>45827.51715023148</v>
      </c>
      <c r="U4282" s="44">
        <v>45828.36621233796</v>
      </c>
      <c r="V4282" s="44">
        <v>45833.579029872686</v>
      </c>
      <c r="W4282" s="11"/>
      <c r="X4282" s="11"/>
      <c r="Y4282" s="45">
        <v>302.0</v>
      </c>
      <c r="Z4282" s="45" t="s">
        <v>16824</v>
      </c>
      <c r="AA4282" s="31"/>
      <c r="AB4282" s="45" t="s">
        <v>16825</v>
      </c>
      <c r="AC4282" s="45"/>
    </row>
    <row r="4283" ht="18.75" customHeight="1">
      <c r="A4283" s="18" t="s">
        <v>16826</v>
      </c>
      <c r="B4283" s="19" t="s">
        <v>16822</v>
      </c>
      <c r="C4283" s="20">
        <v>0.0</v>
      </c>
      <c r="D4283" s="32">
        <v>20025.0</v>
      </c>
      <c r="E4283" s="27" t="s">
        <v>165</v>
      </c>
      <c r="F4283" s="27" t="s">
        <v>33</v>
      </c>
      <c r="G4283" s="18" t="s">
        <v>35</v>
      </c>
      <c r="H4283" s="40" t="s">
        <v>35</v>
      </c>
      <c r="I4283" s="37" t="s">
        <v>36</v>
      </c>
      <c r="J4283" s="25" t="s">
        <v>49</v>
      </c>
      <c r="K4283" s="26" t="s">
        <v>38</v>
      </c>
      <c r="L4283" s="72">
        <v>13301.0</v>
      </c>
      <c r="M4283" s="49" t="s">
        <v>50</v>
      </c>
      <c r="N4283" s="42" t="s">
        <v>143</v>
      </c>
      <c r="O4283" s="67">
        <v>45835.594681875</v>
      </c>
      <c r="P4283" s="35" t="s">
        <v>16823</v>
      </c>
      <c r="Q4283" s="13" t="s">
        <v>75</v>
      </c>
      <c r="R4283" s="13" t="s">
        <v>75</v>
      </c>
      <c r="S4283" s="13" t="s">
        <v>9620</v>
      </c>
      <c r="T4283" s="44">
        <v>45827.51832530093</v>
      </c>
      <c r="U4283" s="44">
        <v>45828.36627488426</v>
      </c>
      <c r="V4283" s="44">
        <v>45831.340154432866</v>
      </c>
      <c r="W4283" s="11"/>
      <c r="X4283" s="11"/>
      <c r="Y4283" s="45">
        <v>302.0</v>
      </c>
      <c r="Z4283" s="45" t="s">
        <v>16827</v>
      </c>
      <c r="AA4283" s="31"/>
      <c r="AB4283" s="45" t="s">
        <v>16828</v>
      </c>
      <c r="AC4283" s="45"/>
    </row>
    <row r="4284" ht="18.75" customHeight="1">
      <c r="A4284" s="18" t="s">
        <v>16829</v>
      </c>
      <c r="B4284" s="19" t="s">
        <v>16822</v>
      </c>
      <c r="C4284" s="20">
        <v>0.0</v>
      </c>
      <c r="D4284" s="219" t="s">
        <v>16830</v>
      </c>
      <c r="E4284" s="27" t="s">
        <v>165</v>
      </c>
      <c r="F4284" s="27" t="s">
        <v>33</v>
      </c>
      <c r="G4284" s="18" t="s">
        <v>35</v>
      </c>
      <c r="H4284" s="40" t="s">
        <v>35</v>
      </c>
      <c r="I4284" s="37" t="s">
        <v>36</v>
      </c>
      <c r="J4284" s="25" t="s">
        <v>49</v>
      </c>
      <c r="K4284" s="26" t="s">
        <v>38</v>
      </c>
      <c r="L4284" s="72">
        <v>13301.0</v>
      </c>
      <c r="M4284" s="49" t="s">
        <v>50</v>
      </c>
      <c r="N4284" s="42" t="s">
        <v>143</v>
      </c>
      <c r="O4284" s="67">
        <v>45835.594628391205</v>
      </c>
      <c r="P4284" s="35" t="s">
        <v>16823</v>
      </c>
      <c r="Q4284" s="13" t="s">
        <v>75</v>
      </c>
      <c r="R4284" s="13" t="s">
        <v>75</v>
      </c>
      <c r="S4284" s="13" t="s">
        <v>9620</v>
      </c>
      <c r="T4284" s="44">
        <v>45827.518610300926</v>
      </c>
      <c r="U4284" s="44">
        <v>45828.36635244213</v>
      </c>
      <c r="V4284" s="44">
        <v>45831.340154432866</v>
      </c>
      <c r="W4284" s="11"/>
      <c r="X4284" s="11"/>
      <c r="Y4284" s="45">
        <v>302.0</v>
      </c>
      <c r="Z4284" s="45" t="s">
        <v>16831</v>
      </c>
      <c r="AA4284" s="31"/>
      <c r="AB4284" s="45" t="s">
        <v>16832</v>
      </c>
      <c r="AC4284" s="45"/>
    </row>
    <row r="4285" ht="18.75" customHeight="1">
      <c r="A4285" s="142" t="s">
        <v>16833</v>
      </c>
      <c r="B4285" s="19" t="s">
        <v>693</v>
      </c>
      <c r="C4285" s="20">
        <v>34.0</v>
      </c>
      <c r="D4285" s="18" t="s">
        <v>16834</v>
      </c>
      <c r="E4285" s="27" t="s">
        <v>47</v>
      </c>
      <c r="F4285" s="27" t="s">
        <v>48</v>
      </c>
      <c r="G4285" s="18" t="s">
        <v>35</v>
      </c>
      <c r="H4285" s="40" t="s">
        <v>35</v>
      </c>
      <c r="I4285" s="37" t="s">
        <v>36</v>
      </c>
      <c r="J4285" s="25" t="s">
        <v>49</v>
      </c>
      <c r="K4285" s="26" t="s">
        <v>38</v>
      </c>
      <c r="L4285" s="72">
        <v>13278.0</v>
      </c>
      <c r="M4285" s="49" t="s">
        <v>73</v>
      </c>
      <c r="N4285" s="42" t="s">
        <v>143</v>
      </c>
      <c r="O4285" s="67">
        <v>45831.5952286574</v>
      </c>
      <c r="P4285" s="35" t="s">
        <v>15666</v>
      </c>
      <c r="Q4285" s="13" t="s">
        <v>75</v>
      </c>
      <c r="R4285" s="13" t="s">
        <v>75</v>
      </c>
      <c r="S4285" s="13" t="s">
        <v>73</v>
      </c>
      <c r="T4285" s="44">
        <v>45828.462626967594</v>
      </c>
      <c r="U4285" s="44">
        <v>45828.49196035879</v>
      </c>
      <c r="V4285" s="44">
        <v>45831.580035520834</v>
      </c>
      <c r="W4285" s="11"/>
      <c r="X4285" s="11"/>
      <c r="Y4285" s="45">
        <v>302.0</v>
      </c>
      <c r="Z4285" s="45" t="s">
        <v>16835</v>
      </c>
      <c r="AA4285" s="31"/>
      <c r="AB4285" s="45" t="s">
        <v>16836</v>
      </c>
      <c r="AC4285" s="45"/>
    </row>
    <row r="4286" ht="18.75" customHeight="1">
      <c r="A4286" s="18" t="s">
        <v>16837</v>
      </c>
      <c r="B4286" s="19" t="s">
        <v>8426</v>
      </c>
      <c r="C4286" s="20">
        <v>0.0</v>
      </c>
      <c r="D4286" s="178" t="s">
        <v>16838</v>
      </c>
      <c r="E4286" s="27" t="s">
        <v>32</v>
      </c>
      <c r="F4286" s="27" t="s">
        <v>33</v>
      </c>
      <c r="G4286" s="18" t="s">
        <v>35</v>
      </c>
      <c r="H4286" s="40" t="s">
        <v>35</v>
      </c>
      <c r="I4286" s="37" t="s">
        <v>36</v>
      </c>
      <c r="J4286" s="25" t="s">
        <v>49</v>
      </c>
      <c r="K4286" s="26" t="s">
        <v>38</v>
      </c>
      <c r="L4286" s="72">
        <v>13300.0</v>
      </c>
      <c r="M4286" s="49" t="s">
        <v>50</v>
      </c>
      <c r="N4286" s="42" t="s">
        <v>143</v>
      </c>
      <c r="O4286" s="67">
        <v>45834.589051400464</v>
      </c>
      <c r="P4286" s="35" t="s">
        <v>16839</v>
      </c>
      <c r="Q4286" s="13" t="s">
        <v>75</v>
      </c>
      <c r="R4286" s="13" t="s">
        <v>75</v>
      </c>
      <c r="S4286" s="13" t="s">
        <v>9620</v>
      </c>
      <c r="T4286" s="44">
        <v>45828.54416127315</v>
      </c>
      <c r="U4286" s="44">
        <v>45828.562199050924</v>
      </c>
      <c r="V4286" s="44">
        <v>45833.57866865741</v>
      </c>
      <c r="W4286" s="11"/>
      <c r="X4286" s="11"/>
      <c r="Y4286" s="45">
        <v>302.0</v>
      </c>
      <c r="Z4286" s="45" t="s">
        <v>16840</v>
      </c>
      <c r="AA4286" s="31"/>
      <c r="AB4286" s="45" t="s">
        <v>16841</v>
      </c>
      <c r="AC4286" s="45"/>
    </row>
    <row r="4287" ht="18.75" customHeight="1">
      <c r="A4287" s="18" t="s">
        <v>16842</v>
      </c>
      <c r="B4287" s="19" t="s">
        <v>8426</v>
      </c>
      <c r="C4287" s="20">
        <v>0.0</v>
      </c>
      <c r="D4287" s="178" t="s">
        <v>16843</v>
      </c>
      <c r="E4287" s="27" t="s">
        <v>32</v>
      </c>
      <c r="F4287" s="27" t="s">
        <v>33</v>
      </c>
      <c r="G4287" s="18" t="s">
        <v>35</v>
      </c>
      <c r="H4287" s="40" t="s">
        <v>35</v>
      </c>
      <c r="I4287" s="37" t="s">
        <v>36</v>
      </c>
      <c r="J4287" s="25" t="s">
        <v>49</v>
      </c>
      <c r="K4287" s="26" t="s">
        <v>38</v>
      </c>
      <c r="L4287" s="72">
        <v>13300.0</v>
      </c>
      <c r="M4287" s="49" t="s">
        <v>50</v>
      </c>
      <c r="N4287" s="42" t="s">
        <v>143</v>
      </c>
      <c r="O4287" s="67">
        <v>45834.588979374996</v>
      </c>
      <c r="P4287" s="35" t="s">
        <v>16839</v>
      </c>
      <c r="Q4287" s="13" t="s">
        <v>75</v>
      </c>
      <c r="R4287" s="13" t="s">
        <v>75</v>
      </c>
      <c r="S4287" s="13" t="s">
        <v>9620</v>
      </c>
      <c r="T4287" s="44">
        <v>45828.5442400926</v>
      </c>
      <c r="U4287" s="44">
        <v>45828.56223109954</v>
      </c>
      <c r="V4287" s="44">
        <v>45833.57866865741</v>
      </c>
      <c r="W4287" s="11"/>
      <c r="X4287" s="11"/>
      <c r="Y4287" s="45">
        <v>302.0</v>
      </c>
      <c r="Z4287" s="45" t="s">
        <v>16844</v>
      </c>
      <c r="AA4287" s="31"/>
      <c r="AB4287" s="45" t="s">
        <v>16845</v>
      </c>
      <c r="AC4287" s="45"/>
    </row>
    <row r="4288" ht="18.75" customHeight="1">
      <c r="A4288" s="142" t="s">
        <v>16846</v>
      </c>
      <c r="B4288" s="19" t="s">
        <v>4352</v>
      </c>
      <c r="C4288" s="20">
        <v>34.0</v>
      </c>
      <c r="D4288" s="39" t="s">
        <v>16847</v>
      </c>
      <c r="E4288" s="27" t="s">
        <v>47</v>
      </c>
      <c r="F4288" s="27" t="s">
        <v>48</v>
      </c>
      <c r="G4288" s="18" t="s">
        <v>35</v>
      </c>
      <c r="H4288" s="40" t="s">
        <v>35</v>
      </c>
      <c r="I4288" s="37" t="s">
        <v>36</v>
      </c>
      <c r="J4288" s="25" t="s">
        <v>49</v>
      </c>
      <c r="K4288" s="26" t="s">
        <v>38</v>
      </c>
      <c r="L4288" s="72">
        <v>13277.0</v>
      </c>
      <c r="M4288" s="49" t="s">
        <v>73</v>
      </c>
      <c r="N4288" s="42" t="s">
        <v>143</v>
      </c>
      <c r="O4288" s="67">
        <v>45831.59514983796</v>
      </c>
      <c r="P4288" s="35" t="s">
        <v>16848</v>
      </c>
      <c r="Q4288" s="13" t="s">
        <v>75</v>
      </c>
      <c r="R4288" s="13" t="s">
        <v>75</v>
      </c>
      <c r="S4288" s="13" t="s">
        <v>73</v>
      </c>
      <c r="T4288" s="44">
        <v>45828.62893561342</v>
      </c>
      <c r="U4288" s="44">
        <v>45828.73207799769</v>
      </c>
      <c r="V4288" s="44">
        <v>45831.580035520834</v>
      </c>
      <c r="W4288" s="11"/>
      <c r="X4288" s="11"/>
      <c r="Y4288" s="45">
        <v>302.0</v>
      </c>
      <c r="Z4288" s="45" t="s">
        <v>16849</v>
      </c>
      <c r="AA4288" s="31"/>
      <c r="AB4288" s="45" t="s">
        <v>16850</v>
      </c>
      <c r="AC4288" s="45"/>
    </row>
    <row r="4289" ht="18.75" customHeight="1">
      <c r="A4289" s="142" t="s">
        <v>16851</v>
      </c>
      <c r="B4289" s="19" t="s">
        <v>4352</v>
      </c>
      <c r="C4289" s="20">
        <v>1.0</v>
      </c>
      <c r="D4289" s="39" t="s">
        <v>16852</v>
      </c>
      <c r="E4289" s="27" t="s">
        <v>3395</v>
      </c>
      <c r="F4289" s="27" t="s">
        <v>48</v>
      </c>
      <c r="G4289" s="18" t="s">
        <v>35</v>
      </c>
      <c r="H4289" s="40" t="s">
        <v>35</v>
      </c>
      <c r="I4289" s="37" t="s">
        <v>36</v>
      </c>
      <c r="J4289" s="25" t="s">
        <v>49</v>
      </c>
      <c r="K4289" s="26" t="s">
        <v>38</v>
      </c>
      <c r="L4289" s="72">
        <v>13274.0</v>
      </c>
      <c r="M4289" s="49" t="s">
        <v>73</v>
      </c>
      <c r="N4289" s="42" t="s">
        <v>143</v>
      </c>
      <c r="O4289" s="67">
        <v>45831.59509293981</v>
      </c>
      <c r="P4289" s="35" t="s">
        <v>16853</v>
      </c>
      <c r="Q4289" s="13" t="s">
        <v>75</v>
      </c>
      <c r="R4289" s="13" t="s">
        <v>75</v>
      </c>
      <c r="S4289" s="13" t="s">
        <v>73</v>
      </c>
      <c r="T4289" s="44">
        <v>45828.629673020834</v>
      </c>
      <c r="U4289" s="44">
        <v>45828.73181052083</v>
      </c>
      <c r="V4289" s="44">
        <v>45831.57859203704</v>
      </c>
      <c r="W4289" s="11"/>
      <c r="X4289" s="11"/>
      <c r="Y4289" s="45">
        <v>302.0</v>
      </c>
      <c r="Z4289" s="45" t="s">
        <v>16854</v>
      </c>
      <c r="AA4289" s="31"/>
      <c r="AB4289" s="45" t="s">
        <v>16855</v>
      </c>
      <c r="AC4289" s="45"/>
    </row>
    <row r="4290" ht="18.75" customHeight="1">
      <c r="A4290" s="142" t="s">
        <v>16856</v>
      </c>
      <c r="B4290" s="19" t="s">
        <v>4352</v>
      </c>
      <c r="C4290" s="20">
        <v>137.0</v>
      </c>
      <c r="D4290" s="39" t="s">
        <v>16857</v>
      </c>
      <c r="E4290" s="27" t="s">
        <v>85</v>
      </c>
      <c r="F4290" s="27" t="s">
        <v>48</v>
      </c>
      <c r="G4290" s="18" t="s">
        <v>35</v>
      </c>
      <c r="H4290" s="40" t="s">
        <v>35</v>
      </c>
      <c r="I4290" s="37" t="s">
        <v>36</v>
      </c>
      <c r="J4290" s="25" t="s">
        <v>49</v>
      </c>
      <c r="K4290" s="26" t="s">
        <v>38</v>
      </c>
      <c r="L4290" s="72">
        <v>13275.0</v>
      </c>
      <c r="M4290" s="49" t="s">
        <v>50</v>
      </c>
      <c r="N4290" s="42" t="s">
        <v>143</v>
      </c>
      <c r="O4290" s="67">
        <v>45831.59504290509</v>
      </c>
      <c r="P4290" s="35" t="s">
        <v>16858</v>
      </c>
      <c r="Q4290" s="13" t="s">
        <v>75</v>
      </c>
      <c r="R4290" s="13" t="s">
        <v>75</v>
      </c>
      <c r="S4290" s="13" t="s">
        <v>73</v>
      </c>
      <c r="T4290" s="44">
        <v>45828.69242260417</v>
      </c>
      <c r="U4290" s="44">
        <v>45828.73160861111</v>
      </c>
      <c r="V4290" s="44">
        <v>45831.578475208335</v>
      </c>
      <c r="W4290" s="11"/>
      <c r="X4290" s="11"/>
      <c r="Y4290" s="45">
        <v>302.0</v>
      </c>
      <c r="Z4290" s="45" t="s">
        <v>16859</v>
      </c>
      <c r="AA4290" s="31"/>
      <c r="AB4290" s="45" t="s">
        <v>16860</v>
      </c>
      <c r="AC4290" s="45"/>
    </row>
    <row r="4291" ht="18.75" customHeight="1">
      <c r="A4291" s="142" t="s">
        <v>16861</v>
      </c>
      <c r="B4291" s="19" t="s">
        <v>543</v>
      </c>
      <c r="C4291" s="20">
        <v>27.0</v>
      </c>
      <c r="D4291" s="39" t="s">
        <v>16862</v>
      </c>
      <c r="E4291" s="27" t="s">
        <v>72</v>
      </c>
      <c r="F4291" s="27" t="s">
        <v>48</v>
      </c>
      <c r="G4291" s="18" t="s">
        <v>35</v>
      </c>
      <c r="H4291" s="40" t="s">
        <v>35</v>
      </c>
      <c r="I4291" s="37" t="s">
        <v>36</v>
      </c>
      <c r="J4291" s="25" t="s">
        <v>420</v>
      </c>
      <c r="K4291" s="26" t="s">
        <v>38</v>
      </c>
      <c r="L4291" s="72">
        <v>13299.0</v>
      </c>
      <c r="M4291" s="49" t="s">
        <v>50</v>
      </c>
      <c r="N4291" s="42" t="s">
        <v>4031</v>
      </c>
      <c r="O4291" s="67">
        <v>45834.5659859375</v>
      </c>
      <c r="P4291" s="35" t="s">
        <v>16414</v>
      </c>
      <c r="Q4291" s="13" t="s">
        <v>75</v>
      </c>
      <c r="R4291" s="13" t="s">
        <v>75</v>
      </c>
      <c r="S4291" s="13" t="s">
        <v>50</v>
      </c>
      <c r="T4291" s="44">
        <v>45828.63267607639</v>
      </c>
      <c r="U4291" s="44">
        <v>45833.4809084375</v>
      </c>
      <c r="V4291" s="44">
        <v>45834.4634724537</v>
      </c>
      <c r="W4291" s="11"/>
      <c r="X4291" s="11"/>
      <c r="Y4291" s="45">
        <v>302.0</v>
      </c>
      <c r="Z4291" s="45" t="s">
        <v>16863</v>
      </c>
      <c r="AA4291" s="31"/>
      <c r="AB4291" s="45" t="s">
        <v>16864</v>
      </c>
      <c r="AC4291" s="45"/>
    </row>
    <row r="4292" ht="18.75" customHeight="1">
      <c r="A4292" s="18" t="s">
        <v>16865</v>
      </c>
      <c r="B4292" s="19" t="s">
        <v>10447</v>
      </c>
      <c r="C4292" s="20">
        <v>1.0</v>
      </c>
      <c r="D4292" s="39" t="s">
        <v>16866</v>
      </c>
      <c r="E4292" s="27" t="s">
        <v>3395</v>
      </c>
      <c r="F4292" s="27" t="s">
        <v>48</v>
      </c>
      <c r="G4292" s="18" t="s">
        <v>35</v>
      </c>
      <c r="H4292" s="40" t="s">
        <v>35</v>
      </c>
      <c r="I4292" s="37" t="s">
        <v>36</v>
      </c>
      <c r="J4292" s="25" t="s">
        <v>65</v>
      </c>
      <c r="K4292" s="26" t="s">
        <v>38</v>
      </c>
      <c r="L4292" s="72">
        <v>13298.0</v>
      </c>
      <c r="M4292" s="49" t="s">
        <v>50</v>
      </c>
      <c r="N4292" s="42" t="s">
        <v>8104</v>
      </c>
      <c r="O4292" s="67">
        <v>45834.59422881945</v>
      </c>
      <c r="P4292" s="35" t="s">
        <v>16867</v>
      </c>
      <c r="Q4292" s="13" t="s">
        <v>75</v>
      </c>
      <c r="R4292" s="13" t="s">
        <v>75</v>
      </c>
      <c r="S4292" s="13" t="s">
        <v>50</v>
      </c>
      <c r="T4292" s="44">
        <v>45828.6369391551</v>
      </c>
      <c r="U4292" s="44">
        <v>45833.67490907408</v>
      </c>
      <c r="V4292" s="44">
        <v>45834.46347246528</v>
      </c>
      <c r="W4292" s="11"/>
      <c r="X4292" s="11"/>
      <c r="Y4292" s="45">
        <v>302.0</v>
      </c>
      <c r="Z4292" s="45" t="s">
        <v>16868</v>
      </c>
      <c r="AA4292" s="31"/>
      <c r="AB4292" s="45" t="s">
        <v>16869</v>
      </c>
      <c r="AC4292" s="45"/>
    </row>
    <row r="4293" ht="18.75" customHeight="1">
      <c r="A4293" s="18" t="s">
        <v>16870</v>
      </c>
      <c r="B4293" s="19" t="s">
        <v>10447</v>
      </c>
      <c r="C4293" s="20">
        <v>27.0</v>
      </c>
      <c r="D4293" s="39" t="s">
        <v>16871</v>
      </c>
      <c r="E4293" s="27" t="s">
        <v>72</v>
      </c>
      <c r="F4293" s="27" t="s">
        <v>48</v>
      </c>
      <c r="G4293" s="18" t="s">
        <v>35</v>
      </c>
      <c r="H4293" s="40" t="s">
        <v>35</v>
      </c>
      <c r="I4293" s="37" t="s">
        <v>36</v>
      </c>
      <c r="J4293" s="25" t="s">
        <v>65</v>
      </c>
      <c r="K4293" s="26" t="s">
        <v>38</v>
      </c>
      <c r="L4293" s="72">
        <v>13298.0</v>
      </c>
      <c r="M4293" s="49" t="s">
        <v>50</v>
      </c>
      <c r="N4293" s="42" t="s">
        <v>8104</v>
      </c>
      <c r="O4293" s="67">
        <v>45834.594276284726</v>
      </c>
      <c r="P4293" s="35" t="s">
        <v>16867</v>
      </c>
      <c r="Q4293" s="13" t="s">
        <v>75</v>
      </c>
      <c r="R4293" s="13" t="s">
        <v>75</v>
      </c>
      <c r="S4293" s="13" t="s">
        <v>50</v>
      </c>
      <c r="T4293" s="44">
        <v>45828.637685787035</v>
      </c>
      <c r="U4293" s="44">
        <v>45833.67493493056</v>
      </c>
      <c r="V4293" s="44">
        <v>45834.46347246528</v>
      </c>
      <c r="W4293" s="11"/>
      <c r="X4293" s="11"/>
      <c r="Y4293" s="45">
        <v>302.0</v>
      </c>
      <c r="Z4293" s="45" t="s">
        <v>16872</v>
      </c>
      <c r="AA4293" s="31"/>
      <c r="AB4293" s="45" t="s">
        <v>16873</v>
      </c>
      <c r="AC4293" s="45"/>
    </row>
    <row r="4294" ht="18.75" customHeight="1">
      <c r="A4294" s="18" t="s">
        <v>16874</v>
      </c>
      <c r="B4294" s="19" t="s">
        <v>10447</v>
      </c>
      <c r="C4294" s="20">
        <v>137.0</v>
      </c>
      <c r="D4294" s="39" t="s">
        <v>16875</v>
      </c>
      <c r="E4294" s="27" t="s">
        <v>85</v>
      </c>
      <c r="F4294" s="27" t="s">
        <v>48</v>
      </c>
      <c r="G4294" s="18" t="s">
        <v>35</v>
      </c>
      <c r="H4294" s="40" t="s">
        <v>35</v>
      </c>
      <c r="I4294" s="37" t="s">
        <v>36</v>
      </c>
      <c r="J4294" s="25" t="s">
        <v>65</v>
      </c>
      <c r="K4294" s="26" t="s">
        <v>38</v>
      </c>
      <c r="L4294" s="72">
        <v>13298.0</v>
      </c>
      <c r="M4294" s="49" t="s">
        <v>50</v>
      </c>
      <c r="N4294" s="42" t="s">
        <v>8104</v>
      </c>
      <c r="O4294" s="67">
        <v>45834.59432056713</v>
      </c>
      <c r="P4294" s="35" t="s">
        <v>16867</v>
      </c>
      <c r="Q4294" s="13" t="s">
        <v>75</v>
      </c>
      <c r="R4294" s="13" t="s">
        <v>75</v>
      </c>
      <c r="S4294" s="13" t="s">
        <v>50</v>
      </c>
      <c r="T4294" s="44">
        <v>45828.63779194445</v>
      </c>
      <c r="U4294" s="44">
        <v>45833.67496914352</v>
      </c>
      <c r="V4294" s="44">
        <v>45834.46393565972</v>
      </c>
      <c r="W4294" s="11"/>
      <c r="X4294" s="11"/>
      <c r="Y4294" s="45">
        <v>302.0</v>
      </c>
      <c r="Z4294" s="45" t="s">
        <v>16876</v>
      </c>
      <c r="AA4294" s="31"/>
      <c r="AB4294" s="45" t="s">
        <v>16877</v>
      </c>
      <c r="AC4294" s="45"/>
    </row>
    <row r="4295" ht="18.75" customHeight="1">
      <c r="A4295" s="32" t="s">
        <v>16878</v>
      </c>
      <c r="B4295" s="19" t="s">
        <v>16879</v>
      </c>
      <c r="C4295" s="20">
        <v>11.0</v>
      </c>
      <c r="D4295" s="39" t="s">
        <v>16880</v>
      </c>
      <c r="E4295" s="27" t="s">
        <v>112</v>
      </c>
      <c r="F4295" s="27" t="s">
        <v>48</v>
      </c>
      <c r="G4295" s="18" t="s">
        <v>35</v>
      </c>
      <c r="H4295" s="40" t="s">
        <v>35</v>
      </c>
      <c r="I4295" s="37" t="s">
        <v>36</v>
      </c>
      <c r="J4295" s="25" t="s">
        <v>49</v>
      </c>
      <c r="K4295" s="26" t="s">
        <v>16881</v>
      </c>
      <c r="L4295" s="72">
        <v>13338.0</v>
      </c>
      <c r="M4295" s="49" t="s">
        <v>50</v>
      </c>
      <c r="N4295" s="42" t="s">
        <v>143</v>
      </c>
      <c r="O4295" s="67">
        <v>45841.57634519676</v>
      </c>
      <c r="P4295" s="35" t="s">
        <v>16882</v>
      </c>
      <c r="Q4295" s="13" t="s">
        <v>75</v>
      </c>
      <c r="R4295" s="13" t="s">
        <v>75</v>
      </c>
      <c r="S4295" s="13" t="s">
        <v>50</v>
      </c>
      <c r="T4295" s="44">
        <v>45831.43187994213</v>
      </c>
      <c r="U4295" s="44">
        <v>45841.366065775466</v>
      </c>
      <c r="V4295" s="44">
        <v>45841.48254949074</v>
      </c>
      <c r="W4295" s="11"/>
      <c r="X4295" s="11"/>
      <c r="Y4295" s="207">
        <v>302.0</v>
      </c>
      <c r="Z4295" s="45" t="s">
        <v>16883</v>
      </c>
      <c r="AA4295" s="31"/>
      <c r="AB4295" s="45" t="s">
        <v>16884</v>
      </c>
      <c r="AC4295" s="45"/>
    </row>
    <row r="4296" ht="18.75" customHeight="1">
      <c r="A4296" s="32" t="s">
        <v>16885</v>
      </c>
      <c r="B4296" s="19" t="s">
        <v>16879</v>
      </c>
      <c r="C4296" s="20">
        <v>11.0</v>
      </c>
      <c r="D4296" s="39" t="s">
        <v>16886</v>
      </c>
      <c r="E4296" s="27" t="s">
        <v>112</v>
      </c>
      <c r="F4296" s="27" t="s">
        <v>48</v>
      </c>
      <c r="G4296" s="18" t="s">
        <v>35</v>
      </c>
      <c r="H4296" s="40" t="s">
        <v>35</v>
      </c>
      <c r="I4296" s="37" t="s">
        <v>36</v>
      </c>
      <c r="J4296" s="25" t="s">
        <v>49</v>
      </c>
      <c r="K4296" s="26" t="s">
        <v>16881</v>
      </c>
      <c r="L4296" s="72">
        <v>13338.0</v>
      </c>
      <c r="M4296" s="49" t="s">
        <v>50</v>
      </c>
      <c r="N4296" s="42" t="s">
        <v>143</v>
      </c>
      <c r="O4296" s="67">
        <v>45841.57630210648</v>
      </c>
      <c r="P4296" s="35" t="s">
        <v>16882</v>
      </c>
      <c r="Q4296" s="13" t="s">
        <v>75</v>
      </c>
      <c r="R4296" s="13" t="s">
        <v>75</v>
      </c>
      <c r="S4296" s="13" t="s">
        <v>50</v>
      </c>
      <c r="T4296" s="44">
        <v>45831.43199483796</v>
      </c>
      <c r="U4296" s="44">
        <v>45841.366111655094</v>
      </c>
      <c r="V4296" s="44">
        <v>45841.48367125</v>
      </c>
      <c r="W4296" s="11"/>
      <c r="X4296" s="11"/>
      <c r="Y4296" s="207">
        <v>302.0</v>
      </c>
      <c r="Z4296" s="45" t="s">
        <v>16887</v>
      </c>
      <c r="AA4296" s="31"/>
      <c r="AB4296" s="45" t="s">
        <v>16888</v>
      </c>
      <c r="AC4296" s="45"/>
    </row>
    <row r="4297" ht="18.75" customHeight="1">
      <c r="A4297" s="32" t="s">
        <v>16889</v>
      </c>
      <c r="B4297" s="19" t="s">
        <v>16879</v>
      </c>
      <c r="C4297" s="20">
        <v>27.0</v>
      </c>
      <c r="D4297" s="39" t="s">
        <v>16890</v>
      </c>
      <c r="E4297" s="27" t="s">
        <v>72</v>
      </c>
      <c r="F4297" s="27" t="s">
        <v>48</v>
      </c>
      <c r="G4297" s="18" t="s">
        <v>35</v>
      </c>
      <c r="H4297" s="40" t="s">
        <v>35</v>
      </c>
      <c r="I4297" s="37" t="s">
        <v>36</v>
      </c>
      <c r="J4297" s="25" t="s">
        <v>49</v>
      </c>
      <c r="K4297" s="26" t="s">
        <v>16881</v>
      </c>
      <c r="L4297" s="72">
        <v>13338.0</v>
      </c>
      <c r="M4297" s="49" t="s">
        <v>50</v>
      </c>
      <c r="N4297" s="42" t="s">
        <v>143</v>
      </c>
      <c r="O4297" s="67">
        <v>45841.57625775463</v>
      </c>
      <c r="P4297" s="35" t="s">
        <v>16882</v>
      </c>
      <c r="Q4297" s="13" t="s">
        <v>75</v>
      </c>
      <c r="R4297" s="13" t="s">
        <v>75</v>
      </c>
      <c r="S4297" s="13" t="s">
        <v>50</v>
      </c>
      <c r="T4297" s="44">
        <v>45831.43219309028</v>
      </c>
      <c r="U4297" s="44">
        <v>45841.366043125</v>
      </c>
      <c r="V4297" s="44">
        <v>45841.48254949074</v>
      </c>
      <c r="W4297" s="11"/>
      <c r="X4297" s="11"/>
      <c r="Y4297" s="45">
        <v>302.0</v>
      </c>
      <c r="Z4297" s="45" t="s">
        <v>16891</v>
      </c>
      <c r="AA4297" s="31"/>
      <c r="AB4297" s="45" t="s">
        <v>16892</v>
      </c>
      <c r="AC4297" s="45"/>
    </row>
    <row r="4298" ht="18.75" customHeight="1">
      <c r="A4298" s="32" t="s">
        <v>16893</v>
      </c>
      <c r="B4298" s="19" t="s">
        <v>16879</v>
      </c>
      <c r="C4298" s="20">
        <v>27.0</v>
      </c>
      <c r="D4298" s="39" t="s">
        <v>16894</v>
      </c>
      <c r="E4298" s="27" t="s">
        <v>72</v>
      </c>
      <c r="F4298" s="27" t="s">
        <v>48</v>
      </c>
      <c r="G4298" s="18" t="s">
        <v>35</v>
      </c>
      <c r="H4298" s="40" t="s">
        <v>35</v>
      </c>
      <c r="I4298" s="37" t="s">
        <v>36</v>
      </c>
      <c r="J4298" s="25" t="s">
        <v>49</v>
      </c>
      <c r="K4298" s="26" t="s">
        <v>16881</v>
      </c>
      <c r="L4298" s="72">
        <v>13338.0</v>
      </c>
      <c r="M4298" s="49" t="s">
        <v>50</v>
      </c>
      <c r="N4298" s="42" t="s">
        <v>143</v>
      </c>
      <c r="O4298" s="67">
        <v>45841.576213113425</v>
      </c>
      <c r="P4298" s="35" t="s">
        <v>16882</v>
      </c>
      <c r="Q4298" s="13" t="s">
        <v>75</v>
      </c>
      <c r="R4298" s="13" t="s">
        <v>75</v>
      </c>
      <c r="S4298" s="13" t="s">
        <v>50</v>
      </c>
      <c r="T4298" s="44">
        <v>45831.43240258102</v>
      </c>
      <c r="U4298" s="44">
        <v>45841.366088263894</v>
      </c>
      <c r="V4298" s="44">
        <v>45841.48254949074</v>
      </c>
      <c r="W4298" s="11"/>
      <c r="X4298" s="11"/>
      <c r="Y4298" s="45">
        <v>302.0</v>
      </c>
      <c r="Z4298" s="45" t="s">
        <v>16895</v>
      </c>
      <c r="AA4298" s="31"/>
      <c r="AB4298" s="45" t="s">
        <v>16896</v>
      </c>
      <c r="AC4298" s="45"/>
    </row>
    <row r="4299" ht="18.75" customHeight="1">
      <c r="A4299" s="142" t="s">
        <v>16897</v>
      </c>
      <c r="B4299" s="19" t="s">
        <v>7736</v>
      </c>
      <c r="C4299" s="20">
        <v>90.0</v>
      </c>
      <c r="D4299" s="39" t="s">
        <v>16898</v>
      </c>
      <c r="E4299" s="27" t="s">
        <v>91</v>
      </c>
      <c r="F4299" s="27" t="s">
        <v>48</v>
      </c>
      <c r="G4299" s="18" t="s">
        <v>35</v>
      </c>
      <c r="H4299" s="40" t="s">
        <v>35</v>
      </c>
      <c r="I4299" s="37" t="s">
        <v>36</v>
      </c>
      <c r="J4299" s="25" t="s">
        <v>49</v>
      </c>
      <c r="K4299" s="26" t="s">
        <v>16899</v>
      </c>
      <c r="L4299" s="72">
        <v>13290.0</v>
      </c>
      <c r="M4299" s="49" t="s">
        <v>50</v>
      </c>
      <c r="N4299" s="42" t="s">
        <v>143</v>
      </c>
      <c r="O4299" s="67">
        <v>45833.57938743055</v>
      </c>
      <c r="P4299" s="35" t="s">
        <v>16900</v>
      </c>
      <c r="Q4299" s="13" t="s">
        <v>75</v>
      </c>
      <c r="R4299" s="13" t="s">
        <v>75</v>
      </c>
      <c r="S4299" s="13" t="s">
        <v>50</v>
      </c>
      <c r="T4299" s="44">
        <v>45833.44729210648</v>
      </c>
      <c r="U4299" s="44">
        <v>45833.447343541666</v>
      </c>
      <c r="V4299" s="44">
        <v>45833.462599108796</v>
      </c>
      <c r="W4299" s="11"/>
      <c r="X4299" s="11"/>
      <c r="Y4299" s="207">
        <v>302.0</v>
      </c>
      <c r="Z4299" s="45" t="s">
        <v>16901</v>
      </c>
      <c r="AA4299" s="31"/>
      <c r="AB4299" s="45" t="s">
        <v>16902</v>
      </c>
      <c r="AC4299" s="45"/>
    </row>
    <row r="4300" ht="18.75" customHeight="1">
      <c r="A4300" s="142" t="s">
        <v>16903</v>
      </c>
      <c r="B4300" s="19" t="s">
        <v>5586</v>
      </c>
      <c r="C4300" s="20">
        <v>90.0</v>
      </c>
      <c r="D4300" s="39" t="s">
        <v>16904</v>
      </c>
      <c r="E4300" s="27" t="s">
        <v>91</v>
      </c>
      <c r="F4300" s="27" t="s">
        <v>48</v>
      </c>
      <c r="G4300" s="18" t="s">
        <v>35</v>
      </c>
      <c r="H4300" s="40" t="s">
        <v>35</v>
      </c>
      <c r="I4300" s="37" t="s">
        <v>36</v>
      </c>
      <c r="J4300" s="25" t="s">
        <v>49</v>
      </c>
      <c r="K4300" s="26" t="s">
        <v>16905</v>
      </c>
      <c r="L4300" s="72">
        <v>13276.0</v>
      </c>
      <c r="M4300" s="49" t="s">
        <v>73</v>
      </c>
      <c r="N4300" s="42" t="s">
        <v>143</v>
      </c>
      <c r="O4300" s="67">
        <v>45831.59498811343</v>
      </c>
      <c r="P4300" s="35" t="s">
        <v>16906</v>
      </c>
      <c r="Q4300" s="13" t="s">
        <v>75</v>
      </c>
      <c r="R4300" s="13" t="s">
        <v>75</v>
      </c>
      <c r="S4300" s="13" t="s">
        <v>73</v>
      </c>
      <c r="T4300" s="44">
        <v>45831.55548471065</v>
      </c>
      <c r="U4300" s="44">
        <v>45831.55978972222</v>
      </c>
      <c r="V4300" s="44">
        <v>45831.57859203704</v>
      </c>
      <c r="W4300" s="11"/>
      <c r="X4300" s="11"/>
      <c r="Y4300" s="45">
        <v>302.0</v>
      </c>
      <c r="Z4300" s="45" t="s">
        <v>16907</v>
      </c>
      <c r="AA4300" s="31"/>
      <c r="AB4300" s="45" t="s">
        <v>16908</v>
      </c>
      <c r="AC4300" s="45"/>
    </row>
    <row r="4301" ht="18.75" customHeight="1">
      <c r="A4301" s="142" t="s">
        <v>16909</v>
      </c>
      <c r="B4301" s="19" t="s">
        <v>1811</v>
      </c>
      <c r="C4301" s="20">
        <v>11.0</v>
      </c>
      <c r="D4301" s="39" t="s">
        <v>16910</v>
      </c>
      <c r="E4301" s="27" t="s">
        <v>112</v>
      </c>
      <c r="F4301" s="27" t="s">
        <v>48</v>
      </c>
      <c r="G4301" s="18" t="s">
        <v>35</v>
      </c>
      <c r="H4301" s="40" t="s">
        <v>35</v>
      </c>
      <c r="I4301" s="37" t="s">
        <v>36</v>
      </c>
      <c r="J4301" s="25" t="s">
        <v>16911</v>
      </c>
      <c r="K4301" s="26" t="s">
        <v>38</v>
      </c>
      <c r="L4301" s="72">
        <v>13281.0</v>
      </c>
      <c r="M4301" s="49" t="s">
        <v>15811</v>
      </c>
      <c r="N4301" s="42"/>
      <c r="O4301" s="67">
        <v>45832.4195244213</v>
      </c>
      <c r="P4301" s="35" t="s">
        <v>16912</v>
      </c>
      <c r="Q4301" s="13" t="s">
        <v>75</v>
      </c>
      <c r="R4301" s="13" t="s">
        <v>75</v>
      </c>
      <c r="S4301" s="13" t="s">
        <v>75</v>
      </c>
      <c r="T4301" s="44">
        <v>45831.6577953125</v>
      </c>
      <c r="U4301" s="44">
        <v>45832.4195244213</v>
      </c>
      <c r="V4301" s="44">
        <v>45832.4195244213</v>
      </c>
      <c r="W4301" s="11"/>
      <c r="X4301" s="11"/>
      <c r="Y4301" s="45"/>
      <c r="Z4301" s="45"/>
      <c r="AA4301" s="31"/>
      <c r="AB4301" s="45" t="s">
        <v>16913</v>
      </c>
      <c r="AC4301" s="45"/>
    </row>
    <row r="4302" ht="18.75" customHeight="1">
      <c r="A4302" s="18" t="s">
        <v>16914</v>
      </c>
      <c r="B4302" s="19" t="s">
        <v>9399</v>
      </c>
      <c r="C4302" s="20">
        <v>0.0</v>
      </c>
      <c r="D4302" s="179">
        <v>20063.0</v>
      </c>
      <c r="E4302" s="27" t="s">
        <v>13303</v>
      </c>
      <c r="F4302" s="27" t="s">
        <v>48</v>
      </c>
      <c r="G4302" s="18" t="s">
        <v>35</v>
      </c>
      <c r="H4302" s="40" t="s">
        <v>35</v>
      </c>
      <c r="I4302" s="37" t="s">
        <v>36</v>
      </c>
      <c r="J4302" s="25" t="s">
        <v>65</v>
      </c>
      <c r="K4302" s="26" t="s">
        <v>38</v>
      </c>
      <c r="L4302" s="72">
        <v>13351.0</v>
      </c>
      <c r="M4302" s="49" t="s">
        <v>50</v>
      </c>
      <c r="N4302" s="42" t="s">
        <v>3442</v>
      </c>
      <c r="O4302" s="67">
        <v>45845.71244505787</v>
      </c>
      <c r="P4302" s="35" t="s">
        <v>16915</v>
      </c>
      <c r="Q4302" s="13" t="s">
        <v>75</v>
      </c>
      <c r="R4302" s="13" t="s">
        <v>75</v>
      </c>
      <c r="S4302" s="13" t="s">
        <v>73</v>
      </c>
      <c r="T4302" s="44">
        <v>45831.65854149306</v>
      </c>
      <c r="U4302" s="44">
        <v>45832.49053925926</v>
      </c>
      <c r="V4302" s="44">
        <v>45839.40563203704</v>
      </c>
      <c r="W4302" s="11"/>
      <c r="X4302" s="11"/>
      <c r="Y4302" s="45">
        <v>302.0</v>
      </c>
      <c r="Z4302" s="45" t="s">
        <v>16916</v>
      </c>
      <c r="AA4302" s="31"/>
      <c r="AB4302" s="45" t="s">
        <v>16917</v>
      </c>
      <c r="AC4302" s="45"/>
    </row>
    <row r="4303" ht="18.75" customHeight="1">
      <c r="A4303" s="18" t="s">
        <v>16918</v>
      </c>
      <c r="B4303" s="19" t="s">
        <v>9399</v>
      </c>
      <c r="C4303" s="20">
        <v>0.0</v>
      </c>
      <c r="D4303" s="179">
        <v>20106.0</v>
      </c>
      <c r="E4303" s="27" t="s">
        <v>13303</v>
      </c>
      <c r="F4303" s="27" t="s">
        <v>48</v>
      </c>
      <c r="G4303" s="18" t="s">
        <v>35</v>
      </c>
      <c r="H4303" s="40" t="s">
        <v>35</v>
      </c>
      <c r="I4303" s="37" t="s">
        <v>36</v>
      </c>
      <c r="J4303" s="25" t="s">
        <v>65</v>
      </c>
      <c r="K4303" s="26" t="s">
        <v>38</v>
      </c>
      <c r="L4303" s="72">
        <v>13351.0</v>
      </c>
      <c r="M4303" s="49" t="s">
        <v>50</v>
      </c>
      <c r="N4303" s="42" t="s">
        <v>3442</v>
      </c>
      <c r="O4303" s="67">
        <v>45845.712547268515</v>
      </c>
      <c r="P4303" s="35" t="s">
        <v>16915</v>
      </c>
      <c r="Q4303" s="13" t="s">
        <v>75</v>
      </c>
      <c r="R4303" s="13" t="s">
        <v>75</v>
      </c>
      <c r="S4303" s="13" t="s">
        <v>9620</v>
      </c>
      <c r="T4303" s="44">
        <v>45831.65869798611</v>
      </c>
      <c r="U4303" s="44">
        <v>45832.49057521991</v>
      </c>
      <c r="V4303" s="44">
        <v>45842.49067494213</v>
      </c>
      <c r="W4303" s="11"/>
      <c r="X4303" s="11"/>
      <c r="Y4303" s="45">
        <v>302.0</v>
      </c>
      <c r="Z4303" s="45" t="s">
        <v>16919</v>
      </c>
      <c r="AA4303" s="31"/>
      <c r="AB4303" s="45" t="s">
        <v>16920</v>
      </c>
      <c r="AC4303" s="45"/>
    </row>
    <row r="4304" ht="18.75" customHeight="1">
      <c r="A4304" s="18" t="s">
        <v>16921</v>
      </c>
      <c r="B4304" s="19" t="s">
        <v>9399</v>
      </c>
      <c r="C4304" s="20">
        <v>0.0</v>
      </c>
      <c r="D4304" s="179">
        <v>20107.0</v>
      </c>
      <c r="E4304" s="27" t="s">
        <v>13303</v>
      </c>
      <c r="F4304" s="27" t="s">
        <v>48</v>
      </c>
      <c r="G4304" s="18" t="s">
        <v>35</v>
      </c>
      <c r="H4304" s="40" t="s">
        <v>35</v>
      </c>
      <c r="I4304" s="37" t="s">
        <v>36</v>
      </c>
      <c r="J4304" s="25" t="s">
        <v>65</v>
      </c>
      <c r="K4304" s="26" t="s">
        <v>38</v>
      </c>
      <c r="L4304" s="72">
        <v>13351.0</v>
      </c>
      <c r="M4304" s="49" t="s">
        <v>50</v>
      </c>
      <c r="N4304" s="42" t="s">
        <v>3442</v>
      </c>
      <c r="O4304" s="67">
        <v>45845.71263002315</v>
      </c>
      <c r="P4304" s="35" t="s">
        <v>16915</v>
      </c>
      <c r="Q4304" s="13" t="s">
        <v>75</v>
      </c>
      <c r="R4304" s="13" t="s">
        <v>75</v>
      </c>
      <c r="S4304" s="13" t="s">
        <v>9620</v>
      </c>
      <c r="T4304" s="44">
        <v>45831.658788981484</v>
      </c>
      <c r="U4304" s="44">
        <v>45832.49060164352</v>
      </c>
      <c r="V4304" s="44">
        <v>45842.49067494213</v>
      </c>
      <c r="W4304" s="11"/>
      <c r="X4304" s="11"/>
      <c r="Y4304" s="45">
        <v>302.0</v>
      </c>
      <c r="Z4304" s="45" t="s">
        <v>16922</v>
      </c>
      <c r="AA4304" s="31"/>
      <c r="AB4304" s="45" t="s">
        <v>16923</v>
      </c>
      <c r="AC4304" s="45"/>
    </row>
    <row r="4305" ht="18.75" customHeight="1">
      <c r="A4305" s="18" t="s">
        <v>16924</v>
      </c>
      <c r="B4305" s="19" t="s">
        <v>9399</v>
      </c>
      <c r="C4305" s="20">
        <v>0.0</v>
      </c>
      <c r="D4305" s="179">
        <v>20105.0</v>
      </c>
      <c r="E4305" s="27" t="s">
        <v>13303</v>
      </c>
      <c r="F4305" s="27" t="s">
        <v>48</v>
      </c>
      <c r="G4305" s="18" t="s">
        <v>35</v>
      </c>
      <c r="H4305" s="40" t="s">
        <v>35</v>
      </c>
      <c r="I4305" s="37" t="s">
        <v>36</v>
      </c>
      <c r="J4305" s="25" t="s">
        <v>65</v>
      </c>
      <c r="K4305" s="26" t="s">
        <v>38</v>
      </c>
      <c r="L4305" s="72">
        <v>13351.0</v>
      </c>
      <c r="M4305" s="49" t="s">
        <v>50</v>
      </c>
      <c r="N4305" s="42" t="s">
        <v>3442</v>
      </c>
      <c r="O4305" s="67">
        <v>45845.71270340278</v>
      </c>
      <c r="P4305" s="35" t="s">
        <v>16915</v>
      </c>
      <c r="Q4305" s="13" t="s">
        <v>75</v>
      </c>
      <c r="R4305" s="13" t="s">
        <v>75</v>
      </c>
      <c r="S4305" s="13" t="s">
        <v>73</v>
      </c>
      <c r="T4305" s="44">
        <v>45831.65888357639</v>
      </c>
      <c r="U4305" s="44">
        <v>45832.49062482639</v>
      </c>
      <c r="V4305" s="44">
        <v>45840.565740034726</v>
      </c>
      <c r="W4305" s="11"/>
      <c r="X4305" s="11"/>
      <c r="Y4305" s="45">
        <v>302.0</v>
      </c>
      <c r="Z4305" s="45" t="s">
        <v>16925</v>
      </c>
      <c r="AA4305" s="31"/>
      <c r="AB4305" s="45" t="s">
        <v>16926</v>
      </c>
      <c r="AC4305" s="45"/>
    </row>
    <row r="4306" ht="18.75" customHeight="1">
      <c r="A4306" s="142" t="s">
        <v>16927</v>
      </c>
      <c r="B4306" s="19" t="s">
        <v>4975</v>
      </c>
      <c r="C4306" s="20">
        <v>34.0</v>
      </c>
      <c r="D4306" s="39" t="s">
        <v>16928</v>
      </c>
      <c r="E4306" s="27" t="s">
        <v>47</v>
      </c>
      <c r="F4306" s="27" t="s">
        <v>48</v>
      </c>
      <c r="G4306" s="18" t="s">
        <v>35</v>
      </c>
      <c r="H4306" s="40" t="s">
        <v>35</v>
      </c>
      <c r="I4306" s="37" t="s">
        <v>36</v>
      </c>
      <c r="J4306" s="25" t="s">
        <v>65</v>
      </c>
      <c r="K4306" s="26" t="s">
        <v>38</v>
      </c>
      <c r="L4306" s="72">
        <v>13288.0</v>
      </c>
      <c r="M4306" s="49" t="s">
        <v>50</v>
      </c>
      <c r="N4306" s="42" t="s">
        <v>14854</v>
      </c>
      <c r="O4306" s="67">
        <v>45833.64454809028</v>
      </c>
      <c r="P4306" s="35" t="s">
        <v>16929</v>
      </c>
      <c r="Q4306" s="13" t="s">
        <v>75</v>
      </c>
      <c r="R4306" s="13" t="s">
        <v>75</v>
      </c>
      <c r="S4306" s="13" t="s">
        <v>50</v>
      </c>
      <c r="T4306" s="44">
        <v>45831.661605393514</v>
      </c>
      <c r="U4306" s="44">
        <v>45832.60064599537</v>
      </c>
      <c r="V4306" s="44">
        <v>45833.43123351852</v>
      </c>
      <c r="W4306" s="11"/>
      <c r="X4306" s="11"/>
      <c r="Y4306" s="45">
        <v>302.0</v>
      </c>
      <c r="Z4306" s="45" t="s">
        <v>16930</v>
      </c>
      <c r="AA4306" s="31"/>
      <c r="AB4306" s="45" t="s">
        <v>16931</v>
      </c>
      <c r="AC4306" s="45"/>
    </row>
    <row r="4307" ht="18.75" customHeight="1">
      <c r="A4307" s="18" t="s">
        <v>16932</v>
      </c>
      <c r="B4307" s="19" t="s">
        <v>11671</v>
      </c>
      <c r="C4307" s="20">
        <v>0.0</v>
      </c>
      <c r="D4307" s="39" t="s">
        <v>16933</v>
      </c>
      <c r="E4307" s="27" t="s">
        <v>4430</v>
      </c>
      <c r="F4307" s="27" t="s">
        <v>48</v>
      </c>
      <c r="G4307" s="18" t="s">
        <v>35</v>
      </c>
      <c r="H4307" s="40" t="s">
        <v>35</v>
      </c>
      <c r="I4307" s="37" t="s">
        <v>36</v>
      </c>
      <c r="J4307" s="25" t="s">
        <v>518</v>
      </c>
      <c r="K4307" s="26" t="s">
        <v>38</v>
      </c>
      <c r="L4307" s="72">
        <v>13289.0</v>
      </c>
      <c r="M4307" s="49" t="s">
        <v>50</v>
      </c>
      <c r="N4307" s="42" t="s">
        <v>4616</v>
      </c>
      <c r="O4307" s="67">
        <v>45833.58494451389</v>
      </c>
      <c r="P4307" s="35" t="s">
        <v>16934</v>
      </c>
      <c r="Q4307" s="13" t="s">
        <v>75</v>
      </c>
      <c r="R4307" s="13" t="s">
        <v>75</v>
      </c>
      <c r="S4307" s="13" t="s">
        <v>50</v>
      </c>
      <c r="T4307" s="44">
        <v>45831.662088136574</v>
      </c>
      <c r="U4307" s="44">
        <v>45832.38845387731</v>
      </c>
      <c r="V4307" s="44">
        <v>45832.41196525463</v>
      </c>
      <c r="W4307" s="11"/>
      <c r="X4307" s="11"/>
      <c r="Y4307" s="45">
        <v>302.0</v>
      </c>
      <c r="Z4307" s="45" t="s">
        <v>16935</v>
      </c>
      <c r="AA4307" s="31"/>
      <c r="AB4307" s="45" t="s">
        <v>16936</v>
      </c>
      <c r="AC4307" s="45"/>
    </row>
    <row r="4308" ht="18.75" customHeight="1">
      <c r="A4308" s="18" t="s">
        <v>16937</v>
      </c>
      <c r="B4308" s="19" t="s">
        <v>11671</v>
      </c>
      <c r="C4308" s="20">
        <v>0.0</v>
      </c>
      <c r="D4308" s="39" t="s">
        <v>16938</v>
      </c>
      <c r="E4308" s="27" t="s">
        <v>4430</v>
      </c>
      <c r="F4308" s="27" t="s">
        <v>48</v>
      </c>
      <c r="G4308" s="18" t="s">
        <v>35</v>
      </c>
      <c r="H4308" s="40" t="s">
        <v>35</v>
      </c>
      <c r="I4308" s="37" t="s">
        <v>36</v>
      </c>
      <c r="J4308" s="25" t="s">
        <v>518</v>
      </c>
      <c r="K4308" s="26" t="s">
        <v>38</v>
      </c>
      <c r="L4308" s="72">
        <v>13289.0</v>
      </c>
      <c r="M4308" s="49" t="s">
        <v>50</v>
      </c>
      <c r="N4308" s="42" t="s">
        <v>4616</v>
      </c>
      <c r="O4308" s="67">
        <v>45833.58501541667</v>
      </c>
      <c r="P4308" s="35" t="s">
        <v>16934</v>
      </c>
      <c r="Q4308" s="13" t="s">
        <v>75</v>
      </c>
      <c r="R4308" s="13" t="s">
        <v>75</v>
      </c>
      <c r="S4308" s="13" t="s">
        <v>50</v>
      </c>
      <c r="T4308" s="44">
        <v>45831.662301018514</v>
      </c>
      <c r="U4308" s="44">
        <v>45832.38841537037</v>
      </c>
      <c r="V4308" s="44">
        <v>45832.41196525463</v>
      </c>
      <c r="W4308" s="11"/>
      <c r="X4308" s="11"/>
      <c r="Y4308" s="45">
        <v>302.0</v>
      </c>
      <c r="Z4308" s="45" t="s">
        <v>16939</v>
      </c>
      <c r="AA4308" s="31"/>
      <c r="AB4308" s="45" t="s">
        <v>16940</v>
      </c>
      <c r="AC4308" s="45"/>
    </row>
    <row r="4309" ht="18.75" customHeight="1">
      <c r="A4309" s="142" t="s">
        <v>16941</v>
      </c>
      <c r="B4309" s="19" t="s">
        <v>4941</v>
      </c>
      <c r="C4309" s="20">
        <v>34.0</v>
      </c>
      <c r="D4309" s="39" t="s">
        <v>16942</v>
      </c>
      <c r="E4309" s="27" t="s">
        <v>47</v>
      </c>
      <c r="F4309" s="27" t="s">
        <v>48</v>
      </c>
      <c r="G4309" s="18" t="s">
        <v>35</v>
      </c>
      <c r="H4309" s="40" t="s">
        <v>35</v>
      </c>
      <c r="I4309" s="37" t="s">
        <v>36</v>
      </c>
      <c r="J4309" s="25" t="s">
        <v>92</v>
      </c>
      <c r="K4309" s="26" t="s">
        <v>38</v>
      </c>
      <c r="L4309" s="72">
        <v>13295.0</v>
      </c>
      <c r="M4309" s="49" t="s">
        <v>50</v>
      </c>
      <c r="N4309" s="42" t="s">
        <v>9824</v>
      </c>
      <c r="O4309" s="67">
        <v>45835.710486435186</v>
      </c>
      <c r="P4309" s="35" t="s">
        <v>16943</v>
      </c>
      <c r="Q4309" s="13" t="s">
        <v>75</v>
      </c>
      <c r="R4309" s="13" t="s">
        <v>75</v>
      </c>
      <c r="S4309" s="13" t="s">
        <v>50</v>
      </c>
      <c r="T4309" s="44">
        <v>45832.3910121875</v>
      </c>
      <c r="U4309" s="44">
        <v>45832.39103600694</v>
      </c>
      <c r="V4309" s="44">
        <v>45833.58997674768</v>
      </c>
      <c r="W4309" s="11"/>
      <c r="X4309" s="11"/>
      <c r="Y4309" s="45">
        <v>302.0</v>
      </c>
      <c r="Z4309" s="45" t="s">
        <v>16944</v>
      </c>
      <c r="AA4309" s="31"/>
      <c r="AB4309" s="45" t="s">
        <v>16945</v>
      </c>
      <c r="AC4309" s="45"/>
    </row>
    <row r="4310" ht="18.75" customHeight="1">
      <c r="A4310" s="142" t="s">
        <v>16946</v>
      </c>
      <c r="B4310" s="19" t="s">
        <v>9674</v>
      </c>
      <c r="C4310" s="20">
        <v>1.0</v>
      </c>
      <c r="D4310" s="39" t="s">
        <v>16947</v>
      </c>
      <c r="E4310" s="27" t="s">
        <v>3395</v>
      </c>
      <c r="F4310" s="27" t="s">
        <v>48</v>
      </c>
      <c r="G4310" s="18" t="s">
        <v>35</v>
      </c>
      <c r="H4310" s="40" t="s">
        <v>35</v>
      </c>
      <c r="I4310" s="37" t="s">
        <v>36</v>
      </c>
      <c r="J4310" s="25" t="s">
        <v>49</v>
      </c>
      <c r="K4310" s="26" t="s">
        <v>38</v>
      </c>
      <c r="L4310" s="72">
        <v>13285.0</v>
      </c>
      <c r="M4310" s="49" t="s">
        <v>50</v>
      </c>
      <c r="N4310" s="42" t="s">
        <v>143</v>
      </c>
      <c r="O4310" s="67">
        <v>45833.579331307876</v>
      </c>
      <c r="P4310" s="35" t="s">
        <v>15666</v>
      </c>
      <c r="Q4310" s="13" t="s">
        <v>75</v>
      </c>
      <c r="R4310" s="13" t="s">
        <v>75</v>
      </c>
      <c r="S4310" s="13" t="s">
        <v>50</v>
      </c>
      <c r="T4310" s="44">
        <v>45832.48577248842</v>
      </c>
      <c r="U4310" s="44">
        <v>45833.38056005787</v>
      </c>
      <c r="V4310" s="44">
        <v>45833.42105017361</v>
      </c>
      <c r="W4310" s="11"/>
      <c r="X4310" s="11"/>
      <c r="Y4310" s="45">
        <v>302.0</v>
      </c>
      <c r="Z4310" s="45" t="s">
        <v>16948</v>
      </c>
      <c r="AA4310" s="31"/>
      <c r="AB4310" s="45" t="s">
        <v>16949</v>
      </c>
      <c r="AC4310" s="45"/>
    </row>
    <row r="4311" ht="18.75" customHeight="1">
      <c r="A4311" s="142" t="s">
        <v>16950</v>
      </c>
      <c r="B4311" s="19" t="s">
        <v>9909</v>
      </c>
      <c r="C4311" s="20">
        <v>0.0</v>
      </c>
      <c r="D4311" s="39" t="s">
        <v>16951</v>
      </c>
      <c r="E4311" s="27" t="s">
        <v>3441</v>
      </c>
      <c r="F4311" s="27" t="s">
        <v>48</v>
      </c>
      <c r="G4311" s="18" t="s">
        <v>35</v>
      </c>
      <c r="H4311" s="40" t="s">
        <v>35</v>
      </c>
      <c r="I4311" s="37" t="s">
        <v>36</v>
      </c>
      <c r="J4311" s="25" t="s">
        <v>420</v>
      </c>
      <c r="K4311" s="26" t="s">
        <v>38</v>
      </c>
      <c r="L4311" s="72">
        <v>13310.0</v>
      </c>
      <c r="M4311" s="49" t="s">
        <v>50</v>
      </c>
      <c r="N4311" s="42" t="s">
        <v>4031</v>
      </c>
      <c r="O4311" s="67">
        <v>45835.56576660879</v>
      </c>
      <c r="P4311" s="35" t="s">
        <v>16414</v>
      </c>
      <c r="Q4311" s="13" t="s">
        <v>75</v>
      </c>
      <c r="R4311" s="13" t="s">
        <v>75</v>
      </c>
      <c r="S4311" s="13" t="s">
        <v>50</v>
      </c>
      <c r="T4311" s="44">
        <v>45834.71600784722</v>
      </c>
      <c r="U4311" s="44">
        <v>45835.378903668985</v>
      </c>
      <c r="V4311" s="44">
        <v>45835.42347317129</v>
      </c>
      <c r="W4311" s="11"/>
      <c r="X4311" s="11"/>
      <c r="Y4311" s="45">
        <v>302.0</v>
      </c>
      <c r="Z4311" s="45" t="s">
        <v>16952</v>
      </c>
      <c r="AA4311" s="31"/>
      <c r="AB4311" s="45" t="s">
        <v>16953</v>
      </c>
      <c r="AC4311" s="45"/>
    </row>
    <row r="4312" ht="18.75" customHeight="1">
      <c r="A4312" s="18" t="s">
        <v>16954</v>
      </c>
      <c r="B4312" s="19" t="s">
        <v>16955</v>
      </c>
      <c r="C4312" s="20">
        <v>137.0</v>
      </c>
      <c r="D4312" s="39" t="s">
        <v>16956</v>
      </c>
      <c r="E4312" s="27" t="s">
        <v>85</v>
      </c>
      <c r="F4312" s="27" t="s">
        <v>48</v>
      </c>
      <c r="G4312" s="18" t="s">
        <v>35</v>
      </c>
      <c r="H4312" s="40" t="s">
        <v>35</v>
      </c>
      <c r="I4312" s="37" t="s">
        <v>36</v>
      </c>
      <c r="J4312" s="25" t="s">
        <v>15990</v>
      </c>
      <c r="K4312" s="26" t="s">
        <v>38</v>
      </c>
      <c r="L4312" s="72">
        <v>13337.0</v>
      </c>
      <c r="M4312" s="49" t="s">
        <v>15811</v>
      </c>
      <c r="N4312" s="42"/>
      <c r="O4312" s="67">
        <v>45841.490823472224</v>
      </c>
      <c r="P4312" s="35" t="s">
        <v>16957</v>
      </c>
      <c r="Q4312" s="13" t="s">
        <v>75</v>
      </c>
      <c r="R4312" s="13" t="s">
        <v>75</v>
      </c>
      <c r="S4312" s="13" t="s">
        <v>75</v>
      </c>
      <c r="T4312" s="44">
        <v>45832.58770087963</v>
      </c>
      <c r="U4312" s="44">
        <v>45841.490823472224</v>
      </c>
      <c r="V4312" s="44">
        <v>45841.490823472224</v>
      </c>
      <c r="W4312" s="11"/>
      <c r="X4312" s="11"/>
      <c r="Y4312" s="45"/>
      <c r="Z4312" s="45"/>
      <c r="AA4312" s="31"/>
      <c r="AB4312" s="45" t="s">
        <v>16958</v>
      </c>
      <c r="AC4312" s="45"/>
    </row>
    <row r="4313" ht="18.75" customHeight="1">
      <c r="A4313" s="142" t="s">
        <v>16959</v>
      </c>
      <c r="B4313" s="19" t="s">
        <v>14771</v>
      </c>
      <c r="C4313" s="20">
        <v>0.0</v>
      </c>
      <c r="D4313" s="39" t="s">
        <v>16960</v>
      </c>
      <c r="E4313" s="27" t="s">
        <v>3441</v>
      </c>
      <c r="F4313" s="27" t="s">
        <v>48</v>
      </c>
      <c r="G4313" s="18" t="s">
        <v>35</v>
      </c>
      <c r="H4313" s="40" t="s">
        <v>35</v>
      </c>
      <c r="I4313" s="37" t="s">
        <v>36</v>
      </c>
      <c r="J4313" s="25" t="s">
        <v>49</v>
      </c>
      <c r="K4313" s="26" t="s">
        <v>447</v>
      </c>
      <c r="L4313" s="72">
        <v>13286.0</v>
      </c>
      <c r="M4313" s="49" t="s">
        <v>50</v>
      </c>
      <c r="N4313" s="42" t="s">
        <v>143</v>
      </c>
      <c r="O4313" s="67">
        <v>45833.57927548611</v>
      </c>
      <c r="P4313" s="35" t="s">
        <v>16961</v>
      </c>
      <c r="Q4313" s="13" t="s">
        <v>75</v>
      </c>
      <c r="R4313" s="13" t="s">
        <v>75</v>
      </c>
      <c r="S4313" s="13" t="s">
        <v>50</v>
      </c>
      <c r="T4313" s="44">
        <v>45832.494867581016</v>
      </c>
      <c r="U4313" s="44">
        <v>45832.62392420138</v>
      </c>
      <c r="V4313" s="44">
        <v>45833.421395428246</v>
      </c>
      <c r="W4313" s="11"/>
      <c r="X4313" s="11"/>
      <c r="Y4313" s="45">
        <v>302.0</v>
      </c>
      <c r="Z4313" s="45" t="s">
        <v>16962</v>
      </c>
      <c r="AA4313" s="31"/>
      <c r="AB4313" s="45" t="s">
        <v>16963</v>
      </c>
      <c r="AC4313" s="45"/>
    </row>
    <row r="4314" ht="18.75" customHeight="1">
      <c r="A4314" s="18" t="s">
        <v>16964</v>
      </c>
      <c r="B4314" s="19" t="s">
        <v>5507</v>
      </c>
      <c r="C4314" s="20">
        <v>0.0</v>
      </c>
      <c r="D4314" s="39" t="s">
        <v>16965</v>
      </c>
      <c r="E4314" s="27" t="s">
        <v>3441</v>
      </c>
      <c r="F4314" s="27" t="s">
        <v>48</v>
      </c>
      <c r="G4314" s="18" t="s">
        <v>35</v>
      </c>
      <c r="H4314" s="40" t="s">
        <v>35</v>
      </c>
      <c r="I4314" s="37" t="s">
        <v>36</v>
      </c>
      <c r="J4314" s="25" t="s">
        <v>49</v>
      </c>
      <c r="K4314" s="26" t="s">
        <v>38</v>
      </c>
      <c r="L4314" s="72">
        <v>13287.0</v>
      </c>
      <c r="M4314" s="49" t="s">
        <v>50</v>
      </c>
      <c r="N4314" s="42" t="s">
        <v>143</v>
      </c>
      <c r="O4314" s="67">
        <v>45833.57921888889</v>
      </c>
      <c r="P4314" s="35" t="s">
        <v>16966</v>
      </c>
      <c r="Q4314" s="13" t="s">
        <v>75</v>
      </c>
      <c r="R4314" s="13" t="s">
        <v>75</v>
      </c>
      <c r="S4314" s="13" t="s">
        <v>50</v>
      </c>
      <c r="T4314" s="44">
        <v>45832.4962275</v>
      </c>
      <c r="U4314" s="44">
        <v>45832.61688847222</v>
      </c>
      <c r="V4314" s="44">
        <v>45833.42139541666</v>
      </c>
      <c r="W4314" s="11"/>
      <c r="X4314" s="11"/>
      <c r="Y4314" s="45">
        <v>302.0</v>
      </c>
      <c r="Z4314" s="45" t="s">
        <v>16967</v>
      </c>
      <c r="AA4314" s="31"/>
      <c r="AB4314" s="45" t="s">
        <v>16968</v>
      </c>
      <c r="AC4314" s="45"/>
    </row>
    <row r="4315" ht="18.75" customHeight="1">
      <c r="A4315" s="18" t="s">
        <v>16969</v>
      </c>
      <c r="B4315" s="19" t="s">
        <v>5507</v>
      </c>
      <c r="C4315" s="20">
        <v>11.0</v>
      </c>
      <c r="D4315" s="39" t="s">
        <v>16970</v>
      </c>
      <c r="E4315" s="27" t="s">
        <v>112</v>
      </c>
      <c r="F4315" s="27" t="s">
        <v>48</v>
      </c>
      <c r="G4315" s="18" t="s">
        <v>35</v>
      </c>
      <c r="H4315" s="40" t="s">
        <v>35</v>
      </c>
      <c r="I4315" s="37" t="s">
        <v>36</v>
      </c>
      <c r="J4315" s="25" t="s">
        <v>49</v>
      </c>
      <c r="K4315" s="26" t="s">
        <v>38</v>
      </c>
      <c r="L4315" s="72">
        <v>13287.0</v>
      </c>
      <c r="M4315" s="49" t="s">
        <v>50</v>
      </c>
      <c r="N4315" s="42" t="s">
        <v>143</v>
      </c>
      <c r="O4315" s="67">
        <v>45833.57915961806</v>
      </c>
      <c r="P4315" s="35" t="s">
        <v>16966</v>
      </c>
      <c r="Q4315" s="13" t="s">
        <v>75</v>
      </c>
      <c r="R4315" s="13" t="s">
        <v>75</v>
      </c>
      <c r="S4315" s="13" t="s">
        <v>50</v>
      </c>
      <c r="T4315" s="44">
        <v>45832.49657618055</v>
      </c>
      <c r="U4315" s="44">
        <v>45832.61691938658</v>
      </c>
      <c r="V4315" s="44">
        <v>45833.42105016204</v>
      </c>
      <c r="W4315" s="11"/>
      <c r="X4315" s="11"/>
      <c r="Y4315" s="45">
        <v>302.0</v>
      </c>
      <c r="Z4315" s="45" t="s">
        <v>16971</v>
      </c>
      <c r="AA4315" s="31"/>
      <c r="AB4315" s="45" t="s">
        <v>16972</v>
      </c>
      <c r="AC4315" s="45"/>
    </row>
    <row r="4316" ht="18.75" customHeight="1">
      <c r="A4316" s="142" t="s">
        <v>16973</v>
      </c>
      <c r="B4316" s="19" t="s">
        <v>16974</v>
      </c>
      <c r="C4316" s="20">
        <v>137.0</v>
      </c>
      <c r="D4316" s="39" t="s">
        <v>16975</v>
      </c>
      <c r="E4316" s="27" t="s">
        <v>85</v>
      </c>
      <c r="F4316" s="27" t="s">
        <v>48</v>
      </c>
      <c r="G4316" s="18" t="s">
        <v>35</v>
      </c>
      <c r="H4316" s="40" t="s">
        <v>35</v>
      </c>
      <c r="I4316" s="37" t="s">
        <v>36</v>
      </c>
      <c r="J4316" s="25" t="s">
        <v>65</v>
      </c>
      <c r="K4316" s="26" t="s">
        <v>38</v>
      </c>
      <c r="L4316" s="72">
        <v>13590.0</v>
      </c>
      <c r="M4316" s="49" t="s">
        <v>73</v>
      </c>
      <c r="N4316" s="42" t="s">
        <v>16408</v>
      </c>
      <c r="O4316" s="67">
        <v>45876.70821493056</v>
      </c>
      <c r="P4316" s="35" t="s">
        <v>16976</v>
      </c>
      <c r="Q4316" s="13" t="s">
        <v>75</v>
      </c>
      <c r="R4316" s="13" t="s">
        <v>75</v>
      </c>
      <c r="S4316" s="13" t="s">
        <v>73</v>
      </c>
      <c r="T4316" s="44">
        <v>45876.563175648145</v>
      </c>
      <c r="U4316" s="44">
        <v>45876.56474861111</v>
      </c>
      <c r="V4316" s="44">
        <v>45876.56490572917</v>
      </c>
      <c r="W4316" s="11"/>
      <c r="X4316" s="11"/>
      <c r="Y4316" s="45">
        <v>302.0</v>
      </c>
      <c r="Z4316" s="45" t="s">
        <v>16977</v>
      </c>
      <c r="AA4316" s="31"/>
      <c r="AB4316" s="45" t="s">
        <v>16978</v>
      </c>
      <c r="AC4316" s="45"/>
    </row>
    <row r="4317" ht="18.75" customHeight="1">
      <c r="A4317" s="18" t="s">
        <v>16979</v>
      </c>
      <c r="B4317" s="19" t="s">
        <v>104</v>
      </c>
      <c r="C4317" s="20">
        <v>34.0</v>
      </c>
      <c r="D4317" s="39" t="s">
        <v>16980</v>
      </c>
      <c r="E4317" s="27" t="s">
        <v>47</v>
      </c>
      <c r="F4317" s="27" t="s">
        <v>48</v>
      </c>
      <c r="G4317" s="18" t="s">
        <v>35</v>
      </c>
      <c r="H4317" s="40" t="s">
        <v>35</v>
      </c>
      <c r="I4317" s="37" t="s">
        <v>36</v>
      </c>
      <c r="J4317" s="25" t="s">
        <v>49</v>
      </c>
      <c r="K4317" s="26" t="s">
        <v>38</v>
      </c>
      <c r="L4317" s="72">
        <v>13293.0</v>
      </c>
      <c r="M4317" s="49" t="s">
        <v>50</v>
      </c>
      <c r="N4317" s="42" t="s">
        <v>143</v>
      </c>
      <c r="O4317" s="67">
        <v>45833.57910131944</v>
      </c>
      <c r="P4317" s="35" t="s">
        <v>16981</v>
      </c>
      <c r="Q4317" s="13" t="s">
        <v>75</v>
      </c>
      <c r="R4317" s="13" t="s">
        <v>75</v>
      </c>
      <c r="S4317" s="13" t="s">
        <v>50</v>
      </c>
      <c r="T4317" s="44">
        <v>45832.63713986111</v>
      </c>
      <c r="U4317" s="44">
        <v>45832.72647028935</v>
      </c>
      <c r="V4317" s="44">
        <v>45833.567654513885</v>
      </c>
      <c r="W4317" s="11"/>
      <c r="X4317" s="11"/>
      <c r="Y4317" s="45">
        <v>302.0</v>
      </c>
      <c r="Z4317" s="45" t="s">
        <v>16982</v>
      </c>
      <c r="AA4317" s="31"/>
      <c r="AB4317" s="45" t="s">
        <v>16983</v>
      </c>
      <c r="AC4317" s="45"/>
    </row>
    <row r="4318" ht="18.75" customHeight="1">
      <c r="A4318" s="18" t="s">
        <v>16984</v>
      </c>
      <c r="B4318" s="19" t="s">
        <v>104</v>
      </c>
      <c r="C4318" s="20">
        <v>34.0</v>
      </c>
      <c r="D4318" s="39" t="s">
        <v>16985</v>
      </c>
      <c r="E4318" s="27" t="s">
        <v>47</v>
      </c>
      <c r="F4318" s="27" t="s">
        <v>48</v>
      </c>
      <c r="G4318" s="18" t="s">
        <v>35</v>
      </c>
      <c r="H4318" s="40" t="s">
        <v>35</v>
      </c>
      <c r="I4318" s="37" t="s">
        <v>36</v>
      </c>
      <c r="J4318" s="25" t="s">
        <v>49</v>
      </c>
      <c r="K4318" s="26" t="s">
        <v>38</v>
      </c>
      <c r="L4318" s="72">
        <v>13293.0</v>
      </c>
      <c r="M4318" s="49" t="s">
        <v>50</v>
      </c>
      <c r="N4318" s="42" t="s">
        <v>143</v>
      </c>
      <c r="O4318" s="67">
        <v>45833.579037118056</v>
      </c>
      <c r="P4318" s="35" t="s">
        <v>16981</v>
      </c>
      <c r="Q4318" s="13" t="s">
        <v>75</v>
      </c>
      <c r="R4318" s="13" t="s">
        <v>75</v>
      </c>
      <c r="S4318" s="13" t="s">
        <v>50</v>
      </c>
      <c r="T4318" s="44">
        <v>45832.637216296294</v>
      </c>
      <c r="U4318" s="44">
        <v>45832.726512106485</v>
      </c>
      <c r="V4318" s="44">
        <v>45833.567654513885</v>
      </c>
      <c r="W4318" s="11"/>
      <c r="X4318" s="11"/>
      <c r="Y4318" s="45">
        <v>302.0</v>
      </c>
      <c r="Z4318" s="45" t="s">
        <v>16986</v>
      </c>
      <c r="AA4318" s="31"/>
      <c r="AB4318" s="45" t="s">
        <v>16987</v>
      </c>
      <c r="AC4318" s="45"/>
    </row>
    <row r="4319" ht="18.75" customHeight="1">
      <c r="A4319" s="18" t="s">
        <v>16988</v>
      </c>
      <c r="B4319" s="19" t="s">
        <v>15141</v>
      </c>
      <c r="C4319" s="20">
        <v>0.0</v>
      </c>
      <c r="D4319" s="179">
        <v>20133.0</v>
      </c>
      <c r="E4319" s="27" t="s">
        <v>16989</v>
      </c>
      <c r="F4319" s="27" t="s">
        <v>33</v>
      </c>
      <c r="G4319" s="18" t="s">
        <v>35</v>
      </c>
      <c r="H4319" s="40" t="s">
        <v>35</v>
      </c>
      <c r="I4319" s="37" t="s">
        <v>36</v>
      </c>
      <c r="J4319" s="25" t="s">
        <v>65</v>
      </c>
      <c r="K4319" s="26" t="s">
        <v>38</v>
      </c>
      <c r="L4319" s="72">
        <v>13441.0</v>
      </c>
      <c r="M4319" s="49" t="s">
        <v>50</v>
      </c>
      <c r="N4319" s="42" t="s">
        <v>5897</v>
      </c>
      <c r="O4319" s="67">
        <v>45859.66666666667</v>
      </c>
      <c r="P4319" s="35" t="s">
        <v>16990</v>
      </c>
      <c r="Q4319" s="13" t="s">
        <v>75</v>
      </c>
      <c r="R4319" s="13" t="s">
        <v>75</v>
      </c>
      <c r="S4319" s="13" t="s">
        <v>9620</v>
      </c>
      <c r="T4319" s="44">
        <v>45832.667200682874</v>
      </c>
      <c r="U4319" s="44">
        <v>45833.38338539352</v>
      </c>
      <c r="V4319" s="44">
        <v>45856.665674386575</v>
      </c>
      <c r="W4319" s="11"/>
      <c r="X4319" s="11"/>
      <c r="Y4319" s="45">
        <v>302.0</v>
      </c>
      <c r="Z4319" s="45" t="s">
        <v>16991</v>
      </c>
      <c r="AA4319" s="31"/>
      <c r="AB4319" s="45" t="s">
        <v>16992</v>
      </c>
      <c r="AC4319" s="45"/>
    </row>
    <row r="4320" ht="18.75" customHeight="1">
      <c r="A4320" s="18" t="s">
        <v>16993</v>
      </c>
      <c r="B4320" s="19" t="s">
        <v>15141</v>
      </c>
      <c r="C4320" s="20">
        <v>0.0</v>
      </c>
      <c r="D4320" s="179">
        <v>20132.0</v>
      </c>
      <c r="E4320" s="27" t="s">
        <v>2288</v>
      </c>
      <c r="F4320" s="27" t="s">
        <v>33</v>
      </c>
      <c r="G4320" s="18" t="s">
        <v>35</v>
      </c>
      <c r="H4320" s="40" t="s">
        <v>35</v>
      </c>
      <c r="I4320" s="37" t="s">
        <v>36</v>
      </c>
      <c r="J4320" s="25" t="s">
        <v>65</v>
      </c>
      <c r="K4320" s="26" t="s">
        <v>38</v>
      </c>
      <c r="L4320" s="72">
        <v>13441.0</v>
      </c>
      <c r="M4320" s="49" t="s">
        <v>50</v>
      </c>
      <c r="N4320" s="42" t="s">
        <v>5897</v>
      </c>
      <c r="O4320" s="67">
        <v>45859.66666666667</v>
      </c>
      <c r="P4320" s="35" t="s">
        <v>16990</v>
      </c>
      <c r="Q4320" s="13" t="s">
        <v>75</v>
      </c>
      <c r="R4320" s="13" t="s">
        <v>75</v>
      </c>
      <c r="S4320" s="13" t="s">
        <v>9620</v>
      </c>
      <c r="T4320" s="44">
        <v>45832.667379108796</v>
      </c>
      <c r="U4320" s="44">
        <v>45833.38341243056</v>
      </c>
      <c r="V4320" s="44">
        <v>45849.32549096065</v>
      </c>
      <c r="W4320" s="11"/>
      <c r="X4320" s="11"/>
      <c r="Y4320" s="45">
        <v>302.0</v>
      </c>
      <c r="Z4320" s="45" t="s">
        <v>16994</v>
      </c>
      <c r="AA4320" s="31"/>
      <c r="AB4320" s="45" t="s">
        <v>16995</v>
      </c>
      <c r="AC4320" s="45"/>
    </row>
    <row r="4321" ht="18.75" customHeight="1">
      <c r="A4321" s="142" t="s">
        <v>16996</v>
      </c>
      <c r="B4321" s="19" t="s">
        <v>8459</v>
      </c>
      <c r="C4321" s="20">
        <v>90.0</v>
      </c>
      <c r="D4321" s="39" t="s">
        <v>16997</v>
      </c>
      <c r="E4321" s="27" t="s">
        <v>91</v>
      </c>
      <c r="F4321" s="27" t="s">
        <v>48</v>
      </c>
      <c r="G4321" s="18" t="s">
        <v>35</v>
      </c>
      <c r="H4321" s="40" t="s">
        <v>35</v>
      </c>
      <c r="I4321" s="37" t="s">
        <v>36</v>
      </c>
      <c r="J4321" s="25" t="s">
        <v>49</v>
      </c>
      <c r="K4321" s="26" t="s">
        <v>1506</v>
      </c>
      <c r="L4321" s="72">
        <v>13297.0</v>
      </c>
      <c r="M4321" s="49" t="s">
        <v>50</v>
      </c>
      <c r="N4321" s="42" t="s">
        <v>143</v>
      </c>
      <c r="O4321" s="67">
        <v>45834.58891085648</v>
      </c>
      <c r="P4321" s="35" t="s">
        <v>16998</v>
      </c>
      <c r="Q4321" s="13" t="s">
        <v>75</v>
      </c>
      <c r="R4321" s="13" t="s">
        <v>75</v>
      </c>
      <c r="S4321" s="13" t="s">
        <v>50</v>
      </c>
      <c r="T4321" s="44">
        <v>45833.45117270833</v>
      </c>
      <c r="U4321" s="44">
        <v>45833.71125270834</v>
      </c>
      <c r="V4321" s="44">
        <v>45834.46393565972</v>
      </c>
      <c r="W4321" s="11"/>
      <c r="X4321" s="11"/>
      <c r="Y4321" s="45">
        <v>302.0</v>
      </c>
      <c r="Z4321" s="45" t="s">
        <v>16999</v>
      </c>
      <c r="AA4321" s="31"/>
      <c r="AB4321" s="45" t="s">
        <v>17000</v>
      </c>
      <c r="AC4321" s="45"/>
    </row>
    <row r="4322" ht="18.75" customHeight="1">
      <c r="A4322" s="18" t="s">
        <v>17001</v>
      </c>
      <c r="B4322" s="19" t="s">
        <v>11777</v>
      </c>
      <c r="C4322" s="20">
        <v>11.0</v>
      </c>
      <c r="D4322" s="39" t="s">
        <v>17002</v>
      </c>
      <c r="E4322" s="27" t="s">
        <v>112</v>
      </c>
      <c r="F4322" s="27" t="s">
        <v>48</v>
      </c>
      <c r="G4322" s="18" t="s">
        <v>35</v>
      </c>
      <c r="H4322" s="40" t="s">
        <v>35</v>
      </c>
      <c r="I4322" s="37" t="s">
        <v>36</v>
      </c>
      <c r="J4322" s="25" t="s">
        <v>518</v>
      </c>
      <c r="K4322" s="26" t="s">
        <v>38</v>
      </c>
      <c r="L4322" s="72">
        <v>13296.0</v>
      </c>
      <c r="M4322" s="49" t="s">
        <v>50</v>
      </c>
      <c r="N4322" s="42" t="s">
        <v>4616</v>
      </c>
      <c r="O4322" s="67">
        <v>45834.60656635417</v>
      </c>
      <c r="P4322" s="35" t="s">
        <v>17003</v>
      </c>
      <c r="Q4322" s="13" t="s">
        <v>75</v>
      </c>
      <c r="R4322" s="13" t="s">
        <v>75</v>
      </c>
      <c r="S4322" s="13" t="s">
        <v>50</v>
      </c>
      <c r="T4322" s="44">
        <v>45833.45604855324</v>
      </c>
      <c r="U4322" s="44">
        <v>45833.68058533565</v>
      </c>
      <c r="V4322" s="44">
        <v>45834.46289378472</v>
      </c>
      <c r="W4322" s="11"/>
      <c r="X4322" s="11"/>
      <c r="Y4322" s="45">
        <v>302.0</v>
      </c>
      <c r="Z4322" s="45" t="s">
        <v>17004</v>
      </c>
      <c r="AA4322" s="31"/>
      <c r="AB4322" s="45" t="s">
        <v>17005</v>
      </c>
      <c r="AC4322" s="45"/>
    </row>
    <row r="4323" ht="18.75" customHeight="1">
      <c r="A4323" s="18" t="s">
        <v>17006</v>
      </c>
      <c r="B4323" s="19" t="s">
        <v>11777</v>
      </c>
      <c r="C4323" s="20">
        <v>137.0</v>
      </c>
      <c r="D4323" s="39" t="s">
        <v>17007</v>
      </c>
      <c r="E4323" s="27" t="s">
        <v>85</v>
      </c>
      <c r="F4323" s="27" t="s">
        <v>48</v>
      </c>
      <c r="G4323" s="18" t="s">
        <v>35</v>
      </c>
      <c r="H4323" s="40" t="s">
        <v>35</v>
      </c>
      <c r="I4323" s="37" t="s">
        <v>36</v>
      </c>
      <c r="J4323" s="25" t="s">
        <v>518</v>
      </c>
      <c r="K4323" s="26" t="s">
        <v>38</v>
      </c>
      <c r="L4323" s="72">
        <v>13296.0</v>
      </c>
      <c r="M4323" s="49" t="s">
        <v>50</v>
      </c>
      <c r="N4323" s="42" t="s">
        <v>4616</v>
      </c>
      <c r="O4323" s="67">
        <v>45834.60664295139</v>
      </c>
      <c r="P4323" s="35" t="s">
        <v>17003</v>
      </c>
      <c r="Q4323" s="13" t="s">
        <v>75</v>
      </c>
      <c r="R4323" s="13" t="s">
        <v>75</v>
      </c>
      <c r="S4323" s="13" t="s">
        <v>50</v>
      </c>
      <c r="T4323" s="44">
        <v>45833.45637983797</v>
      </c>
      <c r="U4323" s="44">
        <v>45833.680557581014</v>
      </c>
      <c r="V4323" s="44">
        <v>45834.46289378472</v>
      </c>
      <c r="W4323" s="11"/>
      <c r="X4323" s="11"/>
      <c r="Y4323" s="45">
        <v>302.0</v>
      </c>
      <c r="Z4323" s="45" t="s">
        <v>17008</v>
      </c>
      <c r="AA4323" s="31"/>
      <c r="AB4323" s="45" t="s">
        <v>17009</v>
      </c>
      <c r="AC4323" s="45"/>
    </row>
    <row r="4324" ht="18.75" customHeight="1">
      <c r="A4324" s="18" t="s">
        <v>17010</v>
      </c>
      <c r="B4324" s="19" t="s">
        <v>7173</v>
      </c>
      <c r="C4324" s="20">
        <v>11.0</v>
      </c>
      <c r="D4324" s="39" t="s">
        <v>17011</v>
      </c>
      <c r="E4324" s="27" t="s">
        <v>112</v>
      </c>
      <c r="F4324" s="27" t="s">
        <v>48</v>
      </c>
      <c r="G4324" s="18" t="s">
        <v>35</v>
      </c>
      <c r="H4324" s="40" t="s">
        <v>35</v>
      </c>
      <c r="I4324" s="37" t="s">
        <v>36</v>
      </c>
      <c r="J4324" s="25" t="s">
        <v>518</v>
      </c>
      <c r="K4324" s="26" t="s">
        <v>38</v>
      </c>
      <c r="L4324" s="72">
        <v>13324.0</v>
      </c>
      <c r="M4324" s="49" t="s">
        <v>50</v>
      </c>
      <c r="N4324" s="42" t="s">
        <v>4616</v>
      </c>
      <c r="O4324" s="67">
        <v>45839.590479618055</v>
      </c>
      <c r="P4324" s="35" t="s">
        <v>17012</v>
      </c>
      <c r="Q4324" s="13" t="s">
        <v>75</v>
      </c>
      <c r="R4324" s="13" t="s">
        <v>75</v>
      </c>
      <c r="S4324" s="13" t="s">
        <v>50</v>
      </c>
      <c r="T4324" s="44">
        <v>45833.46164403935</v>
      </c>
      <c r="U4324" s="44">
        <v>45838.855212395836</v>
      </c>
      <c r="V4324" s="44">
        <v>45839.3747190625</v>
      </c>
      <c r="W4324" s="11"/>
      <c r="X4324" s="11"/>
      <c r="Y4324" s="45">
        <v>302.0</v>
      </c>
      <c r="Z4324" s="45" t="s">
        <v>17013</v>
      </c>
      <c r="AA4324" s="31"/>
      <c r="AB4324" s="45" t="s">
        <v>17014</v>
      </c>
      <c r="AC4324" s="45"/>
    </row>
    <row r="4325" ht="18.75" customHeight="1">
      <c r="A4325" s="18" t="s">
        <v>17015</v>
      </c>
      <c r="B4325" s="19" t="s">
        <v>7173</v>
      </c>
      <c r="C4325" s="20">
        <v>0.0</v>
      </c>
      <c r="D4325" s="39" t="s">
        <v>17016</v>
      </c>
      <c r="E4325" s="27" t="s">
        <v>3441</v>
      </c>
      <c r="F4325" s="27" t="s">
        <v>48</v>
      </c>
      <c r="G4325" s="18" t="s">
        <v>35</v>
      </c>
      <c r="H4325" s="40" t="s">
        <v>35</v>
      </c>
      <c r="I4325" s="37" t="s">
        <v>36</v>
      </c>
      <c r="J4325" s="25" t="s">
        <v>518</v>
      </c>
      <c r="K4325" s="26" t="s">
        <v>38</v>
      </c>
      <c r="L4325" s="72">
        <v>13324.0</v>
      </c>
      <c r="M4325" s="49" t="s">
        <v>50</v>
      </c>
      <c r="N4325" s="42" t="s">
        <v>4616</v>
      </c>
      <c r="O4325" s="67">
        <v>45839.59040234954</v>
      </c>
      <c r="P4325" s="35" t="s">
        <v>17012</v>
      </c>
      <c r="Q4325" s="13" t="s">
        <v>75</v>
      </c>
      <c r="R4325" s="13" t="s">
        <v>75</v>
      </c>
      <c r="S4325" s="13" t="s">
        <v>50</v>
      </c>
      <c r="T4325" s="44">
        <v>45833.46170511574</v>
      </c>
      <c r="U4325" s="44">
        <v>45839.367661006945</v>
      </c>
      <c r="V4325" s="44">
        <v>45839.37471907407</v>
      </c>
      <c r="W4325" s="11"/>
      <c r="X4325" s="11"/>
      <c r="Y4325" s="45">
        <v>302.0</v>
      </c>
      <c r="Z4325" s="45" t="s">
        <v>17017</v>
      </c>
      <c r="AA4325" s="31"/>
      <c r="AB4325" s="45" t="s">
        <v>17018</v>
      </c>
      <c r="AC4325" s="45"/>
    </row>
    <row r="4326" ht="18.75" customHeight="1">
      <c r="A4326" s="142" t="s">
        <v>17019</v>
      </c>
      <c r="B4326" s="19" t="s">
        <v>13244</v>
      </c>
      <c r="C4326" s="20">
        <v>1.0</v>
      </c>
      <c r="D4326" s="39" t="s">
        <v>17020</v>
      </c>
      <c r="E4326" s="27" t="s">
        <v>3395</v>
      </c>
      <c r="F4326" s="27" t="s">
        <v>48</v>
      </c>
      <c r="G4326" s="18" t="s">
        <v>35</v>
      </c>
      <c r="H4326" s="40" t="s">
        <v>35</v>
      </c>
      <c r="I4326" s="37" t="s">
        <v>36</v>
      </c>
      <c r="J4326" s="25" t="s">
        <v>49</v>
      </c>
      <c r="K4326" s="26" t="s">
        <v>13246</v>
      </c>
      <c r="L4326" s="72">
        <v>13304.0</v>
      </c>
      <c r="M4326" s="49" t="s">
        <v>50</v>
      </c>
      <c r="N4326" s="42" t="s">
        <v>143</v>
      </c>
      <c r="O4326" s="67">
        <v>45835.5945815625</v>
      </c>
      <c r="P4326" s="35" t="s">
        <v>17021</v>
      </c>
      <c r="Q4326" s="13" t="s">
        <v>75</v>
      </c>
      <c r="R4326" s="13" t="s">
        <v>75</v>
      </c>
      <c r="S4326" s="13" t="s">
        <v>50</v>
      </c>
      <c r="T4326" s="44">
        <v>45834.38578892361</v>
      </c>
      <c r="U4326" s="44">
        <v>45834.62151033565</v>
      </c>
      <c r="V4326" s="44">
        <v>45834.64839408565</v>
      </c>
      <c r="W4326" s="11"/>
      <c r="X4326" s="11"/>
      <c r="Y4326" s="45">
        <v>302.0</v>
      </c>
      <c r="Z4326" s="45" t="s">
        <v>17022</v>
      </c>
      <c r="AA4326" s="31"/>
      <c r="AB4326" s="45" t="s">
        <v>17023</v>
      </c>
      <c r="AC4326" s="45"/>
    </row>
    <row r="4327" ht="18.75" customHeight="1">
      <c r="A4327" s="142" t="s">
        <v>17024</v>
      </c>
      <c r="B4327" s="19" t="s">
        <v>17025</v>
      </c>
      <c r="C4327" s="20">
        <v>34.0</v>
      </c>
      <c r="D4327" s="39" t="s">
        <v>17026</v>
      </c>
      <c r="E4327" s="27" t="s">
        <v>47</v>
      </c>
      <c r="F4327" s="27" t="s">
        <v>48</v>
      </c>
      <c r="G4327" s="18" t="s">
        <v>35</v>
      </c>
      <c r="H4327" s="40" t="s">
        <v>35</v>
      </c>
      <c r="I4327" s="37" t="s">
        <v>36</v>
      </c>
      <c r="J4327" s="25" t="s">
        <v>15990</v>
      </c>
      <c r="K4327" s="26" t="s">
        <v>38</v>
      </c>
      <c r="L4327" s="72">
        <v>13307.0</v>
      </c>
      <c r="M4327" s="49" t="s">
        <v>15811</v>
      </c>
      <c r="N4327" s="42"/>
      <c r="O4327" s="67">
        <v>45834.72311614583</v>
      </c>
      <c r="P4327" s="35" t="s">
        <v>17027</v>
      </c>
      <c r="Q4327" s="13" t="s">
        <v>75</v>
      </c>
      <c r="R4327" s="13" t="s">
        <v>75</v>
      </c>
      <c r="S4327" s="13" t="s">
        <v>75</v>
      </c>
      <c r="T4327" s="44">
        <v>45834.71833841436</v>
      </c>
      <c r="U4327" s="44">
        <v>45834.72311614583</v>
      </c>
      <c r="V4327" s="44">
        <v>45834.72311614583</v>
      </c>
      <c r="W4327" s="11"/>
      <c r="X4327" s="11"/>
      <c r="Y4327" s="45"/>
      <c r="Z4327" s="45"/>
      <c r="AA4327" s="31"/>
      <c r="AB4327" s="45" t="s">
        <v>17028</v>
      </c>
      <c r="AC4327" s="45"/>
    </row>
    <row r="4328" ht="18.75" customHeight="1">
      <c r="A4328" s="142" t="s">
        <v>17029</v>
      </c>
      <c r="B4328" s="19" t="s">
        <v>8893</v>
      </c>
      <c r="C4328" s="20">
        <v>27.0</v>
      </c>
      <c r="D4328" s="39" t="s">
        <v>17030</v>
      </c>
      <c r="E4328" s="27" t="s">
        <v>72</v>
      </c>
      <c r="F4328" s="27" t="s">
        <v>48</v>
      </c>
      <c r="G4328" s="18" t="s">
        <v>35</v>
      </c>
      <c r="H4328" s="40" t="s">
        <v>35</v>
      </c>
      <c r="I4328" s="37" t="s">
        <v>36</v>
      </c>
      <c r="J4328" s="25" t="s">
        <v>49</v>
      </c>
      <c r="K4328" s="26" t="s">
        <v>38</v>
      </c>
      <c r="L4328" s="72">
        <v>13317.0</v>
      </c>
      <c r="M4328" s="49" t="s">
        <v>73</v>
      </c>
      <c r="N4328" s="42" t="s">
        <v>9953</v>
      </c>
      <c r="O4328" s="67">
        <v>45838.63928715278</v>
      </c>
      <c r="P4328" s="35" t="s">
        <v>15666</v>
      </c>
      <c r="Q4328" s="13" t="s">
        <v>75</v>
      </c>
      <c r="R4328" s="13" t="s">
        <v>75</v>
      </c>
      <c r="S4328" s="13" t="s">
        <v>50</v>
      </c>
      <c r="T4328" s="44">
        <v>45834.42181796297</v>
      </c>
      <c r="U4328" s="44">
        <v>45838.44079287037</v>
      </c>
      <c r="V4328" s="44">
        <v>45838.50128091435</v>
      </c>
      <c r="W4328" s="11"/>
      <c r="X4328" s="11"/>
      <c r="Y4328" s="45">
        <v>302.0</v>
      </c>
      <c r="Z4328" s="45" t="s">
        <v>17031</v>
      </c>
      <c r="AA4328" s="31"/>
      <c r="AB4328" s="45" t="s">
        <v>17032</v>
      </c>
      <c r="AC4328" s="45"/>
    </row>
    <row r="4329" ht="18.75" customHeight="1">
      <c r="A4329" s="18" t="s">
        <v>17033</v>
      </c>
      <c r="B4329" s="19" t="s">
        <v>725</v>
      </c>
      <c r="C4329" s="20">
        <v>90.0</v>
      </c>
      <c r="D4329" s="39" t="s">
        <v>17034</v>
      </c>
      <c r="E4329" s="27" t="s">
        <v>91</v>
      </c>
      <c r="F4329" s="27" t="s">
        <v>48</v>
      </c>
      <c r="G4329" s="18" t="s">
        <v>35</v>
      </c>
      <c r="H4329" s="40" t="s">
        <v>35</v>
      </c>
      <c r="I4329" s="37" t="s">
        <v>36</v>
      </c>
      <c r="J4329" s="25" t="s">
        <v>49</v>
      </c>
      <c r="K4329" s="26" t="s">
        <v>38</v>
      </c>
      <c r="L4329" s="72">
        <v>13309.0</v>
      </c>
      <c r="M4329" s="49" t="s">
        <v>50</v>
      </c>
      <c r="N4329" s="42" t="s">
        <v>143</v>
      </c>
      <c r="O4329" s="67">
        <v>45835.59444144676</v>
      </c>
      <c r="P4329" s="35" t="s">
        <v>15666</v>
      </c>
      <c r="Q4329" s="13" t="s">
        <v>75</v>
      </c>
      <c r="R4329" s="13" t="s">
        <v>75</v>
      </c>
      <c r="S4329" s="13" t="s">
        <v>50</v>
      </c>
      <c r="T4329" s="44">
        <v>45834.423600671296</v>
      </c>
      <c r="U4329" s="44">
        <v>45834.71625496528</v>
      </c>
      <c r="V4329" s="44">
        <v>45835.42347317129</v>
      </c>
      <c r="W4329" s="11"/>
      <c r="X4329" s="11"/>
      <c r="Y4329" s="45">
        <v>302.0</v>
      </c>
      <c r="Z4329" s="45" t="s">
        <v>17035</v>
      </c>
      <c r="AA4329" s="31"/>
      <c r="AB4329" s="45" t="s">
        <v>17036</v>
      </c>
      <c r="AC4329" s="45"/>
    </row>
    <row r="4330" ht="18.75" customHeight="1">
      <c r="A4330" s="18" t="s">
        <v>17037</v>
      </c>
      <c r="B4330" s="19" t="s">
        <v>725</v>
      </c>
      <c r="C4330" s="20">
        <v>90.0</v>
      </c>
      <c r="D4330" s="39" t="s">
        <v>17038</v>
      </c>
      <c r="E4330" s="27" t="s">
        <v>91</v>
      </c>
      <c r="F4330" s="27" t="s">
        <v>48</v>
      </c>
      <c r="G4330" s="18" t="s">
        <v>35</v>
      </c>
      <c r="H4330" s="40" t="s">
        <v>35</v>
      </c>
      <c r="I4330" s="37" t="s">
        <v>36</v>
      </c>
      <c r="J4330" s="25" t="s">
        <v>49</v>
      </c>
      <c r="K4330" s="26" t="s">
        <v>38</v>
      </c>
      <c r="L4330" s="72">
        <v>13309.0</v>
      </c>
      <c r="M4330" s="49" t="s">
        <v>50</v>
      </c>
      <c r="N4330" s="42" t="s">
        <v>143</v>
      </c>
      <c r="O4330" s="67">
        <v>45835.594483402776</v>
      </c>
      <c r="P4330" s="35" t="s">
        <v>15666</v>
      </c>
      <c r="Q4330" s="13" t="s">
        <v>75</v>
      </c>
      <c r="R4330" s="13" t="s">
        <v>75</v>
      </c>
      <c r="S4330" s="13" t="s">
        <v>50</v>
      </c>
      <c r="T4330" s="44">
        <v>45834.423669826385</v>
      </c>
      <c r="U4330" s="44">
        <v>45834.71622819445</v>
      </c>
      <c r="V4330" s="44">
        <v>45835.42347317129</v>
      </c>
      <c r="W4330" s="11"/>
      <c r="X4330" s="11"/>
      <c r="Y4330" s="45">
        <v>302.0</v>
      </c>
      <c r="Z4330" s="45" t="s">
        <v>17039</v>
      </c>
      <c r="AA4330" s="31"/>
      <c r="AB4330" s="45" t="s">
        <v>17040</v>
      </c>
      <c r="AC4330" s="45"/>
    </row>
    <row r="4331" ht="18.75" customHeight="1">
      <c r="A4331" s="18" t="s">
        <v>17041</v>
      </c>
      <c r="B4331" s="19" t="s">
        <v>725</v>
      </c>
      <c r="C4331" s="20">
        <v>90.0</v>
      </c>
      <c r="D4331" s="39" t="s">
        <v>17042</v>
      </c>
      <c r="E4331" s="27" t="s">
        <v>91</v>
      </c>
      <c r="F4331" s="27" t="s">
        <v>48</v>
      </c>
      <c r="G4331" s="18" t="s">
        <v>35</v>
      </c>
      <c r="H4331" s="40" t="s">
        <v>35</v>
      </c>
      <c r="I4331" s="37" t="s">
        <v>36</v>
      </c>
      <c r="J4331" s="25" t="s">
        <v>49</v>
      </c>
      <c r="K4331" s="26" t="s">
        <v>38</v>
      </c>
      <c r="L4331" s="72">
        <v>13309.0</v>
      </c>
      <c r="M4331" s="49" t="s">
        <v>50</v>
      </c>
      <c r="N4331" s="42" t="s">
        <v>143</v>
      </c>
      <c r="O4331" s="67">
        <v>45835.59453537037</v>
      </c>
      <c r="P4331" s="35" t="s">
        <v>15666</v>
      </c>
      <c r="Q4331" s="13" t="s">
        <v>75</v>
      </c>
      <c r="R4331" s="13" t="s">
        <v>75</v>
      </c>
      <c r="S4331" s="13" t="s">
        <v>50</v>
      </c>
      <c r="T4331" s="44">
        <v>45834.42373391204</v>
      </c>
      <c r="U4331" s="44">
        <v>45834.716193761575</v>
      </c>
      <c r="V4331" s="44">
        <v>45835.42347317129</v>
      </c>
      <c r="W4331" s="11"/>
      <c r="X4331" s="11"/>
      <c r="Y4331" s="45">
        <v>302.0</v>
      </c>
      <c r="Z4331" s="45" t="s">
        <v>17043</v>
      </c>
      <c r="AA4331" s="31"/>
      <c r="AB4331" s="45" t="s">
        <v>17044</v>
      </c>
      <c r="AC4331" s="45"/>
    </row>
    <row r="4332" ht="18.75" customHeight="1">
      <c r="A4332" s="142" t="s">
        <v>17045</v>
      </c>
      <c r="B4332" s="19" t="s">
        <v>725</v>
      </c>
      <c r="C4332" s="20">
        <v>0.0</v>
      </c>
      <c r="D4332" s="220" t="s">
        <v>17046</v>
      </c>
      <c r="E4332" s="27" t="s">
        <v>17047</v>
      </c>
      <c r="F4332" s="27" t="s">
        <v>48</v>
      </c>
      <c r="G4332" s="18" t="s">
        <v>35</v>
      </c>
      <c r="H4332" s="40" t="s">
        <v>35</v>
      </c>
      <c r="I4332" s="37" t="s">
        <v>36</v>
      </c>
      <c r="J4332" s="25" t="s">
        <v>49</v>
      </c>
      <c r="K4332" s="26" t="s">
        <v>38</v>
      </c>
      <c r="L4332" s="72">
        <v>13378.0</v>
      </c>
      <c r="M4332" s="49" t="s">
        <v>50</v>
      </c>
      <c r="N4332" s="42" t="s">
        <v>17048</v>
      </c>
      <c r="O4332" s="67">
        <v>45848.59277665509</v>
      </c>
      <c r="P4332" s="35" t="s">
        <v>17049</v>
      </c>
      <c r="Q4332" s="13" t="s">
        <v>75</v>
      </c>
      <c r="R4332" s="13" t="s">
        <v>75</v>
      </c>
      <c r="S4332" s="13" t="s">
        <v>9620</v>
      </c>
      <c r="T4332" s="44">
        <v>45847.39990456018</v>
      </c>
      <c r="U4332" s="44">
        <v>45847.39994577546</v>
      </c>
      <c r="V4332" s="44">
        <v>45847.411989976856</v>
      </c>
      <c r="W4332" s="11"/>
      <c r="X4332" s="11"/>
      <c r="Y4332" s="45">
        <v>302.0</v>
      </c>
      <c r="Z4332" s="45" t="s">
        <v>17050</v>
      </c>
      <c r="AA4332" s="31"/>
      <c r="AB4332" s="45" t="s">
        <v>17051</v>
      </c>
      <c r="AC4332" s="45"/>
    </row>
    <row r="4333" ht="18.75" customHeight="1">
      <c r="A4333" s="142" t="s">
        <v>17052</v>
      </c>
      <c r="B4333" s="19" t="s">
        <v>17053</v>
      </c>
      <c r="C4333" s="20">
        <v>34.0</v>
      </c>
      <c r="D4333" s="39" t="s">
        <v>17054</v>
      </c>
      <c r="E4333" s="27" t="s">
        <v>47</v>
      </c>
      <c r="F4333" s="27" t="s">
        <v>48</v>
      </c>
      <c r="G4333" s="18" t="s">
        <v>35</v>
      </c>
      <c r="H4333" s="40" t="s">
        <v>35</v>
      </c>
      <c r="I4333" s="37" t="s">
        <v>36</v>
      </c>
      <c r="J4333" s="25" t="s">
        <v>49</v>
      </c>
      <c r="K4333" s="26" t="s">
        <v>38</v>
      </c>
      <c r="L4333" s="72">
        <v>13305.0</v>
      </c>
      <c r="M4333" s="49" t="s">
        <v>50</v>
      </c>
      <c r="N4333" s="42" t="s">
        <v>143</v>
      </c>
      <c r="O4333" s="67">
        <v>45835.59439373843</v>
      </c>
      <c r="P4333" s="35" t="s">
        <v>17055</v>
      </c>
      <c r="Q4333" s="13" t="s">
        <v>75</v>
      </c>
      <c r="R4333" s="13" t="s">
        <v>75</v>
      </c>
      <c r="S4333" s="13" t="s">
        <v>50</v>
      </c>
      <c r="T4333" s="44">
        <v>45834.42646858796</v>
      </c>
      <c r="U4333" s="44">
        <v>45834.61414719907</v>
      </c>
      <c r="V4333" s="44">
        <v>45834.64839407407</v>
      </c>
      <c r="W4333" s="11"/>
      <c r="X4333" s="11"/>
      <c r="Y4333" s="45">
        <v>302.0</v>
      </c>
      <c r="Z4333" s="45" t="s">
        <v>17056</v>
      </c>
      <c r="AA4333" s="31"/>
      <c r="AB4333" s="45" t="s">
        <v>17057</v>
      </c>
      <c r="AC4333" s="45"/>
    </row>
    <row r="4334" ht="18.75" customHeight="1">
      <c r="A4334" s="18" t="s">
        <v>17058</v>
      </c>
      <c r="B4334" s="19" t="s">
        <v>5047</v>
      </c>
      <c r="C4334" s="20">
        <v>137.0</v>
      </c>
      <c r="D4334" s="39" t="s">
        <v>17059</v>
      </c>
      <c r="E4334" s="27" t="s">
        <v>85</v>
      </c>
      <c r="F4334" s="27" t="s">
        <v>48</v>
      </c>
      <c r="G4334" s="18" t="s">
        <v>35</v>
      </c>
      <c r="H4334" s="40" t="s">
        <v>35</v>
      </c>
      <c r="I4334" s="37" t="s">
        <v>36</v>
      </c>
      <c r="J4334" s="25" t="s">
        <v>37</v>
      </c>
      <c r="K4334" s="26" t="s">
        <v>38</v>
      </c>
      <c r="L4334" s="72">
        <v>13313.0</v>
      </c>
      <c r="M4334" s="49" t="s">
        <v>50</v>
      </c>
      <c r="N4334" s="42" t="s">
        <v>10833</v>
      </c>
      <c r="O4334" s="67">
        <v>45838.60871547453</v>
      </c>
      <c r="P4334" s="35" t="s">
        <v>17060</v>
      </c>
      <c r="Q4334" s="13" t="s">
        <v>75</v>
      </c>
      <c r="R4334" s="13" t="s">
        <v>75</v>
      </c>
      <c r="S4334" s="13" t="s">
        <v>50</v>
      </c>
      <c r="T4334" s="44">
        <v>45834.52413496528</v>
      </c>
      <c r="U4334" s="44">
        <v>45835.66311386574</v>
      </c>
      <c r="V4334" s="44">
        <v>45838.376905682875</v>
      </c>
      <c r="W4334" s="11"/>
      <c r="X4334" s="11"/>
      <c r="Y4334" s="45">
        <v>302.0</v>
      </c>
      <c r="Z4334" s="45" t="s">
        <v>17061</v>
      </c>
      <c r="AA4334" s="31"/>
      <c r="AB4334" s="45" t="s">
        <v>17062</v>
      </c>
      <c r="AC4334" s="45"/>
    </row>
    <row r="4335" ht="18.75" customHeight="1">
      <c r="A4335" s="18" t="s">
        <v>17063</v>
      </c>
      <c r="B4335" s="19" t="s">
        <v>5047</v>
      </c>
      <c r="C4335" s="20">
        <v>90.0</v>
      </c>
      <c r="D4335" s="39" t="s">
        <v>17064</v>
      </c>
      <c r="E4335" s="27" t="s">
        <v>91</v>
      </c>
      <c r="F4335" s="27" t="s">
        <v>48</v>
      </c>
      <c r="G4335" s="18" t="s">
        <v>35</v>
      </c>
      <c r="H4335" s="40" t="s">
        <v>35</v>
      </c>
      <c r="I4335" s="37" t="s">
        <v>36</v>
      </c>
      <c r="J4335" s="25" t="s">
        <v>37</v>
      </c>
      <c r="K4335" s="26" t="s">
        <v>38</v>
      </c>
      <c r="L4335" s="72">
        <v>13313.0</v>
      </c>
      <c r="M4335" s="49" t="s">
        <v>50</v>
      </c>
      <c r="N4335" s="42" t="s">
        <v>10833</v>
      </c>
      <c r="O4335" s="67">
        <v>45838.60880616898</v>
      </c>
      <c r="P4335" s="35" t="s">
        <v>17060</v>
      </c>
      <c r="Q4335" s="13" t="s">
        <v>75</v>
      </c>
      <c r="R4335" s="13" t="s">
        <v>75</v>
      </c>
      <c r="S4335" s="13" t="s">
        <v>50</v>
      </c>
      <c r="T4335" s="44">
        <v>45834.53386837963</v>
      </c>
      <c r="U4335" s="44">
        <v>45835.66314030092</v>
      </c>
      <c r="V4335" s="44">
        <v>45838.3770214699</v>
      </c>
      <c r="W4335" s="11"/>
      <c r="X4335" s="11"/>
      <c r="Y4335" s="45">
        <v>302.0</v>
      </c>
      <c r="Z4335" s="45" t="s">
        <v>17065</v>
      </c>
      <c r="AA4335" s="31"/>
      <c r="AB4335" s="45" t="s">
        <v>17066</v>
      </c>
      <c r="AC4335" s="45"/>
    </row>
    <row r="4336" ht="18.75" customHeight="1">
      <c r="A4336" s="18" t="s">
        <v>17067</v>
      </c>
      <c r="B4336" s="19" t="s">
        <v>115</v>
      </c>
      <c r="C4336" s="20">
        <v>1.0</v>
      </c>
      <c r="D4336" s="179">
        <v>20118.0</v>
      </c>
      <c r="E4336" s="27" t="s">
        <v>15373</v>
      </c>
      <c r="F4336" s="27" t="s">
        <v>48</v>
      </c>
      <c r="G4336" s="18" t="s">
        <v>35</v>
      </c>
      <c r="H4336" s="40" t="s">
        <v>35</v>
      </c>
      <c r="I4336" s="37" t="s">
        <v>36</v>
      </c>
      <c r="J4336" s="25" t="s">
        <v>92</v>
      </c>
      <c r="K4336" s="26" t="s">
        <v>38</v>
      </c>
      <c r="L4336" s="72">
        <v>13359.0</v>
      </c>
      <c r="M4336" s="49" t="s">
        <v>73</v>
      </c>
      <c r="N4336" s="42" t="s">
        <v>10176</v>
      </c>
      <c r="O4336" s="67">
        <v>45847.67421048611</v>
      </c>
      <c r="P4336" s="35" t="s">
        <v>17068</v>
      </c>
      <c r="Q4336" s="13" t="s">
        <v>75</v>
      </c>
      <c r="R4336" s="13" t="s">
        <v>75</v>
      </c>
      <c r="S4336" s="13" t="s">
        <v>9620</v>
      </c>
      <c r="T4336" s="44">
        <v>45834.53482739584</v>
      </c>
      <c r="U4336" s="44">
        <v>45835.659647175926</v>
      </c>
      <c r="V4336" s="44">
        <v>45840.66525943287</v>
      </c>
      <c r="W4336" s="11"/>
      <c r="X4336" s="11"/>
      <c r="Y4336" s="45">
        <v>302.0</v>
      </c>
      <c r="Z4336" s="45" t="s">
        <v>17069</v>
      </c>
      <c r="AA4336" s="31"/>
      <c r="AB4336" s="45" t="s">
        <v>17070</v>
      </c>
      <c r="AC4336" s="45"/>
    </row>
    <row r="4337" ht="18.75" customHeight="1">
      <c r="A4337" s="18" t="s">
        <v>17071</v>
      </c>
      <c r="B4337" s="19" t="s">
        <v>115</v>
      </c>
      <c r="C4337" s="20">
        <v>1.0</v>
      </c>
      <c r="D4337" s="179">
        <v>20119.0</v>
      </c>
      <c r="E4337" s="27" t="s">
        <v>15373</v>
      </c>
      <c r="F4337" s="27" t="s">
        <v>48</v>
      </c>
      <c r="G4337" s="18" t="s">
        <v>35</v>
      </c>
      <c r="H4337" s="40" t="s">
        <v>35</v>
      </c>
      <c r="I4337" s="37" t="s">
        <v>36</v>
      </c>
      <c r="J4337" s="25" t="s">
        <v>92</v>
      </c>
      <c r="K4337" s="26" t="s">
        <v>38</v>
      </c>
      <c r="L4337" s="72">
        <v>13359.0</v>
      </c>
      <c r="M4337" s="49" t="s">
        <v>73</v>
      </c>
      <c r="N4337" s="42" t="s">
        <v>10176</v>
      </c>
      <c r="O4337" s="67">
        <v>45847.67427017361</v>
      </c>
      <c r="P4337" s="35" t="s">
        <v>17068</v>
      </c>
      <c r="Q4337" s="13" t="s">
        <v>75</v>
      </c>
      <c r="R4337" s="13" t="s">
        <v>75</v>
      </c>
      <c r="S4337" s="13" t="s">
        <v>73</v>
      </c>
      <c r="T4337" s="44">
        <v>45834.53501313657</v>
      </c>
      <c r="U4337" s="44">
        <v>45835.6596749537</v>
      </c>
      <c r="V4337" s="44">
        <v>45841.397440381945</v>
      </c>
      <c r="W4337" s="11"/>
      <c r="X4337" s="11"/>
      <c r="Y4337" s="45">
        <v>302.0</v>
      </c>
      <c r="Z4337" s="45" t="s">
        <v>17072</v>
      </c>
      <c r="AA4337" s="31"/>
      <c r="AB4337" s="45" t="s">
        <v>17073</v>
      </c>
      <c r="AC4337" s="45"/>
    </row>
    <row r="4338" ht="18.75" customHeight="1">
      <c r="A4338" s="142" t="s">
        <v>17074</v>
      </c>
      <c r="B4338" s="19" t="s">
        <v>3289</v>
      </c>
      <c r="C4338" s="20">
        <v>90.0</v>
      </c>
      <c r="D4338" s="39" t="s">
        <v>17075</v>
      </c>
      <c r="E4338" s="27" t="s">
        <v>91</v>
      </c>
      <c r="F4338" s="27" t="s">
        <v>48</v>
      </c>
      <c r="G4338" s="18" t="s">
        <v>35</v>
      </c>
      <c r="H4338" s="40" t="s">
        <v>35</v>
      </c>
      <c r="I4338" s="37" t="s">
        <v>36</v>
      </c>
      <c r="J4338" s="25" t="s">
        <v>92</v>
      </c>
      <c r="K4338" s="26" t="s">
        <v>38</v>
      </c>
      <c r="L4338" s="72">
        <v>13314.0</v>
      </c>
      <c r="M4338" s="49" t="s">
        <v>50</v>
      </c>
      <c r="N4338" s="42" t="s">
        <v>16512</v>
      </c>
      <c r="O4338" s="67">
        <v>45838.685367349535</v>
      </c>
      <c r="P4338" s="35" t="s">
        <v>17076</v>
      </c>
      <c r="Q4338" s="13" t="s">
        <v>75</v>
      </c>
      <c r="R4338" s="13" t="s">
        <v>75</v>
      </c>
      <c r="S4338" s="13" t="s">
        <v>50</v>
      </c>
      <c r="T4338" s="44">
        <v>45834.545320590274</v>
      </c>
      <c r="U4338" s="44">
        <v>45835.6628168287</v>
      </c>
      <c r="V4338" s="44">
        <v>45838.376905682875</v>
      </c>
      <c r="W4338" s="11"/>
      <c r="X4338" s="11"/>
      <c r="Y4338" s="45">
        <v>302.0</v>
      </c>
      <c r="Z4338" s="45" t="s">
        <v>17077</v>
      </c>
      <c r="AA4338" s="31"/>
      <c r="AB4338" s="45" t="s">
        <v>17078</v>
      </c>
      <c r="AC4338" s="45"/>
    </row>
    <row r="4339" ht="18.75" customHeight="1">
      <c r="A4339" s="142" t="s">
        <v>17079</v>
      </c>
      <c r="B4339" s="19" t="s">
        <v>3289</v>
      </c>
      <c r="C4339" s="20">
        <v>0.0</v>
      </c>
      <c r="D4339" s="179">
        <v>20115.0</v>
      </c>
      <c r="E4339" s="27" t="s">
        <v>13303</v>
      </c>
      <c r="F4339" s="27" t="s">
        <v>48</v>
      </c>
      <c r="G4339" s="18" t="s">
        <v>35</v>
      </c>
      <c r="H4339" s="40" t="s">
        <v>35</v>
      </c>
      <c r="I4339" s="24" t="s">
        <v>36</v>
      </c>
      <c r="J4339" s="25" t="s">
        <v>92</v>
      </c>
      <c r="K4339" s="26" t="s">
        <v>38</v>
      </c>
      <c r="L4339" s="72">
        <v>13368.0</v>
      </c>
      <c r="M4339" s="152" t="s">
        <v>17080</v>
      </c>
      <c r="N4339" s="65" t="s">
        <v>4362</v>
      </c>
      <c r="O4339" s="209">
        <v>45856.4989715625</v>
      </c>
      <c r="P4339" s="35" t="s">
        <v>17081</v>
      </c>
      <c r="Q4339" s="13" t="s">
        <v>75</v>
      </c>
      <c r="R4339" s="13" t="s">
        <v>75</v>
      </c>
      <c r="S4339" s="13" t="s">
        <v>9620</v>
      </c>
      <c r="T4339" s="44">
        <v>45834.54721592592</v>
      </c>
      <c r="U4339" s="44">
        <v>45835.66088822916</v>
      </c>
      <c r="V4339" s="44">
        <v>45846.51748059028</v>
      </c>
      <c r="W4339" s="11"/>
      <c r="X4339" s="11"/>
      <c r="Y4339" s="45">
        <v>302.0</v>
      </c>
      <c r="Z4339" s="45" t="s">
        <v>17082</v>
      </c>
      <c r="AA4339" s="31"/>
      <c r="AB4339" s="45" t="s">
        <v>17083</v>
      </c>
      <c r="AC4339" s="45"/>
    </row>
    <row r="4340" ht="18.75" customHeight="1">
      <c r="A4340" s="142" t="s">
        <v>17084</v>
      </c>
      <c r="B4340" s="19" t="s">
        <v>96</v>
      </c>
      <c r="C4340" s="20">
        <v>1.0</v>
      </c>
      <c r="D4340" s="179">
        <v>20111.0</v>
      </c>
      <c r="E4340" s="27" t="s">
        <v>11712</v>
      </c>
      <c r="F4340" s="27" t="s">
        <v>48</v>
      </c>
      <c r="G4340" s="18" t="s">
        <v>35</v>
      </c>
      <c r="H4340" s="40" t="s">
        <v>35</v>
      </c>
      <c r="I4340" s="37" t="s">
        <v>36</v>
      </c>
      <c r="J4340" s="25" t="s">
        <v>49</v>
      </c>
      <c r="K4340" s="26" t="s">
        <v>38</v>
      </c>
      <c r="L4340" s="72">
        <v>13354.0</v>
      </c>
      <c r="M4340" s="49" t="s">
        <v>50</v>
      </c>
      <c r="N4340" s="42" t="s">
        <v>143</v>
      </c>
      <c r="O4340" s="67">
        <v>45846.58707662037</v>
      </c>
      <c r="P4340" s="35" t="s">
        <v>17085</v>
      </c>
      <c r="Q4340" s="13" t="s">
        <v>75</v>
      </c>
      <c r="R4340" s="13" t="s">
        <v>75</v>
      </c>
      <c r="S4340" s="13" t="s">
        <v>9620</v>
      </c>
      <c r="T4340" s="44">
        <v>45834.58043100694</v>
      </c>
      <c r="U4340" s="44">
        <v>45835.39696032407</v>
      </c>
      <c r="V4340" s="44">
        <v>45840.66525943287</v>
      </c>
      <c r="W4340" s="11"/>
      <c r="X4340" s="11"/>
      <c r="Y4340" s="45">
        <v>302.0</v>
      </c>
      <c r="Z4340" s="45" t="s">
        <v>17086</v>
      </c>
      <c r="AA4340" s="31"/>
      <c r="AB4340" s="45" t="s">
        <v>17087</v>
      </c>
      <c r="AC4340" s="45"/>
    </row>
    <row r="4341" ht="18.75" customHeight="1">
      <c r="A4341" s="142" t="s">
        <v>17088</v>
      </c>
      <c r="B4341" s="19" t="s">
        <v>96</v>
      </c>
      <c r="C4341" s="20">
        <v>0.0</v>
      </c>
      <c r="D4341" s="179">
        <v>20113.0</v>
      </c>
      <c r="E4341" s="27" t="s">
        <v>17089</v>
      </c>
      <c r="F4341" s="27" t="s">
        <v>48</v>
      </c>
      <c r="G4341" s="18" t="s">
        <v>35</v>
      </c>
      <c r="H4341" s="40" t="s">
        <v>35</v>
      </c>
      <c r="I4341" s="37" t="s">
        <v>36</v>
      </c>
      <c r="J4341" s="25" t="s">
        <v>49</v>
      </c>
      <c r="K4341" s="26" t="s">
        <v>38</v>
      </c>
      <c r="L4341" s="72">
        <v>13390.0</v>
      </c>
      <c r="M4341" s="49" t="s">
        <v>50</v>
      </c>
      <c r="N4341" s="42" t="s">
        <v>5936</v>
      </c>
      <c r="O4341" s="67">
        <v>45849.612530370374</v>
      </c>
      <c r="P4341" s="35" t="s">
        <v>17090</v>
      </c>
      <c r="Q4341" s="13" t="s">
        <v>75</v>
      </c>
      <c r="R4341" s="13" t="s">
        <v>75</v>
      </c>
      <c r="S4341" s="13" t="s">
        <v>9620</v>
      </c>
      <c r="T4341" s="44">
        <v>45834.72497769676</v>
      </c>
      <c r="U4341" s="44">
        <v>45835.397912534725</v>
      </c>
      <c r="V4341" s="44">
        <v>45849.32549096065</v>
      </c>
      <c r="W4341" s="11"/>
      <c r="X4341" s="11"/>
      <c r="Y4341" s="45">
        <v>302.0</v>
      </c>
      <c r="Z4341" s="45" t="s">
        <v>17091</v>
      </c>
      <c r="AA4341" s="31"/>
      <c r="AB4341" s="45" t="s">
        <v>17092</v>
      </c>
      <c r="AC4341" s="45"/>
    </row>
    <row r="4342" ht="18.75" customHeight="1">
      <c r="A4342" s="142" t="s">
        <v>17093</v>
      </c>
      <c r="B4342" s="19" t="s">
        <v>96</v>
      </c>
      <c r="C4342" s="20">
        <v>0.0</v>
      </c>
      <c r="D4342" s="220" t="s">
        <v>17094</v>
      </c>
      <c r="E4342" s="27" t="s">
        <v>11957</v>
      </c>
      <c r="F4342" s="27" t="s">
        <v>48</v>
      </c>
      <c r="G4342" s="18" t="s">
        <v>35</v>
      </c>
      <c r="H4342" s="40" t="s">
        <v>35</v>
      </c>
      <c r="I4342" s="37" t="s">
        <v>36</v>
      </c>
      <c r="J4342" s="25" t="s">
        <v>49</v>
      </c>
      <c r="K4342" s="26" t="s">
        <v>38</v>
      </c>
      <c r="L4342" s="72">
        <v>13385.0</v>
      </c>
      <c r="M4342" s="49" t="s">
        <v>50</v>
      </c>
      <c r="N4342" s="42" t="s">
        <v>5936</v>
      </c>
      <c r="O4342" s="67">
        <v>45849.612467824074</v>
      </c>
      <c r="P4342" s="35" t="s">
        <v>17095</v>
      </c>
      <c r="Q4342" s="13" t="s">
        <v>75</v>
      </c>
      <c r="R4342" s="13" t="s">
        <v>75</v>
      </c>
      <c r="S4342" s="13" t="s">
        <v>9620</v>
      </c>
      <c r="T4342" s="44">
        <v>45834.7268708912</v>
      </c>
      <c r="U4342" s="44">
        <v>45835.39813599537</v>
      </c>
      <c r="V4342" s="44">
        <v>45847.489206087965</v>
      </c>
      <c r="W4342" s="11"/>
      <c r="X4342" s="11"/>
      <c r="Y4342" s="45">
        <v>302.0</v>
      </c>
      <c r="Z4342" s="45" t="s">
        <v>17096</v>
      </c>
      <c r="AA4342" s="31"/>
      <c r="AB4342" s="45" t="s">
        <v>17097</v>
      </c>
      <c r="AC4342" s="45"/>
    </row>
    <row r="4343" ht="18.75" customHeight="1">
      <c r="A4343" s="142" t="s">
        <v>17098</v>
      </c>
      <c r="B4343" s="19" t="s">
        <v>8459</v>
      </c>
      <c r="C4343" s="20">
        <v>90.0</v>
      </c>
      <c r="D4343" s="39" t="s">
        <v>17099</v>
      </c>
      <c r="E4343" s="27" t="s">
        <v>91</v>
      </c>
      <c r="F4343" s="27" t="s">
        <v>48</v>
      </c>
      <c r="G4343" s="18" t="s">
        <v>35</v>
      </c>
      <c r="H4343" s="40" t="s">
        <v>35</v>
      </c>
      <c r="I4343" s="37" t="s">
        <v>36</v>
      </c>
      <c r="J4343" s="25" t="s">
        <v>49</v>
      </c>
      <c r="K4343" s="26" t="s">
        <v>1506</v>
      </c>
      <c r="L4343" s="72">
        <v>13315.0</v>
      </c>
      <c r="M4343" s="49" t="s">
        <v>73</v>
      </c>
      <c r="N4343" s="42" t="s">
        <v>9953</v>
      </c>
      <c r="O4343" s="67">
        <v>45838.6393420949</v>
      </c>
      <c r="P4343" s="35" t="s">
        <v>17100</v>
      </c>
      <c r="Q4343" s="13" t="s">
        <v>75</v>
      </c>
      <c r="R4343" s="13" t="s">
        <v>75</v>
      </c>
      <c r="S4343" s="13" t="s">
        <v>50</v>
      </c>
      <c r="T4343" s="44">
        <v>45835.50050521991</v>
      </c>
      <c r="U4343" s="44">
        <v>45835.593397766206</v>
      </c>
      <c r="V4343" s="44">
        <v>45838.376674259256</v>
      </c>
      <c r="W4343" s="11"/>
      <c r="X4343" s="11"/>
      <c r="Y4343" s="45">
        <v>302.0</v>
      </c>
      <c r="Z4343" s="45" t="s">
        <v>17101</v>
      </c>
      <c r="AA4343" s="31"/>
      <c r="AB4343" s="45" t="s">
        <v>17102</v>
      </c>
      <c r="AC4343" s="45"/>
    </row>
    <row r="4344" ht="18.75" customHeight="1">
      <c r="A4344" s="142" t="s">
        <v>17103</v>
      </c>
      <c r="B4344" s="19" t="s">
        <v>12697</v>
      </c>
      <c r="C4344" s="20">
        <v>90.0</v>
      </c>
      <c r="D4344" s="39" t="s">
        <v>17104</v>
      </c>
      <c r="E4344" s="27" t="s">
        <v>91</v>
      </c>
      <c r="F4344" s="27" t="s">
        <v>48</v>
      </c>
      <c r="G4344" s="18" t="s">
        <v>35</v>
      </c>
      <c r="H4344" s="40" t="s">
        <v>35</v>
      </c>
      <c r="I4344" s="37" t="s">
        <v>36</v>
      </c>
      <c r="J4344" s="25" t="s">
        <v>49</v>
      </c>
      <c r="K4344" s="26" t="s">
        <v>38</v>
      </c>
      <c r="L4344" s="72">
        <v>13311.0</v>
      </c>
      <c r="M4344" s="49" t="s">
        <v>50</v>
      </c>
      <c r="N4344" s="42" t="s">
        <v>143</v>
      </c>
      <c r="O4344" s="67">
        <v>45835.59435033565</v>
      </c>
      <c r="P4344" s="35" t="s">
        <v>15666</v>
      </c>
      <c r="Q4344" s="13" t="s">
        <v>75</v>
      </c>
      <c r="R4344" s="13" t="s">
        <v>75</v>
      </c>
      <c r="S4344" s="13" t="s">
        <v>50</v>
      </c>
      <c r="T4344" s="44">
        <v>45835.49555627315</v>
      </c>
      <c r="U4344" s="44">
        <v>45835.49558181713</v>
      </c>
      <c r="V4344" s="44">
        <v>45835.556680775466</v>
      </c>
      <c r="W4344" s="11"/>
      <c r="X4344" s="11"/>
      <c r="Y4344" s="45">
        <v>302.0</v>
      </c>
      <c r="Z4344" s="45" t="s">
        <v>17105</v>
      </c>
      <c r="AA4344" s="31"/>
      <c r="AB4344" s="45" t="s">
        <v>17106</v>
      </c>
      <c r="AC4344" s="45"/>
    </row>
    <row r="4345" ht="18.75" customHeight="1">
      <c r="A4345" s="142" t="s">
        <v>17107</v>
      </c>
      <c r="B4345" s="19" t="s">
        <v>7708</v>
      </c>
      <c r="C4345" s="20">
        <v>11.0</v>
      </c>
      <c r="D4345" s="39" t="s">
        <v>17108</v>
      </c>
      <c r="E4345" s="27" t="s">
        <v>112</v>
      </c>
      <c r="F4345" s="27" t="s">
        <v>48</v>
      </c>
      <c r="G4345" s="18" t="s">
        <v>35</v>
      </c>
      <c r="H4345" s="40" t="s">
        <v>35</v>
      </c>
      <c r="I4345" s="37" t="s">
        <v>36</v>
      </c>
      <c r="J4345" s="25" t="s">
        <v>49</v>
      </c>
      <c r="K4345" s="26" t="s">
        <v>17109</v>
      </c>
      <c r="L4345" s="72">
        <v>13334.0</v>
      </c>
      <c r="M4345" s="49" t="s">
        <v>50</v>
      </c>
      <c r="N4345" s="42" t="s">
        <v>5936</v>
      </c>
      <c r="O4345" s="67">
        <v>45840.633483125</v>
      </c>
      <c r="P4345" s="35" t="s">
        <v>17110</v>
      </c>
      <c r="Q4345" s="13" t="s">
        <v>75</v>
      </c>
      <c r="R4345" s="13" t="s">
        <v>75</v>
      </c>
      <c r="S4345" s="13" t="s">
        <v>50</v>
      </c>
      <c r="T4345" s="44">
        <v>45835.49939950231</v>
      </c>
      <c r="U4345" s="44">
        <v>45840.406464699074</v>
      </c>
      <c r="V4345" s="44">
        <v>45840.41381732639</v>
      </c>
      <c r="W4345" s="11"/>
      <c r="X4345" s="11"/>
      <c r="Y4345" s="45">
        <v>302.0</v>
      </c>
      <c r="Z4345" s="45" t="s">
        <v>17111</v>
      </c>
      <c r="AA4345" s="31"/>
      <c r="AB4345" s="45" t="s">
        <v>17112</v>
      </c>
      <c r="AC4345" s="45"/>
    </row>
    <row r="4346" ht="18.75" customHeight="1">
      <c r="A4346" s="142" t="s">
        <v>17113</v>
      </c>
      <c r="B4346" s="19" t="s">
        <v>17114</v>
      </c>
      <c r="C4346" s="20">
        <v>27.0</v>
      </c>
      <c r="D4346" s="39" t="s">
        <v>17115</v>
      </c>
      <c r="E4346" s="27" t="s">
        <v>72</v>
      </c>
      <c r="F4346" s="27" t="s">
        <v>48</v>
      </c>
      <c r="G4346" s="18" t="s">
        <v>35</v>
      </c>
      <c r="H4346" s="40" t="s">
        <v>35</v>
      </c>
      <c r="I4346" s="37" t="s">
        <v>36</v>
      </c>
      <c r="J4346" s="25" t="s">
        <v>65</v>
      </c>
      <c r="K4346" s="26" t="s">
        <v>38</v>
      </c>
      <c r="L4346" s="72">
        <v>13325.0</v>
      </c>
      <c r="M4346" s="49" t="s">
        <v>50</v>
      </c>
      <c r="N4346" s="42" t="s">
        <v>14854</v>
      </c>
      <c r="O4346" s="67">
        <v>45839.66858017361</v>
      </c>
      <c r="P4346" s="35" t="s">
        <v>13574</v>
      </c>
      <c r="Q4346" s="13" t="s">
        <v>75</v>
      </c>
      <c r="R4346" s="13" t="s">
        <v>75</v>
      </c>
      <c r="S4346" s="13" t="s">
        <v>50</v>
      </c>
      <c r="T4346" s="44">
        <v>45838.62043206018</v>
      </c>
      <c r="U4346" s="44">
        <v>45838.630773055556</v>
      </c>
      <c r="V4346" s="44">
        <v>45839.37758246528</v>
      </c>
      <c r="W4346" s="11"/>
      <c r="X4346" s="11"/>
      <c r="Y4346" s="45">
        <v>302.0</v>
      </c>
      <c r="Z4346" s="45" t="s">
        <v>17116</v>
      </c>
      <c r="AA4346" s="31"/>
      <c r="AB4346" s="45" t="s">
        <v>17117</v>
      </c>
      <c r="AC4346" s="45"/>
    </row>
    <row r="4347" ht="18.75" customHeight="1">
      <c r="A4347" s="142" t="s">
        <v>17118</v>
      </c>
      <c r="B4347" s="19" t="s">
        <v>96</v>
      </c>
      <c r="C4347" s="20">
        <v>0.0</v>
      </c>
      <c r="D4347" s="39" t="s">
        <v>17119</v>
      </c>
      <c r="E4347" s="27" t="s">
        <v>3441</v>
      </c>
      <c r="F4347" s="27" t="s">
        <v>48</v>
      </c>
      <c r="G4347" s="18" t="s">
        <v>35</v>
      </c>
      <c r="H4347" s="40" t="s">
        <v>35</v>
      </c>
      <c r="I4347" s="37" t="s">
        <v>36</v>
      </c>
      <c r="J4347" s="25" t="s">
        <v>49</v>
      </c>
      <c r="K4347" s="26" t="s">
        <v>38</v>
      </c>
      <c r="L4347" s="72">
        <v>13318.0</v>
      </c>
      <c r="M4347" s="49" t="s">
        <v>73</v>
      </c>
      <c r="N4347" s="42" t="s">
        <v>9953</v>
      </c>
      <c r="O4347" s="67">
        <v>45838.63939471065</v>
      </c>
      <c r="P4347" s="35" t="s">
        <v>17120</v>
      </c>
      <c r="Q4347" s="13" t="s">
        <v>75</v>
      </c>
      <c r="R4347" s="13" t="s">
        <v>75</v>
      </c>
      <c r="S4347" s="13" t="s">
        <v>50</v>
      </c>
      <c r="T4347" s="44">
        <v>45838.38662226852</v>
      </c>
      <c r="U4347" s="44">
        <v>45838.423660370376</v>
      </c>
      <c r="V4347" s="44">
        <v>45838.50128091435</v>
      </c>
      <c r="W4347" s="11"/>
      <c r="X4347" s="11"/>
      <c r="Y4347" s="45">
        <v>302.0</v>
      </c>
      <c r="Z4347" s="45" t="s">
        <v>17121</v>
      </c>
      <c r="AA4347" s="31"/>
      <c r="AB4347" s="45" t="s">
        <v>17122</v>
      </c>
      <c r="AC4347" s="45"/>
    </row>
    <row r="4348" ht="18.75" customHeight="1">
      <c r="A4348" s="18" t="s">
        <v>17123</v>
      </c>
      <c r="B4348" s="19" t="s">
        <v>17124</v>
      </c>
      <c r="C4348" s="20">
        <v>0.0</v>
      </c>
      <c r="D4348" s="179"/>
      <c r="E4348" s="27" t="s">
        <v>12405</v>
      </c>
      <c r="F4348" s="27" t="s">
        <v>48</v>
      </c>
      <c r="G4348" s="18" t="s">
        <v>35</v>
      </c>
      <c r="H4348" s="40" t="s">
        <v>35</v>
      </c>
      <c r="I4348" s="24" t="s">
        <v>665</v>
      </c>
      <c r="J4348" s="25" t="s">
        <v>49</v>
      </c>
      <c r="K4348" s="26" t="s">
        <v>38</v>
      </c>
      <c r="L4348" s="72">
        <v>13406.0</v>
      </c>
      <c r="M4348" s="49" t="s">
        <v>50</v>
      </c>
      <c r="N4348" s="42" t="s">
        <v>17048</v>
      </c>
      <c r="O4348" s="67">
        <v>45853.588435972226</v>
      </c>
      <c r="P4348" s="35" t="s">
        <v>17125</v>
      </c>
      <c r="Q4348" s="13" t="s">
        <v>75</v>
      </c>
      <c r="R4348" s="13" t="s">
        <v>75</v>
      </c>
      <c r="S4348" s="13" t="s">
        <v>9620</v>
      </c>
      <c r="T4348" s="44">
        <v>45849.68135731481</v>
      </c>
      <c r="U4348" s="44">
        <v>45849.68153611111</v>
      </c>
      <c r="V4348" s="44">
        <v>45852.65587436342</v>
      </c>
      <c r="W4348" s="11"/>
      <c r="X4348" s="11"/>
      <c r="Y4348" s="45">
        <v>302.0</v>
      </c>
      <c r="Z4348" s="45" t="s">
        <v>17126</v>
      </c>
      <c r="AA4348" s="31"/>
      <c r="AB4348" s="45" t="s">
        <v>17127</v>
      </c>
      <c r="AC4348" s="45"/>
    </row>
    <row r="4349" ht="18.75" customHeight="1">
      <c r="A4349" s="18" t="s">
        <v>17128</v>
      </c>
      <c r="B4349" s="19" t="s">
        <v>17124</v>
      </c>
      <c r="C4349" s="20">
        <v>0.0</v>
      </c>
      <c r="D4349" s="179"/>
      <c r="E4349" s="27" t="s">
        <v>12405</v>
      </c>
      <c r="F4349" s="27" t="s">
        <v>48</v>
      </c>
      <c r="G4349" s="18" t="s">
        <v>35</v>
      </c>
      <c r="H4349" s="40" t="s">
        <v>35</v>
      </c>
      <c r="I4349" s="24" t="s">
        <v>665</v>
      </c>
      <c r="J4349" s="25" t="s">
        <v>49</v>
      </c>
      <c r="K4349" s="26" t="s">
        <v>38</v>
      </c>
      <c r="L4349" s="72">
        <v>13406.0</v>
      </c>
      <c r="M4349" s="49" t="s">
        <v>50</v>
      </c>
      <c r="N4349" s="42" t="s">
        <v>17048</v>
      </c>
      <c r="O4349" s="67">
        <v>45853.58850103009</v>
      </c>
      <c r="P4349" s="35" t="s">
        <v>17129</v>
      </c>
      <c r="Q4349" s="13" t="s">
        <v>75</v>
      </c>
      <c r="R4349" s="13" t="s">
        <v>75</v>
      </c>
      <c r="S4349" s="13" t="s">
        <v>9620</v>
      </c>
      <c r="T4349" s="44">
        <v>45849.68141636574</v>
      </c>
      <c r="U4349" s="44">
        <v>45849.68150730324</v>
      </c>
      <c r="V4349" s="44">
        <v>45852.655874375</v>
      </c>
      <c r="W4349" s="11"/>
      <c r="X4349" s="11"/>
      <c r="Y4349" s="45">
        <v>302.0</v>
      </c>
      <c r="Z4349" s="45" t="s">
        <v>17130</v>
      </c>
      <c r="AA4349" s="31"/>
      <c r="AB4349" s="45" t="s">
        <v>17131</v>
      </c>
      <c r="AC4349" s="45"/>
    </row>
    <row r="4350" ht="18.75" customHeight="1">
      <c r="A4350" s="18" t="s">
        <v>17132</v>
      </c>
      <c r="B4350" s="19" t="s">
        <v>17124</v>
      </c>
      <c r="C4350" s="20">
        <v>0.0</v>
      </c>
      <c r="D4350" s="179"/>
      <c r="E4350" s="27" t="s">
        <v>12405</v>
      </c>
      <c r="F4350" s="27" t="s">
        <v>48</v>
      </c>
      <c r="G4350" s="18" t="s">
        <v>35</v>
      </c>
      <c r="H4350" s="40" t="s">
        <v>35</v>
      </c>
      <c r="I4350" s="24" t="s">
        <v>665</v>
      </c>
      <c r="J4350" s="25" t="s">
        <v>49</v>
      </c>
      <c r="K4350" s="26" t="s">
        <v>38</v>
      </c>
      <c r="L4350" s="72">
        <v>13406.0</v>
      </c>
      <c r="M4350" s="49" t="s">
        <v>50</v>
      </c>
      <c r="N4350" s="42" t="s">
        <v>17048</v>
      </c>
      <c r="O4350" s="67">
        <v>45853.58857083334</v>
      </c>
      <c r="P4350" s="35" t="s">
        <v>17133</v>
      </c>
      <c r="Q4350" s="13" t="s">
        <v>75</v>
      </c>
      <c r="R4350" s="13" t="s">
        <v>75</v>
      </c>
      <c r="S4350" s="13" t="s">
        <v>9620</v>
      </c>
      <c r="T4350" s="44">
        <v>45849.68146261574</v>
      </c>
      <c r="U4350" s="44">
        <v>45849.681478495375</v>
      </c>
      <c r="V4350" s="44">
        <v>45852.655954421294</v>
      </c>
      <c r="W4350" s="11"/>
      <c r="X4350" s="11"/>
      <c r="Y4350" s="45">
        <v>302.0</v>
      </c>
      <c r="Z4350" s="45" t="s">
        <v>17134</v>
      </c>
      <c r="AA4350" s="31"/>
      <c r="AB4350" s="45" t="s">
        <v>17135</v>
      </c>
      <c r="AC4350" s="45"/>
    </row>
    <row r="4351" ht="18.75" customHeight="1">
      <c r="A4351" s="142" t="s">
        <v>17136</v>
      </c>
      <c r="B4351" s="19" t="s">
        <v>17137</v>
      </c>
      <c r="C4351" s="20">
        <v>137.0</v>
      </c>
      <c r="D4351" s="39" t="s">
        <v>17138</v>
      </c>
      <c r="E4351" s="27" t="s">
        <v>85</v>
      </c>
      <c r="F4351" s="27" t="s">
        <v>48</v>
      </c>
      <c r="G4351" s="18" t="s">
        <v>35</v>
      </c>
      <c r="H4351" s="40" t="s">
        <v>35</v>
      </c>
      <c r="I4351" s="37" t="s">
        <v>36</v>
      </c>
      <c r="J4351" s="25" t="s">
        <v>420</v>
      </c>
      <c r="K4351" s="26" t="s">
        <v>38</v>
      </c>
      <c r="L4351" s="72">
        <v>13326.0</v>
      </c>
      <c r="M4351" s="49" t="s">
        <v>50</v>
      </c>
      <c r="N4351" s="42" t="s">
        <v>4031</v>
      </c>
      <c r="O4351" s="67">
        <v>45839.5617379051</v>
      </c>
      <c r="P4351" s="35" t="s">
        <v>16414</v>
      </c>
      <c r="Q4351" s="13" t="s">
        <v>75</v>
      </c>
      <c r="R4351" s="13" t="s">
        <v>75</v>
      </c>
      <c r="S4351" s="13" t="s">
        <v>50</v>
      </c>
      <c r="T4351" s="44">
        <v>45838.452029479166</v>
      </c>
      <c r="U4351" s="44">
        <v>45839.36987898148</v>
      </c>
      <c r="V4351" s="44">
        <v>45839.37768439815</v>
      </c>
      <c r="W4351" s="11"/>
      <c r="X4351" s="11"/>
      <c r="Y4351" s="45">
        <v>302.0</v>
      </c>
      <c r="Z4351" s="45" t="s">
        <v>17139</v>
      </c>
      <c r="AA4351" s="31"/>
      <c r="AB4351" s="45" t="s">
        <v>17140</v>
      </c>
      <c r="AC4351" s="45"/>
    </row>
    <row r="4352" ht="18.75" customHeight="1">
      <c r="A4352" s="142" t="s">
        <v>17141</v>
      </c>
      <c r="B4352" s="19" t="s">
        <v>3121</v>
      </c>
      <c r="C4352" s="20">
        <v>27.0</v>
      </c>
      <c r="D4352" s="39" t="s">
        <v>17142</v>
      </c>
      <c r="E4352" s="27" t="s">
        <v>72</v>
      </c>
      <c r="F4352" s="27" t="s">
        <v>48</v>
      </c>
      <c r="G4352" s="18" t="s">
        <v>35</v>
      </c>
      <c r="H4352" s="40" t="s">
        <v>35</v>
      </c>
      <c r="I4352" s="37" t="s">
        <v>36</v>
      </c>
      <c r="J4352" s="25" t="s">
        <v>92</v>
      </c>
      <c r="K4352" s="26" t="s">
        <v>38</v>
      </c>
      <c r="L4352" s="72">
        <v>13327.0</v>
      </c>
      <c r="M4352" s="49" t="s">
        <v>73</v>
      </c>
      <c r="N4352" s="42" t="s">
        <v>13255</v>
      </c>
      <c r="O4352" s="67">
        <v>45867.599441388884</v>
      </c>
      <c r="P4352" s="35" t="s">
        <v>13574</v>
      </c>
      <c r="Q4352" s="13" t="s">
        <v>75</v>
      </c>
      <c r="R4352" s="13" t="s">
        <v>75</v>
      </c>
      <c r="S4352" s="13" t="s">
        <v>50</v>
      </c>
      <c r="T4352" s="44">
        <v>45838.4543677662</v>
      </c>
      <c r="U4352" s="44">
        <v>45839.37070331018</v>
      </c>
      <c r="V4352" s="44">
        <v>45839.40916599537</v>
      </c>
      <c r="W4352" s="11"/>
      <c r="X4352" s="11"/>
      <c r="Y4352" s="45">
        <v>302.0</v>
      </c>
      <c r="Z4352" s="45" t="s">
        <v>17143</v>
      </c>
      <c r="AA4352" s="31"/>
      <c r="AB4352" s="45" t="s">
        <v>17144</v>
      </c>
      <c r="AC4352" s="45"/>
    </row>
    <row r="4353" ht="18.75" customHeight="1">
      <c r="A4353" s="142" t="s">
        <v>17145</v>
      </c>
      <c r="B4353" s="19" t="s">
        <v>3636</v>
      </c>
      <c r="C4353" s="20">
        <v>137.0</v>
      </c>
      <c r="D4353" s="39" t="s">
        <v>17146</v>
      </c>
      <c r="E4353" s="27" t="s">
        <v>85</v>
      </c>
      <c r="F4353" s="27" t="s">
        <v>48</v>
      </c>
      <c r="G4353" s="18" t="s">
        <v>35</v>
      </c>
      <c r="H4353" s="40" t="s">
        <v>35</v>
      </c>
      <c r="I4353" s="37" t="s">
        <v>36</v>
      </c>
      <c r="J4353" s="25" t="s">
        <v>49</v>
      </c>
      <c r="K4353" s="26" t="s">
        <v>38</v>
      </c>
      <c r="L4353" s="72">
        <v>13328.0</v>
      </c>
      <c r="M4353" s="49" t="s">
        <v>50</v>
      </c>
      <c r="N4353" s="42" t="s">
        <v>143</v>
      </c>
      <c r="O4353" s="67">
        <v>45839.68401979167</v>
      </c>
      <c r="P4353" s="35" t="s">
        <v>17147</v>
      </c>
      <c r="Q4353" s="13" t="s">
        <v>75</v>
      </c>
      <c r="R4353" s="13" t="s">
        <v>75</v>
      </c>
      <c r="S4353" s="13" t="s">
        <v>50</v>
      </c>
      <c r="T4353" s="44">
        <v>45838.45782445602</v>
      </c>
      <c r="U4353" s="44">
        <v>45838.636268437505</v>
      </c>
      <c r="V4353" s="44">
        <v>45839.373170555555</v>
      </c>
      <c r="W4353" s="11"/>
      <c r="X4353" s="11"/>
      <c r="Y4353" s="45">
        <v>302.0</v>
      </c>
      <c r="Z4353" s="45" t="s">
        <v>17148</v>
      </c>
      <c r="AA4353" s="31"/>
      <c r="AB4353" s="45" t="s">
        <v>17149</v>
      </c>
      <c r="AC4353" s="45"/>
    </row>
    <row r="4354" ht="18.75" customHeight="1">
      <c r="A4354" s="142" t="s">
        <v>17150</v>
      </c>
      <c r="B4354" s="19" t="s">
        <v>9674</v>
      </c>
      <c r="C4354" s="20">
        <v>1.0</v>
      </c>
      <c r="D4354" s="39" t="s">
        <v>17151</v>
      </c>
      <c r="E4354" s="27" t="s">
        <v>3395</v>
      </c>
      <c r="F4354" s="27" t="s">
        <v>48</v>
      </c>
      <c r="G4354" s="18" t="s">
        <v>35</v>
      </c>
      <c r="H4354" s="40" t="s">
        <v>35</v>
      </c>
      <c r="I4354" s="37" t="s">
        <v>36</v>
      </c>
      <c r="J4354" s="25" t="s">
        <v>49</v>
      </c>
      <c r="K4354" s="26" t="s">
        <v>38</v>
      </c>
      <c r="L4354" s="72">
        <v>13329.0</v>
      </c>
      <c r="M4354" s="49" t="s">
        <v>50</v>
      </c>
      <c r="N4354" s="42" t="s">
        <v>143</v>
      </c>
      <c r="O4354" s="67">
        <v>45839.68298344908</v>
      </c>
      <c r="P4354" s="35" t="s">
        <v>15666</v>
      </c>
      <c r="Q4354" s="13" t="s">
        <v>75</v>
      </c>
      <c r="R4354" s="13" t="s">
        <v>75</v>
      </c>
      <c r="S4354" s="13" t="s">
        <v>50</v>
      </c>
      <c r="T4354" s="44">
        <v>45838.56528804398</v>
      </c>
      <c r="U4354" s="44">
        <v>45838.57111082176</v>
      </c>
      <c r="V4354" s="44">
        <v>45839.364952881944</v>
      </c>
      <c r="W4354" s="11"/>
      <c r="X4354" s="11"/>
      <c r="Y4354" s="45">
        <v>302.0</v>
      </c>
      <c r="Z4354" s="45" t="s">
        <v>17152</v>
      </c>
      <c r="AA4354" s="31"/>
      <c r="AB4354" s="45" t="s">
        <v>17153</v>
      </c>
      <c r="AC4354" s="45"/>
    </row>
    <row r="4355" ht="18.75" customHeight="1">
      <c r="A4355" s="142" t="s">
        <v>17154</v>
      </c>
      <c r="B4355" s="19" t="s">
        <v>17155</v>
      </c>
      <c r="C4355" s="20">
        <v>11.0</v>
      </c>
      <c r="D4355" s="39" t="s">
        <v>17156</v>
      </c>
      <c r="E4355" s="27" t="s">
        <v>112</v>
      </c>
      <c r="F4355" s="27" t="s">
        <v>48</v>
      </c>
      <c r="G4355" s="18" t="s">
        <v>35</v>
      </c>
      <c r="H4355" s="40" t="s">
        <v>35</v>
      </c>
      <c r="I4355" s="37" t="s">
        <v>36</v>
      </c>
      <c r="J4355" s="25" t="s">
        <v>92</v>
      </c>
      <c r="K4355" s="26" t="s">
        <v>38</v>
      </c>
      <c r="L4355" s="72">
        <v>13330.0</v>
      </c>
      <c r="M4355" s="49" t="s">
        <v>73</v>
      </c>
      <c r="N4355" s="42" t="s">
        <v>13864</v>
      </c>
      <c r="O4355" s="67">
        <v>45873.64520814815</v>
      </c>
      <c r="P4355" s="35" t="s">
        <v>13574</v>
      </c>
      <c r="Q4355" s="13" t="s">
        <v>75</v>
      </c>
      <c r="R4355" s="13" t="s">
        <v>75</v>
      </c>
      <c r="S4355" s="13" t="s">
        <v>50</v>
      </c>
      <c r="T4355" s="44">
        <v>45838.56599283565</v>
      </c>
      <c r="U4355" s="44">
        <v>45839.372792291666</v>
      </c>
      <c r="V4355" s="44">
        <v>45839.40916599537</v>
      </c>
      <c r="W4355" s="11"/>
      <c r="X4355" s="11"/>
      <c r="Y4355" s="45">
        <v>302.0</v>
      </c>
      <c r="Z4355" s="45" t="s">
        <v>17157</v>
      </c>
      <c r="AA4355" s="31"/>
      <c r="AB4355" s="45" t="s">
        <v>17158</v>
      </c>
      <c r="AC4355" s="45"/>
    </row>
    <row r="4356" ht="18.75" customHeight="1">
      <c r="A4356" s="142" t="s">
        <v>17159</v>
      </c>
      <c r="B4356" s="19" t="s">
        <v>17160</v>
      </c>
      <c r="C4356" s="20">
        <v>27.0</v>
      </c>
      <c r="D4356" s="39" t="s">
        <v>17161</v>
      </c>
      <c r="E4356" s="27" t="s">
        <v>72</v>
      </c>
      <c r="F4356" s="27" t="s">
        <v>48</v>
      </c>
      <c r="G4356" s="18" t="s">
        <v>35</v>
      </c>
      <c r="H4356" s="40" t="s">
        <v>35</v>
      </c>
      <c r="I4356" s="37" t="s">
        <v>36</v>
      </c>
      <c r="J4356" s="25" t="s">
        <v>49</v>
      </c>
      <c r="K4356" s="26" t="s">
        <v>238</v>
      </c>
      <c r="L4356" s="72">
        <v>13375.0</v>
      </c>
      <c r="M4356" s="49" t="s">
        <v>50</v>
      </c>
      <c r="N4356" s="42" t="s">
        <v>143</v>
      </c>
      <c r="O4356" s="67">
        <v>45847.601872824074</v>
      </c>
      <c r="P4356" s="35" t="s">
        <v>17162</v>
      </c>
      <c r="Q4356" s="13" t="s">
        <v>75</v>
      </c>
      <c r="R4356" s="13" t="s">
        <v>75</v>
      </c>
      <c r="S4356" s="13" t="s">
        <v>50</v>
      </c>
      <c r="T4356" s="44">
        <v>45838.850693125</v>
      </c>
      <c r="U4356" s="44">
        <v>45847.48964170139</v>
      </c>
      <c r="V4356" s="44">
        <v>45847.49499923611</v>
      </c>
      <c r="W4356" s="11"/>
      <c r="X4356" s="11"/>
      <c r="Y4356" s="45">
        <v>302.0</v>
      </c>
      <c r="Z4356" s="45" t="s">
        <v>17163</v>
      </c>
      <c r="AA4356" s="31"/>
      <c r="AB4356" s="45" t="s">
        <v>17164</v>
      </c>
      <c r="AC4356" s="45"/>
    </row>
    <row r="4357" ht="18.75" customHeight="1">
      <c r="A4357" s="142" t="s">
        <v>17165</v>
      </c>
      <c r="B4357" s="19" t="s">
        <v>4472</v>
      </c>
      <c r="C4357" s="20">
        <v>34.0</v>
      </c>
      <c r="D4357" s="39" t="s">
        <v>17166</v>
      </c>
      <c r="E4357" s="27" t="s">
        <v>47</v>
      </c>
      <c r="F4357" s="27" t="s">
        <v>48</v>
      </c>
      <c r="G4357" s="18" t="s">
        <v>35</v>
      </c>
      <c r="H4357" s="40" t="s">
        <v>35</v>
      </c>
      <c r="I4357" s="37" t="s">
        <v>36</v>
      </c>
      <c r="J4357" s="25" t="s">
        <v>49</v>
      </c>
      <c r="K4357" s="26" t="s">
        <v>38</v>
      </c>
      <c r="L4357" s="72">
        <v>13333.0</v>
      </c>
      <c r="M4357" s="49" t="s">
        <v>50</v>
      </c>
      <c r="N4357" s="42" t="s">
        <v>5936</v>
      </c>
      <c r="O4357" s="67">
        <v>45840.633406030094</v>
      </c>
      <c r="P4357" s="35" t="s">
        <v>15666</v>
      </c>
      <c r="Q4357" s="13" t="s">
        <v>75</v>
      </c>
      <c r="R4357" s="13" t="s">
        <v>75</v>
      </c>
      <c r="S4357" s="13" t="s">
        <v>50</v>
      </c>
      <c r="T4357" s="44">
        <v>45838.85222383102</v>
      </c>
      <c r="U4357" s="44">
        <v>45839.67171733796</v>
      </c>
      <c r="V4357" s="44">
        <v>45840.3529384838</v>
      </c>
      <c r="W4357" s="11"/>
      <c r="X4357" s="11"/>
      <c r="Y4357" s="45">
        <v>302.0</v>
      </c>
      <c r="Z4357" s="45" t="s">
        <v>17167</v>
      </c>
      <c r="AA4357" s="31"/>
      <c r="AB4357" s="45" t="s">
        <v>17168</v>
      </c>
      <c r="AC4357" s="45"/>
    </row>
    <row r="4358" ht="18.75" customHeight="1">
      <c r="A4358" s="18" t="s">
        <v>17169</v>
      </c>
      <c r="B4358" s="19" t="s">
        <v>4885</v>
      </c>
      <c r="C4358" s="20">
        <v>33.0</v>
      </c>
      <c r="D4358" s="39" t="s">
        <v>17170</v>
      </c>
      <c r="E4358" s="27" t="s">
        <v>6133</v>
      </c>
      <c r="F4358" s="27" t="s">
        <v>48</v>
      </c>
      <c r="G4358" s="18" t="s">
        <v>35</v>
      </c>
      <c r="H4358" s="40" t="s">
        <v>35</v>
      </c>
      <c r="I4358" s="37" t="s">
        <v>36</v>
      </c>
      <c r="J4358" s="25" t="s">
        <v>92</v>
      </c>
      <c r="K4358" s="26" t="s">
        <v>38</v>
      </c>
      <c r="L4358" s="72">
        <v>13422.0</v>
      </c>
      <c r="M4358" s="49" t="s">
        <v>73</v>
      </c>
      <c r="N4358" s="42" t="s">
        <v>13864</v>
      </c>
      <c r="O4358" s="67">
        <v>45895.408072499995</v>
      </c>
      <c r="P4358" s="35" t="s">
        <v>17171</v>
      </c>
      <c r="Q4358" s="13" t="s">
        <v>75</v>
      </c>
      <c r="R4358" s="13" t="s">
        <v>75</v>
      </c>
      <c r="S4358" s="13" t="s">
        <v>73</v>
      </c>
      <c r="T4358" s="44">
        <v>45838.85310143519</v>
      </c>
      <c r="U4358" s="44">
        <v>45854.43011696759</v>
      </c>
      <c r="V4358" s="44">
        <v>45854.60853300926</v>
      </c>
      <c r="W4358" s="11"/>
      <c r="X4358" s="11"/>
      <c r="Y4358" s="45">
        <v>302.0</v>
      </c>
      <c r="Z4358" s="45" t="s">
        <v>17172</v>
      </c>
      <c r="AA4358" s="31"/>
      <c r="AB4358" s="45" t="s">
        <v>17173</v>
      </c>
      <c r="AC4358" s="45"/>
    </row>
    <row r="4359" ht="18.75" customHeight="1">
      <c r="A4359" s="18" t="s">
        <v>17174</v>
      </c>
      <c r="B4359" s="19" t="s">
        <v>4885</v>
      </c>
      <c r="C4359" s="20">
        <v>33.0</v>
      </c>
      <c r="D4359" s="39" t="s">
        <v>17175</v>
      </c>
      <c r="E4359" s="27" t="s">
        <v>6133</v>
      </c>
      <c r="F4359" s="27" t="s">
        <v>48</v>
      </c>
      <c r="G4359" s="18" t="s">
        <v>35</v>
      </c>
      <c r="H4359" s="40" t="s">
        <v>35</v>
      </c>
      <c r="I4359" s="37" t="s">
        <v>36</v>
      </c>
      <c r="J4359" s="25" t="s">
        <v>92</v>
      </c>
      <c r="K4359" s="26" t="s">
        <v>38</v>
      </c>
      <c r="L4359" s="72">
        <v>13422.0</v>
      </c>
      <c r="M4359" s="49" t="s">
        <v>73</v>
      </c>
      <c r="N4359" s="42" t="s">
        <v>13864</v>
      </c>
      <c r="O4359" s="67">
        <v>45895.40817782407</v>
      </c>
      <c r="P4359" s="35" t="s">
        <v>17171</v>
      </c>
      <c r="Q4359" s="13" t="s">
        <v>75</v>
      </c>
      <c r="R4359" s="13" t="s">
        <v>75</v>
      </c>
      <c r="S4359" s="13" t="s">
        <v>73</v>
      </c>
      <c r="T4359" s="44">
        <v>45838.854109085645</v>
      </c>
      <c r="U4359" s="44">
        <v>45854.43017064815</v>
      </c>
      <c r="V4359" s="44">
        <v>45854.60895716435</v>
      </c>
      <c r="W4359" s="11"/>
      <c r="X4359" s="11"/>
      <c r="Y4359" s="45">
        <v>302.0</v>
      </c>
      <c r="Z4359" s="45" t="s">
        <v>17176</v>
      </c>
      <c r="AA4359" s="31"/>
      <c r="AB4359" s="45" t="s">
        <v>17177</v>
      </c>
      <c r="AC4359" s="45"/>
    </row>
    <row r="4360" ht="18.75" customHeight="1">
      <c r="A4360" s="18" t="s">
        <v>17178</v>
      </c>
      <c r="B4360" s="19" t="s">
        <v>4885</v>
      </c>
      <c r="C4360" s="20">
        <v>33.0</v>
      </c>
      <c r="D4360" s="39" t="s">
        <v>17179</v>
      </c>
      <c r="E4360" s="27" t="s">
        <v>6133</v>
      </c>
      <c r="F4360" s="27" t="s">
        <v>48</v>
      </c>
      <c r="G4360" s="18" t="s">
        <v>35</v>
      </c>
      <c r="H4360" s="40" t="s">
        <v>35</v>
      </c>
      <c r="I4360" s="37" t="s">
        <v>36</v>
      </c>
      <c r="J4360" s="25" t="s">
        <v>92</v>
      </c>
      <c r="K4360" s="26" t="s">
        <v>38</v>
      </c>
      <c r="L4360" s="72">
        <v>13422.0</v>
      </c>
      <c r="M4360" s="49" t="s">
        <v>73</v>
      </c>
      <c r="N4360" s="42" t="s">
        <v>13864</v>
      </c>
      <c r="O4360" s="67">
        <v>45895.408215625</v>
      </c>
      <c r="P4360" s="35" t="s">
        <v>17171</v>
      </c>
      <c r="Q4360" s="13" t="s">
        <v>75</v>
      </c>
      <c r="R4360" s="13" t="s">
        <v>75</v>
      </c>
      <c r="S4360" s="13" t="s">
        <v>73</v>
      </c>
      <c r="T4360" s="44">
        <v>45838.85432560185</v>
      </c>
      <c r="U4360" s="44">
        <v>45854.43019363426</v>
      </c>
      <c r="V4360" s="44">
        <v>45854.60876688657</v>
      </c>
      <c r="W4360" s="11"/>
      <c r="X4360" s="11"/>
      <c r="Y4360" s="45">
        <v>302.0</v>
      </c>
      <c r="Z4360" s="45" t="s">
        <v>17180</v>
      </c>
      <c r="AA4360" s="31"/>
      <c r="AB4360" s="45" t="s">
        <v>17181</v>
      </c>
      <c r="AC4360" s="45"/>
    </row>
    <row r="4361" ht="18.75" customHeight="1">
      <c r="A4361" s="18" t="s">
        <v>17182</v>
      </c>
      <c r="B4361" s="19" t="s">
        <v>4885</v>
      </c>
      <c r="C4361" s="20">
        <v>33.0</v>
      </c>
      <c r="D4361" s="39" t="s">
        <v>17183</v>
      </c>
      <c r="E4361" s="27" t="s">
        <v>6133</v>
      </c>
      <c r="F4361" s="27" t="s">
        <v>48</v>
      </c>
      <c r="G4361" s="18" t="s">
        <v>35</v>
      </c>
      <c r="H4361" s="40" t="s">
        <v>35</v>
      </c>
      <c r="I4361" s="37" t="s">
        <v>36</v>
      </c>
      <c r="J4361" s="25" t="s">
        <v>92</v>
      </c>
      <c r="K4361" s="26" t="s">
        <v>38</v>
      </c>
      <c r="L4361" s="72">
        <v>13422.0</v>
      </c>
      <c r="M4361" s="49" t="s">
        <v>73</v>
      </c>
      <c r="N4361" s="42" t="s">
        <v>13864</v>
      </c>
      <c r="O4361" s="67">
        <v>45895.40825619213</v>
      </c>
      <c r="P4361" s="35" t="s">
        <v>17171</v>
      </c>
      <c r="Q4361" s="13" t="s">
        <v>75</v>
      </c>
      <c r="R4361" s="13" t="s">
        <v>75</v>
      </c>
      <c r="S4361" s="13" t="s">
        <v>73</v>
      </c>
      <c r="T4361" s="44">
        <v>45838.8544143287</v>
      </c>
      <c r="U4361" s="44">
        <v>45854.4302155787</v>
      </c>
      <c r="V4361" s="44">
        <v>45854.60885965278</v>
      </c>
      <c r="W4361" s="11"/>
      <c r="X4361" s="11"/>
      <c r="Y4361" s="45">
        <v>302.0</v>
      </c>
      <c r="Z4361" s="45" t="s">
        <v>17184</v>
      </c>
      <c r="AA4361" s="31"/>
      <c r="AB4361" s="45" t="s">
        <v>17185</v>
      </c>
      <c r="AC4361" s="45"/>
    </row>
    <row r="4362" ht="18.75" customHeight="1">
      <c r="A4362" s="18" t="s">
        <v>17186</v>
      </c>
      <c r="B4362" s="19" t="s">
        <v>4885</v>
      </c>
      <c r="C4362" s="20">
        <v>1.0</v>
      </c>
      <c r="D4362" s="39" t="s">
        <v>17187</v>
      </c>
      <c r="E4362" s="27" t="s">
        <v>3395</v>
      </c>
      <c r="F4362" s="27" t="s">
        <v>48</v>
      </c>
      <c r="G4362" s="18" t="s">
        <v>35</v>
      </c>
      <c r="H4362" s="40" t="s">
        <v>35</v>
      </c>
      <c r="I4362" s="37" t="s">
        <v>36</v>
      </c>
      <c r="J4362" s="25" t="s">
        <v>92</v>
      </c>
      <c r="K4362" s="26" t="s">
        <v>38</v>
      </c>
      <c r="L4362" s="72">
        <v>13422.0</v>
      </c>
      <c r="M4362" s="49" t="s">
        <v>73</v>
      </c>
      <c r="N4362" s="42" t="s">
        <v>13864</v>
      </c>
      <c r="O4362" s="67">
        <v>45895.40813351852</v>
      </c>
      <c r="P4362" s="35" t="s">
        <v>17171</v>
      </c>
      <c r="Q4362" s="13" t="s">
        <v>75</v>
      </c>
      <c r="R4362" s="13" t="s">
        <v>75</v>
      </c>
      <c r="S4362" s="13" t="s">
        <v>73</v>
      </c>
      <c r="T4362" s="44">
        <v>45838.85400736111</v>
      </c>
      <c r="U4362" s="44">
        <v>45854.43013987268</v>
      </c>
      <c r="V4362" s="44">
        <v>45854.60416033565</v>
      </c>
      <c r="W4362" s="11"/>
      <c r="X4362" s="11"/>
      <c r="Y4362" s="45">
        <v>302.0</v>
      </c>
      <c r="Z4362" s="45" t="s">
        <v>17188</v>
      </c>
      <c r="AA4362" s="31"/>
      <c r="AB4362" s="45" t="s">
        <v>17189</v>
      </c>
      <c r="AC4362" s="45"/>
    </row>
    <row r="4363" ht="18.75" customHeight="1">
      <c r="A4363" s="18" t="s">
        <v>17190</v>
      </c>
      <c r="B4363" s="19" t="s">
        <v>911</v>
      </c>
      <c r="C4363" s="20">
        <v>0.0</v>
      </c>
      <c r="D4363" s="179">
        <v>20126.0</v>
      </c>
      <c r="E4363" s="27" t="s">
        <v>14531</v>
      </c>
      <c r="F4363" s="27" t="s">
        <v>48</v>
      </c>
      <c r="G4363" s="18" t="s">
        <v>35</v>
      </c>
      <c r="H4363" s="40" t="s">
        <v>35</v>
      </c>
      <c r="I4363" s="37" t="s">
        <v>36</v>
      </c>
      <c r="J4363" s="25" t="s">
        <v>49</v>
      </c>
      <c r="K4363" s="26" t="s">
        <v>38</v>
      </c>
      <c r="L4363" s="72">
        <v>13373.0</v>
      </c>
      <c r="M4363" s="49" t="s">
        <v>50</v>
      </c>
      <c r="N4363" s="42" t="s">
        <v>143</v>
      </c>
      <c r="O4363" s="67">
        <v>45847.60193020833</v>
      </c>
      <c r="P4363" s="35" t="s">
        <v>17191</v>
      </c>
      <c r="Q4363" s="13" t="s">
        <v>75</v>
      </c>
      <c r="R4363" s="13" t="s">
        <v>75</v>
      </c>
      <c r="S4363" s="13" t="s">
        <v>9620</v>
      </c>
      <c r="T4363" s="44">
        <v>45839.38750099537</v>
      </c>
      <c r="U4363" s="44">
        <v>45839.47486243055</v>
      </c>
      <c r="V4363" s="44">
        <v>45846.517394016206</v>
      </c>
      <c r="W4363" s="11"/>
      <c r="X4363" s="11"/>
      <c r="Y4363" s="45">
        <v>302.0</v>
      </c>
      <c r="Z4363" s="45" t="s">
        <v>17192</v>
      </c>
      <c r="AA4363" s="31"/>
      <c r="AB4363" s="45" t="s">
        <v>17193</v>
      </c>
      <c r="AC4363" s="45"/>
    </row>
    <row r="4364" ht="18.75" customHeight="1">
      <c r="A4364" s="18" t="s">
        <v>17194</v>
      </c>
      <c r="B4364" s="19" t="s">
        <v>911</v>
      </c>
      <c r="C4364" s="20">
        <v>0.0</v>
      </c>
      <c r="D4364" s="179">
        <v>14047.0</v>
      </c>
      <c r="E4364" s="27" t="s">
        <v>1119</v>
      </c>
      <c r="F4364" s="27" t="s">
        <v>33</v>
      </c>
      <c r="G4364" s="18" t="s">
        <v>35</v>
      </c>
      <c r="H4364" s="40" t="s">
        <v>35</v>
      </c>
      <c r="I4364" s="37" t="s">
        <v>36</v>
      </c>
      <c r="J4364" s="25" t="s">
        <v>49</v>
      </c>
      <c r="K4364" s="26" t="s">
        <v>38</v>
      </c>
      <c r="L4364" s="72">
        <v>13373.0</v>
      </c>
      <c r="M4364" s="49" t="s">
        <v>50</v>
      </c>
      <c r="N4364" s="42" t="s">
        <v>143</v>
      </c>
      <c r="O4364" s="67">
        <v>45847.60198414352</v>
      </c>
      <c r="P4364" s="35" t="s">
        <v>17191</v>
      </c>
      <c r="Q4364" s="13" t="s">
        <v>75</v>
      </c>
      <c r="R4364" s="13" t="s">
        <v>75</v>
      </c>
      <c r="S4364" s="13" t="s">
        <v>9620</v>
      </c>
      <c r="T4364" s="44">
        <v>45839.390968576394</v>
      </c>
      <c r="U4364" s="44">
        <v>45839.47488877315</v>
      </c>
      <c r="V4364" s="44">
        <v>45846.30579077546</v>
      </c>
      <c r="W4364" s="11"/>
      <c r="X4364" s="11"/>
      <c r="Y4364" s="45">
        <v>302.0</v>
      </c>
      <c r="Z4364" s="45" t="s">
        <v>17195</v>
      </c>
      <c r="AA4364" s="31"/>
      <c r="AB4364" s="45" t="s">
        <v>17196</v>
      </c>
      <c r="AC4364" s="45"/>
    </row>
    <row r="4365" ht="18.75" customHeight="1">
      <c r="A4365" s="18" t="s">
        <v>17197</v>
      </c>
      <c r="B4365" s="19" t="s">
        <v>911</v>
      </c>
      <c r="C4365" s="20">
        <v>1.0</v>
      </c>
      <c r="D4365" s="179">
        <v>20124.0</v>
      </c>
      <c r="E4365" s="27" t="s">
        <v>15373</v>
      </c>
      <c r="F4365" s="27" t="s">
        <v>48</v>
      </c>
      <c r="G4365" s="18" t="s">
        <v>35</v>
      </c>
      <c r="H4365" s="40" t="s">
        <v>35</v>
      </c>
      <c r="I4365" s="37" t="s">
        <v>36</v>
      </c>
      <c r="J4365" s="25" t="s">
        <v>49</v>
      </c>
      <c r="K4365" s="26" t="s">
        <v>38</v>
      </c>
      <c r="L4365" s="72">
        <v>13373.0</v>
      </c>
      <c r="M4365" s="49" t="s">
        <v>50</v>
      </c>
      <c r="N4365" s="42" t="s">
        <v>143</v>
      </c>
      <c r="O4365" s="67">
        <v>45847.60204054398</v>
      </c>
      <c r="P4365" s="35" t="s">
        <v>17191</v>
      </c>
      <c r="Q4365" s="13" t="s">
        <v>75</v>
      </c>
      <c r="R4365" s="13" t="s">
        <v>75</v>
      </c>
      <c r="S4365" s="13" t="s">
        <v>73</v>
      </c>
      <c r="T4365" s="44">
        <v>45839.39102221065</v>
      </c>
      <c r="U4365" s="44">
        <v>45839.47491576389</v>
      </c>
      <c r="V4365" s="44">
        <v>45841.397672384264</v>
      </c>
      <c r="W4365" s="11"/>
      <c r="X4365" s="11"/>
      <c r="Y4365" s="45">
        <v>302.0</v>
      </c>
      <c r="Z4365" s="45" t="s">
        <v>17198</v>
      </c>
      <c r="AA4365" s="31"/>
      <c r="AB4365" s="45" t="s">
        <v>17199</v>
      </c>
      <c r="AC4365" s="45"/>
    </row>
    <row r="4366" ht="18.75" customHeight="1">
      <c r="A4366" s="18" t="s">
        <v>17200</v>
      </c>
      <c r="B4366" s="19" t="s">
        <v>911</v>
      </c>
      <c r="C4366" s="20">
        <v>0.0</v>
      </c>
      <c r="D4366" s="39" t="s">
        <v>17201</v>
      </c>
      <c r="E4366" s="27" t="s">
        <v>4430</v>
      </c>
      <c r="F4366" s="27" t="s">
        <v>48</v>
      </c>
      <c r="G4366" s="18" t="s">
        <v>35</v>
      </c>
      <c r="H4366" s="40" t="s">
        <v>35</v>
      </c>
      <c r="I4366" s="37" t="s">
        <v>36</v>
      </c>
      <c r="J4366" s="25" t="s">
        <v>49</v>
      </c>
      <c r="K4366" s="26" t="s">
        <v>38</v>
      </c>
      <c r="L4366" s="72">
        <v>13373.0</v>
      </c>
      <c r="M4366" s="49" t="s">
        <v>50</v>
      </c>
      <c r="N4366" s="42" t="s">
        <v>143</v>
      </c>
      <c r="O4366" s="67">
        <v>45847.602094444446</v>
      </c>
      <c r="P4366" s="35" t="s">
        <v>17191</v>
      </c>
      <c r="Q4366" s="13" t="s">
        <v>75</v>
      </c>
      <c r="R4366" s="13" t="s">
        <v>75</v>
      </c>
      <c r="S4366" s="13" t="s">
        <v>50</v>
      </c>
      <c r="T4366" s="44">
        <v>45839.39107570602</v>
      </c>
      <c r="U4366" s="44">
        <v>45839.47494247685</v>
      </c>
      <c r="V4366" s="44">
        <v>45845.575440925924</v>
      </c>
      <c r="W4366" s="11"/>
      <c r="X4366" s="11"/>
      <c r="Y4366" s="45">
        <v>302.0</v>
      </c>
      <c r="Z4366" s="45" t="s">
        <v>17202</v>
      </c>
      <c r="AA4366" s="31"/>
      <c r="AB4366" s="45" t="s">
        <v>17203</v>
      </c>
      <c r="AC4366" s="45"/>
    </row>
    <row r="4367" ht="18.75" customHeight="1">
      <c r="A4367" s="18" t="s">
        <v>17204</v>
      </c>
      <c r="B4367" s="19" t="s">
        <v>911</v>
      </c>
      <c r="C4367" s="20">
        <v>0.0</v>
      </c>
      <c r="D4367" s="39" t="s">
        <v>17205</v>
      </c>
      <c r="E4367" s="27" t="s">
        <v>3441</v>
      </c>
      <c r="F4367" s="27" t="s">
        <v>48</v>
      </c>
      <c r="G4367" s="18" t="s">
        <v>35</v>
      </c>
      <c r="H4367" s="40" t="s">
        <v>35</v>
      </c>
      <c r="I4367" s="37" t="s">
        <v>36</v>
      </c>
      <c r="J4367" s="25" t="s">
        <v>49</v>
      </c>
      <c r="K4367" s="26" t="s">
        <v>38</v>
      </c>
      <c r="L4367" s="72">
        <v>13373.0</v>
      </c>
      <c r="M4367" s="49" t="s">
        <v>50</v>
      </c>
      <c r="N4367" s="42" t="s">
        <v>143</v>
      </c>
      <c r="O4367" s="67">
        <v>45847.60215476852</v>
      </c>
      <c r="P4367" s="35" t="s">
        <v>17191</v>
      </c>
      <c r="Q4367" s="13" t="s">
        <v>75</v>
      </c>
      <c r="R4367" s="13" t="s">
        <v>75</v>
      </c>
      <c r="S4367" s="13" t="s">
        <v>50</v>
      </c>
      <c r="T4367" s="44">
        <v>45839.39114364583</v>
      </c>
      <c r="U4367" s="44">
        <v>45839.474965925925</v>
      </c>
      <c r="V4367" s="44">
        <v>45847.33053107639</v>
      </c>
      <c r="W4367" s="11"/>
      <c r="X4367" s="11"/>
      <c r="Y4367" s="45">
        <v>302.0</v>
      </c>
      <c r="Z4367" s="45" t="s">
        <v>17206</v>
      </c>
      <c r="AA4367" s="31"/>
      <c r="AB4367" s="45" t="s">
        <v>17207</v>
      </c>
      <c r="AC4367" s="45"/>
    </row>
    <row r="4368" ht="18.75" customHeight="1">
      <c r="A4368" s="18" t="s">
        <v>17208</v>
      </c>
      <c r="B4368" s="19" t="s">
        <v>911</v>
      </c>
      <c r="C4368" s="20">
        <v>0.0</v>
      </c>
      <c r="D4368" s="179">
        <v>20122.0</v>
      </c>
      <c r="E4368" s="27" t="s">
        <v>301</v>
      </c>
      <c r="F4368" s="27" t="s">
        <v>33</v>
      </c>
      <c r="G4368" s="18" t="s">
        <v>35</v>
      </c>
      <c r="H4368" s="40" t="s">
        <v>35</v>
      </c>
      <c r="I4368" s="37" t="s">
        <v>36</v>
      </c>
      <c r="J4368" s="25" t="s">
        <v>49</v>
      </c>
      <c r="K4368" s="26" t="s">
        <v>38</v>
      </c>
      <c r="L4368" s="72">
        <v>13373.0</v>
      </c>
      <c r="M4368" s="49" t="s">
        <v>50</v>
      </c>
      <c r="N4368" s="42" t="s">
        <v>143</v>
      </c>
      <c r="O4368" s="67">
        <v>45847.60221087963</v>
      </c>
      <c r="P4368" s="35" t="s">
        <v>17191</v>
      </c>
      <c r="Q4368" s="13" t="s">
        <v>75</v>
      </c>
      <c r="R4368" s="13" t="s">
        <v>75</v>
      </c>
      <c r="S4368" s="13" t="s">
        <v>9620</v>
      </c>
      <c r="T4368" s="44">
        <v>45839.39119358796</v>
      </c>
      <c r="U4368" s="44">
        <v>45839.47498993056</v>
      </c>
      <c r="V4368" s="44">
        <v>45842.49121097222</v>
      </c>
      <c r="W4368" s="11"/>
      <c r="X4368" s="11"/>
      <c r="Y4368" s="45">
        <v>302.0</v>
      </c>
      <c r="Z4368" s="45" t="s">
        <v>17209</v>
      </c>
      <c r="AA4368" s="31"/>
      <c r="AB4368" s="45" t="s">
        <v>17210</v>
      </c>
      <c r="AC4368" s="45"/>
    </row>
    <row r="4369" ht="18.75" customHeight="1">
      <c r="A4369" s="18" t="s">
        <v>17211</v>
      </c>
      <c r="B4369" s="19" t="s">
        <v>911</v>
      </c>
      <c r="C4369" s="20">
        <v>0.0</v>
      </c>
      <c r="D4369" s="179">
        <v>20102.0</v>
      </c>
      <c r="E4369" s="27" t="s">
        <v>511</v>
      </c>
      <c r="F4369" s="27" t="s">
        <v>33</v>
      </c>
      <c r="G4369" s="18" t="s">
        <v>35</v>
      </c>
      <c r="H4369" s="40" t="s">
        <v>35</v>
      </c>
      <c r="I4369" s="37" t="s">
        <v>36</v>
      </c>
      <c r="J4369" s="25" t="s">
        <v>49</v>
      </c>
      <c r="K4369" s="26" t="s">
        <v>38</v>
      </c>
      <c r="L4369" s="72">
        <v>13373.0</v>
      </c>
      <c r="M4369" s="49" t="s">
        <v>50</v>
      </c>
      <c r="N4369" s="42" t="s">
        <v>143</v>
      </c>
      <c r="O4369" s="67">
        <v>45847.60227293981</v>
      </c>
      <c r="P4369" s="35" t="s">
        <v>17191</v>
      </c>
      <c r="Q4369" s="13" t="s">
        <v>75</v>
      </c>
      <c r="R4369" s="13" t="s">
        <v>75</v>
      </c>
      <c r="S4369" s="13" t="s">
        <v>73</v>
      </c>
      <c r="T4369" s="44">
        <v>45839.39124384259</v>
      </c>
      <c r="U4369" s="44">
        <v>45839.475018125</v>
      </c>
      <c r="V4369" s="44">
        <v>45840.564698194445</v>
      </c>
      <c r="W4369" s="11"/>
      <c r="X4369" s="11"/>
      <c r="Y4369" s="45">
        <v>302.0</v>
      </c>
      <c r="Z4369" s="45" t="s">
        <v>17212</v>
      </c>
      <c r="AA4369" s="31"/>
      <c r="AB4369" s="45" t="s">
        <v>17213</v>
      </c>
      <c r="AC4369" s="45"/>
    </row>
    <row r="4370" ht="18.75" customHeight="1">
      <c r="A4370" s="142" t="s">
        <v>17214</v>
      </c>
      <c r="B4370" s="19" t="s">
        <v>4293</v>
      </c>
      <c r="C4370" s="20">
        <v>27.0</v>
      </c>
      <c r="D4370" s="39" t="s">
        <v>17215</v>
      </c>
      <c r="E4370" s="27" t="s">
        <v>72</v>
      </c>
      <c r="F4370" s="27" t="s">
        <v>48</v>
      </c>
      <c r="G4370" s="18" t="s">
        <v>35</v>
      </c>
      <c r="H4370" s="40" t="s">
        <v>35</v>
      </c>
      <c r="I4370" s="37" t="s">
        <v>36</v>
      </c>
      <c r="J4370" s="25" t="s">
        <v>92</v>
      </c>
      <c r="K4370" s="26" t="s">
        <v>38</v>
      </c>
      <c r="L4370" s="72">
        <v>13332.0</v>
      </c>
      <c r="M4370" s="49" t="s">
        <v>73</v>
      </c>
      <c r="N4370" s="42" t="s">
        <v>16545</v>
      </c>
      <c r="O4370" s="67">
        <v>45839.651658518516</v>
      </c>
      <c r="P4370" s="35" t="s">
        <v>17216</v>
      </c>
      <c r="Q4370" s="13" t="s">
        <v>75</v>
      </c>
      <c r="R4370" s="13" t="s">
        <v>75</v>
      </c>
      <c r="S4370" s="13" t="s">
        <v>73</v>
      </c>
      <c r="T4370" s="44">
        <v>45839.601342071765</v>
      </c>
      <c r="U4370" s="44">
        <v>45839.6050215625</v>
      </c>
      <c r="V4370" s="44">
        <v>45839.64251439815</v>
      </c>
      <c r="W4370" s="11"/>
      <c r="X4370" s="11"/>
      <c r="Y4370" s="45">
        <v>302.0</v>
      </c>
      <c r="Z4370" s="45" t="s">
        <v>17217</v>
      </c>
      <c r="AA4370" s="31"/>
      <c r="AB4370" s="45" t="s">
        <v>17218</v>
      </c>
      <c r="AC4370" s="45"/>
    </row>
    <row r="4371" ht="18.75" customHeight="1">
      <c r="A4371" s="142" t="s">
        <v>17219</v>
      </c>
      <c r="B4371" s="19" t="s">
        <v>4711</v>
      </c>
      <c r="C4371" s="20">
        <v>0.0</v>
      </c>
      <c r="D4371" s="39" t="s">
        <v>17220</v>
      </c>
      <c r="E4371" s="27" t="s">
        <v>3441</v>
      </c>
      <c r="F4371" s="27" t="s">
        <v>48</v>
      </c>
      <c r="G4371" s="18" t="s">
        <v>35</v>
      </c>
      <c r="H4371" s="40" t="s">
        <v>35</v>
      </c>
      <c r="I4371" s="37" t="s">
        <v>36</v>
      </c>
      <c r="J4371" s="25" t="s">
        <v>65</v>
      </c>
      <c r="K4371" s="26" t="s">
        <v>38</v>
      </c>
      <c r="L4371" s="72">
        <v>13520.0</v>
      </c>
      <c r="M4371" s="49" t="s">
        <v>73</v>
      </c>
      <c r="N4371" s="42" t="s">
        <v>16408</v>
      </c>
      <c r="O4371" s="67">
        <v>45868.70433361111</v>
      </c>
      <c r="P4371" s="35" t="s">
        <v>15829</v>
      </c>
      <c r="Q4371" s="13" t="s">
        <v>75</v>
      </c>
      <c r="R4371" s="13" t="s">
        <v>75</v>
      </c>
      <c r="S4371" s="13" t="s">
        <v>73</v>
      </c>
      <c r="T4371" s="44">
        <v>45839.672976875</v>
      </c>
      <c r="U4371" s="44">
        <v>45867.717626944446</v>
      </c>
      <c r="V4371" s="44">
        <v>45868.429341145835</v>
      </c>
      <c r="W4371" s="11"/>
      <c r="X4371" s="11"/>
      <c r="Y4371" s="45">
        <v>302.0</v>
      </c>
      <c r="Z4371" s="45" t="s">
        <v>17221</v>
      </c>
      <c r="AA4371" s="31"/>
      <c r="AB4371" s="45" t="s">
        <v>17222</v>
      </c>
      <c r="AC4371" s="45"/>
    </row>
    <row r="4372" ht="18.75" customHeight="1">
      <c r="A4372" s="142" t="s">
        <v>17223</v>
      </c>
      <c r="B4372" s="19" t="s">
        <v>4604</v>
      </c>
      <c r="C4372" s="20">
        <v>0.0</v>
      </c>
      <c r="D4372" s="39" t="s">
        <v>17224</v>
      </c>
      <c r="E4372" s="27" t="s">
        <v>3441</v>
      </c>
      <c r="F4372" s="27" t="s">
        <v>48</v>
      </c>
      <c r="G4372" s="18" t="s">
        <v>35</v>
      </c>
      <c r="H4372" s="40" t="s">
        <v>35</v>
      </c>
      <c r="I4372" s="37" t="s">
        <v>36</v>
      </c>
      <c r="J4372" s="25" t="s">
        <v>65</v>
      </c>
      <c r="K4372" s="26" t="s">
        <v>38</v>
      </c>
      <c r="L4372" s="72">
        <v>13425.0</v>
      </c>
      <c r="M4372" s="49" t="s">
        <v>50</v>
      </c>
      <c r="N4372" s="42" t="s">
        <v>5897</v>
      </c>
      <c r="O4372" s="67">
        <v>45855.67466912037</v>
      </c>
      <c r="P4372" s="35" t="s">
        <v>15829</v>
      </c>
      <c r="Q4372" s="13" t="s">
        <v>75</v>
      </c>
      <c r="R4372" s="13" t="s">
        <v>6028</v>
      </c>
      <c r="S4372" s="13" t="s">
        <v>50</v>
      </c>
      <c r="T4372" s="44">
        <v>45839.67409151621</v>
      </c>
      <c r="U4372" s="44">
        <v>45855.47945280092</v>
      </c>
      <c r="V4372" s="44">
        <v>45855.48294538194</v>
      </c>
      <c r="W4372" s="11"/>
      <c r="X4372" s="11"/>
      <c r="Y4372" s="45">
        <v>302.0</v>
      </c>
      <c r="Z4372" s="45" t="s">
        <v>17225</v>
      </c>
      <c r="AA4372" s="31"/>
      <c r="AB4372" s="45" t="s">
        <v>17226</v>
      </c>
      <c r="AC4372" s="45"/>
    </row>
    <row r="4373" ht="18.75" customHeight="1">
      <c r="A4373" s="142" t="s">
        <v>17227</v>
      </c>
      <c r="B4373" s="19" t="s">
        <v>122</v>
      </c>
      <c r="C4373" s="20">
        <v>90.0</v>
      </c>
      <c r="D4373" s="39" t="s">
        <v>17228</v>
      </c>
      <c r="E4373" s="27" t="s">
        <v>91</v>
      </c>
      <c r="F4373" s="27" t="s">
        <v>48</v>
      </c>
      <c r="G4373" s="18" t="s">
        <v>35</v>
      </c>
      <c r="H4373" s="40" t="s">
        <v>35</v>
      </c>
      <c r="I4373" s="37" t="s">
        <v>36</v>
      </c>
      <c r="J4373" s="25" t="s">
        <v>49</v>
      </c>
      <c r="K4373" s="26" t="s">
        <v>38</v>
      </c>
      <c r="L4373" s="72">
        <v>13336.0</v>
      </c>
      <c r="M4373" s="49" t="s">
        <v>50</v>
      </c>
      <c r="N4373" s="42" t="s">
        <v>5936</v>
      </c>
      <c r="O4373" s="67">
        <v>45840.63335561343</v>
      </c>
      <c r="P4373" s="35" t="s">
        <v>17229</v>
      </c>
      <c r="Q4373" s="13" t="s">
        <v>75</v>
      </c>
      <c r="R4373" s="13" t="s">
        <v>75</v>
      </c>
      <c r="S4373" s="13" t="s">
        <v>50</v>
      </c>
      <c r="T4373" s="44">
        <v>45839.72434700231</v>
      </c>
      <c r="U4373" s="44">
        <v>45840.59945601852</v>
      </c>
      <c r="V4373" s="44">
        <v>45840.61237640046</v>
      </c>
      <c r="W4373" s="11"/>
      <c r="X4373" s="11"/>
      <c r="Y4373" s="45">
        <v>302.0</v>
      </c>
      <c r="Z4373" s="45" t="s">
        <v>17230</v>
      </c>
      <c r="AA4373" s="31"/>
      <c r="AB4373" s="45" t="s">
        <v>17231</v>
      </c>
      <c r="AC4373" s="45"/>
    </row>
    <row r="4374" ht="18.75" customHeight="1">
      <c r="A4374" s="142" t="s">
        <v>17232</v>
      </c>
      <c r="B4374" s="19" t="s">
        <v>122</v>
      </c>
      <c r="C4374" s="20">
        <v>0.0</v>
      </c>
      <c r="D4374" s="39" t="s">
        <v>17233</v>
      </c>
      <c r="E4374" s="27" t="s">
        <v>3441</v>
      </c>
      <c r="F4374" s="27" t="s">
        <v>48</v>
      </c>
      <c r="G4374" s="18" t="s">
        <v>35</v>
      </c>
      <c r="H4374" s="40" t="s">
        <v>35</v>
      </c>
      <c r="I4374" s="37" t="s">
        <v>36</v>
      </c>
      <c r="J4374" s="25" t="s">
        <v>49</v>
      </c>
      <c r="K4374" s="26" t="s">
        <v>38</v>
      </c>
      <c r="L4374" s="72">
        <v>13335.0</v>
      </c>
      <c r="M4374" s="49" t="s">
        <v>50</v>
      </c>
      <c r="N4374" s="42" t="s">
        <v>5936</v>
      </c>
      <c r="O4374" s="67">
        <v>45840.63330152778</v>
      </c>
      <c r="P4374" s="35" t="s">
        <v>17234</v>
      </c>
      <c r="Q4374" s="13" t="s">
        <v>75</v>
      </c>
      <c r="R4374" s="13" t="s">
        <v>75</v>
      </c>
      <c r="S4374" s="13" t="s">
        <v>50</v>
      </c>
      <c r="T4374" s="44">
        <v>45839.726854837965</v>
      </c>
      <c r="U4374" s="44">
        <v>45840.599782233796</v>
      </c>
      <c r="V4374" s="44">
        <v>45840.61237640046</v>
      </c>
      <c r="W4374" s="11"/>
      <c r="X4374" s="11"/>
      <c r="Y4374" s="45">
        <v>302.0</v>
      </c>
      <c r="Z4374" s="45" t="s">
        <v>17235</v>
      </c>
      <c r="AA4374" s="31"/>
      <c r="AB4374" s="45" t="s">
        <v>17236</v>
      </c>
      <c r="AC4374" s="45"/>
    </row>
    <row r="4375" ht="18.75" customHeight="1">
      <c r="A4375" s="142" t="s">
        <v>17237</v>
      </c>
      <c r="B4375" s="19" t="s">
        <v>8071</v>
      </c>
      <c r="C4375" s="20">
        <v>90.0</v>
      </c>
      <c r="D4375" s="39" t="s">
        <v>17238</v>
      </c>
      <c r="E4375" s="27" t="s">
        <v>91</v>
      </c>
      <c r="F4375" s="27" t="s">
        <v>48</v>
      </c>
      <c r="G4375" s="18" t="s">
        <v>35</v>
      </c>
      <c r="H4375" s="40" t="s">
        <v>35</v>
      </c>
      <c r="I4375" s="37" t="s">
        <v>36</v>
      </c>
      <c r="J4375" s="25" t="s">
        <v>49</v>
      </c>
      <c r="K4375" s="26" t="s">
        <v>38</v>
      </c>
      <c r="L4375" s="72">
        <v>13339.0</v>
      </c>
      <c r="M4375" s="49" t="s">
        <v>50</v>
      </c>
      <c r="N4375" s="42" t="s">
        <v>143</v>
      </c>
      <c r="O4375" s="67">
        <v>45841.57609190972</v>
      </c>
      <c r="P4375" s="35" t="s">
        <v>17239</v>
      </c>
      <c r="Q4375" s="13" t="s">
        <v>75</v>
      </c>
      <c r="R4375" s="13" t="s">
        <v>75</v>
      </c>
      <c r="S4375" s="13" t="s">
        <v>50</v>
      </c>
      <c r="T4375" s="44">
        <v>45841.49365005787</v>
      </c>
      <c r="U4375" s="44">
        <v>45841.50031746528</v>
      </c>
      <c r="V4375" s="44">
        <v>45841.53521449074</v>
      </c>
      <c r="W4375" s="11"/>
      <c r="X4375" s="11"/>
      <c r="Y4375" s="45">
        <v>302.0</v>
      </c>
      <c r="Z4375" s="45" t="s">
        <v>17240</v>
      </c>
      <c r="AA4375" s="31"/>
      <c r="AB4375" s="45" t="s">
        <v>17241</v>
      </c>
      <c r="AC4375" s="45"/>
    </row>
    <row r="4376" ht="18.75" customHeight="1">
      <c r="A4376" s="142" t="s">
        <v>17242</v>
      </c>
      <c r="B4376" s="19" t="s">
        <v>4941</v>
      </c>
      <c r="C4376" s="20">
        <v>27.0</v>
      </c>
      <c r="D4376" s="39" t="s">
        <v>17243</v>
      </c>
      <c r="E4376" s="27" t="s">
        <v>72</v>
      </c>
      <c r="F4376" s="27" t="s">
        <v>48</v>
      </c>
      <c r="G4376" s="18" t="s">
        <v>35</v>
      </c>
      <c r="H4376" s="40" t="s">
        <v>35</v>
      </c>
      <c r="I4376" s="37" t="s">
        <v>36</v>
      </c>
      <c r="J4376" s="25" t="s">
        <v>49</v>
      </c>
      <c r="K4376" s="26" t="s">
        <v>38</v>
      </c>
      <c r="L4376" s="72">
        <v>13342.0</v>
      </c>
      <c r="M4376" s="49" t="s">
        <v>50</v>
      </c>
      <c r="N4376" s="42" t="s">
        <v>5936</v>
      </c>
      <c r="O4376" s="67">
        <v>45842.69915197916</v>
      </c>
      <c r="P4376" s="35" t="s">
        <v>17244</v>
      </c>
      <c r="Q4376" s="13" t="s">
        <v>75</v>
      </c>
      <c r="R4376" s="13" t="s">
        <v>75</v>
      </c>
      <c r="S4376" s="13" t="s">
        <v>50</v>
      </c>
      <c r="T4376" s="44">
        <v>45841.57191096064</v>
      </c>
      <c r="U4376" s="44">
        <v>45841.60721618056</v>
      </c>
      <c r="V4376" s="44">
        <v>45842.34383131945</v>
      </c>
      <c r="W4376" s="11"/>
      <c r="X4376" s="11"/>
      <c r="Y4376" s="45">
        <v>302.0</v>
      </c>
      <c r="Z4376" s="45" t="s">
        <v>17245</v>
      </c>
      <c r="AA4376" s="31"/>
      <c r="AB4376" s="45" t="s">
        <v>17246</v>
      </c>
      <c r="AC4376" s="45"/>
    </row>
    <row r="4377" ht="18.75" customHeight="1">
      <c r="A4377" s="142" t="s">
        <v>17247</v>
      </c>
      <c r="B4377" s="19" t="s">
        <v>6334</v>
      </c>
      <c r="C4377" s="20">
        <v>34.0</v>
      </c>
      <c r="D4377" s="39" t="s">
        <v>17248</v>
      </c>
      <c r="E4377" s="27" t="s">
        <v>47</v>
      </c>
      <c r="F4377" s="27" t="s">
        <v>48</v>
      </c>
      <c r="G4377" s="18" t="s">
        <v>35</v>
      </c>
      <c r="H4377" s="40" t="s">
        <v>35</v>
      </c>
      <c r="I4377" s="37" t="s">
        <v>36</v>
      </c>
      <c r="J4377" s="25" t="s">
        <v>49</v>
      </c>
      <c r="K4377" s="26" t="s">
        <v>38</v>
      </c>
      <c r="L4377" s="72">
        <v>13340.0</v>
      </c>
      <c r="M4377" s="49" t="s">
        <v>50</v>
      </c>
      <c r="N4377" s="42" t="s">
        <v>5936</v>
      </c>
      <c r="O4377" s="67">
        <v>45842.69910240741</v>
      </c>
      <c r="P4377" s="35" t="s">
        <v>17249</v>
      </c>
      <c r="Q4377" s="13" t="s">
        <v>75</v>
      </c>
      <c r="R4377" s="13" t="s">
        <v>75</v>
      </c>
      <c r="S4377" s="13" t="s">
        <v>50</v>
      </c>
      <c r="T4377" s="44">
        <v>45841.61254025463</v>
      </c>
      <c r="U4377" s="44">
        <v>45841.72125001157</v>
      </c>
      <c r="V4377" s="44">
        <v>45842.34391725695</v>
      </c>
      <c r="W4377" s="11"/>
      <c r="X4377" s="11"/>
      <c r="Y4377" s="45">
        <v>302.0</v>
      </c>
      <c r="Z4377" s="45" t="s">
        <v>17250</v>
      </c>
      <c r="AA4377" s="31"/>
      <c r="AB4377" s="45" t="s">
        <v>17251</v>
      </c>
      <c r="AC4377" s="45"/>
    </row>
    <row r="4378" ht="18.75" customHeight="1">
      <c r="A4378" s="142" t="s">
        <v>17252</v>
      </c>
      <c r="B4378" s="19" t="s">
        <v>1811</v>
      </c>
      <c r="C4378" s="20">
        <v>1.0</v>
      </c>
      <c r="D4378" s="39" t="s">
        <v>17253</v>
      </c>
      <c r="E4378" s="27" t="s">
        <v>3395</v>
      </c>
      <c r="F4378" s="27" t="s">
        <v>48</v>
      </c>
      <c r="G4378" s="18" t="s">
        <v>35</v>
      </c>
      <c r="H4378" s="40" t="s">
        <v>35</v>
      </c>
      <c r="I4378" s="37" t="s">
        <v>36</v>
      </c>
      <c r="J4378" s="25" t="s">
        <v>49</v>
      </c>
      <c r="K4378" s="26" t="s">
        <v>1506</v>
      </c>
      <c r="L4378" s="72">
        <v>13341.0</v>
      </c>
      <c r="M4378" s="49" t="s">
        <v>50</v>
      </c>
      <c r="N4378" s="42" t="s">
        <v>5936</v>
      </c>
      <c r="O4378" s="67">
        <v>45842.69905737268</v>
      </c>
      <c r="P4378" s="35" t="s">
        <v>17254</v>
      </c>
      <c r="Q4378" s="13" t="s">
        <v>75</v>
      </c>
      <c r="R4378" s="13" t="s">
        <v>75</v>
      </c>
      <c r="S4378" s="13" t="s">
        <v>50</v>
      </c>
      <c r="T4378" s="44">
        <v>45841.62360668981</v>
      </c>
      <c r="U4378" s="44">
        <v>45841.721476527775</v>
      </c>
      <c r="V4378" s="44">
        <v>45842.34391725695</v>
      </c>
      <c r="W4378" s="11"/>
      <c r="X4378" s="11"/>
      <c r="Y4378" s="45">
        <v>302.0</v>
      </c>
      <c r="Z4378" s="45" t="s">
        <v>17255</v>
      </c>
      <c r="AA4378" s="31"/>
      <c r="AB4378" s="45" t="s">
        <v>17256</v>
      </c>
      <c r="AC4378" s="45"/>
    </row>
    <row r="4379" ht="18.75" customHeight="1">
      <c r="A4379" s="142" t="s">
        <v>17257</v>
      </c>
      <c r="B4379" s="19" t="s">
        <v>17258</v>
      </c>
      <c r="C4379" s="20">
        <v>27.0</v>
      </c>
      <c r="D4379" s="39" t="s">
        <v>17259</v>
      </c>
      <c r="E4379" s="27" t="s">
        <v>72</v>
      </c>
      <c r="F4379" s="27" t="s">
        <v>48</v>
      </c>
      <c r="G4379" s="18" t="s">
        <v>35</v>
      </c>
      <c r="H4379" s="40" t="s">
        <v>35</v>
      </c>
      <c r="I4379" s="37" t="s">
        <v>36</v>
      </c>
      <c r="J4379" s="25" t="s">
        <v>49</v>
      </c>
      <c r="K4379" s="26" t="s">
        <v>38</v>
      </c>
      <c r="L4379" s="72">
        <v>13343.0</v>
      </c>
      <c r="M4379" s="49" t="s">
        <v>50</v>
      </c>
      <c r="N4379" s="42" t="s">
        <v>5936</v>
      </c>
      <c r="O4379" s="67">
        <v>45842.699012349534</v>
      </c>
      <c r="P4379" s="35" t="s">
        <v>17260</v>
      </c>
      <c r="Q4379" s="13" t="s">
        <v>75</v>
      </c>
      <c r="R4379" s="13" t="s">
        <v>75</v>
      </c>
      <c r="S4379" s="13" t="s">
        <v>50</v>
      </c>
      <c r="T4379" s="44">
        <v>45841.72046336805</v>
      </c>
      <c r="U4379" s="44">
        <v>45842.58031023148</v>
      </c>
      <c r="V4379" s="44">
        <v>45842.62612981482</v>
      </c>
      <c r="W4379" s="11"/>
      <c r="X4379" s="11"/>
      <c r="Y4379" s="45">
        <v>302.0</v>
      </c>
      <c r="Z4379" s="45" t="s">
        <v>17261</v>
      </c>
      <c r="AA4379" s="31"/>
      <c r="AB4379" s="45" t="s">
        <v>17262</v>
      </c>
      <c r="AC4379" s="45"/>
    </row>
    <row r="4380" ht="18.75" customHeight="1">
      <c r="A4380" s="142" t="s">
        <v>17263</v>
      </c>
      <c r="B4380" s="19" t="s">
        <v>7945</v>
      </c>
      <c r="C4380" s="20">
        <v>90.0</v>
      </c>
      <c r="D4380" s="39" t="s">
        <v>17264</v>
      </c>
      <c r="E4380" s="27" t="s">
        <v>91</v>
      </c>
      <c r="F4380" s="27" t="s">
        <v>48</v>
      </c>
      <c r="G4380" s="18" t="s">
        <v>35</v>
      </c>
      <c r="H4380" s="40" t="s">
        <v>35</v>
      </c>
      <c r="I4380" s="37" t="s">
        <v>36</v>
      </c>
      <c r="J4380" s="25" t="s">
        <v>49</v>
      </c>
      <c r="K4380" s="26" t="s">
        <v>447</v>
      </c>
      <c r="L4380" s="72">
        <v>13345.0</v>
      </c>
      <c r="M4380" s="49" t="s">
        <v>50</v>
      </c>
      <c r="N4380" s="42" t="s">
        <v>4183</v>
      </c>
      <c r="O4380" s="67">
        <v>45845.66666666667</v>
      </c>
      <c r="P4380" s="35" t="s">
        <v>17265</v>
      </c>
      <c r="Q4380" s="13" t="s">
        <v>75</v>
      </c>
      <c r="R4380" s="13" t="s">
        <v>75</v>
      </c>
      <c r="S4380" s="13" t="s">
        <v>50</v>
      </c>
      <c r="T4380" s="44">
        <v>45842.43817025463</v>
      </c>
      <c r="U4380" s="44">
        <v>45845.41394038194</v>
      </c>
      <c r="V4380" s="44">
        <v>45845.4690365625</v>
      </c>
      <c r="W4380" s="11"/>
      <c r="X4380" s="11"/>
      <c r="Y4380" s="45">
        <v>302.0</v>
      </c>
      <c r="Z4380" s="45" t="s">
        <v>17266</v>
      </c>
      <c r="AA4380" s="31"/>
      <c r="AB4380" s="45" t="s">
        <v>17267</v>
      </c>
      <c r="AC4380" s="45"/>
    </row>
    <row r="4381" ht="18.75" customHeight="1">
      <c r="A4381" s="142" t="s">
        <v>17268</v>
      </c>
      <c r="B4381" s="19" t="s">
        <v>122</v>
      </c>
      <c r="C4381" s="20">
        <v>0.0</v>
      </c>
      <c r="D4381" s="39" t="s">
        <v>17269</v>
      </c>
      <c r="E4381" s="27" t="s">
        <v>3441</v>
      </c>
      <c r="F4381" s="27" t="s">
        <v>48</v>
      </c>
      <c r="G4381" s="18" t="s">
        <v>35</v>
      </c>
      <c r="H4381" s="40" t="s">
        <v>35</v>
      </c>
      <c r="I4381" s="37" t="s">
        <v>36</v>
      </c>
      <c r="J4381" s="25" t="s">
        <v>49</v>
      </c>
      <c r="K4381" s="26" t="s">
        <v>38</v>
      </c>
      <c r="L4381" s="72">
        <v>13344.0</v>
      </c>
      <c r="M4381" s="49" t="s">
        <v>50</v>
      </c>
      <c r="N4381" s="42" t="s">
        <v>5936</v>
      </c>
      <c r="O4381" s="67">
        <v>45842.698953495375</v>
      </c>
      <c r="P4381" s="35" t="s">
        <v>17270</v>
      </c>
      <c r="Q4381" s="13" t="s">
        <v>75</v>
      </c>
      <c r="R4381" s="13" t="s">
        <v>75</v>
      </c>
      <c r="S4381" s="13" t="s">
        <v>50</v>
      </c>
      <c r="T4381" s="44">
        <v>45842.442399444444</v>
      </c>
      <c r="U4381" s="44">
        <v>45842.579446250005</v>
      </c>
      <c r="V4381" s="44">
        <v>45842.62612980324</v>
      </c>
      <c r="W4381" s="11"/>
      <c r="X4381" s="11"/>
      <c r="Y4381" s="45">
        <v>302.0</v>
      </c>
      <c r="Z4381" s="45" t="s">
        <v>17271</v>
      </c>
      <c r="AA4381" s="31"/>
      <c r="AB4381" s="45" t="s">
        <v>17272</v>
      </c>
      <c r="AC4381" s="45"/>
    </row>
    <row r="4382" ht="18.75" customHeight="1">
      <c r="A4382" s="142" t="s">
        <v>17273</v>
      </c>
      <c r="B4382" s="19" t="s">
        <v>13993</v>
      </c>
      <c r="C4382" s="20">
        <v>1.0</v>
      </c>
      <c r="D4382" s="178" t="s">
        <v>17274</v>
      </c>
      <c r="E4382" s="27" t="s">
        <v>3395</v>
      </c>
      <c r="F4382" s="27" t="s">
        <v>48</v>
      </c>
      <c r="G4382" s="18" t="s">
        <v>35</v>
      </c>
      <c r="H4382" s="40" t="s">
        <v>35</v>
      </c>
      <c r="I4382" s="37" t="s">
        <v>36</v>
      </c>
      <c r="J4382" s="25" t="s">
        <v>15990</v>
      </c>
      <c r="K4382" s="26" t="s">
        <v>38</v>
      </c>
      <c r="L4382" s="72">
        <v>13389.0</v>
      </c>
      <c r="M4382" s="49" t="s">
        <v>15811</v>
      </c>
      <c r="N4382" s="42"/>
      <c r="O4382" s="67">
        <v>45849.41202011574</v>
      </c>
      <c r="P4382" s="35" t="s">
        <v>17027</v>
      </c>
      <c r="Q4382" s="13" t="s">
        <v>75</v>
      </c>
      <c r="R4382" s="13" t="s">
        <v>75</v>
      </c>
      <c r="S4382" s="13" t="s">
        <v>75</v>
      </c>
      <c r="T4382" s="44">
        <v>45842.602909560184</v>
      </c>
      <c r="U4382" s="44">
        <v>45849.41202011574</v>
      </c>
      <c r="V4382" s="44">
        <v>45849.41202011574</v>
      </c>
      <c r="W4382" s="11"/>
      <c r="X4382" s="11"/>
      <c r="Y4382" s="45"/>
      <c r="Z4382" s="45"/>
      <c r="AA4382" s="31"/>
      <c r="AB4382" s="45" t="s">
        <v>17275</v>
      </c>
      <c r="AC4382" s="45"/>
    </row>
    <row r="4383" ht="20.25" customHeight="1">
      <c r="A4383" s="142" t="s">
        <v>17276</v>
      </c>
      <c r="B4383" s="19" t="s">
        <v>1299</v>
      </c>
      <c r="C4383" s="20">
        <v>0.0</v>
      </c>
      <c r="D4383" s="39"/>
      <c r="E4383" s="27" t="s">
        <v>4430</v>
      </c>
      <c r="F4383" s="27" t="s">
        <v>48</v>
      </c>
      <c r="G4383" s="18" t="s">
        <v>35</v>
      </c>
      <c r="H4383" s="40" t="s">
        <v>35</v>
      </c>
      <c r="I4383" s="37" t="s">
        <v>17277</v>
      </c>
      <c r="J4383" s="25" t="s">
        <v>92</v>
      </c>
      <c r="K4383" s="26" t="s">
        <v>38</v>
      </c>
      <c r="L4383" s="25"/>
      <c r="M4383" s="49"/>
      <c r="N4383" s="42"/>
      <c r="O4383" s="68"/>
      <c r="P4383" s="35" t="s">
        <v>17278</v>
      </c>
      <c r="Q4383" s="13" t="s">
        <v>75</v>
      </c>
      <c r="R4383" s="13"/>
      <c r="S4383" s="13"/>
      <c r="T4383" s="44">
        <v>45842.60372387731</v>
      </c>
      <c r="U4383" s="13"/>
      <c r="V4383" s="13"/>
      <c r="W4383" s="11"/>
      <c r="X4383" s="11"/>
      <c r="Y4383" s="45"/>
      <c r="Z4383" s="45"/>
      <c r="AA4383" s="31"/>
      <c r="AB4383" s="45" t="s">
        <v>17279</v>
      </c>
      <c r="AC4383" s="45"/>
    </row>
    <row r="4384" ht="18.75" customHeight="1">
      <c r="A4384" s="142" t="s">
        <v>17280</v>
      </c>
      <c r="B4384" s="19" t="s">
        <v>4352</v>
      </c>
      <c r="C4384" s="20">
        <v>0.0</v>
      </c>
      <c r="D4384" s="39" t="s">
        <v>17281</v>
      </c>
      <c r="E4384" s="27" t="s">
        <v>3441</v>
      </c>
      <c r="F4384" s="27" t="s">
        <v>48</v>
      </c>
      <c r="G4384" s="18" t="s">
        <v>35</v>
      </c>
      <c r="H4384" s="40" t="s">
        <v>35</v>
      </c>
      <c r="I4384" s="37" t="s">
        <v>36</v>
      </c>
      <c r="J4384" s="25" t="s">
        <v>49</v>
      </c>
      <c r="K4384" s="26" t="s">
        <v>38</v>
      </c>
      <c r="L4384" s="72">
        <v>13349.0</v>
      </c>
      <c r="M4384" s="49" t="s">
        <v>50</v>
      </c>
      <c r="N4384" s="42" t="s">
        <v>4183</v>
      </c>
      <c r="O4384" s="67">
        <v>45845.70763888889</v>
      </c>
      <c r="P4384" s="35" t="s">
        <v>17282</v>
      </c>
      <c r="Q4384" s="13" t="s">
        <v>75</v>
      </c>
      <c r="R4384" s="13" t="s">
        <v>75</v>
      </c>
      <c r="S4384" s="13" t="s">
        <v>50</v>
      </c>
      <c r="T4384" s="44">
        <v>45842.60758489583</v>
      </c>
      <c r="U4384" s="44">
        <v>45845.40656578704</v>
      </c>
      <c r="V4384" s="44">
        <v>45845.57671390046</v>
      </c>
      <c r="W4384" s="11"/>
      <c r="X4384" s="11"/>
      <c r="Y4384" s="45">
        <v>302.0</v>
      </c>
      <c r="Z4384" s="45" t="s">
        <v>17283</v>
      </c>
      <c r="AA4384" s="31"/>
      <c r="AB4384" s="45" t="s">
        <v>17284</v>
      </c>
      <c r="AC4384" s="45"/>
    </row>
    <row r="4385" ht="18.75" customHeight="1">
      <c r="A4385" s="142" t="s">
        <v>17285</v>
      </c>
      <c r="B4385" s="19" t="s">
        <v>4352</v>
      </c>
      <c r="C4385" s="20">
        <v>90.0</v>
      </c>
      <c r="D4385" s="39" t="s">
        <v>17286</v>
      </c>
      <c r="E4385" s="27" t="s">
        <v>91</v>
      </c>
      <c r="F4385" s="27" t="s">
        <v>48</v>
      </c>
      <c r="G4385" s="18" t="s">
        <v>35</v>
      </c>
      <c r="H4385" s="40" t="s">
        <v>35</v>
      </c>
      <c r="I4385" s="37" t="s">
        <v>36</v>
      </c>
      <c r="J4385" s="25" t="s">
        <v>49</v>
      </c>
      <c r="K4385" s="26" t="s">
        <v>38</v>
      </c>
      <c r="L4385" s="72">
        <v>13346.0</v>
      </c>
      <c r="M4385" s="49" t="s">
        <v>50</v>
      </c>
      <c r="N4385" s="42" t="s">
        <v>4183</v>
      </c>
      <c r="O4385" s="67">
        <v>45845.70763888889</v>
      </c>
      <c r="P4385" s="35" t="s">
        <v>17287</v>
      </c>
      <c r="Q4385" s="13" t="s">
        <v>75</v>
      </c>
      <c r="R4385" s="13" t="s">
        <v>75</v>
      </c>
      <c r="S4385" s="13" t="s">
        <v>50</v>
      </c>
      <c r="T4385" s="44">
        <v>45842.60895263889</v>
      </c>
      <c r="U4385" s="44">
        <v>45845.406705925925</v>
      </c>
      <c r="V4385" s="44">
        <v>45845.4690365625</v>
      </c>
      <c r="W4385" s="11"/>
      <c r="X4385" s="11"/>
      <c r="Y4385" s="207">
        <v>302.0</v>
      </c>
      <c r="Z4385" s="45" t="s">
        <v>17288</v>
      </c>
      <c r="AA4385" s="31"/>
      <c r="AB4385" s="45" t="s">
        <v>17289</v>
      </c>
      <c r="AC4385" s="45"/>
    </row>
    <row r="4386" ht="18.75" customHeight="1">
      <c r="A4386" s="142" t="s">
        <v>17290</v>
      </c>
      <c r="B4386" s="19" t="s">
        <v>4352</v>
      </c>
      <c r="C4386" s="20">
        <v>90.0</v>
      </c>
      <c r="D4386" s="39" t="s">
        <v>17291</v>
      </c>
      <c r="E4386" s="27" t="s">
        <v>91</v>
      </c>
      <c r="F4386" s="27" t="s">
        <v>48</v>
      </c>
      <c r="G4386" s="18" t="s">
        <v>35</v>
      </c>
      <c r="H4386" s="40" t="s">
        <v>35</v>
      </c>
      <c r="I4386" s="37" t="s">
        <v>36</v>
      </c>
      <c r="J4386" s="25" t="s">
        <v>49</v>
      </c>
      <c r="K4386" s="26" t="s">
        <v>38</v>
      </c>
      <c r="L4386" s="72">
        <v>13347.0</v>
      </c>
      <c r="M4386" s="49" t="s">
        <v>50</v>
      </c>
      <c r="N4386" s="42" t="s">
        <v>4183</v>
      </c>
      <c r="O4386" s="67">
        <v>45845.70763888889</v>
      </c>
      <c r="P4386" s="35" t="s">
        <v>17292</v>
      </c>
      <c r="Q4386" s="13" t="s">
        <v>75</v>
      </c>
      <c r="R4386" s="13" t="s">
        <v>75</v>
      </c>
      <c r="S4386" s="13" t="s">
        <v>50</v>
      </c>
      <c r="T4386" s="44">
        <v>45842.61010693287</v>
      </c>
      <c r="U4386" s="44">
        <v>45845.40715972222</v>
      </c>
      <c r="V4386" s="44">
        <v>45845.47057949074</v>
      </c>
      <c r="W4386" s="11"/>
      <c r="X4386" s="11"/>
      <c r="Y4386" s="45">
        <v>302.0</v>
      </c>
      <c r="Z4386" s="45" t="s">
        <v>17293</v>
      </c>
      <c r="AA4386" s="31"/>
      <c r="AB4386" s="45" t="s">
        <v>17294</v>
      </c>
      <c r="AC4386" s="45"/>
    </row>
    <row r="4387" ht="18.75" customHeight="1">
      <c r="A4387" s="18" t="s">
        <v>17295</v>
      </c>
      <c r="B4387" s="19" t="s">
        <v>5346</v>
      </c>
      <c r="C4387" s="20">
        <v>11.0</v>
      </c>
      <c r="D4387" s="39" t="s">
        <v>17296</v>
      </c>
      <c r="E4387" s="27" t="s">
        <v>112</v>
      </c>
      <c r="F4387" s="27" t="s">
        <v>48</v>
      </c>
      <c r="G4387" s="18" t="s">
        <v>35</v>
      </c>
      <c r="H4387" s="40" t="s">
        <v>35</v>
      </c>
      <c r="I4387" s="37" t="s">
        <v>36</v>
      </c>
      <c r="J4387" s="25" t="s">
        <v>49</v>
      </c>
      <c r="K4387" s="26" t="s">
        <v>38</v>
      </c>
      <c r="L4387" s="72">
        <v>13348.0</v>
      </c>
      <c r="M4387" s="49" t="s">
        <v>50</v>
      </c>
      <c r="N4387" s="42" t="s">
        <v>4183</v>
      </c>
      <c r="O4387" s="67">
        <v>45845.70763888889</v>
      </c>
      <c r="P4387" s="35" t="s">
        <v>17297</v>
      </c>
      <c r="Q4387" s="13" t="s">
        <v>75</v>
      </c>
      <c r="R4387" s="13" t="s">
        <v>75</v>
      </c>
      <c r="S4387" s="13" t="s">
        <v>50</v>
      </c>
      <c r="T4387" s="44">
        <v>45842.61084703704</v>
      </c>
      <c r="U4387" s="44">
        <v>45842.70393416667</v>
      </c>
      <c r="V4387" s="44">
        <v>45845.46996299768</v>
      </c>
      <c r="W4387" s="11"/>
      <c r="X4387" s="11"/>
      <c r="Y4387" s="207">
        <v>302.0</v>
      </c>
      <c r="Z4387" s="45" t="s">
        <v>17298</v>
      </c>
      <c r="AA4387" s="31"/>
      <c r="AB4387" s="45" t="s">
        <v>17299</v>
      </c>
      <c r="AC4387" s="45"/>
    </row>
    <row r="4388" ht="18.75" customHeight="1">
      <c r="A4388" s="18" t="s">
        <v>17300</v>
      </c>
      <c r="B4388" s="19" t="s">
        <v>5346</v>
      </c>
      <c r="C4388" s="20">
        <v>11.0</v>
      </c>
      <c r="D4388" s="39" t="s">
        <v>17301</v>
      </c>
      <c r="E4388" s="27" t="s">
        <v>112</v>
      </c>
      <c r="F4388" s="27" t="s">
        <v>48</v>
      </c>
      <c r="G4388" s="18" t="s">
        <v>35</v>
      </c>
      <c r="H4388" s="40" t="s">
        <v>35</v>
      </c>
      <c r="I4388" s="37" t="s">
        <v>36</v>
      </c>
      <c r="J4388" s="25" t="s">
        <v>49</v>
      </c>
      <c r="K4388" s="26" t="s">
        <v>38</v>
      </c>
      <c r="L4388" s="72">
        <v>13348.0</v>
      </c>
      <c r="M4388" s="49" t="s">
        <v>50</v>
      </c>
      <c r="N4388" s="42" t="s">
        <v>4183</v>
      </c>
      <c r="O4388" s="67">
        <v>45845.70694444445</v>
      </c>
      <c r="P4388" s="35" t="s">
        <v>17297</v>
      </c>
      <c r="Q4388" s="13" t="s">
        <v>75</v>
      </c>
      <c r="R4388" s="13" t="s">
        <v>75</v>
      </c>
      <c r="S4388" s="13" t="s">
        <v>50</v>
      </c>
      <c r="T4388" s="44">
        <v>45842.61100778935</v>
      </c>
      <c r="U4388" s="44">
        <v>45842.7039605787</v>
      </c>
      <c r="V4388" s="44">
        <v>45845.47069540509</v>
      </c>
      <c r="W4388" s="11"/>
      <c r="X4388" s="11"/>
      <c r="Y4388" s="45">
        <v>302.0</v>
      </c>
      <c r="Z4388" s="45" t="s">
        <v>17302</v>
      </c>
      <c r="AA4388" s="31"/>
      <c r="AB4388" s="45" t="s">
        <v>17303</v>
      </c>
      <c r="AC4388" s="45"/>
    </row>
    <row r="4389" ht="18.75" customHeight="1">
      <c r="A4389" s="142" t="s">
        <v>17304</v>
      </c>
      <c r="B4389" s="19" t="s">
        <v>17305</v>
      </c>
      <c r="C4389" s="47">
        <v>0.0</v>
      </c>
      <c r="D4389" s="178" t="s">
        <v>17306</v>
      </c>
      <c r="E4389" s="27" t="s">
        <v>713</v>
      </c>
      <c r="F4389" s="27" t="s">
        <v>33</v>
      </c>
      <c r="G4389" s="18" t="s">
        <v>35</v>
      </c>
      <c r="H4389" s="40" t="s">
        <v>35</v>
      </c>
      <c r="I4389" s="37" t="s">
        <v>36</v>
      </c>
      <c r="J4389" s="25" t="s">
        <v>92</v>
      </c>
      <c r="K4389" s="26" t="s">
        <v>38</v>
      </c>
      <c r="L4389" s="72">
        <v>2114.0</v>
      </c>
      <c r="M4389" s="49" t="s">
        <v>50</v>
      </c>
      <c r="N4389" s="42" t="s">
        <v>7145</v>
      </c>
      <c r="O4389" s="67">
        <v>45846.462476493056</v>
      </c>
      <c r="P4389" s="35" t="s">
        <v>17307</v>
      </c>
      <c r="Q4389" s="13" t="s">
        <v>75</v>
      </c>
      <c r="R4389" s="13" t="s">
        <v>75</v>
      </c>
      <c r="S4389" s="13" t="s">
        <v>9620</v>
      </c>
      <c r="T4389" s="44">
        <v>45842.60515938657</v>
      </c>
      <c r="U4389" s="44">
        <v>45845.64580263889</v>
      </c>
      <c r="V4389" s="44">
        <v>45846.3186709375</v>
      </c>
      <c r="W4389" s="11"/>
      <c r="X4389" s="11"/>
      <c r="Y4389" s="45">
        <v>302.0</v>
      </c>
      <c r="Z4389" s="45" t="s">
        <v>17308</v>
      </c>
      <c r="AA4389" s="31"/>
      <c r="AB4389" s="45" t="s">
        <v>17309</v>
      </c>
      <c r="AC4389" s="45"/>
    </row>
    <row r="4390" ht="18.75" customHeight="1">
      <c r="A4390" s="142" t="s">
        <v>17310</v>
      </c>
      <c r="B4390" s="19" t="s">
        <v>1811</v>
      </c>
      <c r="C4390" s="20">
        <v>90.0</v>
      </c>
      <c r="D4390" s="39" t="s">
        <v>17311</v>
      </c>
      <c r="E4390" s="27" t="s">
        <v>91</v>
      </c>
      <c r="F4390" s="27" t="s">
        <v>48</v>
      </c>
      <c r="G4390" s="18" t="s">
        <v>35</v>
      </c>
      <c r="H4390" s="40" t="s">
        <v>35</v>
      </c>
      <c r="I4390" s="37" t="s">
        <v>36</v>
      </c>
      <c r="J4390" s="25" t="s">
        <v>49</v>
      </c>
      <c r="K4390" s="26" t="s">
        <v>1506</v>
      </c>
      <c r="L4390" s="72">
        <v>13356.0</v>
      </c>
      <c r="M4390" s="49" t="s">
        <v>50</v>
      </c>
      <c r="N4390" s="42" t="s">
        <v>143</v>
      </c>
      <c r="O4390" s="67">
        <v>45846.58702253472</v>
      </c>
      <c r="P4390" s="35" t="s">
        <v>17100</v>
      </c>
      <c r="Q4390" s="13" t="s">
        <v>75</v>
      </c>
      <c r="R4390" s="13" t="s">
        <v>75</v>
      </c>
      <c r="S4390" s="13" t="s">
        <v>50</v>
      </c>
      <c r="T4390" s="44">
        <v>45845.49326440972</v>
      </c>
      <c r="U4390" s="44">
        <v>45845.644610312505</v>
      </c>
      <c r="V4390" s="44">
        <v>45846.36820899305</v>
      </c>
      <c r="W4390" s="11"/>
      <c r="X4390" s="11"/>
      <c r="Y4390" s="45">
        <v>302.0</v>
      </c>
      <c r="Z4390" s="45" t="s">
        <v>17312</v>
      </c>
      <c r="AA4390" s="31"/>
      <c r="AB4390" s="45" t="s">
        <v>17313</v>
      </c>
      <c r="AC4390" s="45"/>
    </row>
    <row r="4391" ht="18.75" customHeight="1">
      <c r="A4391" s="18" t="s">
        <v>17314</v>
      </c>
      <c r="B4391" s="19" t="s">
        <v>13433</v>
      </c>
      <c r="C4391" s="20">
        <v>11.0</v>
      </c>
      <c r="D4391" s="39" t="s">
        <v>17315</v>
      </c>
      <c r="E4391" s="27" t="s">
        <v>112</v>
      </c>
      <c r="F4391" s="27" t="s">
        <v>48</v>
      </c>
      <c r="G4391" s="18" t="s">
        <v>35</v>
      </c>
      <c r="H4391" s="40" t="s">
        <v>35</v>
      </c>
      <c r="I4391" s="37" t="s">
        <v>36</v>
      </c>
      <c r="J4391" s="25" t="s">
        <v>49</v>
      </c>
      <c r="K4391" s="26" t="s">
        <v>10380</v>
      </c>
      <c r="L4391" s="72">
        <v>13364.0</v>
      </c>
      <c r="M4391" s="49" t="s">
        <v>50</v>
      </c>
      <c r="N4391" s="42" t="s">
        <v>143</v>
      </c>
      <c r="O4391" s="67">
        <v>45846.586929212965</v>
      </c>
      <c r="P4391" s="35" t="s">
        <v>15666</v>
      </c>
      <c r="Q4391" s="13" t="s">
        <v>75</v>
      </c>
      <c r="R4391" s="13" t="s">
        <v>75</v>
      </c>
      <c r="S4391" s="13" t="s">
        <v>50</v>
      </c>
      <c r="T4391" s="44">
        <v>45846.4835288426</v>
      </c>
      <c r="U4391" s="44">
        <v>45846.48357836806</v>
      </c>
      <c r="V4391" s="44">
        <v>45846.564125115736</v>
      </c>
      <c r="W4391" s="11"/>
      <c r="X4391" s="11"/>
      <c r="Y4391" s="45">
        <v>302.0</v>
      </c>
      <c r="Z4391" s="45" t="s">
        <v>17316</v>
      </c>
      <c r="AA4391" s="31"/>
      <c r="AB4391" s="45" t="s">
        <v>17317</v>
      </c>
      <c r="AC4391" s="45"/>
    </row>
    <row r="4392" ht="18.75" customHeight="1">
      <c r="A4392" s="18" t="s">
        <v>17318</v>
      </c>
      <c r="B4392" s="19" t="s">
        <v>13433</v>
      </c>
      <c r="C4392" s="20">
        <v>11.0</v>
      </c>
      <c r="D4392" s="39" t="s">
        <v>17319</v>
      </c>
      <c r="E4392" s="27" t="s">
        <v>112</v>
      </c>
      <c r="F4392" s="27" t="s">
        <v>48</v>
      </c>
      <c r="G4392" s="18" t="s">
        <v>35</v>
      </c>
      <c r="H4392" s="40" t="s">
        <v>35</v>
      </c>
      <c r="I4392" s="37" t="s">
        <v>36</v>
      </c>
      <c r="J4392" s="25" t="s">
        <v>49</v>
      </c>
      <c r="K4392" s="26" t="s">
        <v>10380</v>
      </c>
      <c r="L4392" s="72">
        <v>13364.0</v>
      </c>
      <c r="M4392" s="49" t="s">
        <v>50</v>
      </c>
      <c r="N4392" s="42" t="s">
        <v>143</v>
      </c>
      <c r="O4392" s="67">
        <v>45846.58697498843</v>
      </c>
      <c r="P4392" s="35" t="s">
        <v>15666</v>
      </c>
      <c r="Q4392" s="13" t="s">
        <v>75</v>
      </c>
      <c r="R4392" s="13" t="s">
        <v>75</v>
      </c>
      <c r="S4392" s="13" t="s">
        <v>50</v>
      </c>
      <c r="T4392" s="44">
        <v>45845.48941256944</v>
      </c>
      <c r="U4392" s="44">
        <v>45845.62707633102</v>
      </c>
      <c r="V4392" s="44">
        <v>45846.56412510417</v>
      </c>
      <c r="W4392" s="11"/>
      <c r="X4392" s="11"/>
      <c r="Y4392" s="45">
        <v>302.0</v>
      </c>
      <c r="Z4392" s="45" t="s">
        <v>17320</v>
      </c>
      <c r="AA4392" s="31"/>
      <c r="AB4392" s="45" t="s">
        <v>17321</v>
      </c>
      <c r="AC4392" s="45"/>
    </row>
    <row r="4393" ht="18.75" customHeight="1">
      <c r="A4393" s="18" t="s">
        <v>17322</v>
      </c>
      <c r="B4393" s="19" t="s">
        <v>13433</v>
      </c>
      <c r="C4393" s="20">
        <v>137.0</v>
      </c>
      <c r="D4393" s="39" t="s">
        <v>17323</v>
      </c>
      <c r="E4393" s="27" t="s">
        <v>85</v>
      </c>
      <c r="F4393" s="27" t="s">
        <v>48</v>
      </c>
      <c r="G4393" s="18" t="s">
        <v>35</v>
      </c>
      <c r="H4393" s="40" t="s">
        <v>35</v>
      </c>
      <c r="I4393" s="37" t="s">
        <v>36</v>
      </c>
      <c r="J4393" s="25" t="s">
        <v>49</v>
      </c>
      <c r="K4393" s="26" t="s">
        <v>10380</v>
      </c>
      <c r="L4393" s="72">
        <v>13364.0</v>
      </c>
      <c r="M4393" s="49" t="s">
        <v>50</v>
      </c>
      <c r="N4393" s="42" t="s">
        <v>143</v>
      </c>
      <c r="O4393" s="67">
        <v>45846.58678333333</v>
      </c>
      <c r="P4393" s="35" t="s">
        <v>15666</v>
      </c>
      <c r="Q4393" s="13" t="s">
        <v>75</v>
      </c>
      <c r="R4393" s="13" t="s">
        <v>75</v>
      </c>
      <c r="S4393" s="13" t="s">
        <v>50</v>
      </c>
      <c r="T4393" s="44">
        <v>45846.4837777662</v>
      </c>
      <c r="U4393" s="44">
        <v>45846.483808125005</v>
      </c>
      <c r="V4393" s="44">
        <v>45846.564125115736</v>
      </c>
      <c r="W4393" s="11"/>
      <c r="X4393" s="11"/>
      <c r="Y4393" s="45">
        <v>302.0</v>
      </c>
      <c r="Z4393" s="45" t="s">
        <v>17324</v>
      </c>
      <c r="AA4393" s="31"/>
      <c r="AB4393" s="45" t="s">
        <v>17325</v>
      </c>
      <c r="AC4393" s="45"/>
    </row>
    <row r="4394" ht="18.75" customHeight="1">
      <c r="A4394" s="142" t="s">
        <v>17326</v>
      </c>
      <c r="B4394" s="19" t="s">
        <v>17327</v>
      </c>
      <c r="C4394" s="20">
        <v>0.0</v>
      </c>
      <c r="D4394" s="39" t="s">
        <v>17328</v>
      </c>
      <c r="E4394" s="27" t="s">
        <v>3441</v>
      </c>
      <c r="F4394" s="27" t="s">
        <v>48</v>
      </c>
      <c r="G4394" s="18" t="s">
        <v>35</v>
      </c>
      <c r="H4394" s="40" t="s">
        <v>35</v>
      </c>
      <c r="I4394" s="37" t="s">
        <v>36</v>
      </c>
      <c r="J4394" s="25" t="s">
        <v>65</v>
      </c>
      <c r="K4394" s="26" t="s">
        <v>38</v>
      </c>
      <c r="L4394" s="72">
        <v>13456.0</v>
      </c>
      <c r="M4394" s="49" t="s">
        <v>50</v>
      </c>
      <c r="N4394" s="42" t="s">
        <v>5883</v>
      </c>
      <c r="O4394" s="67">
        <v>45861.6463777662</v>
      </c>
      <c r="P4394" s="35" t="s">
        <v>16062</v>
      </c>
      <c r="Q4394" s="13" t="s">
        <v>75</v>
      </c>
      <c r="R4394" s="13" t="s">
        <v>75</v>
      </c>
      <c r="S4394" s="13" t="s">
        <v>50</v>
      </c>
      <c r="T4394" s="44">
        <v>45856.709618368055</v>
      </c>
      <c r="U4394" s="44">
        <v>45860.43118572916</v>
      </c>
      <c r="V4394" s="44">
        <v>45860.43254060185</v>
      </c>
      <c r="W4394" s="11"/>
      <c r="X4394" s="11"/>
      <c r="Y4394" s="45">
        <v>302.0</v>
      </c>
      <c r="Z4394" s="45" t="s">
        <v>17329</v>
      </c>
      <c r="AA4394" s="31"/>
      <c r="AB4394" s="45" t="s">
        <v>17330</v>
      </c>
      <c r="AC4394" s="45"/>
    </row>
    <row r="4395" ht="18.75" customHeight="1">
      <c r="A4395" s="142" t="s">
        <v>17331</v>
      </c>
      <c r="B4395" s="19" t="s">
        <v>4308</v>
      </c>
      <c r="C4395" s="20">
        <v>90.0</v>
      </c>
      <c r="D4395" s="39" t="s">
        <v>17332</v>
      </c>
      <c r="E4395" s="27" t="s">
        <v>91</v>
      </c>
      <c r="F4395" s="27" t="s">
        <v>48</v>
      </c>
      <c r="G4395" s="18" t="s">
        <v>35</v>
      </c>
      <c r="H4395" s="40" t="s">
        <v>35</v>
      </c>
      <c r="I4395" s="37" t="s">
        <v>36</v>
      </c>
      <c r="J4395" s="25" t="s">
        <v>92</v>
      </c>
      <c r="K4395" s="26" t="s">
        <v>38</v>
      </c>
      <c r="L4395" s="72">
        <v>13355.0</v>
      </c>
      <c r="M4395" s="49" t="s">
        <v>50</v>
      </c>
      <c r="N4395" s="42" t="s">
        <v>7638</v>
      </c>
      <c r="O4395" s="67">
        <v>45846.46237625</v>
      </c>
      <c r="P4395" s="35" t="s">
        <v>17333</v>
      </c>
      <c r="Q4395" s="13" t="s">
        <v>75</v>
      </c>
      <c r="R4395" s="13" t="s">
        <v>75</v>
      </c>
      <c r="S4395" s="13" t="s">
        <v>50</v>
      </c>
      <c r="T4395" s="44">
        <v>45845.59656160879</v>
      </c>
      <c r="U4395" s="44">
        <v>45845.604642986116</v>
      </c>
      <c r="V4395" s="44">
        <v>45846.37191265046</v>
      </c>
      <c r="W4395" s="11"/>
      <c r="X4395" s="11"/>
      <c r="Y4395" s="45">
        <v>302.0</v>
      </c>
      <c r="Z4395" s="45" t="s">
        <v>17334</v>
      </c>
      <c r="AA4395" s="31"/>
      <c r="AB4395" s="45" t="s">
        <v>17335</v>
      </c>
      <c r="AC4395" s="45"/>
    </row>
    <row r="4396" ht="18.75" customHeight="1">
      <c r="A4396" s="142" t="s">
        <v>17336</v>
      </c>
      <c r="B4396" s="19" t="s">
        <v>17337</v>
      </c>
      <c r="C4396" s="20">
        <v>27.0</v>
      </c>
      <c r="D4396" s="39" t="s">
        <v>17338</v>
      </c>
      <c r="E4396" s="27" t="s">
        <v>72</v>
      </c>
      <c r="F4396" s="27" t="s">
        <v>48</v>
      </c>
      <c r="G4396" s="18" t="s">
        <v>35</v>
      </c>
      <c r="H4396" s="40" t="s">
        <v>35</v>
      </c>
      <c r="I4396" s="37" t="s">
        <v>36</v>
      </c>
      <c r="J4396" s="25" t="s">
        <v>92</v>
      </c>
      <c r="K4396" s="26" t="s">
        <v>38</v>
      </c>
      <c r="L4396" s="72">
        <v>13379.0</v>
      </c>
      <c r="M4396" s="49" t="s">
        <v>73</v>
      </c>
      <c r="N4396" s="42" t="s">
        <v>5352</v>
      </c>
      <c r="O4396" s="67">
        <v>45859.43061710648</v>
      </c>
      <c r="P4396" s="35" t="s">
        <v>17339</v>
      </c>
      <c r="Q4396" s="13" t="s">
        <v>75</v>
      </c>
      <c r="R4396" s="13" t="s">
        <v>75</v>
      </c>
      <c r="S4396" s="13" t="s">
        <v>50</v>
      </c>
      <c r="T4396" s="44">
        <v>45845.59701790509</v>
      </c>
      <c r="U4396" s="44">
        <v>45847.53780172454</v>
      </c>
      <c r="V4396" s="44">
        <v>45848.4882071875</v>
      </c>
      <c r="W4396" s="11"/>
      <c r="X4396" s="11"/>
      <c r="Y4396" s="45">
        <v>302.0</v>
      </c>
      <c r="Z4396" s="45" t="s">
        <v>17340</v>
      </c>
      <c r="AA4396" s="31"/>
      <c r="AB4396" s="45" t="s">
        <v>17341</v>
      </c>
      <c r="AC4396" s="45"/>
    </row>
    <row r="4397" ht="18.75" customHeight="1">
      <c r="A4397" s="142" t="s">
        <v>17342</v>
      </c>
      <c r="B4397" s="19" t="s">
        <v>911</v>
      </c>
      <c r="C4397" s="20">
        <v>1.0</v>
      </c>
      <c r="D4397" s="39" t="s">
        <v>17343</v>
      </c>
      <c r="E4397" s="27" t="s">
        <v>3395</v>
      </c>
      <c r="F4397" s="27" t="s">
        <v>48</v>
      </c>
      <c r="G4397" s="18" t="s">
        <v>35</v>
      </c>
      <c r="H4397" s="40" t="s">
        <v>35</v>
      </c>
      <c r="I4397" s="37" t="s">
        <v>36</v>
      </c>
      <c r="J4397" s="25" t="s">
        <v>49</v>
      </c>
      <c r="K4397" s="26" t="s">
        <v>38</v>
      </c>
      <c r="L4397" s="72">
        <v>13357.0</v>
      </c>
      <c r="M4397" s="49" t="s">
        <v>50</v>
      </c>
      <c r="N4397" s="42" t="s">
        <v>143</v>
      </c>
      <c r="O4397" s="67">
        <v>45846.58673594907</v>
      </c>
      <c r="P4397" s="35" t="s">
        <v>17344</v>
      </c>
      <c r="Q4397" s="13" t="s">
        <v>75</v>
      </c>
      <c r="R4397" s="13" t="s">
        <v>75</v>
      </c>
      <c r="S4397" s="13" t="s">
        <v>50</v>
      </c>
      <c r="T4397" s="44">
        <v>45845.59753972222</v>
      </c>
      <c r="U4397" s="44">
        <v>45845.626604351855</v>
      </c>
      <c r="V4397" s="44">
        <v>45846.3704080787</v>
      </c>
      <c r="W4397" s="11"/>
      <c r="X4397" s="11"/>
      <c r="Y4397" s="45">
        <v>302.0</v>
      </c>
      <c r="Z4397" s="45" t="s">
        <v>17345</v>
      </c>
      <c r="AA4397" s="31"/>
      <c r="AB4397" s="45" t="s">
        <v>17346</v>
      </c>
      <c r="AC4397" s="45"/>
    </row>
    <row r="4398" ht="18.75" customHeight="1">
      <c r="A4398" s="142" t="s">
        <v>17347</v>
      </c>
      <c r="B4398" s="19" t="s">
        <v>17348</v>
      </c>
      <c r="C4398" s="20">
        <v>90.0</v>
      </c>
      <c r="D4398" s="39" t="s">
        <v>17349</v>
      </c>
      <c r="E4398" s="27" t="s">
        <v>91</v>
      </c>
      <c r="F4398" s="27" t="s">
        <v>48</v>
      </c>
      <c r="G4398" s="18" t="s">
        <v>35</v>
      </c>
      <c r="H4398" s="40" t="s">
        <v>35</v>
      </c>
      <c r="I4398" s="37" t="s">
        <v>36</v>
      </c>
      <c r="J4398" s="25" t="s">
        <v>49</v>
      </c>
      <c r="K4398" s="26" t="s">
        <v>447</v>
      </c>
      <c r="L4398" s="72">
        <v>13360.0</v>
      </c>
      <c r="M4398" s="49" t="s">
        <v>50</v>
      </c>
      <c r="N4398" s="42" t="s">
        <v>143</v>
      </c>
      <c r="O4398" s="67">
        <v>45846.58668945602</v>
      </c>
      <c r="P4398" s="35" t="s">
        <v>17350</v>
      </c>
      <c r="Q4398" s="13" t="s">
        <v>75</v>
      </c>
      <c r="R4398" s="13" t="s">
        <v>75</v>
      </c>
      <c r="S4398" s="13" t="s">
        <v>50</v>
      </c>
      <c r="T4398" s="44">
        <v>45845.598266354165</v>
      </c>
      <c r="U4398" s="44">
        <v>45845.702141354166</v>
      </c>
      <c r="V4398" s="44">
        <v>45846.368440509264</v>
      </c>
      <c r="W4398" s="11"/>
      <c r="X4398" s="11"/>
      <c r="Y4398" s="45">
        <v>302.0</v>
      </c>
      <c r="Z4398" s="45" t="s">
        <v>17351</v>
      </c>
      <c r="AA4398" s="31"/>
      <c r="AB4398" s="45" t="s">
        <v>17352</v>
      </c>
      <c r="AC4398" s="45"/>
    </row>
    <row r="4399" ht="18.75" customHeight="1">
      <c r="A4399" s="142" t="s">
        <v>17353</v>
      </c>
      <c r="B4399" s="19" t="s">
        <v>14435</v>
      </c>
      <c r="C4399" s="20">
        <v>0.0</v>
      </c>
      <c r="D4399" s="39" t="s">
        <v>17354</v>
      </c>
      <c r="E4399" s="27" t="s">
        <v>3441</v>
      </c>
      <c r="F4399" s="27" t="s">
        <v>48</v>
      </c>
      <c r="G4399" s="18" t="s">
        <v>35</v>
      </c>
      <c r="H4399" s="40" t="s">
        <v>35</v>
      </c>
      <c r="I4399" s="37" t="s">
        <v>36</v>
      </c>
      <c r="J4399" s="25" t="s">
        <v>65</v>
      </c>
      <c r="K4399" s="26" t="s">
        <v>38</v>
      </c>
      <c r="L4399" s="72">
        <v>13361.0</v>
      </c>
      <c r="M4399" s="49" t="s">
        <v>50</v>
      </c>
      <c r="N4399" s="42" t="s">
        <v>149</v>
      </c>
      <c r="O4399" s="67">
        <v>45846.60493452546</v>
      </c>
      <c r="P4399" s="35" t="s">
        <v>15829</v>
      </c>
      <c r="Q4399" s="13" t="s">
        <v>75</v>
      </c>
      <c r="R4399" s="13" t="s">
        <v>75</v>
      </c>
      <c r="S4399" s="13" t="s">
        <v>50</v>
      </c>
      <c r="T4399" s="44">
        <v>45845.598691377316</v>
      </c>
      <c r="U4399" s="44">
        <v>45845.649166620366</v>
      </c>
      <c r="V4399" s="44">
        <v>45846.40721365741</v>
      </c>
      <c r="W4399" s="11"/>
      <c r="X4399" s="11"/>
      <c r="Y4399" s="45">
        <v>302.0</v>
      </c>
      <c r="Z4399" s="45" t="s">
        <v>17355</v>
      </c>
      <c r="AA4399" s="31"/>
      <c r="AB4399" s="45" t="s">
        <v>17356</v>
      </c>
      <c r="AC4399" s="45"/>
    </row>
    <row r="4400" ht="18.75" customHeight="1">
      <c r="A4400" s="18" t="s">
        <v>17357</v>
      </c>
      <c r="B4400" s="19" t="s">
        <v>17358</v>
      </c>
      <c r="C4400" s="20">
        <v>0.0</v>
      </c>
      <c r="D4400" s="39" t="s">
        <v>17359</v>
      </c>
      <c r="E4400" s="27" t="s">
        <v>4430</v>
      </c>
      <c r="F4400" s="27" t="s">
        <v>48</v>
      </c>
      <c r="G4400" s="18" t="s">
        <v>35</v>
      </c>
      <c r="H4400" s="40" t="s">
        <v>35</v>
      </c>
      <c r="I4400" s="37" t="s">
        <v>36</v>
      </c>
      <c r="J4400" s="25" t="s">
        <v>49</v>
      </c>
      <c r="K4400" s="26" t="s">
        <v>16881</v>
      </c>
      <c r="L4400" s="72">
        <v>13459.0</v>
      </c>
      <c r="M4400" s="49" t="s">
        <v>50</v>
      </c>
      <c r="N4400" s="42" t="s">
        <v>5936</v>
      </c>
      <c r="O4400" s="67">
        <v>45860.743055555555</v>
      </c>
      <c r="P4400" s="35" t="s">
        <v>17360</v>
      </c>
      <c r="Q4400" s="13" t="s">
        <v>75</v>
      </c>
      <c r="R4400" s="13" t="s">
        <v>75</v>
      </c>
      <c r="S4400" s="13" t="s">
        <v>50</v>
      </c>
      <c r="T4400" s="44">
        <v>45856.47345023148</v>
      </c>
      <c r="U4400" s="44">
        <v>45860.48288848379</v>
      </c>
      <c r="V4400" s="44">
        <v>45860.552387442134</v>
      </c>
      <c r="W4400" s="11"/>
      <c r="X4400" s="11"/>
      <c r="Y4400" s="45">
        <v>302.0</v>
      </c>
      <c r="Z4400" s="45" t="s">
        <v>17361</v>
      </c>
      <c r="AA4400" s="31"/>
      <c r="AB4400" s="45" t="s">
        <v>17362</v>
      </c>
      <c r="AC4400" s="45"/>
    </row>
    <row r="4401" ht="18.75" customHeight="1">
      <c r="A4401" s="18" t="s">
        <v>17363</v>
      </c>
      <c r="B4401" s="19" t="s">
        <v>17358</v>
      </c>
      <c r="C4401" s="20">
        <v>0.0</v>
      </c>
      <c r="D4401" s="39" t="s">
        <v>17364</v>
      </c>
      <c r="E4401" s="27" t="s">
        <v>4430</v>
      </c>
      <c r="F4401" s="27" t="s">
        <v>48</v>
      </c>
      <c r="G4401" s="18" t="s">
        <v>35</v>
      </c>
      <c r="H4401" s="40" t="s">
        <v>35</v>
      </c>
      <c r="I4401" s="37" t="s">
        <v>36</v>
      </c>
      <c r="J4401" s="25" t="s">
        <v>49</v>
      </c>
      <c r="K4401" s="26" t="s">
        <v>16881</v>
      </c>
      <c r="L4401" s="72">
        <v>13459.0</v>
      </c>
      <c r="M4401" s="49" t="s">
        <v>50</v>
      </c>
      <c r="N4401" s="42" t="s">
        <v>5936</v>
      </c>
      <c r="O4401" s="67">
        <v>45860.742361111115</v>
      </c>
      <c r="P4401" s="35" t="s">
        <v>17360</v>
      </c>
      <c r="Q4401" s="13" t="s">
        <v>75</v>
      </c>
      <c r="R4401" s="13" t="s">
        <v>75</v>
      </c>
      <c r="S4401" s="13" t="s">
        <v>50</v>
      </c>
      <c r="T4401" s="44">
        <v>45856.47349366898</v>
      </c>
      <c r="U4401" s="44">
        <v>45860.48292166667</v>
      </c>
      <c r="V4401" s="44">
        <v>45860.552387442134</v>
      </c>
      <c r="W4401" s="11"/>
      <c r="X4401" s="11"/>
      <c r="Y4401" s="45">
        <v>302.0</v>
      </c>
      <c r="Z4401" s="45" t="s">
        <v>17365</v>
      </c>
      <c r="AA4401" s="31"/>
      <c r="AB4401" s="45" t="s">
        <v>17366</v>
      </c>
      <c r="AC4401" s="45"/>
    </row>
    <row r="4402" ht="18.75" customHeight="1">
      <c r="A4402" s="142" t="s">
        <v>17367</v>
      </c>
      <c r="B4402" s="19" t="s">
        <v>7945</v>
      </c>
      <c r="C4402" s="20">
        <v>1.0</v>
      </c>
      <c r="D4402" s="39" t="s">
        <v>17368</v>
      </c>
      <c r="E4402" s="27" t="s">
        <v>3395</v>
      </c>
      <c r="F4402" s="27" t="s">
        <v>48</v>
      </c>
      <c r="G4402" s="18" t="s">
        <v>35</v>
      </c>
      <c r="H4402" s="40" t="s">
        <v>35</v>
      </c>
      <c r="I4402" s="37" t="s">
        <v>36</v>
      </c>
      <c r="J4402" s="25" t="s">
        <v>49</v>
      </c>
      <c r="K4402" s="26" t="s">
        <v>447</v>
      </c>
      <c r="L4402" s="72">
        <v>13397.0</v>
      </c>
      <c r="M4402" s="49" t="s">
        <v>50</v>
      </c>
      <c r="N4402" s="42" t="s">
        <v>17048</v>
      </c>
      <c r="O4402" s="67">
        <v>45852.58280695602</v>
      </c>
      <c r="P4402" s="35" t="s">
        <v>15666</v>
      </c>
      <c r="Q4402" s="13" t="s">
        <v>75</v>
      </c>
      <c r="R4402" s="13" t="s">
        <v>75</v>
      </c>
      <c r="S4402" s="13" t="s">
        <v>50</v>
      </c>
      <c r="T4402" s="44">
        <v>45845.626180694446</v>
      </c>
      <c r="U4402" s="44">
        <v>45852.38954704861</v>
      </c>
      <c r="V4402" s="44">
        <v>45852.39844074074</v>
      </c>
      <c r="W4402" s="11"/>
      <c r="X4402" s="11"/>
      <c r="Y4402" s="45">
        <v>302.0</v>
      </c>
      <c r="Z4402" s="45" t="s">
        <v>17369</v>
      </c>
      <c r="AA4402" s="31"/>
      <c r="AB4402" s="45" t="s">
        <v>17370</v>
      </c>
      <c r="AC4402" s="45"/>
    </row>
    <row r="4403" ht="18.75" customHeight="1">
      <c r="A4403" s="142" t="s">
        <v>17371</v>
      </c>
      <c r="B4403" s="19" t="s">
        <v>5650</v>
      </c>
      <c r="C4403" s="20">
        <v>27.0</v>
      </c>
      <c r="D4403" s="39" t="s">
        <v>17372</v>
      </c>
      <c r="E4403" s="27" t="s">
        <v>72</v>
      </c>
      <c r="F4403" s="27" t="s">
        <v>48</v>
      </c>
      <c r="G4403" s="18" t="s">
        <v>35</v>
      </c>
      <c r="H4403" s="40" t="s">
        <v>35</v>
      </c>
      <c r="I4403" s="37" t="s">
        <v>36</v>
      </c>
      <c r="J4403" s="25" t="s">
        <v>49</v>
      </c>
      <c r="K4403" s="26" t="s">
        <v>38</v>
      </c>
      <c r="L4403" s="72">
        <v>13358.0</v>
      </c>
      <c r="M4403" s="49" t="s">
        <v>50</v>
      </c>
      <c r="N4403" s="42" t="s">
        <v>143</v>
      </c>
      <c r="O4403" s="67">
        <v>45846.58664006944</v>
      </c>
      <c r="P4403" s="35" t="s">
        <v>15666</v>
      </c>
      <c r="Q4403" s="13" t="s">
        <v>75</v>
      </c>
      <c r="R4403" s="13" t="s">
        <v>75</v>
      </c>
      <c r="S4403" s="13" t="s">
        <v>50</v>
      </c>
      <c r="T4403" s="44">
        <v>45845.60137938657</v>
      </c>
      <c r="U4403" s="44">
        <v>45845.68249070602</v>
      </c>
      <c r="V4403" s="44">
        <v>45846.370060891204</v>
      </c>
      <c r="W4403" s="11"/>
      <c r="X4403" s="11"/>
      <c r="Y4403" s="45">
        <v>302.0</v>
      </c>
      <c r="Z4403" s="45" t="s">
        <v>17373</v>
      </c>
      <c r="AA4403" s="31"/>
      <c r="AB4403" s="45" t="s">
        <v>17374</v>
      </c>
      <c r="AC4403" s="45"/>
    </row>
    <row r="4404" ht="18.75" customHeight="1">
      <c r="A4404" s="142" t="s">
        <v>17375</v>
      </c>
      <c r="B4404" s="19" t="s">
        <v>16822</v>
      </c>
      <c r="C4404" s="20">
        <v>0.0</v>
      </c>
      <c r="D4404" s="179">
        <v>20128.0</v>
      </c>
      <c r="E4404" s="27" t="s">
        <v>12405</v>
      </c>
      <c r="F4404" s="27" t="s">
        <v>48</v>
      </c>
      <c r="G4404" s="18" t="s">
        <v>35</v>
      </c>
      <c r="H4404" s="40" t="s">
        <v>35</v>
      </c>
      <c r="I4404" s="37" t="s">
        <v>36</v>
      </c>
      <c r="J4404" s="25" t="s">
        <v>49</v>
      </c>
      <c r="K4404" s="26" t="s">
        <v>38</v>
      </c>
      <c r="L4404" s="72">
        <v>13499.0</v>
      </c>
      <c r="M4404" s="49" t="s">
        <v>73</v>
      </c>
      <c r="N4404" s="42" t="s">
        <v>5936</v>
      </c>
      <c r="O4404" s="67">
        <v>45867.6204803588</v>
      </c>
      <c r="P4404" s="35" t="s">
        <v>15666</v>
      </c>
      <c r="Q4404" s="13" t="s">
        <v>75</v>
      </c>
      <c r="R4404" s="13" t="s">
        <v>75</v>
      </c>
      <c r="S4404" s="13" t="s">
        <v>9620</v>
      </c>
      <c r="T4404" s="44">
        <v>45845.60194283565</v>
      </c>
      <c r="U4404" s="44">
        <v>45860.63680883102</v>
      </c>
      <c r="V4404" s="44">
        <v>45866.630282349535</v>
      </c>
      <c r="W4404" s="11"/>
      <c r="X4404" s="11"/>
      <c r="Y4404" s="45">
        <v>302.0</v>
      </c>
      <c r="Z4404" s="45" t="s">
        <v>17376</v>
      </c>
      <c r="AA4404" s="31"/>
      <c r="AB4404" s="45" t="s">
        <v>17377</v>
      </c>
      <c r="AC4404" s="45"/>
    </row>
    <row r="4405" ht="18.75" customHeight="1">
      <c r="A4405" s="18" t="s">
        <v>17378</v>
      </c>
      <c r="B4405" s="19" t="s">
        <v>8666</v>
      </c>
      <c r="C4405" s="20">
        <v>27.0</v>
      </c>
      <c r="D4405" s="39" t="s">
        <v>17379</v>
      </c>
      <c r="E4405" s="27" t="s">
        <v>72</v>
      </c>
      <c r="F4405" s="27" t="s">
        <v>48</v>
      </c>
      <c r="G4405" s="18" t="s">
        <v>35</v>
      </c>
      <c r="H4405" s="40" t="s">
        <v>35</v>
      </c>
      <c r="I4405" s="37" t="s">
        <v>36</v>
      </c>
      <c r="J4405" s="25" t="s">
        <v>49</v>
      </c>
      <c r="K4405" s="26" t="s">
        <v>38</v>
      </c>
      <c r="L4405" s="72">
        <v>13426.0</v>
      </c>
      <c r="M4405" s="49" t="s">
        <v>50</v>
      </c>
      <c r="N4405" s="42" t="s">
        <v>5936</v>
      </c>
      <c r="O4405" s="67">
        <v>45855.62011131944</v>
      </c>
      <c r="P4405" s="35" t="s">
        <v>15666</v>
      </c>
      <c r="Q4405" s="13" t="s">
        <v>75</v>
      </c>
      <c r="R4405" s="13" t="s">
        <v>6028</v>
      </c>
      <c r="S4405" s="13" t="s">
        <v>50</v>
      </c>
      <c r="T4405" s="44">
        <v>45845.60273403935</v>
      </c>
      <c r="U4405" s="44">
        <v>45855.46755695602</v>
      </c>
      <c r="V4405" s="44">
        <v>45855.48294537037</v>
      </c>
      <c r="W4405" s="11"/>
      <c r="X4405" s="11"/>
      <c r="Y4405" s="45">
        <v>302.0</v>
      </c>
      <c r="Z4405" s="45" t="s">
        <v>17380</v>
      </c>
      <c r="AA4405" s="31"/>
      <c r="AB4405" s="45" t="s">
        <v>17381</v>
      </c>
      <c r="AC4405" s="45"/>
    </row>
    <row r="4406" ht="18.75" customHeight="1">
      <c r="A4406" s="18" t="s">
        <v>17382</v>
      </c>
      <c r="B4406" s="19" t="s">
        <v>8666</v>
      </c>
      <c r="C4406" s="20">
        <v>0.0</v>
      </c>
      <c r="D4406" s="39" t="s">
        <v>17383</v>
      </c>
      <c r="E4406" s="27" t="s">
        <v>3441</v>
      </c>
      <c r="F4406" s="27" t="s">
        <v>48</v>
      </c>
      <c r="G4406" s="18" t="s">
        <v>35</v>
      </c>
      <c r="H4406" s="40" t="s">
        <v>35</v>
      </c>
      <c r="I4406" s="37" t="s">
        <v>36</v>
      </c>
      <c r="J4406" s="25" t="s">
        <v>49</v>
      </c>
      <c r="K4406" s="26" t="s">
        <v>38</v>
      </c>
      <c r="L4406" s="72">
        <v>13426.0</v>
      </c>
      <c r="M4406" s="49" t="s">
        <v>50</v>
      </c>
      <c r="N4406" s="42" t="s">
        <v>5936</v>
      </c>
      <c r="O4406" s="67">
        <v>45855.62006260417</v>
      </c>
      <c r="P4406" s="35" t="s">
        <v>15666</v>
      </c>
      <c r="Q4406" s="13" t="s">
        <v>75</v>
      </c>
      <c r="R4406" s="13" t="s">
        <v>6028</v>
      </c>
      <c r="S4406" s="13" t="s">
        <v>50</v>
      </c>
      <c r="T4406" s="44">
        <v>45845.602984363424</v>
      </c>
      <c r="U4406" s="44">
        <v>45855.46760737269</v>
      </c>
      <c r="V4406" s="44">
        <v>45855.48294538194</v>
      </c>
      <c r="W4406" s="11"/>
      <c r="X4406" s="11"/>
      <c r="Y4406" s="45">
        <v>302.0</v>
      </c>
      <c r="Z4406" s="45" t="s">
        <v>17384</v>
      </c>
      <c r="AA4406" s="31"/>
      <c r="AB4406" s="45" t="s">
        <v>17385</v>
      </c>
      <c r="AC4406" s="45"/>
    </row>
    <row r="4407" ht="18.75" customHeight="1">
      <c r="A4407" s="142" t="s">
        <v>17386</v>
      </c>
      <c r="B4407" s="19" t="s">
        <v>4681</v>
      </c>
      <c r="C4407" s="20">
        <v>27.0</v>
      </c>
      <c r="D4407" s="39" t="s">
        <v>17387</v>
      </c>
      <c r="E4407" s="27" t="s">
        <v>72</v>
      </c>
      <c r="F4407" s="27" t="s">
        <v>48</v>
      </c>
      <c r="G4407" s="18" t="s">
        <v>35</v>
      </c>
      <c r="H4407" s="40" t="s">
        <v>35</v>
      </c>
      <c r="I4407" s="37" t="s">
        <v>36</v>
      </c>
      <c r="J4407" s="25" t="s">
        <v>15990</v>
      </c>
      <c r="K4407" s="26" t="s">
        <v>38</v>
      </c>
      <c r="L4407" s="72">
        <v>13352.0</v>
      </c>
      <c r="M4407" s="49" t="s">
        <v>15811</v>
      </c>
      <c r="N4407" s="42"/>
      <c r="O4407" s="67">
        <v>45845.623817858796</v>
      </c>
      <c r="P4407" s="35" t="s">
        <v>17388</v>
      </c>
      <c r="Q4407" s="13" t="s">
        <v>75</v>
      </c>
      <c r="R4407" s="13" t="s">
        <v>75</v>
      </c>
      <c r="S4407" s="13" t="s">
        <v>75</v>
      </c>
      <c r="T4407" s="44">
        <v>45845.617501493056</v>
      </c>
      <c r="U4407" s="44">
        <v>45845.623817858796</v>
      </c>
      <c r="V4407" s="44">
        <v>45845.623817858796</v>
      </c>
      <c r="W4407" s="11"/>
      <c r="X4407" s="11"/>
      <c r="Y4407" s="45"/>
      <c r="Z4407" s="45"/>
      <c r="AA4407" s="31"/>
      <c r="AB4407" s="45" t="s">
        <v>17389</v>
      </c>
      <c r="AC4407" s="45"/>
    </row>
    <row r="4408" ht="18.75" customHeight="1">
      <c r="A4408" s="18" t="s">
        <v>17390</v>
      </c>
      <c r="B4408" s="19" t="s">
        <v>16284</v>
      </c>
      <c r="C4408" s="20">
        <v>1.0</v>
      </c>
      <c r="D4408" s="39" t="s">
        <v>17391</v>
      </c>
      <c r="E4408" s="27" t="s">
        <v>3395</v>
      </c>
      <c r="F4408" s="27" t="s">
        <v>48</v>
      </c>
      <c r="G4408" s="18" t="s">
        <v>35</v>
      </c>
      <c r="H4408" s="40" t="s">
        <v>35</v>
      </c>
      <c r="I4408" s="37" t="s">
        <v>36</v>
      </c>
      <c r="J4408" s="25" t="s">
        <v>65</v>
      </c>
      <c r="K4408" s="26" t="s">
        <v>38</v>
      </c>
      <c r="L4408" s="72">
        <v>13372.0</v>
      </c>
      <c r="M4408" s="49" t="s">
        <v>50</v>
      </c>
      <c r="N4408" s="42" t="s">
        <v>14184</v>
      </c>
      <c r="O4408" s="67">
        <v>45847.67708333333</v>
      </c>
      <c r="P4408" s="35" t="s">
        <v>17392</v>
      </c>
      <c r="Q4408" s="13" t="s">
        <v>75</v>
      </c>
      <c r="R4408" s="13" t="s">
        <v>75</v>
      </c>
      <c r="S4408" s="13" t="s">
        <v>50</v>
      </c>
      <c r="T4408" s="44">
        <v>45847.43355090277</v>
      </c>
      <c r="U4408" s="44">
        <v>45847.43701451389</v>
      </c>
      <c r="V4408" s="44">
        <v>45847.49547871528</v>
      </c>
      <c r="W4408" s="11"/>
      <c r="X4408" s="11"/>
      <c r="Y4408" s="45">
        <v>302.0</v>
      </c>
      <c r="Z4408" s="45" t="s">
        <v>17393</v>
      </c>
      <c r="AA4408" s="31"/>
      <c r="AB4408" s="45" t="s">
        <v>17394</v>
      </c>
      <c r="AC4408" s="45"/>
    </row>
    <row r="4409" ht="18.75" customHeight="1">
      <c r="A4409" s="18" t="s">
        <v>17395</v>
      </c>
      <c r="B4409" s="19" t="s">
        <v>16284</v>
      </c>
      <c r="C4409" s="20">
        <v>1.0</v>
      </c>
      <c r="D4409" s="39" t="s">
        <v>17396</v>
      </c>
      <c r="E4409" s="27" t="s">
        <v>3395</v>
      </c>
      <c r="F4409" s="27" t="s">
        <v>48</v>
      </c>
      <c r="G4409" s="18" t="s">
        <v>35</v>
      </c>
      <c r="H4409" s="40" t="s">
        <v>35</v>
      </c>
      <c r="I4409" s="37" t="s">
        <v>36</v>
      </c>
      <c r="J4409" s="25" t="s">
        <v>65</v>
      </c>
      <c r="K4409" s="26" t="s">
        <v>38</v>
      </c>
      <c r="L4409" s="72">
        <v>13372.0</v>
      </c>
      <c r="M4409" s="49" t="s">
        <v>50</v>
      </c>
      <c r="N4409" s="42" t="s">
        <v>14184</v>
      </c>
      <c r="O4409" s="67">
        <v>45847.67708333333</v>
      </c>
      <c r="P4409" s="35" t="s">
        <v>17392</v>
      </c>
      <c r="Q4409" s="13" t="s">
        <v>75</v>
      </c>
      <c r="R4409" s="13" t="s">
        <v>75</v>
      </c>
      <c r="S4409" s="13" t="s">
        <v>50</v>
      </c>
      <c r="T4409" s="44">
        <v>45847.43494931713</v>
      </c>
      <c r="U4409" s="44">
        <v>45847.43705173611</v>
      </c>
      <c r="V4409" s="44">
        <v>45847.495577951384</v>
      </c>
      <c r="W4409" s="11"/>
      <c r="X4409" s="11"/>
      <c r="Y4409" s="45">
        <v>302.0</v>
      </c>
      <c r="Z4409" s="45" t="s">
        <v>17397</v>
      </c>
      <c r="AA4409" s="31"/>
      <c r="AB4409" s="45" t="s">
        <v>17398</v>
      </c>
      <c r="AC4409" s="45"/>
    </row>
    <row r="4410" ht="18.75" customHeight="1">
      <c r="A4410" s="32" t="s">
        <v>17399</v>
      </c>
      <c r="B4410" s="19" t="s">
        <v>13433</v>
      </c>
      <c r="C4410" s="20">
        <v>90.0</v>
      </c>
      <c r="D4410" s="18" t="s">
        <v>17400</v>
      </c>
      <c r="E4410" s="27" t="s">
        <v>91</v>
      </c>
      <c r="F4410" s="27" t="s">
        <v>48</v>
      </c>
      <c r="G4410" s="18" t="s">
        <v>35</v>
      </c>
      <c r="H4410" s="40" t="s">
        <v>35</v>
      </c>
      <c r="I4410" s="37" t="s">
        <v>36</v>
      </c>
      <c r="J4410" s="25" t="s">
        <v>49</v>
      </c>
      <c r="K4410" s="26" t="s">
        <v>38</v>
      </c>
      <c r="L4410" s="72">
        <v>13323.0</v>
      </c>
      <c r="M4410" s="49" t="s">
        <v>50</v>
      </c>
      <c r="N4410" s="42" t="s">
        <v>143</v>
      </c>
      <c r="O4410" s="67">
        <v>45839.68447310185</v>
      </c>
      <c r="P4410" s="35" t="s">
        <v>17401</v>
      </c>
      <c r="Q4410" s="13" t="s">
        <v>75</v>
      </c>
      <c r="R4410" s="13" t="s">
        <v>75</v>
      </c>
      <c r="S4410" s="13" t="s">
        <v>50</v>
      </c>
      <c r="T4410" s="44">
        <v>45819.43663949074</v>
      </c>
      <c r="U4410" s="44">
        <v>45838.56679858796</v>
      </c>
      <c r="V4410" s="44">
        <v>45839.36279885417</v>
      </c>
      <c r="W4410" s="11"/>
      <c r="X4410" s="11"/>
      <c r="Y4410" s="45">
        <v>302.0</v>
      </c>
      <c r="Z4410" s="45" t="s">
        <v>17402</v>
      </c>
      <c r="AA4410" s="31"/>
      <c r="AB4410" s="45" t="s">
        <v>17403</v>
      </c>
      <c r="AC4410" s="45"/>
    </row>
    <row r="4411" ht="18.75" customHeight="1">
      <c r="A4411" s="32" t="s">
        <v>17404</v>
      </c>
      <c r="B4411" s="19" t="s">
        <v>13433</v>
      </c>
      <c r="C4411" s="20">
        <v>90.0</v>
      </c>
      <c r="D4411" s="18" t="s">
        <v>17405</v>
      </c>
      <c r="E4411" s="27" t="s">
        <v>91</v>
      </c>
      <c r="F4411" s="27" t="s">
        <v>48</v>
      </c>
      <c r="G4411" s="18" t="s">
        <v>35</v>
      </c>
      <c r="H4411" s="40" t="s">
        <v>35</v>
      </c>
      <c r="I4411" s="37" t="s">
        <v>36</v>
      </c>
      <c r="J4411" s="25" t="s">
        <v>49</v>
      </c>
      <c r="K4411" s="26" t="s">
        <v>38</v>
      </c>
      <c r="L4411" s="72">
        <v>13323.0</v>
      </c>
      <c r="M4411" s="49" t="s">
        <v>50</v>
      </c>
      <c r="N4411" s="42" t="s">
        <v>143</v>
      </c>
      <c r="O4411" s="67">
        <v>45839.68438944445</v>
      </c>
      <c r="P4411" s="35" t="s">
        <v>17401</v>
      </c>
      <c r="Q4411" s="13" t="s">
        <v>75</v>
      </c>
      <c r="R4411" s="13" t="s">
        <v>75</v>
      </c>
      <c r="S4411" s="13" t="s">
        <v>50</v>
      </c>
      <c r="T4411" s="44">
        <v>45819.43663949074</v>
      </c>
      <c r="U4411" s="44">
        <v>45838.56685482639</v>
      </c>
      <c r="V4411" s="44">
        <v>45839.36287008102</v>
      </c>
      <c r="W4411" s="11"/>
      <c r="X4411" s="11"/>
      <c r="Y4411" s="45">
        <v>302.0</v>
      </c>
      <c r="Z4411" s="45" t="s">
        <v>17406</v>
      </c>
      <c r="AA4411" s="31"/>
      <c r="AB4411" s="45" t="s">
        <v>17407</v>
      </c>
      <c r="AC4411" s="45"/>
    </row>
    <row r="4412" ht="18.75" customHeight="1">
      <c r="A4412" s="32" t="s">
        <v>17408</v>
      </c>
      <c r="B4412" s="19" t="s">
        <v>13433</v>
      </c>
      <c r="C4412" s="20">
        <v>90.0</v>
      </c>
      <c r="D4412" s="18" t="s">
        <v>17409</v>
      </c>
      <c r="E4412" s="27" t="s">
        <v>91</v>
      </c>
      <c r="F4412" s="27" t="s">
        <v>48</v>
      </c>
      <c r="G4412" s="18" t="s">
        <v>35</v>
      </c>
      <c r="H4412" s="40" t="s">
        <v>35</v>
      </c>
      <c r="I4412" s="37" t="s">
        <v>36</v>
      </c>
      <c r="J4412" s="25" t="s">
        <v>49</v>
      </c>
      <c r="K4412" s="26" t="s">
        <v>38</v>
      </c>
      <c r="L4412" s="72">
        <v>13323.0</v>
      </c>
      <c r="M4412" s="49" t="s">
        <v>50</v>
      </c>
      <c r="N4412" s="42" t="s">
        <v>143</v>
      </c>
      <c r="O4412" s="67">
        <v>45839.68443100694</v>
      </c>
      <c r="P4412" s="35" t="s">
        <v>17401</v>
      </c>
      <c r="Q4412" s="13" t="s">
        <v>75</v>
      </c>
      <c r="R4412" s="13" t="s">
        <v>75</v>
      </c>
      <c r="S4412" s="13" t="s">
        <v>50</v>
      </c>
      <c r="T4412" s="44">
        <v>45819.44037459491</v>
      </c>
      <c r="U4412" s="44">
        <v>45838.566827546296</v>
      </c>
      <c r="V4412" s="44">
        <v>45839.36287008102</v>
      </c>
      <c r="W4412" s="11"/>
      <c r="X4412" s="11"/>
      <c r="Y4412" s="45">
        <v>302.0</v>
      </c>
      <c r="Z4412" s="45" t="s">
        <v>17410</v>
      </c>
      <c r="AA4412" s="31"/>
      <c r="AB4412" s="45" t="s">
        <v>17411</v>
      </c>
      <c r="AC4412" s="45"/>
    </row>
    <row r="4413" ht="18.75" customHeight="1">
      <c r="A4413" s="32" t="s">
        <v>17412</v>
      </c>
      <c r="B4413" s="19" t="s">
        <v>13433</v>
      </c>
      <c r="C4413" s="20">
        <v>90.0</v>
      </c>
      <c r="D4413" s="18" t="s">
        <v>17413</v>
      </c>
      <c r="E4413" s="27" t="s">
        <v>91</v>
      </c>
      <c r="F4413" s="27" t="s">
        <v>48</v>
      </c>
      <c r="G4413" s="18" t="s">
        <v>35</v>
      </c>
      <c r="H4413" s="40" t="s">
        <v>35</v>
      </c>
      <c r="I4413" s="37" t="s">
        <v>36</v>
      </c>
      <c r="J4413" s="25" t="s">
        <v>49</v>
      </c>
      <c r="K4413" s="26" t="s">
        <v>38</v>
      </c>
      <c r="L4413" s="72">
        <v>13323.0</v>
      </c>
      <c r="M4413" s="49" t="s">
        <v>50</v>
      </c>
      <c r="N4413" s="42" t="s">
        <v>143</v>
      </c>
      <c r="O4413" s="67">
        <v>45839.684346643524</v>
      </c>
      <c r="P4413" s="35" t="s">
        <v>17401</v>
      </c>
      <c r="Q4413" s="13" t="s">
        <v>75</v>
      </c>
      <c r="R4413" s="13" t="s">
        <v>75</v>
      </c>
      <c r="S4413" s="13" t="s">
        <v>50</v>
      </c>
      <c r="T4413" s="44">
        <v>45819.440428842594</v>
      </c>
      <c r="U4413" s="44">
        <v>45838.56688600694</v>
      </c>
      <c r="V4413" s="44">
        <v>45839.36287008102</v>
      </c>
      <c r="W4413" s="11"/>
      <c r="X4413" s="11"/>
      <c r="Y4413" s="45">
        <v>302.0</v>
      </c>
      <c r="Z4413" s="45" t="s">
        <v>17414</v>
      </c>
      <c r="AA4413" s="31"/>
      <c r="AB4413" s="45" t="s">
        <v>17415</v>
      </c>
      <c r="AC4413" s="45"/>
    </row>
    <row r="4414" ht="18.75" customHeight="1">
      <c r="A4414" s="32" t="s">
        <v>17416</v>
      </c>
      <c r="B4414" s="19" t="s">
        <v>13433</v>
      </c>
      <c r="C4414" s="20">
        <v>34.0</v>
      </c>
      <c r="D4414" s="18" t="s">
        <v>17417</v>
      </c>
      <c r="E4414" s="27" t="s">
        <v>47</v>
      </c>
      <c r="F4414" s="27" t="s">
        <v>48</v>
      </c>
      <c r="G4414" s="18" t="s">
        <v>35</v>
      </c>
      <c r="H4414" s="40" t="s">
        <v>35</v>
      </c>
      <c r="I4414" s="37" t="s">
        <v>36</v>
      </c>
      <c r="J4414" s="25" t="s">
        <v>49</v>
      </c>
      <c r="K4414" s="26" t="s">
        <v>38</v>
      </c>
      <c r="L4414" s="72">
        <v>13323.0</v>
      </c>
      <c r="M4414" s="49" t="s">
        <v>50</v>
      </c>
      <c r="N4414" s="42" t="s">
        <v>143</v>
      </c>
      <c r="O4414" s="67">
        <v>45839.684297581014</v>
      </c>
      <c r="P4414" s="35" t="s">
        <v>17401</v>
      </c>
      <c r="Q4414" s="13" t="s">
        <v>75</v>
      </c>
      <c r="R4414" s="13" t="s">
        <v>75</v>
      </c>
      <c r="S4414" s="13" t="s">
        <v>50</v>
      </c>
      <c r="T4414" s="44">
        <v>45819.451801041665</v>
      </c>
      <c r="U4414" s="44">
        <v>45838.56691061343</v>
      </c>
      <c r="V4414" s="44">
        <v>45839.36553159722</v>
      </c>
      <c r="W4414" s="11"/>
      <c r="X4414" s="11"/>
      <c r="Y4414" s="45">
        <v>302.0</v>
      </c>
      <c r="Z4414" s="45" t="s">
        <v>17418</v>
      </c>
      <c r="AA4414" s="31"/>
      <c r="AB4414" s="45" t="s">
        <v>17419</v>
      </c>
      <c r="AC4414" s="45"/>
    </row>
    <row r="4415" ht="18.75" customHeight="1">
      <c r="A4415" s="32" t="s">
        <v>17420</v>
      </c>
      <c r="B4415" s="19" t="s">
        <v>13433</v>
      </c>
      <c r="C4415" s="20">
        <v>27.0</v>
      </c>
      <c r="D4415" s="39" t="s">
        <v>17421</v>
      </c>
      <c r="E4415" s="27" t="s">
        <v>72</v>
      </c>
      <c r="F4415" s="27" t="s">
        <v>48</v>
      </c>
      <c r="G4415" s="18" t="s">
        <v>35</v>
      </c>
      <c r="H4415" s="40" t="s">
        <v>35</v>
      </c>
      <c r="I4415" s="37" t="s">
        <v>36</v>
      </c>
      <c r="J4415" s="25" t="s">
        <v>49</v>
      </c>
      <c r="K4415" s="26" t="s">
        <v>38</v>
      </c>
      <c r="L4415" s="72">
        <v>13323.0</v>
      </c>
      <c r="M4415" s="49" t="s">
        <v>50</v>
      </c>
      <c r="N4415" s="42" t="s">
        <v>143</v>
      </c>
      <c r="O4415" s="67">
        <v>45839.68425398148</v>
      </c>
      <c r="P4415" s="35" t="s">
        <v>17401</v>
      </c>
      <c r="Q4415" s="13" t="s">
        <v>75</v>
      </c>
      <c r="R4415" s="13" t="s">
        <v>75</v>
      </c>
      <c r="S4415" s="13" t="s">
        <v>50</v>
      </c>
      <c r="T4415" s="44">
        <v>45819.451962754625</v>
      </c>
      <c r="U4415" s="44">
        <v>45838.56694174769</v>
      </c>
      <c r="V4415" s="44">
        <v>45839.37017309028</v>
      </c>
      <c r="W4415" s="11"/>
      <c r="X4415" s="11"/>
      <c r="Y4415" s="45">
        <v>302.0</v>
      </c>
      <c r="Z4415" s="45" t="s">
        <v>17422</v>
      </c>
      <c r="AA4415" s="31"/>
      <c r="AB4415" s="45" t="s">
        <v>17423</v>
      </c>
      <c r="AC4415" s="45"/>
    </row>
    <row r="4416" ht="18.75" customHeight="1">
      <c r="A4416" s="32" t="s">
        <v>17424</v>
      </c>
      <c r="B4416" s="19" t="s">
        <v>13433</v>
      </c>
      <c r="C4416" s="20">
        <v>27.0</v>
      </c>
      <c r="D4416" s="39" t="s">
        <v>17425</v>
      </c>
      <c r="E4416" s="27" t="s">
        <v>72</v>
      </c>
      <c r="F4416" s="27" t="s">
        <v>48</v>
      </c>
      <c r="G4416" s="18" t="s">
        <v>35</v>
      </c>
      <c r="H4416" s="40" t="s">
        <v>35</v>
      </c>
      <c r="I4416" s="37" t="s">
        <v>36</v>
      </c>
      <c r="J4416" s="25" t="s">
        <v>49</v>
      </c>
      <c r="K4416" s="26" t="s">
        <v>38</v>
      </c>
      <c r="L4416" s="72">
        <v>13323.0</v>
      </c>
      <c r="M4416" s="49" t="s">
        <v>50</v>
      </c>
      <c r="N4416" s="42" t="s">
        <v>143</v>
      </c>
      <c r="O4416" s="67">
        <v>45839.68420829861</v>
      </c>
      <c r="P4416" s="35" t="s">
        <v>17401</v>
      </c>
      <c r="Q4416" s="13" t="s">
        <v>75</v>
      </c>
      <c r="R4416" s="13" t="s">
        <v>75</v>
      </c>
      <c r="S4416" s="13" t="s">
        <v>50</v>
      </c>
      <c r="T4416" s="44">
        <v>45819.4521020949</v>
      </c>
      <c r="U4416" s="44">
        <v>45838.56696664351</v>
      </c>
      <c r="V4416" s="44">
        <v>45839.37017309028</v>
      </c>
      <c r="W4416" s="11"/>
      <c r="X4416" s="11"/>
      <c r="Y4416" s="45">
        <v>302.0</v>
      </c>
      <c r="Z4416" s="45" t="s">
        <v>17426</v>
      </c>
      <c r="AA4416" s="31"/>
      <c r="AB4416" s="45" t="s">
        <v>17427</v>
      </c>
      <c r="AC4416" s="45"/>
    </row>
    <row r="4417" ht="18.75" customHeight="1">
      <c r="A4417" s="32" t="s">
        <v>17428</v>
      </c>
      <c r="B4417" s="19" t="s">
        <v>13433</v>
      </c>
      <c r="C4417" s="20">
        <v>11.0</v>
      </c>
      <c r="D4417" s="18" t="s">
        <v>17429</v>
      </c>
      <c r="E4417" s="27" t="s">
        <v>112</v>
      </c>
      <c r="F4417" s="27" t="s">
        <v>48</v>
      </c>
      <c r="G4417" s="18" t="s">
        <v>35</v>
      </c>
      <c r="H4417" s="40" t="s">
        <v>35</v>
      </c>
      <c r="I4417" s="37" t="s">
        <v>36</v>
      </c>
      <c r="J4417" s="25" t="s">
        <v>49</v>
      </c>
      <c r="K4417" s="26" t="s">
        <v>38</v>
      </c>
      <c r="L4417" s="72">
        <v>13323.0</v>
      </c>
      <c r="M4417" s="49" t="s">
        <v>50</v>
      </c>
      <c r="N4417" s="42" t="s">
        <v>143</v>
      </c>
      <c r="O4417" s="67">
        <v>45839.684164861115</v>
      </c>
      <c r="P4417" s="35" t="s">
        <v>17401</v>
      </c>
      <c r="Q4417" s="13" t="s">
        <v>75</v>
      </c>
      <c r="R4417" s="13" t="s">
        <v>75</v>
      </c>
      <c r="S4417" s="13" t="s">
        <v>50</v>
      </c>
      <c r="T4417" s="44">
        <v>45819.452234641205</v>
      </c>
      <c r="U4417" s="44">
        <v>45838.56698935185</v>
      </c>
      <c r="V4417" s="44">
        <v>45839.3681937037</v>
      </c>
      <c r="W4417" s="11"/>
      <c r="X4417" s="11"/>
      <c r="Y4417" s="45">
        <v>302.0</v>
      </c>
      <c r="Z4417" s="45" t="s">
        <v>17430</v>
      </c>
      <c r="AA4417" s="31"/>
      <c r="AB4417" s="45" t="s">
        <v>17431</v>
      </c>
      <c r="AC4417" s="45"/>
    </row>
    <row r="4418" ht="18.75" customHeight="1">
      <c r="A4418" s="32" t="s">
        <v>17432</v>
      </c>
      <c r="B4418" s="19" t="s">
        <v>13433</v>
      </c>
      <c r="C4418" s="20">
        <v>0.0</v>
      </c>
      <c r="D4418" s="18" t="s">
        <v>17433</v>
      </c>
      <c r="E4418" s="27" t="s">
        <v>3441</v>
      </c>
      <c r="F4418" s="27" t="s">
        <v>48</v>
      </c>
      <c r="G4418" s="18" t="s">
        <v>35</v>
      </c>
      <c r="H4418" s="40" t="s">
        <v>35</v>
      </c>
      <c r="I4418" s="37" t="s">
        <v>36</v>
      </c>
      <c r="J4418" s="25" t="s">
        <v>49</v>
      </c>
      <c r="K4418" s="26" t="s">
        <v>38</v>
      </c>
      <c r="L4418" s="72">
        <v>13323.0</v>
      </c>
      <c r="M4418" s="49" t="s">
        <v>50</v>
      </c>
      <c r="N4418" s="42" t="s">
        <v>143</v>
      </c>
      <c r="O4418" s="67">
        <v>45839.68411274305</v>
      </c>
      <c r="P4418" s="35" t="s">
        <v>17401</v>
      </c>
      <c r="Q4418" s="13" t="s">
        <v>75</v>
      </c>
      <c r="R4418" s="13" t="s">
        <v>75</v>
      </c>
      <c r="S4418" s="13" t="s">
        <v>50</v>
      </c>
      <c r="T4418" s="44">
        <v>45819.45235782408</v>
      </c>
      <c r="U4418" s="44">
        <v>45838.567013252316</v>
      </c>
      <c r="V4418" s="44">
        <v>45839.372939016204</v>
      </c>
      <c r="W4418" s="11"/>
      <c r="X4418" s="11"/>
      <c r="Y4418" s="45">
        <v>302.0</v>
      </c>
      <c r="Z4418" s="45" t="s">
        <v>17434</v>
      </c>
      <c r="AA4418" s="31"/>
      <c r="AB4418" s="45" t="s">
        <v>17435</v>
      </c>
      <c r="AC4418" s="45"/>
    </row>
    <row r="4419" ht="18.75" customHeight="1">
      <c r="A4419" s="32" t="s">
        <v>17436</v>
      </c>
      <c r="B4419" s="19" t="s">
        <v>13433</v>
      </c>
      <c r="C4419" s="20">
        <v>0.0</v>
      </c>
      <c r="D4419" s="18" t="s">
        <v>17437</v>
      </c>
      <c r="E4419" s="27" t="s">
        <v>3441</v>
      </c>
      <c r="F4419" s="27" t="s">
        <v>48</v>
      </c>
      <c r="G4419" s="18" t="s">
        <v>35</v>
      </c>
      <c r="H4419" s="40" t="s">
        <v>35</v>
      </c>
      <c r="I4419" s="37" t="s">
        <v>36</v>
      </c>
      <c r="J4419" s="25" t="s">
        <v>49</v>
      </c>
      <c r="K4419" s="26" t="s">
        <v>38</v>
      </c>
      <c r="L4419" s="72">
        <v>13323.0</v>
      </c>
      <c r="M4419" s="49" t="s">
        <v>50</v>
      </c>
      <c r="N4419" s="42" t="s">
        <v>143</v>
      </c>
      <c r="O4419" s="67">
        <v>45839.684063865745</v>
      </c>
      <c r="P4419" s="35" t="s">
        <v>17401</v>
      </c>
      <c r="Q4419" s="13" t="s">
        <v>75</v>
      </c>
      <c r="R4419" s="13" t="s">
        <v>75</v>
      </c>
      <c r="S4419" s="13" t="s">
        <v>50</v>
      </c>
      <c r="T4419" s="44">
        <v>45819.45247372685</v>
      </c>
      <c r="U4419" s="44">
        <v>45838.567037719906</v>
      </c>
      <c r="V4419" s="44">
        <v>45839.37293902777</v>
      </c>
      <c r="W4419" s="11"/>
      <c r="X4419" s="11"/>
      <c r="Y4419" s="45">
        <v>302.0</v>
      </c>
      <c r="Z4419" s="45" t="s">
        <v>17438</v>
      </c>
      <c r="AA4419" s="31"/>
      <c r="AB4419" s="45" t="s">
        <v>17439</v>
      </c>
      <c r="AC4419" s="45"/>
    </row>
    <row r="4420" ht="18.75" customHeight="1">
      <c r="A4420" s="142" t="s">
        <v>17440</v>
      </c>
      <c r="B4420" s="19" t="s">
        <v>4352</v>
      </c>
      <c r="C4420" s="20">
        <v>137.0</v>
      </c>
      <c r="D4420" s="39" t="s">
        <v>17441</v>
      </c>
      <c r="E4420" s="27" t="s">
        <v>85</v>
      </c>
      <c r="F4420" s="27" t="s">
        <v>48</v>
      </c>
      <c r="G4420" s="18" t="s">
        <v>35</v>
      </c>
      <c r="H4420" s="40" t="s">
        <v>35</v>
      </c>
      <c r="I4420" s="37" t="s">
        <v>36</v>
      </c>
      <c r="J4420" s="25" t="s">
        <v>49</v>
      </c>
      <c r="K4420" s="26" t="s">
        <v>38</v>
      </c>
      <c r="L4420" s="72">
        <v>13380.0</v>
      </c>
      <c r="M4420" s="49" t="s">
        <v>50</v>
      </c>
      <c r="N4420" s="42" t="s">
        <v>17048</v>
      </c>
      <c r="O4420" s="67">
        <v>45848.592841562495</v>
      </c>
      <c r="P4420" s="35" t="s">
        <v>17442</v>
      </c>
      <c r="Q4420" s="13" t="s">
        <v>75</v>
      </c>
      <c r="R4420" s="13" t="s">
        <v>75</v>
      </c>
      <c r="S4420" s="13" t="s">
        <v>50</v>
      </c>
      <c r="T4420" s="44">
        <v>45846.56222369213</v>
      </c>
      <c r="U4420" s="44">
        <v>45848.381057708335</v>
      </c>
      <c r="V4420" s="44">
        <v>45848.49480439815</v>
      </c>
      <c r="W4420" s="11"/>
      <c r="X4420" s="11"/>
      <c r="Y4420" s="45">
        <v>302.0</v>
      </c>
      <c r="Z4420" s="45" t="s">
        <v>17443</v>
      </c>
      <c r="AA4420" s="31"/>
      <c r="AB4420" s="45" t="s">
        <v>17444</v>
      </c>
      <c r="AC4420" s="45"/>
    </row>
    <row r="4421" ht="18.75" customHeight="1">
      <c r="A4421" s="142" t="s">
        <v>17445</v>
      </c>
      <c r="B4421" s="19" t="s">
        <v>4352</v>
      </c>
      <c r="C4421" s="20">
        <v>34.0</v>
      </c>
      <c r="D4421" s="39" t="s">
        <v>17446</v>
      </c>
      <c r="E4421" s="27" t="s">
        <v>47</v>
      </c>
      <c r="F4421" s="27" t="s">
        <v>48</v>
      </c>
      <c r="G4421" s="18" t="s">
        <v>35</v>
      </c>
      <c r="H4421" s="40" t="s">
        <v>35</v>
      </c>
      <c r="I4421" s="37" t="s">
        <v>36</v>
      </c>
      <c r="J4421" s="25" t="s">
        <v>49</v>
      </c>
      <c r="K4421" s="26" t="s">
        <v>38</v>
      </c>
      <c r="L4421" s="72">
        <v>13381.0</v>
      </c>
      <c r="M4421" s="49" t="s">
        <v>50</v>
      </c>
      <c r="N4421" s="42" t="s">
        <v>17048</v>
      </c>
      <c r="O4421" s="67">
        <v>45848.592900578704</v>
      </c>
      <c r="P4421" s="35" t="s">
        <v>17447</v>
      </c>
      <c r="Q4421" s="13" t="s">
        <v>75</v>
      </c>
      <c r="R4421" s="13" t="s">
        <v>75</v>
      </c>
      <c r="S4421" s="13" t="s">
        <v>50</v>
      </c>
      <c r="T4421" s="44">
        <v>45846.56322185185</v>
      </c>
      <c r="U4421" s="44">
        <v>45848.38083123842</v>
      </c>
      <c r="V4421" s="44">
        <v>45848.49480438657</v>
      </c>
      <c r="W4421" s="11"/>
      <c r="X4421" s="11"/>
      <c r="Y4421" s="45">
        <v>302.0</v>
      </c>
      <c r="Z4421" s="45" t="s">
        <v>17448</v>
      </c>
      <c r="AA4421" s="31"/>
      <c r="AB4421" s="45" t="s">
        <v>17449</v>
      </c>
      <c r="AC4421" s="45"/>
    </row>
    <row r="4422" ht="18.75" customHeight="1">
      <c r="A4422" s="142" t="s">
        <v>17450</v>
      </c>
      <c r="B4422" s="19" t="s">
        <v>3888</v>
      </c>
      <c r="C4422" s="20">
        <v>11.0</v>
      </c>
      <c r="D4422" s="39" t="s">
        <v>17451</v>
      </c>
      <c r="E4422" s="27" t="s">
        <v>112</v>
      </c>
      <c r="F4422" s="27" t="s">
        <v>48</v>
      </c>
      <c r="G4422" s="18" t="s">
        <v>35</v>
      </c>
      <c r="H4422" s="40" t="s">
        <v>35</v>
      </c>
      <c r="I4422" s="37" t="s">
        <v>36</v>
      </c>
      <c r="J4422" s="25" t="s">
        <v>49</v>
      </c>
      <c r="K4422" s="26" t="s">
        <v>2978</v>
      </c>
      <c r="L4422" s="72">
        <v>13370.0</v>
      </c>
      <c r="M4422" s="49" t="s">
        <v>50</v>
      </c>
      <c r="N4422" s="42" t="s">
        <v>143</v>
      </c>
      <c r="O4422" s="67">
        <v>45847.602340474536</v>
      </c>
      <c r="P4422" s="35" t="s">
        <v>17452</v>
      </c>
      <c r="Q4422" s="13" t="s">
        <v>75</v>
      </c>
      <c r="R4422" s="13" t="s">
        <v>75</v>
      </c>
      <c r="S4422" s="13" t="s">
        <v>50</v>
      </c>
      <c r="T4422" s="44">
        <v>45846.56463153935</v>
      </c>
      <c r="U4422" s="44">
        <v>45846.59785929398</v>
      </c>
      <c r="V4422" s="44">
        <v>45847.4921469213</v>
      </c>
      <c r="W4422" s="11"/>
      <c r="X4422" s="11"/>
      <c r="Y4422" s="45">
        <v>302.0</v>
      </c>
      <c r="Z4422" s="45" t="s">
        <v>17453</v>
      </c>
      <c r="AA4422" s="31"/>
      <c r="AB4422" s="45" t="s">
        <v>17454</v>
      </c>
      <c r="AC4422" s="45"/>
    </row>
    <row r="4423" ht="18.75" customHeight="1">
      <c r="A4423" s="142" t="s">
        <v>17455</v>
      </c>
      <c r="B4423" s="19" t="s">
        <v>9336</v>
      </c>
      <c r="C4423" s="20">
        <v>0.0</v>
      </c>
      <c r="D4423" s="39" t="s">
        <v>17456</v>
      </c>
      <c r="E4423" s="27" t="s">
        <v>3441</v>
      </c>
      <c r="F4423" s="27" t="s">
        <v>48</v>
      </c>
      <c r="G4423" s="18" t="s">
        <v>35</v>
      </c>
      <c r="H4423" s="40" t="s">
        <v>35</v>
      </c>
      <c r="I4423" s="37" t="s">
        <v>36</v>
      </c>
      <c r="J4423" s="25" t="s">
        <v>65</v>
      </c>
      <c r="K4423" s="26" t="s">
        <v>38</v>
      </c>
      <c r="L4423" s="72">
        <v>13366.0</v>
      </c>
      <c r="M4423" s="49" t="s">
        <v>50</v>
      </c>
      <c r="N4423" s="42" t="s">
        <v>14184</v>
      </c>
      <c r="O4423" s="67">
        <v>45847.67708333333</v>
      </c>
      <c r="P4423" s="35" t="s">
        <v>15829</v>
      </c>
      <c r="Q4423" s="13" t="s">
        <v>75</v>
      </c>
      <c r="R4423" s="13" t="s">
        <v>75</v>
      </c>
      <c r="S4423" s="13" t="s">
        <v>50</v>
      </c>
      <c r="T4423" s="44">
        <v>45846.56602530093</v>
      </c>
      <c r="U4423" s="44">
        <v>45846.68056467593</v>
      </c>
      <c r="V4423" s="44">
        <v>45847.495809375</v>
      </c>
      <c r="W4423" s="11"/>
      <c r="X4423" s="11"/>
      <c r="Y4423" s="45">
        <v>302.0</v>
      </c>
      <c r="Z4423" s="45" t="s">
        <v>17457</v>
      </c>
      <c r="AA4423" s="31"/>
      <c r="AB4423" s="45" t="s">
        <v>17458</v>
      </c>
      <c r="AC4423" s="45"/>
    </row>
    <row r="4424" ht="18.75" customHeight="1">
      <c r="A4424" s="142" t="s">
        <v>17459</v>
      </c>
      <c r="B4424" s="19" t="s">
        <v>8825</v>
      </c>
      <c r="C4424" s="20">
        <v>27.0</v>
      </c>
      <c r="D4424" s="39" t="s">
        <v>17460</v>
      </c>
      <c r="E4424" s="27" t="s">
        <v>72</v>
      </c>
      <c r="F4424" s="27" t="s">
        <v>48</v>
      </c>
      <c r="G4424" s="18" t="s">
        <v>35</v>
      </c>
      <c r="H4424" s="40" t="s">
        <v>35</v>
      </c>
      <c r="I4424" s="37" t="s">
        <v>36</v>
      </c>
      <c r="J4424" s="25" t="s">
        <v>49</v>
      </c>
      <c r="K4424" s="26" t="s">
        <v>11095</v>
      </c>
      <c r="L4424" s="72">
        <v>13371.0</v>
      </c>
      <c r="M4424" s="49" t="s">
        <v>50</v>
      </c>
      <c r="N4424" s="42" t="s">
        <v>143</v>
      </c>
      <c r="O4424" s="67">
        <v>45847.60240923611</v>
      </c>
      <c r="P4424" s="35" t="s">
        <v>17461</v>
      </c>
      <c r="Q4424" s="13" t="s">
        <v>75</v>
      </c>
      <c r="R4424" s="13" t="s">
        <v>75</v>
      </c>
      <c r="S4424" s="13" t="s">
        <v>50</v>
      </c>
      <c r="T4424" s="44">
        <v>45846.56727033565</v>
      </c>
      <c r="U4424" s="44">
        <v>45847.42235783565</v>
      </c>
      <c r="V4424" s="44">
        <v>45847.49482042824</v>
      </c>
      <c r="W4424" s="11"/>
      <c r="X4424" s="11"/>
      <c r="Y4424" s="45">
        <v>302.0</v>
      </c>
      <c r="Z4424" s="45" t="s">
        <v>17462</v>
      </c>
      <c r="AA4424" s="31"/>
      <c r="AB4424" s="45" t="s">
        <v>17463</v>
      </c>
      <c r="AC4424" s="45"/>
    </row>
    <row r="4425" ht="18.75" customHeight="1">
      <c r="A4425" s="18" t="s">
        <v>17464</v>
      </c>
      <c r="B4425" s="19" t="s">
        <v>17465</v>
      </c>
      <c r="C4425" s="20">
        <v>1.0</v>
      </c>
      <c r="D4425" s="39" t="s">
        <v>17466</v>
      </c>
      <c r="E4425" s="27" t="s">
        <v>3395</v>
      </c>
      <c r="F4425" s="27" t="s">
        <v>48</v>
      </c>
      <c r="G4425" s="18" t="s">
        <v>35</v>
      </c>
      <c r="H4425" s="40" t="s">
        <v>35</v>
      </c>
      <c r="I4425" s="37" t="s">
        <v>36</v>
      </c>
      <c r="J4425" s="25" t="s">
        <v>65</v>
      </c>
      <c r="K4425" s="26" t="s">
        <v>38</v>
      </c>
      <c r="L4425" s="72">
        <v>13386.0</v>
      </c>
      <c r="M4425" s="49" t="s">
        <v>50</v>
      </c>
      <c r="N4425" s="42" t="s">
        <v>5897</v>
      </c>
      <c r="O4425" s="67">
        <v>45849.64710061342</v>
      </c>
      <c r="P4425" s="35" t="s">
        <v>17467</v>
      </c>
      <c r="Q4425" s="13" t="s">
        <v>75</v>
      </c>
      <c r="R4425" s="13" t="s">
        <v>75</v>
      </c>
      <c r="S4425" s="13" t="s">
        <v>50</v>
      </c>
      <c r="T4425" s="44">
        <v>45847.425555231486</v>
      </c>
      <c r="U4425" s="44">
        <v>45848.64863484954</v>
      </c>
      <c r="V4425" s="44">
        <v>45849.345208541665</v>
      </c>
      <c r="W4425" s="11"/>
      <c r="X4425" s="11"/>
      <c r="Y4425" s="45">
        <v>302.0</v>
      </c>
      <c r="Z4425" s="45" t="s">
        <v>17468</v>
      </c>
      <c r="AA4425" s="31"/>
      <c r="AB4425" s="45" t="s">
        <v>17469</v>
      </c>
      <c r="AC4425" s="45"/>
    </row>
    <row r="4426" ht="18.75" customHeight="1">
      <c r="A4426" s="18" t="s">
        <v>17470</v>
      </c>
      <c r="B4426" s="19" t="s">
        <v>17465</v>
      </c>
      <c r="C4426" s="20">
        <v>34.0</v>
      </c>
      <c r="D4426" s="39" t="s">
        <v>17471</v>
      </c>
      <c r="E4426" s="27" t="s">
        <v>47</v>
      </c>
      <c r="F4426" s="27" t="s">
        <v>48</v>
      </c>
      <c r="G4426" s="18" t="s">
        <v>35</v>
      </c>
      <c r="H4426" s="40" t="s">
        <v>35</v>
      </c>
      <c r="I4426" s="37" t="s">
        <v>36</v>
      </c>
      <c r="J4426" s="25" t="s">
        <v>65</v>
      </c>
      <c r="K4426" s="26" t="s">
        <v>38</v>
      </c>
      <c r="L4426" s="72">
        <v>13386.0</v>
      </c>
      <c r="M4426" s="49" t="s">
        <v>50</v>
      </c>
      <c r="N4426" s="42" t="s">
        <v>5897</v>
      </c>
      <c r="O4426" s="67">
        <v>45849.64706021991</v>
      </c>
      <c r="P4426" s="35" t="s">
        <v>17467</v>
      </c>
      <c r="Q4426" s="13" t="s">
        <v>75</v>
      </c>
      <c r="R4426" s="13" t="s">
        <v>75</v>
      </c>
      <c r="S4426" s="13" t="s">
        <v>50</v>
      </c>
      <c r="T4426" s="44">
        <v>45847.425724456014</v>
      </c>
      <c r="U4426" s="44">
        <v>45848.648658425926</v>
      </c>
      <c r="V4426" s="44">
        <v>45849.345208541665</v>
      </c>
      <c r="W4426" s="11"/>
      <c r="X4426" s="11"/>
      <c r="Y4426" s="45">
        <v>302.0</v>
      </c>
      <c r="Z4426" s="45" t="s">
        <v>17472</v>
      </c>
      <c r="AA4426" s="31"/>
      <c r="AB4426" s="45" t="s">
        <v>17473</v>
      </c>
      <c r="AC4426" s="45"/>
    </row>
    <row r="4427" ht="18.75" customHeight="1">
      <c r="A4427" s="18" t="s">
        <v>17474</v>
      </c>
      <c r="B4427" s="19" t="s">
        <v>16682</v>
      </c>
      <c r="C4427" s="20">
        <v>1.0</v>
      </c>
      <c r="D4427" s="39" t="s">
        <v>17475</v>
      </c>
      <c r="E4427" s="27" t="s">
        <v>3395</v>
      </c>
      <c r="F4427" s="27" t="s">
        <v>48</v>
      </c>
      <c r="G4427" s="18" t="s">
        <v>35</v>
      </c>
      <c r="H4427" s="40" t="s">
        <v>35</v>
      </c>
      <c r="I4427" s="37" t="s">
        <v>36</v>
      </c>
      <c r="J4427" s="25" t="s">
        <v>49</v>
      </c>
      <c r="K4427" s="26" t="s">
        <v>38</v>
      </c>
      <c r="L4427" s="72">
        <v>13382.0</v>
      </c>
      <c r="M4427" s="49" t="s">
        <v>50</v>
      </c>
      <c r="N4427" s="42" t="s">
        <v>17048</v>
      </c>
      <c r="O4427" s="67">
        <v>45848.59296098379</v>
      </c>
      <c r="P4427" s="35" t="s">
        <v>17476</v>
      </c>
      <c r="Q4427" s="13" t="s">
        <v>75</v>
      </c>
      <c r="R4427" s="13" t="s">
        <v>75</v>
      </c>
      <c r="S4427" s="13" t="s">
        <v>50</v>
      </c>
      <c r="T4427" s="44">
        <v>45847.60298269676</v>
      </c>
      <c r="U4427" s="44">
        <v>45847.625307650465</v>
      </c>
      <c r="V4427" s="44">
        <v>45848.49425043981</v>
      </c>
      <c r="W4427" s="11"/>
      <c r="X4427" s="11"/>
      <c r="Y4427" s="45">
        <v>302.0</v>
      </c>
      <c r="Z4427" s="45" t="s">
        <v>17477</v>
      </c>
      <c r="AA4427" s="31"/>
      <c r="AB4427" s="45" t="s">
        <v>17478</v>
      </c>
      <c r="AC4427" s="45"/>
    </row>
    <row r="4428" ht="18.75" customHeight="1">
      <c r="A4428" s="18" t="s">
        <v>17479</v>
      </c>
      <c r="B4428" s="19" t="s">
        <v>16682</v>
      </c>
      <c r="C4428" s="20">
        <v>0.0</v>
      </c>
      <c r="D4428" s="39" t="s">
        <v>17480</v>
      </c>
      <c r="E4428" s="27" t="s">
        <v>3441</v>
      </c>
      <c r="F4428" s="27" t="s">
        <v>48</v>
      </c>
      <c r="G4428" s="18" t="s">
        <v>35</v>
      </c>
      <c r="H4428" s="40" t="s">
        <v>35</v>
      </c>
      <c r="I4428" s="37" t="s">
        <v>36</v>
      </c>
      <c r="J4428" s="25" t="s">
        <v>49</v>
      </c>
      <c r="K4428" s="26" t="s">
        <v>38</v>
      </c>
      <c r="L4428" s="72">
        <v>13382.0</v>
      </c>
      <c r="M4428" s="49" t="s">
        <v>50</v>
      </c>
      <c r="N4428" s="42" t="s">
        <v>17048</v>
      </c>
      <c r="O4428" s="67">
        <v>45848.593012708334</v>
      </c>
      <c r="P4428" s="35" t="s">
        <v>17476</v>
      </c>
      <c r="Q4428" s="13" t="s">
        <v>75</v>
      </c>
      <c r="R4428" s="13" t="s">
        <v>75</v>
      </c>
      <c r="S4428" s="13" t="s">
        <v>50</v>
      </c>
      <c r="T4428" s="44">
        <v>45847.60328328704</v>
      </c>
      <c r="U4428" s="44">
        <v>45847.62533538195</v>
      </c>
      <c r="V4428" s="44">
        <v>45848.49480438657</v>
      </c>
      <c r="W4428" s="11"/>
      <c r="X4428" s="11"/>
      <c r="Y4428" s="45">
        <v>302.0</v>
      </c>
      <c r="Z4428" s="45" t="s">
        <v>17481</v>
      </c>
      <c r="AA4428" s="31"/>
      <c r="AB4428" s="45" t="s">
        <v>17482</v>
      </c>
      <c r="AC4428" s="45"/>
    </row>
    <row r="4429" ht="18.75" customHeight="1">
      <c r="A4429" s="142" t="s">
        <v>17483</v>
      </c>
      <c r="B4429" s="19" t="s">
        <v>17484</v>
      </c>
      <c r="C4429" s="20">
        <v>0.0</v>
      </c>
      <c r="D4429" s="39" t="s">
        <v>17485</v>
      </c>
      <c r="E4429" s="27" t="s">
        <v>3441</v>
      </c>
      <c r="F4429" s="27" t="s">
        <v>48</v>
      </c>
      <c r="G4429" s="18" t="s">
        <v>35</v>
      </c>
      <c r="H4429" s="40" t="s">
        <v>35</v>
      </c>
      <c r="I4429" s="37" t="s">
        <v>36</v>
      </c>
      <c r="J4429" s="25" t="s">
        <v>92</v>
      </c>
      <c r="K4429" s="26" t="s">
        <v>38</v>
      </c>
      <c r="L4429" s="72">
        <v>13384.0</v>
      </c>
      <c r="M4429" s="49" t="s">
        <v>50</v>
      </c>
      <c r="N4429" s="42" t="s">
        <v>7145</v>
      </c>
      <c r="O4429" s="67">
        <v>45856.45678765046</v>
      </c>
      <c r="P4429" s="35" t="s">
        <v>17486</v>
      </c>
      <c r="Q4429" s="13" t="s">
        <v>75</v>
      </c>
      <c r="R4429" s="13" t="s">
        <v>75</v>
      </c>
      <c r="S4429" s="13" t="s">
        <v>50</v>
      </c>
      <c r="T4429" s="44">
        <v>45848.58484335648</v>
      </c>
      <c r="U4429" s="44">
        <v>45848.58485724537</v>
      </c>
      <c r="V4429" s="44">
        <v>45849.347523379634</v>
      </c>
      <c r="W4429" s="11"/>
      <c r="X4429" s="11"/>
      <c r="Y4429" s="45">
        <v>302.0</v>
      </c>
      <c r="Z4429" s="45" t="s">
        <v>17487</v>
      </c>
      <c r="AA4429" s="31"/>
      <c r="AB4429" s="45" t="s">
        <v>17488</v>
      </c>
      <c r="AC4429" s="45"/>
    </row>
    <row r="4430" ht="18.75" customHeight="1">
      <c r="A4430" s="18" t="s">
        <v>17489</v>
      </c>
      <c r="B4430" s="19" t="s">
        <v>1192</v>
      </c>
      <c r="C4430" s="20">
        <v>27.0</v>
      </c>
      <c r="D4430" s="39" t="s">
        <v>17490</v>
      </c>
      <c r="E4430" s="27" t="s">
        <v>72</v>
      </c>
      <c r="F4430" s="27" t="s">
        <v>48</v>
      </c>
      <c r="G4430" s="18" t="s">
        <v>35</v>
      </c>
      <c r="H4430" s="40" t="s">
        <v>35</v>
      </c>
      <c r="I4430" s="37" t="s">
        <v>36</v>
      </c>
      <c r="J4430" s="25" t="s">
        <v>65</v>
      </c>
      <c r="K4430" s="26" t="s">
        <v>38</v>
      </c>
      <c r="L4430" s="72">
        <v>13540.0</v>
      </c>
      <c r="M4430" s="49" t="s">
        <v>50</v>
      </c>
      <c r="N4430" s="42" t="s">
        <v>16408</v>
      </c>
      <c r="O4430" s="67">
        <v>45870.36256459491</v>
      </c>
      <c r="P4430" s="35" t="s">
        <v>15829</v>
      </c>
      <c r="Q4430" s="13" t="s">
        <v>75</v>
      </c>
      <c r="R4430" s="13" t="s">
        <v>75</v>
      </c>
      <c r="S4430" s="13" t="s">
        <v>73</v>
      </c>
      <c r="T4430" s="44">
        <v>45848.58833230324</v>
      </c>
      <c r="U4430" s="44">
        <v>45868.74697890047</v>
      </c>
      <c r="V4430" s="44">
        <v>45869.46903572917</v>
      </c>
      <c r="W4430" s="11"/>
      <c r="X4430" s="11"/>
      <c r="Y4430" s="45">
        <v>302.0</v>
      </c>
      <c r="Z4430" s="45" t="s">
        <v>17491</v>
      </c>
      <c r="AA4430" s="31"/>
      <c r="AB4430" s="45" t="s">
        <v>17492</v>
      </c>
      <c r="AC4430" s="45"/>
    </row>
    <row r="4431" ht="18.75" customHeight="1">
      <c r="A4431" s="18" t="s">
        <v>17493</v>
      </c>
      <c r="B4431" s="19" t="s">
        <v>1192</v>
      </c>
      <c r="C4431" s="20">
        <v>27.0</v>
      </c>
      <c r="D4431" s="39" t="s">
        <v>17494</v>
      </c>
      <c r="E4431" s="27" t="s">
        <v>72</v>
      </c>
      <c r="F4431" s="27" t="s">
        <v>48</v>
      </c>
      <c r="G4431" s="18" t="s">
        <v>35</v>
      </c>
      <c r="H4431" s="40" t="s">
        <v>35</v>
      </c>
      <c r="I4431" s="37" t="s">
        <v>36</v>
      </c>
      <c r="J4431" s="25" t="s">
        <v>65</v>
      </c>
      <c r="K4431" s="26" t="s">
        <v>38</v>
      </c>
      <c r="L4431" s="72">
        <v>13540.0</v>
      </c>
      <c r="M4431" s="49" t="s">
        <v>50</v>
      </c>
      <c r="N4431" s="42" t="s">
        <v>16408</v>
      </c>
      <c r="O4431" s="67">
        <v>45870.362882754634</v>
      </c>
      <c r="P4431" s="35" t="s">
        <v>15829</v>
      </c>
      <c r="Q4431" s="13" t="s">
        <v>75</v>
      </c>
      <c r="R4431" s="13" t="s">
        <v>75</v>
      </c>
      <c r="S4431" s="13" t="s">
        <v>73</v>
      </c>
      <c r="T4431" s="44">
        <v>45848.58840671297</v>
      </c>
      <c r="U4431" s="44">
        <v>45868.74701900463</v>
      </c>
      <c r="V4431" s="44">
        <v>45869.46911613426</v>
      </c>
      <c r="W4431" s="11"/>
      <c r="X4431" s="11"/>
      <c r="Y4431" s="45">
        <v>302.0</v>
      </c>
      <c r="Z4431" s="45" t="s">
        <v>17495</v>
      </c>
      <c r="AA4431" s="31"/>
      <c r="AB4431" s="45" t="s">
        <v>17496</v>
      </c>
      <c r="AC4431" s="45"/>
    </row>
    <row r="4432" ht="18.75" customHeight="1">
      <c r="A4432" s="18" t="s">
        <v>17497</v>
      </c>
      <c r="B4432" s="19" t="s">
        <v>1192</v>
      </c>
      <c r="C4432" s="20">
        <v>137.0</v>
      </c>
      <c r="D4432" s="39" t="s">
        <v>17498</v>
      </c>
      <c r="E4432" s="27" t="s">
        <v>85</v>
      </c>
      <c r="F4432" s="27" t="s">
        <v>48</v>
      </c>
      <c r="G4432" s="18" t="s">
        <v>35</v>
      </c>
      <c r="H4432" s="40" t="s">
        <v>35</v>
      </c>
      <c r="I4432" s="37" t="s">
        <v>36</v>
      </c>
      <c r="J4432" s="25" t="s">
        <v>65</v>
      </c>
      <c r="K4432" s="26" t="s">
        <v>38</v>
      </c>
      <c r="L4432" s="72">
        <v>13540.0</v>
      </c>
      <c r="M4432" s="49" t="s">
        <v>50</v>
      </c>
      <c r="N4432" s="42" t="s">
        <v>16408</v>
      </c>
      <c r="O4432" s="67">
        <v>45870.36293231482</v>
      </c>
      <c r="P4432" s="35" t="s">
        <v>15829</v>
      </c>
      <c r="Q4432" s="13" t="s">
        <v>75</v>
      </c>
      <c r="R4432" s="13" t="s">
        <v>75</v>
      </c>
      <c r="S4432" s="13" t="s">
        <v>73</v>
      </c>
      <c r="T4432" s="44">
        <v>45848.58853202546</v>
      </c>
      <c r="U4432" s="44">
        <v>45868.74704289352</v>
      </c>
      <c r="V4432" s="44">
        <v>45869.46923814814</v>
      </c>
      <c r="W4432" s="11"/>
      <c r="X4432" s="11"/>
      <c r="Y4432" s="45">
        <v>302.0</v>
      </c>
      <c r="Z4432" s="45" t="s">
        <v>17499</v>
      </c>
      <c r="AA4432" s="31"/>
      <c r="AB4432" s="45" t="s">
        <v>17500</v>
      </c>
      <c r="AC4432" s="45"/>
    </row>
    <row r="4433" ht="18.75" customHeight="1">
      <c r="A4433" s="142" t="s">
        <v>17501</v>
      </c>
      <c r="B4433" s="19" t="s">
        <v>17502</v>
      </c>
      <c r="C4433" s="20">
        <v>1.0</v>
      </c>
      <c r="D4433" s="39" t="s">
        <v>17503</v>
      </c>
      <c r="E4433" s="27" t="s">
        <v>3395</v>
      </c>
      <c r="F4433" s="27" t="s">
        <v>48</v>
      </c>
      <c r="G4433" s="18" t="s">
        <v>35</v>
      </c>
      <c r="H4433" s="40" t="s">
        <v>35</v>
      </c>
      <c r="I4433" s="37" t="s">
        <v>36</v>
      </c>
      <c r="J4433" s="25" t="s">
        <v>65</v>
      </c>
      <c r="K4433" s="26" t="s">
        <v>38</v>
      </c>
      <c r="L4433" s="72">
        <v>13387.0</v>
      </c>
      <c r="M4433" s="49" t="s">
        <v>50</v>
      </c>
      <c r="N4433" s="42" t="s">
        <v>5897</v>
      </c>
      <c r="O4433" s="67">
        <v>45849.6470128588</v>
      </c>
      <c r="P4433" s="35" t="s">
        <v>14372</v>
      </c>
      <c r="Q4433" s="13" t="s">
        <v>75</v>
      </c>
      <c r="R4433" s="13" t="s">
        <v>75</v>
      </c>
      <c r="S4433" s="13" t="s">
        <v>50</v>
      </c>
      <c r="T4433" s="44">
        <v>45848.6478356713</v>
      </c>
      <c r="U4433" s="44">
        <v>45848.714021481486</v>
      </c>
      <c r="V4433" s="44">
        <v>45849.34532416667</v>
      </c>
      <c r="W4433" s="11"/>
      <c r="X4433" s="11"/>
      <c r="Y4433" s="45">
        <v>302.0</v>
      </c>
      <c r="Z4433" s="45" t="s">
        <v>17504</v>
      </c>
      <c r="AA4433" s="31"/>
      <c r="AB4433" s="45" t="s">
        <v>17505</v>
      </c>
      <c r="AC4433" s="45"/>
    </row>
    <row r="4434" ht="18.75" customHeight="1">
      <c r="A4434" s="18" t="s">
        <v>17506</v>
      </c>
      <c r="B4434" s="19" t="s">
        <v>17507</v>
      </c>
      <c r="C4434" s="20">
        <v>137.0</v>
      </c>
      <c r="D4434" s="39" t="s">
        <v>17508</v>
      </c>
      <c r="E4434" s="27" t="s">
        <v>85</v>
      </c>
      <c r="F4434" s="27" t="s">
        <v>48</v>
      </c>
      <c r="G4434" s="18" t="s">
        <v>35</v>
      </c>
      <c r="H4434" s="40" t="s">
        <v>35</v>
      </c>
      <c r="I4434" s="37" t="s">
        <v>36</v>
      </c>
      <c r="J4434" s="25" t="s">
        <v>65</v>
      </c>
      <c r="K4434" s="26" t="s">
        <v>38</v>
      </c>
      <c r="L4434" s="72">
        <v>13391.0</v>
      </c>
      <c r="M4434" s="49" t="s">
        <v>50</v>
      </c>
      <c r="N4434" s="42" t="s">
        <v>5897</v>
      </c>
      <c r="O4434" s="67">
        <v>45849.646968877314</v>
      </c>
      <c r="P4434" s="35" t="s">
        <v>17509</v>
      </c>
      <c r="Q4434" s="13" t="s">
        <v>75</v>
      </c>
      <c r="R4434" s="13" t="s">
        <v>75</v>
      </c>
      <c r="S4434" s="13" t="s">
        <v>50</v>
      </c>
      <c r="T4434" s="44">
        <v>45848.64982368056</v>
      </c>
      <c r="U4434" s="44">
        <v>45849.43040096065</v>
      </c>
      <c r="V4434" s="44">
        <v>45849.44243938658</v>
      </c>
      <c r="W4434" s="11"/>
      <c r="X4434" s="11"/>
      <c r="Y4434" s="45">
        <v>302.0</v>
      </c>
      <c r="Z4434" s="45" t="s">
        <v>17510</v>
      </c>
      <c r="AA4434" s="31"/>
      <c r="AB4434" s="45" t="s">
        <v>17511</v>
      </c>
      <c r="AC4434" s="45"/>
    </row>
    <row r="4435" ht="18.75" customHeight="1">
      <c r="A4435" s="18" t="s">
        <v>17512</v>
      </c>
      <c r="B4435" s="19" t="s">
        <v>17507</v>
      </c>
      <c r="C4435" s="20">
        <v>137.0</v>
      </c>
      <c r="D4435" s="39" t="s">
        <v>17513</v>
      </c>
      <c r="E4435" s="27" t="s">
        <v>85</v>
      </c>
      <c r="F4435" s="27" t="s">
        <v>48</v>
      </c>
      <c r="G4435" s="18" t="s">
        <v>35</v>
      </c>
      <c r="H4435" s="40" t="s">
        <v>35</v>
      </c>
      <c r="I4435" s="37" t="s">
        <v>36</v>
      </c>
      <c r="J4435" s="25" t="s">
        <v>65</v>
      </c>
      <c r="K4435" s="26" t="s">
        <v>38</v>
      </c>
      <c r="L4435" s="72">
        <v>13391.0</v>
      </c>
      <c r="M4435" s="49" t="s">
        <v>50</v>
      </c>
      <c r="N4435" s="42" t="s">
        <v>5897</v>
      </c>
      <c r="O4435" s="67">
        <v>45849.64692679398</v>
      </c>
      <c r="P4435" s="35" t="s">
        <v>17509</v>
      </c>
      <c r="Q4435" s="13" t="s">
        <v>75</v>
      </c>
      <c r="R4435" s="13" t="s">
        <v>75</v>
      </c>
      <c r="S4435" s="13" t="s">
        <v>50</v>
      </c>
      <c r="T4435" s="44">
        <v>45848.649886238425</v>
      </c>
      <c r="U4435" s="44">
        <v>45849.430371678245</v>
      </c>
      <c r="V4435" s="44">
        <v>45849.44243938658</v>
      </c>
      <c r="W4435" s="11"/>
      <c r="X4435" s="11"/>
      <c r="Y4435" s="45">
        <v>302.0</v>
      </c>
      <c r="Z4435" s="45" t="s">
        <v>17514</v>
      </c>
      <c r="AA4435" s="31"/>
      <c r="AB4435" s="45" t="s">
        <v>17515</v>
      </c>
      <c r="AC4435" s="45"/>
    </row>
    <row r="4436" ht="18.75" customHeight="1">
      <c r="A4436" s="142" t="s">
        <v>17516</v>
      </c>
      <c r="B4436" s="19" t="s">
        <v>17517</v>
      </c>
      <c r="C4436" s="20">
        <v>0.0</v>
      </c>
      <c r="D4436" s="39" t="s">
        <v>17518</v>
      </c>
      <c r="E4436" s="27" t="s">
        <v>3441</v>
      </c>
      <c r="F4436" s="27" t="s">
        <v>48</v>
      </c>
      <c r="G4436" s="18" t="s">
        <v>35</v>
      </c>
      <c r="H4436" s="40" t="s">
        <v>35</v>
      </c>
      <c r="I4436" s="37" t="s">
        <v>36</v>
      </c>
      <c r="J4436" s="25" t="s">
        <v>65</v>
      </c>
      <c r="K4436" s="26" t="s">
        <v>38</v>
      </c>
      <c r="L4436" s="72">
        <v>13392.0</v>
      </c>
      <c r="M4436" s="49" t="s">
        <v>50</v>
      </c>
      <c r="N4436" s="42" t="s">
        <v>5897</v>
      </c>
      <c r="O4436" s="67">
        <v>45849.64688237269</v>
      </c>
      <c r="P4436" s="35" t="s">
        <v>17519</v>
      </c>
      <c r="Q4436" s="13" t="s">
        <v>75</v>
      </c>
      <c r="R4436" s="13" t="s">
        <v>75</v>
      </c>
      <c r="S4436" s="13" t="s">
        <v>50</v>
      </c>
      <c r="T4436" s="44">
        <v>45848.65328005787</v>
      </c>
      <c r="U4436" s="44">
        <v>45849.430454155096</v>
      </c>
      <c r="V4436" s="44">
        <v>45849.561402604166</v>
      </c>
      <c r="W4436" s="11"/>
      <c r="X4436" s="11"/>
      <c r="Y4436" s="45">
        <v>302.0</v>
      </c>
      <c r="Z4436" s="45" t="s">
        <v>17520</v>
      </c>
      <c r="AA4436" s="31"/>
      <c r="AB4436" s="45" t="s">
        <v>17521</v>
      </c>
      <c r="AC4436" s="45"/>
    </row>
    <row r="4437" ht="18.75" customHeight="1">
      <c r="A4437" s="142" t="s">
        <v>17522</v>
      </c>
      <c r="B4437" s="19" t="s">
        <v>17523</v>
      </c>
      <c r="C4437" s="20">
        <v>1.0</v>
      </c>
      <c r="D4437" s="39" t="s">
        <v>17524</v>
      </c>
      <c r="E4437" s="27" t="s">
        <v>3395</v>
      </c>
      <c r="F4437" s="27" t="s">
        <v>48</v>
      </c>
      <c r="G4437" s="18" t="s">
        <v>35</v>
      </c>
      <c r="H4437" s="40" t="s">
        <v>35</v>
      </c>
      <c r="I4437" s="37" t="s">
        <v>36</v>
      </c>
      <c r="J4437" s="25" t="s">
        <v>65</v>
      </c>
      <c r="K4437" s="26" t="s">
        <v>38</v>
      </c>
      <c r="L4437" s="72">
        <v>13393.0</v>
      </c>
      <c r="M4437" s="49" t="s">
        <v>50</v>
      </c>
      <c r="N4437" s="42" t="s">
        <v>5897</v>
      </c>
      <c r="O4437" s="67">
        <v>45849.646837465276</v>
      </c>
      <c r="P4437" s="35" t="s">
        <v>17525</v>
      </c>
      <c r="Q4437" s="13" t="s">
        <v>75</v>
      </c>
      <c r="R4437" s="13" t="s">
        <v>75</v>
      </c>
      <c r="S4437" s="13" t="s">
        <v>50</v>
      </c>
      <c r="T4437" s="44">
        <v>45848.65440826389</v>
      </c>
      <c r="U4437" s="44">
        <v>45849.43048851852</v>
      </c>
      <c r="V4437" s="44">
        <v>45849.561402604166</v>
      </c>
      <c r="W4437" s="11"/>
      <c r="X4437" s="11"/>
      <c r="Y4437" s="45">
        <v>302.0</v>
      </c>
      <c r="Z4437" s="45" t="s">
        <v>17526</v>
      </c>
      <c r="AA4437" s="31"/>
      <c r="AB4437" s="45" t="s">
        <v>17527</v>
      </c>
      <c r="AC4437" s="45"/>
    </row>
    <row r="4438" ht="18.75" customHeight="1">
      <c r="A4438" s="18" t="s">
        <v>17528</v>
      </c>
      <c r="B4438" s="19" t="s">
        <v>8743</v>
      </c>
      <c r="C4438" s="20">
        <v>0.0</v>
      </c>
      <c r="D4438" s="39" t="s">
        <v>17529</v>
      </c>
      <c r="E4438" s="27" t="s">
        <v>3441</v>
      </c>
      <c r="F4438" s="27" t="s">
        <v>48</v>
      </c>
      <c r="G4438" s="18" t="s">
        <v>35</v>
      </c>
      <c r="H4438" s="40" t="s">
        <v>35</v>
      </c>
      <c r="I4438" s="37" t="s">
        <v>36</v>
      </c>
      <c r="J4438" s="25" t="s">
        <v>65</v>
      </c>
      <c r="K4438" s="26" t="s">
        <v>38</v>
      </c>
      <c r="L4438" s="72">
        <v>13388.0</v>
      </c>
      <c r="M4438" s="49" t="s">
        <v>50</v>
      </c>
      <c r="N4438" s="42" t="s">
        <v>5897</v>
      </c>
      <c r="O4438" s="67">
        <v>45849.64678646991</v>
      </c>
      <c r="P4438" s="35" t="s">
        <v>15829</v>
      </c>
      <c r="Q4438" s="13" t="s">
        <v>75</v>
      </c>
      <c r="R4438" s="13" t="s">
        <v>75</v>
      </c>
      <c r="S4438" s="13" t="s">
        <v>50</v>
      </c>
      <c r="T4438" s="44">
        <v>45848.65506287037</v>
      </c>
      <c r="U4438" s="44">
        <v>45848.71394346065</v>
      </c>
      <c r="V4438" s="44">
        <v>45849.34532416667</v>
      </c>
      <c r="W4438" s="11"/>
      <c r="X4438" s="11"/>
      <c r="Y4438" s="45">
        <v>302.0</v>
      </c>
      <c r="Z4438" s="45" t="s">
        <v>17530</v>
      </c>
      <c r="AA4438" s="31"/>
      <c r="AB4438" s="45" t="s">
        <v>17531</v>
      </c>
      <c r="AC4438" s="45"/>
    </row>
    <row r="4439" ht="18.75" customHeight="1">
      <c r="A4439" s="18" t="s">
        <v>17532</v>
      </c>
      <c r="B4439" s="19" t="s">
        <v>8743</v>
      </c>
      <c r="C4439" s="20">
        <v>0.0</v>
      </c>
      <c r="D4439" s="39" t="s">
        <v>17533</v>
      </c>
      <c r="E4439" s="27" t="s">
        <v>3441</v>
      </c>
      <c r="F4439" s="27" t="s">
        <v>48</v>
      </c>
      <c r="G4439" s="18" t="s">
        <v>35</v>
      </c>
      <c r="H4439" s="40" t="s">
        <v>35</v>
      </c>
      <c r="I4439" s="37" t="s">
        <v>36</v>
      </c>
      <c r="J4439" s="25" t="s">
        <v>65</v>
      </c>
      <c r="K4439" s="26" t="s">
        <v>38</v>
      </c>
      <c r="L4439" s="72">
        <v>13388.0</v>
      </c>
      <c r="M4439" s="49" t="s">
        <v>50</v>
      </c>
      <c r="N4439" s="42" t="s">
        <v>5897</v>
      </c>
      <c r="O4439" s="67">
        <v>45849.64674137731</v>
      </c>
      <c r="P4439" s="35" t="s">
        <v>15829</v>
      </c>
      <c r="Q4439" s="13" t="s">
        <v>75</v>
      </c>
      <c r="R4439" s="13" t="s">
        <v>75</v>
      </c>
      <c r="S4439" s="13" t="s">
        <v>50</v>
      </c>
      <c r="T4439" s="44">
        <v>45848.65513189815</v>
      </c>
      <c r="U4439" s="44">
        <v>45848.7139250926</v>
      </c>
      <c r="V4439" s="44">
        <v>45849.34520855324</v>
      </c>
      <c r="W4439" s="11"/>
      <c r="X4439" s="11"/>
      <c r="Y4439" s="45">
        <v>302.0</v>
      </c>
      <c r="Z4439" s="45" t="s">
        <v>17534</v>
      </c>
      <c r="AA4439" s="31"/>
      <c r="AB4439" s="45" t="s">
        <v>17535</v>
      </c>
      <c r="AC4439" s="45"/>
    </row>
    <row r="4440" ht="18.75" customHeight="1">
      <c r="A4440" s="18" t="s">
        <v>17536</v>
      </c>
      <c r="B4440" s="19" t="s">
        <v>858</v>
      </c>
      <c r="C4440" s="20">
        <v>1.0</v>
      </c>
      <c r="D4440" s="39"/>
      <c r="E4440" s="27" t="s">
        <v>155</v>
      </c>
      <c r="F4440" s="27" t="s">
        <v>48</v>
      </c>
      <c r="G4440" s="18" t="s">
        <v>35</v>
      </c>
      <c r="H4440" s="40" t="s">
        <v>35</v>
      </c>
      <c r="I4440" s="37" t="s">
        <v>984</v>
      </c>
      <c r="J4440" s="25" t="s">
        <v>420</v>
      </c>
      <c r="K4440" s="26" t="s">
        <v>38</v>
      </c>
      <c r="L4440" s="72">
        <v>-13400.0</v>
      </c>
      <c r="M4440" s="49"/>
      <c r="N4440" s="42"/>
      <c r="O4440" s="68"/>
      <c r="P4440" s="35" t="s">
        <v>17537</v>
      </c>
      <c r="Q4440" s="13" t="s">
        <v>75</v>
      </c>
      <c r="R4440" s="13" t="s">
        <v>75</v>
      </c>
      <c r="S4440" s="13"/>
      <c r="T4440" s="44">
        <v>45852.59116761574</v>
      </c>
      <c r="U4440" s="44">
        <v>45852.59149493056</v>
      </c>
      <c r="V4440" s="13"/>
      <c r="W4440" s="11"/>
      <c r="X4440" s="148">
        <v>45931.0</v>
      </c>
      <c r="Y4440" s="45"/>
      <c r="Z4440" s="45"/>
      <c r="AA4440" s="31"/>
      <c r="AB4440" s="45" t="s">
        <v>17538</v>
      </c>
      <c r="AC4440" s="45"/>
    </row>
    <row r="4441" ht="18.75" customHeight="1">
      <c r="A4441" s="18" t="s">
        <v>17539</v>
      </c>
      <c r="B4441" s="19" t="s">
        <v>858</v>
      </c>
      <c r="C4441" s="20">
        <v>0.0</v>
      </c>
      <c r="D4441" s="39"/>
      <c r="E4441" s="27" t="s">
        <v>14171</v>
      </c>
      <c r="F4441" s="27" t="s">
        <v>48</v>
      </c>
      <c r="G4441" s="18" t="s">
        <v>35</v>
      </c>
      <c r="H4441" s="40" t="s">
        <v>35</v>
      </c>
      <c r="I4441" s="37" t="s">
        <v>984</v>
      </c>
      <c r="J4441" s="25" t="s">
        <v>420</v>
      </c>
      <c r="K4441" s="26" t="s">
        <v>38</v>
      </c>
      <c r="L4441" s="72">
        <v>-13400.0</v>
      </c>
      <c r="M4441" s="49"/>
      <c r="N4441" s="42"/>
      <c r="O4441" s="68"/>
      <c r="P4441" s="35" t="s">
        <v>17537</v>
      </c>
      <c r="Q4441" s="13" t="s">
        <v>75</v>
      </c>
      <c r="R4441" s="13" t="s">
        <v>75</v>
      </c>
      <c r="S4441" s="13" t="s">
        <v>75</v>
      </c>
      <c r="T4441" s="44">
        <v>45852.591379062505</v>
      </c>
      <c r="U4441" s="44">
        <v>45852.59165094908</v>
      </c>
      <c r="V4441" s="13"/>
      <c r="W4441" s="11"/>
      <c r="X4441" s="148">
        <v>45931.0</v>
      </c>
      <c r="Y4441" s="45"/>
      <c r="Z4441" s="45"/>
      <c r="AA4441" s="31"/>
      <c r="AB4441" s="45" t="s">
        <v>17540</v>
      </c>
      <c r="AC4441" s="45"/>
    </row>
    <row r="4442" ht="18.75" customHeight="1">
      <c r="A4442" s="18" t="s">
        <v>17541</v>
      </c>
      <c r="B4442" s="19" t="s">
        <v>858</v>
      </c>
      <c r="C4442" s="20">
        <v>0.0</v>
      </c>
      <c r="D4442" s="39"/>
      <c r="E4442" s="27" t="s">
        <v>14171</v>
      </c>
      <c r="F4442" s="27" t="s">
        <v>48</v>
      </c>
      <c r="G4442" s="18" t="s">
        <v>35</v>
      </c>
      <c r="H4442" s="40" t="s">
        <v>35</v>
      </c>
      <c r="I4442" s="37" t="s">
        <v>984</v>
      </c>
      <c r="J4442" s="25" t="s">
        <v>420</v>
      </c>
      <c r="K4442" s="26" t="s">
        <v>38</v>
      </c>
      <c r="L4442" s="72">
        <v>-13400.0</v>
      </c>
      <c r="M4442" s="49"/>
      <c r="N4442" s="42"/>
      <c r="O4442" s="68"/>
      <c r="P4442" s="35" t="s">
        <v>17537</v>
      </c>
      <c r="Q4442" s="13" t="s">
        <v>75</v>
      </c>
      <c r="R4442" s="13" t="s">
        <v>75</v>
      </c>
      <c r="S4442" s="13" t="s">
        <v>75</v>
      </c>
      <c r="T4442" s="44">
        <v>45852.59126082176</v>
      </c>
      <c r="U4442" s="44">
        <v>45852.59157027778</v>
      </c>
      <c r="V4442" s="13"/>
      <c r="W4442" s="11"/>
      <c r="X4442" s="148">
        <v>45931.0</v>
      </c>
      <c r="Y4442" s="45"/>
      <c r="Z4442" s="45"/>
      <c r="AA4442" s="31"/>
      <c r="AB4442" s="45" t="s">
        <v>17542</v>
      </c>
      <c r="AC4442" s="45"/>
    </row>
    <row r="4443" ht="18.75" customHeight="1">
      <c r="A4443" s="142" t="s">
        <v>17543</v>
      </c>
      <c r="B4443" s="19" t="s">
        <v>3289</v>
      </c>
      <c r="C4443" s="20">
        <v>0.0</v>
      </c>
      <c r="D4443" s="179">
        <v>20142.0</v>
      </c>
      <c r="E4443" s="27" t="s">
        <v>2167</v>
      </c>
      <c r="F4443" s="27" t="s">
        <v>33</v>
      </c>
      <c r="G4443" s="18" t="s">
        <v>35</v>
      </c>
      <c r="H4443" s="40" t="s">
        <v>35</v>
      </c>
      <c r="I4443" s="24" t="s">
        <v>36</v>
      </c>
      <c r="J4443" s="25" t="s">
        <v>92</v>
      </c>
      <c r="K4443" s="26" t="s">
        <v>38</v>
      </c>
      <c r="L4443" s="72">
        <v>13401.0</v>
      </c>
      <c r="M4443" s="152" t="s">
        <v>17080</v>
      </c>
      <c r="N4443" s="65" t="s">
        <v>4362</v>
      </c>
      <c r="O4443" s="209">
        <v>45856.4989715625</v>
      </c>
      <c r="P4443" s="35" t="s">
        <v>17544</v>
      </c>
      <c r="Q4443" s="13" t="s">
        <v>75</v>
      </c>
      <c r="R4443" s="13" t="s">
        <v>75</v>
      </c>
      <c r="S4443" s="13" t="s">
        <v>50</v>
      </c>
      <c r="T4443" s="44">
        <v>45848.65881341435</v>
      </c>
      <c r="U4443" s="44">
        <v>45848.71089994213</v>
      </c>
      <c r="V4443" s="44">
        <v>45852.616264675926</v>
      </c>
      <c r="W4443" s="11"/>
      <c r="X4443" s="11"/>
      <c r="Y4443" s="45">
        <v>302.0</v>
      </c>
      <c r="Z4443" s="45" t="s">
        <v>17545</v>
      </c>
      <c r="AA4443" s="31"/>
      <c r="AB4443" s="45" t="s">
        <v>17546</v>
      </c>
      <c r="AC4443" s="45"/>
    </row>
    <row r="4444" ht="18.75" customHeight="1">
      <c r="A4444" s="142" t="s">
        <v>17547</v>
      </c>
      <c r="B4444" s="19" t="s">
        <v>17025</v>
      </c>
      <c r="C4444" s="20">
        <v>90.0</v>
      </c>
      <c r="D4444" s="39" t="s">
        <v>17548</v>
      </c>
      <c r="E4444" s="27" t="s">
        <v>91</v>
      </c>
      <c r="F4444" s="27" t="s">
        <v>48</v>
      </c>
      <c r="G4444" s="18" t="s">
        <v>35</v>
      </c>
      <c r="H4444" s="40" t="s">
        <v>35</v>
      </c>
      <c r="I4444" s="37" t="s">
        <v>36</v>
      </c>
      <c r="J4444" s="25" t="s">
        <v>15990</v>
      </c>
      <c r="K4444" s="26" t="s">
        <v>38</v>
      </c>
      <c r="L4444" s="72">
        <v>13394.0</v>
      </c>
      <c r="M4444" s="49" t="s">
        <v>15811</v>
      </c>
      <c r="N4444" s="42"/>
      <c r="O4444" s="67">
        <v>45849.58344248842</v>
      </c>
      <c r="P4444" s="35" t="s">
        <v>17549</v>
      </c>
      <c r="Q4444" s="13" t="s">
        <v>75</v>
      </c>
      <c r="R4444" s="13" t="s">
        <v>75</v>
      </c>
      <c r="S4444" s="13" t="s">
        <v>75</v>
      </c>
      <c r="T4444" s="44">
        <v>45848.65964875</v>
      </c>
      <c r="U4444" s="44">
        <v>45849.58344248842</v>
      </c>
      <c r="V4444" s="44">
        <v>45849.58344248842</v>
      </c>
      <c r="W4444" s="11"/>
      <c r="X4444" s="11"/>
      <c r="Y4444" s="45"/>
      <c r="Z4444" s="45"/>
      <c r="AA4444" s="31"/>
      <c r="AB4444" s="45" t="s">
        <v>17550</v>
      </c>
      <c r="AC4444" s="45"/>
    </row>
    <row r="4445" ht="18.75" customHeight="1">
      <c r="A4445" s="142" t="s">
        <v>17551</v>
      </c>
      <c r="B4445" s="19" t="s">
        <v>4313</v>
      </c>
      <c r="C4445" s="20">
        <v>1.0</v>
      </c>
      <c r="D4445" s="179">
        <v>20144.0</v>
      </c>
      <c r="E4445" s="27" t="s">
        <v>15373</v>
      </c>
      <c r="F4445" s="27" t="s">
        <v>48</v>
      </c>
      <c r="G4445" s="18" t="s">
        <v>35</v>
      </c>
      <c r="H4445" s="40" t="s">
        <v>35</v>
      </c>
      <c r="I4445" s="37" t="s">
        <v>36</v>
      </c>
      <c r="J4445" s="25" t="s">
        <v>92</v>
      </c>
      <c r="K4445" s="26" t="s">
        <v>38</v>
      </c>
      <c r="L4445" s="72">
        <v>13424.0</v>
      </c>
      <c r="M4445" s="49" t="s">
        <v>73</v>
      </c>
      <c r="N4445" s="42" t="s">
        <v>10176</v>
      </c>
      <c r="O4445" s="67">
        <v>45860.61878650463</v>
      </c>
      <c r="P4445" s="35" t="s">
        <v>17552</v>
      </c>
      <c r="Q4445" s="13" t="s">
        <v>75</v>
      </c>
      <c r="R4445" s="13" t="s">
        <v>75</v>
      </c>
      <c r="S4445" s="13" t="s">
        <v>9620</v>
      </c>
      <c r="T4445" s="44">
        <v>45848.71823033565</v>
      </c>
      <c r="U4445" s="44">
        <v>45849.39531980324</v>
      </c>
      <c r="V4445" s="44">
        <v>45854.6397947338</v>
      </c>
      <c r="W4445" s="11"/>
      <c r="X4445" s="11"/>
      <c r="Y4445" s="45">
        <v>302.0</v>
      </c>
      <c r="Z4445" s="45" t="s">
        <v>17553</v>
      </c>
      <c r="AA4445" s="31"/>
      <c r="AB4445" s="45" t="s">
        <v>17554</v>
      </c>
      <c r="AC4445" s="45"/>
    </row>
    <row r="4446" ht="18.75" customHeight="1">
      <c r="A4446" s="142" t="s">
        <v>17555</v>
      </c>
      <c r="B4446" s="19" t="s">
        <v>4313</v>
      </c>
      <c r="C4446" s="20">
        <v>90.0</v>
      </c>
      <c r="D4446" s="39" t="s">
        <v>17556</v>
      </c>
      <c r="E4446" s="27" t="s">
        <v>91</v>
      </c>
      <c r="F4446" s="27" t="s">
        <v>48</v>
      </c>
      <c r="G4446" s="18" t="s">
        <v>35</v>
      </c>
      <c r="H4446" s="40" t="s">
        <v>35</v>
      </c>
      <c r="I4446" s="37" t="s">
        <v>36</v>
      </c>
      <c r="J4446" s="25" t="s">
        <v>92</v>
      </c>
      <c r="K4446" s="26" t="s">
        <v>38</v>
      </c>
      <c r="L4446" s="72">
        <v>13402.0</v>
      </c>
      <c r="M4446" s="49" t="s">
        <v>73</v>
      </c>
      <c r="N4446" s="42" t="s">
        <v>10176</v>
      </c>
      <c r="O4446" s="67">
        <v>45855.636203449074</v>
      </c>
      <c r="P4446" s="35" t="s">
        <v>17557</v>
      </c>
      <c r="Q4446" s="13" t="s">
        <v>75</v>
      </c>
      <c r="R4446" s="13" t="s">
        <v>75</v>
      </c>
      <c r="S4446" s="13" t="s">
        <v>73</v>
      </c>
      <c r="T4446" s="44">
        <v>45848.71935159722</v>
      </c>
      <c r="U4446" s="44">
        <v>45849.39523814815</v>
      </c>
      <c r="V4446" s="44">
        <v>45852.69396319444</v>
      </c>
      <c r="W4446" s="11"/>
      <c r="X4446" s="11"/>
      <c r="Y4446" s="45">
        <v>302.0</v>
      </c>
      <c r="Z4446" s="45" t="s">
        <v>17558</v>
      </c>
      <c r="AA4446" s="31"/>
      <c r="AB4446" s="45" t="s">
        <v>17559</v>
      </c>
      <c r="AC4446" s="45"/>
    </row>
    <row r="4447" ht="18.75" customHeight="1">
      <c r="A4447" s="142" t="s">
        <v>17560</v>
      </c>
      <c r="B4447" s="19" t="s">
        <v>4313</v>
      </c>
      <c r="C4447" s="20">
        <v>90.0</v>
      </c>
      <c r="D4447" s="39" t="s">
        <v>17561</v>
      </c>
      <c r="E4447" s="27" t="s">
        <v>91</v>
      </c>
      <c r="F4447" s="27" t="s">
        <v>48</v>
      </c>
      <c r="G4447" s="18" t="s">
        <v>35</v>
      </c>
      <c r="H4447" s="40" t="s">
        <v>35</v>
      </c>
      <c r="I4447" s="37" t="s">
        <v>36</v>
      </c>
      <c r="J4447" s="25" t="s">
        <v>92</v>
      </c>
      <c r="K4447" s="26" t="s">
        <v>38</v>
      </c>
      <c r="L4447" s="72">
        <v>13403.0</v>
      </c>
      <c r="M4447" s="49" t="s">
        <v>73</v>
      </c>
      <c r="N4447" s="42" t="s">
        <v>10176</v>
      </c>
      <c r="O4447" s="67">
        <v>45855.63636506944</v>
      </c>
      <c r="P4447" s="35" t="s">
        <v>17562</v>
      </c>
      <c r="Q4447" s="13" t="s">
        <v>75</v>
      </c>
      <c r="R4447" s="13" t="s">
        <v>75</v>
      </c>
      <c r="S4447" s="13" t="s">
        <v>73</v>
      </c>
      <c r="T4447" s="44">
        <v>45848.72015037037</v>
      </c>
      <c r="U4447" s="44">
        <v>45849.3948762037</v>
      </c>
      <c r="V4447" s="44">
        <v>45852.69396318287</v>
      </c>
      <c r="W4447" s="11"/>
      <c r="X4447" s="11"/>
      <c r="Y4447" s="45">
        <v>302.0</v>
      </c>
      <c r="Z4447" s="45" t="s">
        <v>17563</v>
      </c>
      <c r="AA4447" s="31"/>
      <c r="AB4447" s="45" t="s">
        <v>17564</v>
      </c>
      <c r="AC4447" s="45"/>
    </row>
    <row r="4448" ht="18.75" customHeight="1">
      <c r="A4448" s="18" t="s">
        <v>17565</v>
      </c>
      <c r="B4448" s="19" t="s">
        <v>4313</v>
      </c>
      <c r="C4448" s="20">
        <v>27.0</v>
      </c>
      <c r="D4448" s="39" t="s">
        <v>17566</v>
      </c>
      <c r="E4448" s="27" t="s">
        <v>72</v>
      </c>
      <c r="F4448" s="27" t="s">
        <v>48</v>
      </c>
      <c r="G4448" s="18" t="s">
        <v>35</v>
      </c>
      <c r="H4448" s="40" t="s">
        <v>35</v>
      </c>
      <c r="I4448" s="37" t="s">
        <v>36</v>
      </c>
      <c r="J4448" s="25" t="s">
        <v>92</v>
      </c>
      <c r="K4448" s="26" t="s">
        <v>38</v>
      </c>
      <c r="L4448" s="72">
        <v>13404.0</v>
      </c>
      <c r="M4448" s="49" t="s">
        <v>73</v>
      </c>
      <c r="N4448" s="42" t="s">
        <v>10176</v>
      </c>
      <c r="O4448" s="67">
        <v>45860.61912048611</v>
      </c>
      <c r="P4448" s="35" t="s">
        <v>17567</v>
      </c>
      <c r="Q4448" s="13" t="s">
        <v>75</v>
      </c>
      <c r="R4448" s="13" t="s">
        <v>75</v>
      </c>
      <c r="S4448" s="13" t="s">
        <v>73</v>
      </c>
      <c r="T4448" s="44">
        <v>45848.72113391204</v>
      </c>
      <c r="U4448" s="44">
        <v>45849.583848194445</v>
      </c>
      <c r="V4448" s="44">
        <v>45852.693963206024</v>
      </c>
      <c r="W4448" s="11"/>
      <c r="X4448" s="11"/>
      <c r="Y4448" s="45">
        <v>302.0</v>
      </c>
      <c r="Z4448" s="45" t="s">
        <v>17568</v>
      </c>
      <c r="AA4448" s="31"/>
      <c r="AB4448" s="45" t="s">
        <v>17569</v>
      </c>
      <c r="AC4448" s="45"/>
    </row>
    <row r="4449" ht="18.75" customHeight="1">
      <c r="A4449" s="18" t="s">
        <v>17570</v>
      </c>
      <c r="B4449" s="19" t="s">
        <v>4313</v>
      </c>
      <c r="C4449" s="20">
        <v>27.0</v>
      </c>
      <c r="D4449" s="39" t="s">
        <v>17571</v>
      </c>
      <c r="E4449" s="27" t="s">
        <v>72</v>
      </c>
      <c r="F4449" s="27" t="s">
        <v>48</v>
      </c>
      <c r="G4449" s="18" t="s">
        <v>35</v>
      </c>
      <c r="H4449" s="40" t="s">
        <v>35</v>
      </c>
      <c r="I4449" s="37" t="s">
        <v>36</v>
      </c>
      <c r="J4449" s="25" t="s">
        <v>92</v>
      </c>
      <c r="K4449" s="26" t="s">
        <v>38</v>
      </c>
      <c r="L4449" s="72">
        <v>13404.0</v>
      </c>
      <c r="M4449" s="49" t="s">
        <v>73</v>
      </c>
      <c r="N4449" s="42" t="s">
        <v>10176</v>
      </c>
      <c r="O4449" s="67">
        <v>45860.619263796296</v>
      </c>
      <c r="P4449" s="35" t="s">
        <v>17567</v>
      </c>
      <c r="Q4449" s="13" t="s">
        <v>75</v>
      </c>
      <c r="R4449" s="13" t="s">
        <v>75</v>
      </c>
      <c r="S4449" s="13" t="s">
        <v>73</v>
      </c>
      <c r="T4449" s="44">
        <v>45848.72163863426</v>
      </c>
      <c r="U4449" s="44">
        <v>45849.58387965278</v>
      </c>
      <c r="V4449" s="44">
        <v>45852.69396321759</v>
      </c>
      <c r="W4449" s="11"/>
      <c r="X4449" s="11"/>
      <c r="Y4449" s="45">
        <v>302.0</v>
      </c>
      <c r="Z4449" s="45" t="s">
        <v>17572</v>
      </c>
      <c r="AA4449" s="31"/>
      <c r="AB4449" s="45" t="s">
        <v>17573</v>
      </c>
      <c r="AC4449" s="45"/>
    </row>
    <row r="4450" ht="18.75" customHeight="1">
      <c r="A4450" s="142" t="s">
        <v>17574</v>
      </c>
      <c r="B4450" s="19" t="s">
        <v>147</v>
      </c>
      <c r="C4450" s="20">
        <v>0.0</v>
      </c>
      <c r="D4450" s="39" t="s">
        <v>17575</v>
      </c>
      <c r="E4450" s="27" t="s">
        <v>3441</v>
      </c>
      <c r="F4450" s="27" t="s">
        <v>48</v>
      </c>
      <c r="G4450" s="18" t="s">
        <v>35</v>
      </c>
      <c r="H4450" s="40" t="s">
        <v>35</v>
      </c>
      <c r="I4450" s="37" t="s">
        <v>36</v>
      </c>
      <c r="J4450" s="25" t="s">
        <v>65</v>
      </c>
      <c r="K4450" s="26" t="s">
        <v>38</v>
      </c>
      <c r="L4450" s="72">
        <v>13467.0</v>
      </c>
      <c r="M4450" s="49" t="s">
        <v>50</v>
      </c>
      <c r="N4450" s="42" t="s">
        <v>5883</v>
      </c>
      <c r="O4450" s="67">
        <v>45861.6465783912</v>
      </c>
      <c r="P4450" s="35" t="s">
        <v>15829</v>
      </c>
      <c r="Q4450" s="13" t="s">
        <v>75</v>
      </c>
      <c r="R4450" s="13" t="s">
        <v>75</v>
      </c>
      <c r="S4450" s="13" t="s">
        <v>50</v>
      </c>
      <c r="T4450" s="44">
        <v>45860.43766137732</v>
      </c>
      <c r="U4450" s="44">
        <v>45860.62572465278</v>
      </c>
      <c r="V4450" s="44">
        <v>45861.46174407407</v>
      </c>
      <c r="W4450" s="11"/>
      <c r="X4450" s="11"/>
      <c r="Y4450" s="45">
        <v>302.0</v>
      </c>
      <c r="Z4450" s="45" t="s">
        <v>17576</v>
      </c>
      <c r="AA4450" s="31"/>
      <c r="AB4450" s="45" t="s">
        <v>17577</v>
      </c>
      <c r="AC4450" s="45"/>
    </row>
    <row r="4451" ht="18.75" customHeight="1">
      <c r="A4451" s="142" t="s">
        <v>17578</v>
      </c>
      <c r="B4451" s="19" t="s">
        <v>14663</v>
      </c>
      <c r="C4451" s="20">
        <v>137.0</v>
      </c>
      <c r="D4451" s="39" t="s">
        <v>17579</v>
      </c>
      <c r="E4451" s="27" t="s">
        <v>85</v>
      </c>
      <c r="F4451" s="27" t="s">
        <v>48</v>
      </c>
      <c r="G4451" s="18" t="s">
        <v>35</v>
      </c>
      <c r="H4451" s="40" t="s">
        <v>35</v>
      </c>
      <c r="I4451" s="37" t="s">
        <v>36</v>
      </c>
      <c r="J4451" s="25" t="s">
        <v>65</v>
      </c>
      <c r="K4451" s="26" t="s">
        <v>38</v>
      </c>
      <c r="L4451" s="72">
        <v>13395.0</v>
      </c>
      <c r="M4451" s="49" t="s">
        <v>50</v>
      </c>
      <c r="N4451" s="42" t="s">
        <v>5897</v>
      </c>
      <c r="O4451" s="67">
        <v>45849.646690208334</v>
      </c>
      <c r="P4451" s="35" t="s">
        <v>17580</v>
      </c>
      <c r="Q4451" s="13" t="s">
        <v>75</v>
      </c>
      <c r="R4451" s="13" t="s">
        <v>75</v>
      </c>
      <c r="S4451" s="13" t="s">
        <v>50</v>
      </c>
      <c r="T4451" s="44">
        <v>45849.61006796296</v>
      </c>
      <c r="U4451" s="44">
        <v>45849.61007953704</v>
      </c>
      <c r="V4451" s="44">
        <v>45849.613833344905</v>
      </c>
      <c r="W4451" s="11"/>
      <c r="X4451" s="11"/>
      <c r="Y4451" s="45">
        <v>302.0</v>
      </c>
      <c r="Z4451" s="45" t="s">
        <v>17581</v>
      </c>
      <c r="AA4451" s="31"/>
      <c r="AB4451" s="45" t="s">
        <v>17582</v>
      </c>
      <c r="AC4451" s="45"/>
    </row>
    <row r="4452" ht="18.75" customHeight="1">
      <c r="A4452" s="18" t="s">
        <v>17583</v>
      </c>
      <c r="B4452" s="19" t="s">
        <v>3888</v>
      </c>
      <c r="C4452" s="20">
        <v>0.0</v>
      </c>
      <c r="D4452" s="39" t="s">
        <v>17584</v>
      </c>
      <c r="E4452" s="27" t="s">
        <v>3441</v>
      </c>
      <c r="F4452" s="27" t="s">
        <v>48</v>
      </c>
      <c r="G4452" s="18" t="s">
        <v>35</v>
      </c>
      <c r="H4452" s="40" t="s">
        <v>35</v>
      </c>
      <c r="I4452" s="37" t="s">
        <v>36</v>
      </c>
      <c r="J4452" s="25" t="s">
        <v>49</v>
      </c>
      <c r="K4452" s="26" t="s">
        <v>2978</v>
      </c>
      <c r="L4452" s="72">
        <v>13396.0</v>
      </c>
      <c r="M4452" s="49" t="s">
        <v>50</v>
      </c>
      <c r="N4452" s="42" t="s">
        <v>17048</v>
      </c>
      <c r="O4452" s="67">
        <v>45852.582746354165</v>
      </c>
      <c r="P4452" s="35" t="s">
        <v>17585</v>
      </c>
      <c r="Q4452" s="13" t="s">
        <v>75</v>
      </c>
      <c r="R4452" s="13" t="s">
        <v>75</v>
      </c>
      <c r="S4452" s="13" t="s">
        <v>50</v>
      </c>
      <c r="T4452" s="44">
        <v>45849.63521975694</v>
      </c>
      <c r="U4452" s="44">
        <v>45849.69164815972</v>
      </c>
      <c r="V4452" s="44">
        <v>45852.353996238424</v>
      </c>
      <c r="W4452" s="11"/>
      <c r="X4452" s="11"/>
      <c r="Y4452" s="45">
        <v>302.0</v>
      </c>
      <c r="Z4452" s="45" t="s">
        <v>17586</v>
      </c>
      <c r="AA4452" s="31"/>
      <c r="AB4452" s="45" t="s">
        <v>17587</v>
      </c>
      <c r="AC4452" s="45"/>
    </row>
    <row r="4453" ht="18.75" customHeight="1">
      <c r="A4453" s="18" t="s">
        <v>17588</v>
      </c>
      <c r="B4453" s="19" t="s">
        <v>3888</v>
      </c>
      <c r="C4453" s="20">
        <v>0.0</v>
      </c>
      <c r="D4453" s="39" t="s">
        <v>17589</v>
      </c>
      <c r="E4453" s="27" t="s">
        <v>3441</v>
      </c>
      <c r="F4453" s="27" t="s">
        <v>48</v>
      </c>
      <c r="G4453" s="18" t="s">
        <v>35</v>
      </c>
      <c r="H4453" s="40" t="s">
        <v>35</v>
      </c>
      <c r="I4453" s="37" t="s">
        <v>36</v>
      </c>
      <c r="J4453" s="25" t="s">
        <v>49</v>
      </c>
      <c r="K4453" s="26" t="s">
        <v>2978</v>
      </c>
      <c r="L4453" s="72">
        <v>13396.0</v>
      </c>
      <c r="M4453" s="49" t="s">
        <v>50</v>
      </c>
      <c r="N4453" s="42" t="s">
        <v>17048</v>
      </c>
      <c r="O4453" s="67">
        <v>45852.58262986111</v>
      </c>
      <c r="P4453" s="35" t="s">
        <v>17585</v>
      </c>
      <c r="Q4453" s="13" t="s">
        <v>75</v>
      </c>
      <c r="R4453" s="13" t="s">
        <v>75</v>
      </c>
      <c r="S4453" s="13" t="s">
        <v>50</v>
      </c>
      <c r="T4453" s="44">
        <v>45849.635311736114</v>
      </c>
      <c r="U4453" s="44">
        <v>45849.69167738426</v>
      </c>
      <c r="V4453" s="44">
        <v>45852.35399625</v>
      </c>
      <c r="W4453" s="11"/>
      <c r="X4453" s="11"/>
      <c r="Y4453" s="45">
        <v>302.0</v>
      </c>
      <c r="Z4453" s="45" t="s">
        <v>17590</v>
      </c>
      <c r="AA4453" s="31"/>
      <c r="AB4453" s="45" t="s">
        <v>17591</v>
      </c>
      <c r="AC4453" s="45"/>
    </row>
    <row r="4454" ht="18.75" customHeight="1">
      <c r="A4454" s="142" t="s">
        <v>17592</v>
      </c>
      <c r="B4454" s="19" t="s">
        <v>11288</v>
      </c>
      <c r="C4454" s="20">
        <v>90.0</v>
      </c>
      <c r="D4454" s="39" t="s">
        <v>17593</v>
      </c>
      <c r="E4454" s="27" t="s">
        <v>91</v>
      </c>
      <c r="F4454" s="27" t="s">
        <v>48</v>
      </c>
      <c r="G4454" s="18" t="s">
        <v>35</v>
      </c>
      <c r="H4454" s="40" t="s">
        <v>35</v>
      </c>
      <c r="I4454" s="37" t="s">
        <v>36</v>
      </c>
      <c r="J4454" s="25" t="s">
        <v>49</v>
      </c>
      <c r="K4454" s="26" t="s">
        <v>38</v>
      </c>
      <c r="L4454" s="72">
        <v>13407.0</v>
      </c>
      <c r="M4454" s="49" t="s">
        <v>50</v>
      </c>
      <c r="N4454" s="42" t="s">
        <v>17048</v>
      </c>
      <c r="O4454" s="67">
        <v>45853.58863017361</v>
      </c>
      <c r="P4454" s="35" t="s">
        <v>15666</v>
      </c>
      <c r="Q4454" s="13" t="s">
        <v>75</v>
      </c>
      <c r="R4454" s="13" t="s">
        <v>75</v>
      </c>
      <c r="S4454" s="13" t="s">
        <v>50</v>
      </c>
      <c r="T4454" s="44">
        <v>45852.58927471065</v>
      </c>
      <c r="U4454" s="44">
        <v>45853.385122685184</v>
      </c>
      <c r="V4454" s="44">
        <v>45853.41384311343</v>
      </c>
      <c r="W4454" s="11"/>
      <c r="X4454" s="11"/>
      <c r="Y4454" s="45">
        <v>302.0</v>
      </c>
      <c r="Z4454" s="45" t="s">
        <v>17594</v>
      </c>
      <c r="AA4454" s="31"/>
      <c r="AB4454" s="45" t="s">
        <v>17595</v>
      </c>
      <c r="AC4454" s="45"/>
    </row>
    <row r="4455" ht="18.75" customHeight="1">
      <c r="A4455" s="142" t="s">
        <v>17596</v>
      </c>
      <c r="B4455" s="19" t="s">
        <v>4941</v>
      </c>
      <c r="C4455" s="20">
        <v>90.0</v>
      </c>
      <c r="D4455" s="39" t="s">
        <v>17597</v>
      </c>
      <c r="E4455" s="27" t="s">
        <v>91</v>
      </c>
      <c r="F4455" s="27" t="s">
        <v>48</v>
      </c>
      <c r="G4455" s="18" t="s">
        <v>35</v>
      </c>
      <c r="H4455" s="40" t="s">
        <v>35</v>
      </c>
      <c r="I4455" s="37" t="s">
        <v>36</v>
      </c>
      <c r="J4455" s="25" t="s">
        <v>92</v>
      </c>
      <c r="K4455" s="26" t="s">
        <v>38</v>
      </c>
      <c r="L4455" s="72">
        <v>13405.0</v>
      </c>
      <c r="M4455" s="49" t="s">
        <v>50</v>
      </c>
      <c r="N4455" s="42" t="s">
        <v>7145</v>
      </c>
      <c r="O4455" s="67">
        <v>45852.71976133102</v>
      </c>
      <c r="P4455" s="35" t="s">
        <v>17598</v>
      </c>
      <c r="Q4455" s="13" t="s">
        <v>75</v>
      </c>
      <c r="R4455" s="13" t="s">
        <v>75</v>
      </c>
      <c r="S4455" s="13" t="s">
        <v>50</v>
      </c>
      <c r="T4455" s="44">
        <v>45852.708266064816</v>
      </c>
      <c r="U4455" s="44">
        <v>45852.71483457176</v>
      </c>
      <c r="V4455" s="44">
        <v>45852.716072152776</v>
      </c>
      <c r="W4455" s="11"/>
      <c r="X4455" s="11"/>
      <c r="Y4455" s="45">
        <v>302.0</v>
      </c>
      <c r="Z4455" s="45" t="s">
        <v>17599</v>
      </c>
      <c r="AA4455" s="31"/>
      <c r="AB4455" s="45" t="s">
        <v>17600</v>
      </c>
      <c r="AC4455" s="45"/>
    </row>
    <row r="4456" ht="18.75" customHeight="1">
      <c r="A4456" s="18" t="s">
        <v>17601</v>
      </c>
      <c r="B4456" s="19" t="s">
        <v>14771</v>
      </c>
      <c r="C4456" s="20">
        <v>0.0</v>
      </c>
      <c r="D4456" s="39" t="s">
        <v>17602</v>
      </c>
      <c r="E4456" s="27" t="s">
        <v>3441</v>
      </c>
      <c r="F4456" s="27" t="s">
        <v>48</v>
      </c>
      <c r="G4456" s="18" t="s">
        <v>35</v>
      </c>
      <c r="H4456" s="40" t="s">
        <v>35</v>
      </c>
      <c r="I4456" s="37" t="s">
        <v>36</v>
      </c>
      <c r="J4456" s="25" t="s">
        <v>49</v>
      </c>
      <c r="K4456" s="26" t="s">
        <v>447</v>
      </c>
      <c r="L4456" s="72">
        <v>13408.0</v>
      </c>
      <c r="M4456" s="49" t="s">
        <v>50</v>
      </c>
      <c r="N4456" s="42" t="s">
        <v>17048</v>
      </c>
      <c r="O4456" s="67">
        <v>45853.58868351852</v>
      </c>
      <c r="P4456" s="35" t="s">
        <v>17603</v>
      </c>
      <c r="Q4456" s="13" t="s">
        <v>75</v>
      </c>
      <c r="R4456" s="13" t="s">
        <v>75</v>
      </c>
      <c r="S4456" s="13" t="s">
        <v>50</v>
      </c>
      <c r="T4456" s="44">
        <v>45853.38618321759</v>
      </c>
      <c r="U4456" s="44">
        <v>45853.417075219906</v>
      </c>
      <c r="V4456" s="44">
        <v>45853.42518575232</v>
      </c>
      <c r="W4456" s="11"/>
      <c r="X4456" s="11"/>
      <c r="Y4456" s="45">
        <v>302.0</v>
      </c>
      <c r="Z4456" s="45" t="s">
        <v>17604</v>
      </c>
      <c r="AA4456" s="31"/>
      <c r="AB4456" s="45" t="s">
        <v>17605</v>
      </c>
      <c r="AC4456" s="45"/>
    </row>
    <row r="4457" ht="18.75" customHeight="1">
      <c r="A4457" s="18" t="s">
        <v>17606</v>
      </c>
      <c r="B4457" s="19" t="s">
        <v>14771</v>
      </c>
      <c r="C4457" s="20">
        <v>27.0</v>
      </c>
      <c r="D4457" s="39" t="s">
        <v>17607</v>
      </c>
      <c r="E4457" s="27" t="s">
        <v>72</v>
      </c>
      <c r="F4457" s="27" t="s">
        <v>48</v>
      </c>
      <c r="G4457" s="18" t="s">
        <v>35</v>
      </c>
      <c r="H4457" s="40" t="s">
        <v>35</v>
      </c>
      <c r="I4457" s="37" t="s">
        <v>36</v>
      </c>
      <c r="J4457" s="25" t="s">
        <v>49</v>
      </c>
      <c r="K4457" s="26" t="s">
        <v>447</v>
      </c>
      <c r="L4457" s="72">
        <v>13408.0</v>
      </c>
      <c r="M4457" s="49" t="s">
        <v>50</v>
      </c>
      <c r="N4457" s="42" t="s">
        <v>17048</v>
      </c>
      <c r="O4457" s="67">
        <v>45853.588731550924</v>
      </c>
      <c r="P4457" s="35" t="s">
        <v>17603</v>
      </c>
      <c r="Q4457" s="13" t="s">
        <v>75</v>
      </c>
      <c r="R4457" s="13" t="s">
        <v>75</v>
      </c>
      <c r="S4457" s="13" t="s">
        <v>50</v>
      </c>
      <c r="T4457" s="44">
        <v>45853.386481423615</v>
      </c>
      <c r="U4457" s="44">
        <v>45853.41714174769</v>
      </c>
      <c r="V4457" s="44">
        <v>45853.42518576389</v>
      </c>
      <c r="W4457" s="11"/>
      <c r="X4457" s="11"/>
      <c r="Y4457" s="45">
        <v>302.0</v>
      </c>
      <c r="Z4457" s="45" t="s">
        <v>17608</v>
      </c>
      <c r="AA4457" s="31"/>
      <c r="AB4457" s="45" t="s">
        <v>17609</v>
      </c>
      <c r="AC4457" s="45"/>
    </row>
    <row r="4458" ht="18.75" customHeight="1">
      <c r="A4458" s="142" t="s">
        <v>17610</v>
      </c>
      <c r="B4458" s="19" t="s">
        <v>3709</v>
      </c>
      <c r="C4458" s="20">
        <v>0.0</v>
      </c>
      <c r="D4458" s="179">
        <v>20071.0</v>
      </c>
      <c r="E4458" s="27" t="s">
        <v>713</v>
      </c>
      <c r="F4458" s="27" t="s">
        <v>33</v>
      </c>
      <c r="G4458" s="18" t="s">
        <v>35</v>
      </c>
      <c r="H4458" s="40" t="s">
        <v>35</v>
      </c>
      <c r="I4458" s="37" t="s">
        <v>36</v>
      </c>
      <c r="J4458" s="25" t="s">
        <v>92</v>
      </c>
      <c r="K4458" s="26" t="s">
        <v>38</v>
      </c>
      <c r="L4458" s="72">
        <v>13411.0</v>
      </c>
      <c r="M4458" s="49" t="s">
        <v>73</v>
      </c>
      <c r="N4458" s="42" t="s">
        <v>5352</v>
      </c>
      <c r="O4458" s="67">
        <v>45859.4304628588</v>
      </c>
      <c r="P4458" s="35" t="s">
        <v>17611</v>
      </c>
      <c r="Q4458" s="13" t="s">
        <v>75</v>
      </c>
      <c r="R4458" s="13" t="s">
        <v>75</v>
      </c>
      <c r="S4458" s="13" t="s">
        <v>9620</v>
      </c>
      <c r="T4458" s="44">
        <v>45853.38731443287</v>
      </c>
      <c r="U4458" s="44">
        <v>45853.49226584491</v>
      </c>
      <c r="V4458" s="44">
        <v>45853.49526457176</v>
      </c>
      <c r="W4458" s="11"/>
      <c r="X4458" s="11"/>
      <c r="Y4458" s="45">
        <v>302.0</v>
      </c>
      <c r="Z4458" s="45" t="s">
        <v>17612</v>
      </c>
      <c r="AA4458" s="31"/>
      <c r="AB4458" s="45" t="s">
        <v>17613</v>
      </c>
      <c r="AC4458" s="45"/>
    </row>
    <row r="4459" ht="18.75" customHeight="1">
      <c r="A4459" s="142" t="s">
        <v>17614</v>
      </c>
      <c r="B4459" s="19" t="s">
        <v>10785</v>
      </c>
      <c r="C4459" s="20">
        <v>11.0</v>
      </c>
      <c r="D4459" s="39" t="s">
        <v>17615</v>
      </c>
      <c r="E4459" s="27" t="s">
        <v>112</v>
      </c>
      <c r="F4459" s="27" t="s">
        <v>48</v>
      </c>
      <c r="G4459" s="18" t="s">
        <v>35</v>
      </c>
      <c r="H4459" s="40" t="s">
        <v>35</v>
      </c>
      <c r="I4459" s="37" t="s">
        <v>36</v>
      </c>
      <c r="J4459" s="25" t="s">
        <v>92</v>
      </c>
      <c r="K4459" s="26" t="s">
        <v>38</v>
      </c>
      <c r="L4459" s="72">
        <v>13414.0</v>
      </c>
      <c r="M4459" s="49" t="s">
        <v>50</v>
      </c>
      <c r="N4459" s="42" t="s">
        <v>10787</v>
      </c>
      <c r="O4459" s="67">
        <v>45880.68849291667</v>
      </c>
      <c r="P4459" s="35" t="s">
        <v>17616</v>
      </c>
      <c r="Q4459" s="13" t="s">
        <v>75</v>
      </c>
      <c r="R4459" s="13" t="s">
        <v>75</v>
      </c>
      <c r="S4459" s="13" t="s">
        <v>73</v>
      </c>
      <c r="T4459" s="44">
        <v>45853.39372633102</v>
      </c>
      <c r="U4459" s="44">
        <v>45853.49243268519</v>
      </c>
      <c r="V4459" s="44">
        <v>45854.37217480324</v>
      </c>
      <c r="W4459" s="11"/>
      <c r="X4459" s="11"/>
      <c r="Y4459" s="45">
        <v>302.0</v>
      </c>
      <c r="Z4459" s="45" t="s">
        <v>17617</v>
      </c>
      <c r="AA4459" s="31"/>
      <c r="AB4459" s="45" t="s">
        <v>17618</v>
      </c>
      <c r="AC4459" s="45"/>
    </row>
    <row r="4460" ht="18.75" customHeight="1">
      <c r="A4460" s="142" t="s">
        <v>17619</v>
      </c>
      <c r="B4460" s="19" t="s">
        <v>4313</v>
      </c>
      <c r="C4460" s="20">
        <v>27.0</v>
      </c>
      <c r="D4460" s="39" t="s">
        <v>17620</v>
      </c>
      <c r="E4460" s="27" t="s">
        <v>72</v>
      </c>
      <c r="F4460" s="27" t="s">
        <v>48</v>
      </c>
      <c r="G4460" s="18" t="s">
        <v>35</v>
      </c>
      <c r="H4460" s="40" t="s">
        <v>35</v>
      </c>
      <c r="I4460" s="37" t="s">
        <v>36</v>
      </c>
      <c r="J4460" s="25" t="s">
        <v>92</v>
      </c>
      <c r="K4460" s="26" t="s">
        <v>38</v>
      </c>
      <c r="L4460" s="72">
        <v>13413.0</v>
      </c>
      <c r="M4460" s="49" t="s">
        <v>73</v>
      </c>
      <c r="N4460" s="42" t="s">
        <v>10176</v>
      </c>
      <c r="O4460" s="67">
        <v>45860.619347789354</v>
      </c>
      <c r="P4460" s="35" t="s">
        <v>17621</v>
      </c>
      <c r="Q4460" s="13" t="s">
        <v>75</v>
      </c>
      <c r="R4460" s="13" t="s">
        <v>75</v>
      </c>
      <c r="S4460" s="13" t="s">
        <v>73</v>
      </c>
      <c r="T4460" s="44">
        <v>45853.39442701389</v>
      </c>
      <c r="U4460" s="44">
        <v>45853.49253181713</v>
      </c>
      <c r="V4460" s="44">
        <v>45854.37240851852</v>
      </c>
      <c r="W4460" s="11"/>
      <c r="X4460" s="11"/>
      <c r="Y4460" s="45">
        <v>302.0</v>
      </c>
      <c r="Z4460" s="45" t="s">
        <v>17622</v>
      </c>
      <c r="AA4460" s="31"/>
      <c r="AB4460" s="45" t="s">
        <v>17623</v>
      </c>
      <c r="AC4460" s="45"/>
    </row>
    <row r="4461" ht="18.75" customHeight="1">
      <c r="A4461" s="142" t="s">
        <v>17624</v>
      </c>
      <c r="B4461" s="19" t="s">
        <v>17625</v>
      </c>
      <c r="C4461" s="20">
        <v>90.0</v>
      </c>
      <c r="D4461" s="39" t="s">
        <v>17626</v>
      </c>
      <c r="E4461" s="27" t="s">
        <v>91</v>
      </c>
      <c r="F4461" s="27" t="s">
        <v>48</v>
      </c>
      <c r="G4461" s="18" t="s">
        <v>35</v>
      </c>
      <c r="H4461" s="40" t="s">
        <v>35</v>
      </c>
      <c r="I4461" s="37" t="s">
        <v>36</v>
      </c>
      <c r="J4461" s="25" t="s">
        <v>49</v>
      </c>
      <c r="K4461" s="26" t="s">
        <v>38</v>
      </c>
      <c r="L4461" s="72">
        <v>13412.0</v>
      </c>
      <c r="M4461" s="49" t="s">
        <v>50</v>
      </c>
      <c r="N4461" s="42" t="s">
        <v>17048</v>
      </c>
      <c r="O4461" s="67">
        <v>45853.58878585648</v>
      </c>
      <c r="P4461" s="35" t="s">
        <v>15666</v>
      </c>
      <c r="Q4461" s="13" t="s">
        <v>75</v>
      </c>
      <c r="R4461" s="13" t="s">
        <v>75</v>
      </c>
      <c r="S4461" s="13" t="s">
        <v>50</v>
      </c>
      <c r="T4461" s="44">
        <v>45853.48034836806</v>
      </c>
      <c r="U4461" s="44">
        <v>45853.49287854167</v>
      </c>
      <c r="V4461" s="44">
        <v>45853.544430636575</v>
      </c>
      <c r="W4461" s="11"/>
      <c r="X4461" s="11"/>
      <c r="Y4461" s="45">
        <v>302.0</v>
      </c>
      <c r="Z4461" s="45" t="s">
        <v>17627</v>
      </c>
      <c r="AA4461" s="31"/>
      <c r="AB4461" s="45" t="s">
        <v>17628</v>
      </c>
      <c r="AC4461" s="45"/>
    </row>
    <row r="4462" ht="18.75" customHeight="1">
      <c r="A4462" s="18" t="s">
        <v>17629</v>
      </c>
      <c r="B4462" s="19" t="s">
        <v>3674</v>
      </c>
      <c r="C4462" s="20">
        <v>11.0</v>
      </c>
      <c r="D4462" s="39" t="s">
        <v>17630</v>
      </c>
      <c r="E4462" s="27" t="s">
        <v>112</v>
      </c>
      <c r="F4462" s="27" t="s">
        <v>48</v>
      </c>
      <c r="G4462" s="18" t="s">
        <v>35</v>
      </c>
      <c r="H4462" s="40" t="s">
        <v>35</v>
      </c>
      <c r="I4462" s="37" t="s">
        <v>36</v>
      </c>
      <c r="J4462" s="25" t="s">
        <v>65</v>
      </c>
      <c r="K4462" s="26" t="s">
        <v>38</v>
      </c>
      <c r="L4462" s="72">
        <v>13432.0</v>
      </c>
      <c r="M4462" s="49" t="s">
        <v>50</v>
      </c>
      <c r="N4462" s="42" t="s">
        <v>3461</v>
      </c>
      <c r="O4462" s="67">
        <v>45859.32826792824</v>
      </c>
      <c r="P4462" s="35" t="s">
        <v>17631</v>
      </c>
      <c r="Q4462" s="13" t="s">
        <v>75</v>
      </c>
      <c r="R4462" s="13" t="s">
        <v>6028</v>
      </c>
      <c r="S4462" s="13" t="s">
        <v>50</v>
      </c>
      <c r="T4462" s="44">
        <v>45853.48693167824</v>
      </c>
      <c r="U4462" s="44">
        <v>45856.39739947917</v>
      </c>
      <c r="V4462" s="44">
        <v>45856.4718346875</v>
      </c>
      <c r="W4462" s="11"/>
      <c r="X4462" s="11"/>
      <c r="Y4462" s="45">
        <v>302.0</v>
      </c>
      <c r="Z4462" s="45" t="s">
        <v>17632</v>
      </c>
      <c r="AA4462" s="31"/>
      <c r="AB4462" s="45" t="s">
        <v>17633</v>
      </c>
      <c r="AC4462" s="45"/>
    </row>
    <row r="4463" ht="18.75" customHeight="1">
      <c r="A4463" s="18" t="s">
        <v>17634</v>
      </c>
      <c r="B4463" s="19" t="s">
        <v>3674</v>
      </c>
      <c r="C4463" s="20">
        <v>1.0</v>
      </c>
      <c r="D4463" s="39" t="s">
        <v>17635</v>
      </c>
      <c r="E4463" s="27" t="s">
        <v>3395</v>
      </c>
      <c r="F4463" s="27" t="s">
        <v>48</v>
      </c>
      <c r="G4463" s="18" t="s">
        <v>35</v>
      </c>
      <c r="H4463" s="40" t="s">
        <v>35</v>
      </c>
      <c r="I4463" s="37" t="s">
        <v>36</v>
      </c>
      <c r="J4463" s="25" t="s">
        <v>65</v>
      </c>
      <c r="K4463" s="26" t="s">
        <v>38</v>
      </c>
      <c r="L4463" s="72">
        <v>13432.0</v>
      </c>
      <c r="M4463" s="49" t="s">
        <v>50</v>
      </c>
      <c r="N4463" s="42" t="s">
        <v>3461</v>
      </c>
      <c r="O4463" s="67">
        <v>45856.70277777778</v>
      </c>
      <c r="P4463" s="35" t="s">
        <v>17631</v>
      </c>
      <c r="Q4463" s="13" t="s">
        <v>75</v>
      </c>
      <c r="R4463" s="13" t="s">
        <v>6028</v>
      </c>
      <c r="S4463" s="13" t="s">
        <v>50</v>
      </c>
      <c r="T4463" s="44">
        <v>45853.48720787037</v>
      </c>
      <c r="U4463" s="44">
        <v>45856.39743989584</v>
      </c>
      <c r="V4463" s="44">
        <v>45856.4718346875</v>
      </c>
      <c r="W4463" s="11"/>
      <c r="X4463" s="11"/>
      <c r="Y4463" s="45">
        <v>302.0</v>
      </c>
      <c r="Z4463" s="45" t="s">
        <v>17636</v>
      </c>
      <c r="AA4463" s="31"/>
      <c r="AB4463" s="45" t="s">
        <v>17637</v>
      </c>
      <c r="AC4463" s="45"/>
    </row>
    <row r="4464" ht="18.75" customHeight="1">
      <c r="A4464" s="142" t="s">
        <v>17638</v>
      </c>
      <c r="B4464" s="19" t="s">
        <v>17639</v>
      </c>
      <c r="C4464" s="20">
        <v>90.0</v>
      </c>
      <c r="D4464" s="39" t="s">
        <v>17640</v>
      </c>
      <c r="E4464" s="27" t="s">
        <v>91</v>
      </c>
      <c r="F4464" s="27" t="s">
        <v>48</v>
      </c>
      <c r="G4464" s="18" t="s">
        <v>35</v>
      </c>
      <c r="H4464" s="40" t="s">
        <v>35</v>
      </c>
      <c r="I4464" s="37" t="s">
        <v>36</v>
      </c>
      <c r="J4464" s="25" t="s">
        <v>65</v>
      </c>
      <c r="K4464" s="26" t="s">
        <v>38</v>
      </c>
      <c r="L4464" s="72">
        <v>13457.0</v>
      </c>
      <c r="M4464" s="49" t="s">
        <v>50</v>
      </c>
      <c r="N4464" s="42" t="s">
        <v>5883</v>
      </c>
      <c r="O4464" s="67">
        <v>45861.64642579861</v>
      </c>
      <c r="P4464" s="35" t="s">
        <v>16976</v>
      </c>
      <c r="Q4464" s="13" t="s">
        <v>75</v>
      </c>
      <c r="R4464" s="13" t="s">
        <v>75</v>
      </c>
      <c r="S4464" s="13" t="s">
        <v>50</v>
      </c>
      <c r="T4464" s="44">
        <v>45856.71174766203</v>
      </c>
      <c r="U4464" s="44">
        <v>45860.43245902778</v>
      </c>
      <c r="V4464" s="44">
        <v>45860.4397803125</v>
      </c>
      <c r="W4464" s="11"/>
      <c r="X4464" s="11"/>
      <c r="Y4464" s="45">
        <v>302.0</v>
      </c>
      <c r="Z4464" s="45" t="s">
        <v>17641</v>
      </c>
      <c r="AA4464" s="31"/>
      <c r="AB4464" s="45" t="s">
        <v>17642</v>
      </c>
      <c r="AC4464" s="45"/>
    </row>
    <row r="4465" ht="18.75" customHeight="1">
      <c r="A4465" s="18" t="s">
        <v>17643</v>
      </c>
      <c r="B4465" s="19" t="s">
        <v>10785</v>
      </c>
      <c r="C4465" s="20">
        <v>1.0</v>
      </c>
      <c r="D4465" s="179">
        <v>20150.0</v>
      </c>
      <c r="E4465" s="27" t="s">
        <v>15373</v>
      </c>
      <c r="F4465" s="27" t="s">
        <v>48</v>
      </c>
      <c r="G4465" s="18" t="s">
        <v>35</v>
      </c>
      <c r="H4465" s="40" t="s">
        <v>35</v>
      </c>
      <c r="I4465" s="37" t="s">
        <v>36</v>
      </c>
      <c r="J4465" s="25" t="s">
        <v>92</v>
      </c>
      <c r="K4465" s="26" t="s">
        <v>38</v>
      </c>
      <c r="L4465" s="72">
        <v>13454.0</v>
      </c>
      <c r="M4465" s="49" t="s">
        <v>50</v>
      </c>
      <c r="N4465" s="42" t="s">
        <v>13864</v>
      </c>
      <c r="O4465" s="67">
        <v>45861.64888920139</v>
      </c>
      <c r="P4465" s="35" t="s">
        <v>17486</v>
      </c>
      <c r="Q4465" s="13" t="s">
        <v>75</v>
      </c>
      <c r="R4465" s="13" t="s">
        <v>75</v>
      </c>
      <c r="S4465" s="13" t="s">
        <v>9620</v>
      </c>
      <c r="T4465" s="44">
        <v>45854.39845637731</v>
      </c>
      <c r="U4465" s="44">
        <v>45854.43096732639</v>
      </c>
      <c r="V4465" s="44">
        <v>45859.65816190973</v>
      </c>
      <c r="W4465" s="11"/>
      <c r="X4465" s="11"/>
      <c r="Y4465" s="45">
        <v>302.0</v>
      </c>
      <c r="Z4465" s="45" t="s">
        <v>17644</v>
      </c>
      <c r="AA4465" s="31"/>
      <c r="AB4465" s="45" t="s">
        <v>17645</v>
      </c>
      <c r="AC4465" s="45"/>
    </row>
    <row r="4466" ht="18.75" customHeight="1">
      <c r="A4466" s="18" t="s">
        <v>17646</v>
      </c>
      <c r="B4466" s="19" t="s">
        <v>10785</v>
      </c>
      <c r="C4466" s="20">
        <v>1.0</v>
      </c>
      <c r="D4466" s="179">
        <v>20151.0</v>
      </c>
      <c r="E4466" s="27" t="s">
        <v>15373</v>
      </c>
      <c r="F4466" s="27" t="s">
        <v>48</v>
      </c>
      <c r="G4466" s="18" t="s">
        <v>35</v>
      </c>
      <c r="H4466" s="40" t="s">
        <v>35</v>
      </c>
      <c r="I4466" s="37" t="s">
        <v>36</v>
      </c>
      <c r="J4466" s="25" t="s">
        <v>92</v>
      </c>
      <c r="K4466" s="26" t="s">
        <v>38</v>
      </c>
      <c r="L4466" s="72">
        <v>13454.0</v>
      </c>
      <c r="M4466" s="49" t="s">
        <v>50</v>
      </c>
      <c r="N4466" s="42" t="s">
        <v>13864</v>
      </c>
      <c r="O4466" s="67">
        <v>45861.64882028935</v>
      </c>
      <c r="P4466" s="35" t="s">
        <v>17486</v>
      </c>
      <c r="Q4466" s="13" t="s">
        <v>75</v>
      </c>
      <c r="R4466" s="13" t="s">
        <v>75</v>
      </c>
      <c r="S4466" s="13" t="s">
        <v>9620</v>
      </c>
      <c r="T4466" s="44">
        <v>45854.39862334491</v>
      </c>
      <c r="U4466" s="44">
        <v>45854.43099020833</v>
      </c>
      <c r="V4466" s="44">
        <v>45859.70923364583</v>
      </c>
      <c r="W4466" s="11"/>
      <c r="X4466" s="11"/>
      <c r="Y4466" s="45">
        <v>302.0</v>
      </c>
      <c r="Z4466" s="45" t="s">
        <v>17647</v>
      </c>
      <c r="AA4466" s="31"/>
      <c r="AB4466" s="45" t="s">
        <v>17648</v>
      </c>
      <c r="AC4466" s="45"/>
    </row>
    <row r="4467" ht="18.75" customHeight="1">
      <c r="A4467" s="142" t="s">
        <v>17649</v>
      </c>
      <c r="B4467" s="19" t="s">
        <v>17650</v>
      </c>
      <c r="C4467" s="20">
        <v>0.0</v>
      </c>
      <c r="D4467" s="39" t="s">
        <v>17651</v>
      </c>
      <c r="E4467" s="27" t="s">
        <v>3441</v>
      </c>
      <c r="F4467" s="27" t="s">
        <v>48</v>
      </c>
      <c r="G4467" s="18" t="s">
        <v>35</v>
      </c>
      <c r="H4467" s="40" t="s">
        <v>35</v>
      </c>
      <c r="I4467" s="37" t="s">
        <v>36</v>
      </c>
      <c r="J4467" s="25" t="s">
        <v>65</v>
      </c>
      <c r="K4467" s="26" t="s">
        <v>38</v>
      </c>
      <c r="L4467" s="72">
        <v>13429.0</v>
      </c>
      <c r="M4467" s="49" t="s">
        <v>50</v>
      </c>
      <c r="N4467" s="42" t="s">
        <v>5897</v>
      </c>
      <c r="O4467" s="67">
        <v>45855.67461065973</v>
      </c>
      <c r="P4467" s="35" t="s">
        <v>17652</v>
      </c>
      <c r="Q4467" s="13" t="s">
        <v>75</v>
      </c>
      <c r="R4467" s="13" t="s">
        <v>6028</v>
      </c>
      <c r="S4467" s="13" t="s">
        <v>50</v>
      </c>
      <c r="T4467" s="44">
        <v>45854.407593020835</v>
      </c>
      <c r="U4467" s="44">
        <v>45855.598211296296</v>
      </c>
      <c r="V4467" s="44">
        <v>45855.608158310184</v>
      </c>
      <c r="W4467" s="11"/>
      <c r="X4467" s="11"/>
      <c r="Y4467" s="45">
        <v>302.0</v>
      </c>
      <c r="Z4467" s="45" t="s">
        <v>17653</v>
      </c>
      <c r="AA4467" s="31"/>
      <c r="AB4467" s="45" t="s">
        <v>17654</v>
      </c>
      <c r="AC4467" s="45"/>
    </row>
    <row r="4468" ht="18.75" customHeight="1">
      <c r="A4468" s="18" t="s">
        <v>17655</v>
      </c>
      <c r="B4468" s="19" t="s">
        <v>17258</v>
      </c>
      <c r="C4468" s="20">
        <v>1.0</v>
      </c>
      <c r="D4468" s="39" t="s">
        <v>17656</v>
      </c>
      <c r="E4468" s="27" t="s">
        <v>3395</v>
      </c>
      <c r="F4468" s="27" t="s">
        <v>48</v>
      </c>
      <c r="G4468" s="18" t="s">
        <v>35</v>
      </c>
      <c r="H4468" s="40" t="s">
        <v>35</v>
      </c>
      <c r="I4468" s="37" t="s">
        <v>36</v>
      </c>
      <c r="J4468" s="25" t="s">
        <v>49</v>
      </c>
      <c r="K4468" s="26" t="s">
        <v>9027</v>
      </c>
      <c r="L4468" s="72">
        <v>13427.0</v>
      </c>
      <c r="M4468" s="49" t="s">
        <v>50</v>
      </c>
      <c r="N4468" s="42" t="s">
        <v>5936</v>
      </c>
      <c r="O4468" s="67">
        <v>45855.62000736111</v>
      </c>
      <c r="P4468" s="35" t="s">
        <v>17657</v>
      </c>
      <c r="Q4468" s="13" t="s">
        <v>75</v>
      </c>
      <c r="R4468" s="13" t="s">
        <v>6028</v>
      </c>
      <c r="S4468" s="13" t="s">
        <v>50</v>
      </c>
      <c r="T4468" s="44">
        <v>45854.419348564814</v>
      </c>
      <c r="U4468" s="44">
        <v>45855.483630358794</v>
      </c>
      <c r="V4468" s="44">
        <v>45855.48952859954</v>
      </c>
      <c r="W4468" s="11"/>
      <c r="X4468" s="11"/>
      <c r="Y4468" s="45">
        <v>302.0</v>
      </c>
      <c r="Z4468" s="45" t="s">
        <v>17658</v>
      </c>
      <c r="AA4468" s="31"/>
      <c r="AB4468" s="45" t="s">
        <v>17659</v>
      </c>
      <c r="AC4468" s="45"/>
    </row>
    <row r="4469" ht="18.75" customHeight="1">
      <c r="A4469" s="18" t="s">
        <v>17660</v>
      </c>
      <c r="B4469" s="19" t="s">
        <v>17258</v>
      </c>
      <c r="C4469" s="20">
        <v>11.0</v>
      </c>
      <c r="D4469" s="39" t="s">
        <v>17661</v>
      </c>
      <c r="E4469" s="27" t="s">
        <v>112</v>
      </c>
      <c r="F4469" s="27" t="s">
        <v>48</v>
      </c>
      <c r="G4469" s="18" t="s">
        <v>35</v>
      </c>
      <c r="H4469" s="40" t="s">
        <v>35</v>
      </c>
      <c r="I4469" s="37" t="s">
        <v>36</v>
      </c>
      <c r="J4469" s="25" t="s">
        <v>49</v>
      </c>
      <c r="K4469" s="26" t="s">
        <v>9027</v>
      </c>
      <c r="L4469" s="72">
        <v>13427.0</v>
      </c>
      <c r="M4469" s="49" t="s">
        <v>50</v>
      </c>
      <c r="N4469" s="42" t="s">
        <v>5936</v>
      </c>
      <c r="O4469" s="67">
        <v>45855.6199630787</v>
      </c>
      <c r="P4469" s="35" t="s">
        <v>17657</v>
      </c>
      <c r="Q4469" s="13" t="s">
        <v>75</v>
      </c>
      <c r="R4469" s="13" t="s">
        <v>6028</v>
      </c>
      <c r="S4469" s="13" t="s">
        <v>50</v>
      </c>
      <c r="T4469" s="44">
        <v>45854.41951864584</v>
      </c>
      <c r="U4469" s="44">
        <v>45855.483671863425</v>
      </c>
      <c r="V4469" s="44">
        <v>45855.48952859954</v>
      </c>
      <c r="W4469" s="11"/>
      <c r="X4469" s="11"/>
      <c r="Y4469" s="45">
        <v>302.0</v>
      </c>
      <c r="Z4469" s="45" t="s">
        <v>17662</v>
      </c>
      <c r="AA4469" s="31"/>
      <c r="AB4469" s="45" t="s">
        <v>17663</v>
      </c>
      <c r="AC4469" s="45"/>
    </row>
    <row r="4470" ht="18.75" customHeight="1">
      <c r="A4470" s="142" t="s">
        <v>17664</v>
      </c>
      <c r="B4470" s="19" t="s">
        <v>14166</v>
      </c>
      <c r="C4470" s="20">
        <v>90.0</v>
      </c>
      <c r="D4470" s="39" t="s">
        <v>17665</v>
      </c>
      <c r="E4470" s="27" t="s">
        <v>91</v>
      </c>
      <c r="F4470" s="27" t="s">
        <v>48</v>
      </c>
      <c r="G4470" s="18" t="s">
        <v>35</v>
      </c>
      <c r="H4470" s="40" t="s">
        <v>35</v>
      </c>
      <c r="I4470" s="37" t="s">
        <v>36</v>
      </c>
      <c r="J4470" s="25" t="s">
        <v>15990</v>
      </c>
      <c r="K4470" s="26" t="s">
        <v>38</v>
      </c>
      <c r="L4470" s="72">
        <v>13415.0</v>
      </c>
      <c r="M4470" s="49" t="s">
        <v>15811</v>
      </c>
      <c r="N4470" s="42"/>
      <c r="O4470" s="67">
        <v>45854.43880256945</v>
      </c>
      <c r="P4470" s="35" t="s">
        <v>17027</v>
      </c>
      <c r="Q4470" s="13" t="s">
        <v>75</v>
      </c>
      <c r="R4470" s="13" t="s">
        <v>75</v>
      </c>
      <c r="S4470" s="13" t="s">
        <v>75</v>
      </c>
      <c r="T4470" s="44">
        <v>45854.421836875</v>
      </c>
      <c r="U4470" s="44">
        <v>45854.43880256945</v>
      </c>
      <c r="V4470" s="44">
        <v>45854.43880256945</v>
      </c>
      <c r="W4470" s="11"/>
      <c r="X4470" s="11"/>
      <c r="Y4470" s="45"/>
      <c r="Z4470" s="45"/>
      <c r="AA4470" s="31"/>
      <c r="AB4470" s="45" t="s">
        <v>17666</v>
      </c>
      <c r="AC4470" s="45"/>
    </row>
    <row r="4471" ht="18.75" customHeight="1">
      <c r="A4471" s="142" t="s">
        <v>17667</v>
      </c>
      <c r="B4471" s="19" t="s">
        <v>17668</v>
      </c>
      <c r="C4471" s="20">
        <v>34.0</v>
      </c>
      <c r="D4471" s="39" t="s">
        <v>17669</v>
      </c>
      <c r="E4471" s="27" t="s">
        <v>47</v>
      </c>
      <c r="F4471" s="27" t="s">
        <v>48</v>
      </c>
      <c r="G4471" s="18" t="s">
        <v>35</v>
      </c>
      <c r="H4471" s="40" t="s">
        <v>35</v>
      </c>
      <c r="I4471" s="37" t="s">
        <v>36</v>
      </c>
      <c r="J4471" s="25" t="s">
        <v>518</v>
      </c>
      <c r="K4471" s="26" t="s">
        <v>38</v>
      </c>
      <c r="L4471" s="72">
        <v>13431.0</v>
      </c>
      <c r="M4471" s="49" t="s">
        <v>50</v>
      </c>
      <c r="N4471" s="42" t="s">
        <v>4616</v>
      </c>
      <c r="O4471" s="67">
        <v>45859.57702953704</v>
      </c>
      <c r="P4471" s="35" t="s">
        <v>17670</v>
      </c>
      <c r="Q4471" s="13" t="s">
        <v>75</v>
      </c>
      <c r="R4471" s="13" t="s">
        <v>75</v>
      </c>
      <c r="S4471" s="13" t="s">
        <v>50</v>
      </c>
      <c r="T4471" s="44">
        <v>45856.42549458334</v>
      </c>
      <c r="U4471" s="44">
        <v>45856.42552575232</v>
      </c>
      <c r="V4471" s="44">
        <v>45856.47796883102</v>
      </c>
      <c r="W4471" s="11"/>
      <c r="X4471" s="11"/>
      <c r="Y4471" s="45">
        <v>302.0</v>
      </c>
      <c r="Z4471" s="45" t="s">
        <v>17671</v>
      </c>
      <c r="AA4471" s="31"/>
      <c r="AB4471" s="45" t="s">
        <v>17672</v>
      </c>
      <c r="AC4471" s="45"/>
    </row>
    <row r="4472" ht="18.75" customHeight="1">
      <c r="A4472" s="142" t="s">
        <v>17673</v>
      </c>
      <c r="B4472" s="19" t="s">
        <v>96</v>
      </c>
      <c r="C4472" s="20">
        <v>0.0</v>
      </c>
      <c r="D4472" s="179">
        <v>20157.0</v>
      </c>
      <c r="E4472" s="27" t="s">
        <v>11957</v>
      </c>
      <c r="F4472" s="27" t="s">
        <v>48</v>
      </c>
      <c r="G4472" s="18" t="s">
        <v>35</v>
      </c>
      <c r="H4472" s="40" t="s">
        <v>35</v>
      </c>
      <c r="I4472" s="37" t="s">
        <v>36</v>
      </c>
      <c r="J4472" s="25" t="s">
        <v>49</v>
      </c>
      <c r="K4472" s="26" t="s">
        <v>38</v>
      </c>
      <c r="L4472" s="72">
        <v>13462.0</v>
      </c>
      <c r="M4472" s="49" t="s">
        <v>50</v>
      </c>
      <c r="N4472" s="42" t="s">
        <v>5936</v>
      </c>
      <c r="O4472" s="67">
        <v>45860.742361111115</v>
      </c>
      <c r="P4472" s="35" t="s">
        <v>17674</v>
      </c>
      <c r="Q4472" s="13" t="s">
        <v>75</v>
      </c>
      <c r="R4472" s="13" t="s">
        <v>75</v>
      </c>
      <c r="S4472" s="13" t="s">
        <v>9620</v>
      </c>
      <c r="T4472" s="44">
        <v>45855.399500196756</v>
      </c>
      <c r="U4472" s="44">
        <v>45855.49195040509</v>
      </c>
      <c r="V4472" s="44">
        <v>45860.60581756945</v>
      </c>
      <c r="W4472" s="11"/>
      <c r="X4472" s="11"/>
      <c r="Y4472" s="45">
        <v>302.0</v>
      </c>
      <c r="Z4472" s="45" t="s">
        <v>17675</v>
      </c>
      <c r="AA4472" s="31"/>
      <c r="AB4472" s="45" t="s">
        <v>17676</v>
      </c>
      <c r="AC4472" s="45"/>
    </row>
    <row r="4473" ht="18.75" customHeight="1">
      <c r="A4473" s="142" t="s">
        <v>17677</v>
      </c>
      <c r="B4473" s="19" t="s">
        <v>96</v>
      </c>
      <c r="C4473" s="20">
        <v>11.0</v>
      </c>
      <c r="D4473" s="39" t="s">
        <v>17678</v>
      </c>
      <c r="E4473" s="27" t="s">
        <v>112</v>
      </c>
      <c r="F4473" s="27" t="s">
        <v>48</v>
      </c>
      <c r="G4473" s="18" t="s">
        <v>35</v>
      </c>
      <c r="H4473" s="40" t="s">
        <v>35</v>
      </c>
      <c r="I4473" s="37" t="s">
        <v>36</v>
      </c>
      <c r="J4473" s="25" t="s">
        <v>49</v>
      </c>
      <c r="K4473" s="26" t="s">
        <v>38</v>
      </c>
      <c r="L4473" s="72">
        <v>13428.0</v>
      </c>
      <c r="M4473" s="49" t="s">
        <v>50</v>
      </c>
      <c r="N4473" s="42" t="s">
        <v>5936</v>
      </c>
      <c r="O4473" s="67">
        <v>45855.619917766206</v>
      </c>
      <c r="P4473" s="35" t="s">
        <v>17679</v>
      </c>
      <c r="Q4473" s="13" t="s">
        <v>75</v>
      </c>
      <c r="R4473" s="13" t="s">
        <v>75</v>
      </c>
      <c r="S4473" s="13" t="s">
        <v>50</v>
      </c>
      <c r="T4473" s="44">
        <v>45855.40048471065</v>
      </c>
      <c r="U4473" s="44">
        <v>45855.49216152778</v>
      </c>
      <c r="V4473" s="44">
        <v>45855.565689236115</v>
      </c>
      <c r="W4473" s="11"/>
      <c r="X4473" s="11"/>
      <c r="Y4473" s="45">
        <v>302.0</v>
      </c>
      <c r="Z4473" s="45" t="s">
        <v>17680</v>
      </c>
      <c r="AA4473" s="31"/>
      <c r="AB4473" s="45" t="s">
        <v>17681</v>
      </c>
      <c r="AC4473" s="45"/>
    </row>
    <row r="4474" ht="18.75" customHeight="1">
      <c r="A4474" s="142" t="s">
        <v>17682</v>
      </c>
      <c r="B4474" s="19" t="s">
        <v>13993</v>
      </c>
      <c r="C4474" s="20">
        <v>27.0</v>
      </c>
      <c r="D4474" s="39" t="s">
        <v>17683</v>
      </c>
      <c r="E4474" s="27" t="s">
        <v>72</v>
      </c>
      <c r="F4474" s="27" t="s">
        <v>48</v>
      </c>
      <c r="G4474" s="18" t="s">
        <v>35</v>
      </c>
      <c r="H4474" s="40" t="s">
        <v>35</v>
      </c>
      <c r="I4474" s="37" t="s">
        <v>36</v>
      </c>
      <c r="J4474" s="25" t="s">
        <v>15990</v>
      </c>
      <c r="K4474" s="26" t="s">
        <v>38</v>
      </c>
      <c r="L4474" s="72">
        <v>13433.0</v>
      </c>
      <c r="M4474" s="49" t="s">
        <v>15811</v>
      </c>
      <c r="N4474" s="42"/>
      <c r="O4474" s="67">
        <v>45856.48686827546</v>
      </c>
      <c r="P4474" s="35" t="s">
        <v>17684</v>
      </c>
      <c r="Q4474" s="13" t="s">
        <v>75</v>
      </c>
      <c r="R4474" s="13" t="s">
        <v>75</v>
      </c>
      <c r="S4474" s="13" t="s">
        <v>6028</v>
      </c>
      <c r="T4474" s="44">
        <v>45855.401914375005</v>
      </c>
      <c r="U4474" s="44">
        <v>45856.48686827546</v>
      </c>
      <c r="V4474" s="44">
        <v>45856.48686827546</v>
      </c>
      <c r="W4474" s="11"/>
      <c r="X4474" s="11"/>
      <c r="Y4474" s="45"/>
      <c r="Z4474" s="45"/>
      <c r="AA4474" s="31"/>
      <c r="AB4474" s="45" t="s">
        <v>17685</v>
      </c>
      <c r="AC4474" s="45"/>
    </row>
    <row r="4475" ht="18.75" customHeight="1">
      <c r="A4475" s="142" t="s">
        <v>17686</v>
      </c>
      <c r="B4475" s="19" t="s">
        <v>5556</v>
      </c>
      <c r="C4475" s="20">
        <v>90.0</v>
      </c>
      <c r="D4475" s="39" t="s">
        <v>17687</v>
      </c>
      <c r="E4475" s="27" t="s">
        <v>91</v>
      </c>
      <c r="F4475" s="27" t="s">
        <v>48</v>
      </c>
      <c r="G4475" s="18" t="s">
        <v>35</v>
      </c>
      <c r="H4475" s="40" t="s">
        <v>35</v>
      </c>
      <c r="I4475" s="37" t="s">
        <v>36</v>
      </c>
      <c r="J4475" s="25" t="s">
        <v>49</v>
      </c>
      <c r="K4475" s="26" t="s">
        <v>38</v>
      </c>
      <c r="L4475" s="72">
        <v>13430.0</v>
      </c>
      <c r="M4475" s="49" t="s">
        <v>50</v>
      </c>
      <c r="N4475" s="42" t="s">
        <v>5936</v>
      </c>
      <c r="O4475" s="67">
        <v>45855.619872627314</v>
      </c>
      <c r="P4475" s="35" t="s">
        <v>17688</v>
      </c>
      <c r="Q4475" s="13" t="s">
        <v>75</v>
      </c>
      <c r="R4475" s="13" t="s">
        <v>75</v>
      </c>
      <c r="S4475" s="13" t="s">
        <v>50</v>
      </c>
      <c r="T4475" s="44">
        <v>45855.49653993055</v>
      </c>
      <c r="U4475" s="44">
        <v>45855.58177103009</v>
      </c>
      <c r="V4475" s="44">
        <v>45855.608158310184</v>
      </c>
      <c r="W4475" s="11"/>
      <c r="X4475" s="11"/>
      <c r="Y4475" s="45">
        <v>302.0</v>
      </c>
      <c r="Z4475" s="45" t="s">
        <v>17689</v>
      </c>
      <c r="AA4475" s="31"/>
      <c r="AB4475" s="45" t="s">
        <v>17690</v>
      </c>
      <c r="AC4475" s="45"/>
    </row>
    <row r="4476" ht="18.75" customHeight="1">
      <c r="A4476" s="142" t="s">
        <v>17691</v>
      </c>
      <c r="B4476" s="19" t="s">
        <v>5704</v>
      </c>
      <c r="C4476" s="20">
        <v>90.0</v>
      </c>
      <c r="D4476" s="39" t="s">
        <v>17692</v>
      </c>
      <c r="E4476" s="27" t="s">
        <v>91</v>
      </c>
      <c r="F4476" s="27" t="s">
        <v>48</v>
      </c>
      <c r="G4476" s="18" t="s">
        <v>35</v>
      </c>
      <c r="H4476" s="40" t="s">
        <v>35</v>
      </c>
      <c r="I4476" s="37" t="s">
        <v>36</v>
      </c>
      <c r="J4476" s="25" t="s">
        <v>65</v>
      </c>
      <c r="K4476" s="26" t="s">
        <v>38</v>
      </c>
      <c r="L4476" s="72">
        <v>13438.0</v>
      </c>
      <c r="M4476" s="49" t="s">
        <v>50</v>
      </c>
      <c r="N4476" s="42" t="s">
        <v>3461</v>
      </c>
      <c r="O4476" s="67">
        <v>45856.70347222222</v>
      </c>
      <c r="P4476" s="35" t="s">
        <v>17693</v>
      </c>
      <c r="Q4476" s="13" t="s">
        <v>75</v>
      </c>
      <c r="R4476" s="13" t="s">
        <v>75</v>
      </c>
      <c r="S4476" s="13" t="s">
        <v>50</v>
      </c>
      <c r="T4476" s="44">
        <v>45855.40501137731</v>
      </c>
      <c r="U4476" s="44">
        <v>45856.40897873843</v>
      </c>
      <c r="V4476" s="44">
        <v>45856.47183469907</v>
      </c>
      <c r="W4476" s="11"/>
      <c r="X4476" s="11"/>
      <c r="Y4476" s="45">
        <v>302.0</v>
      </c>
      <c r="Z4476" s="45" t="s">
        <v>17694</v>
      </c>
      <c r="AA4476" s="31"/>
      <c r="AB4476" s="45" t="s">
        <v>17695</v>
      </c>
      <c r="AC4476" s="45"/>
    </row>
    <row r="4477" ht="18.75" customHeight="1">
      <c r="A4477" s="142" t="s">
        <v>17696</v>
      </c>
      <c r="B4477" s="19" t="s">
        <v>17697</v>
      </c>
      <c r="C4477" s="20">
        <v>27.0</v>
      </c>
      <c r="D4477" s="39" t="s">
        <v>17698</v>
      </c>
      <c r="E4477" s="27" t="s">
        <v>72</v>
      </c>
      <c r="F4477" s="27" t="s">
        <v>48</v>
      </c>
      <c r="G4477" s="18" t="s">
        <v>35</v>
      </c>
      <c r="H4477" s="40" t="s">
        <v>35</v>
      </c>
      <c r="I4477" s="37" t="s">
        <v>36</v>
      </c>
      <c r="J4477" s="25" t="s">
        <v>65</v>
      </c>
      <c r="K4477" s="26" t="s">
        <v>38</v>
      </c>
      <c r="L4477" s="72">
        <v>13434.0</v>
      </c>
      <c r="M4477" s="49" t="s">
        <v>50</v>
      </c>
      <c r="N4477" s="42" t="s">
        <v>3461</v>
      </c>
      <c r="O4477" s="67">
        <v>45856.70347222222</v>
      </c>
      <c r="P4477" s="35" t="s">
        <v>15829</v>
      </c>
      <c r="Q4477" s="13" t="s">
        <v>75</v>
      </c>
      <c r="R4477" s="13" t="s">
        <v>75</v>
      </c>
      <c r="S4477" s="13" t="s">
        <v>50</v>
      </c>
      <c r="T4477" s="44">
        <v>45855.41070561342</v>
      </c>
      <c r="U4477" s="44">
        <v>45856.40093802083</v>
      </c>
      <c r="V4477" s="44">
        <v>45856.4718346875</v>
      </c>
      <c r="W4477" s="11"/>
      <c r="X4477" s="11"/>
      <c r="Y4477" s="45">
        <v>302.0</v>
      </c>
      <c r="Z4477" s="45" t="s">
        <v>17699</v>
      </c>
      <c r="AA4477" s="31"/>
      <c r="AB4477" s="45" t="s">
        <v>17700</v>
      </c>
      <c r="AC4477" s="45"/>
    </row>
    <row r="4478" ht="18.75" customHeight="1">
      <c r="A4478" s="142" t="s">
        <v>17701</v>
      </c>
      <c r="B4478" s="19" t="s">
        <v>17702</v>
      </c>
      <c r="C4478" s="20">
        <v>27.0</v>
      </c>
      <c r="D4478" s="39" t="s">
        <v>17703</v>
      </c>
      <c r="E4478" s="27" t="s">
        <v>72</v>
      </c>
      <c r="F4478" s="27" t="s">
        <v>48</v>
      </c>
      <c r="G4478" s="18" t="s">
        <v>35</v>
      </c>
      <c r="H4478" s="40" t="s">
        <v>35</v>
      </c>
      <c r="I4478" s="37" t="s">
        <v>36</v>
      </c>
      <c r="J4478" s="25" t="s">
        <v>65</v>
      </c>
      <c r="K4478" s="26" t="s">
        <v>38</v>
      </c>
      <c r="L4478" s="72">
        <v>13455.0</v>
      </c>
      <c r="M4478" s="49" t="s">
        <v>50</v>
      </c>
      <c r="N4478" s="42" t="s">
        <v>5883</v>
      </c>
      <c r="O4478" s="67">
        <v>45861.64647707176</v>
      </c>
      <c r="P4478" s="35" t="s">
        <v>17704</v>
      </c>
      <c r="Q4478" s="13" t="s">
        <v>75</v>
      </c>
      <c r="R4478" s="13" t="s">
        <v>75</v>
      </c>
      <c r="S4478" s="13" t="s">
        <v>50</v>
      </c>
      <c r="T4478" s="44">
        <v>45855.41215270833</v>
      </c>
      <c r="U4478" s="44">
        <v>45860.42076782408</v>
      </c>
      <c r="V4478" s="44">
        <v>45860.430225069445</v>
      </c>
      <c r="W4478" s="11"/>
      <c r="X4478" s="11"/>
      <c r="Y4478" s="45">
        <v>302.0</v>
      </c>
      <c r="Z4478" s="45" t="s">
        <v>17705</v>
      </c>
      <c r="AA4478" s="31"/>
      <c r="AB4478" s="45" t="s">
        <v>17706</v>
      </c>
      <c r="AC4478" s="45"/>
    </row>
    <row r="4479" ht="18.75" customHeight="1">
      <c r="A4479" s="142" t="s">
        <v>17707</v>
      </c>
      <c r="B4479" s="19" t="s">
        <v>4313</v>
      </c>
      <c r="C4479" s="20">
        <v>0.0</v>
      </c>
      <c r="D4479" s="179">
        <v>14048.0</v>
      </c>
      <c r="E4479" s="27" t="s">
        <v>1119</v>
      </c>
      <c r="F4479" s="27" t="s">
        <v>33</v>
      </c>
      <c r="G4479" s="18" t="s">
        <v>35</v>
      </c>
      <c r="H4479" s="40" t="s">
        <v>35</v>
      </c>
      <c r="I4479" s="37" t="s">
        <v>36</v>
      </c>
      <c r="J4479" s="25" t="s">
        <v>92</v>
      </c>
      <c r="K4479" s="26" t="s">
        <v>38</v>
      </c>
      <c r="L4479" s="72">
        <v>13440.0</v>
      </c>
      <c r="M4479" s="49" t="s">
        <v>73</v>
      </c>
      <c r="N4479" s="42" t="s">
        <v>10176</v>
      </c>
      <c r="O4479" s="67">
        <v>45861.65277777778</v>
      </c>
      <c r="P4479" s="35" t="s">
        <v>17708</v>
      </c>
      <c r="Q4479" s="13" t="s">
        <v>75</v>
      </c>
      <c r="R4479" s="13" t="s">
        <v>75</v>
      </c>
      <c r="S4479" s="13" t="s">
        <v>9620</v>
      </c>
      <c r="T4479" s="44">
        <v>45855.41654644676</v>
      </c>
      <c r="U4479" s="44">
        <v>45855.4917186574</v>
      </c>
      <c r="V4479" s="44">
        <v>45856.47487233796</v>
      </c>
      <c r="W4479" s="11"/>
      <c r="X4479" s="11"/>
      <c r="Y4479" s="45">
        <v>302.0</v>
      </c>
      <c r="Z4479" s="45" t="s">
        <v>17709</v>
      </c>
      <c r="AA4479" s="31"/>
      <c r="AB4479" s="45" t="s">
        <v>17710</v>
      </c>
      <c r="AC4479" s="45"/>
    </row>
    <row r="4480" ht="18.75" customHeight="1">
      <c r="A4480" s="142" t="s">
        <v>17711</v>
      </c>
      <c r="B4480" s="19" t="s">
        <v>11288</v>
      </c>
      <c r="C4480" s="20">
        <v>34.0</v>
      </c>
      <c r="D4480" s="39" t="s">
        <v>17712</v>
      </c>
      <c r="E4480" s="27" t="s">
        <v>47</v>
      </c>
      <c r="F4480" s="27" t="s">
        <v>48</v>
      </c>
      <c r="G4480" s="18" t="s">
        <v>35</v>
      </c>
      <c r="H4480" s="40" t="s">
        <v>35</v>
      </c>
      <c r="I4480" s="37" t="s">
        <v>36</v>
      </c>
      <c r="J4480" s="25" t="s">
        <v>49</v>
      </c>
      <c r="K4480" s="26" t="s">
        <v>38</v>
      </c>
      <c r="L4480" s="72">
        <v>13435.0</v>
      </c>
      <c r="M4480" s="49" t="s">
        <v>50</v>
      </c>
      <c r="N4480" s="42" t="s">
        <v>5936</v>
      </c>
      <c r="O4480" s="67">
        <v>45856.70277777778</v>
      </c>
      <c r="P4480" s="35" t="s">
        <v>15666</v>
      </c>
      <c r="Q4480" s="13" t="s">
        <v>75</v>
      </c>
      <c r="R4480" s="13" t="s">
        <v>75</v>
      </c>
      <c r="S4480" s="13" t="s">
        <v>50</v>
      </c>
      <c r="T4480" s="44">
        <v>45855.60764743056</v>
      </c>
      <c r="U4480" s="44">
        <v>45855.61808170139</v>
      </c>
      <c r="V4480" s="44">
        <v>45856.47796883102</v>
      </c>
      <c r="W4480" s="11"/>
      <c r="X4480" s="11"/>
      <c r="Y4480" s="45">
        <v>302.0</v>
      </c>
      <c r="Z4480" s="45" t="s">
        <v>17713</v>
      </c>
      <c r="AA4480" s="31"/>
      <c r="AB4480" s="45" t="s">
        <v>17714</v>
      </c>
      <c r="AC4480" s="45"/>
    </row>
    <row r="4481" ht="18.75" customHeight="1">
      <c r="A4481" s="142" t="s">
        <v>17715</v>
      </c>
      <c r="B4481" s="19" t="s">
        <v>6334</v>
      </c>
      <c r="C4481" s="20">
        <v>137.0</v>
      </c>
      <c r="D4481" s="39" t="s">
        <v>17716</v>
      </c>
      <c r="E4481" s="27" t="s">
        <v>85</v>
      </c>
      <c r="F4481" s="27" t="s">
        <v>48</v>
      </c>
      <c r="G4481" s="18" t="s">
        <v>35</v>
      </c>
      <c r="H4481" s="40" t="s">
        <v>35</v>
      </c>
      <c r="I4481" s="37" t="s">
        <v>36</v>
      </c>
      <c r="J4481" s="25" t="s">
        <v>49</v>
      </c>
      <c r="K4481" s="26" t="s">
        <v>38</v>
      </c>
      <c r="L4481" s="72">
        <v>13483.0</v>
      </c>
      <c r="M4481" s="49" t="s">
        <v>50</v>
      </c>
      <c r="N4481" s="42" t="s">
        <v>17048</v>
      </c>
      <c r="O4481" s="67">
        <v>45863.58828185185</v>
      </c>
      <c r="P4481" s="35" t="s">
        <v>17717</v>
      </c>
      <c r="Q4481" s="13" t="s">
        <v>75</v>
      </c>
      <c r="R4481" s="13" t="s">
        <v>75</v>
      </c>
      <c r="S4481" s="13" t="s">
        <v>50</v>
      </c>
      <c r="T4481" s="44">
        <v>45856.42783023148</v>
      </c>
      <c r="U4481" s="44">
        <v>45862.607228356486</v>
      </c>
      <c r="V4481" s="44">
        <v>45863.36064914352</v>
      </c>
      <c r="W4481" s="11"/>
      <c r="X4481" s="11"/>
      <c r="Y4481" s="45">
        <v>302.0</v>
      </c>
      <c r="Z4481" s="45" t="s">
        <v>17718</v>
      </c>
      <c r="AA4481" s="31"/>
      <c r="AB4481" s="45" t="s">
        <v>17719</v>
      </c>
      <c r="AC4481" s="45"/>
    </row>
    <row r="4482" ht="18.75" customHeight="1">
      <c r="A4482" s="142" t="s">
        <v>17720</v>
      </c>
      <c r="B4482" s="19" t="s">
        <v>3674</v>
      </c>
      <c r="C4482" s="20">
        <v>90.0</v>
      </c>
      <c r="D4482" s="39" t="s">
        <v>17721</v>
      </c>
      <c r="E4482" s="27" t="s">
        <v>91</v>
      </c>
      <c r="F4482" s="27" t="s">
        <v>48</v>
      </c>
      <c r="G4482" s="18" t="s">
        <v>35</v>
      </c>
      <c r="H4482" s="40" t="s">
        <v>35</v>
      </c>
      <c r="I4482" s="37" t="s">
        <v>36</v>
      </c>
      <c r="J4482" s="25" t="s">
        <v>65</v>
      </c>
      <c r="K4482" s="26" t="s">
        <v>38</v>
      </c>
      <c r="L4482" s="72">
        <v>13451.0</v>
      </c>
      <c r="M4482" s="49" t="s">
        <v>50</v>
      </c>
      <c r="N4482" s="42" t="s">
        <v>5897</v>
      </c>
      <c r="O4482" s="67">
        <v>45859.66666666667</v>
      </c>
      <c r="P4482" s="35" t="s">
        <v>17722</v>
      </c>
      <c r="Q4482" s="13" t="s">
        <v>75</v>
      </c>
      <c r="R4482" s="13" t="s">
        <v>75</v>
      </c>
      <c r="S4482" s="13" t="s">
        <v>50</v>
      </c>
      <c r="T4482" s="44">
        <v>45856.434093414355</v>
      </c>
      <c r="U4482" s="44">
        <v>45859.574936550925</v>
      </c>
      <c r="V4482" s="44">
        <v>45859.57899787037</v>
      </c>
      <c r="W4482" s="11"/>
      <c r="X4482" s="11"/>
      <c r="Y4482" s="45">
        <v>302.0</v>
      </c>
      <c r="Z4482" s="45" t="s">
        <v>17723</v>
      </c>
      <c r="AA4482" s="31"/>
      <c r="AB4482" s="45" t="s">
        <v>17724</v>
      </c>
      <c r="AC4482" s="45"/>
    </row>
    <row r="4483" ht="18.75" customHeight="1">
      <c r="A4483" s="142" t="s">
        <v>17725</v>
      </c>
      <c r="B4483" s="19" t="s">
        <v>7173</v>
      </c>
      <c r="C4483" s="20">
        <v>33.0</v>
      </c>
      <c r="D4483" s="39" t="s">
        <v>17726</v>
      </c>
      <c r="E4483" s="27" t="s">
        <v>6133</v>
      </c>
      <c r="F4483" s="27" t="s">
        <v>48</v>
      </c>
      <c r="G4483" s="18" t="s">
        <v>35</v>
      </c>
      <c r="H4483" s="40" t="s">
        <v>35</v>
      </c>
      <c r="I4483" s="37" t="s">
        <v>36</v>
      </c>
      <c r="J4483" s="25" t="s">
        <v>65</v>
      </c>
      <c r="K4483" s="26" t="s">
        <v>38</v>
      </c>
      <c r="L4483" s="72">
        <v>13450.0</v>
      </c>
      <c r="M4483" s="49" t="s">
        <v>50</v>
      </c>
      <c r="N4483" s="42" t="s">
        <v>5897</v>
      </c>
      <c r="O4483" s="67">
        <v>45859.70763888889</v>
      </c>
      <c r="P4483" s="35" t="s">
        <v>17727</v>
      </c>
      <c r="Q4483" s="13" t="s">
        <v>75</v>
      </c>
      <c r="R4483" s="13" t="s">
        <v>75</v>
      </c>
      <c r="S4483" s="13" t="s">
        <v>50</v>
      </c>
      <c r="T4483" s="44">
        <v>45856.44085491898</v>
      </c>
      <c r="U4483" s="44">
        <v>45859.516859421296</v>
      </c>
      <c r="V4483" s="44">
        <v>45859.54653881944</v>
      </c>
      <c r="W4483" s="11"/>
      <c r="X4483" s="11"/>
      <c r="Y4483" s="45">
        <v>302.0</v>
      </c>
      <c r="Z4483" s="45" t="s">
        <v>17728</v>
      </c>
      <c r="AA4483" s="31"/>
      <c r="AB4483" s="45" t="s">
        <v>17729</v>
      </c>
      <c r="AC4483" s="45"/>
    </row>
    <row r="4484" ht="18.75" customHeight="1">
      <c r="A4484" s="142" t="s">
        <v>17730</v>
      </c>
      <c r="B4484" s="19" t="s">
        <v>5507</v>
      </c>
      <c r="C4484" s="20">
        <v>27.0</v>
      </c>
      <c r="D4484" s="39" t="s">
        <v>17731</v>
      </c>
      <c r="E4484" s="27" t="s">
        <v>72</v>
      </c>
      <c r="F4484" s="27" t="s">
        <v>48</v>
      </c>
      <c r="G4484" s="18" t="s">
        <v>35</v>
      </c>
      <c r="H4484" s="40" t="s">
        <v>35</v>
      </c>
      <c r="I4484" s="37" t="s">
        <v>36</v>
      </c>
      <c r="J4484" s="25" t="s">
        <v>49</v>
      </c>
      <c r="K4484" s="26" t="s">
        <v>38</v>
      </c>
      <c r="L4484" s="72">
        <v>13436.0</v>
      </c>
      <c r="M4484" s="49" t="s">
        <v>50</v>
      </c>
      <c r="N4484" s="42" t="s">
        <v>5936</v>
      </c>
      <c r="O4484" s="67">
        <v>45856.70208333334</v>
      </c>
      <c r="P4484" s="35" t="s">
        <v>17732</v>
      </c>
      <c r="Q4484" s="13" t="s">
        <v>75</v>
      </c>
      <c r="R4484" s="13" t="s">
        <v>75</v>
      </c>
      <c r="S4484" s="13" t="s">
        <v>50</v>
      </c>
      <c r="T4484" s="44">
        <v>45856.418026377316</v>
      </c>
      <c r="U4484" s="44">
        <v>45856.47857331019</v>
      </c>
      <c r="V4484" s="44">
        <v>45856.48896966435</v>
      </c>
      <c r="W4484" s="11"/>
      <c r="X4484" s="11"/>
      <c r="Y4484" s="45">
        <v>302.0</v>
      </c>
      <c r="Z4484" s="45" t="s">
        <v>17733</v>
      </c>
      <c r="AA4484" s="31"/>
      <c r="AB4484" s="45" t="s">
        <v>17734</v>
      </c>
      <c r="AC4484" s="45"/>
    </row>
    <row r="4485" ht="18.75" customHeight="1">
      <c r="A4485" s="142" t="s">
        <v>17735</v>
      </c>
      <c r="B4485" s="19" t="s">
        <v>8666</v>
      </c>
      <c r="C4485" s="20">
        <v>137.0</v>
      </c>
      <c r="D4485" s="39" t="s">
        <v>17736</v>
      </c>
      <c r="E4485" s="27" t="s">
        <v>85</v>
      </c>
      <c r="F4485" s="27" t="s">
        <v>48</v>
      </c>
      <c r="G4485" s="18" t="s">
        <v>35</v>
      </c>
      <c r="H4485" s="40" t="s">
        <v>35</v>
      </c>
      <c r="I4485" s="37" t="s">
        <v>36</v>
      </c>
      <c r="J4485" s="25" t="s">
        <v>49</v>
      </c>
      <c r="K4485" s="26" t="s">
        <v>38</v>
      </c>
      <c r="L4485" s="72">
        <v>13443.0</v>
      </c>
      <c r="M4485" s="49" t="s">
        <v>50</v>
      </c>
      <c r="N4485" s="42" t="s">
        <v>5936</v>
      </c>
      <c r="O4485" s="67">
        <v>45859.60744203704</v>
      </c>
      <c r="P4485" s="35" t="s">
        <v>15666</v>
      </c>
      <c r="Q4485" s="13" t="s">
        <v>75</v>
      </c>
      <c r="R4485" s="13" t="s">
        <v>75</v>
      </c>
      <c r="S4485" s="13" t="s">
        <v>50</v>
      </c>
      <c r="T4485" s="44">
        <v>45856.429296689814</v>
      </c>
      <c r="U4485" s="44">
        <v>45856.601157604164</v>
      </c>
      <c r="V4485" s="44">
        <v>45859.38104649306</v>
      </c>
      <c r="W4485" s="11"/>
      <c r="X4485" s="11"/>
      <c r="Y4485" s="45">
        <v>302.0</v>
      </c>
      <c r="Z4485" s="45" t="s">
        <v>17737</v>
      </c>
      <c r="AA4485" s="31"/>
      <c r="AB4485" s="45" t="s">
        <v>17738</v>
      </c>
      <c r="AC4485" s="45"/>
    </row>
    <row r="4486" ht="18.75" customHeight="1">
      <c r="A4486" s="142" t="s">
        <v>17739</v>
      </c>
      <c r="B4486" s="19" t="s">
        <v>17740</v>
      </c>
      <c r="C4486" s="20">
        <v>0.0</v>
      </c>
      <c r="D4486" s="179">
        <v>20164.0</v>
      </c>
      <c r="E4486" s="27" t="s">
        <v>2167</v>
      </c>
      <c r="F4486" s="27" t="s">
        <v>33</v>
      </c>
      <c r="G4486" s="18" t="s">
        <v>35</v>
      </c>
      <c r="H4486" s="40" t="s">
        <v>35</v>
      </c>
      <c r="I4486" s="37" t="s">
        <v>36</v>
      </c>
      <c r="J4486" s="25" t="s">
        <v>92</v>
      </c>
      <c r="K4486" s="26" t="s">
        <v>38</v>
      </c>
      <c r="L4486" s="72">
        <v>13473.0</v>
      </c>
      <c r="M4486" s="49" t="s">
        <v>50</v>
      </c>
      <c r="N4486" s="42" t="s">
        <v>17741</v>
      </c>
      <c r="O4486" s="67">
        <v>45862.341135891205</v>
      </c>
      <c r="P4486" s="35" t="s">
        <v>17742</v>
      </c>
      <c r="Q4486" s="13" t="s">
        <v>75</v>
      </c>
      <c r="R4486" s="13" t="s">
        <v>75</v>
      </c>
      <c r="S4486" s="13" t="s">
        <v>9620</v>
      </c>
      <c r="T4486" s="44">
        <v>45856.446792523144</v>
      </c>
      <c r="U4486" s="44">
        <v>45856.66177309028</v>
      </c>
      <c r="V4486" s="44">
        <v>45861.58584969907</v>
      </c>
      <c r="W4486" s="11"/>
      <c r="X4486" s="11"/>
      <c r="Y4486" s="207">
        <v>302.0</v>
      </c>
      <c r="Z4486" s="45" t="s">
        <v>17743</v>
      </c>
      <c r="AA4486" s="31"/>
      <c r="AB4486" s="45" t="s">
        <v>17744</v>
      </c>
      <c r="AC4486" s="45"/>
    </row>
    <row r="4487" ht="18.75" customHeight="1">
      <c r="A4487" s="142" t="s">
        <v>17745</v>
      </c>
      <c r="B4487" s="19" t="s">
        <v>16801</v>
      </c>
      <c r="C4487" s="20">
        <v>1.0</v>
      </c>
      <c r="D4487" s="39" t="s">
        <v>17746</v>
      </c>
      <c r="E4487" s="27" t="s">
        <v>3395</v>
      </c>
      <c r="F4487" s="27" t="s">
        <v>48</v>
      </c>
      <c r="G4487" s="18" t="s">
        <v>35</v>
      </c>
      <c r="H4487" s="40" t="s">
        <v>35</v>
      </c>
      <c r="I4487" s="37" t="s">
        <v>36</v>
      </c>
      <c r="J4487" s="25" t="s">
        <v>49</v>
      </c>
      <c r="K4487" s="26" t="s">
        <v>17747</v>
      </c>
      <c r="L4487" s="72">
        <v>13447.0</v>
      </c>
      <c r="M4487" s="49" t="s">
        <v>50</v>
      </c>
      <c r="N4487" s="42" t="s">
        <v>5936</v>
      </c>
      <c r="O4487" s="67">
        <v>45859.6075512963</v>
      </c>
      <c r="P4487" s="35" t="s">
        <v>14372</v>
      </c>
      <c r="Q4487" s="13" t="s">
        <v>75</v>
      </c>
      <c r="R4487" s="13" t="s">
        <v>75</v>
      </c>
      <c r="S4487" s="13" t="s">
        <v>50</v>
      </c>
      <c r="T4487" s="44">
        <v>45856.42217358796</v>
      </c>
      <c r="U4487" s="44">
        <v>45856.61111460648</v>
      </c>
      <c r="V4487" s="44">
        <v>45859.38475006944</v>
      </c>
      <c r="W4487" s="11"/>
      <c r="X4487" s="11"/>
      <c r="Y4487" s="45">
        <v>302.0</v>
      </c>
      <c r="Z4487" s="45" t="s">
        <v>17748</v>
      </c>
      <c r="AA4487" s="31"/>
      <c r="AB4487" s="45" t="s">
        <v>17749</v>
      </c>
      <c r="AC4487" s="45"/>
    </row>
    <row r="4488" ht="18.75" customHeight="1">
      <c r="A4488" s="142" t="s">
        <v>17750</v>
      </c>
      <c r="B4488" s="19" t="s">
        <v>96</v>
      </c>
      <c r="C4488" s="20">
        <v>34.0</v>
      </c>
      <c r="D4488" s="39" t="s">
        <v>17751</v>
      </c>
      <c r="E4488" s="27" t="s">
        <v>47</v>
      </c>
      <c r="F4488" s="27" t="s">
        <v>48</v>
      </c>
      <c r="G4488" s="18" t="s">
        <v>35</v>
      </c>
      <c r="H4488" s="40" t="s">
        <v>35</v>
      </c>
      <c r="I4488" s="37" t="s">
        <v>36</v>
      </c>
      <c r="J4488" s="25" t="s">
        <v>49</v>
      </c>
      <c r="K4488" s="26" t="s">
        <v>38</v>
      </c>
      <c r="L4488" s="72">
        <v>13437.0</v>
      </c>
      <c r="M4488" s="49" t="s">
        <v>50</v>
      </c>
      <c r="N4488" s="42" t="s">
        <v>5936</v>
      </c>
      <c r="O4488" s="67">
        <v>45856.70208333334</v>
      </c>
      <c r="P4488" s="35" t="s">
        <v>17752</v>
      </c>
      <c r="Q4488" s="13" t="s">
        <v>75</v>
      </c>
      <c r="R4488" s="13" t="s">
        <v>75</v>
      </c>
      <c r="S4488" s="13" t="s">
        <v>50</v>
      </c>
      <c r="T4488" s="44">
        <v>45856.44182024305</v>
      </c>
      <c r="U4488" s="44">
        <v>45856.478226736115</v>
      </c>
      <c r="V4488" s="44">
        <v>45856.48896966435</v>
      </c>
      <c r="W4488" s="11"/>
      <c r="X4488" s="11"/>
      <c r="Y4488" s="45">
        <v>302.0</v>
      </c>
      <c r="Z4488" s="45" t="s">
        <v>17753</v>
      </c>
      <c r="AA4488" s="31"/>
      <c r="AB4488" s="45" t="s">
        <v>17754</v>
      </c>
      <c r="AC4488" s="45"/>
    </row>
    <row r="4489" ht="18.75" customHeight="1">
      <c r="A4489" s="142" t="s">
        <v>17755</v>
      </c>
      <c r="B4489" s="19" t="s">
        <v>13266</v>
      </c>
      <c r="C4489" s="20">
        <v>1.0</v>
      </c>
      <c r="D4489" s="39" t="s">
        <v>17756</v>
      </c>
      <c r="E4489" s="27" t="s">
        <v>3395</v>
      </c>
      <c r="F4489" s="27" t="s">
        <v>48</v>
      </c>
      <c r="G4489" s="18" t="s">
        <v>35</v>
      </c>
      <c r="H4489" s="40" t="s">
        <v>35</v>
      </c>
      <c r="I4489" s="37" t="s">
        <v>36</v>
      </c>
      <c r="J4489" s="25" t="s">
        <v>49</v>
      </c>
      <c r="K4489" s="26" t="s">
        <v>13268</v>
      </c>
      <c r="L4489" s="72">
        <v>13442.0</v>
      </c>
      <c r="M4489" s="49" t="s">
        <v>50</v>
      </c>
      <c r="N4489" s="42" t="s">
        <v>5936</v>
      </c>
      <c r="O4489" s="67">
        <v>45859.6074978588</v>
      </c>
      <c r="P4489" s="35" t="s">
        <v>17757</v>
      </c>
      <c r="Q4489" s="13" t="s">
        <v>75</v>
      </c>
      <c r="R4489" s="13" t="s">
        <v>75</v>
      </c>
      <c r="S4489" s="13" t="s">
        <v>50</v>
      </c>
      <c r="T4489" s="44">
        <v>45856.42708616898</v>
      </c>
      <c r="U4489" s="44">
        <v>45856.48930835648</v>
      </c>
      <c r="V4489" s="44">
        <v>45859.38104648148</v>
      </c>
      <c r="W4489" s="11"/>
      <c r="X4489" s="11"/>
      <c r="Y4489" s="45">
        <v>302.0</v>
      </c>
      <c r="Z4489" s="45" t="s">
        <v>17758</v>
      </c>
      <c r="AA4489" s="31"/>
      <c r="AB4489" s="45" t="s">
        <v>17759</v>
      </c>
      <c r="AC4489" s="45"/>
    </row>
    <row r="4490" ht="18.75" customHeight="1">
      <c r="A4490" s="142" t="s">
        <v>17760</v>
      </c>
      <c r="B4490" s="19" t="s">
        <v>5630</v>
      </c>
      <c r="C4490" s="20">
        <v>11.0</v>
      </c>
      <c r="D4490" s="39" t="s">
        <v>17761</v>
      </c>
      <c r="E4490" s="27" t="s">
        <v>112</v>
      </c>
      <c r="F4490" s="27" t="s">
        <v>48</v>
      </c>
      <c r="G4490" s="18" t="s">
        <v>35</v>
      </c>
      <c r="H4490" s="40" t="s">
        <v>35</v>
      </c>
      <c r="I4490" s="37" t="s">
        <v>36</v>
      </c>
      <c r="J4490" s="25" t="s">
        <v>49</v>
      </c>
      <c r="K4490" s="26" t="s">
        <v>38</v>
      </c>
      <c r="L4490" s="72">
        <v>13474.0</v>
      </c>
      <c r="M4490" s="49" t="s">
        <v>50</v>
      </c>
      <c r="N4490" s="42" t="s">
        <v>5936</v>
      </c>
      <c r="O4490" s="67">
        <v>45862.60740020833</v>
      </c>
      <c r="P4490" s="35" t="s">
        <v>17762</v>
      </c>
      <c r="Q4490" s="13" t="s">
        <v>75</v>
      </c>
      <c r="R4490" s="13" t="s">
        <v>75</v>
      </c>
      <c r="S4490" s="13" t="s">
        <v>50</v>
      </c>
      <c r="T4490" s="44">
        <v>45856.43685728009</v>
      </c>
      <c r="U4490" s="44">
        <v>45861.67000280092</v>
      </c>
      <c r="V4490" s="44">
        <v>45862.37042604167</v>
      </c>
      <c r="W4490" s="11"/>
      <c r="X4490" s="11"/>
      <c r="Y4490" s="45">
        <v>302.0</v>
      </c>
      <c r="Z4490" s="45" t="s">
        <v>17763</v>
      </c>
      <c r="AA4490" s="31"/>
      <c r="AB4490" s="45" t="s">
        <v>17764</v>
      </c>
      <c r="AC4490" s="45"/>
    </row>
    <row r="4491" ht="18.75" customHeight="1">
      <c r="A4491" s="142" t="s">
        <v>17765</v>
      </c>
      <c r="B4491" s="19" t="s">
        <v>96</v>
      </c>
      <c r="C4491" s="20">
        <v>2.0</v>
      </c>
      <c r="D4491" s="179">
        <v>20158.0</v>
      </c>
      <c r="E4491" s="27" t="s">
        <v>14519</v>
      </c>
      <c r="F4491" s="27" t="s">
        <v>48</v>
      </c>
      <c r="G4491" s="18" t="s">
        <v>35</v>
      </c>
      <c r="H4491" s="40" t="s">
        <v>35</v>
      </c>
      <c r="I4491" s="37" t="s">
        <v>36</v>
      </c>
      <c r="J4491" s="25" t="s">
        <v>49</v>
      </c>
      <c r="K4491" s="26" t="s">
        <v>38</v>
      </c>
      <c r="L4491" s="72">
        <v>13446.0</v>
      </c>
      <c r="M4491" s="49" t="s">
        <v>50</v>
      </c>
      <c r="N4491" s="42" t="s">
        <v>5936</v>
      </c>
      <c r="O4491" s="67">
        <v>45859.6073930787</v>
      </c>
      <c r="P4491" s="35" t="s">
        <v>17766</v>
      </c>
      <c r="Q4491" s="13" t="s">
        <v>75</v>
      </c>
      <c r="R4491" s="13" t="s">
        <v>75</v>
      </c>
      <c r="S4491" s="13" t="s">
        <v>9620</v>
      </c>
      <c r="T4491" s="44">
        <v>45856.43264059028</v>
      </c>
      <c r="U4491" s="44">
        <v>45856.477496770836</v>
      </c>
      <c r="V4491" s="44">
        <v>45856.65335299769</v>
      </c>
      <c r="W4491" s="11"/>
      <c r="X4491" s="11"/>
      <c r="Y4491" s="45">
        <v>302.0</v>
      </c>
      <c r="Z4491" s="45" t="s">
        <v>17767</v>
      </c>
      <c r="AA4491" s="31"/>
      <c r="AB4491" s="45" t="s">
        <v>17768</v>
      </c>
      <c r="AC4491" s="45"/>
    </row>
    <row r="4492" ht="18.75" customHeight="1">
      <c r="A4492" s="142" t="s">
        <v>17769</v>
      </c>
      <c r="B4492" s="19" t="s">
        <v>96</v>
      </c>
      <c r="C4492" s="20">
        <v>1.0</v>
      </c>
      <c r="D4492" s="179">
        <v>13958.0</v>
      </c>
      <c r="E4492" s="27" t="s">
        <v>11712</v>
      </c>
      <c r="F4492" s="27" t="s">
        <v>48</v>
      </c>
      <c r="G4492" s="18" t="s">
        <v>35</v>
      </c>
      <c r="H4492" s="40" t="s">
        <v>35</v>
      </c>
      <c r="I4492" s="37" t="s">
        <v>36</v>
      </c>
      <c r="J4492" s="25" t="s">
        <v>49</v>
      </c>
      <c r="K4492" s="26" t="s">
        <v>38</v>
      </c>
      <c r="L4492" s="72">
        <v>13489.0</v>
      </c>
      <c r="M4492" s="49" t="s">
        <v>50</v>
      </c>
      <c r="N4492" s="42" t="s">
        <v>17048</v>
      </c>
      <c r="O4492" s="67">
        <v>45863.58823144676</v>
      </c>
      <c r="P4492" s="35" t="s">
        <v>17770</v>
      </c>
      <c r="Q4492" s="13" t="s">
        <v>75</v>
      </c>
      <c r="R4492" s="13" t="s">
        <v>75</v>
      </c>
      <c r="S4492" s="13" t="s">
        <v>9620</v>
      </c>
      <c r="T4492" s="44">
        <v>45856.436057025465</v>
      </c>
      <c r="U4492" s="44">
        <v>45856.477679421296</v>
      </c>
      <c r="V4492" s="44">
        <v>45861.54803614583</v>
      </c>
      <c r="W4492" s="11"/>
      <c r="X4492" s="11"/>
      <c r="Y4492" s="45">
        <v>302.0</v>
      </c>
      <c r="Z4492" s="45" t="s">
        <v>17771</v>
      </c>
      <c r="AA4492" s="31"/>
      <c r="AB4492" s="45" t="s">
        <v>17772</v>
      </c>
      <c r="AC4492" s="45"/>
    </row>
    <row r="4493" ht="18.75" customHeight="1">
      <c r="A4493" s="18" t="s">
        <v>17773</v>
      </c>
      <c r="B4493" s="19" t="s">
        <v>17124</v>
      </c>
      <c r="C4493" s="20">
        <v>0.0</v>
      </c>
      <c r="D4493" s="179">
        <v>20161.0</v>
      </c>
      <c r="E4493" s="27" t="s">
        <v>135</v>
      </c>
      <c r="F4493" s="27" t="s">
        <v>48</v>
      </c>
      <c r="G4493" s="18" t="s">
        <v>35</v>
      </c>
      <c r="H4493" s="40" t="s">
        <v>35</v>
      </c>
      <c r="I4493" s="37" t="s">
        <v>36</v>
      </c>
      <c r="J4493" s="25" t="s">
        <v>49</v>
      </c>
      <c r="K4493" s="26" t="s">
        <v>38</v>
      </c>
      <c r="L4493" s="72">
        <v>13470.0</v>
      </c>
      <c r="M4493" s="49" t="s">
        <v>50</v>
      </c>
      <c r="N4493" s="42" t="s">
        <v>5936</v>
      </c>
      <c r="O4493" s="67">
        <v>45861.68407091435</v>
      </c>
      <c r="P4493" s="35" t="s">
        <v>17774</v>
      </c>
      <c r="Q4493" s="13" t="s">
        <v>75</v>
      </c>
      <c r="R4493" s="13" t="s">
        <v>75</v>
      </c>
      <c r="S4493" s="13" t="s">
        <v>9620</v>
      </c>
      <c r="T4493" s="44">
        <v>45856.522122615745</v>
      </c>
      <c r="U4493" s="44">
        <v>45856.5226321875</v>
      </c>
      <c r="V4493" s="44">
        <v>45861.451645740744</v>
      </c>
      <c r="W4493" s="11"/>
      <c r="X4493" s="11"/>
      <c r="Y4493" s="45">
        <v>302.0</v>
      </c>
      <c r="Z4493" s="45" t="s">
        <v>17775</v>
      </c>
      <c r="AA4493" s="31"/>
      <c r="AB4493" s="45" t="s">
        <v>17776</v>
      </c>
      <c r="AC4493" s="45"/>
    </row>
    <row r="4494" ht="18.75" customHeight="1">
      <c r="A4494" s="18" t="s">
        <v>17777</v>
      </c>
      <c r="B4494" s="19" t="s">
        <v>17124</v>
      </c>
      <c r="C4494" s="20">
        <v>0.0</v>
      </c>
      <c r="D4494" s="179">
        <v>20162.0</v>
      </c>
      <c r="E4494" s="27" t="s">
        <v>135</v>
      </c>
      <c r="F4494" s="27" t="s">
        <v>48</v>
      </c>
      <c r="G4494" s="18" t="s">
        <v>35</v>
      </c>
      <c r="H4494" s="40" t="s">
        <v>35</v>
      </c>
      <c r="I4494" s="37" t="s">
        <v>36</v>
      </c>
      <c r="J4494" s="25" t="s">
        <v>49</v>
      </c>
      <c r="K4494" s="26" t="s">
        <v>38</v>
      </c>
      <c r="L4494" s="72">
        <v>13470.0</v>
      </c>
      <c r="M4494" s="49" t="s">
        <v>50</v>
      </c>
      <c r="N4494" s="42" t="s">
        <v>5936</v>
      </c>
      <c r="O4494" s="67">
        <v>45861.68401744213</v>
      </c>
      <c r="P4494" s="35" t="s">
        <v>17774</v>
      </c>
      <c r="Q4494" s="13" t="s">
        <v>75</v>
      </c>
      <c r="R4494" s="13" t="s">
        <v>75</v>
      </c>
      <c r="S4494" s="13" t="s">
        <v>9620</v>
      </c>
      <c r="T4494" s="44">
        <v>45856.522806990746</v>
      </c>
      <c r="U4494" s="44">
        <v>45856.52282333333</v>
      </c>
      <c r="V4494" s="44">
        <v>45861.353650590274</v>
      </c>
      <c r="W4494" s="11"/>
      <c r="X4494" s="11"/>
      <c r="Y4494" s="45">
        <v>302.0</v>
      </c>
      <c r="Z4494" s="45" t="s">
        <v>17778</v>
      </c>
      <c r="AA4494" s="31"/>
      <c r="AB4494" s="45" t="s">
        <v>17779</v>
      </c>
      <c r="AC4494" s="45"/>
    </row>
    <row r="4495" ht="18.75" customHeight="1">
      <c r="A4495" s="18" t="s">
        <v>17780</v>
      </c>
      <c r="B4495" s="19" t="s">
        <v>17124</v>
      </c>
      <c r="C4495" s="20">
        <v>0.0</v>
      </c>
      <c r="D4495" s="179">
        <v>20163.0</v>
      </c>
      <c r="E4495" s="27" t="s">
        <v>135</v>
      </c>
      <c r="F4495" s="27" t="s">
        <v>48</v>
      </c>
      <c r="G4495" s="18" t="s">
        <v>35</v>
      </c>
      <c r="H4495" s="40" t="s">
        <v>35</v>
      </c>
      <c r="I4495" s="37" t="s">
        <v>36</v>
      </c>
      <c r="J4495" s="25" t="s">
        <v>49</v>
      </c>
      <c r="K4495" s="26" t="s">
        <v>38</v>
      </c>
      <c r="L4495" s="72">
        <v>13470.0</v>
      </c>
      <c r="M4495" s="49" t="s">
        <v>50</v>
      </c>
      <c r="N4495" s="42" t="s">
        <v>5936</v>
      </c>
      <c r="O4495" s="67">
        <v>45861.68397</v>
      </c>
      <c r="P4495" s="35" t="s">
        <v>17774</v>
      </c>
      <c r="Q4495" s="13" t="s">
        <v>75</v>
      </c>
      <c r="R4495" s="13" t="s">
        <v>75</v>
      </c>
      <c r="S4495" s="13" t="s">
        <v>9620</v>
      </c>
      <c r="T4495" s="44">
        <v>45856.522899143514</v>
      </c>
      <c r="U4495" s="44">
        <v>45856.522917152775</v>
      </c>
      <c r="V4495" s="44">
        <v>45860.631549502315</v>
      </c>
      <c r="W4495" s="11"/>
      <c r="X4495" s="11"/>
      <c r="Y4495" s="45">
        <v>302.0</v>
      </c>
      <c r="Z4495" s="45" t="s">
        <v>17781</v>
      </c>
      <c r="AA4495" s="31"/>
      <c r="AB4495" s="45" t="s">
        <v>17782</v>
      </c>
      <c r="AC4495" s="45"/>
    </row>
    <row r="4496" ht="18.75" customHeight="1">
      <c r="A4496" s="142" t="s">
        <v>17783</v>
      </c>
      <c r="B4496" s="19" t="s">
        <v>1593</v>
      </c>
      <c r="C4496" s="20">
        <v>27.0</v>
      </c>
      <c r="D4496" s="39" t="s">
        <v>17784</v>
      </c>
      <c r="E4496" s="27" t="s">
        <v>72</v>
      </c>
      <c r="F4496" s="27" t="s">
        <v>48</v>
      </c>
      <c r="G4496" s="18" t="s">
        <v>35</v>
      </c>
      <c r="H4496" s="40" t="s">
        <v>35</v>
      </c>
      <c r="I4496" s="37" t="s">
        <v>36</v>
      </c>
      <c r="J4496" s="25" t="s">
        <v>49</v>
      </c>
      <c r="K4496" s="26" t="s">
        <v>17785</v>
      </c>
      <c r="L4496" s="72">
        <v>13445.0</v>
      </c>
      <c r="M4496" s="49" t="s">
        <v>50</v>
      </c>
      <c r="N4496" s="42" t="s">
        <v>5936</v>
      </c>
      <c r="O4496" s="67">
        <v>45859.60728684028</v>
      </c>
      <c r="P4496" s="35" t="s">
        <v>15666</v>
      </c>
      <c r="Q4496" s="13" t="s">
        <v>75</v>
      </c>
      <c r="R4496" s="13" t="s">
        <v>75</v>
      </c>
      <c r="S4496" s="13" t="s">
        <v>50</v>
      </c>
      <c r="T4496" s="44">
        <v>45856.55672172454</v>
      </c>
      <c r="U4496" s="44">
        <v>45856.600612650465</v>
      </c>
      <c r="V4496" s="44">
        <v>45859.38104648148</v>
      </c>
      <c r="W4496" s="11"/>
      <c r="X4496" s="11"/>
      <c r="Y4496" s="45">
        <v>302.0</v>
      </c>
      <c r="Z4496" s="45" t="s">
        <v>17786</v>
      </c>
      <c r="AA4496" s="31"/>
      <c r="AB4496" s="45" t="s">
        <v>17787</v>
      </c>
      <c r="AC4496" s="45"/>
    </row>
    <row r="4497" ht="18.75" customHeight="1">
      <c r="A4497" s="142" t="s">
        <v>17788</v>
      </c>
      <c r="B4497" s="19" t="s">
        <v>17625</v>
      </c>
      <c r="C4497" s="20">
        <v>1.0</v>
      </c>
      <c r="D4497" s="39" t="s">
        <v>17789</v>
      </c>
      <c r="E4497" s="27" t="s">
        <v>3395</v>
      </c>
      <c r="F4497" s="27" t="s">
        <v>48</v>
      </c>
      <c r="G4497" s="18" t="s">
        <v>35</v>
      </c>
      <c r="H4497" s="40" t="s">
        <v>35</v>
      </c>
      <c r="I4497" s="37" t="s">
        <v>36</v>
      </c>
      <c r="J4497" s="25" t="s">
        <v>49</v>
      </c>
      <c r="K4497" s="26" t="s">
        <v>38</v>
      </c>
      <c r="L4497" s="72">
        <v>13444.0</v>
      </c>
      <c r="M4497" s="49" t="s">
        <v>50</v>
      </c>
      <c r="N4497" s="42" t="s">
        <v>5936</v>
      </c>
      <c r="O4497" s="67">
        <v>45859.60734396991</v>
      </c>
      <c r="P4497" s="35" t="s">
        <v>15666</v>
      </c>
      <c r="Q4497" s="13" t="s">
        <v>75</v>
      </c>
      <c r="R4497" s="13" t="s">
        <v>75</v>
      </c>
      <c r="S4497" s="13" t="s">
        <v>50</v>
      </c>
      <c r="T4497" s="44">
        <v>45856.55513508102</v>
      </c>
      <c r="U4497" s="44">
        <v>45856.55895479167</v>
      </c>
      <c r="V4497" s="44">
        <v>45859.38104648148</v>
      </c>
      <c r="W4497" s="11"/>
      <c r="X4497" s="11"/>
      <c r="Y4497" s="45">
        <v>302.0</v>
      </c>
      <c r="Z4497" s="45" t="s">
        <v>17790</v>
      </c>
      <c r="AA4497" s="31"/>
      <c r="AB4497" s="45" t="s">
        <v>17791</v>
      </c>
      <c r="AC4497" s="45"/>
    </row>
    <row r="4498" ht="18.75" customHeight="1">
      <c r="A4498" s="142" t="s">
        <v>17792</v>
      </c>
      <c r="B4498" s="19" t="s">
        <v>1811</v>
      </c>
      <c r="C4498" s="20">
        <v>11.0</v>
      </c>
      <c r="D4498" s="39" t="s">
        <v>17793</v>
      </c>
      <c r="E4498" s="27" t="s">
        <v>112</v>
      </c>
      <c r="F4498" s="27" t="s">
        <v>48</v>
      </c>
      <c r="G4498" s="18" t="s">
        <v>35</v>
      </c>
      <c r="H4498" s="40" t="s">
        <v>35</v>
      </c>
      <c r="I4498" s="37" t="s">
        <v>36</v>
      </c>
      <c r="J4498" s="25" t="s">
        <v>49</v>
      </c>
      <c r="K4498" s="26" t="s">
        <v>1506</v>
      </c>
      <c r="L4498" s="72">
        <v>13475.0</v>
      </c>
      <c r="M4498" s="49" t="s">
        <v>50</v>
      </c>
      <c r="N4498" s="42" t="s">
        <v>5936</v>
      </c>
      <c r="O4498" s="67">
        <v>45862.60848361111</v>
      </c>
      <c r="P4498" s="35" t="s">
        <v>17794</v>
      </c>
      <c r="Q4498" s="13" t="s">
        <v>75</v>
      </c>
      <c r="R4498" s="13" t="s">
        <v>75</v>
      </c>
      <c r="S4498" s="13" t="s">
        <v>50</v>
      </c>
      <c r="T4498" s="44">
        <v>45861.68573212963</v>
      </c>
      <c r="U4498" s="44">
        <v>45861.68576032408</v>
      </c>
      <c r="V4498" s="44">
        <v>45862.370541701384</v>
      </c>
      <c r="W4498" s="11"/>
      <c r="X4498" s="11"/>
      <c r="Y4498" s="45">
        <v>302.0</v>
      </c>
      <c r="Z4498" s="45" t="s">
        <v>17795</v>
      </c>
      <c r="AA4498" s="31"/>
      <c r="AB4498" s="45" t="s">
        <v>17796</v>
      </c>
      <c r="AC4498" s="45"/>
    </row>
    <row r="4499" ht="18.75" customHeight="1">
      <c r="A4499" s="142" t="s">
        <v>17797</v>
      </c>
      <c r="B4499" s="19" t="s">
        <v>4293</v>
      </c>
      <c r="C4499" s="20">
        <v>11.0</v>
      </c>
      <c r="D4499" s="39" t="s">
        <v>17798</v>
      </c>
      <c r="E4499" s="27" t="s">
        <v>112</v>
      </c>
      <c r="F4499" s="27" t="s">
        <v>48</v>
      </c>
      <c r="G4499" s="18" t="s">
        <v>35</v>
      </c>
      <c r="H4499" s="40" t="s">
        <v>35</v>
      </c>
      <c r="I4499" s="37" t="s">
        <v>36</v>
      </c>
      <c r="J4499" s="25" t="s">
        <v>65</v>
      </c>
      <c r="K4499" s="26" t="s">
        <v>38</v>
      </c>
      <c r="L4499" s="72">
        <v>13458.0</v>
      </c>
      <c r="M4499" s="49" t="s">
        <v>50</v>
      </c>
      <c r="N4499" s="42" t="s">
        <v>5883</v>
      </c>
      <c r="O4499" s="67">
        <v>45861.64652333333</v>
      </c>
      <c r="P4499" s="35" t="s">
        <v>15829</v>
      </c>
      <c r="Q4499" s="13" t="s">
        <v>75</v>
      </c>
      <c r="R4499" s="13" t="s">
        <v>75</v>
      </c>
      <c r="S4499" s="13" t="s">
        <v>50</v>
      </c>
      <c r="T4499" s="44">
        <v>45859.57840171296</v>
      </c>
      <c r="U4499" s="44">
        <v>45860.48165099537</v>
      </c>
      <c r="V4499" s="44">
        <v>45860.55238743055</v>
      </c>
      <c r="W4499" s="11"/>
      <c r="X4499" s="11"/>
      <c r="Y4499" s="45">
        <v>302.0</v>
      </c>
      <c r="Z4499" s="45" t="s">
        <v>17799</v>
      </c>
      <c r="AA4499" s="31"/>
      <c r="AB4499" s="45" t="s">
        <v>17800</v>
      </c>
      <c r="AC4499" s="45"/>
    </row>
    <row r="4500" ht="18.75" customHeight="1">
      <c r="A4500" s="18" t="s">
        <v>17801</v>
      </c>
      <c r="B4500" s="19" t="s">
        <v>4450</v>
      </c>
      <c r="C4500" s="20">
        <v>0.0</v>
      </c>
      <c r="D4500" s="39" t="s">
        <v>17802</v>
      </c>
      <c r="E4500" s="27" t="s">
        <v>3441</v>
      </c>
      <c r="F4500" s="27" t="s">
        <v>48</v>
      </c>
      <c r="G4500" s="18" t="s">
        <v>35</v>
      </c>
      <c r="H4500" s="40" t="s">
        <v>35</v>
      </c>
      <c r="I4500" s="37" t="s">
        <v>36</v>
      </c>
      <c r="J4500" s="25" t="s">
        <v>420</v>
      </c>
      <c r="K4500" s="26" t="s">
        <v>38</v>
      </c>
      <c r="L4500" s="72">
        <v>13513.0</v>
      </c>
      <c r="M4500" s="49" t="s">
        <v>73</v>
      </c>
      <c r="N4500" s="42" t="s">
        <v>4031</v>
      </c>
      <c r="O4500" s="67">
        <v>45867.675500717596</v>
      </c>
      <c r="P4500" s="35" t="s">
        <v>17803</v>
      </c>
      <c r="Q4500" s="13" t="s">
        <v>75</v>
      </c>
      <c r="R4500" s="13" t="s">
        <v>75</v>
      </c>
      <c r="S4500" s="13" t="s">
        <v>73</v>
      </c>
      <c r="T4500" s="44">
        <v>45861.6873285301</v>
      </c>
      <c r="U4500" s="44">
        <v>45867.42049142361</v>
      </c>
      <c r="V4500" s="44">
        <v>45867.45973311343</v>
      </c>
      <c r="W4500" s="11"/>
      <c r="X4500" s="11"/>
      <c r="Y4500" s="45">
        <v>302.0</v>
      </c>
      <c r="Z4500" s="45" t="s">
        <v>17804</v>
      </c>
      <c r="AA4500" s="31"/>
      <c r="AB4500" s="45" t="s">
        <v>17805</v>
      </c>
      <c r="AC4500" s="45"/>
    </row>
    <row r="4501" ht="18.75" customHeight="1">
      <c r="A4501" s="18" t="s">
        <v>17806</v>
      </c>
      <c r="B4501" s="19" t="s">
        <v>4450</v>
      </c>
      <c r="C4501" s="20">
        <v>0.0</v>
      </c>
      <c r="D4501" s="39" t="s">
        <v>17807</v>
      </c>
      <c r="E4501" s="27" t="s">
        <v>3441</v>
      </c>
      <c r="F4501" s="27" t="s">
        <v>48</v>
      </c>
      <c r="G4501" s="18" t="s">
        <v>35</v>
      </c>
      <c r="H4501" s="40" t="s">
        <v>35</v>
      </c>
      <c r="I4501" s="37" t="s">
        <v>36</v>
      </c>
      <c r="J4501" s="25" t="s">
        <v>420</v>
      </c>
      <c r="K4501" s="26" t="s">
        <v>38</v>
      </c>
      <c r="L4501" s="72">
        <v>13513.0</v>
      </c>
      <c r="M4501" s="49" t="s">
        <v>73</v>
      </c>
      <c r="N4501" s="42" t="s">
        <v>4031</v>
      </c>
      <c r="O4501" s="67">
        <v>45867.6755997338</v>
      </c>
      <c r="P4501" s="35" t="s">
        <v>17803</v>
      </c>
      <c r="Q4501" s="13" t="s">
        <v>75</v>
      </c>
      <c r="R4501" s="13" t="s">
        <v>75</v>
      </c>
      <c r="S4501" s="13" t="s">
        <v>73</v>
      </c>
      <c r="T4501" s="44">
        <v>45861.68760240741</v>
      </c>
      <c r="U4501" s="44">
        <v>45867.42054167824</v>
      </c>
      <c r="V4501" s="44">
        <v>45867.45981299768</v>
      </c>
      <c r="W4501" s="11"/>
      <c r="X4501" s="11"/>
      <c r="Y4501" s="45">
        <v>302.0</v>
      </c>
      <c r="Z4501" s="45" t="s">
        <v>17808</v>
      </c>
      <c r="AA4501" s="31"/>
      <c r="AB4501" s="45" t="s">
        <v>17809</v>
      </c>
      <c r="AC4501" s="45"/>
    </row>
    <row r="4502" ht="18.75" customHeight="1">
      <c r="A4502" s="18" t="s">
        <v>17810</v>
      </c>
      <c r="B4502" s="19" t="s">
        <v>4450</v>
      </c>
      <c r="C4502" s="20">
        <v>0.0</v>
      </c>
      <c r="D4502" s="39" t="s">
        <v>17811</v>
      </c>
      <c r="E4502" s="27" t="s">
        <v>3441</v>
      </c>
      <c r="F4502" s="27" t="s">
        <v>48</v>
      </c>
      <c r="G4502" s="18" t="s">
        <v>35</v>
      </c>
      <c r="H4502" s="40" t="s">
        <v>35</v>
      </c>
      <c r="I4502" s="37" t="s">
        <v>36</v>
      </c>
      <c r="J4502" s="25" t="s">
        <v>420</v>
      </c>
      <c r="K4502" s="26" t="s">
        <v>38</v>
      </c>
      <c r="L4502" s="72">
        <v>13513.0</v>
      </c>
      <c r="M4502" s="49" t="s">
        <v>73</v>
      </c>
      <c r="N4502" s="42" t="s">
        <v>4031</v>
      </c>
      <c r="O4502" s="67">
        <v>45867.67555047454</v>
      </c>
      <c r="P4502" s="35" t="s">
        <v>17803</v>
      </c>
      <c r="Q4502" s="13" t="s">
        <v>75</v>
      </c>
      <c r="R4502" s="13" t="s">
        <v>75</v>
      </c>
      <c r="S4502" s="13" t="s">
        <v>73</v>
      </c>
      <c r="T4502" s="44">
        <v>45861.68803077546</v>
      </c>
      <c r="U4502" s="44">
        <v>45867.420587002314</v>
      </c>
      <c r="V4502" s="44">
        <v>45867.45989179398</v>
      </c>
      <c r="W4502" s="11"/>
      <c r="X4502" s="11"/>
      <c r="Y4502" s="45">
        <v>302.0</v>
      </c>
      <c r="Z4502" s="45" t="s">
        <v>17812</v>
      </c>
      <c r="AA4502" s="31"/>
      <c r="AB4502" s="45" t="s">
        <v>17813</v>
      </c>
      <c r="AC4502" s="45"/>
    </row>
    <row r="4503" ht="18.75" customHeight="1">
      <c r="A4503" s="18" t="s">
        <v>17814</v>
      </c>
      <c r="B4503" s="19" t="s">
        <v>4450</v>
      </c>
      <c r="C4503" s="20">
        <v>27.0</v>
      </c>
      <c r="D4503" s="39" t="s">
        <v>17815</v>
      </c>
      <c r="E4503" s="27" t="s">
        <v>72</v>
      </c>
      <c r="F4503" s="27" t="s">
        <v>48</v>
      </c>
      <c r="G4503" s="18" t="s">
        <v>35</v>
      </c>
      <c r="H4503" s="40" t="s">
        <v>35</v>
      </c>
      <c r="I4503" s="37" t="s">
        <v>36</v>
      </c>
      <c r="J4503" s="25" t="s">
        <v>420</v>
      </c>
      <c r="K4503" s="26" t="s">
        <v>38</v>
      </c>
      <c r="L4503" s="72">
        <v>13513.0</v>
      </c>
      <c r="M4503" s="49" t="s">
        <v>73</v>
      </c>
      <c r="N4503" s="42" t="s">
        <v>4031</v>
      </c>
      <c r="O4503" s="67">
        <v>45867.675443796295</v>
      </c>
      <c r="P4503" s="35" t="s">
        <v>17803</v>
      </c>
      <c r="Q4503" s="13" t="s">
        <v>75</v>
      </c>
      <c r="R4503" s="13" t="s">
        <v>75</v>
      </c>
      <c r="S4503" s="13" t="s">
        <v>73</v>
      </c>
      <c r="T4503" s="44">
        <v>45861.68780584491</v>
      </c>
      <c r="U4503" s="44">
        <v>45867.42060883102</v>
      </c>
      <c r="V4503" s="44">
        <v>45867.459957280094</v>
      </c>
      <c r="W4503" s="11"/>
      <c r="X4503" s="11"/>
      <c r="Y4503" s="45">
        <v>302.0</v>
      </c>
      <c r="Z4503" s="45" t="s">
        <v>17816</v>
      </c>
      <c r="AA4503" s="31"/>
      <c r="AB4503" s="45" t="s">
        <v>17817</v>
      </c>
      <c r="AC4503" s="45"/>
    </row>
    <row r="4504" ht="18.75" customHeight="1">
      <c r="A4504" s="142" t="s">
        <v>17818</v>
      </c>
      <c r="B4504" s="19" t="s">
        <v>17819</v>
      </c>
      <c r="C4504" s="20">
        <v>27.0</v>
      </c>
      <c r="D4504" s="39" t="s">
        <v>17820</v>
      </c>
      <c r="E4504" s="27" t="s">
        <v>72</v>
      </c>
      <c r="F4504" s="27" t="s">
        <v>48</v>
      </c>
      <c r="G4504" s="18" t="s">
        <v>35</v>
      </c>
      <c r="H4504" s="40" t="s">
        <v>35</v>
      </c>
      <c r="I4504" s="37" t="s">
        <v>36</v>
      </c>
      <c r="J4504" s="25" t="s">
        <v>92</v>
      </c>
      <c r="K4504" s="26" t="s">
        <v>38</v>
      </c>
      <c r="L4504" s="72">
        <v>13453.0</v>
      </c>
      <c r="M4504" s="49" t="s">
        <v>73</v>
      </c>
      <c r="N4504" s="42" t="s">
        <v>17821</v>
      </c>
      <c r="O4504" s="67">
        <v>45859.714996932875</v>
      </c>
      <c r="P4504" s="26" t="s">
        <v>17822</v>
      </c>
      <c r="Q4504" s="13" t="s">
        <v>75</v>
      </c>
      <c r="R4504" s="13" t="s">
        <v>75</v>
      </c>
      <c r="S4504" s="13" t="s">
        <v>73</v>
      </c>
      <c r="T4504" s="44">
        <v>45859.659035046294</v>
      </c>
      <c r="U4504" s="44">
        <v>45859.70392069445</v>
      </c>
      <c r="V4504" s="44">
        <v>45859.70526070602</v>
      </c>
      <c r="W4504" s="11"/>
      <c r="X4504" s="11"/>
      <c r="Y4504" s="45">
        <v>302.0</v>
      </c>
      <c r="Z4504" s="45" t="s">
        <v>17823</v>
      </c>
      <c r="AA4504" s="31"/>
      <c r="AB4504" s="45" t="s">
        <v>17824</v>
      </c>
      <c r="AC4504" s="45"/>
    </row>
    <row r="4505" ht="18.75" customHeight="1">
      <c r="A4505" s="32" t="s">
        <v>17825</v>
      </c>
      <c r="B4505" s="19" t="s">
        <v>7459</v>
      </c>
      <c r="C4505" s="20">
        <v>0.0</v>
      </c>
      <c r="D4505" s="142" t="s">
        <v>17826</v>
      </c>
      <c r="E4505" s="27" t="s">
        <v>1530</v>
      </c>
      <c r="F4505" s="27" t="s">
        <v>33</v>
      </c>
      <c r="G4505" s="18" t="s">
        <v>35</v>
      </c>
      <c r="H4505" s="40" t="s">
        <v>35</v>
      </c>
      <c r="I4505" s="37" t="s">
        <v>36</v>
      </c>
      <c r="J4505" s="25" t="s">
        <v>92</v>
      </c>
      <c r="K4505" s="26" t="s">
        <v>38</v>
      </c>
      <c r="L4505" s="72">
        <v>13465.0</v>
      </c>
      <c r="M4505" s="49" t="s">
        <v>50</v>
      </c>
      <c r="N4505" s="42" t="s">
        <v>7145</v>
      </c>
      <c r="O4505" s="67">
        <v>45862.334027777775</v>
      </c>
      <c r="P4505" s="35" t="s">
        <v>17827</v>
      </c>
      <c r="Q4505" s="13" t="s">
        <v>75</v>
      </c>
      <c r="R4505" s="13" t="s">
        <v>75</v>
      </c>
      <c r="S4505" s="13" t="s">
        <v>9620</v>
      </c>
      <c r="T4505" s="44">
        <v>45804.566781817135</v>
      </c>
      <c r="U4505" s="44">
        <v>45807.60939805556</v>
      </c>
      <c r="V4505" s="198">
        <v>45860.60573164352</v>
      </c>
      <c r="W4505" s="11"/>
      <c r="X4505" s="11"/>
      <c r="Y4505" s="45">
        <v>302.0</v>
      </c>
      <c r="Z4505" s="45" t="s">
        <v>17828</v>
      </c>
      <c r="AA4505" s="31"/>
      <c r="AB4505" s="45" t="s">
        <v>17829</v>
      </c>
      <c r="AC4505" s="45"/>
    </row>
    <row r="4506" ht="18.75" customHeight="1">
      <c r="A4506" s="32" t="s">
        <v>17830</v>
      </c>
      <c r="B4506" s="19" t="s">
        <v>7459</v>
      </c>
      <c r="C4506" s="20">
        <v>0.0</v>
      </c>
      <c r="D4506" s="48" t="s">
        <v>17831</v>
      </c>
      <c r="E4506" s="27" t="s">
        <v>1530</v>
      </c>
      <c r="F4506" s="27" t="s">
        <v>33</v>
      </c>
      <c r="G4506" s="18" t="s">
        <v>35</v>
      </c>
      <c r="H4506" s="40" t="s">
        <v>35</v>
      </c>
      <c r="I4506" s="37" t="s">
        <v>36</v>
      </c>
      <c r="J4506" s="25" t="s">
        <v>92</v>
      </c>
      <c r="K4506" s="26" t="s">
        <v>38</v>
      </c>
      <c r="L4506" s="72">
        <v>13465.0</v>
      </c>
      <c r="M4506" s="49" t="s">
        <v>50</v>
      </c>
      <c r="N4506" s="42" t="s">
        <v>7145</v>
      </c>
      <c r="O4506" s="67">
        <v>45862.334027777775</v>
      </c>
      <c r="P4506" s="35" t="s">
        <v>17827</v>
      </c>
      <c r="Q4506" s="13" t="s">
        <v>75</v>
      </c>
      <c r="R4506" s="13" t="s">
        <v>75</v>
      </c>
      <c r="S4506" s="13" t="s">
        <v>9620</v>
      </c>
      <c r="T4506" s="44">
        <v>45804.56691</v>
      </c>
      <c r="U4506" s="44">
        <v>45807.60942644676</v>
      </c>
      <c r="V4506" s="198">
        <v>45860.60573166667</v>
      </c>
      <c r="W4506" s="11"/>
      <c r="X4506" s="11"/>
      <c r="Y4506" s="45">
        <v>302.0</v>
      </c>
      <c r="Z4506" s="45" t="s">
        <v>17832</v>
      </c>
      <c r="AA4506" s="31"/>
      <c r="AB4506" s="45" t="s">
        <v>17833</v>
      </c>
      <c r="AC4506" s="45"/>
    </row>
    <row r="4507" ht="18.75" customHeight="1">
      <c r="A4507" s="32" t="s">
        <v>17834</v>
      </c>
      <c r="B4507" s="19" t="s">
        <v>7459</v>
      </c>
      <c r="C4507" s="20">
        <v>0.0</v>
      </c>
      <c r="D4507" s="48" t="s">
        <v>17835</v>
      </c>
      <c r="E4507" s="27" t="s">
        <v>1530</v>
      </c>
      <c r="F4507" s="22" t="s">
        <v>33</v>
      </c>
      <c r="G4507" s="18" t="s">
        <v>35</v>
      </c>
      <c r="H4507" s="40" t="s">
        <v>35</v>
      </c>
      <c r="I4507" s="37" t="s">
        <v>36</v>
      </c>
      <c r="J4507" s="25" t="s">
        <v>92</v>
      </c>
      <c r="K4507" s="26" t="s">
        <v>38</v>
      </c>
      <c r="L4507" s="72">
        <v>13465.0</v>
      </c>
      <c r="M4507" s="49" t="s">
        <v>50</v>
      </c>
      <c r="N4507" s="42" t="s">
        <v>7145</v>
      </c>
      <c r="O4507" s="67">
        <v>45862.334027777775</v>
      </c>
      <c r="P4507" s="35" t="s">
        <v>17827</v>
      </c>
      <c r="Q4507" s="13" t="s">
        <v>75</v>
      </c>
      <c r="R4507" s="13" t="s">
        <v>75</v>
      </c>
      <c r="S4507" s="13" t="s">
        <v>9620</v>
      </c>
      <c r="T4507" s="44">
        <v>45804.567134826386</v>
      </c>
      <c r="U4507" s="44">
        <v>45807.609518067125</v>
      </c>
      <c r="V4507" s="198">
        <v>45860.605817557866</v>
      </c>
      <c r="W4507" s="11"/>
      <c r="X4507" s="11"/>
      <c r="Y4507" s="45">
        <v>302.0</v>
      </c>
      <c r="Z4507" s="45" t="s">
        <v>17836</v>
      </c>
      <c r="AA4507" s="31"/>
      <c r="AB4507" s="45" t="s">
        <v>17837</v>
      </c>
      <c r="AC4507" s="45"/>
    </row>
    <row r="4508" ht="18.75" customHeight="1">
      <c r="A4508" s="32" t="s">
        <v>17838</v>
      </c>
      <c r="B4508" s="19" t="s">
        <v>7459</v>
      </c>
      <c r="C4508" s="20">
        <v>0.0</v>
      </c>
      <c r="D4508" s="48" t="s">
        <v>17839</v>
      </c>
      <c r="E4508" s="27" t="s">
        <v>1530</v>
      </c>
      <c r="F4508" s="27" t="s">
        <v>33</v>
      </c>
      <c r="G4508" s="18" t="s">
        <v>35</v>
      </c>
      <c r="H4508" s="40" t="s">
        <v>35</v>
      </c>
      <c r="I4508" s="37" t="s">
        <v>36</v>
      </c>
      <c r="J4508" s="25" t="s">
        <v>92</v>
      </c>
      <c r="K4508" s="26" t="s">
        <v>38</v>
      </c>
      <c r="L4508" s="72">
        <v>13465.0</v>
      </c>
      <c r="M4508" s="49" t="s">
        <v>50</v>
      </c>
      <c r="N4508" s="42" t="s">
        <v>7145</v>
      </c>
      <c r="O4508" s="67">
        <v>45862.334027777775</v>
      </c>
      <c r="P4508" s="35" t="s">
        <v>17827</v>
      </c>
      <c r="Q4508" s="13" t="s">
        <v>75</v>
      </c>
      <c r="R4508" s="13" t="s">
        <v>75</v>
      </c>
      <c r="S4508" s="13" t="s">
        <v>9620</v>
      </c>
      <c r="T4508" s="44">
        <v>45804.56721671297</v>
      </c>
      <c r="U4508" s="44">
        <v>45807.60945041667</v>
      </c>
      <c r="V4508" s="198">
        <v>45860.60573166667</v>
      </c>
      <c r="W4508" s="11"/>
      <c r="X4508" s="11"/>
      <c r="Y4508" s="45">
        <v>302.0</v>
      </c>
      <c r="Z4508" s="45" t="s">
        <v>17840</v>
      </c>
      <c r="AA4508" s="31"/>
      <c r="AB4508" s="45" t="s">
        <v>17841</v>
      </c>
      <c r="AC4508" s="45"/>
    </row>
    <row r="4509" ht="18.75" customHeight="1">
      <c r="A4509" s="32" t="s">
        <v>17842</v>
      </c>
      <c r="B4509" s="19" t="s">
        <v>7459</v>
      </c>
      <c r="C4509" s="20">
        <v>0.0</v>
      </c>
      <c r="D4509" s="48" t="s">
        <v>17843</v>
      </c>
      <c r="E4509" s="27" t="s">
        <v>1530</v>
      </c>
      <c r="F4509" s="27" t="s">
        <v>33</v>
      </c>
      <c r="G4509" s="18" t="s">
        <v>35</v>
      </c>
      <c r="H4509" s="40" t="s">
        <v>35</v>
      </c>
      <c r="I4509" s="37" t="s">
        <v>36</v>
      </c>
      <c r="J4509" s="25" t="s">
        <v>92</v>
      </c>
      <c r="K4509" s="26" t="s">
        <v>38</v>
      </c>
      <c r="L4509" s="72">
        <v>13465.0</v>
      </c>
      <c r="M4509" s="49" t="s">
        <v>50</v>
      </c>
      <c r="N4509" s="42" t="s">
        <v>7145</v>
      </c>
      <c r="O4509" s="67">
        <v>45862.334027777775</v>
      </c>
      <c r="P4509" s="35" t="s">
        <v>17827</v>
      </c>
      <c r="Q4509" s="13" t="s">
        <v>75</v>
      </c>
      <c r="R4509" s="13" t="s">
        <v>75</v>
      </c>
      <c r="S4509" s="13" t="s">
        <v>9620</v>
      </c>
      <c r="T4509" s="44">
        <v>45804.56729327547</v>
      </c>
      <c r="U4509" s="44">
        <v>45807.60947491898</v>
      </c>
      <c r="V4509" s="198">
        <v>45860.60573167824</v>
      </c>
      <c r="W4509" s="11"/>
      <c r="X4509" s="11"/>
      <c r="Y4509" s="45">
        <v>302.0</v>
      </c>
      <c r="Z4509" s="45" t="s">
        <v>17844</v>
      </c>
      <c r="AA4509" s="31"/>
      <c r="AB4509" s="45" t="s">
        <v>17845</v>
      </c>
      <c r="AC4509" s="45"/>
    </row>
    <row r="4510" ht="18.75" customHeight="1">
      <c r="A4510" s="32" t="s">
        <v>17846</v>
      </c>
      <c r="B4510" s="19" t="s">
        <v>7459</v>
      </c>
      <c r="C4510" s="20">
        <v>0.0</v>
      </c>
      <c r="D4510" s="48" t="s">
        <v>17847</v>
      </c>
      <c r="E4510" s="27" t="s">
        <v>1530</v>
      </c>
      <c r="F4510" s="27" t="s">
        <v>33</v>
      </c>
      <c r="G4510" s="18" t="s">
        <v>35</v>
      </c>
      <c r="H4510" s="40" t="s">
        <v>35</v>
      </c>
      <c r="I4510" s="37" t="s">
        <v>36</v>
      </c>
      <c r="J4510" s="25" t="s">
        <v>92</v>
      </c>
      <c r="K4510" s="26" t="s">
        <v>38</v>
      </c>
      <c r="L4510" s="72">
        <v>13465.0</v>
      </c>
      <c r="M4510" s="49" t="s">
        <v>50</v>
      </c>
      <c r="N4510" s="42" t="s">
        <v>7145</v>
      </c>
      <c r="O4510" s="67">
        <v>45862.334027777775</v>
      </c>
      <c r="P4510" s="35" t="s">
        <v>17827</v>
      </c>
      <c r="Q4510" s="13" t="s">
        <v>75</v>
      </c>
      <c r="R4510" s="13" t="s">
        <v>75</v>
      </c>
      <c r="S4510" s="13" t="s">
        <v>9620</v>
      </c>
      <c r="T4510" s="44">
        <v>45804.56735545139</v>
      </c>
      <c r="U4510" s="44">
        <v>45807.60949724537</v>
      </c>
      <c r="V4510" s="198">
        <v>45860.605817557866</v>
      </c>
      <c r="W4510" s="11"/>
      <c r="X4510" s="11"/>
      <c r="Y4510" s="45">
        <v>302.0</v>
      </c>
      <c r="Z4510" s="45" t="s">
        <v>17848</v>
      </c>
      <c r="AA4510" s="31"/>
      <c r="AB4510" s="45" t="s">
        <v>17849</v>
      </c>
      <c r="AC4510" s="45"/>
    </row>
    <row r="4511" ht="18.75" customHeight="1">
      <c r="A4511" s="142" t="s">
        <v>17850</v>
      </c>
      <c r="B4511" s="19" t="s">
        <v>5507</v>
      </c>
      <c r="C4511" s="20">
        <v>90.0</v>
      </c>
      <c r="D4511" s="39" t="s">
        <v>17851</v>
      </c>
      <c r="E4511" s="27" t="s">
        <v>91</v>
      </c>
      <c r="F4511" s="27" t="s">
        <v>48</v>
      </c>
      <c r="G4511" s="18" t="s">
        <v>35</v>
      </c>
      <c r="H4511" s="40" t="s">
        <v>35</v>
      </c>
      <c r="I4511" s="37" t="s">
        <v>36</v>
      </c>
      <c r="J4511" s="25" t="s">
        <v>92</v>
      </c>
      <c r="K4511" s="26" t="s">
        <v>38</v>
      </c>
      <c r="L4511" s="72">
        <v>13463.0</v>
      </c>
      <c r="M4511" s="49" t="s">
        <v>15811</v>
      </c>
      <c r="N4511" s="42"/>
      <c r="O4511" s="67">
        <v>45860.61774778935</v>
      </c>
      <c r="P4511" s="35" t="s">
        <v>17852</v>
      </c>
      <c r="Q4511" s="13" t="s">
        <v>75</v>
      </c>
      <c r="R4511" s="13" t="s">
        <v>75</v>
      </c>
      <c r="S4511" s="13" t="s">
        <v>75</v>
      </c>
      <c r="T4511" s="44">
        <v>45860.472279733796</v>
      </c>
      <c r="U4511" s="44">
        <v>45860.61774778935</v>
      </c>
      <c r="V4511" s="44">
        <v>45860.61774778935</v>
      </c>
      <c r="W4511" s="11"/>
      <c r="X4511" s="11"/>
      <c r="Y4511" s="45"/>
      <c r="Z4511" s="45"/>
      <c r="AA4511" s="31"/>
      <c r="AB4511" s="45" t="s">
        <v>17853</v>
      </c>
      <c r="AC4511" s="45"/>
    </row>
    <row r="4512" ht="18.75" customHeight="1">
      <c r="A4512" s="142" t="s">
        <v>17854</v>
      </c>
      <c r="B4512" s="19" t="s">
        <v>17465</v>
      </c>
      <c r="C4512" s="20">
        <v>0.0</v>
      </c>
      <c r="D4512" s="39" t="s">
        <v>17855</v>
      </c>
      <c r="E4512" s="27" t="s">
        <v>3441</v>
      </c>
      <c r="F4512" s="27" t="s">
        <v>48</v>
      </c>
      <c r="G4512" s="18" t="s">
        <v>35</v>
      </c>
      <c r="H4512" s="40" t="s">
        <v>35</v>
      </c>
      <c r="I4512" s="37" t="s">
        <v>36</v>
      </c>
      <c r="J4512" s="25" t="s">
        <v>65</v>
      </c>
      <c r="K4512" s="26" t="s">
        <v>38</v>
      </c>
      <c r="L4512" s="72">
        <v>13476.0</v>
      </c>
      <c r="M4512" s="49" t="s">
        <v>50</v>
      </c>
      <c r="N4512" s="42" t="s">
        <v>5618</v>
      </c>
      <c r="O4512" s="67">
        <v>45863.332450925926</v>
      </c>
      <c r="P4512" s="35" t="s">
        <v>14372</v>
      </c>
      <c r="Q4512" s="13" t="s">
        <v>75</v>
      </c>
      <c r="R4512" s="13" t="s">
        <v>75</v>
      </c>
      <c r="S4512" s="13" t="s">
        <v>50</v>
      </c>
      <c r="T4512" s="44">
        <v>45860.593486655096</v>
      </c>
      <c r="U4512" s="44">
        <v>45861.59671142361</v>
      </c>
      <c r="V4512" s="44">
        <v>45862.37088902778</v>
      </c>
      <c r="W4512" s="11"/>
      <c r="X4512" s="11"/>
      <c r="Y4512" s="45">
        <v>302.0</v>
      </c>
      <c r="Z4512" s="45" t="s">
        <v>17856</v>
      </c>
      <c r="AA4512" s="31"/>
      <c r="AB4512" s="45" t="s">
        <v>17857</v>
      </c>
      <c r="AC4512" s="45"/>
    </row>
    <row r="4513" ht="18.75" customHeight="1">
      <c r="A4513" s="142" t="s">
        <v>17858</v>
      </c>
      <c r="B4513" s="19" t="s">
        <v>104</v>
      </c>
      <c r="C4513" s="20">
        <v>0.0</v>
      </c>
      <c r="D4513" s="179">
        <v>20165.0</v>
      </c>
      <c r="E4513" s="27" t="s">
        <v>98</v>
      </c>
      <c r="F4513" s="27" t="s">
        <v>33</v>
      </c>
      <c r="G4513" s="18" t="s">
        <v>34</v>
      </c>
      <c r="H4513" s="40" t="s">
        <v>35</v>
      </c>
      <c r="I4513" s="37" t="s">
        <v>36</v>
      </c>
      <c r="J4513" s="25" t="s">
        <v>49</v>
      </c>
      <c r="K4513" s="26" t="s">
        <v>38</v>
      </c>
      <c r="L4513" s="72">
        <v>13492.0</v>
      </c>
      <c r="M4513" s="49" t="s">
        <v>50</v>
      </c>
      <c r="N4513" s="42" t="s">
        <v>17048</v>
      </c>
      <c r="O4513" s="67">
        <v>45866.609760844905</v>
      </c>
      <c r="P4513" s="35" t="s">
        <v>17859</v>
      </c>
      <c r="Q4513" s="13" t="s">
        <v>75</v>
      </c>
      <c r="R4513" s="13" t="s">
        <v>75</v>
      </c>
      <c r="S4513" s="13" t="s">
        <v>9620</v>
      </c>
      <c r="T4513" s="44">
        <v>45860.5949985301</v>
      </c>
      <c r="U4513" s="44">
        <v>45860.63912126157</v>
      </c>
      <c r="V4513" s="44">
        <v>45863.53977206019</v>
      </c>
      <c r="W4513" s="11"/>
      <c r="X4513" s="11"/>
      <c r="Y4513" s="45">
        <v>302.0</v>
      </c>
      <c r="Z4513" s="45" t="s">
        <v>17860</v>
      </c>
      <c r="AA4513" s="31"/>
      <c r="AB4513" s="45" t="s">
        <v>17861</v>
      </c>
      <c r="AC4513" s="45"/>
    </row>
    <row r="4514" ht="18.75" customHeight="1">
      <c r="A4514" s="142" t="s">
        <v>17862</v>
      </c>
      <c r="B4514" s="19" t="s">
        <v>5277</v>
      </c>
      <c r="C4514" s="20">
        <v>1.0</v>
      </c>
      <c r="D4514" s="179">
        <v>13953.0</v>
      </c>
      <c r="E4514" s="27" t="s">
        <v>155</v>
      </c>
      <c r="F4514" s="27" t="s">
        <v>48</v>
      </c>
      <c r="G4514" s="18" t="s">
        <v>35</v>
      </c>
      <c r="H4514" s="40" t="s">
        <v>35</v>
      </c>
      <c r="I4514" s="37" t="s">
        <v>36</v>
      </c>
      <c r="J4514" s="25" t="s">
        <v>65</v>
      </c>
      <c r="K4514" s="26" t="s">
        <v>38</v>
      </c>
      <c r="L4514" s="72">
        <v>13488.0</v>
      </c>
      <c r="M4514" s="49" t="s">
        <v>50</v>
      </c>
      <c r="N4514" s="42" t="s">
        <v>5618</v>
      </c>
      <c r="O4514" s="67">
        <v>45863.594150081015</v>
      </c>
      <c r="P4514" s="35" t="s">
        <v>15829</v>
      </c>
      <c r="Q4514" s="13" t="s">
        <v>75</v>
      </c>
      <c r="R4514" s="13" t="s">
        <v>75</v>
      </c>
      <c r="S4514" s="13" t="s">
        <v>9620</v>
      </c>
      <c r="T4514" s="44">
        <v>45860.5973174074</v>
      </c>
      <c r="U4514" s="44">
        <v>45861.592792118056</v>
      </c>
      <c r="V4514" s="44">
        <v>45862.48457400463</v>
      </c>
      <c r="W4514" s="11"/>
      <c r="X4514" s="11"/>
      <c r="Y4514" s="207">
        <v>302.0</v>
      </c>
      <c r="Z4514" s="45" t="s">
        <v>17863</v>
      </c>
      <c r="AA4514" s="31"/>
      <c r="AB4514" s="45" t="s">
        <v>17864</v>
      </c>
      <c r="AC4514" s="45"/>
    </row>
    <row r="4515" ht="18.75" customHeight="1">
      <c r="A4515" s="18" t="s">
        <v>17865</v>
      </c>
      <c r="B4515" s="19" t="s">
        <v>17866</v>
      </c>
      <c r="C4515" s="20">
        <v>11.0</v>
      </c>
      <c r="D4515" s="39" t="s">
        <v>17867</v>
      </c>
      <c r="E4515" s="27" t="s">
        <v>112</v>
      </c>
      <c r="F4515" s="27" t="s">
        <v>48</v>
      </c>
      <c r="G4515" s="18" t="s">
        <v>35</v>
      </c>
      <c r="H4515" s="40" t="s">
        <v>35</v>
      </c>
      <c r="I4515" s="37" t="s">
        <v>36</v>
      </c>
      <c r="J4515" s="25" t="s">
        <v>49</v>
      </c>
      <c r="K4515" s="26" t="s">
        <v>38</v>
      </c>
      <c r="L4515" s="72">
        <v>13485.0</v>
      </c>
      <c r="M4515" s="49" t="s">
        <v>50</v>
      </c>
      <c r="N4515" s="42" t="s">
        <v>17048</v>
      </c>
      <c r="O4515" s="67">
        <v>45863.58818851852</v>
      </c>
      <c r="P4515" s="35" t="s">
        <v>17868</v>
      </c>
      <c r="Q4515" s="13" t="s">
        <v>75</v>
      </c>
      <c r="R4515" s="13" t="s">
        <v>75</v>
      </c>
      <c r="S4515" s="13" t="s">
        <v>50</v>
      </c>
      <c r="T4515" s="44">
        <v>45860.656616168984</v>
      </c>
      <c r="U4515" s="44">
        <v>45861.647795937504</v>
      </c>
      <c r="V4515" s="44">
        <v>45863.429068321755</v>
      </c>
      <c r="W4515" s="11"/>
      <c r="X4515" s="11"/>
      <c r="Y4515" s="45">
        <v>302.0</v>
      </c>
      <c r="Z4515" s="45" t="s">
        <v>17869</v>
      </c>
      <c r="AA4515" s="31"/>
      <c r="AB4515" s="45" t="s">
        <v>17870</v>
      </c>
      <c r="AC4515" s="45"/>
    </row>
    <row r="4516" ht="18.75" customHeight="1">
      <c r="A4516" s="18" t="s">
        <v>17871</v>
      </c>
      <c r="B4516" s="19" t="s">
        <v>17866</v>
      </c>
      <c r="C4516" s="20">
        <v>11.0</v>
      </c>
      <c r="D4516" s="39" t="s">
        <v>17872</v>
      </c>
      <c r="E4516" s="27" t="s">
        <v>112</v>
      </c>
      <c r="F4516" s="27" t="s">
        <v>48</v>
      </c>
      <c r="G4516" s="18" t="s">
        <v>35</v>
      </c>
      <c r="H4516" s="40" t="s">
        <v>35</v>
      </c>
      <c r="I4516" s="37" t="s">
        <v>36</v>
      </c>
      <c r="J4516" s="25" t="s">
        <v>49</v>
      </c>
      <c r="K4516" s="26" t="s">
        <v>38</v>
      </c>
      <c r="L4516" s="72">
        <v>13485.0</v>
      </c>
      <c r="M4516" s="49" t="s">
        <v>50</v>
      </c>
      <c r="N4516" s="42" t="s">
        <v>17048</v>
      </c>
      <c r="O4516" s="67">
        <v>45863.58809268518</v>
      </c>
      <c r="P4516" s="35" t="s">
        <v>17868</v>
      </c>
      <c r="Q4516" s="13" t="s">
        <v>75</v>
      </c>
      <c r="R4516" s="13" t="s">
        <v>75</v>
      </c>
      <c r="S4516" s="13" t="s">
        <v>50</v>
      </c>
      <c r="T4516" s="44">
        <v>45860.657717766204</v>
      </c>
      <c r="U4516" s="44">
        <v>45861.64784895834</v>
      </c>
      <c r="V4516" s="44">
        <v>45863.42906833334</v>
      </c>
      <c r="W4516" s="11"/>
      <c r="X4516" s="11"/>
      <c r="Y4516" s="45">
        <v>302.0</v>
      </c>
      <c r="Z4516" s="45" t="s">
        <v>17873</v>
      </c>
      <c r="AA4516" s="31"/>
      <c r="AB4516" s="45" t="s">
        <v>17874</v>
      </c>
      <c r="AC4516" s="45"/>
    </row>
    <row r="4517" ht="18.75" customHeight="1">
      <c r="A4517" s="18" t="s">
        <v>17875</v>
      </c>
      <c r="B4517" s="19" t="s">
        <v>17866</v>
      </c>
      <c r="C4517" s="20">
        <v>11.0</v>
      </c>
      <c r="D4517" s="39" t="s">
        <v>17876</v>
      </c>
      <c r="E4517" s="27" t="s">
        <v>112</v>
      </c>
      <c r="F4517" s="27" t="s">
        <v>48</v>
      </c>
      <c r="G4517" s="18" t="s">
        <v>35</v>
      </c>
      <c r="H4517" s="40" t="s">
        <v>35</v>
      </c>
      <c r="I4517" s="37" t="s">
        <v>36</v>
      </c>
      <c r="J4517" s="25" t="s">
        <v>49</v>
      </c>
      <c r="K4517" s="26" t="s">
        <v>38</v>
      </c>
      <c r="L4517" s="72">
        <v>13485.0</v>
      </c>
      <c r="M4517" s="49" t="s">
        <v>50</v>
      </c>
      <c r="N4517" s="42" t="s">
        <v>17048</v>
      </c>
      <c r="O4517" s="67">
        <v>45863.58800508102</v>
      </c>
      <c r="P4517" s="35" t="s">
        <v>17868</v>
      </c>
      <c r="Q4517" s="13" t="s">
        <v>75</v>
      </c>
      <c r="R4517" s="13" t="s">
        <v>75</v>
      </c>
      <c r="S4517" s="13" t="s">
        <v>50</v>
      </c>
      <c r="T4517" s="44">
        <v>45860.65777974537</v>
      </c>
      <c r="U4517" s="44">
        <v>45861.64789625</v>
      </c>
      <c r="V4517" s="44">
        <v>45863.42917541666</v>
      </c>
      <c r="W4517" s="11"/>
      <c r="X4517" s="11"/>
      <c r="Y4517" s="45">
        <v>302.0</v>
      </c>
      <c r="Z4517" s="45" t="s">
        <v>17877</v>
      </c>
      <c r="AA4517" s="31"/>
      <c r="AB4517" s="45" t="s">
        <v>17878</v>
      </c>
      <c r="AC4517" s="45"/>
    </row>
    <row r="4518" ht="18.75" customHeight="1">
      <c r="A4518" s="18" t="s">
        <v>17879</v>
      </c>
      <c r="B4518" s="19" t="s">
        <v>17866</v>
      </c>
      <c r="C4518" s="20">
        <v>11.0</v>
      </c>
      <c r="D4518" s="39" t="s">
        <v>17880</v>
      </c>
      <c r="E4518" s="27" t="s">
        <v>112</v>
      </c>
      <c r="F4518" s="27" t="s">
        <v>48</v>
      </c>
      <c r="G4518" s="18" t="s">
        <v>35</v>
      </c>
      <c r="H4518" s="40" t="s">
        <v>35</v>
      </c>
      <c r="I4518" s="37" t="s">
        <v>36</v>
      </c>
      <c r="J4518" s="25" t="s">
        <v>49</v>
      </c>
      <c r="K4518" s="26" t="s">
        <v>38</v>
      </c>
      <c r="L4518" s="72">
        <v>13485.0</v>
      </c>
      <c r="M4518" s="49" t="s">
        <v>50</v>
      </c>
      <c r="N4518" s="42" t="s">
        <v>17048</v>
      </c>
      <c r="O4518" s="67">
        <v>45863.5880522338</v>
      </c>
      <c r="P4518" s="35" t="s">
        <v>17868</v>
      </c>
      <c r="Q4518" s="13" t="s">
        <v>75</v>
      </c>
      <c r="R4518" s="13" t="s">
        <v>75</v>
      </c>
      <c r="S4518" s="13" t="s">
        <v>50</v>
      </c>
      <c r="T4518" s="44">
        <v>45860.65783030093</v>
      </c>
      <c r="U4518" s="44">
        <v>45861.64787173611</v>
      </c>
      <c r="V4518" s="44">
        <v>45863.42906833334</v>
      </c>
      <c r="W4518" s="11"/>
      <c r="X4518" s="11"/>
      <c r="Y4518" s="45">
        <v>302.0</v>
      </c>
      <c r="Z4518" s="45" t="s">
        <v>17881</v>
      </c>
      <c r="AA4518" s="31"/>
      <c r="AB4518" s="45" t="s">
        <v>17882</v>
      </c>
      <c r="AC4518" s="45"/>
    </row>
    <row r="4519" ht="18.75" customHeight="1">
      <c r="A4519" s="18" t="s">
        <v>17883</v>
      </c>
      <c r="B4519" s="19" t="s">
        <v>17866</v>
      </c>
      <c r="C4519" s="20">
        <v>11.0</v>
      </c>
      <c r="D4519" s="39" t="s">
        <v>17884</v>
      </c>
      <c r="E4519" s="27" t="s">
        <v>112</v>
      </c>
      <c r="F4519" s="27" t="s">
        <v>48</v>
      </c>
      <c r="G4519" s="18" t="s">
        <v>35</v>
      </c>
      <c r="H4519" s="40" t="s">
        <v>35</v>
      </c>
      <c r="I4519" s="37" t="s">
        <v>36</v>
      </c>
      <c r="J4519" s="25" t="s">
        <v>49</v>
      </c>
      <c r="K4519" s="26" t="s">
        <v>38</v>
      </c>
      <c r="L4519" s="72">
        <v>13485.0</v>
      </c>
      <c r="M4519" s="49" t="s">
        <v>50</v>
      </c>
      <c r="N4519" s="42" t="s">
        <v>17048</v>
      </c>
      <c r="O4519" s="67">
        <v>45863.58814504629</v>
      </c>
      <c r="P4519" s="35" t="s">
        <v>17868</v>
      </c>
      <c r="Q4519" s="13" t="s">
        <v>75</v>
      </c>
      <c r="R4519" s="13" t="s">
        <v>75</v>
      </c>
      <c r="S4519" s="13" t="s">
        <v>50</v>
      </c>
      <c r="T4519" s="44">
        <v>45860.65788883102</v>
      </c>
      <c r="U4519" s="44">
        <v>45861.64782385417</v>
      </c>
      <c r="V4519" s="44">
        <v>45863.429068321755</v>
      </c>
      <c r="W4519" s="11"/>
      <c r="X4519" s="11"/>
      <c r="Y4519" s="45">
        <v>302.0</v>
      </c>
      <c r="Z4519" s="45" t="s">
        <v>17885</v>
      </c>
      <c r="AA4519" s="31"/>
      <c r="AB4519" s="45" t="s">
        <v>17886</v>
      </c>
      <c r="AC4519" s="45"/>
    </row>
    <row r="4520" ht="18.75" customHeight="1">
      <c r="A4520" s="142" t="s">
        <v>17887</v>
      </c>
      <c r="B4520" s="19" t="s">
        <v>11507</v>
      </c>
      <c r="C4520" s="20">
        <v>137.0</v>
      </c>
      <c r="D4520" s="39" t="s">
        <v>17888</v>
      </c>
      <c r="E4520" s="27" t="s">
        <v>85</v>
      </c>
      <c r="F4520" s="27" t="s">
        <v>48</v>
      </c>
      <c r="G4520" s="18" t="s">
        <v>35</v>
      </c>
      <c r="H4520" s="40" t="s">
        <v>35</v>
      </c>
      <c r="I4520" s="37" t="s">
        <v>36</v>
      </c>
      <c r="J4520" s="25" t="s">
        <v>49</v>
      </c>
      <c r="K4520" s="26" t="s">
        <v>38</v>
      </c>
      <c r="L4520" s="72">
        <v>13468.0</v>
      </c>
      <c r="M4520" s="49" t="s">
        <v>50</v>
      </c>
      <c r="N4520" s="42" t="s">
        <v>5936</v>
      </c>
      <c r="O4520" s="67">
        <v>45861.68391460648</v>
      </c>
      <c r="P4520" s="35" t="s">
        <v>15666</v>
      </c>
      <c r="Q4520" s="13" t="s">
        <v>75</v>
      </c>
      <c r="R4520" s="13" t="s">
        <v>75</v>
      </c>
      <c r="S4520" s="13" t="s">
        <v>50</v>
      </c>
      <c r="T4520" s="44">
        <v>45860.663016481485</v>
      </c>
      <c r="U4520" s="44">
        <v>45861.43191564815</v>
      </c>
      <c r="V4520" s="44">
        <v>45861.46255416667</v>
      </c>
      <c r="W4520" s="11"/>
      <c r="X4520" s="11"/>
      <c r="Y4520" s="45">
        <v>302.0</v>
      </c>
      <c r="Z4520" s="45" t="s">
        <v>17889</v>
      </c>
      <c r="AA4520" s="31"/>
      <c r="AB4520" s="45" t="s">
        <v>17890</v>
      </c>
      <c r="AC4520" s="45"/>
    </row>
    <row r="4521" ht="18.75" customHeight="1">
      <c r="A4521" s="142" t="s">
        <v>17891</v>
      </c>
      <c r="B4521" s="19" t="s">
        <v>5650</v>
      </c>
      <c r="C4521" s="20">
        <v>0.0</v>
      </c>
      <c r="D4521" s="179">
        <v>20166.0</v>
      </c>
      <c r="E4521" s="27" t="s">
        <v>17892</v>
      </c>
      <c r="F4521" s="27" t="s">
        <v>48</v>
      </c>
      <c r="G4521" s="18" t="s">
        <v>35</v>
      </c>
      <c r="H4521" s="40" t="s">
        <v>35</v>
      </c>
      <c r="I4521" s="37" t="s">
        <v>36</v>
      </c>
      <c r="J4521" s="25" t="s">
        <v>49</v>
      </c>
      <c r="K4521" s="26" t="s">
        <v>38</v>
      </c>
      <c r="L4521" s="72">
        <v>13490.0</v>
      </c>
      <c r="M4521" s="49" t="s">
        <v>50</v>
      </c>
      <c r="N4521" s="42" t="s">
        <v>17048</v>
      </c>
      <c r="O4521" s="67">
        <v>45866.60971400463</v>
      </c>
      <c r="P4521" s="35" t="s">
        <v>15666</v>
      </c>
      <c r="Q4521" s="13" t="s">
        <v>75</v>
      </c>
      <c r="R4521" s="13" t="s">
        <v>75</v>
      </c>
      <c r="S4521" s="13" t="s">
        <v>9620</v>
      </c>
      <c r="T4521" s="44">
        <v>45860.66397902778</v>
      </c>
      <c r="U4521" s="44">
        <v>45861.69243206018</v>
      </c>
      <c r="V4521" s="44">
        <v>45863.43246960649</v>
      </c>
      <c r="W4521" s="11"/>
      <c r="X4521" s="11"/>
      <c r="Y4521" s="45">
        <v>302.0</v>
      </c>
      <c r="Z4521" s="45" t="s">
        <v>17893</v>
      </c>
      <c r="AA4521" s="31"/>
      <c r="AB4521" s="45" t="s">
        <v>17894</v>
      </c>
      <c r="AC4521" s="45"/>
    </row>
    <row r="4522" ht="18.75" customHeight="1">
      <c r="A4522" s="142" t="s">
        <v>17895</v>
      </c>
      <c r="B4522" s="19" t="s">
        <v>17896</v>
      </c>
      <c r="C4522" s="20">
        <v>11.0</v>
      </c>
      <c r="D4522" s="39" t="s">
        <v>17897</v>
      </c>
      <c r="E4522" s="27" t="s">
        <v>112</v>
      </c>
      <c r="F4522" s="27" t="s">
        <v>48</v>
      </c>
      <c r="G4522" s="18" t="s">
        <v>35</v>
      </c>
      <c r="H4522" s="40" t="s">
        <v>35</v>
      </c>
      <c r="I4522" s="37" t="s">
        <v>36</v>
      </c>
      <c r="J4522" s="25" t="s">
        <v>65</v>
      </c>
      <c r="K4522" s="26" t="s">
        <v>38</v>
      </c>
      <c r="L4522" s="72">
        <v>13469.0</v>
      </c>
      <c r="M4522" s="49" t="s">
        <v>50</v>
      </c>
      <c r="N4522" s="42" t="s">
        <v>5883</v>
      </c>
      <c r="O4522" s="67">
        <v>45861.646630567135</v>
      </c>
      <c r="P4522" s="35" t="s">
        <v>15829</v>
      </c>
      <c r="Q4522" s="13" t="s">
        <v>75</v>
      </c>
      <c r="R4522" s="13" t="s">
        <v>75</v>
      </c>
      <c r="S4522" s="13" t="s">
        <v>50</v>
      </c>
      <c r="T4522" s="44">
        <v>45861.396519745365</v>
      </c>
      <c r="U4522" s="44">
        <v>45861.44347092592</v>
      </c>
      <c r="V4522" s="44">
        <v>45861.46174408565</v>
      </c>
      <c r="W4522" s="11"/>
      <c r="X4522" s="11"/>
      <c r="Y4522" s="45">
        <v>302.0</v>
      </c>
      <c r="Z4522" s="45" t="s">
        <v>17898</v>
      </c>
      <c r="AA4522" s="31"/>
      <c r="AB4522" s="45" t="s">
        <v>17899</v>
      </c>
      <c r="AC4522" s="45"/>
    </row>
    <row r="4523" ht="18.75" customHeight="1">
      <c r="A4523" s="142" t="s">
        <v>17900</v>
      </c>
      <c r="B4523" s="19" t="s">
        <v>17901</v>
      </c>
      <c r="C4523" s="20">
        <v>0.0</v>
      </c>
      <c r="D4523" s="39" t="s">
        <v>17902</v>
      </c>
      <c r="E4523" s="27" t="s">
        <v>4430</v>
      </c>
      <c r="F4523" s="27" t="s">
        <v>48</v>
      </c>
      <c r="G4523" s="18" t="s">
        <v>35</v>
      </c>
      <c r="H4523" s="40" t="s">
        <v>35</v>
      </c>
      <c r="I4523" s="37" t="s">
        <v>36</v>
      </c>
      <c r="J4523" s="25" t="s">
        <v>49</v>
      </c>
      <c r="K4523" s="26" t="s">
        <v>38</v>
      </c>
      <c r="L4523" s="72">
        <v>13484.0</v>
      </c>
      <c r="M4523" s="49" t="s">
        <v>50</v>
      </c>
      <c r="N4523" s="42" t="s">
        <v>17048</v>
      </c>
      <c r="O4523" s="67">
        <v>45863.58795864583</v>
      </c>
      <c r="P4523" s="35" t="s">
        <v>17903</v>
      </c>
      <c r="Q4523" s="13" t="s">
        <v>75</v>
      </c>
      <c r="R4523" s="13" t="s">
        <v>75</v>
      </c>
      <c r="S4523" s="13" t="s">
        <v>50</v>
      </c>
      <c r="T4523" s="44">
        <v>45862.595365636575</v>
      </c>
      <c r="U4523" s="44">
        <v>45862.59537915509</v>
      </c>
      <c r="V4523" s="44">
        <v>45863.360649131944</v>
      </c>
      <c r="W4523" s="11"/>
      <c r="X4523" s="11"/>
      <c r="Y4523" s="45">
        <v>302.0</v>
      </c>
      <c r="Z4523" s="45" t="s">
        <v>17904</v>
      </c>
      <c r="AA4523" s="31"/>
      <c r="AB4523" s="45" t="s">
        <v>17905</v>
      </c>
      <c r="AC4523" s="45"/>
    </row>
    <row r="4524" ht="18.75" customHeight="1">
      <c r="A4524" s="142" t="s">
        <v>17906</v>
      </c>
      <c r="B4524" s="19" t="s">
        <v>16822</v>
      </c>
      <c r="C4524" s="20">
        <v>0.0</v>
      </c>
      <c r="D4524" s="179">
        <v>13997.0</v>
      </c>
      <c r="E4524" s="27" t="s">
        <v>731</v>
      </c>
      <c r="F4524" s="27" t="s">
        <v>33</v>
      </c>
      <c r="G4524" s="18" t="s">
        <v>34</v>
      </c>
      <c r="H4524" s="40" t="s">
        <v>35</v>
      </c>
      <c r="I4524" s="37" t="s">
        <v>36</v>
      </c>
      <c r="J4524" s="25" t="s">
        <v>49</v>
      </c>
      <c r="K4524" s="26" t="s">
        <v>38</v>
      </c>
      <c r="L4524" s="72">
        <v>13482.0</v>
      </c>
      <c r="M4524" s="49" t="s">
        <v>50</v>
      </c>
      <c r="N4524" s="42" t="s">
        <v>5936</v>
      </c>
      <c r="O4524" s="67">
        <v>45862.60832591435</v>
      </c>
      <c r="P4524" s="35" t="s">
        <v>17907</v>
      </c>
      <c r="Q4524" s="13" t="s">
        <v>75</v>
      </c>
      <c r="R4524" s="13" t="s">
        <v>75</v>
      </c>
      <c r="S4524" s="13" t="s">
        <v>50</v>
      </c>
      <c r="T4524" s="44">
        <v>45861.42413863426</v>
      </c>
      <c r="U4524" s="44">
        <v>45861.46112383102</v>
      </c>
      <c r="V4524" s="44">
        <v>45862.366953599536</v>
      </c>
      <c r="W4524" s="11"/>
      <c r="X4524" s="11"/>
      <c r="Y4524" s="45">
        <v>302.0</v>
      </c>
      <c r="Z4524" s="45" t="s">
        <v>17908</v>
      </c>
      <c r="AA4524" s="31"/>
      <c r="AB4524" s="45" t="s">
        <v>17909</v>
      </c>
      <c r="AC4524" s="45"/>
    </row>
    <row r="4525" ht="18.75" customHeight="1">
      <c r="A4525" s="142" t="s">
        <v>17910</v>
      </c>
      <c r="B4525" s="19" t="s">
        <v>10785</v>
      </c>
      <c r="C4525" s="20">
        <v>90.0</v>
      </c>
      <c r="D4525" s="39" t="s">
        <v>17911</v>
      </c>
      <c r="E4525" s="27" t="s">
        <v>91</v>
      </c>
      <c r="F4525" s="27" t="s">
        <v>48</v>
      </c>
      <c r="G4525" s="18" t="s">
        <v>35</v>
      </c>
      <c r="H4525" s="40" t="s">
        <v>35</v>
      </c>
      <c r="I4525" s="37" t="s">
        <v>36</v>
      </c>
      <c r="J4525" s="25" t="s">
        <v>92</v>
      </c>
      <c r="K4525" s="26" t="s">
        <v>38</v>
      </c>
      <c r="L4525" s="72">
        <v>13477.0</v>
      </c>
      <c r="M4525" s="49" t="s">
        <v>50</v>
      </c>
      <c r="N4525" s="42" t="s">
        <v>10787</v>
      </c>
      <c r="O4525" s="67">
        <v>45880.68856717592</v>
      </c>
      <c r="P4525" s="35" t="s">
        <v>17912</v>
      </c>
      <c r="Q4525" s="13" t="s">
        <v>75</v>
      </c>
      <c r="R4525" s="13" t="s">
        <v>75</v>
      </c>
      <c r="S4525" s="13" t="s">
        <v>50</v>
      </c>
      <c r="T4525" s="44">
        <v>45861.690106608796</v>
      </c>
      <c r="U4525" s="44">
        <v>45861.69154721065</v>
      </c>
      <c r="V4525" s="44">
        <v>45862.371815046296</v>
      </c>
      <c r="W4525" s="11"/>
      <c r="X4525" s="11"/>
      <c r="Y4525" s="45">
        <v>302.0</v>
      </c>
      <c r="Z4525" s="45" t="s">
        <v>17913</v>
      </c>
      <c r="AA4525" s="31"/>
      <c r="AB4525" s="45" t="s">
        <v>17914</v>
      </c>
      <c r="AC4525" s="45"/>
    </row>
    <row r="4526" ht="18.75" customHeight="1">
      <c r="A4526" s="142" t="s">
        <v>17915</v>
      </c>
      <c r="B4526" s="19" t="s">
        <v>17916</v>
      </c>
      <c r="C4526" s="20">
        <v>0.0</v>
      </c>
      <c r="D4526" s="39" t="s">
        <v>17917</v>
      </c>
      <c r="E4526" s="27" t="s">
        <v>3441</v>
      </c>
      <c r="F4526" s="27" t="s">
        <v>48</v>
      </c>
      <c r="G4526" s="18" t="s">
        <v>35</v>
      </c>
      <c r="H4526" s="40" t="s">
        <v>35</v>
      </c>
      <c r="I4526" s="37" t="s">
        <v>36</v>
      </c>
      <c r="J4526" s="25" t="s">
        <v>49</v>
      </c>
      <c r="K4526" s="26" t="s">
        <v>38</v>
      </c>
      <c r="L4526" s="72">
        <v>13480.0</v>
      </c>
      <c r="M4526" s="49" t="s">
        <v>50</v>
      </c>
      <c r="N4526" s="42" t="s">
        <v>5936</v>
      </c>
      <c r="O4526" s="67">
        <v>45862.60861848379</v>
      </c>
      <c r="P4526" s="35" t="s">
        <v>15666</v>
      </c>
      <c r="Q4526" s="13" t="s">
        <v>75</v>
      </c>
      <c r="R4526" s="13" t="s">
        <v>75</v>
      </c>
      <c r="S4526" s="13" t="s">
        <v>50</v>
      </c>
      <c r="T4526" s="44">
        <v>45862.480884375</v>
      </c>
      <c r="U4526" s="44">
        <v>45862.49011570602</v>
      </c>
      <c r="V4526" s="44">
        <v>45862.49911424769</v>
      </c>
      <c r="W4526" s="11"/>
      <c r="X4526" s="11"/>
      <c r="Y4526" s="45">
        <v>302.0</v>
      </c>
      <c r="Z4526" s="45" t="s">
        <v>17918</v>
      </c>
      <c r="AA4526" s="31"/>
      <c r="AB4526" s="45" t="s">
        <v>17919</v>
      </c>
      <c r="AC4526" s="45"/>
    </row>
    <row r="4527" ht="18.75" customHeight="1">
      <c r="A4527" s="142" t="s">
        <v>17920</v>
      </c>
      <c r="B4527" s="19" t="s">
        <v>96</v>
      </c>
      <c r="C4527" s="20">
        <v>0.0</v>
      </c>
      <c r="D4527" s="179">
        <v>20180.0</v>
      </c>
      <c r="E4527" s="27" t="s">
        <v>491</v>
      </c>
      <c r="F4527" s="27" t="s">
        <v>33</v>
      </c>
      <c r="G4527" s="18" t="s">
        <v>34</v>
      </c>
      <c r="H4527" s="40" t="s">
        <v>35</v>
      </c>
      <c r="I4527" s="37" t="s">
        <v>36</v>
      </c>
      <c r="J4527" s="25" t="s">
        <v>49</v>
      </c>
      <c r="K4527" s="26" t="s">
        <v>38</v>
      </c>
      <c r="L4527" s="72">
        <v>13500.0</v>
      </c>
      <c r="M4527" s="49" t="s">
        <v>73</v>
      </c>
      <c r="N4527" s="42" t="s">
        <v>5936</v>
      </c>
      <c r="O4527" s="67">
        <v>45867.62042959491</v>
      </c>
      <c r="P4527" s="35" t="s">
        <v>17921</v>
      </c>
      <c r="Q4527" s="13" t="s">
        <v>75</v>
      </c>
      <c r="R4527" s="13" t="s">
        <v>75</v>
      </c>
      <c r="S4527" s="13" t="s">
        <v>9620</v>
      </c>
      <c r="T4527" s="44">
        <v>45862.716263483795</v>
      </c>
      <c r="U4527" s="44">
        <v>45862.719184918984</v>
      </c>
      <c r="V4527" s="44">
        <v>45866.692435219906</v>
      </c>
      <c r="W4527" s="11"/>
      <c r="X4527" s="11"/>
      <c r="Y4527" s="207">
        <v>302.0</v>
      </c>
      <c r="Z4527" s="45" t="s">
        <v>17922</v>
      </c>
      <c r="AA4527" s="31"/>
      <c r="AB4527" s="45" t="s">
        <v>17923</v>
      </c>
      <c r="AC4527" s="45"/>
    </row>
    <row r="4528" ht="18.75" customHeight="1">
      <c r="A4528" s="142" t="s">
        <v>17924</v>
      </c>
      <c r="B4528" s="19" t="s">
        <v>17925</v>
      </c>
      <c r="C4528" s="20">
        <v>90.0</v>
      </c>
      <c r="D4528" s="39" t="s">
        <v>17926</v>
      </c>
      <c r="E4528" s="27" t="s">
        <v>91</v>
      </c>
      <c r="F4528" s="27" t="s">
        <v>48</v>
      </c>
      <c r="G4528" s="18" t="s">
        <v>35</v>
      </c>
      <c r="H4528" s="40" t="s">
        <v>35</v>
      </c>
      <c r="I4528" s="37" t="s">
        <v>36</v>
      </c>
      <c r="J4528" s="25" t="s">
        <v>92</v>
      </c>
      <c r="K4528" s="26" t="s">
        <v>38</v>
      </c>
      <c r="L4528" s="72">
        <v>13525.0</v>
      </c>
      <c r="M4528" s="49" t="s">
        <v>73</v>
      </c>
      <c r="N4528" s="42" t="s">
        <v>17927</v>
      </c>
      <c r="O4528" s="67">
        <v>45874.46696310185</v>
      </c>
      <c r="P4528" s="35" t="s">
        <v>17928</v>
      </c>
      <c r="Q4528" s="13" t="s">
        <v>75</v>
      </c>
      <c r="R4528" s="13" t="s">
        <v>75</v>
      </c>
      <c r="S4528" s="13" t="s">
        <v>73</v>
      </c>
      <c r="T4528" s="44">
        <v>45862.68469231481</v>
      </c>
      <c r="U4528" s="44">
        <v>45867.56013079861</v>
      </c>
      <c r="V4528" s="44">
        <v>45868.453379722225</v>
      </c>
      <c r="W4528" s="11"/>
      <c r="X4528" s="11"/>
      <c r="Y4528" s="45">
        <v>302.0</v>
      </c>
      <c r="Z4528" s="45" t="s">
        <v>17929</v>
      </c>
      <c r="AA4528" s="31"/>
      <c r="AB4528" s="45" t="s">
        <v>17930</v>
      </c>
      <c r="AC4528" s="45"/>
    </row>
    <row r="4529" ht="18.75" customHeight="1">
      <c r="A4529" s="142" t="s">
        <v>17931</v>
      </c>
      <c r="B4529" s="19" t="s">
        <v>1811</v>
      </c>
      <c r="C4529" s="20">
        <v>34.0</v>
      </c>
      <c r="D4529" s="39" t="s">
        <v>17932</v>
      </c>
      <c r="E4529" s="27" t="s">
        <v>47</v>
      </c>
      <c r="F4529" s="27" t="s">
        <v>48</v>
      </c>
      <c r="G4529" s="18" t="s">
        <v>35</v>
      </c>
      <c r="H4529" s="40" t="s">
        <v>35</v>
      </c>
      <c r="I4529" s="37" t="s">
        <v>36</v>
      </c>
      <c r="J4529" s="25" t="s">
        <v>49</v>
      </c>
      <c r="K4529" s="26" t="s">
        <v>1506</v>
      </c>
      <c r="L4529" s="72">
        <v>13491.0</v>
      </c>
      <c r="M4529" s="49" t="s">
        <v>50</v>
      </c>
      <c r="N4529" s="42" t="s">
        <v>17048</v>
      </c>
      <c r="O4529" s="67">
        <v>45866.60965423611</v>
      </c>
      <c r="P4529" s="35" t="s">
        <v>17100</v>
      </c>
      <c r="Q4529" s="13" t="s">
        <v>75</v>
      </c>
      <c r="R4529" s="13" t="s">
        <v>75</v>
      </c>
      <c r="S4529" s="13" t="s">
        <v>50</v>
      </c>
      <c r="T4529" s="44">
        <v>45862.68550763889</v>
      </c>
      <c r="U4529" s="44">
        <v>45863.601103402776</v>
      </c>
      <c r="V4529" s="44">
        <v>45866.35349927083</v>
      </c>
      <c r="W4529" s="11"/>
      <c r="X4529" s="11"/>
      <c r="Y4529" s="45">
        <v>302.0</v>
      </c>
      <c r="Z4529" s="45" t="s">
        <v>17933</v>
      </c>
      <c r="AA4529" s="31"/>
      <c r="AB4529" s="45" t="s">
        <v>17934</v>
      </c>
      <c r="AC4529" s="45"/>
    </row>
    <row r="4530" ht="18.75" customHeight="1">
      <c r="A4530" s="18" t="s">
        <v>17935</v>
      </c>
      <c r="B4530" s="19" t="s">
        <v>4126</v>
      </c>
      <c r="C4530" s="20">
        <v>1.0</v>
      </c>
      <c r="D4530" s="39" t="s">
        <v>17936</v>
      </c>
      <c r="E4530" s="27" t="s">
        <v>3395</v>
      </c>
      <c r="F4530" s="27" t="s">
        <v>48</v>
      </c>
      <c r="G4530" s="18" t="s">
        <v>35</v>
      </c>
      <c r="H4530" s="40" t="s">
        <v>35</v>
      </c>
      <c r="I4530" s="37" t="s">
        <v>36</v>
      </c>
      <c r="J4530" s="25" t="s">
        <v>65</v>
      </c>
      <c r="K4530" s="26" t="s">
        <v>38</v>
      </c>
      <c r="L4530" s="72">
        <v>13506.0</v>
      </c>
      <c r="M4530" s="49" t="s">
        <v>73</v>
      </c>
      <c r="N4530" s="42" t="s">
        <v>16408</v>
      </c>
      <c r="O4530" s="67">
        <v>45867.650087800925</v>
      </c>
      <c r="P4530" s="35" t="s">
        <v>17937</v>
      </c>
      <c r="Q4530" s="13" t="s">
        <v>75</v>
      </c>
      <c r="R4530" s="13" t="s">
        <v>75</v>
      </c>
      <c r="S4530" s="13" t="s">
        <v>73</v>
      </c>
      <c r="T4530" s="44">
        <v>45862.68745304398</v>
      </c>
      <c r="U4530" s="44">
        <v>45866.57468849537</v>
      </c>
      <c r="V4530" s="44">
        <v>45867.47215508102</v>
      </c>
      <c r="W4530" s="11"/>
      <c r="X4530" s="11"/>
      <c r="Y4530" s="45">
        <v>302.0</v>
      </c>
      <c r="Z4530" s="45" t="s">
        <v>17938</v>
      </c>
      <c r="AA4530" s="31"/>
      <c r="AB4530" s="45" t="s">
        <v>17939</v>
      </c>
      <c r="AC4530" s="45"/>
    </row>
    <row r="4531" ht="18.75" customHeight="1">
      <c r="A4531" s="18" t="s">
        <v>17940</v>
      </c>
      <c r="B4531" s="19" t="s">
        <v>4126</v>
      </c>
      <c r="C4531" s="20">
        <v>1.0</v>
      </c>
      <c r="D4531" s="39" t="s">
        <v>17941</v>
      </c>
      <c r="E4531" s="27" t="s">
        <v>3395</v>
      </c>
      <c r="F4531" s="27" t="s">
        <v>48</v>
      </c>
      <c r="G4531" s="18" t="s">
        <v>35</v>
      </c>
      <c r="H4531" s="40" t="s">
        <v>35</v>
      </c>
      <c r="I4531" s="37" t="s">
        <v>36</v>
      </c>
      <c r="J4531" s="25" t="s">
        <v>65</v>
      </c>
      <c r="K4531" s="26" t="s">
        <v>38</v>
      </c>
      <c r="L4531" s="72">
        <v>13506.0</v>
      </c>
      <c r="M4531" s="49" t="s">
        <v>73</v>
      </c>
      <c r="N4531" s="42" t="s">
        <v>16408</v>
      </c>
      <c r="O4531" s="67">
        <v>45867.65004325232</v>
      </c>
      <c r="P4531" s="35" t="s">
        <v>17937</v>
      </c>
      <c r="Q4531" s="13" t="s">
        <v>75</v>
      </c>
      <c r="R4531" s="13" t="s">
        <v>75</v>
      </c>
      <c r="S4531" s="13" t="s">
        <v>73</v>
      </c>
      <c r="T4531" s="44">
        <v>45862.68752532407</v>
      </c>
      <c r="U4531" s="44">
        <v>45866.57471490741</v>
      </c>
      <c r="V4531" s="44">
        <v>45867.47223269676</v>
      </c>
      <c r="W4531" s="11"/>
      <c r="X4531" s="11"/>
      <c r="Y4531" s="45">
        <v>302.0</v>
      </c>
      <c r="Z4531" s="45" t="s">
        <v>17942</v>
      </c>
      <c r="AA4531" s="31"/>
      <c r="AB4531" s="45" t="s">
        <v>17943</v>
      </c>
      <c r="AC4531" s="45"/>
    </row>
    <row r="4532" ht="18.75" customHeight="1">
      <c r="A4532" s="142" t="s">
        <v>17944</v>
      </c>
      <c r="B4532" s="19" t="s">
        <v>10831</v>
      </c>
      <c r="C4532" s="20">
        <v>11.0</v>
      </c>
      <c r="D4532" s="39" t="s">
        <v>17945</v>
      </c>
      <c r="E4532" s="27" t="s">
        <v>112</v>
      </c>
      <c r="F4532" s="27" t="s">
        <v>48</v>
      </c>
      <c r="G4532" s="18" t="s">
        <v>35</v>
      </c>
      <c r="H4532" s="40" t="s">
        <v>35</v>
      </c>
      <c r="I4532" s="37" t="s">
        <v>36</v>
      </c>
      <c r="J4532" s="25" t="s">
        <v>92</v>
      </c>
      <c r="K4532" s="26" t="s">
        <v>38</v>
      </c>
      <c r="L4532" s="72">
        <v>13486.0</v>
      </c>
      <c r="M4532" s="49" t="s">
        <v>50</v>
      </c>
      <c r="N4532" s="42" t="s">
        <v>7145</v>
      </c>
      <c r="O4532" s="67">
        <v>45866.481969768516</v>
      </c>
      <c r="P4532" s="35" t="s">
        <v>17946</v>
      </c>
      <c r="Q4532" s="13" t="s">
        <v>75</v>
      </c>
      <c r="R4532" s="13" t="s">
        <v>75</v>
      </c>
      <c r="S4532" s="13" t="s">
        <v>50</v>
      </c>
      <c r="T4532" s="44">
        <v>45862.688885868054</v>
      </c>
      <c r="U4532" s="44">
        <v>45863.38878353009</v>
      </c>
      <c r="V4532" s="44">
        <v>45863.432125</v>
      </c>
      <c r="W4532" s="11"/>
      <c r="X4532" s="11"/>
      <c r="Y4532" s="45">
        <v>302.0</v>
      </c>
      <c r="Z4532" s="45" t="s">
        <v>17947</v>
      </c>
      <c r="AA4532" s="31"/>
      <c r="AB4532" s="45" t="s">
        <v>17948</v>
      </c>
      <c r="AC4532" s="45"/>
    </row>
    <row r="4533" ht="18.75" customHeight="1">
      <c r="A4533" s="142" t="s">
        <v>17949</v>
      </c>
      <c r="B4533" s="19" t="s">
        <v>10396</v>
      </c>
      <c r="C4533" s="20">
        <v>90.0</v>
      </c>
      <c r="D4533" s="179" t="s">
        <v>17950</v>
      </c>
      <c r="E4533" s="22" t="s">
        <v>91</v>
      </c>
      <c r="F4533" s="27" t="s">
        <v>48</v>
      </c>
      <c r="G4533" s="18" t="s">
        <v>35</v>
      </c>
      <c r="H4533" s="40" t="s">
        <v>35</v>
      </c>
      <c r="I4533" s="37" t="s">
        <v>36</v>
      </c>
      <c r="J4533" s="34" t="s">
        <v>518</v>
      </c>
      <c r="K4533" s="26" t="s">
        <v>38</v>
      </c>
      <c r="L4533" s="72">
        <v>13503.0</v>
      </c>
      <c r="M4533" s="49" t="s">
        <v>50</v>
      </c>
      <c r="N4533" s="42" t="s">
        <v>16408</v>
      </c>
      <c r="O4533" s="67">
        <v>45875.61944444444</v>
      </c>
      <c r="P4533" s="35" t="s">
        <v>17951</v>
      </c>
      <c r="Q4533" s="13" t="s">
        <v>75</v>
      </c>
      <c r="R4533" s="13" t="s">
        <v>75</v>
      </c>
      <c r="S4533" s="13" t="s">
        <v>73</v>
      </c>
      <c r="T4533" s="44">
        <v>45862.73474459491</v>
      </c>
      <c r="U4533" s="44">
        <v>45867.40833759259</v>
      </c>
      <c r="V4533" s="44">
        <v>45867.464900949075</v>
      </c>
      <c r="W4533" s="11"/>
      <c r="X4533" s="11"/>
      <c r="Y4533" s="45">
        <v>302.0</v>
      </c>
      <c r="Z4533" s="45" t="s">
        <v>17952</v>
      </c>
      <c r="AA4533" s="31"/>
      <c r="AB4533" s="45" t="s">
        <v>17953</v>
      </c>
      <c r="AC4533" s="45"/>
    </row>
    <row r="4534" ht="18.75" customHeight="1">
      <c r="A4534" s="142" t="s">
        <v>17954</v>
      </c>
      <c r="B4534" s="19" t="s">
        <v>17955</v>
      </c>
      <c r="C4534" s="20">
        <v>1.0</v>
      </c>
      <c r="D4534" s="39" t="s">
        <v>17956</v>
      </c>
      <c r="E4534" s="27" t="s">
        <v>3395</v>
      </c>
      <c r="F4534" s="27" t="s">
        <v>48</v>
      </c>
      <c r="G4534" s="18" t="s">
        <v>35</v>
      </c>
      <c r="H4534" s="40" t="s">
        <v>35</v>
      </c>
      <c r="I4534" s="37" t="s">
        <v>36</v>
      </c>
      <c r="J4534" s="25" t="s">
        <v>49</v>
      </c>
      <c r="K4534" s="26" t="s">
        <v>38</v>
      </c>
      <c r="L4534" s="72">
        <v>13487.0</v>
      </c>
      <c r="M4534" s="49" t="s">
        <v>50</v>
      </c>
      <c r="N4534" s="42" t="s">
        <v>17048</v>
      </c>
      <c r="O4534" s="67">
        <v>45863.58785430556</v>
      </c>
      <c r="P4534" s="35" t="s">
        <v>17957</v>
      </c>
      <c r="Q4534" s="13" t="s">
        <v>75</v>
      </c>
      <c r="R4534" s="13" t="s">
        <v>75</v>
      </c>
      <c r="S4534" s="13" t="s">
        <v>50</v>
      </c>
      <c r="T4534" s="44">
        <v>45863.38494857639</v>
      </c>
      <c r="U4534" s="44">
        <v>45863.41558909722</v>
      </c>
      <c r="V4534" s="44">
        <v>45863.4329353125</v>
      </c>
      <c r="W4534" s="11"/>
      <c r="X4534" s="11"/>
      <c r="Y4534" s="45">
        <v>302.0</v>
      </c>
      <c r="Z4534" s="45" t="s">
        <v>17958</v>
      </c>
      <c r="AA4534" s="31"/>
      <c r="AB4534" s="45" t="s">
        <v>17959</v>
      </c>
      <c r="AC4534" s="45"/>
    </row>
    <row r="4535" ht="18.75" customHeight="1">
      <c r="A4535" s="142" t="s">
        <v>17960</v>
      </c>
      <c r="B4535" s="19" t="s">
        <v>5277</v>
      </c>
      <c r="C4535" s="20">
        <v>1.0</v>
      </c>
      <c r="D4535" s="179">
        <v>13975.0</v>
      </c>
      <c r="E4535" s="27" t="s">
        <v>155</v>
      </c>
      <c r="F4535" s="27" t="s">
        <v>48</v>
      </c>
      <c r="G4535" s="18" t="s">
        <v>35</v>
      </c>
      <c r="H4535" s="40" t="s">
        <v>35</v>
      </c>
      <c r="I4535" s="37" t="s">
        <v>36</v>
      </c>
      <c r="J4535" s="25" t="s">
        <v>65</v>
      </c>
      <c r="K4535" s="26" t="s">
        <v>38</v>
      </c>
      <c r="L4535" s="72">
        <v>13619.0</v>
      </c>
      <c r="M4535" s="49" t="s">
        <v>73</v>
      </c>
      <c r="N4535" s="42" t="s">
        <v>16408</v>
      </c>
      <c r="O4535" s="67">
        <v>45882.70821689814</v>
      </c>
      <c r="P4535" s="35" t="s">
        <v>17961</v>
      </c>
      <c r="Q4535" s="13" t="s">
        <v>75</v>
      </c>
      <c r="R4535" s="13" t="s">
        <v>75</v>
      </c>
      <c r="S4535" s="13" t="s">
        <v>9620</v>
      </c>
      <c r="T4535" s="44">
        <v>45863.407986666665</v>
      </c>
      <c r="U4535" s="44">
        <v>45877.65779855324</v>
      </c>
      <c r="V4535" s="44">
        <v>45880.309904027774</v>
      </c>
      <c r="W4535" s="11"/>
      <c r="X4535" s="11"/>
      <c r="Y4535" s="45">
        <v>302.0</v>
      </c>
      <c r="Z4535" s="45" t="s">
        <v>17962</v>
      </c>
      <c r="AA4535" s="31"/>
      <c r="AB4535" s="45" t="s">
        <v>17963</v>
      </c>
      <c r="AC4535" s="45"/>
    </row>
    <row r="4536" ht="18.75" customHeight="1">
      <c r="A4536" s="142" t="s">
        <v>17964</v>
      </c>
      <c r="B4536" s="19" t="s">
        <v>8933</v>
      </c>
      <c r="C4536" s="20">
        <v>27.0</v>
      </c>
      <c r="D4536" s="39" t="s">
        <v>17965</v>
      </c>
      <c r="E4536" s="27" t="s">
        <v>72</v>
      </c>
      <c r="F4536" s="27" t="s">
        <v>48</v>
      </c>
      <c r="G4536" s="18" t="s">
        <v>35</v>
      </c>
      <c r="H4536" s="40" t="s">
        <v>35</v>
      </c>
      <c r="I4536" s="37" t="s">
        <v>36</v>
      </c>
      <c r="J4536" s="25" t="s">
        <v>65</v>
      </c>
      <c r="K4536" s="26" t="s">
        <v>38</v>
      </c>
      <c r="L4536" s="72">
        <v>13504.0</v>
      </c>
      <c r="M4536" s="49" t="s">
        <v>73</v>
      </c>
      <c r="N4536" s="42" t="s">
        <v>16408</v>
      </c>
      <c r="O4536" s="67">
        <v>45867.649945763886</v>
      </c>
      <c r="P4536" s="35" t="s">
        <v>17966</v>
      </c>
      <c r="Q4536" s="13" t="s">
        <v>75</v>
      </c>
      <c r="R4536" s="13" t="s">
        <v>75</v>
      </c>
      <c r="S4536" s="13" t="s">
        <v>73</v>
      </c>
      <c r="T4536" s="44">
        <v>45863.408639166664</v>
      </c>
      <c r="U4536" s="44">
        <v>45866.64697780093</v>
      </c>
      <c r="V4536" s="44">
        <v>45867.472328125004</v>
      </c>
      <c r="W4536" s="11"/>
      <c r="X4536" s="11"/>
      <c r="Y4536" s="45">
        <v>302.0</v>
      </c>
      <c r="Z4536" s="45" t="s">
        <v>17967</v>
      </c>
      <c r="AA4536" s="31"/>
      <c r="AB4536" s="45" t="s">
        <v>17968</v>
      </c>
      <c r="AC4536" s="45"/>
    </row>
    <row r="4537" ht="18.75" customHeight="1">
      <c r="A4537" s="18" t="s">
        <v>17969</v>
      </c>
      <c r="B4537" s="19" t="s">
        <v>3323</v>
      </c>
      <c r="C4537" s="20">
        <v>11.0</v>
      </c>
      <c r="D4537" s="39" t="s">
        <v>17970</v>
      </c>
      <c r="E4537" s="27" t="s">
        <v>112</v>
      </c>
      <c r="F4537" s="27" t="s">
        <v>48</v>
      </c>
      <c r="G4537" s="18" t="s">
        <v>35</v>
      </c>
      <c r="H4537" s="40" t="s">
        <v>35</v>
      </c>
      <c r="I4537" s="37" t="s">
        <v>36</v>
      </c>
      <c r="J4537" s="25" t="s">
        <v>65</v>
      </c>
      <c r="K4537" s="26" t="s">
        <v>38</v>
      </c>
      <c r="L4537" s="72">
        <v>13505.0</v>
      </c>
      <c r="M4537" s="49" t="s">
        <v>73</v>
      </c>
      <c r="N4537" s="42" t="s">
        <v>16408</v>
      </c>
      <c r="O4537" s="67">
        <v>45867.64989402778</v>
      </c>
      <c r="P4537" s="35" t="s">
        <v>17971</v>
      </c>
      <c r="Q4537" s="13" t="s">
        <v>75</v>
      </c>
      <c r="R4537" s="13" t="s">
        <v>75</v>
      </c>
      <c r="S4537" s="13" t="s">
        <v>73</v>
      </c>
      <c r="T4537" s="44">
        <v>45863.49563060185</v>
      </c>
      <c r="U4537" s="44">
        <v>45867.426741793985</v>
      </c>
      <c r="V4537" s="44">
        <v>45867.465255648145</v>
      </c>
      <c r="W4537" s="11"/>
      <c r="X4537" s="11"/>
      <c r="Y4537" s="45">
        <v>302.0</v>
      </c>
      <c r="Z4537" s="45" t="s">
        <v>17972</v>
      </c>
      <c r="AA4537" s="31"/>
      <c r="AB4537" s="218" t="s">
        <v>17973</v>
      </c>
      <c r="AC4537" s="45"/>
    </row>
    <row r="4538" ht="18.75" customHeight="1">
      <c r="A4538" s="18" t="s">
        <v>17974</v>
      </c>
      <c r="B4538" s="19" t="s">
        <v>3323</v>
      </c>
      <c r="C4538" s="20">
        <v>90.0</v>
      </c>
      <c r="D4538" s="39" t="s">
        <v>17975</v>
      </c>
      <c r="E4538" s="27" t="s">
        <v>91</v>
      </c>
      <c r="F4538" s="27" t="s">
        <v>48</v>
      </c>
      <c r="G4538" s="18" t="s">
        <v>35</v>
      </c>
      <c r="H4538" s="40" t="s">
        <v>35</v>
      </c>
      <c r="I4538" s="37" t="s">
        <v>36</v>
      </c>
      <c r="J4538" s="25" t="s">
        <v>65</v>
      </c>
      <c r="K4538" s="26" t="s">
        <v>38</v>
      </c>
      <c r="L4538" s="72">
        <v>13505.0</v>
      </c>
      <c r="M4538" s="49" t="s">
        <v>73</v>
      </c>
      <c r="N4538" s="42" t="s">
        <v>16408</v>
      </c>
      <c r="O4538" s="67">
        <v>45867.64984400463</v>
      </c>
      <c r="P4538" s="35" t="s">
        <v>17971</v>
      </c>
      <c r="Q4538" s="13" t="s">
        <v>75</v>
      </c>
      <c r="R4538" s="13" t="s">
        <v>75</v>
      </c>
      <c r="S4538" s="13" t="s">
        <v>73</v>
      </c>
      <c r="T4538" s="44">
        <v>45863.49589056713</v>
      </c>
      <c r="U4538" s="44">
        <v>45867.42675944444</v>
      </c>
      <c r="V4538" s="44">
        <v>45867.47264908565</v>
      </c>
      <c r="W4538" s="11"/>
      <c r="X4538" s="11"/>
      <c r="Y4538" s="45">
        <v>302.0</v>
      </c>
      <c r="Z4538" s="45" t="s">
        <v>17976</v>
      </c>
      <c r="AA4538" s="31"/>
      <c r="AB4538" s="45" t="s">
        <v>17977</v>
      </c>
      <c r="AC4538" s="45"/>
    </row>
    <row r="4539" ht="18.75" customHeight="1">
      <c r="A4539" s="18" t="s">
        <v>17978</v>
      </c>
      <c r="B4539" s="19" t="s">
        <v>3323</v>
      </c>
      <c r="C4539" s="20">
        <v>90.0</v>
      </c>
      <c r="D4539" s="39" t="s">
        <v>17979</v>
      </c>
      <c r="E4539" s="27" t="s">
        <v>91</v>
      </c>
      <c r="F4539" s="27" t="s">
        <v>48</v>
      </c>
      <c r="G4539" s="18" t="s">
        <v>35</v>
      </c>
      <c r="H4539" s="40" t="s">
        <v>35</v>
      </c>
      <c r="I4539" s="37" t="s">
        <v>36</v>
      </c>
      <c r="J4539" s="25" t="s">
        <v>65</v>
      </c>
      <c r="K4539" s="26" t="s">
        <v>38</v>
      </c>
      <c r="L4539" s="72">
        <v>13505.0</v>
      </c>
      <c r="M4539" s="49" t="s">
        <v>73</v>
      </c>
      <c r="N4539" s="42" t="s">
        <v>16408</v>
      </c>
      <c r="O4539" s="67">
        <v>45867.64979269676</v>
      </c>
      <c r="P4539" s="35" t="s">
        <v>17971</v>
      </c>
      <c r="Q4539" s="13" t="s">
        <v>75</v>
      </c>
      <c r="R4539" s="13" t="s">
        <v>75</v>
      </c>
      <c r="S4539" s="13" t="s">
        <v>73</v>
      </c>
      <c r="T4539" s="44">
        <v>45863.49599275463</v>
      </c>
      <c r="U4539" s="44">
        <v>45867.42678090278</v>
      </c>
      <c r="V4539" s="44">
        <v>45867.47273739583</v>
      </c>
      <c r="W4539" s="11"/>
      <c r="X4539" s="11"/>
      <c r="Y4539" s="45">
        <v>302.0</v>
      </c>
      <c r="Z4539" s="45" t="s">
        <v>17980</v>
      </c>
      <c r="AA4539" s="31"/>
      <c r="AB4539" s="45" t="s">
        <v>17981</v>
      </c>
      <c r="AC4539" s="45"/>
    </row>
    <row r="4540" ht="18.75" customHeight="1">
      <c r="A4540" s="18" t="s">
        <v>17982</v>
      </c>
      <c r="B4540" s="19" t="s">
        <v>3323</v>
      </c>
      <c r="C4540" s="20">
        <v>90.0</v>
      </c>
      <c r="D4540" s="39" t="s">
        <v>17983</v>
      </c>
      <c r="E4540" s="27" t="s">
        <v>91</v>
      </c>
      <c r="F4540" s="27" t="s">
        <v>48</v>
      </c>
      <c r="G4540" s="18" t="s">
        <v>35</v>
      </c>
      <c r="H4540" s="40" t="s">
        <v>35</v>
      </c>
      <c r="I4540" s="37" t="s">
        <v>36</v>
      </c>
      <c r="J4540" s="25" t="s">
        <v>65</v>
      </c>
      <c r="K4540" s="26" t="s">
        <v>38</v>
      </c>
      <c r="L4540" s="72">
        <v>13505.0</v>
      </c>
      <c r="M4540" s="49" t="s">
        <v>73</v>
      </c>
      <c r="N4540" s="42" t="s">
        <v>16408</v>
      </c>
      <c r="O4540" s="67">
        <v>45867.64974091435</v>
      </c>
      <c r="P4540" s="35" t="s">
        <v>17971</v>
      </c>
      <c r="Q4540" s="13" t="s">
        <v>75</v>
      </c>
      <c r="R4540" s="13" t="s">
        <v>75</v>
      </c>
      <c r="S4540" s="13" t="s">
        <v>73</v>
      </c>
      <c r="T4540" s="44">
        <v>45863.49609587963</v>
      </c>
      <c r="U4540" s="44">
        <v>45867.42680321759</v>
      </c>
      <c r="V4540" s="44">
        <v>45867.47284361111</v>
      </c>
      <c r="W4540" s="11"/>
      <c r="X4540" s="11"/>
      <c r="Y4540" s="45">
        <v>302.0</v>
      </c>
      <c r="Z4540" s="45" t="s">
        <v>17984</v>
      </c>
      <c r="AA4540" s="31"/>
      <c r="AB4540" s="45" t="s">
        <v>17985</v>
      </c>
      <c r="AC4540" s="45"/>
    </row>
    <row r="4541" ht="18.75" customHeight="1">
      <c r="A4541" s="18" t="s">
        <v>17986</v>
      </c>
      <c r="B4541" s="19" t="s">
        <v>3323</v>
      </c>
      <c r="C4541" s="20">
        <v>90.0</v>
      </c>
      <c r="D4541" s="39" t="s">
        <v>17987</v>
      </c>
      <c r="E4541" s="27" t="s">
        <v>91</v>
      </c>
      <c r="F4541" s="27" t="s">
        <v>48</v>
      </c>
      <c r="G4541" s="18" t="s">
        <v>35</v>
      </c>
      <c r="H4541" s="40" t="s">
        <v>35</v>
      </c>
      <c r="I4541" s="37" t="s">
        <v>36</v>
      </c>
      <c r="J4541" s="25" t="s">
        <v>65</v>
      </c>
      <c r="K4541" s="26" t="s">
        <v>38</v>
      </c>
      <c r="L4541" s="72">
        <v>13505.0</v>
      </c>
      <c r="M4541" s="49" t="s">
        <v>73</v>
      </c>
      <c r="N4541" s="42" t="s">
        <v>16408</v>
      </c>
      <c r="O4541" s="67">
        <v>45867.64969016204</v>
      </c>
      <c r="P4541" s="35" t="s">
        <v>17971</v>
      </c>
      <c r="Q4541" s="13" t="s">
        <v>75</v>
      </c>
      <c r="R4541" s="13" t="s">
        <v>75</v>
      </c>
      <c r="S4541" s="13" t="s">
        <v>73</v>
      </c>
      <c r="T4541" s="44">
        <v>45863.4963014699</v>
      </c>
      <c r="U4541" s="44">
        <v>45867.42682429398</v>
      </c>
      <c r="V4541" s="44">
        <v>45867.47291931713</v>
      </c>
      <c r="W4541" s="11"/>
      <c r="X4541" s="11"/>
      <c r="Y4541" s="45">
        <v>302.0</v>
      </c>
      <c r="Z4541" s="45" t="s">
        <v>17988</v>
      </c>
      <c r="AA4541" s="31"/>
      <c r="AB4541" s="45" t="s">
        <v>17989</v>
      </c>
      <c r="AC4541" s="45"/>
    </row>
    <row r="4542" ht="18.75" customHeight="1">
      <c r="A4542" s="18" t="s">
        <v>17990</v>
      </c>
      <c r="B4542" s="19" t="s">
        <v>3323</v>
      </c>
      <c r="C4542" s="20">
        <v>34.0</v>
      </c>
      <c r="D4542" s="39" t="s">
        <v>17991</v>
      </c>
      <c r="E4542" s="27" t="s">
        <v>47</v>
      </c>
      <c r="F4542" s="27" t="s">
        <v>48</v>
      </c>
      <c r="G4542" s="18" t="s">
        <v>35</v>
      </c>
      <c r="H4542" s="40" t="s">
        <v>35</v>
      </c>
      <c r="I4542" s="37" t="s">
        <v>36</v>
      </c>
      <c r="J4542" s="25" t="s">
        <v>65</v>
      </c>
      <c r="K4542" s="26" t="s">
        <v>38</v>
      </c>
      <c r="L4542" s="72">
        <v>13505.0</v>
      </c>
      <c r="M4542" s="49" t="s">
        <v>73</v>
      </c>
      <c r="N4542" s="42" t="s">
        <v>16408</v>
      </c>
      <c r="O4542" s="67">
        <v>45867.64963585648</v>
      </c>
      <c r="P4542" s="35" t="s">
        <v>17971</v>
      </c>
      <c r="Q4542" s="13" t="s">
        <v>75</v>
      </c>
      <c r="R4542" s="13" t="s">
        <v>75</v>
      </c>
      <c r="S4542" s="13" t="s">
        <v>73</v>
      </c>
      <c r="T4542" s="44">
        <v>45863.49642189815</v>
      </c>
      <c r="U4542" s="44">
        <v>45867.42684314815</v>
      </c>
      <c r="V4542" s="44">
        <v>45867.46549475694</v>
      </c>
      <c r="W4542" s="11"/>
      <c r="X4542" s="11"/>
      <c r="Y4542" s="45">
        <v>302.0</v>
      </c>
      <c r="Z4542" s="45" t="s">
        <v>17992</v>
      </c>
      <c r="AA4542" s="31"/>
      <c r="AB4542" s="45" t="s">
        <v>17993</v>
      </c>
      <c r="AC4542" s="45"/>
    </row>
    <row r="4543" ht="18.75" customHeight="1">
      <c r="A4543" s="142" t="s">
        <v>17994</v>
      </c>
      <c r="B4543" s="19" t="s">
        <v>3645</v>
      </c>
      <c r="C4543" s="20">
        <v>0.0</v>
      </c>
      <c r="D4543" s="179">
        <v>20049.0</v>
      </c>
      <c r="E4543" s="27" t="s">
        <v>882</v>
      </c>
      <c r="F4543" s="27" t="s">
        <v>33</v>
      </c>
      <c r="G4543" s="18" t="s">
        <v>35</v>
      </c>
      <c r="H4543" s="40" t="s">
        <v>35</v>
      </c>
      <c r="I4543" s="37" t="s">
        <v>36</v>
      </c>
      <c r="J4543" s="25" t="s">
        <v>49</v>
      </c>
      <c r="K4543" s="26" t="s">
        <v>38</v>
      </c>
      <c r="L4543" s="72">
        <v>13497.0</v>
      </c>
      <c r="M4543" s="49" t="s">
        <v>50</v>
      </c>
      <c r="N4543" s="42" t="s">
        <v>17048</v>
      </c>
      <c r="O4543" s="67">
        <v>45866.60960872685</v>
      </c>
      <c r="P4543" s="35" t="s">
        <v>17995</v>
      </c>
      <c r="Q4543" s="13" t="s">
        <v>75</v>
      </c>
      <c r="R4543" s="13" t="s">
        <v>75</v>
      </c>
      <c r="S4543" s="13" t="s">
        <v>9620</v>
      </c>
      <c r="T4543" s="44">
        <v>45863.58625143519</v>
      </c>
      <c r="U4543" s="44">
        <v>45866.42091340278</v>
      </c>
      <c r="V4543" s="44">
        <v>45866.476390428244</v>
      </c>
      <c r="W4543" s="11"/>
      <c r="X4543" s="11"/>
      <c r="Y4543" s="45">
        <v>302.0</v>
      </c>
      <c r="Z4543" s="45" t="s">
        <v>17996</v>
      </c>
      <c r="AA4543" s="31"/>
      <c r="AB4543" s="45" t="s">
        <v>17997</v>
      </c>
      <c r="AC4543" s="45"/>
    </row>
    <row r="4544" ht="18.75" customHeight="1">
      <c r="A4544" s="18" t="s">
        <v>17998</v>
      </c>
      <c r="B4544" s="19" t="s">
        <v>1811</v>
      </c>
      <c r="C4544" s="20">
        <v>27.0</v>
      </c>
      <c r="D4544" s="39" t="s">
        <v>17999</v>
      </c>
      <c r="E4544" s="27" t="s">
        <v>72</v>
      </c>
      <c r="F4544" s="27" t="s">
        <v>48</v>
      </c>
      <c r="G4544" s="18" t="s">
        <v>35</v>
      </c>
      <c r="H4544" s="40" t="s">
        <v>35</v>
      </c>
      <c r="I4544" s="37" t="s">
        <v>36</v>
      </c>
      <c r="J4544" s="25" t="s">
        <v>49</v>
      </c>
      <c r="K4544" s="26" t="s">
        <v>1506</v>
      </c>
      <c r="L4544" s="72">
        <v>13507.0</v>
      </c>
      <c r="M4544" s="49" t="s">
        <v>73</v>
      </c>
      <c r="N4544" s="42" t="s">
        <v>5936</v>
      </c>
      <c r="O4544" s="67">
        <v>45867.62038030093</v>
      </c>
      <c r="P4544" s="35" t="s">
        <v>18000</v>
      </c>
      <c r="Q4544" s="13" t="s">
        <v>75</v>
      </c>
      <c r="R4544" s="13" t="s">
        <v>75</v>
      </c>
      <c r="S4544" s="13" t="s">
        <v>73</v>
      </c>
      <c r="T4544" s="44">
        <v>45863.668923206016</v>
      </c>
      <c r="U4544" s="44">
        <v>45866.59839868055</v>
      </c>
      <c r="V4544" s="44">
        <v>45867.455774849535</v>
      </c>
      <c r="W4544" s="11"/>
      <c r="X4544" s="11"/>
      <c r="Y4544" s="45">
        <v>302.0</v>
      </c>
      <c r="Z4544" s="45" t="s">
        <v>18001</v>
      </c>
      <c r="AA4544" s="31"/>
      <c r="AB4544" s="45" t="s">
        <v>18002</v>
      </c>
      <c r="AC4544" s="45"/>
    </row>
    <row r="4545" ht="18.75" customHeight="1">
      <c r="A4545" s="18" t="s">
        <v>18003</v>
      </c>
      <c r="B4545" s="19" t="s">
        <v>1811</v>
      </c>
      <c r="C4545" s="20">
        <v>137.0</v>
      </c>
      <c r="D4545" s="39" t="s">
        <v>18004</v>
      </c>
      <c r="E4545" s="27" t="s">
        <v>85</v>
      </c>
      <c r="F4545" s="27" t="s">
        <v>48</v>
      </c>
      <c r="G4545" s="18" t="s">
        <v>35</v>
      </c>
      <c r="H4545" s="40" t="s">
        <v>35</v>
      </c>
      <c r="I4545" s="37" t="s">
        <v>36</v>
      </c>
      <c r="J4545" s="25" t="s">
        <v>49</v>
      </c>
      <c r="K4545" s="26" t="s">
        <v>1506</v>
      </c>
      <c r="L4545" s="72">
        <v>13507.0</v>
      </c>
      <c r="M4545" s="49" t="s">
        <v>73</v>
      </c>
      <c r="N4545" s="42" t="s">
        <v>5936</v>
      </c>
      <c r="O4545" s="67">
        <v>45867.620333576386</v>
      </c>
      <c r="P4545" s="35" t="s">
        <v>18000</v>
      </c>
      <c r="Q4545" s="13" t="s">
        <v>75</v>
      </c>
      <c r="R4545" s="13" t="s">
        <v>75</v>
      </c>
      <c r="S4545" s="13" t="s">
        <v>73</v>
      </c>
      <c r="T4545" s="44">
        <v>45863.66935099537</v>
      </c>
      <c r="U4545" s="44">
        <v>45866.59841846065</v>
      </c>
      <c r="V4545" s="44">
        <v>45867.45589744213</v>
      </c>
      <c r="W4545" s="11"/>
      <c r="X4545" s="11"/>
      <c r="Y4545" s="45">
        <v>302.0</v>
      </c>
      <c r="Z4545" s="45" t="s">
        <v>18005</v>
      </c>
      <c r="AA4545" s="31"/>
      <c r="AB4545" s="45" t="s">
        <v>18006</v>
      </c>
      <c r="AC4545" s="45"/>
    </row>
    <row r="4546" ht="18.75" customHeight="1">
      <c r="A4546" s="18" t="s">
        <v>18007</v>
      </c>
      <c r="B4546" s="19" t="s">
        <v>13507</v>
      </c>
      <c r="C4546" s="20">
        <v>0.0</v>
      </c>
      <c r="D4546" s="221" t="s">
        <v>18008</v>
      </c>
      <c r="E4546" s="27" t="s">
        <v>18009</v>
      </c>
      <c r="F4546" s="27" t="s">
        <v>48</v>
      </c>
      <c r="G4546" s="18" t="s">
        <v>35</v>
      </c>
      <c r="H4546" s="40" t="s">
        <v>35</v>
      </c>
      <c r="I4546" s="37" t="s">
        <v>36</v>
      </c>
      <c r="J4546" s="25" t="s">
        <v>65</v>
      </c>
      <c r="K4546" s="26" t="s">
        <v>38</v>
      </c>
      <c r="L4546" s="72">
        <v>13556.0</v>
      </c>
      <c r="M4546" s="49" t="s">
        <v>50</v>
      </c>
      <c r="N4546" s="42" t="s">
        <v>5883</v>
      </c>
      <c r="O4546" s="67">
        <v>45873.62981561343</v>
      </c>
      <c r="P4546" s="35" t="s">
        <v>18010</v>
      </c>
      <c r="Q4546" s="13" t="s">
        <v>75</v>
      </c>
      <c r="R4546" s="13" t="s">
        <v>75</v>
      </c>
      <c r="S4546" s="13" t="s">
        <v>9620</v>
      </c>
      <c r="T4546" s="44">
        <v>45863.70564965278</v>
      </c>
      <c r="U4546" s="44">
        <v>45866.447994201386</v>
      </c>
      <c r="V4546" s="44">
        <v>45868.704571168986</v>
      </c>
      <c r="W4546" s="11"/>
      <c r="X4546" s="11"/>
      <c r="Y4546" s="45">
        <v>302.0</v>
      </c>
      <c r="Z4546" s="45" t="s">
        <v>18011</v>
      </c>
      <c r="AA4546" s="31"/>
      <c r="AB4546" s="45" t="s">
        <v>18012</v>
      </c>
      <c r="AC4546" s="45"/>
    </row>
    <row r="4547" ht="18.75" customHeight="1">
      <c r="A4547" s="18" t="s">
        <v>18013</v>
      </c>
      <c r="B4547" s="19" t="s">
        <v>13507</v>
      </c>
      <c r="C4547" s="20">
        <v>0.0</v>
      </c>
      <c r="D4547" s="221" t="s">
        <v>18014</v>
      </c>
      <c r="E4547" s="27" t="s">
        <v>18009</v>
      </c>
      <c r="F4547" s="27" t="s">
        <v>48</v>
      </c>
      <c r="G4547" s="18" t="s">
        <v>35</v>
      </c>
      <c r="H4547" s="40" t="s">
        <v>35</v>
      </c>
      <c r="I4547" s="37" t="s">
        <v>36</v>
      </c>
      <c r="J4547" s="25" t="s">
        <v>65</v>
      </c>
      <c r="K4547" s="26" t="s">
        <v>38</v>
      </c>
      <c r="L4547" s="72">
        <v>13556.0</v>
      </c>
      <c r="M4547" s="49" t="s">
        <v>50</v>
      </c>
      <c r="N4547" s="42" t="s">
        <v>5883</v>
      </c>
      <c r="O4547" s="67">
        <v>45873.62987017361</v>
      </c>
      <c r="P4547" s="35" t="s">
        <v>18010</v>
      </c>
      <c r="Q4547" s="13" t="s">
        <v>75</v>
      </c>
      <c r="R4547" s="13" t="s">
        <v>75</v>
      </c>
      <c r="S4547" s="13" t="s">
        <v>50</v>
      </c>
      <c r="T4547" s="44">
        <v>45863.70588087963</v>
      </c>
      <c r="U4547" s="44">
        <v>45866.44764511574</v>
      </c>
      <c r="V4547" s="44">
        <v>45873.472473553236</v>
      </c>
      <c r="W4547" s="11"/>
      <c r="X4547" s="11"/>
      <c r="Y4547" s="45">
        <v>302.0</v>
      </c>
      <c r="Z4547" s="45" t="s">
        <v>18015</v>
      </c>
      <c r="AA4547" s="31"/>
      <c r="AB4547" s="45" t="s">
        <v>18016</v>
      </c>
      <c r="AC4547" s="45"/>
    </row>
    <row r="4548" ht="18.75" customHeight="1">
      <c r="A4548" s="18" t="s">
        <v>18017</v>
      </c>
      <c r="B4548" s="19" t="s">
        <v>13507</v>
      </c>
      <c r="C4548" s="20">
        <v>0.0</v>
      </c>
      <c r="D4548" s="221" t="s">
        <v>18018</v>
      </c>
      <c r="E4548" s="27" t="s">
        <v>18009</v>
      </c>
      <c r="F4548" s="27" t="s">
        <v>48</v>
      </c>
      <c r="G4548" s="18" t="s">
        <v>35</v>
      </c>
      <c r="H4548" s="40" t="s">
        <v>35</v>
      </c>
      <c r="I4548" s="37" t="s">
        <v>36</v>
      </c>
      <c r="J4548" s="25" t="s">
        <v>65</v>
      </c>
      <c r="K4548" s="26" t="s">
        <v>38</v>
      </c>
      <c r="L4548" s="72">
        <v>13556.0</v>
      </c>
      <c r="M4548" s="49" t="s">
        <v>50</v>
      </c>
      <c r="N4548" s="42" t="s">
        <v>5883</v>
      </c>
      <c r="O4548" s="67">
        <v>45873.629923518514</v>
      </c>
      <c r="P4548" s="35" t="s">
        <v>18010</v>
      </c>
      <c r="Q4548" s="13" t="s">
        <v>75</v>
      </c>
      <c r="R4548" s="13" t="s">
        <v>75</v>
      </c>
      <c r="S4548" s="13" t="s">
        <v>9620</v>
      </c>
      <c r="T4548" s="44">
        <v>45863.70593280093</v>
      </c>
      <c r="U4548" s="44">
        <v>45866.44767863426</v>
      </c>
      <c r="V4548" s="44">
        <v>45870.6477753125</v>
      </c>
      <c r="W4548" s="11"/>
      <c r="X4548" s="11"/>
      <c r="Y4548" s="45">
        <v>302.0</v>
      </c>
      <c r="Z4548" s="45" t="s">
        <v>18019</v>
      </c>
      <c r="AA4548" s="31"/>
      <c r="AB4548" s="45" t="s">
        <v>18020</v>
      </c>
      <c r="AC4548" s="45"/>
    </row>
    <row r="4549" ht="18.75" customHeight="1">
      <c r="A4549" s="18" t="s">
        <v>18021</v>
      </c>
      <c r="B4549" s="19" t="s">
        <v>13507</v>
      </c>
      <c r="C4549" s="20">
        <v>0.0</v>
      </c>
      <c r="D4549" s="221" t="s">
        <v>18022</v>
      </c>
      <c r="E4549" s="27" t="s">
        <v>18009</v>
      </c>
      <c r="F4549" s="27" t="s">
        <v>48</v>
      </c>
      <c r="G4549" s="18" t="s">
        <v>35</v>
      </c>
      <c r="H4549" s="40" t="s">
        <v>35</v>
      </c>
      <c r="I4549" s="37" t="s">
        <v>36</v>
      </c>
      <c r="J4549" s="25" t="s">
        <v>65</v>
      </c>
      <c r="K4549" s="26" t="s">
        <v>38</v>
      </c>
      <c r="L4549" s="72">
        <v>13556.0</v>
      </c>
      <c r="M4549" s="49" t="s">
        <v>50</v>
      </c>
      <c r="N4549" s="42" t="s">
        <v>5883</v>
      </c>
      <c r="O4549" s="67">
        <v>45873.62997003472</v>
      </c>
      <c r="P4549" s="35" t="s">
        <v>18010</v>
      </c>
      <c r="Q4549" s="13" t="s">
        <v>75</v>
      </c>
      <c r="R4549" s="13" t="s">
        <v>75</v>
      </c>
      <c r="S4549" s="13" t="s">
        <v>9620</v>
      </c>
      <c r="T4549" s="44">
        <v>45863.706034745366</v>
      </c>
      <c r="U4549" s="44">
        <v>45866.447699571756</v>
      </c>
      <c r="V4549" s="44">
        <v>45870.62441321759</v>
      </c>
      <c r="W4549" s="11"/>
      <c r="X4549" s="11"/>
      <c r="Y4549" s="45">
        <v>302.0</v>
      </c>
      <c r="Z4549" s="45" t="s">
        <v>18023</v>
      </c>
      <c r="AA4549" s="31"/>
      <c r="AB4549" s="45" t="s">
        <v>18024</v>
      </c>
      <c r="AC4549" s="45"/>
    </row>
    <row r="4550" ht="18.75" customHeight="1">
      <c r="A4550" s="18" t="s">
        <v>18025</v>
      </c>
      <c r="B4550" s="19" t="s">
        <v>13507</v>
      </c>
      <c r="C4550" s="20">
        <v>0.0</v>
      </c>
      <c r="D4550" s="221" t="s">
        <v>18026</v>
      </c>
      <c r="E4550" s="27" t="s">
        <v>18009</v>
      </c>
      <c r="F4550" s="27" t="s">
        <v>48</v>
      </c>
      <c r="G4550" s="18" t="s">
        <v>35</v>
      </c>
      <c r="H4550" s="40" t="s">
        <v>35</v>
      </c>
      <c r="I4550" s="37" t="s">
        <v>36</v>
      </c>
      <c r="J4550" s="25" t="s">
        <v>65</v>
      </c>
      <c r="K4550" s="26" t="s">
        <v>38</v>
      </c>
      <c r="L4550" s="72">
        <v>13556.0</v>
      </c>
      <c r="M4550" s="49" t="s">
        <v>50</v>
      </c>
      <c r="N4550" s="42" t="s">
        <v>5883</v>
      </c>
      <c r="O4550" s="67">
        <v>45873.63002186343</v>
      </c>
      <c r="P4550" s="35" t="s">
        <v>18010</v>
      </c>
      <c r="Q4550" s="13" t="s">
        <v>75</v>
      </c>
      <c r="R4550" s="13" t="s">
        <v>75</v>
      </c>
      <c r="S4550" s="13" t="s">
        <v>9620</v>
      </c>
      <c r="T4550" s="44">
        <v>45863.70610090278</v>
      </c>
      <c r="U4550" s="44">
        <v>45866.447725763894</v>
      </c>
      <c r="V4550" s="44">
        <v>45870.55423444444</v>
      </c>
      <c r="W4550" s="11"/>
      <c r="X4550" s="11"/>
      <c r="Y4550" s="45">
        <v>302.0</v>
      </c>
      <c r="Z4550" s="45" t="s">
        <v>18027</v>
      </c>
      <c r="AA4550" s="31"/>
      <c r="AB4550" s="45" t="s">
        <v>18028</v>
      </c>
      <c r="AC4550" s="45"/>
    </row>
    <row r="4551" ht="18.75" customHeight="1">
      <c r="A4551" s="18" t="s">
        <v>18029</v>
      </c>
      <c r="B4551" s="19" t="s">
        <v>13507</v>
      </c>
      <c r="C4551" s="20">
        <v>0.0</v>
      </c>
      <c r="D4551" s="221" t="s">
        <v>18030</v>
      </c>
      <c r="E4551" s="27" t="s">
        <v>18009</v>
      </c>
      <c r="F4551" s="27" t="s">
        <v>48</v>
      </c>
      <c r="G4551" s="18" t="s">
        <v>35</v>
      </c>
      <c r="H4551" s="40" t="s">
        <v>35</v>
      </c>
      <c r="I4551" s="37" t="s">
        <v>36</v>
      </c>
      <c r="J4551" s="25" t="s">
        <v>65</v>
      </c>
      <c r="K4551" s="26" t="s">
        <v>38</v>
      </c>
      <c r="L4551" s="72">
        <v>13556.0</v>
      </c>
      <c r="M4551" s="49" t="s">
        <v>50</v>
      </c>
      <c r="N4551" s="42" t="s">
        <v>5883</v>
      </c>
      <c r="O4551" s="67">
        <v>45873.63008756944</v>
      </c>
      <c r="P4551" s="35" t="s">
        <v>18010</v>
      </c>
      <c r="Q4551" s="13" t="s">
        <v>75</v>
      </c>
      <c r="R4551" s="13" t="s">
        <v>75</v>
      </c>
      <c r="S4551" s="13" t="s">
        <v>9620</v>
      </c>
      <c r="T4551" s="44">
        <v>45863.70616804398</v>
      </c>
      <c r="U4551" s="44">
        <v>45866.447745717596</v>
      </c>
      <c r="V4551" s="44">
        <v>45870.47730599537</v>
      </c>
      <c r="W4551" s="11"/>
      <c r="X4551" s="11"/>
      <c r="Y4551" s="45">
        <v>302.0</v>
      </c>
      <c r="Z4551" s="45" t="s">
        <v>18031</v>
      </c>
      <c r="AA4551" s="31"/>
      <c r="AB4551" s="45" t="s">
        <v>18032</v>
      </c>
      <c r="AC4551" s="45"/>
    </row>
    <row r="4552" ht="18.75" customHeight="1">
      <c r="A4552" s="18" t="s">
        <v>18033</v>
      </c>
      <c r="B4552" s="19" t="s">
        <v>13507</v>
      </c>
      <c r="C4552" s="20">
        <v>0.0</v>
      </c>
      <c r="D4552" s="221" t="s">
        <v>18034</v>
      </c>
      <c r="E4552" s="27" t="s">
        <v>18009</v>
      </c>
      <c r="F4552" s="27" t="s">
        <v>48</v>
      </c>
      <c r="G4552" s="18" t="s">
        <v>35</v>
      </c>
      <c r="H4552" s="40" t="s">
        <v>35</v>
      </c>
      <c r="I4552" s="37" t="s">
        <v>36</v>
      </c>
      <c r="J4552" s="25" t="s">
        <v>65</v>
      </c>
      <c r="K4552" s="26" t="s">
        <v>38</v>
      </c>
      <c r="L4552" s="72">
        <v>13556.0</v>
      </c>
      <c r="M4552" s="49" t="s">
        <v>50</v>
      </c>
      <c r="N4552" s="42" t="s">
        <v>5883</v>
      </c>
      <c r="O4552" s="67">
        <v>45873.63015590278</v>
      </c>
      <c r="P4552" s="35" t="s">
        <v>18010</v>
      </c>
      <c r="Q4552" s="13" t="s">
        <v>75</v>
      </c>
      <c r="R4552" s="13" t="s">
        <v>75</v>
      </c>
      <c r="S4552" s="13" t="s">
        <v>9620</v>
      </c>
      <c r="T4552" s="44">
        <v>45863.70629976851</v>
      </c>
      <c r="U4552" s="44">
        <v>45866.447768125</v>
      </c>
      <c r="V4552" s="44">
        <v>45870.47730600694</v>
      </c>
      <c r="W4552" s="11"/>
      <c r="X4552" s="11"/>
      <c r="Y4552" s="45">
        <v>302.0</v>
      </c>
      <c r="Z4552" s="45" t="s">
        <v>18035</v>
      </c>
      <c r="AA4552" s="31"/>
      <c r="AB4552" s="45" t="s">
        <v>18036</v>
      </c>
      <c r="AC4552" s="45"/>
    </row>
    <row r="4553" ht="18.75" customHeight="1">
      <c r="A4553" s="18" t="s">
        <v>18037</v>
      </c>
      <c r="B4553" s="19" t="s">
        <v>13507</v>
      </c>
      <c r="C4553" s="20">
        <v>0.0</v>
      </c>
      <c r="D4553" s="221" t="s">
        <v>18038</v>
      </c>
      <c r="E4553" s="27" t="s">
        <v>18009</v>
      </c>
      <c r="F4553" s="27" t="s">
        <v>48</v>
      </c>
      <c r="G4553" s="18" t="s">
        <v>35</v>
      </c>
      <c r="H4553" s="40" t="s">
        <v>35</v>
      </c>
      <c r="I4553" s="37" t="s">
        <v>36</v>
      </c>
      <c r="J4553" s="25" t="s">
        <v>65</v>
      </c>
      <c r="K4553" s="26" t="s">
        <v>38</v>
      </c>
      <c r="L4553" s="72">
        <v>13556.0</v>
      </c>
      <c r="M4553" s="49" t="s">
        <v>50</v>
      </c>
      <c r="N4553" s="42" t="s">
        <v>5883</v>
      </c>
      <c r="O4553" s="67">
        <v>45873.63020990741</v>
      </c>
      <c r="P4553" s="35" t="s">
        <v>18010</v>
      </c>
      <c r="Q4553" s="13" t="s">
        <v>75</v>
      </c>
      <c r="R4553" s="13" t="s">
        <v>75</v>
      </c>
      <c r="S4553" s="13" t="s">
        <v>9620</v>
      </c>
      <c r="T4553" s="44">
        <v>45863.70635325232</v>
      </c>
      <c r="U4553" s="44">
        <v>45866.44779012731</v>
      </c>
      <c r="V4553" s="44">
        <v>45869.72411431713</v>
      </c>
      <c r="W4553" s="11"/>
      <c r="X4553" s="11"/>
      <c r="Y4553" s="45">
        <v>302.0</v>
      </c>
      <c r="Z4553" s="45" t="s">
        <v>18039</v>
      </c>
      <c r="AA4553" s="31"/>
      <c r="AB4553" s="45" t="s">
        <v>18040</v>
      </c>
      <c r="AC4553" s="45"/>
    </row>
    <row r="4554" ht="18.75" customHeight="1">
      <c r="A4554" s="18" t="s">
        <v>18041</v>
      </c>
      <c r="B4554" s="19" t="s">
        <v>13507</v>
      </c>
      <c r="C4554" s="20">
        <v>0.0</v>
      </c>
      <c r="D4554" s="221" t="s">
        <v>18042</v>
      </c>
      <c r="E4554" s="27" t="s">
        <v>18009</v>
      </c>
      <c r="F4554" s="27" t="s">
        <v>48</v>
      </c>
      <c r="G4554" s="18" t="s">
        <v>35</v>
      </c>
      <c r="H4554" s="40" t="s">
        <v>35</v>
      </c>
      <c r="I4554" s="37" t="s">
        <v>36</v>
      </c>
      <c r="J4554" s="25" t="s">
        <v>65</v>
      </c>
      <c r="K4554" s="26" t="s">
        <v>38</v>
      </c>
      <c r="L4554" s="72">
        <v>13556.0</v>
      </c>
      <c r="M4554" s="49" t="s">
        <v>50</v>
      </c>
      <c r="N4554" s="42" t="s">
        <v>5883</v>
      </c>
      <c r="O4554" s="67">
        <v>45873.630260034726</v>
      </c>
      <c r="P4554" s="35" t="s">
        <v>18010</v>
      </c>
      <c r="Q4554" s="13" t="s">
        <v>75</v>
      </c>
      <c r="R4554" s="13" t="s">
        <v>75</v>
      </c>
      <c r="S4554" s="13" t="s">
        <v>9620</v>
      </c>
      <c r="T4554" s="44">
        <v>45863.706416562505</v>
      </c>
      <c r="U4554" s="44">
        <v>45866.447841562505</v>
      </c>
      <c r="V4554" s="44">
        <v>45869.45194108796</v>
      </c>
      <c r="W4554" s="11"/>
      <c r="X4554" s="11"/>
      <c r="Y4554" s="45">
        <v>302.0</v>
      </c>
      <c r="Z4554" s="45" t="s">
        <v>18043</v>
      </c>
      <c r="AA4554" s="31"/>
      <c r="AB4554" s="45" t="s">
        <v>18044</v>
      </c>
      <c r="AC4554" s="45"/>
    </row>
    <row r="4555" ht="18.75" customHeight="1">
      <c r="A4555" s="18" t="s">
        <v>18045</v>
      </c>
      <c r="B4555" s="19" t="s">
        <v>13507</v>
      </c>
      <c r="C4555" s="20">
        <v>0.0</v>
      </c>
      <c r="D4555" s="221" t="s">
        <v>18046</v>
      </c>
      <c r="E4555" s="27" t="s">
        <v>18009</v>
      </c>
      <c r="F4555" s="27" t="s">
        <v>48</v>
      </c>
      <c r="G4555" s="18" t="s">
        <v>35</v>
      </c>
      <c r="H4555" s="40" t="s">
        <v>35</v>
      </c>
      <c r="I4555" s="37" t="s">
        <v>36</v>
      </c>
      <c r="J4555" s="25" t="s">
        <v>65</v>
      </c>
      <c r="K4555" s="26" t="s">
        <v>38</v>
      </c>
      <c r="L4555" s="72">
        <v>13556.0</v>
      </c>
      <c r="M4555" s="49" t="s">
        <v>50</v>
      </c>
      <c r="N4555" s="42" t="s">
        <v>5883</v>
      </c>
      <c r="O4555" s="67">
        <v>45873.630307430554</v>
      </c>
      <c r="P4555" s="35" t="s">
        <v>18010</v>
      </c>
      <c r="Q4555" s="13" t="s">
        <v>75</v>
      </c>
      <c r="R4555" s="13" t="s">
        <v>75</v>
      </c>
      <c r="S4555" s="13" t="s">
        <v>9620</v>
      </c>
      <c r="T4555" s="44">
        <v>45863.70648005787</v>
      </c>
      <c r="U4555" s="44">
        <v>45866.44792479167</v>
      </c>
      <c r="V4555" s="44">
        <v>45869.45169081019</v>
      </c>
      <c r="W4555" s="11"/>
      <c r="X4555" s="11"/>
      <c r="Y4555" s="207">
        <v>302.0</v>
      </c>
      <c r="Z4555" s="45" t="s">
        <v>18047</v>
      </c>
      <c r="AA4555" s="31"/>
      <c r="AB4555" s="45" t="s">
        <v>18048</v>
      </c>
      <c r="AC4555" s="45"/>
    </row>
    <row r="4556" ht="18.75" customHeight="1">
      <c r="A4556" s="18" t="s">
        <v>18049</v>
      </c>
      <c r="B4556" s="19" t="s">
        <v>13507</v>
      </c>
      <c r="C4556" s="20">
        <v>0.0</v>
      </c>
      <c r="D4556" s="221" t="s">
        <v>18050</v>
      </c>
      <c r="E4556" s="27" t="s">
        <v>18009</v>
      </c>
      <c r="F4556" s="27" t="s">
        <v>48</v>
      </c>
      <c r="G4556" s="18" t="s">
        <v>35</v>
      </c>
      <c r="H4556" s="40" t="s">
        <v>35</v>
      </c>
      <c r="I4556" s="37" t="s">
        <v>36</v>
      </c>
      <c r="J4556" s="25" t="s">
        <v>65</v>
      </c>
      <c r="K4556" s="26" t="s">
        <v>38</v>
      </c>
      <c r="L4556" s="72">
        <v>13556.0</v>
      </c>
      <c r="M4556" s="49" t="s">
        <v>50</v>
      </c>
      <c r="N4556" s="42" t="s">
        <v>5883</v>
      </c>
      <c r="O4556" s="67">
        <v>45873.630356064816</v>
      </c>
      <c r="P4556" s="35" t="s">
        <v>18010</v>
      </c>
      <c r="Q4556" s="13" t="s">
        <v>75</v>
      </c>
      <c r="R4556" s="13" t="s">
        <v>75</v>
      </c>
      <c r="S4556" s="13" t="s">
        <v>9620</v>
      </c>
      <c r="T4556" s="44">
        <v>45863.70654025463</v>
      </c>
      <c r="U4556" s="44">
        <v>45866.4479575463</v>
      </c>
      <c r="V4556" s="44">
        <v>45869.614374756944</v>
      </c>
      <c r="W4556" s="11"/>
      <c r="X4556" s="11"/>
      <c r="Y4556" s="45">
        <v>302.0</v>
      </c>
      <c r="Z4556" s="45" t="s">
        <v>18051</v>
      </c>
      <c r="AA4556" s="31"/>
      <c r="AB4556" s="45" t="s">
        <v>18052</v>
      </c>
      <c r="AC4556" s="45"/>
    </row>
    <row r="4557" ht="18.75" customHeight="1">
      <c r="A4557" s="18" t="s">
        <v>18053</v>
      </c>
      <c r="B4557" s="19" t="s">
        <v>13507</v>
      </c>
      <c r="C4557" s="20">
        <v>0.0</v>
      </c>
      <c r="D4557" s="221" t="s">
        <v>18054</v>
      </c>
      <c r="E4557" s="27" t="s">
        <v>18009</v>
      </c>
      <c r="F4557" s="27" t="s">
        <v>48</v>
      </c>
      <c r="G4557" s="18" t="s">
        <v>35</v>
      </c>
      <c r="H4557" s="40" t="s">
        <v>35</v>
      </c>
      <c r="I4557" s="37" t="s">
        <v>36</v>
      </c>
      <c r="J4557" s="25" t="s">
        <v>65</v>
      </c>
      <c r="K4557" s="26" t="s">
        <v>38</v>
      </c>
      <c r="L4557" s="72">
        <v>13556.0</v>
      </c>
      <c r="M4557" s="49" t="s">
        <v>50</v>
      </c>
      <c r="N4557" s="42" t="s">
        <v>5883</v>
      </c>
      <c r="O4557" s="67">
        <v>45873.63040172454</v>
      </c>
      <c r="P4557" s="35" t="s">
        <v>18010</v>
      </c>
      <c r="Q4557" s="13" t="s">
        <v>75</v>
      </c>
      <c r="R4557" s="13" t="s">
        <v>75</v>
      </c>
      <c r="S4557" s="13" t="s">
        <v>9620</v>
      </c>
      <c r="T4557" s="44">
        <v>45863.70660099537</v>
      </c>
      <c r="U4557" s="44">
        <v>45866.44797390046</v>
      </c>
      <c r="V4557" s="44">
        <v>45869.72411431713</v>
      </c>
      <c r="W4557" s="11"/>
      <c r="X4557" s="11"/>
      <c r="Y4557" s="45">
        <v>302.0</v>
      </c>
      <c r="Z4557" s="45" t="s">
        <v>18055</v>
      </c>
      <c r="AA4557" s="31"/>
      <c r="AB4557" s="45" t="s">
        <v>18056</v>
      </c>
      <c r="AC4557" s="45"/>
    </row>
    <row r="4558" ht="18.75" customHeight="1">
      <c r="A4558" s="18" t="s">
        <v>18057</v>
      </c>
      <c r="B4558" s="19" t="s">
        <v>3888</v>
      </c>
      <c r="C4558" s="20">
        <v>0.0</v>
      </c>
      <c r="D4558" s="39" t="s">
        <v>18058</v>
      </c>
      <c r="E4558" s="27" t="s">
        <v>3441</v>
      </c>
      <c r="F4558" s="27" t="s">
        <v>48</v>
      </c>
      <c r="G4558" s="18" t="s">
        <v>35</v>
      </c>
      <c r="H4558" s="40" t="s">
        <v>35</v>
      </c>
      <c r="I4558" s="37" t="s">
        <v>36</v>
      </c>
      <c r="J4558" s="25" t="s">
        <v>49</v>
      </c>
      <c r="K4558" s="26" t="s">
        <v>2978</v>
      </c>
      <c r="L4558" s="72">
        <v>13493.0</v>
      </c>
      <c r="M4558" s="49" t="s">
        <v>50</v>
      </c>
      <c r="N4558" s="42" t="s">
        <v>17048</v>
      </c>
      <c r="O4558" s="67">
        <v>45866.60955807871</v>
      </c>
      <c r="P4558" s="35" t="s">
        <v>18059</v>
      </c>
      <c r="Q4558" s="13" t="s">
        <v>75</v>
      </c>
      <c r="R4558" s="13" t="s">
        <v>75</v>
      </c>
      <c r="S4558" s="13" t="s">
        <v>50</v>
      </c>
      <c r="T4558" s="44">
        <v>45866.42917497685</v>
      </c>
      <c r="U4558" s="44">
        <v>45866.45316560185</v>
      </c>
      <c r="V4558" s="44">
        <v>45866.46805202546</v>
      </c>
      <c r="W4558" s="11"/>
      <c r="X4558" s="11"/>
      <c r="Y4558" s="45">
        <v>302.0</v>
      </c>
      <c r="Z4558" s="45" t="s">
        <v>18060</v>
      </c>
      <c r="AA4558" s="31"/>
      <c r="AB4558" s="45" t="s">
        <v>18061</v>
      </c>
      <c r="AC4558" s="45"/>
    </row>
    <row r="4559" ht="18.75" customHeight="1">
      <c r="A4559" s="18" t="s">
        <v>18062</v>
      </c>
      <c r="B4559" s="19" t="s">
        <v>3888</v>
      </c>
      <c r="C4559" s="20">
        <v>1.0</v>
      </c>
      <c r="D4559" s="39" t="s">
        <v>18063</v>
      </c>
      <c r="E4559" s="27" t="s">
        <v>3395</v>
      </c>
      <c r="F4559" s="27" t="s">
        <v>48</v>
      </c>
      <c r="G4559" s="18" t="s">
        <v>35</v>
      </c>
      <c r="H4559" s="40" t="s">
        <v>35</v>
      </c>
      <c r="I4559" s="37" t="s">
        <v>36</v>
      </c>
      <c r="J4559" s="25" t="s">
        <v>49</v>
      </c>
      <c r="K4559" s="26" t="s">
        <v>2978</v>
      </c>
      <c r="L4559" s="72">
        <v>13493.0</v>
      </c>
      <c r="M4559" s="49" t="s">
        <v>50</v>
      </c>
      <c r="N4559" s="42" t="s">
        <v>17048</v>
      </c>
      <c r="O4559" s="67">
        <v>45866.609502164356</v>
      </c>
      <c r="P4559" s="35" t="s">
        <v>18059</v>
      </c>
      <c r="Q4559" s="13" t="s">
        <v>75</v>
      </c>
      <c r="R4559" s="13" t="s">
        <v>75</v>
      </c>
      <c r="S4559" s="13" t="s">
        <v>50</v>
      </c>
      <c r="T4559" s="44">
        <v>45866.4292638426</v>
      </c>
      <c r="U4559" s="44">
        <v>45866.45319512732</v>
      </c>
      <c r="V4559" s="44">
        <v>45866.46805202546</v>
      </c>
      <c r="W4559" s="11"/>
      <c r="X4559" s="11"/>
      <c r="Y4559" s="45">
        <v>302.0</v>
      </c>
      <c r="Z4559" s="45" t="s">
        <v>18064</v>
      </c>
      <c r="AA4559" s="31"/>
      <c r="AB4559" s="45" t="s">
        <v>18065</v>
      </c>
      <c r="AC4559" s="45"/>
    </row>
    <row r="4560" ht="18.75" customHeight="1">
      <c r="A4560" s="18" t="s">
        <v>18066</v>
      </c>
      <c r="B4560" s="19" t="s">
        <v>3888</v>
      </c>
      <c r="C4560" s="20">
        <v>137.0</v>
      </c>
      <c r="D4560" s="39" t="s">
        <v>18067</v>
      </c>
      <c r="E4560" s="27" t="s">
        <v>85</v>
      </c>
      <c r="F4560" s="27" t="s">
        <v>48</v>
      </c>
      <c r="G4560" s="18" t="s">
        <v>35</v>
      </c>
      <c r="H4560" s="40" t="s">
        <v>35</v>
      </c>
      <c r="I4560" s="37" t="s">
        <v>36</v>
      </c>
      <c r="J4560" s="25" t="s">
        <v>49</v>
      </c>
      <c r="K4560" s="26" t="s">
        <v>2978</v>
      </c>
      <c r="L4560" s="72">
        <v>13493.0</v>
      </c>
      <c r="M4560" s="49" t="s">
        <v>50</v>
      </c>
      <c r="N4560" s="42" t="s">
        <v>17048</v>
      </c>
      <c r="O4560" s="67">
        <v>45866.609460300926</v>
      </c>
      <c r="P4560" s="35" t="s">
        <v>18059</v>
      </c>
      <c r="Q4560" s="13" t="s">
        <v>75</v>
      </c>
      <c r="R4560" s="13" t="s">
        <v>75</v>
      </c>
      <c r="S4560" s="13" t="s">
        <v>50</v>
      </c>
      <c r="T4560" s="44">
        <v>45866.429429317126</v>
      </c>
      <c r="U4560" s="44">
        <v>45866.453221828706</v>
      </c>
      <c r="V4560" s="44">
        <v>45866.46816980324</v>
      </c>
      <c r="W4560" s="11"/>
      <c r="X4560" s="11"/>
      <c r="Y4560" s="45">
        <v>302.0</v>
      </c>
      <c r="Z4560" s="45" t="s">
        <v>18068</v>
      </c>
      <c r="AA4560" s="31"/>
      <c r="AB4560" s="45" t="s">
        <v>18069</v>
      </c>
      <c r="AC4560" s="45"/>
    </row>
    <row r="4561" ht="18.75" customHeight="1">
      <c r="A4561" s="18" t="s">
        <v>18070</v>
      </c>
      <c r="B4561" s="19" t="s">
        <v>3888</v>
      </c>
      <c r="C4561" s="20">
        <v>0.0</v>
      </c>
      <c r="D4561" s="39" t="s">
        <v>18071</v>
      </c>
      <c r="E4561" s="22" t="s">
        <v>18072</v>
      </c>
      <c r="F4561" s="27"/>
      <c r="G4561" s="18" t="s">
        <v>35</v>
      </c>
      <c r="H4561" s="40" t="s">
        <v>35</v>
      </c>
      <c r="I4561" s="37" t="s">
        <v>36</v>
      </c>
      <c r="J4561" s="25" t="s">
        <v>49</v>
      </c>
      <c r="K4561" s="26" t="s">
        <v>2978</v>
      </c>
      <c r="L4561" s="72">
        <v>13493.0</v>
      </c>
      <c r="M4561" s="49" t="s">
        <v>50</v>
      </c>
      <c r="N4561" s="42" t="s">
        <v>17048</v>
      </c>
      <c r="O4561" s="67">
        <v>45866.60941917824</v>
      </c>
      <c r="P4561" s="35" t="s">
        <v>18059</v>
      </c>
      <c r="Q4561" s="13" t="s">
        <v>75</v>
      </c>
      <c r="R4561" s="13" t="s">
        <v>75</v>
      </c>
      <c r="S4561" s="13" t="s">
        <v>50</v>
      </c>
      <c r="T4561" s="44">
        <v>45866.43571013889</v>
      </c>
      <c r="U4561" s="44">
        <v>45866.453245185185</v>
      </c>
      <c r="V4561" s="44">
        <v>45866.496103206024</v>
      </c>
      <c r="W4561" s="11"/>
      <c r="X4561" s="11"/>
      <c r="Y4561" s="45">
        <v>302.0</v>
      </c>
      <c r="Z4561" s="45" t="s">
        <v>18073</v>
      </c>
      <c r="AA4561" s="31"/>
      <c r="AB4561" s="45" t="s">
        <v>18074</v>
      </c>
      <c r="AC4561" s="45"/>
    </row>
    <row r="4562" ht="18.75" customHeight="1">
      <c r="A4562" s="142" t="s">
        <v>18075</v>
      </c>
      <c r="B4562" s="19" t="s">
        <v>18076</v>
      </c>
      <c r="C4562" s="20">
        <v>0.0</v>
      </c>
      <c r="D4562" s="39" t="s">
        <v>18077</v>
      </c>
      <c r="E4562" s="27" t="s">
        <v>3441</v>
      </c>
      <c r="F4562" s="27" t="s">
        <v>48</v>
      </c>
      <c r="G4562" s="18" t="s">
        <v>35</v>
      </c>
      <c r="H4562" s="40" t="s">
        <v>35</v>
      </c>
      <c r="I4562" s="37" t="s">
        <v>36</v>
      </c>
      <c r="J4562" s="34" t="s">
        <v>18078</v>
      </c>
      <c r="K4562" s="26" t="s">
        <v>38</v>
      </c>
      <c r="L4562" s="72">
        <v>13542.0</v>
      </c>
      <c r="M4562" s="49" t="s">
        <v>9620</v>
      </c>
      <c r="N4562" s="42" t="s">
        <v>18079</v>
      </c>
      <c r="O4562" s="67">
        <v>45869.60994472222</v>
      </c>
      <c r="P4562" s="35" t="s">
        <v>18080</v>
      </c>
      <c r="Q4562" s="13" t="s">
        <v>75</v>
      </c>
      <c r="R4562" s="13" t="s">
        <v>75</v>
      </c>
      <c r="S4562" s="13" t="s">
        <v>73</v>
      </c>
      <c r="T4562" s="44">
        <v>45868.72680902778</v>
      </c>
      <c r="U4562" s="44">
        <v>45868.728084814815</v>
      </c>
      <c r="V4562" s="44">
        <v>45869.488415</v>
      </c>
      <c r="W4562" s="11"/>
      <c r="X4562" s="11"/>
      <c r="Y4562" s="45">
        <v>302.0</v>
      </c>
      <c r="Z4562" s="45" t="s">
        <v>18081</v>
      </c>
      <c r="AA4562" s="31"/>
      <c r="AB4562" s="45" t="s">
        <v>18082</v>
      </c>
      <c r="AC4562" s="45"/>
    </row>
    <row r="4563" ht="18.75" customHeight="1">
      <c r="A4563" s="142" t="s">
        <v>18083</v>
      </c>
      <c r="B4563" s="19" t="s">
        <v>18084</v>
      </c>
      <c r="C4563" s="20">
        <v>0.0</v>
      </c>
      <c r="D4563" s="39" t="s">
        <v>18085</v>
      </c>
      <c r="E4563" s="27" t="s">
        <v>3441</v>
      </c>
      <c r="F4563" s="27" t="s">
        <v>48</v>
      </c>
      <c r="G4563" s="18" t="s">
        <v>35</v>
      </c>
      <c r="H4563" s="40" t="s">
        <v>35</v>
      </c>
      <c r="I4563" s="37" t="s">
        <v>36</v>
      </c>
      <c r="J4563" s="25" t="s">
        <v>65</v>
      </c>
      <c r="K4563" s="26" t="s">
        <v>38</v>
      </c>
      <c r="L4563" s="72">
        <v>13774.0</v>
      </c>
      <c r="M4563" s="49" t="s">
        <v>50</v>
      </c>
      <c r="N4563" s="42" t="s">
        <v>16408</v>
      </c>
      <c r="O4563" s="67">
        <v>45903.70461310185</v>
      </c>
      <c r="P4563" s="35" t="s">
        <v>18086</v>
      </c>
      <c r="Q4563" s="13" t="s">
        <v>75</v>
      </c>
      <c r="R4563" s="13" t="s">
        <v>75</v>
      </c>
      <c r="S4563" s="13" t="s">
        <v>50</v>
      </c>
      <c r="T4563" s="44">
        <v>45903.44917260417</v>
      </c>
      <c r="U4563" s="44">
        <v>45903.44919208333</v>
      </c>
      <c r="V4563" s="44">
        <v>45903.452535613425</v>
      </c>
      <c r="W4563" s="11"/>
      <c r="X4563" s="11"/>
      <c r="Y4563" s="45">
        <v>302.0</v>
      </c>
      <c r="Z4563" s="45" t="s">
        <v>18087</v>
      </c>
      <c r="AA4563" s="31"/>
      <c r="AB4563" s="45" t="s">
        <v>18088</v>
      </c>
      <c r="AC4563" s="45"/>
    </row>
    <row r="4564" ht="18.75" customHeight="1">
      <c r="A4564" s="142" t="s">
        <v>18089</v>
      </c>
      <c r="B4564" s="19" t="s">
        <v>18090</v>
      </c>
      <c r="C4564" s="20">
        <v>11.0</v>
      </c>
      <c r="D4564" s="39" t="s">
        <v>18091</v>
      </c>
      <c r="E4564" s="27" t="s">
        <v>112</v>
      </c>
      <c r="F4564" s="27" t="s">
        <v>48</v>
      </c>
      <c r="G4564" s="18" t="s">
        <v>35</v>
      </c>
      <c r="H4564" s="40" t="s">
        <v>35</v>
      </c>
      <c r="I4564" s="37" t="s">
        <v>36</v>
      </c>
      <c r="J4564" s="25" t="s">
        <v>518</v>
      </c>
      <c r="K4564" s="26" t="s">
        <v>38</v>
      </c>
      <c r="L4564" s="72">
        <v>13509.0</v>
      </c>
      <c r="M4564" s="49" t="s">
        <v>73</v>
      </c>
      <c r="N4564" s="42" t="s">
        <v>18092</v>
      </c>
      <c r="O4564" s="67">
        <v>45873.626475833335</v>
      </c>
      <c r="P4564" s="35" t="s">
        <v>18093</v>
      </c>
      <c r="Q4564" s="13" t="s">
        <v>75</v>
      </c>
      <c r="R4564" s="13" t="s">
        <v>75</v>
      </c>
      <c r="S4564" s="13" t="s">
        <v>73</v>
      </c>
      <c r="T4564" s="44">
        <v>45866.43732373843</v>
      </c>
      <c r="U4564" s="44">
        <v>45867.426278541665</v>
      </c>
      <c r="V4564" s="44">
        <v>45867.472573969906</v>
      </c>
      <c r="W4564" s="11"/>
      <c r="X4564" s="11"/>
      <c r="Y4564" s="45">
        <v>302.0</v>
      </c>
      <c r="Z4564" s="45" t="s">
        <v>18094</v>
      </c>
      <c r="AA4564" s="31"/>
      <c r="AB4564" s="45" t="s">
        <v>18095</v>
      </c>
      <c r="AC4564" s="45"/>
    </row>
    <row r="4565" ht="18.75" customHeight="1">
      <c r="A4565" s="142" t="s">
        <v>18096</v>
      </c>
      <c r="B4565" s="19" t="s">
        <v>10529</v>
      </c>
      <c r="C4565" s="20">
        <v>0.0</v>
      </c>
      <c r="D4565" s="39" t="s">
        <v>18097</v>
      </c>
      <c r="E4565" s="27" t="s">
        <v>4430</v>
      </c>
      <c r="F4565" s="27" t="s">
        <v>48</v>
      </c>
      <c r="G4565" s="18" t="s">
        <v>35</v>
      </c>
      <c r="H4565" s="40" t="s">
        <v>35</v>
      </c>
      <c r="I4565" s="37" t="s">
        <v>36</v>
      </c>
      <c r="J4565" s="25" t="s">
        <v>92</v>
      </c>
      <c r="K4565" s="26" t="s">
        <v>38</v>
      </c>
      <c r="L4565" s="72">
        <v>13526.0</v>
      </c>
      <c r="M4565" s="49" t="s">
        <v>73</v>
      </c>
      <c r="N4565" s="42" t="s">
        <v>10531</v>
      </c>
      <c r="O4565" s="67">
        <v>45882.66452155093</v>
      </c>
      <c r="P4565" s="35" t="s">
        <v>17486</v>
      </c>
      <c r="Q4565" s="13" t="s">
        <v>75</v>
      </c>
      <c r="R4565" s="13" t="s">
        <v>75</v>
      </c>
      <c r="S4565" s="13" t="s">
        <v>73</v>
      </c>
      <c r="T4565" s="44">
        <v>45866.439264479166</v>
      </c>
      <c r="U4565" s="44">
        <v>45867.66953452546</v>
      </c>
      <c r="V4565" s="44">
        <v>45868.453495787035</v>
      </c>
      <c r="W4565" s="11"/>
      <c r="X4565" s="11"/>
      <c r="Y4565" s="45">
        <v>302.0</v>
      </c>
      <c r="Z4565" s="45" t="s">
        <v>18098</v>
      </c>
      <c r="AA4565" s="31"/>
      <c r="AB4565" s="45" t="s">
        <v>18099</v>
      </c>
      <c r="AC4565" s="45"/>
    </row>
    <row r="4566" ht="18.75" customHeight="1">
      <c r="A4566" s="142" t="s">
        <v>18100</v>
      </c>
      <c r="B4566" s="19" t="s">
        <v>16702</v>
      </c>
      <c r="C4566" s="20">
        <v>0.0</v>
      </c>
      <c r="D4566" s="179">
        <v>20177.0</v>
      </c>
      <c r="E4566" s="27" t="s">
        <v>135</v>
      </c>
      <c r="F4566" s="27" t="s">
        <v>48</v>
      </c>
      <c r="G4566" s="18" t="s">
        <v>35</v>
      </c>
      <c r="H4566" s="40" t="s">
        <v>35</v>
      </c>
      <c r="I4566" s="37" t="s">
        <v>36</v>
      </c>
      <c r="J4566" s="25" t="s">
        <v>49</v>
      </c>
      <c r="K4566" s="26" t="s">
        <v>38</v>
      </c>
      <c r="L4566" s="72">
        <v>13582.0</v>
      </c>
      <c r="M4566" s="49" t="s">
        <v>73</v>
      </c>
      <c r="N4566" s="42" t="s">
        <v>5936</v>
      </c>
      <c r="O4566" s="67">
        <v>45876.69765758102</v>
      </c>
      <c r="P4566" s="35" t="s">
        <v>18101</v>
      </c>
      <c r="Q4566" s="13" t="s">
        <v>75</v>
      </c>
      <c r="R4566" s="13" t="s">
        <v>75</v>
      </c>
      <c r="S4566" s="13" t="s">
        <v>9620</v>
      </c>
      <c r="T4566" s="44">
        <v>45866.56955954861</v>
      </c>
      <c r="U4566" s="44">
        <v>45874.40126938657</v>
      </c>
      <c r="V4566" s="44">
        <v>45876.28992591435</v>
      </c>
      <c r="W4566" s="11"/>
      <c r="X4566" s="11"/>
      <c r="Y4566" s="45">
        <v>302.0</v>
      </c>
      <c r="Z4566" s="45" t="s">
        <v>18102</v>
      </c>
      <c r="AA4566" s="31"/>
      <c r="AB4566" s="45" t="s">
        <v>18103</v>
      </c>
      <c r="AC4566" s="45"/>
    </row>
    <row r="4567" ht="18.75" customHeight="1">
      <c r="A4567" s="18" t="s">
        <v>18104</v>
      </c>
      <c r="B4567" s="19" t="s">
        <v>18105</v>
      </c>
      <c r="C4567" s="20">
        <v>0.0</v>
      </c>
      <c r="D4567" s="39" t="s">
        <v>18106</v>
      </c>
      <c r="E4567" s="27" t="s">
        <v>3441</v>
      </c>
      <c r="F4567" s="27" t="s">
        <v>48</v>
      </c>
      <c r="G4567" s="18" t="s">
        <v>35</v>
      </c>
      <c r="H4567" s="40" t="s">
        <v>35</v>
      </c>
      <c r="I4567" s="37" t="s">
        <v>36</v>
      </c>
      <c r="J4567" s="25" t="s">
        <v>92</v>
      </c>
      <c r="K4567" s="26" t="s">
        <v>38</v>
      </c>
      <c r="L4567" s="72">
        <v>13527.0</v>
      </c>
      <c r="M4567" s="49" t="s">
        <v>73</v>
      </c>
      <c r="N4567" s="42" t="s">
        <v>5465</v>
      </c>
      <c r="O4567" s="67">
        <v>45875.393845046296</v>
      </c>
      <c r="P4567" s="35" t="s">
        <v>18107</v>
      </c>
      <c r="Q4567" s="13" t="s">
        <v>75</v>
      </c>
      <c r="R4567" s="13" t="s">
        <v>75</v>
      </c>
      <c r="S4567" s="13" t="s">
        <v>73</v>
      </c>
      <c r="T4567" s="44">
        <v>45866.47890821759</v>
      </c>
      <c r="U4567" s="44">
        <v>45867.42204255787</v>
      </c>
      <c r="V4567" s="44">
        <v>45868.45323315972</v>
      </c>
      <c r="W4567" s="11"/>
      <c r="X4567" s="11"/>
      <c r="Y4567" s="45">
        <v>302.0</v>
      </c>
      <c r="Z4567" s="45" t="s">
        <v>18108</v>
      </c>
      <c r="AA4567" s="31"/>
      <c r="AB4567" s="45" t="s">
        <v>18109</v>
      </c>
      <c r="AC4567" s="45"/>
    </row>
    <row r="4568" ht="18.75" customHeight="1">
      <c r="A4568" s="18" t="s">
        <v>18110</v>
      </c>
      <c r="B4568" s="19" t="s">
        <v>18105</v>
      </c>
      <c r="C4568" s="20">
        <v>27.0</v>
      </c>
      <c r="D4568" s="39" t="s">
        <v>18111</v>
      </c>
      <c r="E4568" s="27" t="s">
        <v>72</v>
      </c>
      <c r="F4568" s="27" t="s">
        <v>48</v>
      </c>
      <c r="G4568" s="18" t="s">
        <v>35</v>
      </c>
      <c r="H4568" s="40" t="s">
        <v>35</v>
      </c>
      <c r="I4568" s="37" t="s">
        <v>36</v>
      </c>
      <c r="J4568" s="25" t="s">
        <v>92</v>
      </c>
      <c r="K4568" s="26" t="s">
        <v>38</v>
      </c>
      <c r="L4568" s="72">
        <v>13527.0</v>
      </c>
      <c r="M4568" s="49" t="s">
        <v>73</v>
      </c>
      <c r="N4568" s="42" t="s">
        <v>5465</v>
      </c>
      <c r="O4568" s="67">
        <v>45875.39391121527</v>
      </c>
      <c r="P4568" s="35" t="s">
        <v>18107</v>
      </c>
      <c r="Q4568" s="13" t="s">
        <v>75</v>
      </c>
      <c r="R4568" s="13" t="s">
        <v>75</v>
      </c>
      <c r="S4568" s="13" t="s">
        <v>73</v>
      </c>
      <c r="T4568" s="44">
        <v>45866.47906189815</v>
      </c>
      <c r="U4568" s="44">
        <v>45867.422082731486</v>
      </c>
      <c r="V4568" s="44">
        <v>45868.455899629625</v>
      </c>
      <c r="W4568" s="11"/>
      <c r="X4568" s="11"/>
      <c r="Y4568" s="45">
        <v>302.0</v>
      </c>
      <c r="Z4568" s="45" t="s">
        <v>18112</v>
      </c>
      <c r="AA4568" s="31"/>
      <c r="AB4568" s="45" t="s">
        <v>18113</v>
      </c>
      <c r="AC4568" s="45"/>
    </row>
    <row r="4569" ht="18.75" customHeight="1">
      <c r="A4569" s="142" t="s">
        <v>18114</v>
      </c>
      <c r="B4569" s="19" t="s">
        <v>1593</v>
      </c>
      <c r="C4569" s="20">
        <v>137.0</v>
      </c>
      <c r="D4569" s="39" t="s">
        <v>18115</v>
      </c>
      <c r="E4569" s="27" t="s">
        <v>85</v>
      </c>
      <c r="F4569" s="27" t="s">
        <v>48</v>
      </c>
      <c r="G4569" s="18" t="s">
        <v>35</v>
      </c>
      <c r="H4569" s="40" t="s">
        <v>35</v>
      </c>
      <c r="I4569" s="37" t="s">
        <v>36</v>
      </c>
      <c r="J4569" s="25" t="s">
        <v>49</v>
      </c>
      <c r="K4569" s="26" t="s">
        <v>38</v>
      </c>
      <c r="L4569" s="72">
        <v>13494.0</v>
      </c>
      <c r="M4569" s="49" t="s">
        <v>50</v>
      </c>
      <c r="N4569" s="42" t="s">
        <v>17048</v>
      </c>
      <c r="O4569" s="67">
        <v>45866.60937386574</v>
      </c>
      <c r="P4569" s="35" t="s">
        <v>18116</v>
      </c>
      <c r="Q4569" s="13" t="s">
        <v>75</v>
      </c>
      <c r="R4569" s="13" t="s">
        <v>75</v>
      </c>
      <c r="S4569" s="13" t="s">
        <v>50</v>
      </c>
      <c r="T4569" s="44">
        <v>45866.48069090278</v>
      </c>
      <c r="U4569" s="44">
        <v>45866.48677052083</v>
      </c>
      <c r="V4569" s="44">
        <v>45866.55452425926</v>
      </c>
      <c r="W4569" s="11"/>
      <c r="X4569" s="11"/>
      <c r="Y4569" s="45">
        <v>302.0</v>
      </c>
      <c r="Z4569" s="45" t="s">
        <v>18117</v>
      </c>
      <c r="AA4569" s="31"/>
      <c r="AB4569" s="45" t="s">
        <v>18118</v>
      </c>
      <c r="AC4569" s="45"/>
    </row>
    <row r="4570" ht="18.75" customHeight="1">
      <c r="A4570" s="18" t="s">
        <v>18119</v>
      </c>
      <c r="B4570" s="19" t="s">
        <v>16682</v>
      </c>
      <c r="C4570" s="20">
        <v>90.0</v>
      </c>
      <c r="D4570" s="39" t="s">
        <v>18120</v>
      </c>
      <c r="E4570" s="27" t="s">
        <v>91</v>
      </c>
      <c r="F4570" s="27" t="s">
        <v>48</v>
      </c>
      <c r="G4570" s="18" t="s">
        <v>35</v>
      </c>
      <c r="H4570" s="40" t="s">
        <v>35</v>
      </c>
      <c r="I4570" s="37" t="s">
        <v>36</v>
      </c>
      <c r="J4570" s="25" t="s">
        <v>49</v>
      </c>
      <c r="K4570" s="26" t="s">
        <v>38</v>
      </c>
      <c r="L4570" s="72">
        <v>13495.0</v>
      </c>
      <c r="M4570" s="49" t="s">
        <v>50</v>
      </c>
      <c r="N4570" s="42" t="s">
        <v>17048</v>
      </c>
      <c r="O4570" s="67">
        <v>45866.60932341435</v>
      </c>
      <c r="P4570" s="35" t="s">
        <v>18121</v>
      </c>
      <c r="Q4570" s="13" t="s">
        <v>75</v>
      </c>
      <c r="R4570" s="13" t="s">
        <v>75</v>
      </c>
      <c r="S4570" s="13" t="s">
        <v>50</v>
      </c>
      <c r="T4570" s="44">
        <v>45866.48850712963</v>
      </c>
      <c r="U4570" s="44">
        <v>45866.50449490741</v>
      </c>
      <c r="V4570" s="44">
        <v>45866.55452425926</v>
      </c>
      <c r="W4570" s="11"/>
      <c r="X4570" s="11"/>
      <c r="Y4570" s="45">
        <v>302.0</v>
      </c>
      <c r="Z4570" s="45" t="s">
        <v>18122</v>
      </c>
      <c r="AA4570" s="31"/>
      <c r="AB4570" s="45" t="s">
        <v>18123</v>
      </c>
      <c r="AC4570" s="45"/>
    </row>
    <row r="4571" ht="18.75" customHeight="1">
      <c r="A4571" s="18" t="s">
        <v>18124</v>
      </c>
      <c r="B4571" s="19" t="s">
        <v>16682</v>
      </c>
      <c r="C4571" s="20">
        <v>0.0</v>
      </c>
      <c r="D4571" s="39" t="s">
        <v>18125</v>
      </c>
      <c r="E4571" s="27" t="s">
        <v>3441</v>
      </c>
      <c r="F4571" s="27" t="s">
        <v>48</v>
      </c>
      <c r="G4571" s="18" t="s">
        <v>35</v>
      </c>
      <c r="H4571" s="40" t="s">
        <v>35</v>
      </c>
      <c r="I4571" s="37" t="s">
        <v>36</v>
      </c>
      <c r="J4571" s="25" t="s">
        <v>49</v>
      </c>
      <c r="K4571" s="26" t="s">
        <v>38</v>
      </c>
      <c r="L4571" s="72">
        <v>13495.0</v>
      </c>
      <c r="M4571" s="49" t="s">
        <v>50</v>
      </c>
      <c r="N4571" s="42" t="s">
        <v>17048</v>
      </c>
      <c r="O4571" s="67">
        <v>45866.609084525466</v>
      </c>
      <c r="P4571" s="35" t="s">
        <v>18121</v>
      </c>
      <c r="Q4571" s="13" t="s">
        <v>75</v>
      </c>
      <c r="R4571" s="13" t="s">
        <v>75</v>
      </c>
      <c r="S4571" s="13" t="s">
        <v>50</v>
      </c>
      <c r="T4571" s="44">
        <v>45866.48866309028</v>
      </c>
      <c r="U4571" s="44">
        <v>45866.504570254634</v>
      </c>
      <c r="V4571" s="44">
        <v>45866.55462760417</v>
      </c>
      <c r="W4571" s="11"/>
      <c r="X4571" s="11"/>
      <c r="Y4571" s="45">
        <v>302.0</v>
      </c>
      <c r="Z4571" s="45" t="s">
        <v>18126</v>
      </c>
      <c r="AA4571" s="31"/>
      <c r="AB4571" s="45" t="s">
        <v>18127</v>
      </c>
      <c r="AC4571" s="45"/>
    </row>
    <row r="4572" ht="18.75" customHeight="1">
      <c r="A4572" s="18" t="s">
        <v>18128</v>
      </c>
      <c r="B4572" s="19" t="s">
        <v>16682</v>
      </c>
      <c r="C4572" s="20">
        <v>0.0</v>
      </c>
      <c r="D4572" s="39" t="s">
        <v>18129</v>
      </c>
      <c r="E4572" s="27" t="s">
        <v>3441</v>
      </c>
      <c r="F4572" s="27" t="s">
        <v>48</v>
      </c>
      <c r="G4572" s="18" t="s">
        <v>35</v>
      </c>
      <c r="H4572" s="40" t="s">
        <v>35</v>
      </c>
      <c r="I4572" s="37" t="s">
        <v>36</v>
      </c>
      <c r="J4572" s="25" t="s">
        <v>49</v>
      </c>
      <c r="K4572" s="26" t="s">
        <v>38</v>
      </c>
      <c r="L4572" s="72">
        <v>13495.0</v>
      </c>
      <c r="M4572" s="49" t="s">
        <v>50</v>
      </c>
      <c r="N4572" s="42" t="s">
        <v>17048</v>
      </c>
      <c r="O4572" s="67">
        <v>45866.60923004629</v>
      </c>
      <c r="P4572" s="35" t="s">
        <v>18121</v>
      </c>
      <c r="Q4572" s="13" t="s">
        <v>75</v>
      </c>
      <c r="R4572" s="13" t="s">
        <v>75</v>
      </c>
      <c r="S4572" s="13" t="s">
        <v>50</v>
      </c>
      <c r="T4572" s="44">
        <v>45866.48877399306</v>
      </c>
      <c r="U4572" s="44">
        <v>45866.504548599536</v>
      </c>
      <c r="V4572" s="44">
        <v>45866.55462760417</v>
      </c>
      <c r="W4572" s="11"/>
      <c r="X4572" s="11"/>
      <c r="Y4572" s="45">
        <v>302.0</v>
      </c>
      <c r="Z4572" s="45" t="s">
        <v>18130</v>
      </c>
      <c r="AA4572" s="31"/>
      <c r="AB4572" s="45" t="s">
        <v>18131</v>
      </c>
      <c r="AC4572" s="45"/>
    </row>
    <row r="4573" ht="18.75" customHeight="1">
      <c r="A4573" s="18" t="s">
        <v>18132</v>
      </c>
      <c r="B4573" s="19" t="s">
        <v>16682</v>
      </c>
      <c r="C4573" s="20">
        <v>34.0</v>
      </c>
      <c r="D4573" s="39" t="s">
        <v>18133</v>
      </c>
      <c r="E4573" s="27" t="s">
        <v>47</v>
      </c>
      <c r="F4573" s="27" t="s">
        <v>48</v>
      </c>
      <c r="G4573" s="18" t="s">
        <v>35</v>
      </c>
      <c r="H4573" s="40" t="s">
        <v>35</v>
      </c>
      <c r="I4573" s="37" t="s">
        <v>36</v>
      </c>
      <c r="J4573" s="25" t="s">
        <v>49</v>
      </c>
      <c r="K4573" s="26" t="s">
        <v>38</v>
      </c>
      <c r="L4573" s="72">
        <v>13495.0</v>
      </c>
      <c r="M4573" s="49" t="s">
        <v>50</v>
      </c>
      <c r="N4573" s="42" t="s">
        <v>17048</v>
      </c>
      <c r="O4573" s="67">
        <v>45866.60927813657</v>
      </c>
      <c r="P4573" s="35" t="s">
        <v>18121</v>
      </c>
      <c r="Q4573" s="13" t="s">
        <v>75</v>
      </c>
      <c r="R4573" s="13" t="s">
        <v>75</v>
      </c>
      <c r="S4573" s="13" t="s">
        <v>50</v>
      </c>
      <c r="T4573" s="44">
        <v>45866.48891079861</v>
      </c>
      <c r="U4573" s="44">
        <v>45866.504525625</v>
      </c>
      <c r="V4573" s="44">
        <v>45866.55462760417</v>
      </c>
      <c r="W4573" s="11"/>
      <c r="X4573" s="11"/>
      <c r="Y4573" s="45">
        <v>302.0</v>
      </c>
      <c r="Z4573" s="45" t="s">
        <v>18134</v>
      </c>
      <c r="AA4573" s="31"/>
      <c r="AB4573" s="45" t="s">
        <v>18135</v>
      </c>
      <c r="AC4573" s="45"/>
    </row>
    <row r="4574" ht="18.75" customHeight="1">
      <c r="A4574" s="142" t="s">
        <v>18136</v>
      </c>
      <c r="B4574" s="19" t="s">
        <v>8071</v>
      </c>
      <c r="C4574" s="20">
        <v>90.0</v>
      </c>
      <c r="D4574" s="39" t="s">
        <v>18137</v>
      </c>
      <c r="E4574" s="27" t="s">
        <v>91</v>
      </c>
      <c r="F4574" s="27" t="s">
        <v>48</v>
      </c>
      <c r="G4574" s="18" t="s">
        <v>35</v>
      </c>
      <c r="H4574" s="40" t="s">
        <v>35</v>
      </c>
      <c r="I4574" s="37" t="s">
        <v>36</v>
      </c>
      <c r="J4574" s="25" t="s">
        <v>49</v>
      </c>
      <c r="K4574" s="26" t="s">
        <v>38</v>
      </c>
      <c r="L4574" s="72">
        <v>13496.0</v>
      </c>
      <c r="M4574" s="49" t="s">
        <v>50</v>
      </c>
      <c r="N4574" s="42" t="s">
        <v>17048</v>
      </c>
      <c r="O4574" s="67">
        <v>45866.60894706019</v>
      </c>
      <c r="P4574" s="35" t="s">
        <v>18138</v>
      </c>
      <c r="Q4574" s="13" t="s">
        <v>75</v>
      </c>
      <c r="R4574" s="13" t="s">
        <v>75</v>
      </c>
      <c r="S4574" s="13" t="s">
        <v>50</v>
      </c>
      <c r="T4574" s="44">
        <v>45866.50942173611</v>
      </c>
      <c r="U4574" s="44">
        <v>45866.512562442134</v>
      </c>
      <c r="V4574" s="44">
        <v>45866.55462760417</v>
      </c>
      <c r="W4574" s="11"/>
      <c r="X4574" s="11"/>
      <c r="Y4574" s="45">
        <v>302.0</v>
      </c>
      <c r="Z4574" s="45" t="s">
        <v>18139</v>
      </c>
      <c r="AA4574" s="31"/>
      <c r="AB4574" s="45" t="s">
        <v>18140</v>
      </c>
      <c r="AC4574" s="45"/>
    </row>
    <row r="4575" ht="18.75" customHeight="1">
      <c r="A4575" s="142" t="s">
        <v>18141</v>
      </c>
      <c r="B4575" s="19" t="s">
        <v>6153</v>
      </c>
      <c r="C4575" s="20">
        <v>11.0</v>
      </c>
      <c r="D4575" s="39" t="s">
        <v>18142</v>
      </c>
      <c r="E4575" s="27" t="s">
        <v>112</v>
      </c>
      <c r="F4575" s="27" t="s">
        <v>48</v>
      </c>
      <c r="G4575" s="18" t="s">
        <v>35</v>
      </c>
      <c r="H4575" s="40" t="s">
        <v>35</v>
      </c>
      <c r="I4575" s="37" t="s">
        <v>36</v>
      </c>
      <c r="J4575" s="25" t="s">
        <v>420</v>
      </c>
      <c r="K4575" s="26" t="s">
        <v>38</v>
      </c>
      <c r="L4575" s="72">
        <v>13515.0</v>
      </c>
      <c r="M4575" s="49" t="s">
        <v>73</v>
      </c>
      <c r="N4575" s="42" t="s">
        <v>4031</v>
      </c>
      <c r="O4575" s="67">
        <v>45867.67538027778</v>
      </c>
      <c r="P4575" s="35" t="s">
        <v>18143</v>
      </c>
      <c r="Q4575" s="13" t="s">
        <v>75</v>
      </c>
      <c r="R4575" s="13" t="s">
        <v>75</v>
      </c>
      <c r="S4575" s="13" t="s">
        <v>73</v>
      </c>
      <c r="T4575" s="44">
        <v>45867.50406460648</v>
      </c>
      <c r="U4575" s="44">
        <v>45867.504090347225</v>
      </c>
      <c r="V4575" s="44">
        <v>45867.52435085648</v>
      </c>
      <c r="W4575" s="11"/>
      <c r="X4575" s="11"/>
      <c r="Y4575" s="45">
        <v>302.0</v>
      </c>
      <c r="Z4575" s="45" t="s">
        <v>18144</v>
      </c>
      <c r="AA4575" s="31"/>
      <c r="AB4575" s="45" t="s">
        <v>18145</v>
      </c>
      <c r="AC4575" s="45"/>
    </row>
    <row r="4576" ht="18.75" customHeight="1">
      <c r="A4576" s="142" t="s">
        <v>18146</v>
      </c>
      <c r="B4576" s="19" t="s">
        <v>4450</v>
      </c>
      <c r="C4576" s="20">
        <v>0.0</v>
      </c>
      <c r="D4576" s="39" t="s">
        <v>18147</v>
      </c>
      <c r="E4576" s="27" t="s">
        <v>3441</v>
      </c>
      <c r="F4576" s="27" t="s">
        <v>48</v>
      </c>
      <c r="G4576" s="18" t="s">
        <v>35</v>
      </c>
      <c r="H4576" s="40" t="s">
        <v>35</v>
      </c>
      <c r="I4576" s="37" t="s">
        <v>18148</v>
      </c>
      <c r="J4576" s="25" t="s">
        <v>92</v>
      </c>
      <c r="K4576" s="26" t="s">
        <v>38</v>
      </c>
      <c r="L4576" s="72">
        <v>13528.0</v>
      </c>
      <c r="M4576" s="213"/>
      <c r="N4576" s="214"/>
      <c r="O4576" s="215"/>
      <c r="P4576" s="35" t="s">
        <v>17486</v>
      </c>
      <c r="Q4576" s="13" t="s">
        <v>75</v>
      </c>
      <c r="R4576" s="13" t="s">
        <v>75</v>
      </c>
      <c r="S4576" s="13" t="s">
        <v>73</v>
      </c>
      <c r="T4576" s="44">
        <v>45866.58590003473</v>
      </c>
      <c r="U4576" s="44">
        <v>45867.420123449076</v>
      </c>
      <c r="V4576" s="44">
        <v>45868.45311883102</v>
      </c>
      <c r="W4576" s="11"/>
      <c r="X4576" s="11"/>
      <c r="Y4576" s="45">
        <v>302.0</v>
      </c>
      <c r="Z4576" s="45" t="s">
        <v>18149</v>
      </c>
      <c r="AA4576" s="31"/>
      <c r="AB4576" s="45" t="s">
        <v>18150</v>
      </c>
      <c r="AC4576" s="45"/>
    </row>
    <row r="4577" ht="18.75" customHeight="1">
      <c r="A4577" s="142" t="s">
        <v>18151</v>
      </c>
      <c r="B4577" s="19" t="s">
        <v>4450</v>
      </c>
      <c r="C4577" s="20">
        <v>137.0</v>
      </c>
      <c r="D4577" s="39" t="s">
        <v>18152</v>
      </c>
      <c r="E4577" s="27" t="s">
        <v>85</v>
      </c>
      <c r="F4577" s="27" t="s">
        <v>48</v>
      </c>
      <c r="G4577" s="18" t="s">
        <v>35</v>
      </c>
      <c r="H4577" s="40" t="s">
        <v>35</v>
      </c>
      <c r="I4577" s="37" t="s">
        <v>36</v>
      </c>
      <c r="J4577" s="25" t="s">
        <v>92</v>
      </c>
      <c r="K4577" s="26" t="s">
        <v>38</v>
      </c>
      <c r="L4577" s="72">
        <v>13529.0</v>
      </c>
      <c r="M4577" s="49" t="s">
        <v>50</v>
      </c>
      <c r="N4577" s="42" t="s">
        <v>18153</v>
      </c>
      <c r="O4577" s="67">
        <v>45916.48523045139</v>
      </c>
      <c r="P4577" s="35" t="s">
        <v>18154</v>
      </c>
      <c r="Q4577" s="13" t="s">
        <v>75</v>
      </c>
      <c r="R4577" s="13" t="s">
        <v>75</v>
      </c>
      <c r="S4577" s="13" t="s">
        <v>73</v>
      </c>
      <c r="T4577" s="44">
        <v>45866.589716041664</v>
      </c>
      <c r="U4577" s="44">
        <v>45867.421186527776</v>
      </c>
      <c r="V4577" s="44">
        <v>45868.455825682875</v>
      </c>
      <c r="W4577" s="11"/>
      <c r="X4577" s="11"/>
      <c r="Y4577" s="45">
        <v>302.0</v>
      </c>
      <c r="Z4577" s="45" t="s">
        <v>18155</v>
      </c>
      <c r="AA4577" s="31"/>
      <c r="AB4577" s="45" t="s">
        <v>18156</v>
      </c>
      <c r="AC4577" s="45"/>
    </row>
    <row r="4578" ht="20.25" customHeight="1">
      <c r="A4578" s="142" t="s">
        <v>18157</v>
      </c>
      <c r="B4578" s="19" t="s">
        <v>4352</v>
      </c>
      <c r="C4578" s="20">
        <v>0.0</v>
      </c>
      <c r="D4578" s="39" t="s">
        <v>18158</v>
      </c>
      <c r="E4578" s="27" t="s">
        <v>3441</v>
      </c>
      <c r="F4578" s="27" t="s">
        <v>48</v>
      </c>
      <c r="G4578" s="18" t="s">
        <v>35</v>
      </c>
      <c r="H4578" s="40" t="s">
        <v>35</v>
      </c>
      <c r="I4578" s="37" t="s">
        <v>36</v>
      </c>
      <c r="J4578" s="25" t="s">
        <v>49</v>
      </c>
      <c r="K4578" s="26" t="s">
        <v>38</v>
      </c>
      <c r="L4578" s="72">
        <v>13510.0</v>
      </c>
      <c r="M4578" s="49" t="s">
        <v>73</v>
      </c>
      <c r="N4578" s="42" t="s">
        <v>5936</v>
      </c>
      <c r="O4578" s="67">
        <v>45867.62028528935</v>
      </c>
      <c r="P4578" s="35" t="s">
        <v>18159</v>
      </c>
      <c r="Q4578" s="13" t="s">
        <v>75</v>
      </c>
      <c r="R4578" s="13" t="s">
        <v>75</v>
      </c>
      <c r="S4578" s="13" t="s">
        <v>73</v>
      </c>
      <c r="T4578" s="44">
        <v>45866.594598564814</v>
      </c>
      <c r="U4578" s="44">
        <v>45867.41173965277</v>
      </c>
      <c r="V4578" s="44">
        <v>45867.456098333336</v>
      </c>
      <c r="W4578" s="11"/>
      <c r="X4578" s="11"/>
      <c r="Y4578" s="45">
        <v>302.0</v>
      </c>
      <c r="Z4578" s="45" t="s">
        <v>18160</v>
      </c>
      <c r="AA4578" s="31"/>
      <c r="AB4578" s="45" t="s">
        <v>18161</v>
      </c>
      <c r="AC4578" s="45"/>
    </row>
    <row r="4579" ht="18.75" customHeight="1">
      <c r="A4579" s="18" t="s">
        <v>18162</v>
      </c>
      <c r="B4579" s="19" t="s">
        <v>451</v>
      </c>
      <c r="C4579" s="20">
        <v>0.0</v>
      </c>
      <c r="D4579" s="179">
        <v>20219.0</v>
      </c>
      <c r="E4579" s="27" t="s">
        <v>18163</v>
      </c>
      <c r="F4579" s="27" t="s">
        <v>244</v>
      </c>
      <c r="G4579" s="18" t="s">
        <v>35</v>
      </c>
      <c r="H4579" s="40" t="s">
        <v>35</v>
      </c>
      <c r="I4579" s="37" t="s">
        <v>36</v>
      </c>
      <c r="J4579" s="25" t="s">
        <v>49</v>
      </c>
      <c r="K4579" s="26" t="s">
        <v>38</v>
      </c>
      <c r="L4579" s="72">
        <v>13537.0</v>
      </c>
      <c r="M4579" s="49" t="s">
        <v>50</v>
      </c>
      <c r="N4579" s="42" t="s">
        <v>5936</v>
      </c>
      <c r="O4579" s="67">
        <v>45869.36320601852</v>
      </c>
      <c r="P4579" s="35" t="s">
        <v>18164</v>
      </c>
      <c r="Q4579" s="13" t="s">
        <v>75</v>
      </c>
      <c r="R4579" s="13" t="s">
        <v>75</v>
      </c>
      <c r="S4579" s="13" t="s">
        <v>9620</v>
      </c>
      <c r="T4579" s="44">
        <v>45866.59735818287</v>
      </c>
      <c r="U4579" s="44">
        <v>45866.663624872686</v>
      </c>
      <c r="V4579" s="44">
        <v>45868.70418559028</v>
      </c>
      <c r="W4579" s="11"/>
      <c r="X4579" s="11"/>
      <c r="Y4579" s="45">
        <v>302.0</v>
      </c>
      <c r="Z4579" s="45" t="s">
        <v>18165</v>
      </c>
      <c r="AA4579" s="31"/>
      <c r="AB4579" s="45" t="s">
        <v>18166</v>
      </c>
      <c r="AC4579" s="45"/>
    </row>
    <row r="4580" ht="18.75" customHeight="1">
      <c r="A4580" s="18" t="s">
        <v>18167</v>
      </c>
      <c r="B4580" s="19" t="s">
        <v>451</v>
      </c>
      <c r="C4580" s="20">
        <v>0.0</v>
      </c>
      <c r="D4580" s="179">
        <v>20023.0</v>
      </c>
      <c r="E4580" s="27" t="s">
        <v>2106</v>
      </c>
      <c r="F4580" s="27" t="s">
        <v>244</v>
      </c>
      <c r="G4580" s="18" t="s">
        <v>35</v>
      </c>
      <c r="H4580" s="40" t="s">
        <v>35</v>
      </c>
      <c r="I4580" s="37" t="s">
        <v>36</v>
      </c>
      <c r="J4580" s="25" t="s">
        <v>49</v>
      </c>
      <c r="K4580" s="26" t="s">
        <v>38</v>
      </c>
      <c r="L4580" s="72">
        <v>13537.0</v>
      </c>
      <c r="M4580" s="49" t="s">
        <v>50</v>
      </c>
      <c r="N4580" s="42" t="s">
        <v>5936</v>
      </c>
      <c r="O4580" s="67">
        <v>45869.36320601852</v>
      </c>
      <c r="P4580" s="35" t="s">
        <v>18164</v>
      </c>
      <c r="Q4580" s="13" t="s">
        <v>75</v>
      </c>
      <c r="R4580" s="13" t="s">
        <v>75</v>
      </c>
      <c r="S4580" s="13" t="s">
        <v>9620</v>
      </c>
      <c r="T4580" s="44">
        <v>45866.66330814815</v>
      </c>
      <c r="U4580" s="44">
        <v>45866.66365001157</v>
      </c>
      <c r="V4580" s="44">
        <v>45868.28660743056</v>
      </c>
      <c r="W4580" s="11"/>
      <c r="X4580" s="11"/>
      <c r="Y4580" s="45">
        <v>302.0</v>
      </c>
      <c r="Z4580" s="45" t="s">
        <v>18168</v>
      </c>
      <c r="AA4580" s="31"/>
      <c r="AB4580" s="45" t="s">
        <v>18169</v>
      </c>
      <c r="AC4580" s="45"/>
    </row>
    <row r="4581" ht="18.75" customHeight="1">
      <c r="A4581" s="18" t="s">
        <v>18170</v>
      </c>
      <c r="B4581" s="19" t="s">
        <v>451</v>
      </c>
      <c r="C4581" s="20">
        <v>0.0</v>
      </c>
      <c r="D4581" s="179">
        <v>20218.0</v>
      </c>
      <c r="E4581" s="27" t="s">
        <v>2106</v>
      </c>
      <c r="F4581" s="27" t="s">
        <v>244</v>
      </c>
      <c r="G4581" s="18" t="s">
        <v>35</v>
      </c>
      <c r="H4581" s="40" t="s">
        <v>35</v>
      </c>
      <c r="I4581" s="37" t="s">
        <v>36</v>
      </c>
      <c r="J4581" s="25" t="s">
        <v>49</v>
      </c>
      <c r="K4581" s="26" t="s">
        <v>38</v>
      </c>
      <c r="L4581" s="72">
        <v>13537.0</v>
      </c>
      <c r="M4581" s="49" t="s">
        <v>50</v>
      </c>
      <c r="N4581" s="42" t="s">
        <v>5936</v>
      </c>
      <c r="O4581" s="67">
        <v>45869.36320601852</v>
      </c>
      <c r="P4581" s="35" t="s">
        <v>18164</v>
      </c>
      <c r="Q4581" s="13" t="s">
        <v>75</v>
      </c>
      <c r="R4581" s="13" t="s">
        <v>75</v>
      </c>
      <c r="S4581" s="13" t="s">
        <v>9620</v>
      </c>
      <c r="T4581" s="44">
        <v>45866.663393090275</v>
      </c>
      <c r="U4581" s="44">
        <v>45866.663676516204</v>
      </c>
      <c r="V4581" s="44">
        <v>45868.70422372685</v>
      </c>
      <c r="W4581" s="11"/>
      <c r="X4581" s="11"/>
      <c r="Y4581" s="45">
        <v>302.0</v>
      </c>
      <c r="Z4581" s="45" t="s">
        <v>18171</v>
      </c>
      <c r="AA4581" s="31"/>
      <c r="AB4581" s="45" t="s">
        <v>18172</v>
      </c>
      <c r="AC4581" s="45"/>
    </row>
    <row r="4582" ht="18.75" customHeight="1">
      <c r="A4582" s="18" t="s">
        <v>18173</v>
      </c>
      <c r="B4582" s="19" t="s">
        <v>4711</v>
      </c>
      <c r="C4582" s="20">
        <v>0.0</v>
      </c>
      <c r="D4582" s="39" t="s">
        <v>18174</v>
      </c>
      <c r="E4582" s="27" t="s">
        <v>3441</v>
      </c>
      <c r="F4582" s="27" t="s">
        <v>48</v>
      </c>
      <c r="G4582" s="18" t="s">
        <v>35</v>
      </c>
      <c r="H4582" s="40" t="s">
        <v>35</v>
      </c>
      <c r="I4582" s="37" t="s">
        <v>36</v>
      </c>
      <c r="J4582" s="34" t="s">
        <v>92</v>
      </c>
      <c r="K4582" s="26" t="s">
        <v>38</v>
      </c>
      <c r="L4582" s="72">
        <v>13511.0</v>
      </c>
      <c r="M4582" s="49" t="s">
        <v>73</v>
      </c>
      <c r="N4582" s="42" t="s">
        <v>18175</v>
      </c>
      <c r="O4582" s="67">
        <v>45867.61910260416</v>
      </c>
      <c r="P4582" s="35" t="s">
        <v>18176</v>
      </c>
      <c r="Q4582" s="13" t="s">
        <v>75</v>
      </c>
      <c r="R4582" s="13" t="s">
        <v>75</v>
      </c>
      <c r="S4582" s="13" t="s">
        <v>73</v>
      </c>
      <c r="T4582" s="44">
        <v>45866.65769824074</v>
      </c>
      <c r="U4582" s="44">
        <v>45867.43140296296</v>
      </c>
      <c r="V4582" s="44">
        <v>45867.45067744213</v>
      </c>
      <c r="W4582" s="11"/>
      <c r="X4582" s="11"/>
      <c r="Y4582" s="45">
        <v>302.0</v>
      </c>
      <c r="Z4582" s="45" t="s">
        <v>18177</v>
      </c>
      <c r="AA4582" s="31"/>
      <c r="AB4582" s="45" t="s">
        <v>18178</v>
      </c>
      <c r="AC4582" s="45"/>
    </row>
    <row r="4583" ht="18.75" customHeight="1">
      <c r="A4583" s="18" t="s">
        <v>18179</v>
      </c>
      <c r="B4583" s="19" t="s">
        <v>4711</v>
      </c>
      <c r="C4583" s="20">
        <v>90.0</v>
      </c>
      <c r="D4583" s="39" t="s">
        <v>18180</v>
      </c>
      <c r="E4583" s="27" t="s">
        <v>91</v>
      </c>
      <c r="F4583" s="27" t="s">
        <v>48</v>
      </c>
      <c r="G4583" s="18" t="s">
        <v>35</v>
      </c>
      <c r="H4583" s="40" t="s">
        <v>35</v>
      </c>
      <c r="I4583" s="37" t="s">
        <v>36</v>
      </c>
      <c r="J4583" s="34" t="s">
        <v>92</v>
      </c>
      <c r="K4583" s="26" t="s">
        <v>38</v>
      </c>
      <c r="L4583" s="72">
        <v>13511.0</v>
      </c>
      <c r="M4583" s="49" t="s">
        <v>73</v>
      </c>
      <c r="N4583" s="42" t="s">
        <v>18175</v>
      </c>
      <c r="O4583" s="67">
        <v>45867.61920410879</v>
      </c>
      <c r="P4583" s="35" t="s">
        <v>18176</v>
      </c>
      <c r="Q4583" s="13" t="s">
        <v>75</v>
      </c>
      <c r="R4583" s="13" t="s">
        <v>75</v>
      </c>
      <c r="S4583" s="13" t="s">
        <v>73</v>
      </c>
      <c r="T4583" s="44">
        <v>45866.65798740741</v>
      </c>
      <c r="U4583" s="44">
        <v>45867.43143431713</v>
      </c>
      <c r="V4583" s="44">
        <v>45867.45077415509</v>
      </c>
      <c r="W4583" s="11"/>
      <c r="X4583" s="11"/>
      <c r="Y4583" s="45">
        <v>302.0</v>
      </c>
      <c r="Z4583" s="45" t="s">
        <v>18181</v>
      </c>
      <c r="AA4583" s="31"/>
      <c r="AB4583" s="45" t="s">
        <v>18182</v>
      </c>
      <c r="AC4583" s="45"/>
    </row>
    <row r="4584" ht="18.75" customHeight="1">
      <c r="A4584" s="142" t="s">
        <v>18183</v>
      </c>
      <c r="B4584" s="19" t="s">
        <v>7403</v>
      </c>
      <c r="C4584" s="20">
        <v>34.0</v>
      </c>
      <c r="D4584" s="39" t="s">
        <v>18184</v>
      </c>
      <c r="E4584" s="27" t="s">
        <v>47</v>
      </c>
      <c r="F4584" s="27" t="s">
        <v>48</v>
      </c>
      <c r="G4584" s="18" t="s">
        <v>35</v>
      </c>
      <c r="H4584" s="40" t="s">
        <v>35</v>
      </c>
      <c r="I4584" s="37" t="s">
        <v>36</v>
      </c>
      <c r="J4584" s="34" t="s">
        <v>92</v>
      </c>
      <c r="K4584" s="26" t="s">
        <v>38</v>
      </c>
      <c r="L4584" s="72">
        <v>13508.0</v>
      </c>
      <c r="M4584" s="49" t="s">
        <v>73</v>
      </c>
      <c r="N4584" s="42" t="s">
        <v>18175</v>
      </c>
      <c r="O4584" s="67">
        <v>45867.61939006945</v>
      </c>
      <c r="P4584" s="35" t="s">
        <v>18185</v>
      </c>
      <c r="Q4584" s="13" t="s">
        <v>75</v>
      </c>
      <c r="R4584" s="13" t="s">
        <v>75</v>
      </c>
      <c r="S4584" s="13" t="s">
        <v>73</v>
      </c>
      <c r="T4584" s="44">
        <v>45866.66113483797</v>
      </c>
      <c r="U4584" s="44">
        <v>45867.40872490741</v>
      </c>
      <c r="V4584" s="44">
        <v>45867.45041924769</v>
      </c>
      <c r="W4584" s="11"/>
      <c r="X4584" s="11"/>
      <c r="Y4584" s="45">
        <v>302.0</v>
      </c>
      <c r="Z4584" s="45" t="s">
        <v>18186</v>
      </c>
      <c r="AA4584" s="31"/>
      <c r="AB4584" s="45" t="s">
        <v>18187</v>
      </c>
      <c r="AC4584" s="45"/>
    </row>
    <row r="4585" ht="18.75" customHeight="1">
      <c r="A4585" s="142" t="s">
        <v>18188</v>
      </c>
      <c r="B4585" s="19" t="s">
        <v>8825</v>
      </c>
      <c r="C4585" s="20">
        <v>90.0</v>
      </c>
      <c r="D4585" s="39" t="s">
        <v>18189</v>
      </c>
      <c r="E4585" s="27" t="s">
        <v>91</v>
      </c>
      <c r="F4585" s="27" t="s">
        <v>48</v>
      </c>
      <c r="G4585" s="18" t="s">
        <v>35</v>
      </c>
      <c r="H4585" s="40" t="s">
        <v>35</v>
      </c>
      <c r="I4585" s="37" t="s">
        <v>36</v>
      </c>
      <c r="J4585" s="25" t="s">
        <v>49</v>
      </c>
      <c r="K4585" s="26" t="s">
        <v>11095</v>
      </c>
      <c r="L4585" s="72">
        <v>13512.0</v>
      </c>
      <c r="M4585" s="49" t="s">
        <v>73</v>
      </c>
      <c r="N4585" s="42" t="s">
        <v>5936</v>
      </c>
      <c r="O4585" s="67">
        <v>45867.620231574074</v>
      </c>
      <c r="P4585" s="35" t="s">
        <v>18190</v>
      </c>
      <c r="Q4585" s="13" t="s">
        <v>75</v>
      </c>
      <c r="R4585" s="13" t="s">
        <v>75</v>
      </c>
      <c r="S4585" s="13" t="s">
        <v>73</v>
      </c>
      <c r="T4585" s="44">
        <v>45866.69609174768</v>
      </c>
      <c r="U4585" s="44">
        <v>45866.69628039352</v>
      </c>
      <c r="V4585" s="44">
        <v>45867.45597974537</v>
      </c>
      <c r="W4585" s="11"/>
      <c r="X4585" s="11"/>
      <c r="Y4585" s="45">
        <v>302.0</v>
      </c>
      <c r="Z4585" s="45" t="s">
        <v>18191</v>
      </c>
      <c r="AA4585" s="31"/>
      <c r="AB4585" s="45" t="s">
        <v>18192</v>
      </c>
      <c r="AC4585" s="45"/>
    </row>
    <row r="4586" ht="18.75" customHeight="1">
      <c r="A4586" s="142" t="s">
        <v>18193</v>
      </c>
      <c r="B4586" s="19" t="s">
        <v>9801</v>
      </c>
      <c r="C4586" s="20">
        <v>27.0</v>
      </c>
      <c r="D4586" s="39" t="s">
        <v>18194</v>
      </c>
      <c r="E4586" s="27" t="s">
        <v>72</v>
      </c>
      <c r="F4586" s="27" t="s">
        <v>48</v>
      </c>
      <c r="G4586" s="18" t="s">
        <v>35</v>
      </c>
      <c r="H4586" s="40" t="s">
        <v>35</v>
      </c>
      <c r="I4586" s="37" t="s">
        <v>36</v>
      </c>
      <c r="J4586" s="25" t="s">
        <v>65</v>
      </c>
      <c r="K4586" s="26" t="s">
        <v>38</v>
      </c>
      <c r="L4586" s="72">
        <v>13514.0</v>
      </c>
      <c r="M4586" s="49" t="s">
        <v>73</v>
      </c>
      <c r="N4586" s="42" t="s">
        <v>16408</v>
      </c>
      <c r="O4586" s="67">
        <v>45867.64897447916</v>
      </c>
      <c r="P4586" s="35" t="s">
        <v>18195</v>
      </c>
      <c r="Q4586" s="13" t="s">
        <v>75</v>
      </c>
      <c r="R4586" s="13" t="s">
        <v>75</v>
      </c>
      <c r="S4586" s="13" t="s">
        <v>73</v>
      </c>
      <c r="T4586" s="44">
        <v>45866.69622863426</v>
      </c>
      <c r="U4586" s="44">
        <v>45867.42411653935</v>
      </c>
      <c r="V4586" s="44">
        <v>45867.47241682871</v>
      </c>
      <c r="W4586" s="11"/>
      <c r="X4586" s="11"/>
      <c r="Y4586" s="45">
        <v>302.0</v>
      </c>
      <c r="Z4586" s="45" t="s">
        <v>18196</v>
      </c>
      <c r="AA4586" s="31"/>
      <c r="AB4586" s="45" t="s">
        <v>18197</v>
      </c>
      <c r="AC4586" s="45"/>
    </row>
    <row r="4587" ht="18.75" customHeight="1">
      <c r="A4587" s="142" t="s">
        <v>18198</v>
      </c>
      <c r="B4587" s="19" t="s">
        <v>7202</v>
      </c>
      <c r="C4587" s="20">
        <v>137.0</v>
      </c>
      <c r="D4587" s="39" t="s">
        <v>18199</v>
      </c>
      <c r="E4587" s="27" t="s">
        <v>85</v>
      </c>
      <c r="F4587" s="27" t="s">
        <v>48</v>
      </c>
      <c r="G4587" s="18" t="s">
        <v>35</v>
      </c>
      <c r="H4587" s="40" t="s">
        <v>35</v>
      </c>
      <c r="I4587" s="37" t="s">
        <v>36</v>
      </c>
      <c r="J4587" s="25" t="s">
        <v>49</v>
      </c>
      <c r="K4587" s="26" t="s">
        <v>38</v>
      </c>
      <c r="L4587" s="72">
        <v>13559.0</v>
      </c>
      <c r="M4587" s="49" t="s">
        <v>50</v>
      </c>
      <c r="N4587" s="42" t="s">
        <v>5936</v>
      </c>
      <c r="O4587" s="67">
        <v>45874.66743545139</v>
      </c>
      <c r="P4587" s="35" t="s">
        <v>18200</v>
      </c>
      <c r="Q4587" s="13" t="s">
        <v>75</v>
      </c>
      <c r="R4587" s="13" t="s">
        <v>75</v>
      </c>
      <c r="S4587" s="13" t="s">
        <v>50</v>
      </c>
      <c r="T4587" s="44">
        <v>45866.68566469908</v>
      </c>
      <c r="U4587" s="44">
        <v>45873.55706160879</v>
      </c>
      <c r="V4587" s="44">
        <v>45874.42930063658</v>
      </c>
      <c r="W4587" s="11"/>
      <c r="X4587" s="11"/>
      <c r="Y4587" s="45">
        <v>302.0</v>
      </c>
      <c r="Z4587" s="45" t="s">
        <v>18201</v>
      </c>
      <c r="AA4587" s="31"/>
      <c r="AB4587" s="45" t="s">
        <v>18202</v>
      </c>
      <c r="AC4587" s="45"/>
    </row>
    <row r="4588" ht="18.75" customHeight="1">
      <c r="A4588" s="142" t="s">
        <v>18203</v>
      </c>
      <c r="B4588" s="19" t="s">
        <v>122</v>
      </c>
      <c r="C4588" s="20">
        <v>90.0</v>
      </c>
      <c r="D4588" s="39" t="s">
        <v>18204</v>
      </c>
      <c r="E4588" s="27" t="s">
        <v>91</v>
      </c>
      <c r="F4588" s="27" t="s">
        <v>48</v>
      </c>
      <c r="G4588" s="18" t="s">
        <v>35</v>
      </c>
      <c r="H4588" s="40" t="s">
        <v>35</v>
      </c>
      <c r="I4588" s="37" t="s">
        <v>36</v>
      </c>
      <c r="J4588" s="25" t="s">
        <v>49</v>
      </c>
      <c r="K4588" s="26" t="s">
        <v>38</v>
      </c>
      <c r="L4588" s="72">
        <v>13522.0</v>
      </c>
      <c r="M4588" s="49" t="s">
        <v>73</v>
      </c>
      <c r="N4588" s="42" t="s">
        <v>17048</v>
      </c>
      <c r="O4588" s="67">
        <v>45868.63129128472</v>
      </c>
      <c r="P4588" s="35" t="s">
        <v>18205</v>
      </c>
      <c r="Q4588" s="13" t="s">
        <v>75</v>
      </c>
      <c r="R4588" s="13" t="s">
        <v>75</v>
      </c>
      <c r="S4588" s="13" t="s">
        <v>73</v>
      </c>
      <c r="T4588" s="44">
        <v>45866.72096091435</v>
      </c>
      <c r="U4588" s="44">
        <v>45867.63874790509</v>
      </c>
      <c r="V4588" s="44">
        <v>45868.4100503588</v>
      </c>
      <c r="W4588" s="11"/>
      <c r="X4588" s="11"/>
      <c r="Y4588" s="45">
        <v>302.0</v>
      </c>
      <c r="Z4588" s="45" t="s">
        <v>18206</v>
      </c>
      <c r="AA4588" s="31"/>
      <c r="AB4588" s="45" t="s">
        <v>18207</v>
      </c>
      <c r="AC4588" s="45"/>
    </row>
    <row r="4589" ht="18.75" customHeight="1">
      <c r="A4589" s="142" t="s">
        <v>18208</v>
      </c>
      <c r="B4589" s="19" t="s">
        <v>3674</v>
      </c>
      <c r="C4589" s="20">
        <v>90.0</v>
      </c>
      <c r="D4589" s="39" t="s">
        <v>18209</v>
      </c>
      <c r="E4589" s="27" t="s">
        <v>91</v>
      </c>
      <c r="F4589" s="27" t="s">
        <v>48</v>
      </c>
      <c r="G4589" s="18" t="s">
        <v>35</v>
      </c>
      <c r="H4589" s="40" t="s">
        <v>35</v>
      </c>
      <c r="I4589" s="37" t="s">
        <v>36</v>
      </c>
      <c r="J4589" s="25" t="s">
        <v>65</v>
      </c>
      <c r="K4589" s="26" t="s">
        <v>38</v>
      </c>
      <c r="L4589" s="72">
        <v>13521.0</v>
      </c>
      <c r="M4589" s="49" t="s">
        <v>73</v>
      </c>
      <c r="N4589" s="42" t="s">
        <v>16408</v>
      </c>
      <c r="O4589" s="67">
        <v>45868.70427457176</v>
      </c>
      <c r="P4589" s="35" t="s">
        <v>18210</v>
      </c>
      <c r="Q4589" s="13" t="s">
        <v>75</v>
      </c>
      <c r="R4589" s="13" t="s">
        <v>75</v>
      </c>
      <c r="S4589" s="13" t="s">
        <v>73</v>
      </c>
      <c r="T4589" s="44">
        <v>45866.72161444444</v>
      </c>
      <c r="U4589" s="44">
        <v>45867.55597623842</v>
      </c>
      <c r="V4589" s="44">
        <v>45868.429488587964</v>
      </c>
      <c r="W4589" s="11"/>
      <c r="X4589" s="11"/>
      <c r="Y4589" s="45">
        <v>302.0</v>
      </c>
      <c r="Z4589" s="45" t="s">
        <v>18211</v>
      </c>
      <c r="AA4589" s="31"/>
      <c r="AB4589" s="45" t="s">
        <v>18212</v>
      </c>
      <c r="AC4589" s="45"/>
    </row>
    <row r="4590" ht="18.75" customHeight="1">
      <c r="A4590" s="32" t="s">
        <v>18213</v>
      </c>
      <c r="B4590" s="19" t="s">
        <v>3645</v>
      </c>
      <c r="C4590" s="20">
        <v>1.0</v>
      </c>
      <c r="D4590" s="39" t="s">
        <v>18214</v>
      </c>
      <c r="E4590" s="27" t="s">
        <v>3395</v>
      </c>
      <c r="F4590" s="27" t="s">
        <v>48</v>
      </c>
      <c r="G4590" s="18" t="s">
        <v>35</v>
      </c>
      <c r="H4590" s="40" t="s">
        <v>35</v>
      </c>
      <c r="I4590" s="37" t="s">
        <v>36</v>
      </c>
      <c r="J4590" s="25" t="s">
        <v>49</v>
      </c>
      <c r="K4590" s="26" t="s">
        <v>38</v>
      </c>
      <c r="L4590" s="72">
        <v>13523.0</v>
      </c>
      <c r="M4590" s="49" t="s">
        <v>73</v>
      </c>
      <c r="N4590" s="42" t="s">
        <v>17048</v>
      </c>
      <c r="O4590" s="67">
        <v>45868.63138423611</v>
      </c>
      <c r="P4590" s="35" t="s">
        <v>18215</v>
      </c>
      <c r="Q4590" s="13" t="s">
        <v>75</v>
      </c>
      <c r="R4590" s="13" t="s">
        <v>75</v>
      </c>
      <c r="S4590" s="13" t="s">
        <v>73</v>
      </c>
      <c r="T4590" s="44">
        <v>45867.69568402778</v>
      </c>
      <c r="U4590" s="44">
        <v>45867.697084803236</v>
      </c>
      <c r="V4590" s="44">
        <v>45868.42312861111</v>
      </c>
      <c r="W4590" s="11"/>
      <c r="X4590" s="148">
        <v>45867.0</v>
      </c>
      <c r="Y4590" s="45">
        <v>302.0</v>
      </c>
      <c r="Z4590" s="45" t="s">
        <v>18216</v>
      </c>
      <c r="AA4590" s="31"/>
      <c r="AB4590" s="45" t="s">
        <v>18217</v>
      </c>
      <c r="AC4590" s="45"/>
    </row>
    <row r="4591" ht="18.75" customHeight="1">
      <c r="A4591" s="32" t="s">
        <v>18218</v>
      </c>
      <c r="B4591" s="19" t="s">
        <v>3645</v>
      </c>
      <c r="C4591" s="20">
        <v>27.0</v>
      </c>
      <c r="D4591" s="39" t="s">
        <v>18219</v>
      </c>
      <c r="E4591" s="27" t="s">
        <v>72</v>
      </c>
      <c r="F4591" s="27" t="s">
        <v>48</v>
      </c>
      <c r="G4591" s="18" t="s">
        <v>35</v>
      </c>
      <c r="H4591" s="40" t="s">
        <v>35</v>
      </c>
      <c r="I4591" s="37" t="s">
        <v>36</v>
      </c>
      <c r="J4591" s="25" t="s">
        <v>49</v>
      </c>
      <c r="K4591" s="26" t="s">
        <v>38</v>
      </c>
      <c r="L4591" s="72">
        <v>13523.0</v>
      </c>
      <c r="M4591" s="49" t="s">
        <v>73</v>
      </c>
      <c r="N4591" s="42" t="s">
        <v>17048</v>
      </c>
      <c r="O4591" s="67">
        <v>45868.63184564815</v>
      </c>
      <c r="P4591" s="35" t="s">
        <v>18215</v>
      </c>
      <c r="Q4591" s="13" t="s">
        <v>75</v>
      </c>
      <c r="R4591" s="13" t="s">
        <v>75</v>
      </c>
      <c r="S4591" s="13" t="s">
        <v>73</v>
      </c>
      <c r="T4591" s="44">
        <v>45867.695496458335</v>
      </c>
      <c r="U4591" s="44">
        <v>45867.697231770835</v>
      </c>
      <c r="V4591" s="44">
        <v>45868.41995497685</v>
      </c>
      <c r="W4591" s="11"/>
      <c r="X4591" s="148">
        <v>45867.0</v>
      </c>
      <c r="Y4591" s="45">
        <v>302.0</v>
      </c>
      <c r="Z4591" s="45" t="s">
        <v>18220</v>
      </c>
      <c r="AA4591" s="31"/>
      <c r="AB4591" s="45" t="s">
        <v>18221</v>
      </c>
      <c r="AC4591" s="45"/>
    </row>
    <row r="4592" ht="18.75" customHeight="1">
      <c r="A4592" s="32" t="s">
        <v>18222</v>
      </c>
      <c r="B4592" s="19" t="s">
        <v>3645</v>
      </c>
      <c r="C4592" s="20">
        <v>27.0</v>
      </c>
      <c r="D4592" s="39" t="s">
        <v>18223</v>
      </c>
      <c r="E4592" s="27" t="s">
        <v>72</v>
      </c>
      <c r="F4592" s="27" t="s">
        <v>48</v>
      </c>
      <c r="G4592" s="18" t="s">
        <v>35</v>
      </c>
      <c r="H4592" s="40" t="s">
        <v>35</v>
      </c>
      <c r="I4592" s="37" t="s">
        <v>36</v>
      </c>
      <c r="J4592" s="25" t="s">
        <v>49</v>
      </c>
      <c r="K4592" s="26" t="s">
        <v>38</v>
      </c>
      <c r="L4592" s="72">
        <v>13523.0</v>
      </c>
      <c r="M4592" s="49" t="s">
        <v>73</v>
      </c>
      <c r="N4592" s="42" t="s">
        <v>17048</v>
      </c>
      <c r="O4592" s="67">
        <v>45868.63189630787</v>
      </c>
      <c r="P4592" s="35" t="s">
        <v>18215</v>
      </c>
      <c r="Q4592" s="13" t="s">
        <v>75</v>
      </c>
      <c r="R4592" s="13" t="s">
        <v>75</v>
      </c>
      <c r="S4592" s="13" t="s">
        <v>73</v>
      </c>
      <c r="T4592" s="44">
        <v>45867.69553336805</v>
      </c>
      <c r="U4592" s="44">
        <v>45867.69725696759</v>
      </c>
      <c r="V4592" s="44">
        <v>45868.42002310185</v>
      </c>
      <c r="W4592" s="11"/>
      <c r="X4592" s="148">
        <v>45867.0</v>
      </c>
      <c r="Y4592" s="45">
        <v>302.0</v>
      </c>
      <c r="Z4592" s="45" t="s">
        <v>18224</v>
      </c>
      <c r="AA4592" s="31"/>
      <c r="AB4592" s="45" t="s">
        <v>18225</v>
      </c>
      <c r="AC4592" s="45"/>
    </row>
    <row r="4593" ht="18.75" customHeight="1">
      <c r="A4593" s="32" t="s">
        <v>18226</v>
      </c>
      <c r="B4593" s="19" t="s">
        <v>3645</v>
      </c>
      <c r="C4593" s="20">
        <v>27.0</v>
      </c>
      <c r="D4593" s="39" t="s">
        <v>18227</v>
      </c>
      <c r="E4593" s="27" t="s">
        <v>72</v>
      </c>
      <c r="F4593" s="27" t="s">
        <v>48</v>
      </c>
      <c r="G4593" s="18" t="s">
        <v>35</v>
      </c>
      <c r="H4593" s="40" t="s">
        <v>35</v>
      </c>
      <c r="I4593" s="37" t="s">
        <v>36</v>
      </c>
      <c r="J4593" s="25" t="s">
        <v>49</v>
      </c>
      <c r="K4593" s="26" t="s">
        <v>38</v>
      </c>
      <c r="L4593" s="72">
        <v>13523.0</v>
      </c>
      <c r="M4593" s="49" t="s">
        <v>73</v>
      </c>
      <c r="N4593" s="42" t="s">
        <v>17048</v>
      </c>
      <c r="O4593" s="67">
        <v>45868.6319510301</v>
      </c>
      <c r="P4593" s="35" t="s">
        <v>18215</v>
      </c>
      <c r="Q4593" s="13" t="s">
        <v>75</v>
      </c>
      <c r="R4593" s="13" t="s">
        <v>75</v>
      </c>
      <c r="S4593" s="13" t="s">
        <v>73</v>
      </c>
      <c r="T4593" s="44">
        <v>45867.69557383102</v>
      </c>
      <c r="U4593" s="44">
        <v>45867.697285104165</v>
      </c>
      <c r="V4593" s="44">
        <v>45868.420113622684</v>
      </c>
      <c r="W4593" s="11"/>
      <c r="X4593" s="148">
        <v>45867.0</v>
      </c>
      <c r="Y4593" s="45">
        <v>302.0</v>
      </c>
      <c r="Z4593" s="45" t="s">
        <v>18228</v>
      </c>
      <c r="AA4593" s="31"/>
      <c r="AB4593" s="45" t="s">
        <v>18229</v>
      </c>
      <c r="AC4593" s="45"/>
    </row>
    <row r="4594" ht="18.75" customHeight="1">
      <c r="A4594" s="32" t="s">
        <v>18230</v>
      </c>
      <c r="B4594" s="19" t="s">
        <v>3645</v>
      </c>
      <c r="C4594" s="20">
        <v>27.0</v>
      </c>
      <c r="D4594" s="39" t="s">
        <v>18231</v>
      </c>
      <c r="E4594" s="27" t="s">
        <v>72</v>
      </c>
      <c r="F4594" s="27" t="s">
        <v>48</v>
      </c>
      <c r="G4594" s="18" t="s">
        <v>35</v>
      </c>
      <c r="H4594" s="40" t="s">
        <v>35</v>
      </c>
      <c r="I4594" s="37" t="s">
        <v>36</v>
      </c>
      <c r="J4594" s="25" t="s">
        <v>49</v>
      </c>
      <c r="K4594" s="26" t="s">
        <v>38</v>
      </c>
      <c r="L4594" s="72">
        <v>13807.0</v>
      </c>
      <c r="M4594" s="49" t="s">
        <v>50</v>
      </c>
      <c r="N4594" s="42" t="s">
        <v>17048</v>
      </c>
      <c r="O4594" s="67">
        <v>45908.58895168982</v>
      </c>
      <c r="P4594" s="35" t="s">
        <v>18215</v>
      </c>
      <c r="Q4594" s="13" t="s">
        <v>75</v>
      </c>
      <c r="R4594" s="13" t="s">
        <v>75</v>
      </c>
      <c r="S4594" s="13" t="s">
        <v>73</v>
      </c>
      <c r="T4594" s="44">
        <v>45903.425518275464</v>
      </c>
      <c r="U4594" s="44">
        <v>45903.426199375</v>
      </c>
      <c r="V4594" s="44">
        <v>45904.44386297454</v>
      </c>
      <c r="W4594" s="11"/>
      <c r="X4594" s="148">
        <v>45867.0</v>
      </c>
      <c r="Y4594" s="45">
        <v>302.0</v>
      </c>
      <c r="Z4594" s="45" t="s">
        <v>18232</v>
      </c>
      <c r="AA4594" s="31"/>
      <c r="AB4594" s="45" t="s">
        <v>18233</v>
      </c>
      <c r="AC4594" s="45"/>
    </row>
    <row r="4595" ht="18.75" customHeight="1">
      <c r="A4595" s="32" t="s">
        <v>18234</v>
      </c>
      <c r="B4595" s="19" t="s">
        <v>3645</v>
      </c>
      <c r="C4595" s="20">
        <v>27.0</v>
      </c>
      <c r="D4595" s="39" t="s">
        <v>18235</v>
      </c>
      <c r="E4595" s="27" t="s">
        <v>72</v>
      </c>
      <c r="F4595" s="27" t="s">
        <v>48</v>
      </c>
      <c r="G4595" s="18" t="s">
        <v>35</v>
      </c>
      <c r="H4595" s="40" t="s">
        <v>35</v>
      </c>
      <c r="I4595" s="37" t="s">
        <v>36</v>
      </c>
      <c r="J4595" s="25" t="s">
        <v>49</v>
      </c>
      <c r="K4595" s="26" t="s">
        <v>38</v>
      </c>
      <c r="L4595" s="72">
        <v>13807.0</v>
      </c>
      <c r="M4595" s="49" t="s">
        <v>50</v>
      </c>
      <c r="N4595" s="42" t="s">
        <v>17048</v>
      </c>
      <c r="O4595" s="67">
        <v>45908.58900252315</v>
      </c>
      <c r="P4595" s="35" t="s">
        <v>18215</v>
      </c>
      <c r="Q4595" s="13" t="s">
        <v>75</v>
      </c>
      <c r="R4595" s="13" t="s">
        <v>75</v>
      </c>
      <c r="S4595" s="13" t="s">
        <v>73</v>
      </c>
      <c r="T4595" s="44">
        <v>45903.42556400463</v>
      </c>
      <c r="U4595" s="44">
        <v>45903.42623890046</v>
      </c>
      <c r="V4595" s="44">
        <v>45904.4439403588</v>
      </c>
      <c r="W4595" s="11"/>
      <c r="X4595" s="148">
        <v>45867.0</v>
      </c>
      <c r="Y4595" s="45">
        <v>302.0</v>
      </c>
      <c r="Z4595" s="45" t="s">
        <v>18236</v>
      </c>
      <c r="AA4595" s="31"/>
      <c r="AB4595" s="45" t="s">
        <v>18237</v>
      </c>
      <c r="AC4595" s="45"/>
    </row>
    <row r="4596" ht="18.75" customHeight="1">
      <c r="A4596" s="32" t="s">
        <v>18238</v>
      </c>
      <c r="B4596" s="19" t="s">
        <v>3645</v>
      </c>
      <c r="C4596" s="20">
        <v>27.0</v>
      </c>
      <c r="D4596" s="39" t="s">
        <v>18239</v>
      </c>
      <c r="E4596" s="27" t="s">
        <v>72</v>
      </c>
      <c r="F4596" s="27" t="s">
        <v>48</v>
      </c>
      <c r="G4596" s="18" t="s">
        <v>35</v>
      </c>
      <c r="H4596" s="40" t="s">
        <v>35</v>
      </c>
      <c r="I4596" s="37" t="s">
        <v>36</v>
      </c>
      <c r="J4596" s="25" t="s">
        <v>49</v>
      </c>
      <c r="K4596" s="26" t="s">
        <v>38</v>
      </c>
      <c r="L4596" s="72">
        <v>13807.0</v>
      </c>
      <c r="M4596" s="49" t="s">
        <v>50</v>
      </c>
      <c r="N4596" s="42" t="s">
        <v>17048</v>
      </c>
      <c r="O4596" s="67">
        <v>45908.58906550926</v>
      </c>
      <c r="P4596" s="35" t="s">
        <v>18215</v>
      </c>
      <c r="Q4596" s="13" t="s">
        <v>75</v>
      </c>
      <c r="R4596" s="13" t="s">
        <v>75</v>
      </c>
      <c r="S4596" s="13" t="s">
        <v>73</v>
      </c>
      <c r="T4596" s="44">
        <v>45903.42562787037</v>
      </c>
      <c r="U4596" s="44">
        <v>45903.42626020833</v>
      </c>
      <c r="V4596" s="44">
        <v>45904.44401684028</v>
      </c>
      <c r="W4596" s="11"/>
      <c r="X4596" s="148">
        <v>45867.0</v>
      </c>
      <c r="Y4596" s="45">
        <v>302.0</v>
      </c>
      <c r="Z4596" s="45" t="s">
        <v>18240</v>
      </c>
      <c r="AA4596" s="31"/>
      <c r="AB4596" s="45" t="s">
        <v>18241</v>
      </c>
      <c r="AC4596" s="45"/>
    </row>
    <row r="4597" ht="18.75" customHeight="1">
      <c r="A4597" s="32" t="s">
        <v>18242</v>
      </c>
      <c r="B4597" s="19" t="s">
        <v>3645</v>
      </c>
      <c r="C4597" s="20">
        <v>137.0</v>
      </c>
      <c r="D4597" s="39" t="s">
        <v>18243</v>
      </c>
      <c r="E4597" s="27" t="s">
        <v>85</v>
      </c>
      <c r="F4597" s="27" t="s">
        <v>48</v>
      </c>
      <c r="G4597" s="18" t="s">
        <v>35</v>
      </c>
      <c r="H4597" s="40" t="s">
        <v>35</v>
      </c>
      <c r="I4597" s="37" t="s">
        <v>36</v>
      </c>
      <c r="J4597" s="25" t="s">
        <v>49</v>
      </c>
      <c r="K4597" s="26" t="s">
        <v>38</v>
      </c>
      <c r="L4597" s="72">
        <v>13523.0</v>
      </c>
      <c r="M4597" s="49" t="s">
        <v>73</v>
      </c>
      <c r="N4597" s="42" t="s">
        <v>17048</v>
      </c>
      <c r="O4597" s="67">
        <v>45868.63200375</v>
      </c>
      <c r="P4597" s="35" t="s">
        <v>18215</v>
      </c>
      <c r="Q4597" s="13" t="s">
        <v>75</v>
      </c>
      <c r="R4597" s="13" t="s">
        <v>75</v>
      </c>
      <c r="S4597" s="13" t="s">
        <v>73</v>
      </c>
      <c r="T4597" s="44">
        <v>45867.69593671296</v>
      </c>
      <c r="U4597" s="44">
        <v>45867.69731206019</v>
      </c>
      <c r="V4597" s="44">
        <v>45868.416908750005</v>
      </c>
      <c r="W4597" s="11"/>
      <c r="X4597" s="148">
        <v>45867.0</v>
      </c>
      <c r="Y4597" s="45"/>
      <c r="Z4597" s="45"/>
      <c r="AA4597" s="31"/>
      <c r="AB4597" s="45" t="s">
        <v>18244</v>
      </c>
      <c r="AC4597" s="45"/>
    </row>
    <row r="4598" ht="18.75" customHeight="1">
      <c r="A4598" s="32" t="s">
        <v>18245</v>
      </c>
      <c r="B4598" s="19" t="s">
        <v>3645</v>
      </c>
      <c r="C4598" s="20">
        <v>137.0</v>
      </c>
      <c r="D4598" s="39" t="s">
        <v>18246</v>
      </c>
      <c r="E4598" s="27" t="s">
        <v>85</v>
      </c>
      <c r="F4598" s="27" t="s">
        <v>48</v>
      </c>
      <c r="G4598" s="18" t="s">
        <v>35</v>
      </c>
      <c r="H4598" s="40" t="s">
        <v>35</v>
      </c>
      <c r="I4598" s="37" t="s">
        <v>36</v>
      </c>
      <c r="J4598" s="25" t="s">
        <v>49</v>
      </c>
      <c r="K4598" s="26" t="s">
        <v>38</v>
      </c>
      <c r="L4598" s="72">
        <v>13523.0</v>
      </c>
      <c r="M4598" s="49" t="s">
        <v>73</v>
      </c>
      <c r="N4598" s="42" t="s">
        <v>17048</v>
      </c>
      <c r="O4598" s="67">
        <v>45868.63205775463</v>
      </c>
      <c r="P4598" s="35" t="s">
        <v>18215</v>
      </c>
      <c r="Q4598" s="13" t="s">
        <v>75</v>
      </c>
      <c r="R4598" s="13" t="s">
        <v>75</v>
      </c>
      <c r="S4598" s="13" t="s">
        <v>73</v>
      </c>
      <c r="T4598" s="44">
        <v>45867.69597877315</v>
      </c>
      <c r="U4598" s="44">
        <v>45867.69733833333</v>
      </c>
      <c r="V4598" s="44">
        <v>45868.417085312496</v>
      </c>
      <c r="W4598" s="11"/>
      <c r="X4598" s="148">
        <v>45867.0</v>
      </c>
      <c r="Y4598" s="45">
        <v>302.0</v>
      </c>
      <c r="Z4598" s="45" t="s">
        <v>18247</v>
      </c>
      <c r="AA4598" s="31"/>
      <c r="AB4598" s="45" t="s">
        <v>18248</v>
      </c>
      <c r="AC4598" s="45"/>
    </row>
    <row r="4599" ht="18.75" customHeight="1">
      <c r="A4599" s="32" t="s">
        <v>18249</v>
      </c>
      <c r="B4599" s="19" t="s">
        <v>3645</v>
      </c>
      <c r="C4599" s="20">
        <v>137.0</v>
      </c>
      <c r="D4599" s="39" t="s">
        <v>18250</v>
      </c>
      <c r="E4599" s="27" t="s">
        <v>85</v>
      </c>
      <c r="F4599" s="27" t="s">
        <v>48</v>
      </c>
      <c r="G4599" s="18" t="s">
        <v>35</v>
      </c>
      <c r="H4599" s="40" t="s">
        <v>35</v>
      </c>
      <c r="I4599" s="37" t="s">
        <v>36</v>
      </c>
      <c r="J4599" s="25" t="s">
        <v>49</v>
      </c>
      <c r="K4599" s="26" t="s">
        <v>38</v>
      </c>
      <c r="L4599" s="72">
        <v>13807.0</v>
      </c>
      <c r="M4599" s="49" t="s">
        <v>50</v>
      </c>
      <c r="N4599" s="42" t="s">
        <v>17048</v>
      </c>
      <c r="O4599" s="67">
        <v>45908.58912358797</v>
      </c>
      <c r="P4599" s="35" t="s">
        <v>18215</v>
      </c>
      <c r="Q4599" s="13" t="s">
        <v>75</v>
      </c>
      <c r="R4599" s="13" t="s">
        <v>75</v>
      </c>
      <c r="S4599" s="13" t="s">
        <v>73</v>
      </c>
      <c r="T4599" s="44">
        <v>45903.4255972338</v>
      </c>
      <c r="U4599" s="44">
        <v>45903.42628545139</v>
      </c>
      <c r="V4599" s="44">
        <v>45904.444215497686</v>
      </c>
      <c r="W4599" s="11"/>
      <c r="X4599" s="148">
        <v>45867.0</v>
      </c>
      <c r="Y4599" s="45">
        <v>302.0</v>
      </c>
      <c r="Z4599" s="45" t="s">
        <v>18251</v>
      </c>
      <c r="AA4599" s="31"/>
      <c r="AB4599" s="45" t="s">
        <v>18252</v>
      </c>
      <c r="AC4599" s="45"/>
    </row>
    <row r="4600" ht="18.75" customHeight="1">
      <c r="A4600" s="32" t="s">
        <v>18253</v>
      </c>
      <c r="B4600" s="19" t="s">
        <v>3645</v>
      </c>
      <c r="C4600" s="20">
        <v>90.0</v>
      </c>
      <c r="D4600" s="39" t="s">
        <v>18254</v>
      </c>
      <c r="E4600" s="27" t="s">
        <v>91</v>
      </c>
      <c r="F4600" s="27" t="s">
        <v>48</v>
      </c>
      <c r="G4600" s="18" t="s">
        <v>35</v>
      </c>
      <c r="H4600" s="40" t="s">
        <v>35</v>
      </c>
      <c r="I4600" s="37" t="s">
        <v>36</v>
      </c>
      <c r="J4600" s="25" t="s">
        <v>49</v>
      </c>
      <c r="K4600" s="26" t="s">
        <v>38</v>
      </c>
      <c r="L4600" s="72">
        <v>13523.0</v>
      </c>
      <c r="M4600" s="49" t="s">
        <v>73</v>
      </c>
      <c r="N4600" s="42" t="s">
        <v>17048</v>
      </c>
      <c r="O4600" s="67">
        <v>45868.632259606486</v>
      </c>
      <c r="P4600" s="35" t="s">
        <v>18215</v>
      </c>
      <c r="Q4600" s="13" t="s">
        <v>75</v>
      </c>
      <c r="R4600" s="13" t="s">
        <v>75</v>
      </c>
      <c r="S4600" s="13" t="s">
        <v>73</v>
      </c>
      <c r="T4600" s="44">
        <v>45867.69615716435</v>
      </c>
      <c r="U4600" s="44">
        <v>45867.69736979167</v>
      </c>
      <c r="V4600" s="44">
        <v>45868.41012237269</v>
      </c>
      <c r="W4600" s="11"/>
      <c r="X4600" s="148">
        <v>45867.0</v>
      </c>
      <c r="Y4600" s="45">
        <v>302.0</v>
      </c>
      <c r="Z4600" s="45" t="s">
        <v>18255</v>
      </c>
      <c r="AA4600" s="31"/>
      <c r="AB4600" s="45" t="s">
        <v>18256</v>
      </c>
      <c r="AC4600" s="45"/>
    </row>
    <row r="4601" ht="18.75" customHeight="1">
      <c r="A4601" s="32" t="s">
        <v>18257</v>
      </c>
      <c r="B4601" s="19" t="s">
        <v>3645</v>
      </c>
      <c r="C4601" s="20">
        <v>1.0</v>
      </c>
      <c r="D4601" s="39" t="s">
        <v>18258</v>
      </c>
      <c r="E4601" s="27" t="s">
        <v>3395</v>
      </c>
      <c r="F4601" s="27" t="s">
        <v>48</v>
      </c>
      <c r="G4601" s="18" t="s">
        <v>35</v>
      </c>
      <c r="H4601" s="40" t="s">
        <v>35</v>
      </c>
      <c r="I4601" s="37" t="s">
        <v>36</v>
      </c>
      <c r="J4601" s="25" t="s">
        <v>49</v>
      </c>
      <c r="K4601" s="26" t="s">
        <v>38</v>
      </c>
      <c r="L4601" s="72">
        <v>13523.0</v>
      </c>
      <c r="M4601" s="49" t="s">
        <v>73</v>
      </c>
      <c r="N4601" s="42" t="s">
        <v>17048</v>
      </c>
      <c r="O4601" s="67">
        <v>45868.63152425926</v>
      </c>
      <c r="P4601" s="35" t="s">
        <v>18215</v>
      </c>
      <c r="Q4601" s="13" t="s">
        <v>75</v>
      </c>
      <c r="R4601" s="13" t="s">
        <v>75</v>
      </c>
      <c r="S4601" s="13" t="s">
        <v>73</v>
      </c>
      <c r="T4601" s="44">
        <v>45867.69492663194</v>
      </c>
      <c r="U4601" s="44">
        <v>45867.697126875</v>
      </c>
      <c r="V4601" s="44">
        <v>45868.42319417824</v>
      </c>
      <c r="W4601" s="11"/>
      <c r="X4601" s="148">
        <v>45867.0</v>
      </c>
      <c r="Y4601" s="45">
        <v>302.0</v>
      </c>
      <c r="Z4601" s="45" t="s">
        <v>18259</v>
      </c>
      <c r="AA4601" s="31"/>
      <c r="AB4601" s="45" t="s">
        <v>18260</v>
      </c>
      <c r="AC4601" s="45"/>
    </row>
    <row r="4602" ht="18.75" customHeight="1">
      <c r="A4602" s="32" t="s">
        <v>18261</v>
      </c>
      <c r="B4602" s="19" t="s">
        <v>3645</v>
      </c>
      <c r="C4602" s="20">
        <v>90.0</v>
      </c>
      <c r="D4602" s="39" t="s">
        <v>18262</v>
      </c>
      <c r="E4602" s="27" t="s">
        <v>91</v>
      </c>
      <c r="F4602" s="27" t="s">
        <v>48</v>
      </c>
      <c r="G4602" s="18" t="s">
        <v>35</v>
      </c>
      <c r="H4602" s="40" t="s">
        <v>35</v>
      </c>
      <c r="I4602" s="37" t="s">
        <v>36</v>
      </c>
      <c r="J4602" s="25" t="s">
        <v>49</v>
      </c>
      <c r="K4602" s="26" t="s">
        <v>38</v>
      </c>
      <c r="L4602" s="72">
        <v>13523.0</v>
      </c>
      <c r="M4602" s="49" t="s">
        <v>73</v>
      </c>
      <c r="N4602" s="42" t="s">
        <v>17048</v>
      </c>
      <c r="O4602" s="67">
        <v>45868.632311967594</v>
      </c>
      <c r="P4602" s="35" t="s">
        <v>18215</v>
      </c>
      <c r="Q4602" s="13" t="s">
        <v>75</v>
      </c>
      <c r="R4602" s="13" t="s">
        <v>75</v>
      </c>
      <c r="S4602" s="13" t="s">
        <v>73</v>
      </c>
      <c r="T4602" s="44">
        <v>45867.69621034722</v>
      </c>
      <c r="U4602" s="44">
        <v>45867.69739291667</v>
      </c>
      <c r="V4602" s="44">
        <v>45868.41020416666</v>
      </c>
      <c r="W4602" s="11"/>
      <c r="X4602" s="148">
        <v>45867.0</v>
      </c>
      <c r="Y4602" s="45">
        <v>302.0</v>
      </c>
      <c r="Z4602" s="45" t="s">
        <v>18263</v>
      </c>
      <c r="AA4602" s="31"/>
      <c r="AB4602" s="45" t="s">
        <v>18264</v>
      </c>
      <c r="AC4602" s="45"/>
    </row>
    <row r="4603" ht="18.75" customHeight="1">
      <c r="A4603" s="32" t="s">
        <v>18265</v>
      </c>
      <c r="B4603" s="19" t="s">
        <v>3645</v>
      </c>
      <c r="C4603" s="20">
        <v>90.0</v>
      </c>
      <c r="D4603" s="39" t="s">
        <v>18266</v>
      </c>
      <c r="E4603" s="27" t="s">
        <v>91</v>
      </c>
      <c r="F4603" s="27" t="s">
        <v>48</v>
      </c>
      <c r="G4603" s="18" t="s">
        <v>35</v>
      </c>
      <c r="H4603" s="40" t="s">
        <v>35</v>
      </c>
      <c r="I4603" s="37" t="s">
        <v>36</v>
      </c>
      <c r="J4603" s="25" t="s">
        <v>49</v>
      </c>
      <c r="K4603" s="26" t="s">
        <v>38</v>
      </c>
      <c r="L4603" s="72">
        <v>13523.0</v>
      </c>
      <c r="M4603" s="49" t="s">
        <v>73</v>
      </c>
      <c r="N4603" s="42" t="s">
        <v>17048</v>
      </c>
      <c r="O4603" s="67">
        <v>45868.6323662037</v>
      </c>
      <c r="P4603" s="35" t="s">
        <v>18215</v>
      </c>
      <c r="Q4603" s="13" t="s">
        <v>75</v>
      </c>
      <c r="R4603" s="13" t="s">
        <v>75</v>
      </c>
      <c r="S4603" s="13" t="s">
        <v>73</v>
      </c>
      <c r="T4603" s="44">
        <v>45867.69624560185</v>
      </c>
      <c r="U4603" s="44">
        <v>45867.69741854166</v>
      </c>
      <c r="V4603" s="44">
        <v>45868.41027354167</v>
      </c>
      <c r="W4603" s="11"/>
      <c r="X4603" s="148">
        <v>45867.0</v>
      </c>
      <c r="Y4603" s="45">
        <v>302.0</v>
      </c>
      <c r="Z4603" s="45" t="s">
        <v>18267</v>
      </c>
      <c r="AA4603" s="31"/>
      <c r="AB4603" s="45" t="s">
        <v>18268</v>
      </c>
      <c r="AC4603" s="45"/>
    </row>
    <row r="4604" ht="18.75" customHeight="1">
      <c r="A4604" s="32" t="s">
        <v>18269</v>
      </c>
      <c r="B4604" s="19" t="s">
        <v>3645</v>
      </c>
      <c r="C4604" s="20">
        <v>90.0</v>
      </c>
      <c r="D4604" s="39" t="s">
        <v>18270</v>
      </c>
      <c r="E4604" s="27" t="s">
        <v>91</v>
      </c>
      <c r="F4604" s="27" t="s">
        <v>48</v>
      </c>
      <c r="G4604" s="18" t="s">
        <v>35</v>
      </c>
      <c r="H4604" s="40" t="s">
        <v>35</v>
      </c>
      <c r="I4604" s="37" t="s">
        <v>36</v>
      </c>
      <c r="J4604" s="25" t="s">
        <v>49</v>
      </c>
      <c r="K4604" s="26" t="s">
        <v>38</v>
      </c>
      <c r="L4604" s="72">
        <v>13523.0</v>
      </c>
      <c r="M4604" s="49" t="s">
        <v>73</v>
      </c>
      <c r="N4604" s="42" t="s">
        <v>17048</v>
      </c>
      <c r="O4604" s="67">
        <v>45868.63243888889</v>
      </c>
      <c r="P4604" s="35" t="s">
        <v>18215</v>
      </c>
      <c r="Q4604" s="13" t="s">
        <v>75</v>
      </c>
      <c r="R4604" s="13" t="s">
        <v>75</v>
      </c>
      <c r="S4604" s="13" t="s">
        <v>73</v>
      </c>
      <c r="T4604" s="44">
        <v>45867.696628923615</v>
      </c>
      <c r="U4604" s="44">
        <v>45867.69744506944</v>
      </c>
      <c r="V4604" s="44">
        <v>45868.410354085645</v>
      </c>
      <c r="W4604" s="11"/>
      <c r="X4604" s="148">
        <v>45867.0</v>
      </c>
      <c r="Y4604" s="45">
        <v>302.0</v>
      </c>
      <c r="Z4604" s="45" t="s">
        <v>18271</v>
      </c>
      <c r="AA4604" s="31"/>
      <c r="AB4604" s="45" t="s">
        <v>18272</v>
      </c>
      <c r="AC4604" s="45"/>
    </row>
    <row r="4605" ht="18.75" customHeight="1">
      <c r="A4605" s="32" t="s">
        <v>18273</v>
      </c>
      <c r="B4605" s="19" t="s">
        <v>3645</v>
      </c>
      <c r="C4605" s="20">
        <v>90.0</v>
      </c>
      <c r="D4605" s="39" t="s">
        <v>18274</v>
      </c>
      <c r="E4605" s="27" t="s">
        <v>91</v>
      </c>
      <c r="F4605" s="27" t="s">
        <v>48</v>
      </c>
      <c r="G4605" s="18" t="s">
        <v>35</v>
      </c>
      <c r="H4605" s="40" t="s">
        <v>35</v>
      </c>
      <c r="I4605" s="37" t="s">
        <v>36</v>
      </c>
      <c r="J4605" s="25" t="s">
        <v>49</v>
      </c>
      <c r="K4605" s="26" t="s">
        <v>38</v>
      </c>
      <c r="L4605" s="72">
        <v>13523.0</v>
      </c>
      <c r="M4605" s="49" t="s">
        <v>73</v>
      </c>
      <c r="N4605" s="42" t="s">
        <v>17048</v>
      </c>
      <c r="O4605" s="67">
        <v>45868.63249120371</v>
      </c>
      <c r="P4605" s="35" t="s">
        <v>18215</v>
      </c>
      <c r="Q4605" s="13" t="s">
        <v>75</v>
      </c>
      <c r="R4605" s="13" t="s">
        <v>75</v>
      </c>
      <c r="S4605" s="13" t="s">
        <v>73</v>
      </c>
      <c r="T4605" s="44">
        <v>45867.696317650465</v>
      </c>
      <c r="U4605" s="44">
        <v>45867.69747429398</v>
      </c>
      <c r="V4605" s="44">
        <v>45868.41044412037</v>
      </c>
      <c r="W4605" s="11"/>
      <c r="X4605" s="148">
        <v>45867.0</v>
      </c>
      <c r="Y4605" s="45">
        <v>302.0</v>
      </c>
      <c r="Z4605" s="45" t="s">
        <v>18275</v>
      </c>
      <c r="AA4605" s="31"/>
      <c r="AB4605" s="45" t="s">
        <v>18276</v>
      </c>
      <c r="AC4605" s="45"/>
    </row>
    <row r="4606" ht="18.75" customHeight="1">
      <c r="A4606" s="32" t="s">
        <v>18277</v>
      </c>
      <c r="B4606" s="19" t="s">
        <v>3645</v>
      </c>
      <c r="C4606" s="20">
        <v>90.0</v>
      </c>
      <c r="D4606" s="39" t="s">
        <v>18278</v>
      </c>
      <c r="E4606" s="27" t="s">
        <v>91</v>
      </c>
      <c r="F4606" s="27" t="s">
        <v>48</v>
      </c>
      <c r="G4606" s="18" t="s">
        <v>35</v>
      </c>
      <c r="H4606" s="40" t="s">
        <v>35</v>
      </c>
      <c r="I4606" s="37" t="s">
        <v>36</v>
      </c>
      <c r="J4606" s="25" t="s">
        <v>49</v>
      </c>
      <c r="K4606" s="26" t="s">
        <v>38</v>
      </c>
      <c r="L4606" s="72">
        <v>13807.0</v>
      </c>
      <c r="M4606" s="49" t="s">
        <v>50</v>
      </c>
      <c r="N4606" s="42" t="s">
        <v>17048</v>
      </c>
      <c r="O4606" s="67">
        <v>45908.589345706016</v>
      </c>
      <c r="P4606" s="35" t="s">
        <v>18215</v>
      </c>
      <c r="Q4606" s="13" t="s">
        <v>75</v>
      </c>
      <c r="R4606" s="13" t="s">
        <v>75</v>
      </c>
      <c r="S4606" s="13" t="s">
        <v>73</v>
      </c>
      <c r="T4606" s="44">
        <v>45903.425666469906</v>
      </c>
      <c r="U4606" s="44">
        <v>45903.42630706019</v>
      </c>
      <c r="V4606" s="44">
        <v>45904.44432846065</v>
      </c>
      <c r="W4606" s="11"/>
      <c r="X4606" s="148">
        <v>45867.0</v>
      </c>
      <c r="Y4606" s="45">
        <v>302.0</v>
      </c>
      <c r="Z4606" s="45" t="s">
        <v>18279</v>
      </c>
      <c r="AA4606" s="31"/>
      <c r="AB4606" s="45" t="s">
        <v>18280</v>
      </c>
      <c r="AC4606" s="45"/>
    </row>
    <row r="4607" ht="18.75" customHeight="1">
      <c r="A4607" s="32" t="s">
        <v>18281</v>
      </c>
      <c r="B4607" s="19" t="s">
        <v>3645</v>
      </c>
      <c r="C4607" s="20">
        <v>90.0</v>
      </c>
      <c r="D4607" s="39" t="s">
        <v>18282</v>
      </c>
      <c r="E4607" s="27" t="s">
        <v>91</v>
      </c>
      <c r="F4607" s="27" t="s">
        <v>48</v>
      </c>
      <c r="G4607" s="18" t="s">
        <v>35</v>
      </c>
      <c r="H4607" s="40" t="s">
        <v>35</v>
      </c>
      <c r="I4607" s="37" t="s">
        <v>36</v>
      </c>
      <c r="J4607" s="25" t="s">
        <v>49</v>
      </c>
      <c r="K4607" s="26" t="s">
        <v>38</v>
      </c>
      <c r="L4607" s="72">
        <v>13807.0</v>
      </c>
      <c r="M4607" s="49" t="s">
        <v>50</v>
      </c>
      <c r="N4607" s="42" t="s">
        <v>17048</v>
      </c>
      <c r="O4607" s="67">
        <v>45908.58956021991</v>
      </c>
      <c r="P4607" s="35" t="s">
        <v>18215</v>
      </c>
      <c r="Q4607" s="13" t="s">
        <v>75</v>
      </c>
      <c r="R4607" s="13" t="s">
        <v>75</v>
      </c>
      <c r="S4607" s="13" t="s">
        <v>73</v>
      </c>
      <c r="T4607" s="44">
        <v>45903.425843136574</v>
      </c>
      <c r="U4607" s="44">
        <v>45903.42632763889</v>
      </c>
      <c r="V4607" s="44">
        <v>45904.44681450231</v>
      </c>
      <c r="W4607" s="11"/>
      <c r="X4607" s="148">
        <v>45867.0</v>
      </c>
      <c r="Y4607" s="45">
        <v>302.0</v>
      </c>
      <c r="Z4607" s="45" t="s">
        <v>18283</v>
      </c>
      <c r="AA4607" s="31"/>
      <c r="AB4607" s="45" t="s">
        <v>18284</v>
      </c>
      <c r="AC4607" s="45"/>
    </row>
    <row r="4608" ht="18.75" customHeight="1">
      <c r="A4608" s="32" t="s">
        <v>18285</v>
      </c>
      <c r="B4608" s="19" t="s">
        <v>3645</v>
      </c>
      <c r="C4608" s="20">
        <v>90.0</v>
      </c>
      <c r="D4608" s="39" t="s">
        <v>18286</v>
      </c>
      <c r="E4608" s="27" t="s">
        <v>91</v>
      </c>
      <c r="F4608" s="27" t="s">
        <v>48</v>
      </c>
      <c r="G4608" s="18" t="s">
        <v>35</v>
      </c>
      <c r="H4608" s="40" t="s">
        <v>35</v>
      </c>
      <c r="I4608" s="37" t="s">
        <v>36</v>
      </c>
      <c r="J4608" s="25" t="s">
        <v>49</v>
      </c>
      <c r="K4608" s="26" t="s">
        <v>38</v>
      </c>
      <c r="L4608" s="72">
        <v>13807.0</v>
      </c>
      <c r="M4608" s="49" t="s">
        <v>50</v>
      </c>
      <c r="N4608" s="42" t="s">
        <v>17048</v>
      </c>
      <c r="O4608" s="67">
        <v>45908.58982190972</v>
      </c>
      <c r="P4608" s="35" t="s">
        <v>18215</v>
      </c>
      <c r="Q4608" s="13" t="s">
        <v>75</v>
      </c>
      <c r="R4608" s="13" t="s">
        <v>75</v>
      </c>
      <c r="S4608" s="13" t="s">
        <v>73</v>
      </c>
      <c r="T4608" s="44">
        <v>45903.42569560185</v>
      </c>
      <c r="U4608" s="44">
        <v>45903.42634984954</v>
      </c>
      <c r="V4608" s="44">
        <v>45904.44690418981</v>
      </c>
      <c r="W4608" s="11"/>
      <c r="X4608" s="148">
        <v>45867.0</v>
      </c>
      <c r="Y4608" s="45">
        <v>302.0</v>
      </c>
      <c r="Z4608" s="45" t="s">
        <v>18287</v>
      </c>
      <c r="AA4608" s="31"/>
      <c r="AB4608" s="45" t="s">
        <v>18288</v>
      </c>
      <c r="AC4608" s="45"/>
    </row>
    <row r="4609" ht="18.75" customHeight="1">
      <c r="A4609" s="32" t="s">
        <v>18289</v>
      </c>
      <c r="B4609" s="19" t="s">
        <v>3645</v>
      </c>
      <c r="C4609" s="20">
        <v>90.0</v>
      </c>
      <c r="D4609" s="39" t="s">
        <v>18290</v>
      </c>
      <c r="E4609" s="27" t="s">
        <v>91</v>
      </c>
      <c r="F4609" s="27" t="s">
        <v>48</v>
      </c>
      <c r="G4609" s="18" t="s">
        <v>35</v>
      </c>
      <c r="H4609" s="40" t="s">
        <v>35</v>
      </c>
      <c r="I4609" s="37" t="s">
        <v>36</v>
      </c>
      <c r="J4609" s="25" t="s">
        <v>49</v>
      </c>
      <c r="K4609" s="26" t="s">
        <v>38</v>
      </c>
      <c r="L4609" s="72">
        <v>13807.0</v>
      </c>
      <c r="M4609" s="49" t="s">
        <v>50</v>
      </c>
      <c r="N4609" s="42" t="s">
        <v>17048</v>
      </c>
      <c r="O4609" s="67">
        <v>45908.59013295139</v>
      </c>
      <c r="P4609" s="35" t="s">
        <v>18215</v>
      </c>
      <c r="Q4609" s="13" t="s">
        <v>75</v>
      </c>
      <c r="R4609" s="13" t="s">
        <v>75</v>
      </c>
      <c r="S4609" s="13" t="s">
        <v>73</v>
      </c>
      <c r="T4609" s="44">
        <v>45903.42572481481</v>
      </c>
      <c r="U4609" s="44">
        <v>45903.426370497684</v>
      </c>
      <c r="V4609" s="44">
        <v>45904.44868565972</v>
      </c>
      <c r="W4609" s="11"/>
      <c r="X4609" s="148">
        <v>45867.0</v>
      </c>
      <c r="Y4609" s="45">
        <v>302.0</v>
      </c>
      <c r="Z4609" s="45" t="s">
        <v>18291</v>
      </c>
      <c r="AA4609" s="31"/>
      <c r="AB4609" s="45" t="s">
        <v>18292</v>
      </c>
      <c r="AC4609" s="45"/>
    </row>
    <row r="4610" ht="18.75" customHeight="1">
      <c r="A4610" s="32" t="s">
        <v>18293</v>
      </c>
      <c r="B4610" s="19" t="s">
        <v>3645</v>
      </c>
      <c r="C4610" s="20">
        <v>90.0</v>
      </c>
      <c r="D4610" s="39" t="s">
        <v>18294</v>
      </c>
      <c r="E4610" s="27" t="s">
        <v>91</v>
      </c>
      <c r="F4610" s="27" t="s">
        <v>48</v>
      </c>
      <c r="G4610" s="18" t="s">
        <v>35</v>
      </c>
      <c r="H4610" s="40" t="s">
        <v>35</v>
      </c>
      <c r="I4610" s="37" t="s">
        <v>36</v>
      </c>
      <c r="J4610" s="25" t="s">
        <v>49</v>
      </c>
      <c r="K4610" s="26" t="s">
        <v>38</v>
      </c>
      <c r="L4610" s="72">
        <v>13807.0</v>
      </c>
      <c r="M4610" s="49" t="s">
        <v>50</v>
      </c>
      <c r="N4610" s="42" t="s">
        <v>17048</v>
      </c>
      <c r="O4610" s="67">
        <v>45908.590202314816</v>
      </c>
      <c r="P4610" s="35" t="s">
        <v>18215</v>
      </c>
      <c r="Q4610" s="13" t="s">
        <v>75</v>
      </c>
      <c r="R4610" s="13" t="s">
        <v>75</v>
      </c>
      <c r="S4610" s="13" t="s">
        <v>73</v>
      </c>
      <c r="T4610" s="44">
        <v>45903.425766307875</v>
      </c>
      <c r="U4610" s="44">
        <v>45903.42639177083</v>
      </c>
      <c r="V4610" s="44">
        <v>45904.44874186342</v>
      </c>
      <c r="W4610" s="11"/>
      <c r="X4610" s="148">
        <v>45867.0</v>
      </c>
      <c r="Y4610" s="45">
        <v>302.0</v>
      </c>
      <c r="Z4610" s="45" t="s">
        <v>18295</v>
      </c>
      <c r="AA4610" s="31"/>
      <c r="AB4610" s="45" t="s">
        <v>18296</v>
      </c>
      <c r="AC4610" s="45"/>
    </row>
    <row r="4611" ht="18.75" customHeight="1">
      <c r="A4611" s="32" t="s">
        <v>18297</v>
      </c>
      <c r="B4611" s="19" t="s">
        <v>3645</v>
      </c>
      <c r="C4611" s="20">
        <v>34.0</v>
      </c>
      <c r="D4611" s="39" t="s">
        <v>18298</v>
      </c>
      <c r="E4611" s="27" t="s">
        <v>47</v>
      </c>
      <c r="F4611" s="27" t="s">
        <v>48</v>
      </c>
      <c r="G4611" s="18" t="s">
        <v>35</v>
      </c>
      <c r="H4611" s="40" t="s">
        <v>35</v>
      </c>
      <c r="I4611" s="37" t="s">
        <v>36</v>
      </c>
      <c r="J4611" s="25" t="s">
        <v>49</v>
      </c>
      <c r="K4611" s="26" t="s">
        <v>38</v>
      </c>
      <c r="L4611" s="72">
        <v>13523.0</v>
      </c>
      <c r="M4611" s="49" t="s">
        <v>73</v>
      </c>
      <c r="N4611" s="42" t="s">
        <v>17048</v>
      </c>
      <c r="O4611" s="67">
        <v>45868.632544189815</v>
      </c>
      <c r="P4611" s="35" t="s">
        <v>18215</v>
      </c>
      <c r="Q4611" s="13" t="s">
        <v>75</v>
      </c>
      <c r="R4611" s="13" t="s">
        <v>75</v>
      </c>
      <c r="S4611" s="13" t="s">
        <v>73</v>
      </c>
      <c r="T4611" s="44">
        <v>45867.696509664354</v>
      </c>
      <c r="U4611" s="44">
        <v>45867.697497037036</v>
      </c>
      <c r="V4611" s="44">
        <v>45868.40186479167</v>
      </c>
      <c r="W4611" s="11"/>
      <c r="X4611" s="148">
        <v>45867.0</v>
      </c>
      <c r="Y4611" s="45">
        <v>302.0</v>
      </c>
      <c r="Z4611" s="45" t="s">
        <v>18299</v>
      </c>
      <c r="AA4611" s="31"/>
      <c r="AB4611" s="45" t="s">
        <v>18300</v>
      </c>
      <c r="AC4611" s="45"/>
    </row>
    <row r="4612" ht="18.75" customHeight="1">
      <c r="A4612" s="32" t="s">
        <v>18301</v>
      </c>
      <c r="B4612" s="19" t="s">
        <v>3645</v>
      </c>
      <c r="C4612" s="20">
        <v>1.0</v>
      </c>
      <c r="D4612" s="39" t="s">
        <v>18302</v>
      </c>
      <c r="E4612" s="27" t="s">
        <v>3395</v>
      </c>
      <c r="F4612" s="27" t="s">
        <v>48</v>
      </c>
      <c r="G4612" s="18" t="s">
        <v>35</v>
      </c>
      <c r="H4612" s="40" t="s">
        <v>35</v>
      </c>
      <c r="I4612" s="37" t="s">
        <v>36</v>
      </c>
      <c r="J4612" s="25" t="s">
        <v>49</v>
      </c>
      <c r="K4612" s="26" t="s">
        <v>38</v>
      </c>
      <c r="L4612" s="72">
        <v>13523.0</v>
      </c>
      <c r="M4612" s="49" t="s">
        <v>73</v>
      </c>
      <c r="N4612" s="42" t="s">
        <v>17048</v>
      </c>
      <c r="O4612" s="67">
        <v>45868.63160429398</v>
      </c>
      <c r="P4612" s="35" t="s">
        <v>18215</v>
      </c>
      <c r="Q4612" s="13" t="s">
        <v>75</v>
      </c>
      <c r="R4612" s="13" t="s">
        <v>75</v>
      </c>
      <c r="S4612" s="13" t="s">
        <v>73</v>
      </c>
      <c r="T4612" s="44">
        <v>45867.69564440972</v>
      </c>
      <c r="U4612" s="44">
        <v>45867.69715310185</v>
      </c>
      <c r="V4612" s="44">
        <v>45868.4232744676</v>
      </c>
      <c r="W4612" s="11"/>
      <c r="X4612" s="148">
        <v>45867.0</v>
      </c>
      <c r="Y4612" s="45">
        <v>302.0</v>
      </c>
      <c r="Z4612" s="45" t="s">
        <v>18303</v>
      </c>
      <c r="AA4612" s="31"/>
      <c r="AB4612" s="45" t="s">
        <v>18304</v>
      </c>
      <c r="AC4612" s="45"/>
    </row>
    <row r="4613" ht="18.75" customHeight="1">
      <c r="A4613" s="32" t="s">
        <v>18305</v>
      </c>
      <c r="B4613" s="19" t="s">
        <v>3645</v>
      </c>
      <c r="C4613" s="20">
        <v>34.0</v>
      </c>
      <c r="D4613" s="39" t="s">
        <v>18306</v>
      </c>
      <c r="E4613" s="27" t="s">
        <v>47</v>
      </c>
      <c r="F4613" s="27" t="s">
        <v>48</v>
      </c>
      <c r="G4613" s="18" t="s">
        <v>35</v>
      </c>
      <c r="H4613" s="40" t="s">
        <v>35</v>
      </c>
      <c r="I4613" s="37" t="s">
        <v>36</v>
      </c>
      <c r="J4613" s="25" t="s">
        <v>49</v>
      </c>
      <c r="K4613" s="26" t="s">
        <v>38</v>
      </c>
      <c r="L4613" s="72">
        <v>13523.0</v>
      </c>
      <c r="M4613" s="49" t="s">
        <v>73</v>
      </c>
      <c r="N4613" s="42" t="s">
        <v>17048</v>
      </c>
      <c r="O4613" s="67">
        <v>45868.63259354167</v>
      </c>
      <c r="P4613" s="35" t="s">
        <v>18215</v>
      </c>
      <c r="Q4613" s="13" t="s">
        <v>75</v>
      </c>
      <c r="R4613" s="13" t="s">
        <v>75</v>
      </c>
      <c r="S4613" s="13" t="s">
        <v>73</v>
      </c>
      <c r="T4613" s="44">
        <v>45867.6965427199</v>
      </c>
      <c r="U4613" s="44">
        <v>45867.697526620366</v>
      </c>
      <c r="V4613" s="44">
        <v>45868.40196952547</v>
      </c>
      <c r="W4613" s="11"/>
      <c r="X4613" s="148">
        <v>45867.0</v>
      </c>
      <c r="Y4613" s="45">
        <v>302.0</v>
      </c>
      <c r="Z4613" s="45" t="s">
        <v>18307</v>
      </c>
      <c r="AA4613" s="31"/>
      <c r="AB4613" s="45" t="s">
        <v>18308</v>
      </c>
      <c r="AC4613" s="45"/>
    </row>
    <row r="4614" ht="18.75" customHeight="1">
      <c r="A4614" s="32" t="s">
        <v>18309</v>
      </c>
      <c r="B4614" s="19" t="s">
        <v>3645</v>
      </c>
      <c r="C4614" s="20">
        <v>34.0</v>
      </c>
      <c r="D4614" s="39" t="s">
        <v>18310</v>
      </c>
      <c r="E4614" s="27" t="s">
        <v>47</v>
      </c>
      <c r="F4614" s="27" t="s">
        <v>48</v>
      </c>
      <c r="G4614" s="18" t="s">
        <v>35</v>
      </c>
      <c r="H4614" s="40" t="s">
        <v>35</v>
      </c>
      <c r="I4614" s="37" t="s">
        <v>36</v>
      </c>
      <c r="J4614" s="25" t="s">
        <v>49</v>
      </c>
      <c r="K4614" s="26" t="s">
        <v>38</v>
      </c>
      <c r="L4614" s="72">
        <v>13807.0</v>
      </c>
      <c r="M4614" s="49" t="s">
        <v>50</v>
      </c>
      <c r="N4614" s="42" t="s">
        <v>17048</v>
      </c>
      <c r="O4614" s="67">
        <v>45908.590380625</v>
      </c>
      <c r="P4614" s="35" t="s">
        <v>18215</v>
      </c>
      <c r="Q4614" s="13" t="s">
        <v>75</v>
      </c>
      <c r="R4614" s="13" t="s">
        <v>75</v>
      </c>
      <c r="S4614" s="13" t="s">
        <v>73</v>
      </c>
      <c r="T4614" s="44">
        <v>45903.42589695602</v>
      </c>
      <c r="U4614" s="44">
        <v>45903.42642054398</v>
      </c>
      <c r="V4614" s="44">
        <v>45904.45045049769</v>
      </c>
      <c r="W4614" s="11"/>
      <c r="X4614" s="148">
        <v>45867.0</v>
      </c>
      <c r="Y4614" s="45">
        <v>302.0</v>
      </c>
      <c r="Z4614" s="45" t="s">
        <v>18311</v>
      </c>
      <c r="AA4614" s="31"/>
      <c r="AB4614" s="45" t="s">
        <v>18312</v>
      </c>
      <c r="AC4614" s="45"/>
    </row>
    <row r="4615" ht="18.75" customHeight="1">
      <c r="A4615" s="32" t="s">
        <v>18313</v>
      </c>
      <c r="B4615" s="19" t="s">
        <v>3645</v>
      </c>
      <c r="C4615" s="20">
        <v>1.0</v>
      </c>
      <c r="D4615" s="39"/>
      <c r="E4615" s="27" t="s">
        <v>3395</v>
      </c>
      <c r="F4615" s="27" t="s">
        <v>48</v>
      </c>
      <c r="G4615" s="18" t="s">
        <v>35</v>
      </c>
      <c r="H4615" s="40" t="s">
        <v>35</v>
      </c>
      <c r="I4615" s="24" t="s">
        <v>18314</v>
      </c>
      <c r="J4615" s="25" t="s">
        <v>49</v>
      </c>
      <c r="K4615" s="26" t="s">
        <v>38</v>
      </c>
      <c r="L4615" s="72">
        <v>-13519.0</v>
      </c>
      <c r="M4615" s="49"/>
      <c r="N4615" s="42"/>
      <c r="O4615" s="68"/>
      <c r="P4615" s="35" t="s">
        <v>18215</v>
      </c>
      <c r="Q4615" s="13" t="s">
        <v>75</v>
      </c>
      <c r="R4615" s="13" t="s">
        <v>75</v>
      </c>
      <c r="S4615" s="13" t="s">
        <v>75</v>
      </c>
      <c r="T4615" s="44">
        <v>45866.723301377315</v>
      </c>
      <c r="U4615" s="44">
        <v>45867.689858032405</v>
      </c>
      <c r="V4615" s="13"/>
      <c r="W4615" s="11"/>
      <c r="X4615" s="148">
        <v>45867.0</v>
      </c>
      <c r="Y4615" s="45"/>
      <c r="Z4615" s="45"/>
      <c r="AA4615" s="31"/>
      <c r="AB4615" s="45" t="s">
        <v>18315</v>
      </c>
      <c r="AC4615" s="45"/>
    </row>
    <row r="4616" ht="18.75" customHeight="1">
      <c r="A4616" s="32" t="s">
        <v>18316</v>
      </c>
      <c r="B4616" s="19" t="s">
        <v>3645</v>
      </c>
      <c r="C4616" s="20">
        <v>1.0</v>
      </c>
      <c r="D4616" s="39"/>
      <c r="E4616" s="27" t="s">
        <v>3395</v>
      </c>
      <c r="F4616" s="27" t="s">
        <v>48</v>
      </c>
      <c r="G4616" s="18" t="s">
        <v>35</v>
      </c>
      <c r="H4616" s="40" t="s">
        <v>35</v>
      </c>
      <c r="I4616" s="24" t="s">
        <v>18314</v>
      </c>
      <c r="J4616" s="25" t="s">
        <v>49</v>
      </c>
      <c r="K4616" s="26" t="s">
        <v>38</v>
      </c>
      <c r="L4616" s="72">
        <v>-13519.0</v>
      </c>
      <c r="M4616" s="49"/>
      <c r="N4616" s="42"/>
      <c r="O4616" s="68"/>
      <c r="P4616" s="35" t="s">
        <v>18215</v>
      </c>
      <c r="Q4616" s="13" t="s">
        <v>75</v>
      </c>
      <c r="R4616" s="13" t="s">
        <v>75</v>
      </c>
      <c r="S4616" s="13" t="s">
        <v>75</v>
      </c>
      <c r="T4616" s="44">
        <v>45866.723350451386</v>
      </c>
      <c r="U4616" s="44">
        <v>45867.68980201389</v>
      </c>
      <c r="V4616" s="13"/>
      <c r="W4616" s="11"/>
      <c r="X4616" s="148">
        <v>45867.0</v>
      </c>
      <c r="Y4616" s="45"/>
      <c r="Z4616" s="45"/>
      <c r="AA4616" s="31"/>
      <c r="AB4616" s="45" t="s">
        <v>18317</v>
      </c>
      <c r="AC4616" s="45"/>
    </row>
    <row r="4617" ht="18.75" customHeight="1">
      <c r="A4617" s="32" t="s">
        <v>18318</v>
      </c>
      <c r="B4617" s="19" t="s">
        <v>3645</v>
      </c>
      <c r="C4617" s="20">
        <v>0.0</v>
      </c>
      <c r="D4617" s="39" t="s">
        <v>18319</v>
      </c>
      <c r="E4617" s="27" t="s">
        <v>3441</v>
      </c>
      <c r="F4617" s="27" t="s">
        <v>48</v>
      </c>
      <c r="G4617" s="18" t="s">
        <v>35</v>
      </c>
      <c r="H4617" s="40" t="s">
        <v>35</v>
      </c>
      <c r="I4617" s="37" t="s">
        <v>36</v>
      </c>
      <c r="J4617" s="25" t="s">
        <v>49</v>
      </c>
      <c r="K4617" s="26" t="s">
        <v>38</v>
      </c>
      <c r="L4617" s="72">
        <v>13523.0</v>
      </c>
      <c r="M4617" s="49" t="s">
        <v>73</v>
      </c>
      <c r="N4617" s="42" t="s">
        <v>17048</v>
      </c>
      <c r="O4617" s="67">
        <v>45868.631724756946</v>
      </c>
      <c r="P4617" s="35" t="s">
        <v>18215</v>
      </c>
      <c r="Q4617" s="13" t="s">
        <v>75</v>
      </c>
      <c r="R4617" s="13" t="s">
        <v>75</v>
      </c>
      <c r="S4617" s="13" t="s">
        <v>73</v>
      </c>
      <c r="T4617" s="44">
        <v>45867.695303125</v>
      </c>
      <c r="U4617" s="44">
        <v>45867.69718072917</v>
      </c>
      <c r="V4617" s="44">
        <v>45868.42904221065</v>
      </c>
      <c r="W4617" s="11"/>
      <c r="X4617" s="148">
        <v>45867.0</v>
      </c>
      <c r="Y4617" s="45">
        <v>302.0</v>
      </c>
      <c r="Z4617" s="45" t="s">
        <v>18320</v>
      </c>
      <c r="AA4617" s="31"/>
      <c r="AB4617" s="45" t="s">
        <v>18321</v>
      </c>
      <c r="AC4617" s="45"/>
    </row>
    <row r="4618" ht="18.75" customHeight="1">
      <c r="A4618" s="32" t="s">
        <v>18322</v>
      </c>
      <c r="B4618" s="19" t="s">
        <v>3645</v>
      </c>
      <c r="C4618" s="20">
        <v>0.0</v>
      </c>
      <c r="D4618" s="39" t="s">
        <v>18323</v>
      </c>
      <c r="E4618" s="27" t="s">
        <v>3441</v>
      </c>
      <c r="F4618" s="27" t="s">
        <v>48</v>
      </c>
      <c r="G4618" s="18" t="s">
        <v>35</v>
      </c>
      <c r="H4618" s="40" t="s">
        <v>35</v>
      </c>
      <c r="I4618" s="37" t="s">
        <v>36</v>
      </c>
      <c r="J4618" s="25" t="s">
        <v>49</v>
      </c>
      <c r="K4618" s="26" t="s">
        <v>38</v>
      </c>
      <c r="L4618" s="72">
        <v>13523.0</v>
      </c>
      <c r="M4618" s="49" t="s">
        <v>73</v>
      </c>
      <c r="N4618" s="42" t="s">
        <v>17048</v>
      </c>
      <c r="O4618" s="67">
        <v>45868.631787418984</v>
      </c>
      <c r="P4618" s="35" t="s">
        <v>18215</v>
      </c>
      <c r="Q4618" s="13" t="s">
        <v>75</v>
      </c>
      <c r="R4618" s="13" t="s">
        <v>75</v>
      </c>
      <c r="S4618" s="13" t="s">
        <v>73</v>
      </c>
      <c r="T4618" s="44">
        <v>45867.69534685185</v>
      </c>
      <c r="U4618" s="44">
        <v>45867.69720609953</v>
      </c>
      <c r="V4618" s="44">
        <v>45868.42915667824</v>
      </c>
      <c r="W4618" s="11"/>
      <c r="X4618" s="148">
        <v>45867.0</v>
      </c>
      <c r="Y4618" s="45">
        <v>302.0</v>
      </c>
      <c r="Z4618" s="45" t="s">
        <v>18324</v>
      </c>
      <c r="AA4618" s="31"/>
      <c r="AB4618" s="45" t="s">
        <v>18325</v>
      </c>
      <c r="AC4618" s="45"/>
    </row>
    <row r="4619" ht="18.75" customHeight="1">
      <c r="A4619" s="32" t="s">
        <v>18326</v>
      </c>
      <c r="B4619" s="19" t="s">
        <v>3645</v>
      </c>
      <c r="C4619" s="20">
        <v>0.0</v>
      </c>
      <c r="D4619" s="39" t="s">
        <v>18327</v>
      </c>
      <c r="E4619" s="27" t="s">
        <v>3441</v>
      </c>
      <c r="F4619" s="27" t="s">
        <v>48</v>
      </c>
      <c r="G4619" s="18" t="s">
        <v>35</v>
      </c>
      <c r="H4619" s="40" t="s">
        <v>35</v>
      </c>
      <c r="I4619" s="37" t="s">
        <v>36</v>
      </c>
      <c r="J4619" s="25" t="s">
        <v>49</v>
      </c>
      <c r="K4619" s="26" t="s">
        <v>38</v>
      </c>
      <c r="L4619" s="72">
        <v>13596.0</v>
      </c>
      <c r="M4619" s="49" t="s">
        <v>73</v>
      </c>
      <c r="N4619" s="42" t="s">
        <v>17048</v>
      </c>
      <c r="O4619" s="67">
        <v>45877.5370080787</v>
      </c>
      <c r="P4619" s="35" t="s">
        <v>18215</v>
      </c>
      <c r="Q4619" s="13" t="s">
        <v>75</v>
      </c>
      <c r="R4619" s="13" t="s">
        <v>75</v>
      </c>
      <c r="S4619" s="13" t="s">
        <v>73</v>
      </c>
      <c r="T4619" s="44">
        <v>45876.67324563657</v>
      </c>
      <c r="U4619" s="44">
        <v>45876.67349055556</v>
      </c>
      <c r="V4619" s="44">
        <v>45877.452165497685</v>
      </c>
      <c r="W4619" s="11"/>
      <c r="X4619" s="148">
        <v>45867.0</v>
      </c>
      <c r="Y4619" s="45">
        <v>302.0</v>
      </c>
      <c r="Z4619" s="45" t="s">
        <v>18328</v>
      </c>
      <c r="AA4619" s="31"/>
      <c r="AB4619" s="45" t="s">
        <v>18329</v>
      </c>
      <c r="AC4619" s="45"/>
    </row>
    <row r="4620" ht="18.75" customHeight="1">
      <c r="A4620" s="32" t="s">
        <v>18330</v>
      </c>
      <c r="B4620" s="19" t="s">
        <v>3645</v>
      </c>
      <c r="C4620" s="20">
        <v>0.0</v>
      </c>
      <c r="D4620" s="39" t="s">
        <v>18331</v>
      </c>
      <c r="E4620" s="27" t="s">
        <v>3441</v>
      </c>
      <c r="F4620" s="27" t="s">
        <v>48</v>
      </c>
      <c r="G4620" s="18" t="s">
        <v>35</v>
      </c>
      <c r="H4620" s="40" t="s">
        <v>35</v>
      </c>
      <c r="I4620" s="37" t="s">
        <v>36</v>
      </c>
      <c r="J4620" s="25" t="s">
        <v>49</v>
      </c>
      <c r="K4620" s="26" t="s">
        <v>38</v>
      </c>
      <c r="L4620" s="72">
        <v>13596.0</v>
      </c>
      <c r="M4620" s="49" t="s">
        <v>73</v>
      </c>
      <c r="N4620" s="42" t="s">
        <v>17048</v>
      </c>
      <c r="O4620" s="67">
        <v>45877.53696100695</v>
      </c>
      <c r="P4620" s="35" t="s">
        <v>18215</v>
      </c>
      <c r="Q4620" s="13" t="s">
        <v>75</v>
      </c>
      <c r="R4620" s="13" t="s">
        <v>75</v>
      </c>
      <c r="S4620" s="13" t="s">
        <v>73</v>
      </c>
      <c r="T4620" s="44">
        <v>45876.673280393516</v>
      </c>
      <c r="U4620" s="44">
        <v>45876.67351886574</v>
      </c>
      <c r="V4620" s="44">
        <v>45877.452165509254</v>
      </c>
      <c r="W4620" s="11"/>
      <c r="X4620" s="148">
        <v>45867.0</v>
      </c>
      <c r="Y4620" s="45">
        <v>302.0</v>
      </c>
      <c r="Z4620" s="45" t="s">
        <v>18332</v>
      </c>
      <c r="AA4620" s="31"/>
      <c r="AB4620" s="45" t="s">
        <v>18333</v>
      </c>
      <c r="AC4620" s="45"/>
    </row>
    <row r="4621" ht="18.75" customHeight="1">
      <c r="A4621" s="32" t="s">
        <v>18334</v>
      </c>
      <c r="B4621" s="19" t="s">
        <v>4352</v>
      </c>
      <c r="C4621" s="20">
        <v>0.0</v>
      </c>
      <c r="D4621" s="39" t="s">
        <v>18335</v>
      </c>
      <c r="E4621" s="27" t="s">
        <v>3441</v>
      </c>
      <c r="F4621" s="27" t="s">
        <v>48</v>
      </c>
      <c r="G4621" s="18" t="s">
        <v>35</v>
      </c>
      <c r="H4621" s="40" t="s">
        <v>35</v>
      </c>
      <c r="I4621" s="37" t="s">
        <v>36</v>
      </c>
      <c r="J4621" s="25" t="s">
        <v>49</v>
      </c>
      <c r="K4621" s="26" t="s">
        <v>38</v>
      </c>
      <c r="L4621" s="72">
        <v>13524.0</v>
      </c>
      <c r="M4621" s="49" t="s">
        <v>73</v>
      </c>
      <c r="N4621" s="42" t="s">
        <v>17048</v>
      </c>
      <c r="O4621" s="67">
        <v>45868.632648796294</v>
      </c>
      <c r="P4621" s="35" t="s">
        <v>18336</v>
      </c>
      <c r="Q4621" s="13" t="s">
        <v>75</v>
      </c>
      <c r="R4621" s="13" t="s">
        <v>75</v>
      </c>
      <c r="S4621" s="13" t="s">
        <v>73</v>
      </c>
      <c r="T4621" s="44">
        <v>45867.61808137731</v>
      </c>
      <c r="U4621" s="44">
        <v>45867.62048434028</v>
      </c>
      <c r="V4621" s="44">
        <v>45868.428741932876</v>
      </c>
      <c r="W4621" s="11"/>
      <c r="X4621" s="148">
        <v>45867.0</v>
      </c>
      <c r="Y4621" s="45">
        <v>302.0</v>
      </c>
      <c r="Z4621" s="45" t="s">
        <v>18337</v>
      </c>
      <c r="AA4621" s="31"/>
      <c r="AB4621" s="45" t="s">
        <v>18338</v>
      </c>
      <c r="AC4621" s="45"/>
    </row>
    <row r="4622" ht="18.75" customHeight="1">
      <c r="A4622" s="32" t="s">
        <v>18339</v>
      </c>
      <c r="B4622" s="19" t="s">
        <v>4352</v>
      </c>
      <c r="C4622" s="20">
        <v>137.0</v>
      </c>
      <c r="D4622" s="39" t="s">
        <v>18340</v>
      </c>
      <c r="E4622" s="27" t="s">
        <v>85</v>
      </c>
      <c r="F4622" s="27" t="s">
        <v>48</v>
      </c>
      <c r="G4622" s="18" t="s">
        <v>35</v>
      </c>
      <c r="H4622" s="40" t="s">
        <v>35</v>
      </c>
      <c r="I4622" s="37" t="s">
        <v>36</v>
      </c>
      <c r="J4622" s="25" t="s">
        <v>49</v>
      </c>
      <c r="K4622" s="26" t="s">
        <v>38</v>
      </c>
      <c r="L4622" s="72">
        <v>13524.0</v>
      </c>
      <c r="M4622" s="49" t="s">
        <v>73</v>
      </c>
      <c r="N4622" s="42" t="s">
        <v>17048</v>
      </c>
      <c r="O4622" s="67">
        <v>45868.63292984954</v>
      </c>
      <c r="P4622" s="35" t="s">
        <v>18336</v>
      </c>
      <c r="Q4622" s="13" t="s">
        <v>75</v>
      </c>
      <c r="R4622" s="13" t="s">
        <v>75</v>
      </c>
      <c r="S4622" s="13" t="s">
        <v>73</v>
      </c>
      <c r="T4622" s="44">
        <v>45867.6191053588</v>
      </c>
      <c r="U4622" s="44">
        <v>45867.62066503472</v>
      </c>
      <c r="V4622" s="44">
        <v>45868.41657048611</v>
      </c>
      <c r="W4622" s="11"/>
      <c r="X4622" s="148">
        <v>45867.0</v>
      </c>
      <c r="Y4622" s="45">
        <v>302.0</v>
      </c>
      <c r="Z4622" s="45" t="s">
        <v>18341</v>
      </c>
      <c r="AA4622" s="31"/>
      <c r="AB4622" s="45" t="s">
        <v>18342</v>
      </c>
      <c r="AC4622" s="45"/>
    </row>
    <row r="4623" ht="18.75" customHeight="1">
      <c r="A4623" s="32" t="s">
        <v>18343</v>
      </c>
      <c r="B4623" s="19" t="s">
        <v>4352</v>
      </c>
      <c r="C4623" s="20">
        <v>137.0</v>
      </c>
      <c r="D4623" s="39" t="s">
        <v>18344</v>
      </c>
      <c r="E4623" s="27" t="s">
        <v>85</v>
      </c>
      <c r="F4623" s="27" t="s">
        <v>48</v>
      </c>
      <c r="G4623" s="18" t="s">
        <v>35</v>
      </c>
      <c r="H4623" s="40" t="s">
        <v>35</v>
      </c>
      <c r="I4623" s="37" t="s">
        <v>36</v>
      </c>
      <c r="J4623" s="25" t="s">
        <v>49</v>
      </c>
      <c r="K4623" s="26" t="s">
        <v>38</v>
      </c>
      <c r="L4623" s="72">
        <v>13524.0</v>
      </c>
      <c r="M4623" s="49" t="s">
        <v>73</v>
      </c>
      <c r="N4623" s="42" t="s">
        <v>17048</v>
      </c>
      <c r="O4623" s="67">
        <v>45868.632981215276</v>
      </c>
      <c r="P4623" s="35" t="s">
        <v>18336</v>
      </c>
      <c r="Q4623" s="13" t="s">
        <v>75</v>
      </c>
      <c r="R4623" s="13" t="s">
        <v>75</v>
      </c>
      <c r="S4623" s="13" t="s">
        <v>73</v>
      </c>
      <c r="T4623" s="44">
        <v>45867.619181111106</v>
      </c>
      <c r="U4623" s="44">
        <v>45867.6207167824</v>
      </c>
      <c r="V4623" s="44">
        <v>45868.416710844904</v>
      </c>
      <c r="W4623" s="11"/>
      <c r="X4623" s="148">
        <v>45867.0</v>
      </c>
      <c r="Y4623" s="45">
        <v>302.0</v>
      </c>
      <c r="Z4623" s="45" t="s">
        <v>18345</v>
      </c>
      <c r="AA4623" s="31"/>
      <c r="AB4623" s="45" t="s">
        <v>18346</v>
      </c>
      <c r="AC4623" s="45"/>
    </row>
    <row r="4624" ht="18.75" customHeight="1">
      <c r="A4624" s="32" t="s">
        <v>18347</v>
      </c>
      <c r="B4624" s="19" t="s">
        <v>4352</v>
      </c>
      <c r="C4624" s="20">
        <v>137.0</v>
      </c>
      <c r="D4624" s="39" t="s">
        <v>18348</v>
      </c>
      <c r="E4624" s="27" t="s">
        <v>85</v>
      </c>
      <c r="F4624" s="27" t="s">
        <v>48</v>
      </c>
      <c r="G4624" s="18" t="s">
        <v>35</v>
      </c>
      <c r="H4624" s="40" t="s">
        <v>35</v>
      </c>
      <c r="I4624" s="37" t="s">
        <v>36</v>
      </c>
      <c r="J4624" s="25" t="s">
        <v>49</v>
      </c>
      <c r="K4624" s="26" t="s">
        <v>38</v>
      </c>
      <c r="L4624" s="72">
        <v>13524.0</v>
      </c>
      <c r="M4624" s="49" t="s">
        <v>73</v>
      </c>
      <c r="N4624" s="42" t="s">
        <v>17048</v>
      </c>
      <c r="O4624" s="67">
        <v>45868.63303621528</v>
      </c>
      <c r="P4624" s="35" t="s">
        <v>18336</v>
      </c>
      <c r="Q4624" s="13" t="s">
        <v>75</v>
      </c>
      <c r="R4624" s="13" t="s">
        <v>75</v>
      </c>
      <c r="S4624" s="13" t="s">
        <v>73</v>
      </c>
      <c r="T4624" s="44">
        <v>45867.62009148148</v>
      </c>
      <c r="U4624" s="44">
        <v>45867.620746712964</v>
      </c>
      <c r="V4624" s="44">
        <v>45868.416832627314</v>
      </c>
      <c r="W4624" s="11"/>
      <c r="X4624" s="148">
        <v>45867.0</v>
      </c>
      <c r="Y4624" s="45">
        <v>302.0</v>
      </c>
      <c r="Z4624" s="45" t="s">
        <v>18349</v>
      </c>
      <c r="AA4624" s="31"/>
      <c r="AB4624" s="45" t="s">
        <v>18350</v>
      </c>
      <c r="AC4624" s="45"/>
    </row>
    <row r="4625" ht="18.75" customHeight="1">
      <c r="A4625" s="32" t="s">
        <v>18351</v>
      </c>
      <c r="B4625" s="19" t="s">
        <v>4352</v>
      </c>
      <c r="C4625" s="20">
        <v>137.0</v>
      </c>
      <c r="D4625" s="39" t="s">
        <v>18352</v>
      </c>
      <c r="E4625" s="27" t="s">
        <v>85</v>
      </c>
      <c r="F4625" s="27" t="s">
        <v>48</v>
      </c>
      <c r="G4625" s="18" t="s">
        <v>35</v>
      </c>
      <c r="H4625" s="40" t="s">
        <v>35</v>
      </c>
      <c r="I4625" s="37" t="s">
        <v>36</v>
      </c>
      <c r="J4625" s="25" t="s">
        <v>49</v>
      </c>
      <c r="K4625" s="26" t="s">
        <v>38</v>
      </c>
      <c r="L4625" s="72">
        <v>13808.0</v>
      </c>
      <c r="M4625" s="49" t="s">
        <v>50</v>
      </c>
      <c r="N4625" s="42" t="s">
        <v>17048</v>
      </c>
      <c r="O4625" s="67">
        <v>45908.59072417824</v>
      </c>
      <c r="P4625" s="35" t="s">
        <v>18336</v>
      </c>
      <c r="Q4625" s="13" t="s">
        <v>75</v>
      </c>
      <c r="R4625" s="13" t="s">
        <v>75</v>
      </c>
      <c r="S4625" s="13" t="s">
        <v>73</v>
      </c>
      <c r="T4625" s="44">
        <v>45903.425015625</v>
      </c>
      <c r="U4625" s="44">
        <v>45903.426938055556</v>
      </c>
      <c r="V4625" s="44">
        <v>45904.46080267361</v>
      </c>
      <c r="W4625" s="11"/>
      <c r="X4625" s="148">
        <v>45867.0</v>
      </c>
      <c r="Y4625" s="45">
        <v>302.0</v>
      </c>
      <c r="Z4625" s="45" t="s">
        <v>18353</v>
      </c>
      <c r="AA4625" s="31"/>
      <c r="AB4625" s="45" t="s">
        <v>18354</v>
      </c>
      <c r="AC4625" s="45"/>
    </row>
    <row r="4626" ht="18.75" customHeight="1">
      <c r="A4626" s="32" t="s">
        <v>18355</v>
      </c>
      <c r="B4626" s="19" t="s">
        <v>4352</v>
      </c>
      <c r="C4626" s="20">
        <v>137.0</v>
      </c>
      <c r="D4626" s="39" t="s">
        <v>18356</v>
      </c>
      <c r="E4626" s="27" t="s">
        <v>85</v>
      </c>
      <c r="F4626" s="27" t="s">
        <v>48</v>
      </c>
      <c r="G4626" s="18" t="s">
        <v>35</v>
      </c>
      <c r="H4626" s="40" t="s">
        <v>35</v>
      </c>
      <c r="I4626" s="37" t="s">
        <v>36</v>
      </c>
      <c r="J4626" s="25" t="s">
        <v>49</v>
      </c>
      <c r="K4626" s="26" t="s">
        <v>38</v>
      </c>
      <c r="L4626" s="72">
        <v>13808.0</v>
      </c>
      <c r="M4626" s="49" t="s">
        <v>50</v>
      </c>
      <c r="N4626" s="42" t="s">
        <v>17048</v>
      </c>
      <c r="O4626" s="67">
        <v>45908.590781817125</v>
      </c>
      <c r="P4626" s="35" t="s">
        <v>18336</v>
      </c>
      <c r="Q4626" s="13" t="s">
        <v>75</v>
      </c>
      <c r="R4626" s="13" t="s">
        <v>75</v>
      </c>
      <c r="S4626" s="13" t="s">
        <v>73</v>
      </c>
      <c r="T4626" s="44">
        <v>45903.42504594907</v>
      </c>
      <c r="U4626" s="44">
        <v>45903.42696285879</v>
      </c>
      <c r="V4626" s="44">
        <v>45904.460866759255</v>
      </c>
      <c r="W4626" s="11"/>
      <c r="X4626" s="148">
        <v>45867.0</v>
      </c>
      <c r="Y4626" s="45">
        <v>302.0</v>
      </c>
      <c r="Z4626" s="45" t="s">
        <v>18357</v>
      </c>
      <c r="AA4626" s="31"/>
      <c r="AB4626" s="45" t="s">
        <v>18358</v>
      </c>
      <c r="AC4626" s="45"/>
    </row>
    <row r="4627" ht="18.75" customHeight="1">
      <c r="A4627" s="32" t="s">
        <v>18359</v>
      </c>
      <c r="B4627" s="19" t="s">
        <v>4352</v>
      </c>
      <c r="C4627" s="20">
        <v>137.0</v>
      </c>
      <c r="D4627" s="39" t="s">
        <v>18360</v>
      </c>
      <c r="E4627" s="27" t="s">
        <v>85</v>
      </c>
      <c r="F4627" s="27" t="s">
        <v>48</v>
      </c>
      <c r="G4627" s="18" t="s">
        <v>35</v>
      </c>
      <c r="H4627" s="40" t="s">
        <v>35</v>
      </c>
      <c r="I4627" s="37" t="s">
        <v>36</v>
      </c>
      <c r="J4627" s="25" t="s">
        <v>49</v>
      </c>
      <c r="K4627" s="26" t="s">
        <v>38</v>
      </c>
      <c r="L4627" s="72">
        <v>13524.0</v>
      </c>
      <c r="M4627" s="49" t="s">
        <v>73</v>
      </c>
      <c r="N4627" s="42" t="s">
        <v>17048</v>
      </c>
      <c r="O4627" s="67">
        <v>45868.63309462963</v>
      </c>
      <c r="P4627" s="35" t="s">
        <v>18336</v>
      </c>
      <c r="Q4627" s="13" t="s">
        <v>75</v>
      </c>
      <c r="R4627" s="13" t="s">
        <v>75</v>
      </c>
      <c r="S4627" s="13" t="s">
        <v>73</v>
      </c>
      <c r="T4627" s="44">
        <v>45867.619143715274</v>
      </c>
      <c r="U4627" s="44">
        <v>45867.62069287037</v>
      </c>
      <c r="V4627" s="44">
        <v>45868.41664376158</v>
      </c>
      <c r="W4627" s="11"/>
      <c r="X4627" s="148">
        <v>45867.0</v>
      </c>
      <c r="Y4627" s="45">
        <v>302.0</v>
      </c>
      <c r="Z4627" s="45" t="s">
        <v>18361</v>
      </c>
      <c r="AA4627" s="31"/>
      <c r="AB4627" s="45" t="s">
        <v>18362</v>
      </c>
      <c r="AC4627" s="45"/>
    </row>
    <row r="4628" ht="18.75" customHeight="1">
      <c r="A4628" s="32" t="s">
        <v>18363</v>
      </c>
      <c r="B4628" s="19" t="s">
        <v>4352</v>
      </c>
      <c r="C4628" s="20">
        <v>137.0</v>
      </c>
      <c r="D4628" s="39" t="s">
        <v>18364</v>
      </c>
      <c r="E4628" s="27" t="s">
        <v>85</v>
      </c>
      <c r="F4628" s="27" t="s">
        <v>48</v>
      </c>
      <c r="G4628" s="18" t="s">
        <v>35</v>
      </c>
      <c r="H4628" s="40" t="s">
        <v>35</v>
      </c>
      <c r="I4628" s="37" t="s">
        <v>36</v>
      </c>
      <c r="J4628" s="25" t="s">
        <v>49</v>
      </c>
      <c r="K4628" s="26" t="s">
        <v>38</v>
      </c>
      <c r="L4628" s="72">
        <v>13808.0</v>
      </c>
      <c r="M4628" s="49" t="s">
        <v>50</v>
      </c>
      <c r="N4628" s="42" t="s">
        <v>17048</v>
      </c>
      <c r="O4628" s="67">
        <v>45908.590850162036</v>
      </c>
      <c r="P4628" s="35" t="s">
        <v>18336</v>
      </c>
      <c r="Q4628" s="13" t="s">
        <v>75</v>
      </c>
      <c r="R4628" s="13" t="s">
        <v>75</v>
      </c>
      <c r="S4628" s="13" t="s">
        <v>73</v>
      </c>
      <c r="T4628" s="44">
        <v>45903.42507815972</v>
      </c>
      <c r="U4628" s="44">
        <v>45903.42698409723</v>
      </c>
      <c r="V4628" s="44">
        <v>45904.46092953703</v>
      </c>
      <c r="W4628" s="11"/>
      <c r="X4628" s="148">
        <v>45867.0</v>
      </c>
      <c r="Y4628" s="45">
        <v>302.0</v>
      </c>
      <c r="Z4628" s="45" t="s">
        <v>18365</v>
      </c>
      <c r="AA4628" s="31"/>
      <c r="AB4628" s="45" t="s">
        <v>18366</v>
      </c>
      <c r="AC4628" s="45"/>
    </row>
    <row r="4629" ht="18.75" customHeight="1">
      <c r="A4629" s="32" t="s">
        <v>18367</v>
      </c>
      <c r="B4629" s="19" t="s">
        <v>4352</v>
      </c>
      <c r="C4629" s="20">
        <v>137.0</v>
      </c>
      <c r="D4629" s="39" t="s">
        <v>18368</v>
      </c>
      <c r="E4629" s="27" t="s">
        <v>85</v>
      </c>
      <c r="F4629" s="27" t="s">
        <v>48</v>
      </c>
      <c r="G4629" s="18" t="s">
        <v>35</v>
      </c>
      <c r="H4629" s="40" t="s">
        <v>35</v>
      </c>
      <c r="I4629" s="37" t="s">
        <v>36</v>
      </c>
      <c r="J4629" s="25" t="s">
        <v>49</v>
      </c>
      <c r="K4629" s="26" t="s">
        <v>38</v>
      </c>
      <c r="L4629" s="72">
        <v>13808.0</v>
      </c>
      <c r="M4629" s="49" t="s">
        <v>50</v>
      </c>
      <c r="N4629" s="42" t="s">
        <v>17048</v>
      </c>
      <c r="O4629" s="67">
        <v>45908.59092274305</v>
      </c>
      <c r="P4629" s="35" t="s">
        <v>18336</v>
      </c>
      <c r="Q4629" s="13" t="s">
        <v>75</v>
      </c>
      <c r="R4629" s="13" t="s">
        <v>75</v>
      </c>
      <c r="S4629" s="13" t="s">
        <v>73</v>
      </c>
      <c r="T4629" s="44">
        <v>45903.42510920139</v>
      </c>
      <c r="U4629" s="44">
        <v>45903.42700568287</v>
      </c>
      <c r="V4629" s="44">
        <v>45904.460996724534</v>
      </c>
      <c r="W4629" s="11"/>
      <c r="X4629" s="148">
        <v>45867.0</v>
      </c>
      <c r="Y4629" s="45">
        <v>302.0</v>
      </c>
      <c r="Z4629" s="45" t="s">
        <v>18369</v>
      </c>
      <c r="AA4629" s="31"/>
      <c r="AB4629" s="45" t="s">
        <v>18370</v>
      </c>
      <c r="AC4629" s="45"/>
    </row>
    <row r="4630" ht="18.75" customHeight="1">
      <c r="A4630" s="32" t="s">
        <v>18371</v>
      </c>
      <c r="B4630" s="19" t="s">
        <v>4352</v>
      </c>
      <c r="C4630" s="20">
        <v>137.0</v>
      </c>
      <c r="D4630" s="39" t="s">
        <v>18372</v>
      </c>
      <c r="E4630" s="27" t="s">
        <v>85</v>
      </c>
      <c r="F4630" s="27" t="s">
        <v>48</v>
      </c>
      <c r="G4630" s="18" t="s">
        <v>35</v>
      </c>
      <c r="H4630" s="40" t="s">
        <v>35</v>
      </c>
      <c r="I4630" s="37" t="s">
        <v>36</v>
      </c>
      <c r="J4630" s="25" t="s">
        <v>49</v>
      </c>
      <c r="K4630" s="26" t="s">
        <v>38</v>
      </c>
      <c r="L4630" s="72">
        <v>13808.0</v>
      </c>
      <c r="M4630" s="49" t="s">
        <v>50</v>
      </c>
      <c r="N4630" s="42" t="s">
        <v>17048</v>
      </c>
      <c r="O4630" s="67">
        <v>45908.59098572917</v>
      </c>
      <c r="P4630" s="35" t="s">
        <v>18336</v>
      </c>
      <c r="Q4630" s="13" t="s">
        <v>75</v>
      </c>
      <c r="R4630" s="13" t="s">
        <v>75</v>
      </c>
      <c r="S4630" s="13" t="s">
        <v>73</v>
      </c>
      <c r="T4630" s="44">
        <v>45903.42515040509</v>
      </c>
      <c r="U4630" s="44">
        <v>45903.42702688657</v>
      </c>
      <c r="V4630" s="44">
        <v>45904.4625137963</v>
      </c>
      <c r="W4630" s="11"/>
      <c r="X4630" s="148">
        <v>45867.0</v>
      </c>
      <c r="Y4630" s="45">
        <v>302.0</v>
      </c>
      <c r="Z4630" s="45" t="s">
        <v>18373</v>
      </c>
      <c r="AA4630" s="31"/>
      <c r="AB4630" s="45" t="s">
        <v>18374</v>
      </c>
      <c r="AC4630" s="45"/>
    </row>
    <row r="4631" ht="18.75" customHeight="1">
      <c r="A4631" s="32" t="s">
        <v>18375</v>
      </c>
      <c r="B4631" s="19" t="s">
        <v>4352</v>
      </c>
      <c r="C4631" s="20">
        <v>90.0</v>
      </c>
      <c r="D4631" s="39" t="s">
        <v>18376</v>
      </c>
      <c r="E4631" s="27" t="s">
        <v>91</v>
      </c>
      <c r="F4631" s="27" t="s">
        <v>48</v>
      </c>
      <c r="G4631" s="18" t="s">
        <v>35</v>
      </c>
      <c r="H4631" s="40" t="s">
        <v>35</v>
      </c>
      <c r="I4631" s="37" t="s">
        <v>36</v>
      </c>
      <c r="J4631" s="25" t="s">
        <v>49</v>
      </c>
      <c r="K4631" s="26" t="s">
        <v>38</v>
      </c>
      <c r="L4631" s="72">
        <v>13524.0</v>
      </c>
      <c r="M4631" s="49" t="s">
        <v>73</v>
      </c>
      <c r="N4631" s="42" t="s">
        <v>17048</v>
      </c>
      <c r="O4631" s="67">
        <v>45868.633154166666</v>
      </c>
      <c r="P4631" s="35" t="s">
        <v>18336</v>
      </c>
      <c r="Q4631" s="13" t="s">
        <v>75</v>
      </c>
      <c r="R4631" s="13" t="s">
        <v>75</v>
      </c>
      <c r="S4631" s="13" t="s">
        <v>73</v>
      </c>
      <c r="T4631" s="44">
        <v>45867.61939431713</v>
      </c>
      <c r="U4631" s="44">
        <v>45867.62079260417</v>
      </c>
      <c r="V4631" s="44">
        <v>45868.40959056713</v>
      </c>
      <c r="W4631" s="11"/>
      <c r="X4631" s="148">
        <v>45867.0</v>
      </c>
      <c r="Y4631" s="45">
        <v>302.0</v>
      </c>
      <c r="Z4631" s="45" t="s">
        <v>18377</v>
      </c>
      <c r="AA4631" s="31"/>
      <c r="AB4631" s="45" t="s">
        <v>18378</v>
      </c>
      <c r="AC4631" s="45"/>
    </row>
    <row r="4632" ht="18.75" customHeight="1">
      <c r="A4632" s="32" t="s">
        <v>18379</v>
      </c>
      <c r="B4632" s="19" t="s">
        <v>4352</v>
      </c>
      <c r="C4632" s="20">
        <v>0.0</v>
      </c>
      <c r="D4632" s="39" t="s">
        <v>18380</v>
      </c>
      <c r="E4632" s="27" t="s">
        <v>3441</v>
      </c>
      <c r="F4632" s="27" t="s">
        <v>48</v>
      </c>
      <c r="G4632" s="18" t="s">
        <v>35</v>
      </c>
      <c r="H4632" s="40" t="s">
        <v>35</v>
      </c>
      <c r="I4632" s="37" t="s">
        <v>36</v>
      </c>
      <c r="J4632" s="25" t="s">
        <v>49</v>
      </c>
      <c r="K4632" s="26" t="s">
        <v>38</v>
      </c>
      <c r="L4632" s="72">
        <v>13524.0</v>
      </c>
      <c r="M4632" s="49" t="s">
        <v>73</v>
      </c>
      <c r="N4632" s="42" t="s">
        <v>17048</v>
      </c>
      <c r="O4632" s="67">
        <v>45868.63270111111</v>
      </c>
      <c r="P4632" s="35" t="s">
        <v>18336</v>
      </c>
      <c r="Q4632" s="13" t="s">
        <v>75</v>
      </c>
      <c r="R4632" s="13" t="s">
        <v>75</v>
      </c>
      <c r="S4632" s="13" t="s">
        <v>73</v>
      </c>
      <c r="T4632" s="44">
        <v>45867.61812534722</v>
      </c>
      <c r="U4632" s="44">
        <v>45867.62055637731</v>
      </c>
      <c r="V4632" s="44">
        <v>45868.428814618055</v>
      </c>
      <c r="W4632" s="11"/>
      <c r="X4632" s="148">
        <v>45867.0</v>
      </c>
      <c r="Y4632" s="45">
        <v>302.0</v>
      </c>
      <c r="Z4632" s="45" t="s">
        <v>18381</v>
      </c>
      <c r="AA4632" s="31"/>
      <c r="AB4632" s="45" t="s">
        <v>18382</v>
      </c>
      <c r="AC4632" s="45"/>
    </row>
    <row r="4633" ht="18.75" customHeight="1">
      <c r="A4633" s="32" t="s">
        <v>18383</v>
      </c>
      <c r="B4633" s="19" t="s">
        <v>4352</v>
      </c>
      <c r="C4633" s="20">
        <v>90.0</v>
      </c>
      <c r="D4633" s="39" t="s">
        <v>18384</v>
      </c>
      <c r="E4633" s="27" t="s">
        <v>91</v>
      </c>
      <c r="F4633" s="27" t="s">
        <v>48</v>
      </c>
      <c r="G4633" s="18" t="s">
        <v>35</v>
      </c>
      <c r="H4633" s="40" t="s">
        <v>35</v>
      </c>
      <c r="I4633" s="37" t="s">
        <v>36</v>
      </c>
      <c r="J4633" s="25" t="s">
        <v>49</v>
      </c>
      <c r="K4633" s="26" t="s">
        <v>38</v>
      </c>
      <c r="L4633" s="72">
        <v>13524.0</v>
      </c>
      <c r="M4633" s="49" t="s">
        <v>73</v>
      </c>
      <c r="N4633" s="42" t="s">
        <v>17048</v>
      </c>
      <c r="O4633" s="67">
        <v>45868.63320435185</v>
      </c>
      <c r="P4633" s="35" t="s">
        <v>18336</v>
      </c>
      <c r="Q4633" s="13" t="s">
        <v>75</v>
      </c>
      <c r="R4633" s="13" t="s">
        <v>75</v>
      </c>
      <c r="S4633" s="13" t="s">
        <v>73</v>
      </c>
      <c r="T4633" s="44">
        <v>45867.61944800926</v>
      </c>
      <c r="U4633" s="44">
        <v>45867.62081612268</v>
      </c>
      <c r="V4633" s="44">
        <v>45868.40968258102</v>
      </c>
      <c r="W4633" s="11"/>
      <c r="X4633" s="148">
        <v>45867.0</v>
      </c>
      <c r="Y4633" s="45">
        <v>302.0</v>
      </c>
      <c r="Z4633" s="45" t="s">
        <v>18385</v>
      </c>
      <c r="AA4633" s="31"/>
      <c r="AB4633" s="45" t="s">
        <v>18386</v>
      </c>
      <c r="AC4633" s="45"/>
    </row>
    <row r="4634" ht="18.75" customHeight="1">
      <c r="A4634" s="32" t="s">
        <v>18387</v>
      </c>
      <c r="B4634" s="19" t="s">
        <v>4352</v>
      </c>
      <c r="C4634" s="20">
        <v>90.0</v>
      </c>
      <c r="D4634" s="39" t="s">
        <v>18388</v>
      </c>
      <c r="E4634" s="27" t="s">
        <v>91</v>
      </c>
      <c r="F4634" s="27" t="s">
        <v>48</v>
      </c>
      <c r="G4634" s="18" t="s">
        <v>35</v>
      </c>
      <c r="H4634" s="40" t="s">
        <v>35</v>
      </c>
      <c r="I4634" s="37" t="s">
        <v>36</v>
      </c>
      <c r="J4634" s="25" t="s">
        <v>49</v>
      </c>
      <c r="K4634" s="26" t="s">
        <v>38</v>
      </c>
      <c r="L4634" s="72">
        <v>13524.0</v>
      </c>
      <c r="M4634" s="49" t="s">
        <v>73</v>
      </c>
      <c r="N4634" s="42" t="s">
        <v>17048</v>
      </c>
      <c r="O4634" s="67">
        <v>45868.63325586806</v>
      </c>
      <c r="P4634" s="35" t="s">
        <v>18336</v>
      </c>
      <c r="Q4634" s="13" t="s">
        <v>75</v>
      </c>
      <c r="R4634" s="13" t="s">
        <v>75</v>
      </c>
      <c r="S4634" s="13" t="s">
        <v>73</v>
      </c>
      <c r="T4634" s="44">
        <v>45867.61948047453</v>
      </c>
      <c r="U4634" s="44">
        <v>45867.62084800926</v>
      </c>
      <c r="V4634" s="44">
        <v>45868.40978292824</v>
      </c>
      <c r="W4634" s="11"/>
      <c r="X4634" s="148">
        <v>45867.0</v>
      </c>
      <c r="Y4634" s="45">
        <v>302.0</v>
      </c>
      <c r="Z4634" s="45" t="s">
        <v>18389</v>
      </c>
      <c r="AA4634" s="31"/>
      <c r="AB4634" s="45" t="s">
        <v>18390</v>
      </c>
      <c r="AC4634" s="45"/>
    </row>
    <row r="4635" ht="18.75" customHeight="1">
      <c r="A4635" s="32" t="s">
        <v>18391</v>
      </c>
      <c r="B4635" s="19" t="s">
        <v>4352</v>
      </c>
      <c r="C4635" s="20">
        <v>90.0</v>
      </c>
      <c r="D4635" s="39" t="s">
        <v>18392</v>
      </c>
      <c r="E4635" s="27" t="s">
        <v>91</v>
      </c>
      <c r="F4635" s="27" t="s">
        <v>48</v>
      </c>
      <c r="G4635" s="18" t="s">
        <v>35</v>
      </c>
      <c r="H4635" s="40" t="s">
        <v>35</v>
      </c>
      <c r="I4635" s="37" t="s">
        <v>36</v>
      </c>
      <c r="J4635" s="25" t="s">
        <v>49</v>
      </c>
      <c r="K4635" s="26" t="s">
        <v>38</v>
      </c>
      <c r="L4635" s="72">
        <v>13524.0</v>
      </c>
      <c r="M4635" s="49" t="s">
        <v>73</v>
      </c>
      <c r="N4635" s="42" t="s">
        <v>17048</v>
      </c>
      <c r="O4635" s="67">
        <v>45868.63330583333</v>
      </c>
      <c r="P4635" s="35" t="s">
        <v>18336</v>
      </c>
      <c r="Q4635" s="13" t="s">
        <v>75</v>
      </c>
      <c r="R4635" s="13" t="s">
        <v>75</v>
      </c>
      <c r="S4635" s="13" t="s">
        <v>73</v>
      </c>
      <c r="T4635" s="44">
        <v>45867.61952512732</v>
      </c>
      <c r="U4635" s="44">
        <v>45867.62087351852</v>
      </c>
      <c r="V4635" s="44">
        <v>45868.409878136576</v>
      </c>
      <c r="W4635" s="11"/>
      <c r="X4635" s="148">
        <v>45867.0</v>
      </c>
      <c r="Y4635" s="45">
        <v>302.0</v>
      </c>
      <c r="Z4635" s="45" t="s">
        <v>18393</v>
      </c>
      <c r="AA4635" s="31"/>
      <c r="AB4635" s="45" t="s">
        <v>18394</v>
      </c>
      <c r="AC4635" s="45"/>
    </row>
    <row r="4636" ht="18.75" customHeight="1">
      <c r="A4636" s="32" t="s">
        <v>18395</v>
      </c>
      <c r="B4636" s="19" t="s">
        <v>4352</v>
      </c>
      <c r="C4636" s="20">
        <v>90.0</v>
      </c>
      <c r="D4636" s="39" t="s">
        <v>18396</v>
      </c>
      <c r="E4636" s="27" t="s">
        <v>91</v>
      </c>
      <c r="F4636" s="27" t="s">
        <v>48</v>
      </c>
      <c r="G4636" s="18" t="s">
        <v>35</v>
      </c>
      <c r="H4636" s="40" t="s">
        <v>35</v>
      </c>
      <c r="I4636" s="37" t="s">
        <v>36</v>
      </c>
      <c r="J4636" s="25" t="s">
        <v>49</v>
      </c>
      <c r="K4636" s="26" t="s">
        <v>38</v>
      </c>
      <c r="L4636" s="72">
        <v>13524.0</v>
      </c>
      <c r="M4636" s="49" t="s">
        <v>73</v>
      </c>
      <c r="N4636" s="42" t="s">
        <v>17048</v>
      </c>
      <c r="O4636" s="67">
        <v>45868.633358900464</v>
      </c>
      <c r="P4636" s="35" t="s">
        <v>18336</v>
      </c>
      <c r="Q4636" s="13" t="s">
        <v>75</v>
      </c>
      <c r="R4636" s="13" t="s">
        <v>75</v>
      </c>
      <c r="S4636" s="13" t="s">
        <v>73</v>
      </c>
      <c r="T4636" s="44">
        <v>45867.619566458336</v>
      </c>
      <c r="U4636" s="44">
        <v>45867.620896504624</v>
      </c>
      <c r="V4636" s="44">
        <v>45868.40995994213</v>
      </c>
      <c r="W4636" s="11"/>
      <c r="X4636" s="148">
        <v>45867.0</v>
      </c>
      <c r="Y4636" s="45">
        <v>302.0</v>
      </c>
      <c r="Z4636" s="45" t="s">
        <v>18397</v>
      </c>
      <c r="AA4636" s="31"/>
      <c r="AB4636" s="45" t="s">
        <v>18398</v>
      </c>
      <c r="AC4636" s="45"/>
    </row>
    <row r="4637" ht="18.75" customHeight="1">
      <c r="A4637" s="32" t="s">
        <v>18399</v>
      </c>
      <c r="B4637" s="19" t="s">
        <v>4352</v>
      </c>
      <c r="C4637" s="20">
        <v>90.0</v>
      </c>
      <c r="D4637" s="39" t="s">
        <v>18400</v>
      </c>
      <c r="E4637" s="27" t="s">
        <v>91</v>
      </c>
      <c r="F4637" s="27" t="s">
        <v>48</v>
      </c>
      <c r="G4637" s="18" t="s">
        <v>35</v>
      </c>
      <c r="H4637" s="40" t="s">
        <v>35</v>
      </c>
      <c r="I4637" s="37" t="s">
        <v>36</v>
      </c>
      <c r="J4637" s="25" t="s">
        <v>49</v>
      </c>
      <c r="K4637" s="26" t="s">
        <v>38</v>
      </c>
      <c r="L4637" s="72">
        <v>13808.0</v>
      </c>
      <c r="M4637" s="49" t="s">
        <v>50</v>
      </c>
      <c r="N4637" s="42" t="s">
        <v>17048</v>
      </c>
      <c r="O4637" s="67">
        <v>45908.59104201389</v>
      </c>
      <c r="P4637" s="35" t="s">
        <v>18336</v>
      </c>
      <c r="Q4637" s="13" t="s">
        <v>75</v>
      </c>
      <c r="R4637" s="13" t="s">
        <v>75</v>
      </c>
      <c r="S4637" s="13" t="s">
        <v>73</v>
      </c>
      <c r="T4637" s="44">
        <v>45903.425181203704</v>
      </c>
      <c r="U4637" s="44">
        <v>45903.42704836806</v>
      </c>
      <c r="V4637" s="44">
        <v>45904.46109013889</v>
      </c>
      <c r="W4637" s="11"/>
      <c r="X4637" s="148">
        <v>45867.0</v>
      </c>
      <c r="Y4637" s="45">
        <v>302.0</v>
      </c>
      <c r="Z4637" s="45" t="s">
        <v>18401</v>
      </c>
      <c r="AA4637" s="31"/>
      <c r="AB4637" s="45" t="s">
        <v>18402</v>
      </c>
      <c r="AC4637" s="45"/>
    </row>
    <row r="4638" ht="18.75" customHeight="1">
      <c r="A4638" s="32" t="s">
        <v>18403</v>
      </c>
      <c r="B4638" s="19" t="s">
        <v>4352</v>
      </c>
      <c r="C4638" s="20">
        <v>90.0</v>
      </c>
      <c r="D4638" s="39" t="s">
        <v>18404</v>
      </c>
      <c r="E4638" s="27" t="s">
        <v>91</v>
      </c>
      <c r="F4638" s="27" t="s">
        <v>48</v>
      </c>
      <c r="G4638" s="18" t="s">
        <v>35</v>
      </c>
      <c r="H4638" s="40" t="s">
        <v>35</v>
      </c>
      <c r="I4638" s="37" t="s">
        <v>36</v>
      </c>
      <c r="J4638" s="25" t="s">
        <v>49</v>
      </c>
      <c r="K4638" s="26" t="s">
        <v>38</v>
      </c>
      <c r="L4638" s="72">
        <v>13808.0</v>
      </c>
      <c r="M4638" s="49" t="s">
        <v>50</v>
      </c>
      <c r="N4638" s="42" t="s">
        <v>17048</v>
      </c>
      <c r="O4638" s="67">
        <v>45908.591152395835</v>
      </c>
      <c r="P4638" s="35" t="s">
        <v>18336</v>
      </c>
      <c r="Q4638" s="13" t="s">
        <v>75</v>
      </c>
      <c r="R4638" s="13" t="s">
        <v>75</v>
      </c>
      <c r="S4638" s="13" t="s">
        <v>73</v>
      </c>
      <c r="T4638" s="44">
        <v>45903.4252091088</v>
      </c>
      <c r="U4638" s="44">
        <v>45903.42707048611</v>
      </c>
      <c r="V4638" s="44">
        <v>45904.46124034723</v>
      </c>
      <c r="W4638" s="11"/>
      <c r="X4638" s="148">
        <v>45867.0</v>
      </c>
      <c r="Y4638" s="45">
        <v>302.0</v>
      </c>
      <c r="Z4638" s="45" t="s">
        <v>18405</v>
      </c>
      <c r="AA4638" s="31"/>
      <c r="AB4638" s="45" t="s">
        <v>18406</v>
      </c>
      <c r="AC4638" s="45"/>
    </row>
    <row r="4639" ht="18.75" customHeight="1">
      <c r="A4639" s="32" t="s">
        <v>18407</v>
      </c>
      <c r="B4639" s="19" t="s">
        <v>4352</v>
      </c>
      <c r="C4639" s="20">
        <v>90.0</v>
      </c>
      <c r="D4639" s="39" t="s">
        <v>18408</v>
      </c>
      <c r="E4639" s="27" t="s">
        <v>91</v>
      </c>
      <c r="F4639" s="27" t="s">
        <v>48</v>
      </c>
      <c r="G4639" s="18" t="s">
        <v>35</v>
      </c>
      <c r="H4639" s="40" t="s">
        <v>35</v>
      </c>
      <c r="I4639" s="37" t="s">
        <v>36</v>
      </c>
      <c r="J4639" s="25" t="s">
        <v>49</v>
      </c>
      <c r="K4639" s="26" t="s">
        <v>38</v>
      </c>
      <c r="L4639" s="72">
        <v>13808.0</v>
      </c>
      <c r="M4639" s="49" t="s">
        <v>50</v>
      </c>
      <c r="N4639" s="42" t="s">
        <v>17048</v>
      </c>
      <c r="O4639" s="67">
        <v>45908.59122584491</v>
      </c>
      <c r="P4639" s="35" t="s">
        <v>18336</v>
      </c>
      <c r="Q4639" s="13" t="s">
        <v>75</v>
      </c>
      <c r="R4639" s="13" t="s">
        <v>75</v>
      </c>
      <c r="S4639" s="13" t="s">
        <v>73</v>
      </c>
      <c r="T4639" s="44">
        <v>45903.42523981482</v>
      </c>
      <c r="U4639" s="44">
        <v>45903.427102546295</v>
      </c>
      <c r="V4639" s="44">
        <v>45904.461384953705</v>
      </c>
      <c r="W4639" s="11"/>
      <c r="X4639" s="148">
        <v>45867.0</v>
      </c>
      <c r="Y4639" s="45">
        <v>302.0</v>
      </c>
      <c r="Z4639" s="45" t="s">
        <v>18409</v>
      </c>
      <c r="AA4639" s="31"/>
      <c r="AB4639" s="45" t="s">
        <v>18410</v>
      </c>
      <c r="AC4639" s="45"/>
    </row>
    <row r="4640" ht="18.75" customHeight="1">
      <c r="A4640" s="32" t="s">
        <v>18411</v>
      </c>
      <c r="B4640" s="19" t="s">
        <v>4352</v>
      </c>
      <c r="C4640" s="20">
        <v>90.0</v>
      </c>
      <c r="D4640" s="39" t="s">
        <v>18412</v>
      </c>
      <c r="E4640" s="27" t="s">
        <v>91</v>
      </c>
      <c r="F4640" s="27" t="s">
        <v>48</v>
      </c>
      <c r="G4640" s="18" t="s">
        <v>35</v>
      </c>
      <c r="H4640" s="40" t="s">
        <v>35</v>
      </c>
      <c r="I4640" s="37" t="s">
        <v>36</v>
      </c>
      <c r="J4640" s="25" t="s">
        <v>49</v>
      </c>
      <c r="K4640" s="26" t="s">
        <v>38</v>
      </c>
      <c r="L4640" s="72">
        <v>13808.0</v>
      </c>
      <c r="M4640" s="49" t="s">
        <v>50</v>
      </c>
      <c r="N4640" s="42" t="s">
        <v>17048</v>
      </c>
      <c r="O4640" s="67">
        <v>45908.5912884375</v>
      </c>
      <c r="P4640" s="35" t="s">
        <v>18336</v>
      </c>
      <c r="Q4640" s="13" t="s">
        <v>75</v>
      </c>
      <c r="R4640" s="13" t="s">
        <v>75</v>
      </c>
      <c r="S4640" s="13" t="s">
        <v>73</v>
      </c>
      <c r="T4640" s="44">
        <v>45903.42527050926</v>
      </c>
      <c r="U4640" s="44">
        <v>45903.42712245371</v>
      </c>
      <c r="V4640" s="44">
        <v>45904.461450393515</v>
      </c>
      <c r="W4640" s="11"/>
      <c r="X4640" s="148">
        <v>45867.0</v>
      </c>
      <c r="Y4640" s="45">
        <v>302.0</v>
      </c>
      <c r="Z4640" s="45" t="s">
        <v>18413</v>
      </c>
      <c r="AA4640" s="31"/>
      <c r="AB4640" s="45" t="s">
        <v>18414</v>
      </c>
      <c r="AC4640" s="45"/>
    </row>
    <row r="4641" ht="18.75" customHeight="1">
      <c r="A4641" s="32" t="s">
        <v>18415</v>
      </c>
      <c r="B4641" s="19" t="s">
        <v>4352</v>
      </c>
      <c r="C4641" s="20">
        <v>0.0</v>
      </c>
      <c r="D4641" s="39" t="s">
        <v>18416</v>
      </c>
      <c r="E4641" s="27" t="s">
        <v>3441</v>
      </c>
      <c r="F4641" s="27" t="s">
        <v>48</v>
      </c>
      <c r="G4641" s="18" t="s">
        <v>35</v>
      </c>
      <c r="H4641" s="40" t="s">
        <v>35</v>
      </c>
      <c r="I4641" s="37" t="s">
        <v>36</v>
      </c>
      <c r="J4641" s="25" t="s">
        <v>49</v>
      </c>
      <c r="K4641" s="26" t="s">
        <v>38</v>
      </c>
      <c r="L4641" s="72">
        <v>13524.0</v>
      </c>
      <c r="M4641" s="49" t="s">
        <v>73</v>
      </c>
      <c r="N4641" s="42" t="s">
        <v>17048</v>
      </c>
      <c r="O4641" s="67">
        <v>45868.6327562963</v>
      </c>
      <c r="P4641" s="35" t="s">
        <v>18336</v>
      </c>
      <c r="Q4641" s="13" t="s">
        <v>75</v>
      </c>
      <c r="R4641" s="13" t="s">
        <v>75</v>
      </c>
      <c r="S4641" s="13" t="s">
        <v>73</v>
      </c>
      <c r="T4641" s="44">
        <v>45867.61816239583</v>
      </c>
      <c r="U4641" s="44">
        <v>45867.62058159722</v>
      </c>
      <c r="V4641" s="44">
        <v>45868.428887256945</v>
      </c>
      <c r="W4641" s="11"/>
      <c r="X4641" s="148">
        <v>45867.0</v>
      </c>
      <c r="Y4641" s="45">
        <v>302.0</v>
      </c>
      <c r="Z4641" s="45" t="s">
        <v>18417</v>
      </c>
      <c r="AA4641" s="31"/>
      <c r="AB4641" s="45" t="s">
        <v>18418</v>
      </c>
      <c r="AC4641" s="45"/>
    </row>
    <row r="4642" ht="18.75" customHeight="1">
      <c r="A4642" s="32" t="s">
        <v>18419</v>
      </c>
      <c r="B4642" s="19" t="s">
        <v>4352</v>
      </c>
      <c r="C4642" s="20">
        <v>0.0</v>
      </c>
      <c r="D4642" s="39" t="s">
        <v>18420</v>
      </c>
      <c r="E4642" s="27" t="s">
        <v>3441</v>
      </c>
      <c r="F4642" s="27" t="s">
        <v>48</v>
      </c>
      <c r="G4642" s="18" t="s">
        <v>35</v>
      </c>
      <c r="H4642" s="40" t="s">
        <v>35</v>
      </c>
      <c r="I4642" s="37" t="s">
        <v>36</v>
      </c>
      <c r="J4642" s="25" t="s">
        <v>49</v>
      </c>
      <c r="K4642" s="26" t="s">
        <v>38</v>
      </c>
      <c r="L4642" s="72">
        <v>13524.0</v>
      </c>
      <c r="M4642" s="49" t="s">
        <v>73</v>
      </c>
      <c r="N4642" s="42" t="s">
        <v>17048</v>
      </c>
      <c r="O4642" s="67">
        <v>45868.63281762732</v>
      </c>
      <c r="P4642" s="35" t="s">
        <v>18336</v>
      </c>
      <c r="Q4642" s="13" t="s">
        <v>75</v>
      </c>
      <c r="R4642" s="13" t="s">
        <v>75</v>
      </c>
      <c r="S4642" s="13" t="s">
        <v>73</v>
      </c>
      <c r="T4642" s="44">
        <v>45867.61888162037</v>
      </c>
      <c r="U4642" s="44">
        <v>45867.620606944445</v>
      </c>
      <c r="V4642" s="44">
        <v>45868.42896931713</v>
      </c>
      <c r="W4642" s="11"/>
      <c r="X4642" s="148">
        <v>45867.0</v>
      </c>
      <c r="Y4642" s="45">
        <v>302.0</v>
      </c>
      <c r="Z4642" s="45" t="s">
        <v>18421</v>
      </c>
      <c r="AA4642" s="31"/>
      <c r="AB4642" s="45" t="s">
        <v>18422</v>
      </c>
      <c r="AC4642" s="45"/>
    </row>
    <row r="4643" ht="18.75" customHeight="1">
      <c r="A4643" s="32" t="s">
        <v>18423</v>
      </c>
      <c r="B4643" s="19" t="s">
        <v>4352</v>
      </c>
      <c r="C4643" s="20">
        <v>0.0</v>
      </c>
      <c r="D4643" s="39" t="s">
        <v>18424</v>
      </c>
      <c r="E4643" s="27" t="s">
        <v>3441</v>
      </c>
      <c r="F4643" s="27" t="s">
        <v>48</v>
      </c>
      <c r="G4643" s="18" t="s">
        <v>35</v>
      </c>
      <c r="H4643" s="40" t="s">
        <v>35</v>
      </c>
      <c r="I4643" s="37" t="s">
        <v>36</v>
      </c>
      <c r="J4643" s="25" t="s">
        <v>49</v>
      </c>
      <c r="K4643" s="26" t="s">
        <v>38</v>
      </c>
      <c r="L4643" s="72">
        <v>13808.0</v>
      </c>
      <c r="M4643" s="49" t="s">
        <v>50</v>
      </c>
      <c r="N4643" s="42" t="s">
        <v>17048</v>
      </c>
      <c r="O4643" s="67">
        <v>45908.590438969906</v>
      </c>
      <c r="P4643" s="35" t="s">
        <v>18336</v>
      </c>
      <c r="Q4643" s="13" t="s">
        <v>75</v>
      </c>
      <c r="R4643" s="13" t="s">
        <v>75</v>
      </c>
      <c r="S4643" s="13" t="s">
        <v>73</v>
      </c>
      <c r="T4643" s="44">
        <v>45903.424899907404</v>
      </c>
      <c r="U4643" s="44">
        <v>45903.426837314815</v>
      </c>
      <c r="V4643" s="44">
        <v>45904.460436458336</v>
      </c>
      <c r="W4643" s="11"/>
      <c r="X4643" s="148">
        <v>45867.0</v>
      </c>
      <c r="Y4643" s="45">
        <v>302.0</v>
      </c>
      <c r="Z4643" s="45" t="s">
        <v>18425</v>
      </c>
      <c r="AA4643" s="31"/>
      <c r="AB4643" s="45" t="s">
        <v>18426</v>
      </c>
      <c r="AC4643" s="45"/>
    </row>
    <row r="4644" ht="18.75" customHeight="1">
      <c r="A4644" s="32" t="s">
        <v>18427</v>
      </c>
      <c r="B4644" s="19" t="s">
        <v>4352</v>
      </c>
      <c r="C4644" s="20">
        <v>0.0</v>
      </c>
      <c r="D4644" s="39" t="s">
        <v>18428</v>
      </c>
      <c r="E4644" s="27" t="s">
        <v>3441</v>
      </c>
      <c r="F4644" s="27" t="s">
        <v>48</v>
      </c>
      <c r="G4644" s="18" t="s">
        <v>35</v>
      </c>
      <c r="H4644" s="40" t="s">
        <v>35</v>
      </c>
      <c r="I4644" s="37" t="s">
        <v>36</v>
      </c>
      <c r="J4644" s="25" t="s">
        <v>49</v>
      </c>
      <c r="K4644" s="26" t="s">
        <v>38</v>
      </c>
      <c r="L4644" s="72">
        <v>13808.0</v>
      </c>
      <c r="M4644" s="49" t="s">
        <v>50</v>
      </c>
      <c r="N4644" s="42" t="s">
        <v>17048</v>
      </c>
      <c r="O4644" s="67">
        <v>45908.590526527776</v>
      </c>
      <c r="P4644" s="35" t="s">
        <v>18336</v>
      </c>
      <c r="Q4644" s="13" t="s">
        <v>75</v>
      </c>
      <c r="R4644" s="13" t="s">
        <v>75</v>
      </c>
      <c r="S4644" s="13" t="s">
        <v>73</v>
      </c>
      <c r="T4644" s="44">
        <v>45903.42493113426</v>
      </c>
      <c r="U4644" s="44">
        <v>45903.42686295139</v>
      </c>
      <c r="V4644" s="44">
        <v>45904.460574745375</v>
      </c>
      <c r="W4644" s="11"/>
      <c r="X4644" s="148">
        <v>45867.0</v>
      </c>
      <c r="Y4644" s="45">
        <v>302.0</v>
      </c>
      <c r="Z4644" s="45" t="s">
        <v>18429</v>
      </c>
      <c r="AA4644" s="31"/>
      <c r="AB4644" s="45" t="s">
        <v>18430</v>
      </c>
      <c r="AC4644" s="45"/>
    </row>
    <row r="4645" ht="18.75" customHeight="1">
      <c r="A4645" s="32" t="s">
        <v>18431</v>
      </c>
      <c r="B4645" s="19" t="s">
        <v>4352</v>
      </c>
      <c r="C4645" s="20">
        <v>0.0</v>
      </c>
      <c r="D4645" s="39" t="s">
        <v>18432</v>
      </c>
      <c r="E4645" s="27" t="s">
        <v>3441</v>
      </c>
      <c r="F4645" s="27" t="s">
        <v>48</v>
      </c>
      <c r="G4645" s="18" t="s">
        <v>35</v>
      </c>
      <c r="H4645" s="40" t="s">
        <v>35</v>
      </c>
      <c r="I4645" s="37" t="s">
        <v>36</v>
      </c>
      <c r="J4645" s="25" t="s">
        <v>49</v>
      </c>
      <c r="K4645" s="26" t="s">
        <v>38</v>
      </c>
      <c r="L4645" s="72">
        <v>13808.0</v>
      </c>
      <c r="M4645" s="49" t="s">
        <v>50</v>
      </c>
      <c r="N4645" s="42" t="s">
        <v>17048</v>
      </c>
      <c r="O4645" s="67">
        <v>45908.590598738425</v>
      </c>
      <c r="P4645" s="35" t="s">
        <v>18336</v>
      </c>
      <c r="Q4645" s="13" t="s">
        <v>75</v>
      </c>
      <c r="R4645" s="13" t="s">
        <v>75</v>
      </c>
      <c r="S4645" s="13" t="s">
        <v>73</v>
      </c>
      <c r="T4645" s="44">
        <v>45903.42495917824</v>
      </c>
      <c r="U4645" s="44">
        <v>45903.42689120371</v>
      </c>
      <c r="V4645" s="44">
        <v>45904.460650127316</v>
      </c>
      <c r="W4645" s="11"/>
      <c r="X4645" s="148">
        <v>45867.0</v>
      </c>
      <c r="Y4645" s="45">
        <v>302.0</v>
      </c>
      <c r="Z4645" s="45" t="s">
        <v>18433</v>
      </c>
      <c r="AA4645" s="31"/>
      <c r="AB4645" s="45" t="s">
        <v>18434</v>
      </c>
      <c r="AC4645" s="45"/>
    </row>
    <row r="4646" ht="18.75" customHeight="1">
      <c r="A4646" s="32" t="s">
        <v>18435</v>
      </c>
      <c r="B4646" s="19" t="s">
        <v>4352</v>
      </c>
      <c r="C4646" s="20">
        <v>0.0</v>
      </c>
      <c r="D4646" s="39" t="s">
        <v>18436</v>
      </c>
      <c r="E4646" s="27" t="s">
        <v>3441</v>
      </c>
      <c r="F4646" s="27" t="s">
        <v>48</v>
      </c>
      <c r="G4646" s="18" t="s">
        <v>35</v>
      </c>
      <c r="H4646" s="40" t="s">
        <v>35</v>
      </c>
      <c r="I4646" s="37" t="s">
        <v>36</v>
      </c>
      <c r="J4646" s="25" t="s">
        <v>49</v>
      </c>
      <c r="K4646" s="26" t="s">
        <v>38</v>
      </c>
      <c r="L4646" s="72">
        <v>13808.0</v>
      </c>
      <c r="M4646" s="49" t="s">
        <v>50</v>
      </c>
      <c r="N4646" s="42" t="s">
        <v>17048</v>
      </c>
      <c r="O4646" s="67">
        <v>45908.590658981484</v>
      </c>
      <c r="P4646" s="35" t="s">
        <v>18336</v>
      </c>
      <c r="Q4646" s="13" t="s">
        <v>75</v>
      </c>
      <c r="R4646" s="13" t="s">
        <v>75</v>
      </c>
      <c r="S4646" s="13" t="s">
        <v>73</v>
      </c>
      <c r="T4646" s="44">
        <v>45903.42498895833</v>
      </c>
      <c r="U4646" s="44">
        <v>45903.42691620371</v>
      </c>
      <c r="V4646" s="44">
        <v>45904.46072821759</v>
      </c>
      <c r="W4646" s="11"/>
      <c r="X4646" s="148">
        <v>45867.0</v>
      </c>
      <c r="Y4646" s="45">
        <v>302.0</v>
      </c>
      <c r="Z4646" s="45" t="s">
        <v>18437</v>
      </c>
      <c r="AA4646" s="31"/>
      <c r="AB4646" s="45" t="s">
        <v>18438</v>
      </c>
      <c r="AC4646" s="45"/>
    </row>
    <row r="4647" ht="18.75" customHeight="1">
      <c r="A4647" s="32" t="s">
        <v>18439</v>
      </c>
      <c r="B4647" s="19" t="s">
        <v>4352</v>
      </c>
      <c r="C4647" s="20">
        <v>137.0</v>
      </c>
      <c r="D4647" s="39" t="s">
        <v>18440</v>
      </c>
      <c r="E4647" s="27" t="s">
        <v>85</v>
      </c>
      <c r="F4647" s="27" t="s">
        <v>48</v>
      </c>
      <c r="G4647" s="18" t="s">
        <v>35</v>
      </c>
      <c r="H4647" s="40" t="s">
        <v>35</v>
      </c>
      <c r="I4647" s="37" t="s">
        <v>36</v>
      </c>
      <c r="J4647" s="25" t="s">
        <v>49</v>
      </c>
      <c r="K4647" s="26" t="s">
        <v>38</v>
      </c>
      <c r="L4647" s="72">
        <v>13524.0</v>
      </c>
      <c r="M4647" s="49" t="s">
        <v>73</v>
      </c>
      <c r="N4647" s="42" t="s">
        <v>17048</v>
      </c>
      <c r="O4647" s="67">
        <v>45868.632876331016</v>
      </c>
      <c r="P4647" s="35" t="s">
        <v>18336</v>
      </c>
      <c r="Q4647" s="13" t="s">
        <v>75</v>
      </c>
      <c r="R4647" s="13" t="s">
        <v>75</v>
      </c>
      <c r="S4647" s="13" t="s">
        <v>73</v>
      </c>
      <c r="T4647" s="44">
        <v>45867.61906386574</v>
      </c>
      <c r="U4647" s="44">
        <v>45867.62064246528</v>
      </c>
      <c r="V4647" s="44">
        <v>45868.4164819213</v>
      </c>
      <c r="W4647" s="11"/>
      <c r="X4647" s="148">
        <v>45867.0</v>
      </c>
      <c r="Y4647" s="45">
        <v>302.0</v>
      </c>
      <c r="Z4647" s="45" t="s">
        <v>18441</v>
      </c>
      <c r="AA4647" s="31"/>
      <c r="AB4647" s="45" t="s">
        <v>18442</v>
      </c>
      <c r="AC4647" s="45"/>
    </row>
    <row r="4648" ht="18.75" customHeight="1">
      <c r="A4648" s="142" t="s">
        <v>18443</v>
      </c>
      <c r="B4648" s="19" t="s">
        <v>18444</v>
      </c>
      <c r="C4648" s="20">
        <v>0.0</v>
      </c>
      <c r="D4648" s="179">
        <v>20220.0</v>
      </c>
      <c r="E4648" s="27" t="s">
        <v>13303</v>
      </c>
      <c r="F4648" s="27" t="s">
        <v>48</v>
      </c>
      <c r="G4648" s="18" t="s">
        <v>35</v>
      </c>
      <c r="H4648" s="40" t="s">
        <v>35</v>
      </c>
      <c r="I4648" s="37" t="s">
        <v>36</v>
      </c>
      <c r="J4648" s="25" t="s">
        <v>92</v>
      </c>
      <c r="K4648" s="26" t="s">
        <v>38</v>
      </c>
      <c r="L4648" s="72">
        <v>13940.0</v>
      </c>
      <c r="M4648" s="49" t="s">
        <v>50</v>
      </c>
      <c r="N4648" s="42" t="s">
        <v>18445</v>
      </c>
      <c r="O4648" s="67">
        <v>45898.35489744213</v>
      </c>
      <c r="P4648" s="35" t="s">
        <v>18446</v>
      </c>
      <c r="Q4648" s="13" t="s">
        <v>75</v>
      </c>
      <c r="R4648" s="13" t="s">
        <v>75</v>
      </c>
      <c r="S4648" s="13" t="s">
        <v>9620</v>
      </c>
      <c r="T4648" s="44">
        <v>45867.476230115746</v>
      </c>
      <c r="U4648" s="44">
        <v>45867.639442314816</v>
      </c>
      <c r="V4648" s="44">
        <v>45873.48744982639</v>
      </c>
      <c r="W4648" s="11"/>
      <c r="X4648" s="11"/>
      <c r="Y4648" s="45">
        <v>302.0</v>
      </c>
      <c r="Z4648" s="45" t="s">
        <v>18447</v>
      </c>
      <c r="AA4648" s="31"/>
      <c r="AB4648" s="45" t="s">
        <v>18448</v>
      </c>
      <c r="AC4648" s="45"/>
    </row>
    <row r="4649" ht="18.75" customHeight="1">
      <c r="A4649" s="18" t="s">
        <v>18449</v>
      </c>
      <c r="B4649" s="19" t="s">
        <v>18450</v>
      </c>
      <c r="C4649" s="20">
        <v>1.0</v>
      </c>
      <c r="D4649" s="39" t="s">
        <v>18451</v>
      </c>
      <c r="E4649" s="27" t="s">
        <v>3395</v>
      </c>
      <c r="F4649" s="27" t="s">
        <v>48</v>
      </c>
      <c r="G4649" s="18" t="s">
        <v>35</v>
      </c>
      <c r="H4649" s="40" t="s">
        <v>35</v>
      </c>
      <c r="I4649" s="37" t="s">
        <v>36</v>
      </c>
      <c r="J4649" s="25" t="s">
        <v>339</v>
      </c>
      <c r="K4649" s="26" t="s">
        <v>38</v>
      </c>
      <c r="L4649" s="72">
        <v>13543.0</v>
      </c>
      <c r="M4649" s="49" t="s">
        <v>73</v>
      </c>
      <c r="N4649" s="42" t="s">
        <v>18452</v>
      </c>
      <c r="O4649" s="67">
        <v>45869.66945523148</v>
      </c>
      <c r="P4649" s="35" t="s">
        <v>18453</v>
      </c>
      <c r="Q4649" s="13" t="s">
        <v>75</v>
      </c>
      <c r="R4649" s="13" t="s">
        <v>75</v>
      </c>
      <c r="S4649" s="13" t="s">
        <v>73</v>
      </c>
      <c r="T4649" s="44">
        <v>45869.50284403935</v>
      </c>
      <c r="U4649" s="44">
        <v>45869.5028991088</v>
      </c>
      <c r="V4649" s="44">
        <v>45869.57125678241</v>
      </c>
      <c r="W4649" s="11"/>
      <c r="X4649" s="11"/>
      <c r="Y4649" s="45">
        <v>302.0</v>
      </c>
      <c r="Z4649" s="45" t="s">
        <v>18454</v>
      </c>
      <c r="AA4649" s="31"/>
      <c r="AB4649" s="45" t="s">
        <v>18455</v>
      </c>
      <c r="AC4649" s="45"/>
    </row>
    <row r="4650" ht="18.75" customHeight="1">
      <c r="A4650" s="18" t="s">
        <v>18456</v>
      </c>
      <c r="B4650" s="19" t="s">
        <v>18450</v>
      </c>
      <c r="C4650" s="20">
        <v>1.0</v>
      </c>
      <c r="D4650" s="39" t="s">
        <v>18457</v>
      </c>
      <c r="E4650" s="27" t="s">
        <v>3395</v>
      </c>
      <c r="F4650" s="27" t="s">
        <v>48</v>
      </c>
      <c r="G4650" s="18" t="s">
        <v>35</v>
      </c>
      <c r="H4650" s="40" t="s">
        <v>35</v>
      </c>
      <c r="I4650" s="37" t="s">
        <v>36</v>
      </c>
      <c r="J4650" s="25" t="s">
        <v>339</v>
      </c>
      <c r="K4650" s="26" t="s">
        <v>38</v>
      </c>
      <c r="L4650" s="72">
        <v>13543.0</v>
      </c>
      <c r="M4650" s="49" t="s">
        <v>73</v>
      </c>
      <c r="N4650" s="42" t="s">
        <v>18452</v>
      </c>
      <c r="O4650" s="67">
        <v>45869.6694024537</v>
      </c>
      <c r="P4650" s="35" t="s">
        <v>18453</v>
      </c>
      <c r="Q4650" s="13" t="s">
        <v>75</v>
      </c>
      <c r="R4650" s="13" t="s">
        <v>75</v>
      </c>
      <c r="S4650" s="13" t="s">
        <v>73</v>
      </c>
      <c r="T4650" s="44">
        <v>45869.50263847222</v>
      </c>
      <c r="U4650" s="44">
        <v>45869.502863981485</v>
      </c>
      <c r="V4650" s="44">
        <v>45869.57122730324</v>
      </c>
      <c r="W4650" s="11"/>
      <c r="X4650" s="11"/>
      <c r="Y4650" s="45">
        <v>302.0</v>
      </c>
      <c r="Z4650" s="45" t="s">
        <v>18458</v>
      </c>
      <c r="AA4650" s="31"/>
      <c r="AB4650" s="45" t="s">
        <v>18459</v>
      </c>
      <c r="AC4650" s="45"/>
    </row>
    <row r="4651" ht="18.75" customHeight="1">
      <c r="A4651" s="142" t="s">
        <v>18460</v>
      </c>
      <c r="B4651" s="19" t="s">
        <v>8459</v>
      </c>
      <c r="C4651" s="20">
        <v>0.0</v>
      </c>
      <c r="D4651" s="39" t="s">
        <v>18461</v>
      </c>
      <c r="E4651" s="27" t="s">
        <v>3441</v>
      </c>
      <c r="F4651" s="27" t="s">
        <v>48</v>
      </c>
      <c r="G4651" s="18" t="s">
        <v>35</v>
      </c>
      <c r="H4651" s="40" t="s">
        <v>35</v>
      </c>
      <c r="I4651" s="37" t="s">
        <v>36</v>
      </c>
      <c r="J4651" s="25" t="s">
        <v>49</v>
      </c>
      <c r="K4651" s="26" t="s">
        <v>1506</v>
      </c>
      <c r="L4651" s="72">
        <v>13534.0</v>
      </c>
      <c r="M4651" s="49" t="s">
        <v>73</v>
      </c>
      <c r="N4651" s="42" t="s">
        <v>17048</v>
      </c>
      <c r="O4651" s="67">
        <v>45868.63341033565</v>
      </c>
      <c r="P4651" s="35" t="s">
        <v>18462</v>
      </c>
      <c r="Q4651" s="13" t="s">
        <v>75</v>
      </c>
      <c r="R4651" s="13" t="s">
        <v>75</v>
      </c>
      <c r="S4651" s="13" t="s">
        <v>73</v>
      </c>
      <c r="T4651" s="44">
        <v>45867.55401619213</v>
      </c>
      <c r="U4651" s="44">
        <v>45868.46487804398</v>
      </c>
      <c r="V4651" s="44">
        <v>45868.54415509259</v>
      </c>
      <c r="W4651" s="11"/>
      <c r="X4651" s="11"/>
      <c r="Y4651" s="45">
        <v>302.0</v>
      </c>
      <c r="Z4651" s="45" t="s">
        <v>18463</v>
      </c>
      <c r="AA4651" s="31"/>
      <c r="AB4651" s="45" t="s">
        <v>18464</v>
      </c>
      <c r="AC4651" s="45"/>
    </row>
    <row r="4652" ht="18.75" customHeight="1">
      <c r="A4652" s="142" t="s">
        <v>18465</v>
      </c>
      <c r="B4652" s="19" t="s">
        <v>18466</v>
      </c>
      <c r="C4652" s="20">
        <v>90.0</v>
      </c>
      <c r="D4652" s="39" t="s">
        <v>18467</v>
      </c>
      <c r="E4652" s="27" t="s">
        <v>91</v>
      </c>
      <c r="F4652" s="27" t="s">
        <v>48</v>
      </c>
      <c r="G4652" s="18" t="s">
        <v>35</v>
      </c>
      <c r="H4652" s="40" t="s">
        <v>35</v>
      </c>
      <c r="I4652" s="37" t="s">
        <v>36</v>
      </c>
      <c r="J4652" s="25" t="s">
        <v>49</v>
      </c>
      <c r="K4652" s="26" t="s">
        <v>38</v>
      </c>
      <c r="L4652" s="72">
        <v>13531.0</v>
      </c>
      <c r="M4652" s="49" t="s">
        <v>73</v>
      </c>
      <c r="N4652" s="42" t="s">
        <v>17048</v>
      </c>
      <c r="O4652" s="67">
        <v>45868.63346643519</v>
      </c>
      <c r="P4652" s="35" t="s">
        <v>18468</v>
      </c>
      <c r="Q4652" s="13" t="s">
        <v>75</v>
      </c>
      <c r="R4652" s="13" t="s">
        <v>75</v>
      </c>
      <c r="S4652" s="13" t="s">
        <v>73</v>
      </c>
      <c r="T4652" s="44">
        <v>45868.438078437495</v>
      </c>
      <c r="U4652" s="44">
        <v>45868.51370957176</v>
      </c>
      <c r="V4652" s="44">
        <v>45868.54435493056</v>
      </c>
      <c r="W4652" s="11"/>
      <c r="X4652" s="11"/>
      <c r="Y4652" s="45">
        <v>302.0</v>
      </c>
      <c r="Z4652" s="45" t="s">
        <v>18469</v>
      </c>
      <c r="AA4652" s="31"/>
      <c r="AB4652" s="45" t="s">
        <v>18470</v>
      </c>
      <c r="AC4652" s="45"/>
    </row>
    <row r="4653" ht="18.75" customHeight="1">
      <c r="A4653" s="142" t="s">
        <v>18471</v>
      </c>
      <c r="B4653" s="19" t="s">
        <v>18090</v>
      </c>
      <c r="C4653" s="20">
        <v>137.0</v>
      </c>
      <c r="D4653" s="39" t="s">
        <v>18472</v>
      </c>
      <c r="E4653" s="27" t="s">
        <v>85</v>
      </c>
      <c r="F4653" s="27" t="s">
        <v>48</v>
      </c>
      <c r="G4653" s="18" t="s">
        <v>35</v>
      </c>
      <c r="H4653" s="40" t="s">
        <v>35</v>
      </c>
      <c r="I4653" s="37" t="s">
        <v>36</v>
      </c>
      <c r="J4653" s="25" t="s">
        <v>65</v>
      </c>
      <c r="K4653" s="26" t="s">
        <v>38</v>
      </c>
      <c r="L4653" s="72">
        <v>13532.0</v>
      </c>
      <c r="M4653" s="49" t="s">
        <v>73</v>
      </c>
      <c r="N4653" s="42" t="s">
        <v>16408</v>
      </c>
      <c r="O4653" s="67">
        <v>45868.7042289699</v>
      </c>
      <c r="P4653" s="35" t="s">
        <v>18473</v>
      </c>
      <c r="Q4653" s="13" t="s">
        <v>75</v>
      </c>
      <c r="R4653" s="13" t="s">
        <v>75</v>
      </c>
      <c r="S4653" s="13" t="s">
        <v>73</v>
      </c>
      <c r="T4653" s="44">
        <v>45868.45434</v>
      </c>
      <c r="U4653" s="44">
        <v>45868.48365581018</v>
      </c>
      <c r="V4653" s="44">
        <v>45868.54579142361</v>
      </c>
      <c r="W4653" s="11"/>
      <c r="X4653" s="11"/>
      <c r="Y4653" s="45">
        <v>302.0</v>
      </c>
      <c r="Z4653" s="45" t="s">
        <v>18474</v>
      </c>
      <c r="AA4653" s="31"/>
      <c r="AB4653" s="45" t="s">
        <v>18475</v>
      </c>
      <c r="AC4653" s="45"/>
    </row>
    <row r="4654" ht="18.75" customHeight="1">
      <c r="A4654" s="142" t="s">
        <v>18476</v>
      </c>
      <c r="B4654" s="19" t="s">
        <v>4313</v>
      </c>
      <c r="C4654" s="20">
        <v>90.0</v>
      </c>
      <c r="D4654" s="39" t="s">
        <v>18477</v>
      </c>
      <c r="E4654" s="27" t="s">
        <v>91</v>
      </c>
      <c r="F4654" s="27" t="s">
        <v>48</v>
      </c>
      <c r="G4654" s="18" t="s">
        <v>35</v>
      </c>
      <c r="H4654" s="40" t="s">
        <v>35</v>
      </c>
      <c r="I4654" s="37" t="s">
        <v>36</v>
      </c>
      <c r="J4654" s="25" t="s">
        <v>92</v>
      </c>
      <c r="K4654" s="26" t="s">
        <v>38</v>
      </c>
      <c r="L4654" s="72">
        <v>13552.0</v>
      </c>
      <c r="M4654" s="49" t="s">
        <v>73</v>
      </c>
      <c r="N4654" s="42" t="s">
        <v>10176</v>
      </c>
      <c r="O4654" s="67">
        <v>45873.644552060185</v>
      </c>
      <c r="P4654" s="35" t="s">
        <v>18478</v>
      </c>
      <c r="Q4654" s="13" t="s">
        <v>75</v>
      </c>
      <c r="R4654" s="13" t="s">
        <v>75</v>
      </c>
      <c r="S4654" s="13" t="s">
        <v>73</v>
      </c>
      <c r="T4654" s="44">
        <v>45868.462487627316</v>
      </c>
      <c r="U4654" s="44">
        <v>45870.388510868055</v>
      </c>
      <c r="V4654" s="44">
        <v>45870.614997638884</v>
      </c>
      <c r="W4654" s="11"/>
      <c r="X4654" s="11"/>
      <c r="Y4654" s="45">
        <v>302.0</v>
      </c>
      <c r="Z4654" s="45" t="s">
        <v>18479</v>
      </c>
      <c r="AA4654" s="31"/>
      <c r="AB4654" s="45" t="s">
        <v>18480</v>
      </c>
      <c r="AC4654" s="45"/>
    </row>
    <row r="4655" ht="18.75" customHeight="1">
      <c r="A4655" s="142" t="s">
        <v>18481</v>
      </c>
      <c r="B4655" s="19" t="s">
        <v>18482</v>
      </c>
      <c r="C4655" s="20">
        <v>11.0</v>
      </c>
      <c r="D4655" s="39" t="s">
        <v>18483</v>
      </c>
      <c r="E4655" s="27" t="s">
        <v>112</v>
      </c>
      <c r="F4655" s="27" t="s">
        <v>48</v>
      </c>
      <c r="G4655" s="18" t="s">
        <v>35</v>
      </c>
      <c r="H4655" s="40" t="s">
        <v>35</v>
      </c>
      <c r="I4655" s="37" t="s">
        <v>36</v>
      </c>
      <c r="J4655" s="25" t="s">
        <v>49</v>
      </c>
      <c r="K4655" s="26" t="s">
        <v>16881</v>
      </c>
      <c r="L4655" s="72">
        <v>13571.0</v>
      </c>
      <c r="M4655" s="49" t="s">
        <v>73</v>
      </c>
      <c r="N4655" s="42" t="s">
        <v>5936</v>
      </c>
      <c r="O4655" s="67">
        <v>45875.696879270836</v>
      </c>
      <c r="P4655" s="35" t="s">
        <v>18484</v>
      </c>
      <c r="Q4655" s="13" t="s">
        <v>75</v>
      </c>
      <c r="R4655" s="13" t="s">
        <v>75</v>
      </c>
      <c r="S4655" s="13" t="s">
        <v>73</v>
      </c>
      <c r="T4655" s="44">
        <v>45868.46442646991</v>
      </c>
      <c r="U4655" s="44">
        <v>45874.48112670139</v>
      </c>
      <c r="V4655" s="44">
        <v>45875.60135355324</v>
      </c>
      <c r="W4655" s="11"/>
      <c r="X4655" s="11"/>
      <c r="Y4655" s="45">
        <v>302.0</v>
      </c>
      <c r="Z4655" s="45" t="s">
        <v>18485</v>
      </c>
      <c r="AA4655" s="31"/>
      <c r="AB4655" s="45" t="s">
        <v>18486</v>
      </c>
      <c r="AC4655" s="45"/>
    </row>
    <row r="4656" ht="18.75" customHeight="1">
      <c r="A4656" s="18" t="s">
        <v>18487</v>
      </c>
      <c r="B4656" s="19" t="s">
        <v>1345</v>
      </c>
      <c r="C4656" s="20">
        <v>11.0</v>
      </c>
      <c r="D4656" s="39" t="s">
        <v>18488</v>
      </c>
      <c r="E4656" s="27" t="s">
        <v>112</v>
      </c>
      <c r="F4656" s="27" t="s">
        <v>48</v>
      </c>
      <c r="G4656" s="18" t="s">
        <v>35</v>
      </c>
      <c r="H4656" s="40" t="s">
        <v>35</v>
      </c>
      <c r="I4656" s="37" t="s">
        <v>36</v>
      </c>
      <c r="J4656" s="25" t="s">
        <v>65</v>
      </c>
      <c r="K4656" s="26" t="s">
        <v>38</v>
      </c>
      <c r="L4656" s="72">
        <v>13536.0</v>
      </c>
      <c r="M4656" s="49" t="s">
        <v>73</v>
      </c>
      <c r="N4656" s="42" t="s">
        <v>16408</v>
      </c>
      <c r="O4656" s="67">
        <v>45868.704184120375</v>
      </c>
      <c r="P4656" s="35" t="s">
        <v>18489</v>
      </c>
      <c r="Q4656" s="13" t="s">
        <v>75</v>
      </c>
      <c r="R4656" s="13" t="s">
        <v>75</v>
      </c>
      <c r="S4656" s="13" t="s">
        <v>73</v>
      </c>
      <c r="T4656" s="44">
        <v>45868.467469027775</v>
      </c>
      <c r="U4656" s="44">
        <v>45868.55698337963</v>
      </c>
      <c r="V4656" s="44">
        <v>45868.628223645836</v>
      </c>
      <c r="W4656" s="11"/>
      <c r="X4656" s="11"/>
      <c r="Y4656" s="45">
        <v>302.0</v>
      </c>
      <c r="Z4656" s="45" t="s">
        <v>18490</v>
      </c>
      <c r="AA4656" s="31"/>
      <c r="AB4656" s="45" t="s">
        <v>18491</v>
      </c>
      <c r="AC4656" s="45"/>
    </row>
    <row r="4657" ht="18.75" customHeight="1">
      <c r="A4657" s="18" t="s">
        <v>18492</v>
      </c>
      <c r="B4657" s="19" t="s">
        <v>1345</v>
      </c>
      <c r="C4657" s="20">
        <v>11.0</v>
      </c>
      <c r="D4657" s="39" t="s">
        <v>18493</v>
      </c>
      <c r="E4657" s="27" t="s">
        <v>112</v>
      </c>
      <c r="F4657" s="27" t="s">
        <v>48</v>
      </c>
      <c r="G4657" s="18" t="s">
        <v>35</v>
      </c>
      <c r="H4657" s="40" t="s">
        <v>35</v>
      </c>
      <c r="I4657" s="37" t="s">
        <v>36</v>
      </c>
      <c r="J4657" s="25" t="s">
        <v>65</v>
      </c>
      <c r="K4657" s="26" t="s">
        <v>38</v>
      </c>
      <c r="L4657" s="72">
        <v>13536.0</v>
      </c>
      <c r="M4657" s="49" t="s">
        <v>73</v>
      </c>
      <c r="N4657" s="42" t="s">
        <v>16408</v>
      </c>
      <c r="O4657" s="67">
        <v>45868.704133946754</v>
      </c>
      <c r="P4657" s="35" t="s">
        <v>18489</v>
      </c>
      <c r="Q4657" s="13" t="s">
        <v>75</v>
      </c>
      <c r="R4657" s="13" t="s">
        <v>75</v>
      </c>
      <c r="S4657" s="13" t="s">
        <v>73</v>
      </c>
      <c r="T4657" s="44">
        <v>45868.46768368056</v>
      </c>
      <c r="U4657" s="44">
        <v>45868.557014074075</v>
      </c>
      <c r="V4657" s="44">
        <v>45868.62830921296</v>
      </c>
      <c r="W4657" s="11"/>
      <c r="X4657" s="11"/>
      <c r="Y4657" s="45">
        <v>302.0</v>
      </c>
      <c r="Z4657" s="45" t="s">
        <v>18494</v>
      </c>
      <c r="AA4657" s="31"/>
      <c r="AB4657" s="45" t="s">
        <v>18495</v>
      </c>
      <c r="AC4657" s="45"/>
    </row>
    <row r="4658" ht="18.75" customHeight="1">
      <c r="A4658" s="18" t="s">
        <v>18496</v>
      </c>
      <c r="B4658" s="19" t="s">
        <v>1345</v>
      </c>
      <c r="C4658" s="20">
        <v>34.0</v>
      </c>
      <c r="D4658" s="39" t="s">
        <v>18497</v>
      </c>
      <c r="E4658" s="27" t="s">
        <v>47</v>
      </c>
      <c r="F4658" s="27" t="s">
        <v>48</v>
      </c>
      <c r="G4658" s="18" t="s">
        <v>35</v>
      </c>
      <c r="H4658" s="40" t="s">
        <v>35</v>
      </c>
      <c r="I4658" s="37" t="s">
        <v>36</v>
      </c>
      <c r="J4658" s="25" t="s">
        <v>65</v>
      </c>
      <c r="K4658" s="26" t="s">
        <v>38</v>
      </c>
      <c r="L4658" s="72">
        <v>13536.0</v>
      </c>
      <c r="M4658" s="49" t="s">
        <v>73</v>
      </c>
      <c r="N4658" s="42" t="s">
        <v>16408</v>
      </c>
      <c r="O4658" s="67">
        <v>45868.70402099537</v>
      </c>
      <c r="P4658" s="35" t="s">
        <v>18489</v>
      </c>
      <c r="Q4658" s="13" t="s">
        <v>75</v>
      </c>
      <c r="R4658" s="13" t="s">
        <v>75</v>
      </c>
      <c r="S4658" s="13" t="s">
        <v>73</v>
      </c>
      <c r="T4658" s="44">
        <v>45868.4679259838</v>
      </c>
      <c r="U4658" s="44">
        <v>45868.55707178241</v>
      </c>
      <c r="V4658" s="44">
        <v>45868.62847460648</v>
      </c>
      <c r="W4658" s="11"/>
      <c r="X4658" s="11"/>
      <c r="Y4658" s="45">
        <v>302.0</v>
      </c>
      <c r="Z4658" s="45" t="s">
        <v>18498</v>
      </c>
      <c r="AA4658" s="31"/>
      <c r="AB4658" s="45" t="s">
        <v>18499</v>
      </c>
      <c r="AC4658" s="45"/>
    </row>
    <row r="4659" ht="18.75" customHeight="1">
      <c r="A4659" s="18" t="s">
        <v>18500</v>
      </c>
      <c r="B4659" s="19" t="s">
        <v>1345</v>
      </c>
      <c r="C4659" s="20">
        <v>0.0</v>
      </c>
      <c r="D4659" s="39" t="s">
        <v>18501</v>
      </c>
      <c r="E4659" s="27" t="s">
        <v>3441</v>
      </c>
      <c r="F4659" s="27" t="s">
        <v>48</v>
      </c>
      <c r="G4659" s="18" t="s">
        <v>35</v>
      </c>
      <c r="H4659" s="40" t="s">
        <v>35</v>
      </c>
      <c r="I4659" s="37" t="s">
        <v>36</v>
      </c>
      <c r="J4659" s="25" t="s">
        <v>65</v>
      </c>
      <c r="K4659" s="26" t="s">
        <v>38</v>
      </c>
      <c r="L4659" s="72">
        <v>13536.0</v>
      </c>
      <c r="M4659" s="49" t="s">
        <v>73</v>
      </c>
      <c r="N4659" s="42" t="s">
        <v>16408</v>
      </c>
      <c r="O4659" s="67">
        <v>45868.703949814815</v>
      </c>
      <c r="P4659" s="35" t="s">
        <v>18489</v>
      </c>
      <c r="Q4659" s="13" t="s">
        <v>75</v>
      </c>
      <c r="R4659" s="13" t="s">
        <v>75</v>
      </c>
      <c r="S4659" s="13" t="s">
        <v>73</v>
      </c>
      <c r="T4659" s="44">
        <v>45868.46804230324</v>
      </c>
      <c r="U4659" s="44">
        <v>45868.55713303241</v>
      </c>
      <c r="V4659" s="44">
        <v>45868.62912322917</v>
      </c>
      <c r="W4659" s="11"/>
      <c r="X4659" s="11"/>
      <c r="Y4659" s="45">
        <v>302.0</v>
      </c>
      <c r="Z4659" s="45" t="s">
        <v>18502</v>
      </c>
      <c r="AA4659" s="31"/>
      <c r="AB4659" s="45" t="s">
        <v>18503</v>
      </c>
      <c r="AC4659" s="45"/>
    </row>
    <row r="4660" ht="18.75" customHeight="1">
      <c r="A4660" s="18" t="s">
        <v>18504</v>
      </c>
      <c r="B4660" s="19" t="s">
        <v>1345</v>
      </c>
      <c r="C4660" s="20">
        <v>137.0</v>
      </c>
      <c r="D4660" s="39" t="s">
        <v>18505</v>
      </c>
      <c r="E4660" s="27" t="s">
        <v>85</v>
      </c>
      <c r="F4660" s="27" t="s">
        <v>48</v>
      </c>
      <c r="G4660" s="18" t="s">
        <v>35</v>
      </c>
      <c r="H4660" s="40" t="s">
        <v>35</v>
      </c>
      <c r="I4660" s="37" t="s">
        <v>36</v>
      </c>
      <c r="J4660" s="25" t="s">
        <v>65</v>
      </c>
      <c r="K4660" s="26" t="s">
        <v>38</v>
      </c>
      <c r="L4660" s="72">
        <v>13536.0</v>
      </c>
      <c r="M4660" s="49" t="s">
        <v>73</v>
      </c>
      <c r="N4660" s="42" t="s">
        <v>16408</v>
      </c>
      <c r="O4660" s="67">
        <v>45868.704082592594</v>
      </c>
      <c r="P4660" s="35" t="s">
        <v>18489</v>
      </c>
      <c r="Q4660" s="13" t="s">
        <v>75</v>
      </c>
      <c r="R4660" s="13" t="s">
        <v>75</v>
      </c>
      <c r="S4660" s="13" t="s">
        <v>73</v>
      </c>
      <c r="T4660" s="44">
        <v>45868.46814755787</v>
      </c>
      <c r="U4660" s="44">
        <v>45868.55703988426</v>
      </c>
      <c r="V4660" s="44">
        <v>45868.62838780093</v>
      </c>
      <c r="W4660" s="11"/>
      <c r="X4660" s="11"/>
      <c r="Y4660" s="45">
        <v>302.0</v>
      </c>
      <c r="Z4660" s="45" t="s">
        <v>18506</v>
      </c>
      <c r="AA4660" s="31"/>
      <c r="AB4660" s="45" t="s">
        <v>18507</v>
      </c>
      <c r="AC4660" s="45"/>
    </row>
    <row r="4661" ht="18.75" customHeight="1">
      <c r="A4661" s="142" t="s">
        <v>18508</v>
      </c>
      <c r="B4661" s="19" t="s">
        <v>4313</v>
      </c>
      <c r="C4661" s="20">
        <v>0.0</v>
      </c>
      <c r="D4661" s="179">
        <v>14049.0</v>
      </c>
      <c r="E4661" s="27" t="s">
        <v>913</v>
      </c>
      <c r="F4661" s="27" t="s">
        <v>33</v>
      </c>
      <c r="G4661" s="18" t="s">
        <v>35</v>
      </c>
      <c r="H4661" s="40" t="s">
        <v>35</v>
      </c>
      <c r="I4661" s="37" t="s">
        <v>36</v>
      </c>
      <c r="J4661" s="25" t="s">
        <v>92</v>
      </c>
      <c r="K4661" s="26" t="s">
        <v>38</v>
      </c>
      <c r="L4661" s="72">
        <v>13549.0</v>
      </c>
      <c r="M4661" s="49" t="s">
        <v>73</v>
      </c>
      <c r="N4661" s="42" t="s">
        <v>10176</v>
      </c>
      <c r="O4661" s="67">
        <v>45870.63660957176</v>
      </c>
      <c r="P4661" s="35" t="s">
        <v>18509</v>
      </c>
      <c r="Q4661" s="13" t="s">
        <v>75</v>
      </c>
      <c r="R4661" s="13" t="s">
        <v>75</v>
      </c>
      <c r="S4661" s="13" t="s">
        <v>9620</v>
      </c>
      <c r="T4661" s="44">
        <v>45868.47387592593</v>
      </c>
      <c r="U4661" s="44">
        <v>45868.4843134375</v>
      </c>
      <c r="V4661" s="44">
        <v>45869.45169081019</v>
      </c>
      <c r="W4661" s="11"/>
      <c r="X4661" s="11"/>
      <c r="Y4661" s="207">
        <v>302.0</v>
      </c>
      <c r="Z4661" s="45" t="s">
        <v>18510</v>
      </c>
      <c r="AA4661" s="31"/>
      <c r="AB4661" s="45" t="s">
        <v>18511</v>
      </c>
      <c r="AC4661" s="45"/>
    </row>
    <row r="4662" ht="18.75" customHeight="1">
      <c r="A4662" s="142" t="s">
        <v>18512</v>
      </c>
      <c r="B4662" s="19" t="s">
        <v>18513</v>
      </c>
      <c r="C4662" s="20">
        <v>90.0</v>
      </c>
      <c r="D4662" s="39" t="s">
        <v>18514</v>
      </c>
      <c r="E4662" s="27" t="s">
        <v>91</v>
      </c>
      <c r="F4662" s="27" t="s">
        <v>48</v>
      </c>
      <c r="G4662" s="18" t="s">
        <v>35</v>
      </c>
      <c r="H4662" s="40" t="s">
        <v>35</v>
      </c>
      <c r="I4662" s="37" t="s">
        <v>36</v>
      </c>
      <c r="J4662" s="25" t="s">
        <v>49</v>
      </c>
      <c r="K4662" s="26" t="s">
        <v>1184</v>
      </c>
      <c r="L4662" s="72">
        <v>13533.0</v>
      </c>
      <c r="M4662" s="49" t="s">
        <v>73</v>
      </c>
      <c r="N4662" s="42" t="s">
        <v>17048</v>
      </c>
      <c r="O4662" s="67">
        <v>45868.63351798611</v>
      </c>
      <c r="P4662" s="35" t="s">
        <v>18515</v>
      </c>
      <c r="Q4662" s="13" t="s">
        <v>75</v>
      </c>
      <c r="R4662" s="13" t="s">
        <v>75</v>
      </c>
      <c r="S4662" s="13" t="s">
        <v>73</v>
      </c>
      <c r="T4662" s="44">
        <v>45868.47672329861</v>
      </c>
      <c r="U4662" s="44">
        <v>45868.48701842593</v>
      </c>
      <c r="V4662" s="44">
        <v>45868.5442535301</v>
      </c>
      <c r="W4662" s="11"/>
      <c r="X4662" s="11"/>
      <c r="Y4662" s="45">
        <v>302.0</v>
      </c>
      <c r="Z4662" s="45" t="s">
        <v>18516</v>
      </c>
      <c r="AA4662" s="31"/>
      <c r="AB4662" s="45" t="s">
        <v>18517</v>
      </c>
      <c r="AC4662" s="45"/>
    </row>
    <row r="4663" ht="18.75" customHeight="1">
      <c r="A4663" s="18" t="s">
        <v>18518</v>
      </c>
      <c r="B4663" s="19" t="s">
        <v>5185</v>
      </c>
      <c r="C4663" s="20">
        <v>27.0</v>
      </c>
      <c r="D4663" s="39" t="s">
        <v>18519</v>
      </c>
      <c r="E4663" s="27" t="s">
        <v>72</v>
      </c>
      <c r="F4663" s="27" t="s">
        <v>48</v>
      </c>
      <c r="G4663" s="18" t="s">
        <v>35</v>
      </c>
      <c r="H4663" s="40" t="s">
        <v>35</v>
      </c>
      <c r="I4663" s="37" t="s">
        <v>36</v>
      </c>
      <c r="J4663" s="25" t="s">
        <v>92</v>
      </c>
      <c r="K4663" s="26" t="s">
        <v>38</v>
      </c>
      <c r="L4663" s="72">
        <v>13530.0</v>
      </c>
      <c r="M4663" s="49" t="s">
        <v>15811</v>
      </c>
      <c r="N4663" s="42"/>
      <c r="O4663" s="67">
        <v>45868.51422452547</v>
      </c>
      <c r="P4663" s="35" t="s">
        <v>18520</v>
      </c>
      <c r="Q4663" s="13" t="s">
        <v>75</v>
      </c>
      <c r="R4663" s="13" t="s">
        <v>75</v>
      </c>
      <c r="S4663" s="13" t="s">
        <v>75</v>
      </c>
      <c r="T4663" s="44">
        <v>45868.501714259255</v>
      </c>
      <c r="U4663" s="44">
        <v>45868.51422452547</v>
      </c>
      <c r="V4663" s="44">
        <v>45868.51422452547</v>
      </c>
      <c r="W4663" s="11"/>
      <c r="X4663" s="11"/>
      <c r="Y4663" s="45"/>
      <c r="Z4663" s="45"/>
      <c r="AA4663" s="31"/>
      <c r="AB4663" s="45" t="s">
        <v>18521</v>
      </c>
      <c r="AC4663" s="45"/>
    </row>
    <row r="4664" ht="18.75" customHeight="1">
      <c r="A4664" s="18" t="s">
        <v>18522</v>
      </c>
      <c r="B4664" s="19" t="s">
        <v>5185</v>
      </c>
      <c r="C4664" s="20">
        <v>0.0</v>
      </c>
      <c r="D4664" s="39" t="s">
        <v>18523</v>
      </c>
      <c r="E4664" s="27" t="s">
        <v>3441</v>
      </c>
      <c r="F4664" s="27" t="s">
        <v>48</v>
      </c>
      <c r="G4664" s="18" t="s">
        <v>35</v>
      </c>
      <c r="H4664" s="40" t="s">
        <v>35</v>
      </c>
      <c r="I4664" s="37" t="s">
        <v>36</v>
      </c>
      <c r="J4664" s="25" t="s">
        <v>92</v>
      </c>
      <c r="K4664" s="26" t="s">
        <v>38</v>
      </c>
      <c r="L4664" s="72">
        <v>13530.0</v>
      </c>
      <c r="M4664" s="49" t="s">
        <v>15811</v>
      </c>
      <c r="N4664" s="42"/>
      <c r="O4664" s="67">
        <v>45868.51430043981</v>
      </c>
      <c r="P4664" s="35" t="s">
        <v>18520</v>
      </c>
      <c r="Q4664" s="13" t="s">
        <v>75</v>
      </c>
      <c r="R4664" s="13" t="s">
        <v>75</v>
      </c>
      <c r="S4664" s="13" t="s">
        <v>75</v>
      </c>
      <c r="T4664" s="44">
        <v>45868.50188105324</v>
      </c>
      <c r="U4664" s="44">
        <v>45868.51430043981</v>
      </c>
      <c r="V4664" s="44">
        <v>45868.51430043981</v>
      </c>
      <c r="W4664" s="11"/>
      <c r="X4664" s="11"/>
      <c r="Y4664" s="45"/>
      <c r="Z4664" s="45"/>
      <c r="AA4664" s="31"/>
      <c r="AB4664" s="45" t="s">
        <v>18524</v>
      </c>
      <c r="AC4664" s="45"/>
    </row>
    <row r="4665" ht="18.75" customHeight="1">
      <c r="A4665" s="18" t="s">
        <v>18525</v>
      </c>
      <c r="B4665" s="19" t="s">
        <v>13433</v>
      </c>
      <c r="C4665" s="20">
        <v>90.0</v>
      </c>
      <c r="D4665" s="39" t="s">
        <v>18526</v>
      </c>
      <c r="E4665" s="27" t="s">
        <v>91</v>
      </c>
      <c r="F4665" s="27" t="s">
        <v>48</v>
      </c>
      <c r="G4665" s="18" t="s">
        <v>35</v>
      </c>
      <c r="H4665" s="40" t="s">
        <v>35</v>
      </c>
      <c r="I4665" s="37" t="s">
        <v>36</v>
      </c>
      <c r="J4665" s="25" t="s">
        <v>18527</v>
      </c>
      <c r="K4665" s="26" t="s">
        <v>38</v>
      </c>
      <c r="L4665" s="72">
        <v>13538.0</v>
      </c>
      <c r="M4665" s="49" t="s">
        <v>73</v>
      </c>
      <c r="N4665" s="42" t="s">
        <v>18452</v>
      </c>
      <c r="O4665" s="67">
        <v>45869.66898190972</v>
      </c>
      <c r="P4665" s="35" t="s">
        <v>18528</v>
      </c>
      <c r="Q4665" s="13" t="s">
        <v>73</v>
      </c>
      <c r="R4665" s="13" t="s">
        <v>75</v>
      </c>
      <c r="S4665" s="13" t="s">
        <v>73</v>
      </c>
      <c r="T4665" s="44">
        <v>45868.69284927083</v>
      </c>
      <c r="U4665" s="44">
        <v>45869.41244719907</v>
      </c>
      <c r="V4665" s="44">
        <v>45869.474361388886</v>
      </c>
      <c r="W4665" s="11"/>
      <c r="X4665" s="11"/>
      <c r="Y4665" s="45">
        <v>302.0</v>
      </c>
      <c r="Z4665" s="45" t="s">
        <v>18529</v>
      </c>
      <c r="AA4665" s="31"/>
      <c r="AB4665" s="45" t="s">
        <v>18530</v>
      </c>
      <c r="AC4665" s="45"/>
    </row>
    <row r="4666" ht="18.75" customHeight="1">
      <c r="A4666" s="18" t="s">
        <v>18531</v>
      </c>
      <c r="B4666" s="19" t="s">
        <v>13433</v>
      </c>
      <c r="C4666" s="20">
        <v>90.0</v>
      </c>
      <c r="D4666" s="39" t="s">
        <v>18532</v>
      </c>
      <c r="E4666" s="27" t="s">
        <v>91</v>
      </c>
      <c r="F4666" s="27" t="s">
        <v>48</v>
      </c>
      <c r="G4666" s="18" t="s">
        <v>35</v>
      </c>
      <c r="H4666" s="40" t="s">
        <v>35</v>
      </c>
      <c r="I4666" s="37" t="s">
        <v>36</v>
      </c>
      <c r="J4666" s="25" t="s">
        <v>18527</v>
      </c>
      <c r="K4666" s="26" t="s">
        <v>38</v>
      </c>
      <c r="L4666" s="72">
        <v>13538.0</v>
      </c>
      <c r="M4666" s="49" t="s">
        <v>73</v>
      </c>
      <c r="N4666" s="42" t="s">
        <v>18452</v>
      </c>
      <c r="O4666" s="67">
        <v>45869.66903346065</v>
      </c>
      <c r="P4666" s="35" t="s">
        <v>18528</v>
      </c>
      <c r="Q4666" s="13" t="s">
        <v>75</v>
      </c>
      <c r="R4666" s="13" t="s">
        <v>75</v>
      </c>
      <c r="S4666" s="13" t="s">
        <v>73</v>
      </c>
      <c r="T4666" s="44">
        <v>45868.694289444444</v>
      </c>
      <c r="U4666" s="44">
        <v>45869.41246864584</v>
      </c>
      <c r="V4666" s="44">
        <v>45869.474440578706</v>
      </c>
      <c r="W4666" s="11"/>
      <c r="X4666" s="11"/>
      <c r="Y4666" s="45">
        <v>302.0</v>
      </c>
      <c r="Z4666" s="45" t="s">
        <v>18533</v>
      </c>
      <c r="AA4666" s="31"/>
      <c r="AB4666" s="45" t="s">
        <v>18534</v>
      </c>
      <c r="AC4666" s="45"/>
    </row>
    <row r="4667" ht="18.75" customHeight="1">
      <c r="A4667" s="18" t="s">
        <v>18535</v>
      </c>
      <c r="B4667" s="19" t="s">
        <v>13433</v>
      </c>
      <c r="C4667" s="20">
        <v>90.0</v>
      </c>
      <c r="D4667" s="39" t="s">
        <v>18536</v>
      </c>
      <c r="E4667" s="27" t="s">
        <v>91</v>
      </c>
      <c r="F4667" s="27" t="s">
        <v>48</v>
      </c>
      <c r="G4667" s="18" t="s">
        <v>35</v>
      </c>
      <c r="H4667" s="40" t="s">
        <v>35</v>
      </c>
      <c r="I4667" s="37" t="s">
        <v>36</v>
      </c>
      <c r="J4667" s="25" t="s">
        <v>18527</v>
      </c>
      <c r="K4667" s="26" t="s">
        <v>38</v>
      </c>
      <c r="L4667" s="72">
        <v>13538.0</v>
      </c>
      <c r="M4667" s="49" t="s">
        <v>73</v>
      </c>
      <c r="N4667" s="42" t="s">
        <v>18452</v>
      </c>
      <c r="O4667" s="67">
        <v>45869.66908489584</v>
      </c>
      <c r="P4667" s="35" t="s">
        <v>18528</v>
      </c>
      <c r="Q4667" s="13" t="s">
        <v>75</v>
      </c>
      <c r="R4667" s="13" t="s">
        <v>75</v>
      </c>
      <c r="S4667" s="13" t="s">
        <v>73</v>
      </c>
      <c r="T4667" s="44">
        <v>45868.69407162037</v>
      </c>
      <c r="U4667" s="44">
        <v>45869.41346998843</v>
      </c>
      <c r="V4667" s="44">
        <v>45869.47456001157</v>
      </c>
      <c r="W4667" s="11"/>
      <c r="X4667" s="11"/>
      <c r="Y4667" s="45">
        <v>302.0</v>
      </c>
      <c r="Z4667" s="45" t="s">
        <v>18537</v>
      </c>
      <c r="AA4667" s="31"/>
      <c r="AB4667" s="45" t="s">
        <v>18538</v>
      </c>
      <c r="AC4667" s="45"/>
    </row>
    <row r="4668" ht="18.75" customHeight="1">
      <c r="A4668" s="18" t="s">
        <v>18539</v>
      </c>
      <c r="B4668" s="19" t="s">
        <v>13433</v>
      </c>
      <c r="C4668" s="20">
        <v>27.0</v>
      </c>
      <c r="D4668" s="39" t="s">
        <v>18540</v>
      </c>
      <c r="E4668" s="27" t="s">
        <v>72</v>
      </c>
      <c r="F4668" s="27" t="s">
        <v>48</v>
      </c>
      <c r="G4668" s="18" t="s">
        <v>35</v>
      </c>
      <c r="H4668" s="40" t="s">
        <v>35</v>
      </c>
      <c r="I4668" s="37" t="s">
        <v>36</v>
      </c>
      <c r="J4668" s="25" t="s">
        <v>18527</v>
      </c>
      <c r="K4668" s="26" t="s">
        <v>38</v>
      </c>
      <c r="L4668" s="72">
        <v>13538.0</v>
      </c>
      <c r="M4668" s="49" t="s">
        <v>73</v>
      </c>
      <c r="N4668" s="42" t="s">
        <v>18452</v>
      </c>
      <c r="O4668" s="67">
        <v>45869.66913733796</v>
      </c>
      <c r="P4668" s="35" t="s">
        <v>18528</v>
      </c>
      <c r="Q4668" s="13" t="s">
        <v>73</v>
      </c>
      <c r="R4668" s="13" t="s">
        <v>75</v>
      </c>
      <c r="S4668" s="13" t="s">
        <v>73</v>
      </c>
      <c r="T4668" s="44">
        <v>45868.693022569445</v>
      </c>
      <c r="U4668" s="44">
        <v>45869.41357464121</v>
      </c>
      <c r="V4668" s="44">
        <v>45869.474677881946</v>
      </c>
      <c r="W4668" s="11"/>
      <c r="X4668" s="11"/>
      <c r="Y4668" s="45">
        <v>302.0</v>
      </c>
      <c r="Z4668" s="45" t="s">
        <v>18541</v>
      </c>
      <c r="AA4668" s="31"/>
      <c r="AB4668" s="45" t="s">
        <v>18542</v>
      </c>
      <c r="AC4668" s="45"/>
    </row>
    <row r="4669" ht="18.75" customHeight="1">
      <c r="A4669" s="18" t="s">
        <v>18543</v>
      </c>
      <c r="B4669" s="19" t="s">
        <v>13433</v>
      </c>
      <c r="C4669" s="20">
        <v>27.0</v>
      </c>
      <c r="D4669" s="39" t="s">
        <v>18544</v>
      </c>
      <c r="E4669" s="27" t="s">
        <v>72</v>
      </c>
      <c r="F4669" s="27" t="s">
        <v>48</v>
      </c>
      <c r="G4669" s="18" t="s">
        <v>35</v>
      </c>
      <c r="H4669" s="40" t="s">
        <v>35</v>
      </c>
      <c r="I4669" s="37" t="s">
        <v>36</v>
      </c>
      <c r="J4669" s="25" t="s">
        <v>18527</v>
      </c>
      <c r="K4669" s="26" t="s">
        <v>38</v>
      </c>
      <c r="L4669" s="72">
        <v>13538.0</v>
      </c>
      <c r="M4669" s="49" t="s">
        <v>73</v>
      </c>
      <c r="N4669" s="42" t="s">
        <v>18452</v>
      </c>
      <c r="O4669" s="67">
        <v>45869.669187384265</v>
      </c>
      <c r="P4669" s="35" t="s">
        <v>18528</v>
      </c>
      <c r="Q4669" s="13" t="s">
        <v>75</v>
      </c>
      <c r="R4669" s="13" t="s">
        <v>75</v>
      </c>
      <c r="S4669" s="13" t="s">
        <v>73</v>
      </c>
      <c r="T4669" s="44">
        <v>45868.6660257176</v>
      </c>
      <c r="U4669" s="44">
        <v>45869.413601423614</v>
      </c>
      <c r="V4669" s="44">
        <v>45869.47475165509</v>
      </c>
      <c r="W4669" s="11"/>
      <c r="X4669" s="11"/>
      <c r="Y4669" s="45">
        <v>302.0</v>
      </c>
      <c r="Z4669" s="45" t="s">
        <v>18545</v>
      </c>
      <c r="AA4669" s="31"/>
      <c r="AB4669" s="45" t="s">
        <v>18546</v>
      </c>
      <c r="AC4669" s="45"/>
    </row>
    <row r="4670" ht="18.75" customHeight="1">
      <c r="A4670" s="18" t="s">
        <v>18547</v>
      </c>
      <c r="B4670" s="19" t="s">
        <v>13433</v>
      </c>
      <c r="C4670" s="20">
        <v>137.0</v>
      </c>
      <c r="D4670" s="39" t="s">
        <v>18548</v>
      </c>
      <c r="E4670" s="27" t="s">
        <v>85</v>
      </c>
      <c r="F4670" s="27" t="s">
        <v>48</v>
      </c>
      <c r="G4670" s="18" t="s">
        <v>35</v>
      </c>
      <c r="H4670" s="40" t="s">
        <v>35</v>
      </c>
      <c r="I4670" s="37" t="s">
        <v>36</v>
      </c>
      <c r="J4670" s="25" t="s">
        <v>18527</v>
      </c>
      <c r="K4670" s="26" t="s">
        <v>38</v>
      </c>
      <c r="L4670" s="72">
        <v>13538.0</v>
      </c>
      <c r="M4670" s="49" t="s">
        <v>73</v>
      </c>
      <c r="N4670" s="42" t="s">
        <v>18452</v>
      </c>
      <c r="O4670" s="67">
        <v>45869.66924043982</v>
      </c>
      <c r="P4670" s="35" t="s">
        <v>18528</v>
      </c>
      <c r="Q4670" s="13" t="s">
        <v>73</v>
      </c>
      <c r="R4670" s="13" t="s">
        <v>75</v>
      </c>
      <c r="S4670" s="13" t="s">
        <v>73</v>
      </c>
      <c r="T4670" s="44">
        <v>45868.69309796296</v>
      </c>
      <c r="U4670" s="44">
        <v>45869.413626678244</v>
      </c>
      <c r="V4670" s="44">
        <v>45869.4748471412</v>
      </c>
      <c r="W4670" s="11"/>
      <c r="X4670" s="11"/>
      <c r="Y4670" s="45">
        <v>302.0</v>
      </c>
      <c r="Z4670" s="45" t="s">
        <v>18549</v>
      </c>
      <c r="AA4670" s="31"/>
      <c r="AB4670" s="45" t="s">
        <v>18550</v>
      </c>
      <c r="AC4670" s="45"/>
    </row>
    <row r="4671" ht="18.75" customHeight="1">
      <c r="A4671" s="18" t="s">
        <v>18551</v>
      </c>
      <c r="B4671" s="19" t="s">
        <v>13433</v>
      </c>
      <c r="C4671" s="20">
        <v>137.0</v>
      </c>
      <c r="D4671" s="39" t="s">
        <v>18552</v>
      </c>
      <c r="E4671" s="27" t="s">
        <v>85</v>
      </c>
      <c r="F4671" s="27" t="s">
        <v>48</v>
      </c>
      <c r="G4671" s="18" t="s">
        <v>35</v>
      </c>
      <c r="H4671" s="40" t="s">
        <v>35</v>
      </c>
      <c r="I4671" s="37" t="s">
        <v>36</v>
      </c>
      <c r="J4671" s="25" t="s">
        <v>18527</v>
      </c>
      <c r="K4671" s="26" t="s">
        <v>38</v>
      </c>
      <c r="L4671" s="72">
        <v>13538.0</v>
      </c>
      <c r="M4671" s="49" t="s">
        <v>73</v>
      </c>
      <c r="N4671" s="42" t="s">
        <v>18452</v>
      </c>
      <c r="O4671" s="67">
        <v>45869.6692893287</v>
      </c>
      <c r="P4671" s="35" t="s">
        <v>18528</v>
      </c>
      <c r="Q4671" s="13" t="s">
        <v>73</v>
      </c>
      <c r="R4671" s="13" t="s">
        <v>75</v>
      </c>
      <c r="S4671" s="13" t="s">
        <v>73</v>
      </c>
      <c r="T4671" s="44">
        <v>45868.69276498843</v>
      </c>
      <c r="U4671" s="44">
        <v>45869.41365672454</v>
      </c>
      <c r="V4671" s="44">
        <v>45869.474919872686</v>
      </c>
      <c r="W4671" s="11"/>
      <c r="X4671" s="11"/>
      <c r="Y4671" s="45">
        <v>302.0</v>
      </c>
      <c r="Z4671" s="45" t="s">
        <v>18553</v>
      </c>
      <c r="AA4671" s="31"/>
      <c r="AB4671" s="45" t="s">
        <v>18554</v>
      </c>
      <c r="AC4671" s="45"/>
    </row>
    <row r="4672" ht="18.75" customHeight="1">
      <c r="A4672" s="18" t="s">
        <v>18555</v>
      </c>
      <c r="B4672" s="19" t="s">
        <v>13433</v>
      </c>
      <c r="C4672" s="20">
        <v>137.0</v>
      </c>
      <c r="D4672" s="39" t="s">
        <v>18556</v>
      </c>
      <c r="E4672" s="27" t="s">
        <v>85</v>
      </c>
      <c r="F4672" s="27" t="s">
        <v>48</v>
      </c>
      <c r="G4672" s="18" t="s">
        <v>35</v>
      </c>
      <c r="H4672" s="40" t="s">
        <v>35</v>
      </c>
      <c r="I4672" s="37" t="s">
        <v>36</v>
      </c>
      <c r="J4672" s="25" t="s">
        <v>18527</v>
      </c>
      <c r="K4672" s="26" t="s">
        <v>38</v>
      </c>
      <c r="L4672" s="72">
        <v>13538.0</v>
      </c>
      <c r="M4672" s="49" t="s">
        <v>73</v>
      </c>
      <c r="N4672" s="42" t="s">
        <v>18452</v>
      </c>
      <c r="O4672" s="67">
        <v>45869.669338437496</v>
      </c>
      <c r="P4672" s="35" t="s">
        <v>18528</v>
      </c>
      <c r="Q4672" s="13" t="s">
        <v>75</v>
      </c>
      <c r="R4672" s="13" t="s">
        <v>75</v>
      </c>
      <c r="S4672" s="13" t="s">
        <v>73</v>
      </c>
      <c r="T4672" s="44">
        <v>45868.66628302084</v>
      </c>
      <c r="U4672" s="44">
        <v>45869.4136903125</v>
      </c>
      <c r="V4672" s="44">
        <v>45869.474996273144</v>
      </c>
      <c r="W4672" s="11"/>
      <c r="X4672" s="11"/>
      <c r="Y4672" s="45">
        <v>302.0</v>
      </c>
      <c r="Z4672" s="45" t="s">
        <v>18557</v>
      </c>
      <c r="AA4672" s="31"/>
      <c r="AB4672" s="45" t="s">
        <v>18558</v>
      </c>
      <c r="AC4672" s="45"/>
    </row>
    <row r="4673" ht="18.75" customHeight="1">
      <c r="A4673" s="142" t="s">
        <v>18559</v>
      </c>
      <c r="B4673" s="19" t="s">
        <v>16801</v>
      </c>
      <c r="C4673" s="20">
        <v>1.0</v>
      </c>
      <c r="D4673" s="39" t="s">
        <v>18560</v>
      </c>
      <c r="E4673" s="27" t="s">
        <v>3395</v>
      </c>
      <c r="F4673" s="27" t="s">
        <v>48</v>
      </c>
      <c r="G4673" s="18" t="s">
        <v>35</v>
      </c>
      <c r="H4673" s="40" t="s">
        <v>35</v>
      </c>
      <c r="I4673" s="37" t="s">
        <v>36</v>
      </c>
      <c r="J4673" s="25" t="s">
        <v>49</v>
      </c>
      <c r="K4673" s="26" t="s">
        <v>38</v>
      </c>
      <c r="L4673" s="72">
        <v>13539.0</v>
      </c>
      <c r="M4673" s="49" t="s">
        <v>73</v>
      </c>
      <c r="N4673" s="42" t="s">
        <v>18561</v>
      </c>
      <c r="O4673" s="67">
        <v>45869.6368397801</v>
      </c>
      <c r="P4673" s="35" t="s">
        <v>15666</v>
      </c>
      <c r="Q4673" s="13" t="s">
        <v>75</v>
      </c>
      <c r="R4673" s="13" t="s">
        <v>75</v>
      </c>
      <c r="S4673" s="13" t="s">
        <v>73</v>
      </c>
      <c r="T4673" s="44">
        <v>45869.47933103009</v>
      </c>
      <c r="U4673" s="44">
        <v>45869.47939689815</v>
      </c>
      <c r="V4673" s="44">
        <v>45869.48366037037</v>
      </c>
      <c r="W4673" s="11"/>
      <c r="X4673" s="11"/>
      <c r="Y4673" s="45">
        <v>302.0</v>
      </c>
      <c r="Z4673" s="45" t="s">
        <v>18562</v>
      </c>
      <c r="AA4673" s="31"/>
      <c r="AB4673" s="45" t="s">
        <v>18563</v>
      </c>
      <c r="AC4673" s="45"/>
    </row>
    <row r="4674" ht="18.75" customHeight="1">
      <c r="A4674" s="18" t="s">
        <v>18564</v>
      </c>
      <c r="B4674" s="19" t="s">
        <v>5287</v>
      </c>
      <c r="C4674" s="20">
        <v>1.0</v>
      </c>
      <c r="D4674" s="39" t="s">
        <v>18565</v>
      </c>
      <c r="E4674" s="27" t="s">
        <v>3395</v>
      </c>
      <c r="F4674" s="27" t="s">
        <v>48</v>
      </c>
      <c r="G4674" s="18" t="s">
        <v>35</v>
      </c>
      <c r="H4674" s="40" t="s">
        <v>35</v>
      </c>
      <c r="I4674" s="37" t="s">
        <v>36</v>
      </c>
      <c r="J4674" s="25" t="s">
        <v>49</v>
      </c>
      <c r="K4674" s="26" t="s">
        <v>12614</v>
      </c>
      <c r="L4674" s="72">
        <v>13541.0</v>
      </c>
      <c r="M4674" s="49" t="s">
        <v>73</v>
      </c>
      <c r="N4674" s="42" t="s">
        <v>18561</v>
      </c>
      <c r="O4674" s="67">
        <v>45869.63712866898</v>
      </c>
      <c r="P4674" s="35" t="s">
        <v>18566</v>
      </c>
      <c r="Q4674" s="13" t="s">
        <v>75</v>
      </c>
      <c r="R4674" s="13" t="s">
        <v>75</v>
      </c>
      <c r="S4674" s="13" t="s">
        <v>73</v>
      </c>
      <c r="T4674" s="44">
        <v>45868.70996678241</v>
      </c>
      <c r="U4674" s="44">
        <v>45869.421855486115</v>
      </c>
      <c r="V4674" s="44">
        <v>45869.48345234954</v>
      </c>
      <c r="W4674" s="11"/>
      <c r="X4674" s="11"/>
      <c r="Y4674" s="45">
        <v>302.0</v>
      </c>
      <c r="Z4674" s="45" t="s">
        <v>18567</v>
      </c>
      <c r="AA4674" s="31"/>
      <c r="AB4674" s="45" t="s">
        <v>18568</v>
      </c>
      <c r="AC4674" s="45"/>
    </row>
    <row r="4675" ht="18.75" customHeight="1">
      <c r="A4675" s="18" t="s">
        <v>18569</v>
      </c>
      <c r="B4675" s="19" t="s">
        <v>5287</v>
      </c>
      <c r="C4675" s="20">
        <v>137.0</v>
      </c>
      <c r="D4675" s="39" t="s">
        <v>18570</v>
      </c>
      <c r="E4675" s="27" t="s">
        <v>85</v>
      </c>
      <c r="F4675" s="27" t="s">
        <v>48</v>
      </c>
      <c r="G4675" s="18" t="s">
        <v>35</v>
      </c>
      <c r="H4675" s="40" t="s">
        <v>35</v>
      </c>
      <c r="I4675" s="37" t="s">
        <v>36</v>
      </c>
      <c r="J4675" s="25" t="s">
        <v>49</v>
      </c>
      <c r="K4675" s="26" t="s">
        <v>12614</v>
      </c>
      <c r="L4675" s="72">
        <v>13541.0</v>
      </c>
      <c r="M4675" s="49" t="s">
        <v>73</v>
      </c>
      <c r="N4675" s="42" t="s">
        <v>18561</v>
      </c>
      <c r="O4675" s="67">
        <v>45869.63721339121</v>
      </c>
      <c r="P4675" s="35" t="s">
        <v>18566</v>
      </c>
      <c r="Q4675" s="13" t="s">
        <v>75</v>
      </c>
      <c r="R4675" s="13" t="s">
        <v>75</v>
      </c>
      <c r="S4675" s="13" t="s">
        <v>73</v>
      </c>
      <c r="T4675" s="44">
        <v>45868.71033789351</v>
      </c>
      <c r="U4675" s="44">
        <v>45869.42190966435</v>
      </c>
      <c r="V4675" s="44">
        <v>45869.4835256713</v>
      </c>
      <c r="W4675" s="11"/>
      <c r="X4675" s="11"/>
      <c r="Y4675" s="45">
        <v>302.0</v>
      </c>
      <c r="Z4675" s="45" t="s">
        <v>18571</v>
      </c>
      <c r="AA4675" s="31"/>
      <c r="AB4675" s="45" t="s">
        <v>18572</v>
      </c>
      <c r="AC4675" s="45"/>
    </row>
    <row r="4676" ht="18.75" customHeight="1">
      <c r="A4676" s="18" t="s">
        <v>18573</v>
      </c>
      <c r="B4676" s="19" t="s">
        <v>5287</v>
      </c>
      <c r="C4676" s="20">
        <v>90.0</v>
      </c>
      <c r="D4676" s="39" t="s">
        <v>18574</v>
      </c>
      <c r="E4676" s="27" t="s">
        <v>91</v>
      </c>
      <c r="F4676" s="27" t="s">
        <v>48</v>
      </c>
      <c r="G4676" s="18" t="s">
        <v>35</v>
      </c>
      <c r="H4676" s="40" t="s">
        <v>35</v>
      </c>
      <c r="I4676" s="37" t="s">
        <v>36</v>
      </c>
      <c r="J4676" s="25" t="s">
        <v>49</v>
      </c>
      <c r="K4676" s="26" t="s">
        <v>12614</v>
      </c>
      <c r="L4676" s="72">
        <v>13541.0</v>
      </c>
      <c r="M4676" s="49" t="s">
        <v>73</v>
      </c>
      <c r="N4676" s="42" t="s">
        <v>18561</v>
      </c>
      <c r="O4676" s="67">
        <v>45869.637289791666</v>
      </c>
      <c r="P4676" s="35" t="s">
        <v>18566</v>
      </c>
      <c r="Q4676" s="13" t="s">
        <v>75</v>
      </c>
      <c r="R4676" s="13" t="s">
        <v>75</v>
      </c>
      <c r="S4676" s="13" t="s">
        <v>73</v>
      </c>
      <c r="T4676" s="44">
        <v>45868.710446296296</v>
      </c>
      <c r="U4676" s="44">
        <v>45869.42193166667</v>
      </c>
      <c r="V4676" s="44">
        <v>45869.48359506944</v>
      </c>
      <c r="W4676" s="11"/>
      <c r="X4676" s="11"/>
      <c r="Y4676" s="45">
        <v>302.0</v>
      </c>
      <c r="Z4676" s="45" t="s">
        <v>18575</v>
      </c>
      <c r="AA4676" s="31"/>
      <c r="AB4676" s="45" t="s">
        <v>18576</v>
      </c>
      <c r="AC4676" s="45"/>
    </row>
    <row r="4677" ht="18.75" customHeight="1">
      <c r="A4677" s="142" t="s">
        <v>18577</v>
      </c>
      <c r="B4677" s="19" t="s">
        <v>1428</v>
      </c>
      <c r="C4677" s="20">
        <v>11.0</v>
      </c>
      <c r="D4677" s="39" t="s">
        <v>18578</v>
      </c>
      <c r="E4677" s="27" t="s">
        <v>112</v>
      </c>
      <c r="F4677" s="27" t="s">
        <v>48</v>
      </c>
      <c r="G4677" s="18" t="s">
        <v>35</v>
      </c>
      <c r="H4677" s="40" t="s">
        <v>35</v>
      </c>
      <c r="I4677" s="37" t="s">
        <v>36</v>
      </c>
      <c r="J4677" s="25" t="s">
        <v>49</v>
      </c>
      <c r="K4677" s="26" t="s">
        <v>1430</v>
      </c>
      <c r="L4677" s="72">
        <v>13544.0</v>
      </c>
      <c r="M4677" s="49" t="s">
        <v>50</v>
      </c>
      <c r="N4677" s="42" t="s">
        <v>5936</v>
      </c>
      <c r="O4677" s="67">
        <v>45870.63380125</v>
      </c>
      <c r="P4677" s="35" t="s">
        <v>18579</v>
      </c>
      <c r="Q4677" s="13" t="s">
        <v>75</v>
      </c>
      <c r="R4677" s="13" t="s">
        <v>75</v>
      </c>
      <c r="S4677" s="13" t="s">
        <v>50</v>
      </c>
      <c r="T4677" s="44">
        <v>45868.71134891204</v>
      </c>
      <c r="U4677" s="44">
        <v>45869.71477373842</v>
      </c>
      <c r="V4677" s="44">
        <v>45870.41754490741</v>
      </c>
      <c r="W4677" s="11"/>
      <c r="X4677" s="11"/>
      <c r="Y4677" s="45">
        <v>302.0</v>
      </c>
      <c r="Z4677" s="45" t="s">
        <v>18580</v>
      </c>
      <c r="AA4677" s="31"/>
      <c r="AB4677" s="45" t="s">
        <v>18581</v>
      </c>
      <c r="AC4677" s="45"/>
    </row>
    <row r="4678" ht="18.75" customHeight="1">
      <c r="A4678" s="18" t="s">
        <v>18582</v>
      </c>
      <c r="B4678" s="19" t="s">
        <v>17819</v>
      </c>
      <c r="C4678" s="20">
        <v>27.0</v>
      </c>
      <c r="D4678" s="39"/>
      <c r="E4678" s="27" t="s">
        <v>72</v>
      </c>
      <c r="F4678" s="27" t="s">
        <v>48</v>
      </c>
      <c r="G4678" s="18" t="s">
        <v>35</v>
      </c>
      <c r="H4678" s="40" t="s">
        <v>35</v>
      </c>
      <c r="I4678" s="24" t="s">
        <v>665</v>
      </c>
      <c r="J4678" s="25" t="s">
        <v>92</v>
      </c>
      <c r="K4678" s="26" t="s">
        <v>38</v>
      </c>
      <c r="L4678" s="72">
        <v>13557.0</v>
      </c>
      <c r="M4678" s="49" t="s">
        <v>73</v>
      </c>
      <c r="N4678" s="42" t="s">
        <v>17821</v>
      </c>
      <c r="O4678" s="67">
        <v>45874.47158972222</v>
      </c>
      <c r="P4678" s="35" t="s">
        <v>18583</v>
      </c>
      <c r="Q4678" s="13" t="s">
        <v>75</v>
      </c>
      <c r="R4678" s="13" t="s">
        <v>75</v>
      </c>
      <c r="S4678" s="13" t="s">
        <v>73</v>
      </c>
      <c r="T4678" s="44">
        <v>45869.44136182871</v>
      </c>
      <c r="U4678" s="44">
        <v>45870.53776180556</v>
      </c>
      <c r="V4678" s="44">
        <v>45870.59525091435</v>
      </c>
      <c r="W4678" s="11"/>
      <c r="X4678" s="11"/>
      <c r="Y4678" s="45">
        <v>302.0</v>
      </c>
      <c r="Z4678" s="45" t="s">
        <v>18584</v>
      </c>
      <c r="AA4678" s="31"/>
      <c r="AB4678" s="45" t="s">
        <v>18585</v>
      </c>
      <c r="AC4678" s="45"/>
    </row>
    <row r="4679" ht="18.75" customHeight="1">
      <c r="A4679" s="18" t="s">
        <v>18586</v>
      </c>
      <c r="B4679" s="19" t="s">
        <v>17819</v>
      </c>
      <c r="C4679" s="20">
        <v>137.0</v>
      </c>
      <c r="D4679" s="39"/>
      <c r="E4679" s="27" t="s">
        <v>85</v>
      </c>
      <c r="F4679" s="27" t="s">
        <v>48</v>
      </c>
      <c r="G4679" s="18" t="s">
        <v>35</v>
      </c>
      <c r="H4679" s="40" t="s">
        <v>35</v>
      </c>
      <c r="I4679" s="24" t="s">
        <v>665</v>
      </c>
      <c r="J4679" s="25" t="s">
        <v>92</v>
      </c>
      <c r="K4679" s="26" t="s">
        <v>38</v>
      </c>
      <c r="L4679" s="72">
        <v>13557.0</v>
      </c>
      <c r="M4679" s="49" t="s">
        <v>73</v>
      </c>
      <c r="N4679" s="42" t="s">
        <v>17821</v>
      </c>
      <c r="O4679" s="67">
        <v>45874.47148361111</v>
      </c>
      <c r="P4679" s="35" t="s">
        <v>18587</v>
      </c>
      <c r="Q4679" s="13" t="s">
        <v>75</v>
      </c>
      <c r="R4679" s="13" t="s">
        <v>75</v>
      </c>
      <c r="S4679" s="13" t="s">
        <v>73</v>
      </c>
      <c r="T4679" s="44">
        <v>45869.4417318287</v>
      </c>
      <c r="U4679" s="44">
        <v>45870.53779578704</v>
      </c>
      <c r="V4679" s="44">
        <v>45870.595315405095</v>
      </c>
      <c r="W4679" s="11"/>
      <c r="X4679" s="11"/>
      <c r="Y4679" s="45">
        <v>302.0</v>
      </c>
      <c r="Z4679" s="45" t="s">
        <v>18588</v>
      </c>
      <c r="AA4679" s="31"/>
      <c r="AB4679" s="45" t="s">
        <v>18589</v>
      </c>
      <c r="AC4679" s="45"/>
    </row>
    <row r="4680" ht="18.75" customHeight="1">
      <c r="A4680" s="142" t="s">
        <v>18590</v>
      </c>
      <c r="B4680" s="19" t="s">
        <v>18591</v>
      </c>
      <c r="C4680" s="20">
        <v>90.0</v>
      </c>
      <c r="D4680" s="39" t="s">
        <v>18592</v>
      </c>
      <c r="E4680" s="27" t="s">
        <v>91</v>
      </c>
      <c r="F4680" s="27" t="s">
        <v>48</v>
      </c>
      <c r="G4680" s="18" t="s">
        <v>35</v>
      </c>
      <c r="H4680" s="40" t="s">
        <v>35</v>
      </c>
      <c r="I4680" s="37" t="s">
        <v>36</v>
      </c>
      <c r="J4680" s="25" t="s">
        <v>65</v>
      </c>
      <c r="K4680" s="26" t="s">
        <v>38</v>
      </c>
      <c r="L4680" s="72">
        <v>13546.0</v>
      </c>
      <c r="M4680" s="49" t="s">
        <v>50</v>
      </c>
      <c r="N4680" s="42" t="s">
        <v>3442</v>
      </c>
      <c r="O4680" s="67">
        <v>45870.70726115741</v>
      </c>
      <c r="P4680" s="35" t="s">
        <v>15829</v>
      </c>
      <c r="Q4680" s="13" t="s">
        <v>75</v>
      </c>
      <c r="R4680" s="13" t="s">
        <v>75</v>
      </c>
      <c r="S4680" s="13" t="s">
        <v>50</v>
      </c>
      <c r="T4680" s="44">
        <v>45869.4548440625</v>
      </c>
      <c r="U4680" s="44">
        <v>45870.38918346065</v>
      </c>
      <c r="V4680" s="44">
        <v>45870.46916114583</v>
      </c>
      <c r="W4680" s="11"/>
      <c r="X4680" s="11"/>
      <c r="Y4680" s="45">
        <v>302.0</v>
      </c>
      <c r="Z4680" s="45" t="s">
        <v>18593</v>
      </c>
      <c r="AA4680" s="31"/>
      <c r="AB4680" s="45" t="s">
        <v>18594</v>
      </c>
      <c r="AC4680" s="45"/>
    </row>
    <row r="4681" ht="18.75" customHeight="1">
      <c r="A4681" s="142" t="s">
        <v>18595</v>
      </c>
      <c r="B4681" s="19" t="s">
        <v>9101</v>
      </c>
      <c r="C4681" s="20">
        <v>90.0</v>
      </c>
      <c r="D4681" s="39" t="s">
        <v>18596</v>
      </c>
      <c r="E4681" s="27" t="s">
        <v>91</v>
      </c>
      <c r="F4681" s="27" t="s">
        <v>48</v>
      </c>
      <c r="G4681" s="18" t="s">
        <v>35</v>
      </c>
      <c r="H4681" s="40" t="s">
        <v>35</v>
      </c>
      <c r="I4681" s="37" t="s">
        <v>36</v>
      </c>
      <c r="J4681" s="25" t="s">
        <v>65</v>
      </c>
      <c r="K4681" s="26" t="s">
        <v>38</v>
      </c>
      <c r="L4681" s="72">
        <v>13545.0</v>
      </c>
      <c r="M4681" s="49" t="s">
        <v>50</v>
      </c>
      <c r="N4681" s="42" t="s">
        <v>3442</v>
      </c>
      <c r="O4681" s="67">
        <v>45870.70733806713</v>
      </c>
      <c r="P4681" s="35" t="s">
        <v>18597</v>
      </c>
      <c r="Q4681" s="13" t="s">
        <v>75</v>
      </c>
      <c r="R4681" s="13" t="s">
        <v>75</v>
      </c>
      <c r="S4681" s="13" t="s">
        <v>50</v>
      </c>
      <c r="T4681" s="44">
        <v>45869.464802083334</v>
      </c>
      <c r="U4681" s="44">
        <v>45869.59353028935</v>
      </c>
      <c r="V4681" s="44">
        <v>45870.4174256713</v>
      </c>
      <c r="W4681" s="11"/>
      <c r="X4681" s="11"/>
      <c r="Y4681" s="45">
        <v>302.0</v>
      </c>
      <c r="Z4681" s="45" t="s">
        <v>18598</v>
      </c>
      <c r="AA4681" s="31"/>
      <c r="AB4681" s="45" t="s">
        <v>18599</v>
      </c>
      <c r="AC4681" s="45"/>
    </row>
    <row r="4682" ht="18.75" customHeight="1">
      <c r="A4682" s="142" t="s">
        <v>18600</v>
      </c>
      <c r="B4682" s="19" t="s">
        <v>10785</v>
      </c>
      <c r="C4682" s="20">
        <v>90.0</v>
      </c>
      <c r="D4682" s="39" t="s">
        <v>18601</v>
      </c>
      <c r="E4682" s="27" t="s">
        <v>91</v>
      </c>
      <c r="F4682" s="27" t="s">
        <v>48</v>
      </c>
      <c r="G4682" s="18" t="s">
        <v>35</v>
      </c>
      <c r="H4682" s="40" t="s">
        <v>35</v>
      </c>
      <c r="I4682" s="37" t="s">
        <v>36</v>
      </c>
      <c r="J4682" s="25" t="s">
        <v>92</v>
      </c>
      <c r="K4682" s="26" t="s">
        <v>38</v>
      </c>
      <c r="L4682" s="72">
        <v>13583.0</v>
      </c>
      <c r="M4682" s="49" t="s">
        <v>50</v>
      </c>
      <c r="N4682" s="42" t="s">
        <v>10787</v>
      </c>
      <c r="O4682" s="67">
        <v>45880.68864390046</v>
      </c>
      <c r="P4682" s="35" t="s">
        <v>17486</v>
      </c>
      <c r="Q4682" s="13" t="s">
        <v>75</v>
      </c>
      <c r="R4682" s="13" t="s">
        <v>75</v>
      </c>
      <c r="S4682" s="13" t="s">
        <v>73</v>
      </c>
      <c r="T4682" s="44">
        <v>45869.46543980324</v>
      </c>
      <c r="U4682" s="44">
        <v>45874.72122935185</v>
      </c>
      <c r="V4682" s="44">
        <v>45876.42492922454</v>
      </c>
      <c r="W4682" s="11"/>
      <c r="X4682" s="11"/>
      <c r="Y4682" s="45">
        <v>302.0</v>
      </c>
      <c r="Z4682" s="45" t="s">
        <v>18602</v>
      </c>
      <c r="AA4682" s="31"/>
      <c r="AB4682" s="45" t="s">
        <v>18603</v>
      </c>
      <c r="AC4682" s="45"/>
    </row>
    <row r="4683" ht="18.75" customHeight="1">
      <c r="A4683" s="142" t="s">
        <v>18604</v>
      </c>
      <c r="B4683" s="19" t="s">
        <v>473</v>
      </c>
      <c r="C4683" s="20">
        <v>90.0</v>
      </c>
      <c r="D4683" s="39" t="s">
        <v>18605</v>
      </c>
      <c r="E4683" s="27" t="s">
        <v>91</v>
      </c>
      <c r="F4683" s="27" t="s">
        <v>48</v>
      </c>
      <c r="G4683" s="18" t="s">
        <v>35</v>
      </c>
      <c r="H4683" s="40" t="s">
        <v>35</v>
      </c>
      <c r="I4683" s="37" t="s">
        <v>36</v>
      </c>
      <c r="J4683" s="25" t="s">
        <v>65</v>
      </c>
      <c r="K4683" s="26" t="s">
        <v>38</v>
      </c>
      <c r="L4683" s="72">
        <v>13586.0</v>
      </c>
      <c r="M4683" s="49" t="s">
        <v>73</v>
      </c>
      <c r="N4683" s="42" t="s">
        <v>16408</v>
      </c>
      <c r="O4683" s="67">
        <v>45876.70828515047</v>
      </c>
      <c r="P4683" s="35" t="s">
        <v>18606</v>
      </c>
      <c r="Q4683" s="13" t="s">
        <v>75</v>
      </c>
      <c r="R4683" s="13" t="s">
        <v>75</v>
      </c>
      <c r="S4683" s="13" t="s">
        <v>73</v>
      </c>
      <c r="T4683" s="44">
        <v>45869.4907933912</v>
      </c>
      <c r="U4683" s="44">
        <v>45876.44225761574</v>
      </c>
      <c r="V4683" s="44">
        <v>45876.44458729167</v>
      </c>
      <c r="W4683" s="11"/>
      <c r="X4683" s="11"/>
      <c r="Y4683" s="45">
        <v>302.0</v>
      </c>
      <c r="Z4683" s="45" t="s">
        <v>18607</v>
      </c>
      <c r="AA4683" s="31"/>
      <c r="AB4683" s="45" t="s">
        <v>18608</v>
      </c>
      <c r="AC4683" s="45"/>
    </row>
    <row r="4684" ht="18.75" customHeight="1">
      <c r="A4684" s="142" t="s">
        <v>18609</v>
      </c>
      <c r="B4684" s="19" t="s">
        <v>18610</v>
      </c>
      <c r="C4684" s="20">
        <v>0.0</v>
      </c>
      <c r="D4684" s="39" t="s">
        <v>18611</v>
      </c>
      <c r="E4684" s="27" t="s">
        <v>3441</v>
      </c>
      <c r="F4684" s="27" t="s">
        <v>48</v>
      </c>
      <c r="G4684" s="18" t="s">
        <v>35</v>
      </c>
      <c r="H4684" s="40" t="s">
        <v>35</v>
      </c>
      <c r="I4684" s="37" t="s">
        <v>36</v>
      </c>
      <c r="J4684" s="25" t="s">
        <v>65</v>
      </c>
      <c r="K4684" s="26" t="s">
        <v>38</v>
      </c>
      <c r="L4684" s="72">
        <v>13566.0</v>
      </c>
      <c r="M4684" s="49" t="s">
        <v>50</v>
      </c>
      <c r="N4684" s="42" t="s">
        <v>3442</v>
      </c>
      <c r="O4684" s="67">
        <v>45874.72866958333</v>
      </c>
      <c r="P4684" s="35" t="s">
        <v>18612</v>
      </c>
      <c r="Q4684" s="13" t="s">
        <v>75</v>
      </c>
      <c r="R4684" s="13" t="s">
        <v>75</v>
      </c>
      <c r="S4684" s="13" t="s">
        <v>50</v>
      </c>
      <c r="T4684" s="44">
        <v>45869.497262268516</v>
      </c>
      <c r="U4684" s="44">
        <v>45873.71623908565</v>
      </c>
      <c r="V4684" s="44">
        <v>45874.55811128472</v>
      </c>
      <c r="W4684" s="11"/>
      <c r="X4684" s="11"/>
      <c r="Y4684" s="45">
        <v>302.0</v>
      </c>
      <c r="Z4684" s="45" t="s">
        <v>18613</v>
      </c>
      <c r="AA4684" s="31"/>
      <c r="AB4684" s="45" t="s">
        <v>18614</v>
      </c>
      <c r="AC4684" s="45"/>
    </row>
    <row r="4685" ht="18.75" customHeight="1">
      <c r="A4685" s="142" t="s">
        <v>18615</v>
      </c>
      <c r="B4685" s="19" t="s">
        <v>18616</v>
      </c>
      <c r="C4685" s="20">
        <v>90.0</v>
      </c>
      <c r="D4685" s="39" t="s">
        <v>18617</v>
      </c>
      <c r="E4685" s="27" t="s">
        <v>91</v>
      </c>
      <c r="F4685" s="27" t="s">
        <v>48</v>
      </c>
      <c r="G4685" s="18" t="s">
        <v>35</v>
      </c>
      <c r="H4685" s="40" t="s">
        <v>35</v>
      </c>
      <c r="I4685" s="37" t="s">
        <v>36</v>
      </c>
      <c r="J4685" s="25" t="s">
        <v>65</v>
      </c>
      <c r="K4685" s="26" t="s">
        <v>38</v>
      </c>
      <c r="L4685" s="72">
        <v>13547.0</v>
      </c>
      <c r="M4685" s="49" t="s">
        <v>50</v>
      </c>
      <c r="N4685" s="42" t="s">
        <v>3442</v>
      </c>
      <c r="O4685" s="67">
        <v>45870.707413449076</v>
      </c>
      <c r="P4685" s="35" t="s">
        <v>18618</v>
      </c>
      <c r="Q4685" s="13" t="s">
        <v>75</v>
      </c>
      <c r="R4685" s="13" t="s">
        <v>75</v>
      </c>
      <c r="S4685" s="13" t="s">
        <v>50</v>
      </c>
      <c r="T4685" s="44">
        <v>45869.52077203704</v>
      </c>
      <c r="U4685" s="44">
        <v>45870.39055810185</v>
      </c>
      <c r="V4685" s="44">
        <v>45870.46916114583</v>
      </c>
      <c r="W4685" s="11"/>
      <c r="X4685" s="11"/>
      <c r="Y4685" s="45">
        <v>302.0</v>
      </c>
      <c r="Z4685" s="45" t="s">
        <v>18619</v>
      </c>
      <c r="AA4685" s="31"/>
      <c r="AB4685" s="45" t="s">
        <v>18620</v>
      </c>
      <c r="AC4685" s="45"/>
    </row>
    <row r="4686" ht="18.75" customHeight="1">
      <c r="A4686" s="142" t="s">
        <v>18621</v>
      </c>
      <c r="B4686" s="19" t="s">
        <v>8459</v>
      </c>
      <c r="C4686" s="20">
        <v>1.0</v>
      </c>
      <c r="D4686" s="39" t="s">
        <v>18622</v>
      </c>
      <c r="E4686" s="27" t="s">
        <v>3395</v>
      </c>
      <c r="F4686" s="27" t="s">
        <v>48</v>
      </c>
      <c r="G4686" s="18" t="s">
        <v>35</v>
      </c>
      <c r="H4686" s="40" t="s">
        <v>35</v>
      </c>
      <c r="I4686" s="37" t="s">
        <v>36</v>
      </c>
      <c r="J4686" s="25" t="s">
        <v>49</v>
      </c>
      <c r="K4686" s="26" t="s">
        <v>38</v>
      </c>
      <c r="L4686" s="72">
        <v>13560.0</v>
      </c>
      <c r="M4686" s="49" t="s">
        <v>50</v>
      </c>
      <c r="N4686" s="42" t="s">
        <v>5936</v>
      </c>
      <c r="O4686" s="67">
        <v>45874.667385520836</v>
      </c>
      <c r="P4686" s="35" t="s">
        <v>17100</v>
      </c>
      <c r="Q4686" s="13" t="s">
        <v>75</v>
      </c>
      <c r="R4686" s="13" t="s">
        <v>75</v>
      </c>
      <c r="S4686" s="13" t="s">
        <v>50</v>
      </c>
      <c r="T4686" s="44">
        <v>45869.521185034726</v>
      </c>
      <c r="U4686" s="44">
        <v>45874.41984011574</v>
      </c>
      <c r="V4686" s="44">
        <v>45874.42943724537</v>
      </c>
      <c r="W4686" s="11"/>
      <c r="X4686" s="11"/>
      <c r="Y4686" s="45">
        <v>302.0</v>
      </c>
      <c r="Z4686" s="45" t="s">
        <v>18623</v>
      </c>
      <c r="AA4686" s="31"/>
      <c r="AB4686" s="45" t="s">
        <v>18624</v>
      </c>
      <c r="AC4686" s="45"/>
    </row>
    <row r="4687" ht="18.75" customHeight="1">
      <c r="A4687" s="142" t="s">
        <v>18625</v>
      </c>
      <c r="B4687" s="19" t="s">
        <v>3674</v>
      </c>
      <c r="C4687" s="20">
        <v>90.0</v>
      </c>
      <c r="D4687" s="39" t="s">
        <v>18626</v>
      </c>
      <c r="E4687" s="27" t="s">
        <v>91</v>
      </c>
      <c r="F4687" s="27" t="s">
        <v>48</v>
      </c>
      <c r="G4687" s="18" t="s">
        <v>35</v>
      </c>
      <c r="H4687" s="40" t="s">
        <v>35</v>
      </c>
      <c r="I4687" s="37" t="s">
        <v>36</v>
      </c>
      <c r="J4687" s="25" t="s">
        <v>92</v>
      </c>
      <c r="K4687" s="26" t="s">
        <v>38</v>
      </c>
      <c r="L4687" s="72">
        <v>13579.0</v>
      </c>
      <c r="M4687" s="49" t="s">
        <v>73</v>
      </c>
      <c r="N4687" s="42" t="s">
        <v>18627</v>
      </c>
      <c r="O4687" s="67">
        <v>45876.37803108797</v>
      </c>
      <c r="P4687" s="35" t="s">
        <v>18628</v>
      </c>
      <c r="Q4687" s="13" t="s">
        <v>75</v>
      </c>
      <c r="R4687" s="13" t="s">
        <v>75</v>
      </c>
      <c r="S4687" s="13" t="s">
        <v>73</v>
      </c>
      <c r="T4687" s="44">
        <v>45869.52273171296</v>
      </c>
      <c r="U4687" s="44">
        <v>45875.69250351852</v>
      </c>
      <c r="V4687" s="44">
        <v>45876.37118422454</v>
      </c>
      <c r="W4687" s="11"/>
      <c r="X4687" s="11"/>
      <c r="Y4687" s="45">
        <v>302.0</v>
      </c>
      <c r="Z4687" s="45" t="s">
        <v>18629</v>
      </c>
      <c r="AA4687" s="31"/>
      <c r="AB4687" s="45" t="s">
        <v>18630</v>
      </c>
      <c r="AC4687" s="45"/>
    </row>
    <row r="4688" ht="18.75" customHeight="1">
      <c r="A4688" s="142" t="s">
        <v>18631</v>
      </c>
      <c r="B4688" s="19" t="s">
        <v>3709</v>
      </c>
      <c r="C4688" s="20">
        <v>0.0</v>
      </c>
      <c r="D4688" s="39" t="s">
        <v>18632</v>
      </c>
      <c r="E4688" s="27" t="s">
        <v>3441</v>
      </c>
      <c r="F4688" s="27" t="s">
        <v>48</v>
      </c>
      <c r="G4688" s="18" t="s">
        <v>35</v>
      </c>
      <c r="H4688" s="40" t="s">
        <v>35</v>
      </c>
      <c r="I4688" s="37" t="s">
        <v>36</v>
      </c>
      <c r="J4688" s="25" t="s">
        <v>92</v>
      </c>
      <c r="K4688" s="26" t="s">
        <v>38</v>
      </c>
      <c r="L4688" s="72">
        <v>13551.0</v>
      </c>
      <c r="M4688" s="49" t="s">
        <v>50</v>
      </c>
      <c r="N4688" s="42" t="s">
        <v>7145</v>
      </c>
      <c r="O4688" s="67">
        <v>45925.58621054398</v>
      </c>
      <c r="P4688" s="35" t="s">
        <v>17486</v>
      </c>
      <c r="Q4688" s="13" t="s">
        <v>75</v>
      </c>
      <c r="R4688" s="13" t="s">
        <v>75</v>
      </c>
      <c r="S4688" s="13" t="s">
        <v>73</v>
      </c>
      <c r="T4688" s="44">
        <v>45869.67912223379</v>
      </c>
      <c r="U4688" s="44">
        <v>45869.70750276621</v>
      </c>
      <c r="V4688" s="44">
        <v>45870.614301712965</v>
      </c>
      <c r="W4688" s="11"/>
      <c r="X4688" s="11"/>
      <c r="Y4688" s="45">
        <v>302.0</v>
      </c>
      <c r="Z4688" s="45" t="s">
        <v>18633</v>
      </c>
      <c r="AA4688" s="31"/>
      <c r="AB4688" s="45" t="s">
        <v>18634</v>
      </c>
      <c r="AC4688" s="45"/>
    </row>
    <row r="4689" ht="18.75" customHeight="1">
      <c r="A4689" s="142" t="s">
        <v>18635</v>
      </c>
      <c r="B4689" s="19" t="s">
        <v>13215</v>
      </c>
      <c r="C4689" s="20">
        <v>0.0</v>
      </c>
      <c r="D4689" s="39" t="s">
        <v>18636</v>
      </c>
      <c r="E4689" s="27" t="s">
        <v>3441</v>
      </c>
      <c r="F4689" s="27" t="s">
        <v>48</v>
      </c>
      <c r="G4689" s="18" t="s">
        <v>35</v>
      </c>
      <c r="H4689" s="40" t="s">
        <v>35</v>
      </c>
      <c r="I4689" s="37" t="s">
        <v>36</v>
      </c>
      <c r="J4689" s="25" t="s">
        <v>49</v>
      </c>
      <c r="K4689" s="26" t="s">
        <v>13217</v>
      </c>
      <c r="L4689" s="72">
        <v>13568.0</v>
      </c>
      <c r="M4689" s="49" t="s">
        <v>50</v>
      </c>
      <c r="N4689" s="42" t="s">
        <v>5936</v>
      </c>
      <c r="O4689" s="67">
        <v>45874.66734443287</v>
      </c>
      <c r="P4689" s="35" t="s">
        <v>15666</v>
      </c>
      <c r="Q4689" s="13" t="s">
        <v>75</v>
      </c>
      <c r="R4689" s="13" t="s">
        <v>75</v>
      </c>
      <c r="S4689" s="13" t="s">
        <v>50</v>
      </c>
      <c r="T4689" s="44">
        <v>45870.44620582176</v>
      </c>
      <c r="U4689" s="44">
        <v>45873.6633443287</v>
      </c>
      <c r="V4689" s="44">
        <v>45874.55382886574</v>
      </c>
      <c r="W4689" s="11"/>
      <c r="X4689" s="11"/>
      <c r="Y4689" s="45">
        <v>302.0</v>
      </c>
      <c r="Z4689" s="45" t="s">
        <v>18637</v>
      </c>
      <c r="AA4689" s="31"/>
      <c r="AB4689" s="45" t="s">
        <v>18638</v>
      </c>
      <c r="AC4689" s="45"/>
    </row>
    <row r="4690" ht="18.75" customHeight="1">
      <c r="A4690" s="142" t="s">
        <v>18639</v>
      </c>
      <c r="B4690" s="19" t="s">
        <v>4472</v>
      </c>
      <c r="C4690" s="20">
        <v>1.0</v>
      </c>
      <c r="D4690" s="179">
        <v>13974.0</v>
      </c>
      <c r="E4690" s="27" t="s">
        <v>155</v>
      </c>
      <c r="F4690" s="27" t="s">
        <v>48</v>
      </c>
      <c r="G4690" s="18" t="s">
        <v>35</v>
      </c>
      <c r="H4690" s="40" t="s">
        <v>35</v>
      </c>
      <c r="I4690" s="37" t="s">
        <v>36</v>
      </c>
      <c r="J4690" s="25" t="s">
        <v>49</v>
      </c>
      <c r="K4690" s="26" t="s">
        <v>38</v>
      </c>
      <c r="L4690" s="72">
        <v>13558.0</v>
      </c>
      <c r="M4690" s="49" t="s">
        <v>50</v>
      </c>
      <c r="N4690" s="42" t="s">
        <v>5936</v>
      </c>
      <c r="O4690" s="67">
        <v>45874.66730090277</v>
      </c>
      <c r="P4690" s="35" t="s">
        <v>15666</v>
      </c>
      <c r="Q4690" s="13" t="s">
        <v>75</v>
      </c>
      <c r="R4690" s="13" t="s">
        <v>75</v>
      </c>
      <c r="S4690" s="13" t="s">
        <v>9620</v>
      </c>
      <c r="T4690" s="44">
        <v>45869.69837408565</v>
      </c>
      <c r="U4690" s="44">
        <v>45869.710937199074</v>
      </c>
      <c r="V4690" s="44">
        <v>45874.59813760417</v>
      </c>
      <c r="W4690" s="11"/>
      <c r="X4690" s="11"/>
      <c r="Y4690" s="45">
        <v>302.0</v>
      </c>
      <c r="Z4690" s="45" t="s">
        <v>18640</v>
      </c>
      <c r="AA4690" s="31"/>
      <c r="AB4690" s="45" t="s">
        <v>18641</v>
      </c>
      <c r="AC4690" s="45"/>
    </row>
    <row r="4691" ht="18.75" customHeight="1">
      <c r="A4691" s="18" t="s">
        <v>18642</v>
      </c>
      <c r="B4691" s="19" t="s">
        <v>18643</v>
      </c>
      <c r="C4691" s="20">
        <v>27.0</v>
      </c>
      <c r="D4691" s="39" t="s">
        <v>18644</v>
      </c>
      <c r="E4691" s="27" t="s">
        <v>72</v>
      </c>
      <c r="F4691" s="27" t="s">
        <v>48</v>
      </c>
      <c r="G4691" s="18" t="s">
        <v>35</v>
      </c>
      <c r="H4691" s="40" t="s">
        <v>35</v>
      </c>
      <c r="I4691" s="37" t="s">
        <v>36</v>
      </c>
      <c r="J4691" s="25" t="s">
        <v>65</v>
      </c>
      <c r="K4691" s="26" t="s">
        <v>38</v>
      </c>
      <c r="L4691" s="72">
        <v>13553.0</v>
      </c>
      <c r="M4691" s="49" t="s">
        <v>73</v>
      </c>
      <c r="N4691" s="42" t="s">
        <v>18645</v>
      </c>
      <c r="O4691" s="67">
        <v>45873.71194763889</v>
      </c>
      <c r="P4691" s="35" t="s">
        <v>18646</v>
      </c>
      <c r="Q4691" s="13" t="s">
        <v>75</v>
      </c>
      <c r="R4691" s="13" t="s">
        <v>75</v>
      </c>
      <c r="S4691" s="13" t="s">
        <v>73</v>
      </c>
      <c r="T4691" s="44">
        <v>45870.400125451386</v>
      </c>
      <c r="U4691" s="44">
        <v>45870.61358746528</v>
      </c>
      <c r="V4691" s="44">
        <v>45873.4537078125</v>
      </c>
      <c r="W4691" s="11"/>
      <c r="X4691" s="11"/>
      <c r="Y4691" s="45">
        <v>302.0</v>
      </c>
      <c r="Z4691" s="45" t="s">
        <v>18647</v>
      </c>
      <c r="AA4691" s="31"/>
      <c r="AB4691" s="45" t="s">
        <v>18648</v>
      </c>
      <c r="AC4691" s="45"/>
    </row>
    <row r="4692" ht="18.75" customHeight="1">
      <c r="A4692" s="18" t="s">
        <v>18649</v>
      </c>
      <c r="B4692" s="19" t="s">
        <v>18643</v>
      </c>
      <c r="C4692" s="20">
        <v>0.0</v>
      </c>
      <c r="D4692" s="39" t="s">
        <v>18650</v>
      </c>
      <c r="E4692" s="27" t="s">
        <v>3441</v>
      </c>
      <c r="F4692" s="27" t="s">
        <v>48</v>
      </c>
      <c r="G4692" s="18" t="s">
        <v>35</v>
      </c>
      <c r="H4692" s="40" t="s">
        <v>35</v>
      </c>
      <c r="I4692" s="37" t="s">
        <v>36</v>
      </c>
      <c r="J4692" s="25" t="s">
        <v>65</v>
      </c>
      <c r="K4692" s="26" t="s">
        <v>38</v>
      </c>
      <c r="L4692" s="72">
        <v>13553.0</v>
      </c>
      <c r="M4692" s="49" t="s">
        <v>73</v>
      </c>
      <c r="N4692" s="42" t="s">
        <v>18645</v>
      </c>
      <c r="O4692" s="67">
        <v>45873.71199923611</v>
      </c>
      <c r="P4692" s="35" t="s">
        <v>18646</v>
      </c>
      <c r="Q4692" s="13" t="s">
        <v>75</v>
      </c>
      <c r="R4692" s="13" t="s">
        <v>75</v>
      </c>
      <c r="S4692" s="13" t="s">
        <v>73</v>
      </c>
      <c r="T4692" s="44">
        <v>45870.401165034724</v>
      </c>
      <c r="U4692" s="44">
        <v>45870.6136187963</v>
      </c>
      <c r="V4692" s="44">
        <v>45873.453707824076</v>
      </c>
      <c r="W4692" s="11"/>
      <c r="X4692" s="11"/>
      <c r="Y4692" s="45">
        <v>302.0</v>
      </c>
      <c r="Z4692" s="45" t="s">
        <v>18651</v>
      </c>
      <c r="AA4692" s="31"/>
      <c r="AB4692" s="45" t="s">
        <v>18652</v>
      </c>
      <c r="AC4692" s="45"/>
    </row>
    <row r="4693" ht="18.75" customHeight="1">
      <c r="A4693" s="142" t="s">
        <v>18653</v>
      </c>
      <c r="B4693" s="19" t="s">
        <v>4126</v>
      </c>
      <c r="C4693" s="20">
        <v>1.0</v>
      </c>
      <c r="D4693" s="39" t="s">
        <v>18654</v>
      </c>
      <c r="E4693" s="27" t="s">
        <v>3395</v>
      </c>
      <c r="F4693" s="27" t="s">
        <v>48</v>
      </c>
      <c r="G4693" s="18" t="s">
        <v>35</v>
      </c>
      <c r="H4693" s="40" t="s">
        <v>35</v>
      </c>
      <c r="I4693" s="37" t="s">
        <v>36</v>
      </c>
      <c r="J4693" s="25" t="s">
        <v>65</v>
      </c>
      <c r="K4693" s="26" t="s">
        <v>38</v>
      </c>
      <c r="L4693" s="72">
        <v>13554.0</v>
      </c>
      <c r="M4693" s="49" t="s">
        <v>73</v>
      </c>
      <c r="N4693" s="42" t="s">
        <v>18645</v>
      </c>
      <c r="O4693" s="67">
        <v>45873.712044837965</v>
      </c>
      <c r="P4693" s="35" t="s">
        <v>18655</v>
      </c>
      <c r="Q4693" s="13" t="s">
        <v>75</v>
      </c>
      <c r="R4693" s="13" t="s">
        <v>75</v>
      </c>
      <c r="S4693" s="13" t="s">
        <v>73</v>
      </c>
      <c r="T4693" s="44">
        <v>45870.44306684028</v>
      </c>
      <c r="U4693" s="44">
        <v>45870.61282875</v>
      </c>
      <c r="V4693" s="44">
        <v>45873.45361</v>
      </c>
      <c r="W4693" s="11"/>
      <c r="X4693" s="11"/>
      <c r="Y4693" s="45">
        <v>302.0</v>
      </c>
      <c r="Z4693" s="45" t="s">
        <v>18656</v>
      </c>
      <c r="AA4693" s="31"/>
      <c r="AB4693" s="45" t="s">
        <v>18657</v>
      </c>
      <c r="AC4693" s="45"/>
    </row>
    <row r="4694" ht="18.75" customHeight="1">
      <c r="A4694" s="142" t="s">
        <v>18658</v>
      </c>
      <c r="B4694" s="19" t="s">
        <v>12692</v>
      </c>
      <c r="C4694" s="20">
        <v>11.0</v>
      </c>
      <c r="D4694" s="39" t="s">
        <v>18659</v>
      </c>
      <c r="E4694" s="27" t="s">
        <v>112</v>
      </c>
      <c r="F4694" s="27" t="s">
        <v>48</v>
      </c>
      <c r="G4694" s="18" t="s">
        <v>35</v>
      </c>
      <c r="H4694" s="40" t="s">
        <v>35</v>
      </c>
      <c r="I4694" s="37" t="s">
        <v>36</v>
      </c>
      <c r="J4694" s="25" t="s">
        <v>92</v>
      </c>
      <c r="K4694" s="26" t="s">
        <v>38</v>
      </c>
      <c r="L4694" s="72">
        <v>13548.0</v>
      </c>
      <c r="M4694" s="49" t="s">
        <v>73</v>
      </c>
      <c r="N4694" s="42" t="s">
        <v>18660</v>
      </c>
      <c r="O4694" s="67">
        <v>45882.6775341551</v>
      </c>
      <c r="P4694" s="35" t="s">
        <v>18661</v>
      </c>
      <c r="Q4694" s="13" t="s">
        <v>75</v>
      </c>
      <c r="R4694" s="13" t="s">
        <v>75</v>
      </c>
      <c r="S4694" s="13" t="s">
        <v>50</v>
      </c>
      <c r="T4694" s="44">
        <v>45870.44449016204</v>
      </c>
      <c r="U4694" s="44">
        <v>45870.46370356482</v>
      </c>
      <c r="V4694" s="44">
        <v>45870.55237314815</v>
      </c>
      <c r="W4694" s="11"/>
      <c r="X4694" s="11"/>
      <c r="Y4694" s="45">
        <v>302.0</v>
      </c>
      <c r="Z4694" s="45" t="s">
        <v>18662</v>
      </c>
      <c r="AA4694" s="31"/>
      <c r="AB4694" s="45" t="s">
        <v>18663</v>
      </c>
      <c r="AC4694" s="45"/>
    </row>
    <row r="4695" ht="18.75" customHeight="1">
      <c r="A4695" s="142" t="s">
        <v>18664</v>
      </c>
      <c r="B4695" s="19" t="s">
        <v>122</v>
      </c>
      <c r="C4695" s="20">
        <v>11.0</v>
      </c>
      <c r="D4695" s="39" t="s">
        <v>18665</v>
      </c>
      <c r="E4695" s="27" t="s">
        <v>112</v>
      </c>
      <c r="F4695" s="27" t="s">
        <v>48</v>
      </c>
      <c r="G4695" s="18" t="s">
        <v>35</v>
      </c>
      <c r="H4695" s="40" t="s">
        <v>35</v>
      </c>
      <c r="I4695" s="37" t="s">
        <v>36</v>
      </c>
      <c r="J4695" s="25" t="s">
        <v>49</v>
      </c>
      <c r="K4695" s="26" t="s">
        <v>38</v>
      </c>
      <c r="L4695" s="72">
        <v>13555.0</v>
      </c>
      <c r="M4695" s="49" t="s">
        <v>73</v>
      </c>
      <c r="N4695" s="42" t="s">
        <v>17048</v>
      </c>
      <c r="O4695" s="67">
        <v>45873.63766512732</v>
      </c>
      <c r="P4695" s="35" t="s">
        <v>18666</v>
      </c>
      <c r="Q4695" s="13" t="s">
        <v>75</v>
      </c>
      <c r="R4695" s="13" t="s">
        <v>75</v>
      </c>
      <c r="S4695" s="13" t="s">
        <v>73</v>
      </c>
      <c r="T4695" s="44">
        <v>45870.67006107639</v>
      </c>
      <c r="U4695" s="44">
        <v>45870.67007652778</v>
      </c>
      <c r="V4695" s="44">
        <v>45873.45384512731</v>
      </c>
      <c r="W4695" s="11"/>
      <c r="X4695" s="11"/>
      <c r="Y4695" s="45">
        <v>302.0</v>
      </c>
      <c r="Z4695" s="45" t="s">
        <v>18667</v>
      </c>
      <c r="AA4695" s="31"/>
      <c r="AB4695" s="45" t="s">
        <v>18668</v>
      </c>
      <c r="AC4695" s="45"/>
    </row>
    <row r="4696" ht="18.75" customHeight="1">
      <c r="A4696" s="142" t="s">
        <v>18669</v>
      </c>
      <c r="B4696" s="19" t="s">
        <v>18670</v>
      </c>
      <c r="C4696" s="20">
        <v>0.0</v>
      </c>
      <c r="D4696" s="179">
        <v>20225.0</v>
      </c>
      <c r="E4696" s="27" t="s">
        <v>2089</v>
      </c>
      <c r="F4696" s="27" t="s">
        <v>33</v>
      </c>
      <c r="G4696" s="18" t="s">
        <v>35</v>
      </c>
      <c r="H4696" s="40" t="s">
        <v>35</v>
      </c>
      <c r="I4696" s="37" t="s">
        <v>36</v>
      </c>
      <c r="J4696" s="25" t="s">
        <v>49</v>
      </c>
      <c r="K4696" s="26" t="s">
        <v>38</v>
      </c>
      <c r="L4696" s="72">
        <v>13581.0</v>
      </c>
      <c r="M4696" s="49" t="s">
        <v>73</v>
      </c>
      <c r="N4696" s="42" t="s">
        <v>5936</v>
      </c>
      <c r="O4696" s="67">
        <v>45876.69761152778</v>
      </c>
      <c r="P4696" s="35" t="s">
        <v>18671</v>
      </c>
      <c r="Q4696" s="13" t="s">
        <v>75</v>
      </c>
      <c r="R4696" s="13" t="s">
        <v>75</v>
      </c>
      <c r="S4696" s="13" t="s">
        <v>9620</v>
      </c>
      <c r="T4696" s="44">
        <v>45870.67302119213</v>
      </c>
      <c r="U4696" s="44">
        <v>45875.436479861106</v>
      </c>
      <c r="V4696" s="44">
        <v>45875.537620462965</v>
      </c>
      <c r="W4696" s="11"/>
      <c r="X4696" s="11"/>
      <c r="Y4696" s="45">
        <v>302.0</v>
      </c>
      <c r="Z4696" s="45" t="s">
        <v>18672</v>
      </c>
      <c r="AA4696" s="31"/>
      <c r="AB4696" s="45" t="s">
        <v>18673</v>
      </c>
      <c r="AC4696" s="45"/>
    </row>
    <row r="4697" ht="18.75" customHeight="1">
      <c r="A4697" s="142" t="s">
        <v>18674</v>
      </c>
      <c r="B4697" s="19" t="s">
        <v>13276</v>
      </c>
      <c r="C4697" s="20">
        <v>0.0</v>
      </c>
      <c r="D4697" s="39" t="s">
        <v>18675</v>
      </c>
      <c r="E4697" s="27" t="s">
        <v>3441</v>
      </c>
      <c r="F4697" s="27" t="s">
        <v>48</v>
      </c>
      <c r="G4697" s="18" t="s">
        <v>35</v>
      </c>
      <c r="H4697" s="40" t="s">
        <v>35</v>
      </c>
      <c r="I4697" s="37" t="s">
        <v>36</v>
      </c>
      <c r="J4697" s="25" t="s">
        <v>92</v>
      </c>
      <c r="K4697" s="26" t="s">
        <v>38</v>
      </c>
      <c r="L4697" s="72">
        <v>13584.0</v>
      </c>
      <c r="M4697" s="49" t="s">
        <v>50</v>
      </c>
      <c r="N4697" s="42" t="s">
        <v>7145</v>
      </c>
      <c r="O4697" s="67">
        <v>45916.47670158565</v>
      </c>
      <c r="P4697" s="35" t="s">
        <v>17486</v>
      </c>
      <c r="Q4697" s="13" t="s">
        <v>75</v>
      </c>
      <c r="R4697" s="13" t="s">
        <v>75</v>
      </c>
      <c r="S4697" s="13" t="s">
        <v>73</v>
      </c>
      <c r="T4697" s="44">
        <v>45874.40834430556</v>
      </c>
      <c r="U4697" s="44">
        <v>45874.478294189816</v>
      </c>
      <c r="V4697" s="44">
        <v>45876.42495383102</v>
      </c>
      <c r="W4697" s="11"/>
      <c r="X4697" s="11"/>
      <c r="Y4697" s="45">
        <v>302.0</v>
      </c>
      <c r="Z4697" s="45" t="s">
        <v>18676</v>
      </c>
      <c r="AA4697" s="31"/>
      <c r="AB4697" s="45" t="s">
        <v>18677</v>
      </c>
      <c r="AC4697" s="45"/>
    </row>
    <row r="4698" ht="18.75" customHeight="1">
      <c r="A4698" s="142" t="s">
        <v>18678</v>
      </c>
      <c r="B4698" s="19" t="s">
        <v>543</v>
      </c>
      <c r="C4698" s="20">
        <v>90.0</v>
      </c>
      <c r="D4698" s="39" t="s">
        <v>18679</v>
      </c>
      <c r="E4698" s="27" t="s">
        <v>91</v>
      </c>
      <c r="F4698" s="27" t="s">
        <v>48</v>
      </c>
      <c r="G4698" s="18" t="s">
        <v>35</v>
      </c>
      <c r="H4698" s="40" t="s">
        <v>35</v>
      </c>
      <c r="I4698" s="37" t="s">
        <v>36</v>
      </c>
      <c r="J4698" s="25" t="s">
        <v>420</v>
      </c>
      <c r="K4698" s="26" t="s">
        <v>38</v>
      </c>
      <c r="L4698" s="72">
        <v>13567.0</v>
      </c>
      <c r="M4698" s="49" t="s">
        <v>73</v>
      </c>
      <c r="N4698" s="42" t="s">
        <v>4031</v>
      </c>
      <c r="O4698" s="67">
        <v>45875.594805127315</v>
      </c>
      <c r="P4698" s="35" t="s">
        <v>16414</v>
      </c>
      <c r="Q4698" s="13" t="s">
        <v>75</v>
      </c>
      <c r="R4698" s="13" t="s">
        <v>75</v>
      </c>
      <c r="S4698" s="13" t="s">
        <v>50</v>
      </c>
      <c r="T4698" s="44">
        <v>45874.412787696754</v>
      </c>
      <c r="U4698" s="44">
        <v>45874.47728212963</v>
      </c>
      <c r="V4698" s="44">
        <v>45874.5581112963</v>
      </c>
      <c r="W4698" s="11"/>
      <c r="X4698" s="11"/>
      <c r="Y4698" s="45">
        <v>302.0</v>
      </c>
      <c r="Z4698" s="45" t="s">
        <v>18680</v>
      </c>
      <c r="AA4698" s="31"/>
      <c r="AB4698" s="45" t="s">
        <v>18681</v>
      </c>
      <c r="AC4698" s="45"/>
    </row>
    <row r="4699" ht="18.75" customHeight="1">
      <c r="A4699" s="142" t="s">
        <v>18682</v>
      </c>
      <c r="B4699" s="19" t="s">
        <v>4215</v>
      </c>
      <c r="C4699" s="20">
        <v>0.0</v>
      </c>
      <c r="D4699" s="39" t="s">
        <v>18683</v>
      </c>
      <c r="E4699" s="27" t="s">
        <v>4430</v>
      </c>
      <c r="F4699" s="27" t="s">
        <v>48</v>
      </c>
      <c r="G4699" s="18" t="s">
        <v>35</v>
      </c>
      <c r="H4699" s="40" t="s">
        <v>35</v>
      </c>
      <c r="I4699" s="37" t="s">
        <v>36</v>
      </c>
      <c r="J4699" s="25" t="s">
        <v>420</v>
      </c>
      <c r="K4699" s="26" t="s">
        <v>38</v>
      </c>
      <c r="L4699" s="72">
        <v>13563.0</v>
      </c>
      <c r="M4699" s="49" t="s">
        <v>73</v>
      </c>
      <c r="N4699" s="42" t="s">
        <v>4031</v>
      </c>
      <c r="O4699" s="67">
        <v>45875.59490152777</v>
      </c>
      <c r="P4699" s="35" t="s">
        <v>16642</v>
      </c>
      <c r="Q4699" s="13" t="s">
        <v>75</v>
      </c>
      <c r="R4699" s="13" t="s">
        <v>75</v>
      </c>
      <c r="S4699" s="13" t="s">
        <v>50</v>
      </c>
      <c r="T4699" s="44">
        <v>45874.413871145836</v>
      </c>
      <c r="U4699" s="44">
        <v>45874.476815648144</v>
      </c>
      <c r="V4699" s="44">
        <v>45874.48696282407</v>
      </c>
      <c r="W4699" s="11"/>
      <c r="X4699" s="11"/>
      <c r="Y4699" s="45">
        <v>302.0</v>
      </c>
      <c r="Z4699" s="45" t="s">
        <v>18684</v>
      </c>
      <c r="AA4699" s="31"/>
      <c r="AB4699" s="45" t="s">
        <v>18685</v>
      </c>
      <c r="AC4699" s="45"/>
    </row>
    <row r="4700" ht="18.75" customHeight="1">
      <c r="A4700" s="18" t="s">
        <v>18686</v>
      </c>
      <c r="B4700" s="19" t="s">
        <v>3674</v>
      </c>
      <c r="C4700" s="20">
        <v>27.0</v>
      </c>
      <c r="D4700" s="39" t="s">
        <v>18687</v>
      </c>
      <c r="E4700" s="27" t="s">
        <v>72</v>
      </c>
      <c r="F4700" s="27" t="s">
        <v>48</v>
      </c>
      <c r="G4700" s="18" t="s">
        <v>35</v>
      </c>
      <c r="H4700" s="40" t="s">
        <v>35</v>
      </c>
      <c r="I4700" s="37" t="s">
        <v>36</v>
      </c>
      <c r="J4700" s="25" t="s">
        <v>92</v>
      </c>
      <c r="K4700" s="26" t="s">
        <v>38</v>
      </c>
      <c r="L4700" s="72">
        <v>13580.0</v>
      </c>
      <c r="M4700" s="49" t="s">
        <v>73</v>
      </c>
      <c r="N4700" s="42" t="s">
        <v>18627</v>
      </c>
      <c r="O4700" s="67">
        <v>45876.3778115625</v>
      </c>
      <c r="P4700" s="35" t="s">
        <v>18688</v>
      </c>
      <c r="Q4700" s="13" t="s">
        <v>75</v>
      </c>
      <c r="R4700" s="13" t="s">
        <v>75</v>
      </c>
      <c r="S4700" s="13" t="s">
        <v>73</v>
      </c>
      <c r="T4700" s="44">
        <v>45874.414795335644</v>
      </c>
      <c r="U4700" s="44">
        <v>45875.69247202546</v>
      </c>
      <c r="V4700" s="44">
        <v>45876.37118421296</v>
      </c>
      <c r="W4700" s="11"/>
      <c r="X4700" s="11"/>
      <c r="Y4700" s="45">
        <v>302.0</v>
      </c>
      <c r="Z4700" s="45" t="s">
        <v>18689</v>
      </c>
      <c r="AA4700" s="31"/>
      <c r="AB4700" s="45" t="s">
        <v>18690</v>
      </c>
      <c r="AC4700" s="45"/>
    </row>
    <row r="4701" ht="18.75" customHeight="1">
      <c r="A4701" s="18" t="s">
        <v>18691</v>
      </c>
      <c r="B4701" s="19" t="s">
        <v>3674</v>
      </c>
      <c r="C4701" s="20">
        <v>11.0</v>
      </c>
      <c r="D4701" s="39" t="s">
        <v>18692</v>
      </c>
      <c r="E4701" s="27" t="s">
        <v>112</v>
      </c>
      <c r="F4701" s="27" t="s">
        <v>48</v>
      </c>
      <c r="G4701" s="18" t="s">
        <v>35</v>
      </c>
      <c r="H4701" s="40" t="s">
        <v>35</v>
      </c>
      <c r="I4701" s="37" t="s">
        <v>36</v>
      </c>
      <c r="J4701" s="25" t="s">
        <v>92</v>
      </c>
      <c r="K4701" s="26" t="s">
        <v>38</v>
      </c>
      <c r="L4701" s="72">
        <v>13580.0</v>
      </c>
      <c r="M4701" s="49" t="s">
        <v>73</v>
      </c>
      <c r="N4701" s="42" t="s">
        <v>18627</v>
      </c>
      <c r="O4701" s="67">
        <v>45876.37792684028</v>
      </c>
      <c r="P4701" s="35" t="s">
        <v>18688</v>
      </c>
      <c r="Q4701" s="13" t="s">
        <v>75</v>
      </c>
      <c r="R4701" s="13" t="s">
        <v>75</v>
      </c>
      <c r="S4701" s="13" t="s">
        <v>73</v>
      </c>
      <c r="T4701" s="44">
        <v>45874.41496013889</v>
      </c>
      <c r="U4701" s="44">
        <v>45875.69242717593</v>
      </c>
      <c r="V4701" s="44">
        <v>45876.371032256946</v>
      </c>
      <c r="W4701" s="11"/>
      <c r="X4701" s="11"/>
      <c r="Y4701" s="45">
        <v>302.0</v>
      </c>
      <c r="Z4701" s="45" t="s">
        <v>18693</v>
      </c>
      <c r="AA4701" s="31"/>
      <c r="AB4701" s="45" t="s">
        <v>18694</v>
      </c>
      <c r="AC4701" s="45"/>
    </row>
    <row r="4702" ht="18.75" customHeight="1">
      <c r="A4702" s="18" t="s">
        <v>18695</v>
      </c>
      <c r="B4702" s="19" t="s">
        <v>5313</v>
      </c>
      <c r="C4702" s="20">
        <v>27.0</v>
      </c>
      <c r="D4702" s="39" t="s">
        <v>18696</v>
      </c>
      <c r="E4702" s="27" t="s">
        <v>72</v>
      </c>
      <c r="F4702" s="27" t="s">
        <v>48</v>
      </c>
      <c r="G4702" s="18" t="s">
        <v>35</v>
      </c>
      <c r="H4702" s="40" t="s">
        <v>35</v>
      </c>
      <c r="I4702" s="37" t="s">
        <v>36</v>
      </c>
      <c r="J4702" s="25" t="s">
        <v>65</v>
      </c>
      <c r="K4702" s="26" t="s">
        <v>38</v>
      </c>
      <c r="L4702" s="72">
        <v>13562.0</v>
      </c>
      <c r="M4702" s="49" t="s">
        <v>50</v>
      </c>
      <c r="N4702" s="42" t="s">
        <v>3442</v>
      </c>
      <c r="O4702" s="67">
        <v>45874.72860284722</v>
      </c>
      <c r="P4702" s="35" t="s">
        <v>15829</v>
      </c>
      <c r="Q4702" s="13" t="s">
        <v>75</v>
      </c>
      <c r="R4702" s="13" t="s">
        <v>75</v>
      </c>
      <c r="S4702" s="13" t="s">
        <v>50</v>
      </c>
      <c r="T4702" s="44">
        <v>45874.41911444445</v>
      </c>
      <c r="U4702" s="44">
        <v>45874.47782482639</v>
      </c>
      <c r="V4702" s="44">
        <v>45874.47999688657</v>
      </c>
      <c r="W4702" s="11"/>
      <c r="X4702" s="11"/>
      <c r="Y4702" s="45">
        <v>302.0</v>
      </c>
      <c r="Z4702" s="45" t="s">
        <v>18697</v>
      </c>
      <c r="AA4702" s="31"/>
      <c r="AB4702" s="45" t="s">
        <v>18698</v>
      </c>
      <c r="AC4702" s="45"/>
    </row>
    <row r="4703" ht="18.75" customHeight="1">
      <c r="A4703" s="18" t="s">
        <v>18699</v>
      </c>
      <c r="B4703" s="19" t="s">
        <v>5313</v>
      </c>
      <c r="C4703" s="20">
        <v>27.0</v>
      </c>
      <c r="D4703" s="39" t="s">
        <v>18700</v>
      </c>
      <c r="E4703" s="27" t="s">
        <v>72</v>
      </c>
      <c r="F4703" s="27" t="s">
        <v>48</v>
      </c>
      <c r="G4703" s="18" t="s">
        <v>35</v>
      </c>
      <c r="H4703" s="40" t="s">
        <v>35</v>
      </c>
      <c r="I4703" s="37" t="s">
        <v>36</v>
      </c>
      <c r="J4703" s="25" t="s">
        <v>65</v>
      </c>
      <c r="K4703" s="26" t="s">
        <v>38</v>
      </c>
      <c r="L4703" s="72">
        <v>13562.0</v>
      </c>
      <c r="M4703" s="49" t="s">
        <v>50</v>
      </c>
      <c r="N4703" s="42" t="s">
        <v>3442</v>
      </c>
      <c r="O4703" s="67">
        <v>45874.72853868056</v>
      </c>
      <c r="P4703" s="35" t="s">
        <v>15829</v>
      </c>
      <c r="Q4703" s="13" t="s">
        <v>75</v>
      </c>
      <c r="R4703" s="13" t="s">
        <v>75</v>
      </c>
      <c r="S4703" s="13" t="s">
        <v>50</v>
      </c>
      <c r="T4703" s="44">
        <v>45874.41919035879</v>
      </c>
      <c r="U4703" s="44">
        <v>45874.4778534375</v>
      </c>
      <c r="V4703" s="44">
        <v>45874.47999689815</v>
      </c>
      <c r="W4703" s="11"/>
      <c r="X4703" s="11"/>
      <c r="Y4703" s="45">
        <v>302.0</v>
      </c>
      <c r="Z4703" s="45" t="s">
        <v>18701</v>
      </c>
      <c r="AA4703" s="31"/>
      <c r="AB4703" s="45" t="s">
        <v>18702</v>
      </c>
      <c r="AC4703" s="45"/>
    </row>
    <row r="4704" ht="18.75" customHeight="1">
      <c r="A4704" s="18" t="s">
        <v>18703</v>
      </c>
      <c r="B4704" s="19" t="s">
        <v>4206</v>
      </c>
      <c r="C4704" s="20">
        <v>0.0</v>
      </c>
      <c r="D4704" s="39" t="s">
        <v>18704</v>
      </c>
      <c r="E4704" s="27" t="s">
        <v>4430</v>
      </c>
      <c r="F4704" s="27" t="s">
        <v>48</v>
      </c>
      <c r="G4704" s="18" t="s">
        <v>35</v>
      </c>
      <c r="H4704" s="40" t="s">
        <v>35</v>
      </c>
      <c r="I4704" s="37" t="s">
        <v>36</v>
      </c>
      <c r="J4704" s="25" t="s">
        <v>92</v>
      </c>
      <c r="K4704" s="26" t="s">
        <v>38</v>
      </c>
      <c r="L4704" s="72">
        <v>13561.0</v>
      </c>
      <c r="M4704" s="49" t="s">
        <v>73</v>
      </c>
      <c r="N4704" s="42" t="s">
        <v>18705</v>
      </c>
      <c r="O4704" s="67">
        <v>45874.506093738426</v>
      </c>
      <c r="P4704" s="35" t="s">
        <v>18706</v>
      </c>
      <c r="Q4704" s="13" t="s">
        <v>75</v>
      </c>
      <c r="R4704" s="13" t="s">
        <v>75</v>
      </c>
      <c r="S4704" s="13" t="s">
        <v>73</v>
      </c>
      <c r="T4704" s="44">
        <v>45874.420970625</v>
      </c>
      <c r="U4704" s="44">
        <v>45874.4499190625</v>
      </c>
      <c r="V4704" s="44">
        <v>45874.47790778935</v>
      </c>
      <c r="W4704" s="11"/>
      <c r="X4704" s="11"/>
      <c r="Y4704" s="45">
        <v>302.0</v>
      </c>
      <c r="Z4704" s="45" t="s">
        <v>18707</v>
      </c>
      <c r="AA4704" s="31"/>
      <c r="AB4704" s="45" t="s">
        <v>18708</v>
      </c>
      <c r="AC4704" s="45"/>
    </row>
    <row r="4705" ht="18.75" customHeight="1">
      <c r="A4705" s="18" t="s">
        <v>18709</v>
      </c>
      <c r="B4705" s="19" t="s">
        <v>4206</v>
      </c>
      <c r="C4705" s="20">
        <v>90.0</v>
      </c>
      <c r="D4705" s="39" t="s">
        <v>18710</v>
      </c>
      <c r="E4705" s="27" t="s">
        <v>91</v>
      </c>
      <c r="F4705" s="27" t="s">
        <v>48</v>
      </c>
      <c r="G4705" s="18" t="s">
        <v>35</v>
      </c>
      <c r="H4705" s="40" t="s">
        <v>35</v>
      </c>
      <c r="I4705" s="37" t="s">
        <v>18148</v>
      </c>
      <c r="J4705" s="25" t="s">
        <v>92</v>
      </c>
      <c r="K4705" s="26" t="s">
        <v>38</v>
      </c>
      <c r="L4705" s="72">
        <v>13561.0</v>
      </c>
      <c r="M4705" s="49"/>
      <c r="N4705" s="42"/>
      <c r="O4705" s="68"/>
      <c r="P4705" s="35" t="s">
        <v>18706</v>
      </c>
      <c r="Q4705" s="13" t="s">
        <v>75</v>
      </c>
      <c r="R4705" s="13" t="s">
        <v>75</v>
      </c>
      <c r="S4705" s="13" t="s">
        <v>73</v>
      </c>
      <c r="T4705" s="44">
        <v>45874.421175138894</v>
      </c>
      <c r="U4705" s="44">
        <v>45874.44995311342</v>
      </c>
      <c r="V4705" s="44">
        <v>45874.47790780093</v>
      </c>
      <c r="W4705" s="11"/>
      <c r="X4705" s="11"/>
      <c r="Y4705" s="45">
        <v>302.0</v>
      </c>
      <c r="Z4705" s="45" t="s">
        <v>18711</v>
      </c>
      <c r="AA4705" s="31"/>
      <c r="AB4705" s="45" t="s">
        <v>18712</v>
      </c>
      <c r="AC4705" s="45"/>
    </row>
    <row r="4706" ht="18.75" customHeight="1">
      <c r="A4706" s="142" t="s">
        <v>18713</v>
      </c>
      <c r="B4706" s="19" t="s">
        <v>4352</v>
      </c>
      <c r="C4706" s="20">
        <v>27.0</v>
      </c>
      <c r="D4706" s="39" t="s">
        <v>18714</v>
      </c>
      <c r="E4706" s="27" t="s">
        <v>72</v>
      </c>
      <c r="F4706" s="27" t="s">
        <v>48</v>
      </c>
      <c r="G4706" s="18" t="s">
        <v>35</v>
      </c>
      <c r="H4706" s="40" t="s">
        <v>35</v>
      </c>
      <c r="I4706" s="37" t="s">
        <v>36</v>
      </c>
      <c r="J4706" s="25" t="s">
        <v>49</v>
      </c>
      <c r="K4706" s="26" t="s">
        <v>38</v>
      </c>
      <c r="L4706" s="72">
        <v>13598.0</v>
      </c>
      <c r="M4706" s="49" t="s">
        <v>73</v>
      </c>
      <c r="N4706" s="42" t="s">
        <v>17048</v>
      </c>
      <c r="O4706" s="67">
        <v>45877.536916770834</v>
      </c>
      <c r="P4706" s="35" t="s">
        <v>18715</v>
      </c>
      <c r="Q4706" s="13" t="s">
        <v>75</v>
      </c>
      <c r="R4706" s="13" t="s">
        <v>75</v>
      </c>
      <c r="S4706" s="13" t="s">
        <v>73</v>
      </c>
      <c r="T4706" s="44">
        <v>45874.42345002315</v>
      </c>
      <c r="U4706" s="44">
        <v>45877.49357709491</v>
      </c>
      <c r="V4706" s="44">
        <v>45877.5272894213</v>
      </c>
      <c r="W4706" s="11"/>
      <c r="X4706" s="11"/>
      <c r="Y4706" s="45">
        <v>302.0</v>
      </c>
      <c r="Z4706" s="45" t="s">
        <v>18716</v>
      </c>
      <c r="AA4706" s="31"/>
      <c r="AB4706" s="45" t="s">
        <v>18717</v>
      </c>
      <c r="AC4706" s="45"/>
    </row>
    <row r="4707" ht="18.75" customHeight="1">
      <c r="A4707" s="142" t="s">
        <v>18718</v>
      </c>
      <c r="B4707" s="19" t="s">
        <v>4352</v>
      </c>
      <c r="C4707" s="20">
        <v>27.0</v>
      </c>
      <c r="D4707" s="39" t="s">
        <v>18719</v>
      </c>
      <c r="E4707" s="27" t="s">
        <v>72</v>
      </c>
      <c r="F4707" s="27" t="s">
        <v>48</v>
      </c>
      <c r="G4707" s="18" t="s">
        <v>35</v>
      </c>
      <c r="H4707" s="40" t="s">
        <v>35</v>
      </c>
      <c r="I4707" s="37" t="s">
        <v>36</v>
      </c>
      <c r="J4707" s="25" t="s">
        <v>49</v>
      </c>
      <c r="K4707" s="26" t="s">
        <v>38</v>
      </c>
      <c r="L4707" s="72">
        <v>13606.0</v>
      </c>
      <c r="M4707" s="49" t="s">
        <v>50</v>
      </c>
      <c r="N4707" s="42" t="s">
        <v>5936</v>
      </c>
      <c r="O4707" s="67">
        <v>45880.58945459491</v>
      </c>
      <c r="P4707" s="35" t="s">
        <v>18715</v>
      </c>
      <c r="Q4707" s="13" t="s">
        <v>75</v>
      </c>
      <c r="R4707" s="13" t="s">
        <v>75</v>
      </c>
      <c r="S4707" s="13" t="s">
        <v>50</v>
      </c>
      <c r="T4707" s="44">
        <v>45874.42404092592</v>
      </c>
      <c r="U4707" s="44">
        <v>45877.63733591435</v>
      </c>
      <c r="V4707" s="44">
        <v>45880.35444292824</v>
      </c>
      <c r="W4707" s="11"/>
      <c r="X4707" s="11"/>
      <c r="Y4707" s="45">
        <v>302.0</v>
      </c>
      <c r="Z4707" s="45" t="s">
        <v>18720</v>
      </c>
      <c r="AA4707" s="31"/>
      <c r="AB4707" s="45" t="s">
        <v>18721</v>
      </c>
      <c r="AC4707" s="45"/>
    </row>
    <row r="4708" ht="18.75" customHeight="1">
      <c r="A4708" s="142" t="s">
        <v>18722</v>
      </c>
      <c r="B4708" s="19" t="s">
        <v>3636</v>
      </c>
      <c r="C4708" s="20">
        <v>27.0</v>
      </c>
      <c r="D4708" s="39" t="s">
        <v>18723</v>
      </c>
      <c r="E4708" s="27" t="s">
        <v>72</v>
      </c>
      <c r="F4708" s="27" t="s">
        <v>48</v>
      </c>
      <c r="G4708" s="18" t="s">
        <v>35</v>
      </c>
      <c r="H4708" s="40" t="s">
        <v>35</v>
      </c>
      <c r="I4708" s="37" t="s">
        <v>36</v>
      </c>
      <c r="J4708" s="25" t="s">
        <v>49</v>
      </c>
      <c r="K4708" s="26" t="s">
        <v>9628</v>
      </c>
      <c r="L4708" s="72">
        <v>13564.0</v>
      </c>
      <c r="M4708" s="49" t="s">
        <v>50</v>
      </c>
      <c r="N4708" s="42" t="s">
        <v>5936</v>
      </c>
      <c r="O4708" s="67">
        <v>45874.66725805556</v>
      </c>
      <c r="P4708" s="35" t="s">
        <v>15666</v>
      </c>
      <c r="Q4708" s="13" t="s">
        <v>75</v>
      </c>
      <c r="R4708" s="13" t="s">
        <v>75</v>
      </c>
      <c r="S4708" s="13" t="s">
        <v>50</v>
      </c>
      <c r="T4708" s="44">
        <v>45874.425076377316</v>
      </c>
      <c r="U4708" s="44">
        <v>45874.475934953705</v>
      </c>
      <c r="V4708" s="44">
        <v>45874.483583402776</v>
      </c>
      <c r="W4708" s="11"/>
      <c r="X4708" s="11"/>
      <c r="Y4708" s="45">
        <v>302.0</v>
      </c>
      <c r="Z4708" s="45" t="s">
        <v>18724</v>
      </c>
      <c r="AA4708" s="31"/>
      <c r="AB4708" s="45" t="s">
        <v>18725</v>
      </c>
      <c r="AC4708" s="45"/>
    </row>
    <row r="4709" ht="18.75" customHeight="1">
      <c r="A4709" s="142" t="s">
        <v>18726</v>
      </c>
      <c r="B4709" s="19" t="s">
        <v>18727</v>
      </c>
      <c r="C4709" s="20">
        <v>90.0</v>
      </c>
      <c r="D4709" s="39" t="s">
        <v>18728</v>
      </c>
      <c r="E4709" s="27" t="s">
        <v>91</v>
      </c>
      <c r="F4709" s="27" t="s">
        <v>48</v>
      </c>
      <c r="G4709" s="18" t="s">
        <v>35</v>
      </c>
      <c r="H4709" s="40" t="s">
        <v>35</v>
      </c>
      <c r="I4709" s="37" t="s">
        <v>36</v>
      </c>
      <c r="J4709" s="25" t="s">
        <v>49</v>
      </c>
      <c r="K4709" s="26" t="s">
        <v>18729</v>
      </c>
      <c r="L4709" s="72">
        <v>13572.0</v>
      </c>
      <c r="M4709" s="49" t="s">
        <v>73</v>
      </c>
      <c r="N4709" s="42" t="s">
        <v>5936</v>
      </c>
      <c r="O4709" s="67">
        <v>45875.69683085648</v>
      </c>
      <c r="P4709" s="35" t="s">
        <v>18730</v>
      </c>
      <c r="Q4709" s="13" t="s">
        <v>75</v>
      </c>
      <c r="R4709" s="13" t="s">
        <v>75</v>
      </c>
      <c r="S4709" s="13" t="s">
        <v>73</v>
      </c>
      <c r="T4709" s="44">
        <v>45874.42934844908</v>
      </c>
      <c r="U4709" s="44">
        <v>45875.504088472226</v>
      </c>
      <c r="V4709" s="44">
        <v>45875.59765002315</v>
      </c>
      <c r="W4709" s="11"/>
      <c r="X4709" s="11"/>
      <c r="Y4709" s="45">
        <v>302.0</v>
      </c>
      <c r="Z4709" s="45" t="s">
        <v>18731</v>
      </c>
      <c r="AA4709" s="31"/>
      <c r="AB4709" s="45" t="s">
        <v>18732</v>
      </c>
      <c r="AC4709" s="45"/>
    </row>
    <row r="4710" ht="18.75" customHeight="1">
      <c r="A4710" s="142" t="s">
        <v>18733</v>
      </c>
      <c r="B4710" s="19" t="s">
        <v>911</v>
      </c>
      <c r="C4710" s="20">
        <v>90.0</v>
      </c>
      <c r="D4710" s="39" t="s">
        <v>18734</v>
      </c>
      <c r="E4710" s="27" t="s">
        <v>91</v>
      </c>
      <c r="F4710" s="27" t="s">
        <v>48</v>
      </c>
      <c r="G4710" s="18" t="s">
        <v>35</v>
      </c>
      <c r="H4710" s="40" t="s">
        <v>35</v>
      </c>
      <c r="I4710" s="37" t="s">
        <v>36</v>
      </c>
      <c r="J4710" s="25" t="s">
        <v>49</v>
      </c>
      <c r="K4710" s="26" t="s">
        <v>38</v>
      </c>
      <c r="L4710" s="72">
        <v>13569.0</v>
      </c>
      <c r="M4710" s="49" t="s">
        <v>50</v>
      </c>
      <c r="N4710" s="42" t="s">
        <v>5936</v>
      </c>
      <c r="O4710" s="67">
        <v>45874.667208935185</v>
      </c>
      <c r="P4710" s="35" t="s">
        <v>18735</v>
      </c>
      <c r="Q4710" s="13" t="s">
        <v>75</v>
      </c>
      <c r="R4710" s="13" t="s">
        <v>75</v>
      </c>
      <c r="S4710" s="13" t="s">
        <v>50</v>
      </c>
      <c r="T4710" s="44">
        <v>45874.4466874537</v>
      </c>
      <c r="U4710" s="44">
        <v>45874.46950584491</v>
      </c>
      <c r="V4710" s="44">
        <v>45874.5581112963</v>
      </c>
      <c r="W4710" s="11"/>
      <c r="X4710" s="11"/>
      <c r="Y4710" s="45">
        <v>302.0</v>
      </c>
      <c r="Z4710" s="45" t="s">
        <v>18736</v>
      </c>
      <c r="AA4710" s="31"/>
      <c r="AB4710" s="45" t="s">
        <v>18737</v>
      </c>
      <c r="AC4710" s="45"/>
    </row>
    <row r="4711" ht="18.75" customHeight="1">
      <c r="A4711" s="142" t="s">
        <v>18738</v>
      </c>
      <c r="B4711" s="19" t="s">
        <v>18739</v>
      </c>
      <c r="C4711" s="20">
        <v>0.0</v>
      </c>
      <c r="D4711" s="39" t="s">
        <v>18740</v>
      </c>
      <c r="E4711" s="27" t="s">
        <v>3441</v>
      </c>
      <c r="F4711" s="27" t="s">
        <v>48</v>
      </c>
      <c r="G4711" s="18" t="s">
        <v>35</v>
      </c>
      <c r="H4711" s="40" t="s">
        <v>35</v>
      </c>
      <c r="I4711" s="37" t="s">
        <v>36</v>
      </c>
      <c r="J4711" s="25" t="s">
        <v>92</v>
      </c>
      <c r="K4711" s="26" t="s">
        <v>38</v>
      </c>
      <c r="L4711" s="34">
        <v>13565.0</v>
      </c>
      <c r="M4711" s="49" t="s">
        <v>73</v>
      </c>
      <c r="N4711" s="42" t="s">
        <v>18705</v>
      </c>
      <c r="O4711" s="67">
        <v>45874.50670575231</v>
      </c>
      <c r="P4711" s="35" t="s">
        <v>18741</v>
      </c>
      <c r="Q4711" s="13" t="s">
        <v>75</v>
      </c>
      <c r="R4711" s="13" t="s">
        <v>75</v>
      </c>
      <c r="S4711" s="13" t="s">
        <v>73</v>
      </c>
      <c r="T4711" s="44">
        <v>45874.49104577546</v>
      </c>
      <c r="U4711" s="44">
        <v>45874.50022402778</v>
      </c>
      <c r="V4711" s="44">
        <v>45874.50125717593</v>
      </c>
      <c r="W4711" s="11"/>
      <c r="X4711" s="11"/>
      <c r="Y4711" s="45">
        <v>302.0</v>
      </c>
      <c r="Z4711" s="45" t="s">
        <v>18742</v>
      </c>
      <c r="AA4711" s="31"/>
      <c r="AB4711" s="45" t="s">
        <v>18743</v>
      </c>
      <c r="AC4711" s="45"/>
    </row>
    <row r="4712" ht="18.75" customHeight="1">
      <c r="A4712" s="142" t="s">
        <v>18744</v>
      </c>
      <c r="B4712" s="19" t="s">
        <v>16682</v>
      </c>
      <c r="C4712" s="20">
        <v>1.0</v>
      </c>
      <c r="D4712" s="39" t="s">
        <v>18745</v>
      </c>
      <c r="E4712" s="27" t="s">
        <v>3395</v>
      </c>
      <c r="F4712" s="27" t="s">
        <v>48</v>
      </c>
      <c r="G4712" s="18" t="s">
        <v>35</v>
      </c>
      <c r="H4712" s="40" t="s">
        <v>35</v>
      </c>
      <c r="I4712" s="37" t="s">
        <v>36</v>
      </c>
      <c r="J4712" s="25" t="s">
        <v>49</v>
      </c>
      <c r="K4712" s="26" t="s">
        <v>38</v>
      </c>
      <c r="L4712" s="72">
        <v>13573.0</v>
      </c>
      <c r="M4712" s="49" t="s">
        <v>73</v>
      </c>
      <c r="N4712" s="42" t="s">
        <v>5936</v>
      </c>
      <c r="O4712" s="67">
        <v>45875.69678269676</v>
      </c>
      <c r="P4712" s="35" t="s">
        <v>15666</v>
      </c>
      <c r="Q4712" s="13" t="s">
        <v>75</v>
      </c>
      <c r="R4712" s="13" t="s">
        <v>75</v>
      </c>
      <c r="S4712" s="13" t="s">
        <v>73</v>
      </c>
      <c r="T4712" s="44">
        <v>45875.48200872685</v>
      </c>
      <c r="U4712" s="44">
        <v>45875.48518664352</v>
      </c>
      <c r="V4712" s="44">
        <v>45875.601320648144</v>
      </c>
      <c r="W4712" s="11"/>
      <c r="X4712" s="11"/>
      <c r="Y4712" s="45">
        <v>302.0</v>
      </c>
      <c r="Z4712" s="45" t="s">
        <v>18746</v>
      </c>
      <c r="AA4712" s="31"/>
      <c r="AB4712" s="45" t="s">
        <v>18747</v>
      </c>
      <c r="AC4712" s="45"/>
    </row>
    <row r="4713" ht="18.75" customHeight="1">
      <c r="A4713" s="142" t="s">
        <v>18748</v>
      </c>
      <c r="B4713" s="19" t="s">
        <v>6153</v>
      </c>
      <c r="C4713" s="20">
        <v>11.0</v>
      </c>
      <c r="D4713" s="39" t="s">
        <v>18749</v>
      </c>
      <c r="E4713" s="27" t="s">
        <v>112</v>
      </c>
      <c r="F4713" s="27" t="s">
        <v>48</v>
      </c>
      <c r="G4713" s="18" t="s">
        <v>35</v>
      </c>
      <c r="H4713" s="40" t="s">
        <v>35</v>
      </c>
      <c r="I4713" s="37" t="s">
        <v>36</v>
      </c>
      <c r="J4713" s="25" t="s">
        <v>65</v>
      </c>
      <c r="K4713" s="26" t="s">
        <v>38</v>
      </c>
      <c r="L4713" s="72">
        <v>13577.0</v>
      </c>
      <c r="M4713" s="49" t="s">
        <v>73</v>
      </c>
      <c r="N4713" s="42" t="s">
        <v>16408</v>
      </c>
      <c r="O4713" s="67">
        <v>45875.69632386574</v>
      </c>
      <c r="P4713" s="35" t="s">
        <v>18750</v>
      </c>
      <c r="Q4713" s="13" t="s">
        <v>75</v>
      </c>
      <c r="R4713" s="13" t="s">
        <v>75</v>
      </c>
      <c r="S4713" s="13" t="s">
        <v>73</v>
      </c>
      <c r="T4713" s="44">
        <v>45875.48243092593</v>
      </c>
      <c r="U4713" s="44">
        <v>45875.56666881945</v>
      </c>
      <c r="V4713" s="44">
        <v>45875.60147365741</v>
      </c>
      <c r="W4713" s="11"/>
      <c r="X4713" s="11"/>
      <c r="Y4713" s="45">
        <v>302.0</v>
      </c>
      <c r="Z4713" s="45" t="s">
        <v>18751</v>
      </c>
      <c r="AA4713" s="31"/>
      <c r="AB4713" s="45" t="s">
        <v>18752</v>
      </c>
      <c r="AC4713" s="45"/>
    </row>
    <row r="4714" ht="18.75" customHeight="1">
      <c r="A4714" s="18" t="s">
        <v>18753</v>
      </c>
      <c r="B4714" s="19" t="s">
        <v>8071</v>
      </c>
      <c r="C4714" s="20">
        <v>90.0</v>
      </c>
      <c r="D4714" s="39" t="s">
        <v>18754</v>
      </c>
      <c r="E4714" s="27" t="s">
        <v>91</v>
      </c>
      <c r="F4714" s="27" t="s">
        <v>48</v>
      </c>
      <c r="G4714" s="18" t="s">
        <v>35</v>
      </c>
      <c r="H4714" s="40" t="s">
        <v>35</v>
      </c>
      <c r="I4714" s="37" t="s">
        <v>36</v>
      </c>
      <c r="J4714" s="25" t="s">
        <v>49</v>
      </c>
      <c r="K4714" s="26" t="s">
        <v>38</v>
      </c>
      <c r="L4714" s="72">
        <v>13585.0</v>
      </c>
      <c r="M4714" s="49" t="s">
        <v>73</v>
      </c>
      <c r="N4714" s="42" t="s">
        <v>5936</v>
      </c>
      <c r="O4714" s="67">
        <v>45876.697556388885</v>
      </c>
      <c r="P4714" s="35" t="s">
        <v>18755</v>
      </c>
      <c r="Q4714" s="13" t="s">
        <v>75</v>
      </c>
      <c r="R4714" s="13" t="s">
        <v>75</v>
      </c>
      <c r="S4714" s="13" t="s">
        <v>73</v>
      </c>
      <c r="T4714" s="44">
        <v>45875.48340752315</v>
      </c>
      <c r="U4714" s="44">
        <v>45875.70554502315</v>
      </c>
      <c r="V4714" s="44">
        <v>45876.42502964121</v>
      </c>
      <c r="W4714" s="11"/>
      <c r="X4714" s="11"/>
      <c r="Y4714" s="45">
        <v>302.0</v>
      </c>
      <c r="Z4714" s="45" t="s">
        <v>18756</v>
      </c>
      <c r="AA4714" s="31"/>
      <c r="AB4714" s="45" t="s">
        <v>18757</v>
      </c>
      <c r="AC4714" s="45"/>
    </row>
    <row r="4715" ht="18.75" customHeight="1">
      <c r="A4715" s="18" t="s">
        <v>18758</v>
      </c>
      <c r="B4715" s="19" t="s">
        <v>8071</v>
      </c>
      <c r="C4715" s="20">
        <v>137.0</v>
      </c>
      <c r="D4715" s="39" t="s">
        <v>18759</v>
      </c>
      <c r="E4715" s="27" t="s">
        <v>85</v>
      </c>
      <c r="F4715" s="27" t="s">
        <v>48</v>
      </c>
      <c r="G4715" s="18" t="s">
        <v>35</v>
      </c>
      <c r="H4715" s="40" t="s">
        <v>35</v>
      </c>
      <c r="I4715" s="37" t="s">
        <v>36</v>
      </c>
      <c r="J4715" s="25" t="s">
        <v>49</v>
      </c>
      <c r="K4715" s="26" t="s">
        <v>38</v>
      </c>
      <c r="L4715" s="72">
        <v>13585.0</v>
      </c>
      <c r="M4715" s="49" t="s">
        <v>73</v>
      </c>
      <c r="N4715" s="42" t="s">
        <v>5936</v>
      </c>
      <c r="O4715" s="67">
        <v>45876.697509537036</v>
      </c>
      <c r="P4715" s="35" t="s">
        <v>18755</v>
      </c>
      <c r="Q4715" s="13" t="s">
        <v>75</v>
      </c>
      <c r="R4715" s="13" t="s">
        <v>75</v>
      </c>
      <c r="S4715" s="13" t="s">
        <v>73</v>
      </c>
      <c r="T4715" s="44">
        <v>45875.483618796294</v>
      </c>
      <c r="U4715" s="44">
        <v>45875.705572430554</v>
      </c>
      <c r="V4715" s="44">
        <v>45876.42508224537</v>
      </c>
      <c r="W4715" s="11"/>
      <c r="X4715" s="11"/>
      <c r="Y4715" s="45">
        <v>302.0</v>
      </c>
      <c r="Z4715" s="45" t="s">
        <v>18760</v>
      </c>
      <c r="AA4715" s="31"/>
      <c r="AB4715" s="45" t="s">
        <v>18761</v>
      </c>
      <c r="AC4715" s="45"/>
    </row>
    <row r="4716" ht="18.75" customHeight="1">
      <c r="A4716" s="142" t="s">
        <v>18762</v>
      </c>
      <c r="B4716" s="19" t="s">
        <v>4901</v>
      </c>
      <c r="C4716" s="20">
        <v>90.0</v>
      </c>
      <c r="D4716" s="39" t="s">
        <v>18763</v>
      </c>
      <c r="E4716" s="27" t="s">
        <v>91</v>
      </c>
      <c r="F4716" s="27" t="s">
        <v>48</v>
      </c>
      <c r="G4716" s="18" t="s">
        <v>35</v>
      </c>
      <c r="H4716" s="40" t="s">
        <v>35</v>
      </c>
      <c r="I4716" s="37" t="s">
        <v>36</v>
      </c>
      <c r="J4716" s="25" t="s">
        <v>49</v>
      </c>
      <c r="K4716" s="26" t="s">
        <v>518</v>
      </c>
      <c r="L4716" s="72">
        <v>13574.0</v>
      </c>
      <c r="M4716" s="49" t="s">
        <v>73</v>
      </c>
      <c r="N4716" s="42" t="s">
        <v>5936</v>
      </c>
      <c r="O4716" s="67">
        <v>45875.696727939816</v>
      </c>
      <c r="P4716" s="35" t="s">
        <v>18764</v>
      </c>
      <c r="Q4716" s="13" t="s">
        <v>75</v>
      </c>
      <c r="R4716" s="13" t="s">
        <v>75</v>
      </c>
      <c r="S4716" s="13" t="s">
        <v>73</v>
      </c>
      <c r="T4716" s="44">
        <v>45875.48422878472</v>
      </c>
      <c r="U4716" s="44">
        <v>45875.566396168986</v>
      </c>
      <c r="V4716" s="44">
        <v>45875.59765003472</v>
      </c>
      <c r="W4716" s="11"/>
      <c r="X4716" s="11"/>
      <c r="Y4716" s="45">
        <v>302.0</v>
      </c>
      <c r="Z4716" s="45" t="s">
        <v>18765</v>
      </c>
      <c r="AA4716" s="31"/>
      <c r="AB4716" s="45" t="s">
        <v>18766</v>
      </c>
      <c r="AC4716" s="45"/>
    </row>
    <row r="4717" ht="18.75" customHeight="1">
      <c r="A4717" s="142" t="s">
        <v>18767</v>
      </c>
      <c r="B4717" s="19" t="s">
        <v>4352</v>
      </c>
      <c r="C4717" s="20">
        <v>11.0</v>
      </c>
      <c r="D4717" s="39" t="s">
        <v>18768</v>
      </c>
      <c r="E4717" s="27" t="s">
        <v>112</v>
      </c>
      <c r="F4717" s="27" t="s">
        <v>48</v>
      </c>
      <c r="G4717" s="18" t="s">
        <v>35</v>
      </c>
      <c r="H4717" s="40" t="s">
        <v>35</v>
      </c>
      <c r="I4717" s="37" t="s">
        <v>36</v>
      </c>
      <c r="J4717" s="25" t="s">
        <v>49</v>
      </c>
      <c r="K4717" s="26" t="s">
        <v>38</v>
      </c>
      <c r="L4717" s="72">
        <v>13607.0</v>
      </c>
      <c r="M4717" s="49" t="s">
        <v>50</v>
      </c>
      <c r="N4717" s="42" t="s">
        <v>5936</v>
      </c>
      <c r="O4717" s="67">
        <v>45880.58951269676</v>
      </c>
      <c r="P4717" s="35" t="s">
        <v>18769</v>
      </c>
      <c r="Q4717" s="13" t="s">
        <v>75</v>
      </c>
      <c r="R4717" s="13" t="s">
        <v>75</v>
      </c>
      <c r="S4717" s="13" t="s">
        <v>50</v>
      </c>
      <c r="T4717" s="44">
        <v>45875.4847062037</v>
      </c>
      <c r="U4717" s="44">
        <v>45877.63593777778</v>
      </c>
      <c r="V4717" s="44">
        <v>45880.35444292824</v>
      </c>
      <c r="W4717" s="11"/>
      <c r="X4717" s="11"/>
      <c r="Y4717" s="45">
        <v>302.0</v>
      </c>
      <c r="Z4717" s="45" t="s">
        <v>18770</v>
      </c>
      <c r="AA4717" s="31"/>
      <c r="AB4717" s="45" t="s">
        <v>18771</v>
      </c>
      <c r="AC4717" s="45"/>
    </row>
    <row r="4718" ht="18.75" customHeight="1">
      <c r="A4718" s="142" t="s">
        <v>18772</v>
      </c>
      <c r="B4718" s="19" t="s">
        <v>16682</v>
      </c>
      <c r="C4718" s="20">
        <v>1.0</v>
      </c>
      <c r="D4718" s="39" t="s">
        <v>18773</v>
      </c>
      <c r="E4718" s="27" t="s">
        <v>3395</v>
      </c>
      <c r="F4718" s="27" t="s">
        <v>48</v>
      </c>
      <c r="G4718" s="18" t="s">
        <v>35</v>
      </c>
      <c r="H4718" s="40" t="s">
        <v>35</v>
      </c>
      <c r="I4718" s="37" t="s">
        <v>36</v>
      </c>
      <c r="J4718" s="25" t="s">
        <v>49</v>
      </c>
      <c r="K4718" s="26" t="s">
        <v>38</v>
      </c>
      <c r="L4718" s="72">
        <v>13578.0</v>
      </c>
      <c r="M4718" s="49" t="s">
        <v>73</v>
      </c>
      <c r="N4718" s="42" t="s">
        <v>5936</v>
      </c>
      <c r="O4718" s="67">
        <v>45875.6966696875</v>
      </c>
      <c r="P4718" s="35" t="s">
        <v>18774</v>
      </c>
      <c r="Q4718" s="13" t="s">
        <v>75</v>
      </c>
      <c r="R4718" s="13" t="s">
        <v>75</v>
      </c>
      <c r="S4718" s="13" t="s">
        <v>73</v>
      </c>
      <c r="T4718" s="44">
        <v>45875.49381321759</v>
      </c>
      <c r="U4718" s="44">
        <v>45875.66340259259</v>
      </c>
      <c r="V4718" s="44">
        <v>45875.66707215278</v>
      </c>
      <c r="W4718" s="11"/>
      <c r="X4718" s="11"/>
      <c r="Y4718" s="45">
        <v>302.0</v>
      </c>
      <c r="Z4718" s="45" t="s">
        <v>18775</v>
      </c>
      <c r="AA4718" s="31"/>
      <c r="AB4718" s="45" t="s">
        <v>18776</v>
      </c>
      <c r="AC4718" s="45"/>
    </row>
    <row r="4719" ht="18.75" customHeight="1">
      <c r="A4719" s="18" t="s">
        <v>18777</v>
      </c>
      <c r="B4719" s="19" t="s">
        <v>18778</v>
      </c>
      <c r="C4719" s="20">
        <v>90.0</v>
      </c>
      <c r="D4719" s="39" t="s">
        <v>18779</v>
      </c>
      <c r="E4719" s="27" t="s">
        <v>91</v>
      </c>
      <c r="F4719" s="27" t="s">
        <v>48</v>
      </c>
      <c r="G4719" s="18" t="s">
        <v>35</v>
      </c>
      <c r="H4719" s="40" t="s">
        <v>35</v>
      </c>
      <c r="I4719" s="37" t="s">
        <v>36</v>
      </c>
      <c r="J4719" s="25" t="s">
        <v>49</v>
      </c>
      <c r="K4719" s="26" t="s">
        <v>38</v>
      </c>
      <c r="L4719" s="72">
        <v>13575.0</v>
      </c>
      <c r="M4719" s="49" t="s">
        <v>73</v>
      </c>
      <c r="N4719" s="42" t="s">
        <v>5936</v>
      </c>
      <c r="O4719" s="67">
        <v>45875.69657398148</v>
      </c>
      <c r="P4719" s="35" t="s">
        <v>18780</v>
      </c>
      <c r="Q4719" s="13" t="s">
        <v>75</v>
      </c>
      <c r="R4719" s="13" t="s">
        <v>75</v>
      </c>
      <c r="S4719" s="13" t="s">
        <v>73</v>
      </c>
      <c r="T4719" s="44">
        <v>45875.494367962965</v>
      </c>
      <c r="U4719" s="44">
        <v>45875.57017141204</v>
      </c>
      <c r="V4719" s="44">
        <v>45875.59765003472</v>
      </c>
      <c r="W4719" s="11"/>
      <c r="X4719" s="11"/>
      <c r="Y4719" s="45">
        <v>302.0</v>
      </c>
      <c r="Z4719" s="45" t="s">
        <v>18781</v>
      </c>
      <c r="AA4719" s="31"/>
      <c r="AB4719" s="45" t="s">
        <v>18782</v>
      </c>
      <c r="AC4719" s="45"/>
    </row>
    <row r="4720" ht="18.75" customHeight="1">
      <c r="A4720" s="18" t="s">
        <v>18783</v>
      </c>
      <c r="B4720" s="19" t="s">
        <v>18778</v>
      </c>
      <c r="C4720" s="20">
        <v>90.0</v>
      </c>
      <c r="D4720" s="39" t="s">
        <v>18784</v>
      </c>
      <c r="E4720" s="27" t="s">
        <v>91</v>
      </c>
      <c r="F4720" s="27" t="s">
        <v>48</v>
      </c>
      <c r="G4720" s="18" t="s">
        <v>35</v>
      </c>
      <c r="H4720" s="40" t="s">
        <v>35</v>
      </c>
      <c r="I4720" s="37" t="s">
        <v>36</v>
      </c>
      <c r="J4720" s="25" t="s">
        <v>49</v>
      </c>
      <c r="K4720" s="26" t="s">
        <v>38</v>
      </c>
      <c r="L4720" s="72">
        <v>13575.0</v>
      </c>
      <c r="M4720" s="49" t="s">
        <v>73</v>
      </c>
      <c r="N4720" s="42" t="s">
        <v>5936</v>
      </c>
      <c r="O4720" s="67">
        <v>45875.69662299768</v>
      </c>
      <c r="P4720" s="35" t="s">
        <v>18780</v>
      </c>
      <c r="Q4720" s="13" t="s">
        <v>75</v>
      </c>
      <c r="R4720" s="13" t="s">
        <v>75</v>
      </c>
      <c r="S4720" s="13" t="s">
        <v>73</v>
      </c>
      <c r="T4720" s="44">
        <v>45875.49444925926</v>
      </c>
      <c r="U4720" s="44">
        <v>45875.57010106482</v>
      </c>
      <c r="V4720" s="44">
        <v>45875.59765003472</v>
      </c>
      <c r="W4720" s="11"/>
      <c r="X4720" s="11"/>
      <c r="Y4720" s="45">
        <v>302.0</v>
      </c>
      <c r="Z4720" s="45" t="s">
        <v>18785</v>
      </c>
      <c r="AA4720" s="31"/>
      <c r="AB4720" s="45" t="s">
        <v>18786</v>
      </c>
      <c r="AC4720" s="45"/>
    </row>
    <row r="4721" ht="18.75" customHeight="1">
      <c r="A4721" s="18" t="s">
        <v>18787</v>
      </c>
      <c r="B4721" s="19" t="s">
        <v>18778</v>
      </c>
      <c r="C4721" s="20">
        <v>27.0</v>
      </c>
      <c r="D4721" s="39" t="s">
        <v>18788</v>
      </c>
      <c r="E4721" s="27" t="s">
        <v>72</v>
      </c>
      <c r="F4721" s="27" t="s">
        <v>48</v>
      </c>
      <c r="G4721" s="18" t="s">
        <v>35</v>
      </c>
      <c r="H4721" s="40" t="s">
        <v>35</v>
      </c>
      <c r="I4721" s="37" t="s">
        <v>36</v>
      </c>
      <c r="J4721" s="25" t="s">
        <v>49</v>
      </c>
      <c r="K4721" s="26" t="s">
        <v>38</v>
      </c>
      <c r="L4721" s="72">
        <v>13575.0</v>
      </c>
      <c r="M4721" s="49" t="s">
        <v>73</v>
      </c>
      <c r="N4721" s="42" t="s">
        <v>5936</v>
      </c>
      <c r="O4721" s="67">
        <v>45875.6964065162</v>
      </c>
      <c r="P4721" s="35" t="s">
        <v>18780</v>
      </c>
      <c r="Q4721" s="13" t="s">
        <v>75</v>
      </c>
      <c r="R4721" s="13" t="s">
        <v>75</v>
      </c>
      <c r="S4721" s="13" t="s">
        <v>73</v>
      </c>
      <c r="T4721" s="44">
        <v>45875.4947947801</v>
      </c>
      <c r="U4721" s="44">
        <v>45875.5702009838</v>
      </c>
      <c r="V4721" s="44">
        <v>45875.60132065973</v>
      </c>
      <c r="W4721" s="11"/>
      <c r="X4721" s="11"/>
      <c r="Y4721" s="45">
        <v>302.0</v>
      </c>
      <c r="Z4721" s="45" t="s">
        <v>18789</v>
      </c>
      <c r="AA4721" s="31"/>
      <c r="AB4721" s="45" t="s">
        <v>18790</v>
      </c>
      <c r="AC4721" s="45"/>
    </row>
    <row r="4722" ht="18.75" customHeight="1">
      <c r="A4722" s="18" t="s">
        <v>18791</v>
      </c>
      <c r="B4722" s="19" t="s">
        <v>18792</v>
      </c>
      <c r="C4722" s="20">
        <v>1.0</v>
      </c>
      <c r="D4722" s="39" t="s">
        <v>18793</v>
      </c>
      <c r="E4722" s="27" t="s">
        <v>3395</v>
      </c>
      <c r="F4722" s="27" t="s">
        <v>48</v>
      </c>
      <c r="G4722" s="18" t="s">
        <v>35</v>
      </c>
      <c r="H4722" s="40" t="s">
        <v>35</v>
      </c>
      <c r="I4722" s="37" t="s">
        <v>36</v>
      </c>
      <c r="J4722" s="25" t="s">
        <v>18794</v>
      </c>
      <c r="K4722" s="26" t="s">
        <v>38</v>
      </c>
      <c r="L4722" s="72">
        <v>13601.0</v>
      </c>
      <c r="M4722" s="49" t="s">
        <v>73</v>
      </c>
      <c r="N4722" s="42" t="s">
        <v>18795</v>
      </c>
      <c r="O4722" s="67">
        <v>45881.685023032405</v>
      </c>
      <c r="P4722" s="35" t="s">
        <v>15714</v>
      </c>
      <c r="Q4722" s="13" t="s">
        <v>75</v>
      </c>
      <c r="R4722" s="13" t="s">
        <v>75</v>
      </c>
      <c r="S4722" s="13" t="s">
        <v>73</v>
      </c>
      <c r="T4722" s="44">
        <v>45877.49734041667</v>
      </c>
      <c r="U4722" s="44">
        <v>45877.49755729167</v>
      </c>
      <c r="V4722" s="44">
        <v>45877.54870125</v>
      </c>
      <c r="W4722" s="11"/>
      <c r="X4722" s="11"/>
      <c r="Y4722" s="45">
        <v>302.0</v>
      </c>
      <c r="Z4722" s="45" t="s">
        <v>18796</v>
      </c>
      <c r="AA4722" s="31"/>
      <c r="AB4722" s="45" t="s">
        <v>18797</v>
      </c>
      <c r="AC4722" s="45"/>
    </row>
    <row r="4723" ht="18.75" customHeight="1">
      <c r="A4723" s="18" t="s">
        <v>18798</v>
      </c>
      <c r="B4723" s="19" t="s">
        <v>18792</v>
      </c>
      <c r="C4723" s="20">
        <v>1.0</v>
      </c>
      <c r="D4723" s="39" t="s">
        <v>18799</v>
      </c>
      <c r="E4723" s="27" t="s">
        <v>3395</v>
      </c>
      <c r="F4723" s="27" t="s">
        <v>48</v>
      </c>
      <c r="G4723" s="18" t="s">
        <v>35</v>
      </c>
      <c r="H4723" s="40" t="s">
        <v>35</v>
      </c>
      <c r="I4723" s="37" t="s">
        <v>36</v>
      </c>
      <c r="J4723" s="25" t="s">
        <v>18794</v>
      </c>
      <c r="K4723" s="26" t="s">
        <v>38</v>
      </c>
      <c r="L4723" s="72">
        <v>13601.0</v>
      </c>
      <c r="M4723" s="49" t="s">
        <v>73</v>
      </c>
      <c r="N4723" s="42" t="s">
        <v>18795</v>
      </c>
      <c r="O4723" s="67">
        <v>45881.685085543984</v>
      </c>
      <c r="P4723" s="35" t="s">
        <v>15714</v>
      </c>
      <c r="Q4723" s="13" t="s">
        <v>75</v>
      </c>
      <c r="R4723" s="13" t="s">
        <v>75</v>
      </c>
      <c r="S4723" s="13" t="s">
        <v>73</v>
      </c>
      <c r="T4723" s="44">
        <v>45877.49740457176</v>
      </c>
      <c r="U4723" s="44">
        <v>45877.49758635416</v>
      </c>
      <c r="V4723" s="44">
        <v>45877.54870126158</v>
      </c>
      <c r="W4723" s="11"/>
      <c r="X4723" s="11"/>
      <c r="Y4723" s="45">
        <v>302.0</v>
      </c>
      <c r="Z4723" s="45" t="s">
        <v>18800</v>
      </c>
      <c r="AA4723" s="31"/>
      <c r="AB4723" s="45" t="s">
        <v>18801</v>
      </c>
      <c r="AC4723" s="45"/>
    </row>
    <row r="4724" ht="18.75" customHeight="1">
      <c r="A4724" s="18" t="s">
        <v>18802</v>
      </c>
      <c r="B4724" s="19" t="s">
        <v>18792</v>
      </c>
      <c r="C4724" s="20">
        <v>1.0</v>
      </c>
      <c r="D4724" s="39" t="s">
        <v>18803</v>
      </c>
      <c r="E4724" s="27" t="s">
        <v>3395</v>
      </c>
      <c r="F4724" s="27" t="s">
        <v>48</v>
      </c>
      <c r="G4724" s="18" t="s">
        <v>35</v>
      </c>
      <c r="H4724" s="40" t="s">
        <v>35</v>
      </c>
      <c r="I4724" s="37" t="s">
        <v>36</v>
      </c>
      <c r="J4724" s="25" t="s">
        <v>18794</v>
      </c>
      <c r="K4724" s="26" t="s">
        <v>38</v>
      </c>
      <c r="L4724" s="72">
        <v>13601.0</v>
      </c>
      <c r="M4724" s="49" t="s">
        <v>73</v>
      </c>
      <c r="N4724" s="42" t="s">
        <v>18795</v>
      </c>
      <c r="O4724" s="67">
        <v>45881.68514297454</v>
      </c>
      <c r="P4724" s="35" t="s">
        <v>15714</v>
      </c>
      <c r="Q4724" s="13" t="s">
        <v>75</v>
      </c>
      <c r="R4724" s="13" t="s">
        <v>75</v>
      </c>
      <c r="S4724" s="13" t="s">
        <v>73</v>
      </c>
      <c r="T4724" s="44">
        <v>45877.4974643287</v>
      </c>
      <c r="U4724" s="44">
        <v>45877.49760872685</v>
      </c>
      <c r="V4724" s="44">
        <v>45877.54870126158</v>
      </c>
      <c r="W4724" s="11"/>
      <c r="X4724" s="11"/>
      <c r="Y4724" s="45">
        <v>302.0</v>
      </c>
      <c r="Z4724" s="45" t="s">
        <v>18804</v>
      </c>
      <c r="AA4724" s="31"/>
      <c r="AB4724" s="45" t="s">
        <v>18805</v>
      </c>
      <c r="AC4724" s="45"/>
    </row>
    <row r="4725" ht="18.75" customHeight="1">
      <c r="A4725" s="18" t="s">
        <v>18806</v>
      </c>
      <c r="B4725" s="19" t="s">
        <v>18792</v>
      </c>
      <c r="C4725" s="20">
        <v>1.0</v>
      </c>
      <c r="D4725" s="39" t="s">
        <v>18807</v>
      </c>
      <c r="E4725" s="27" t="s">
        <v>3395</v>
      </c>
      <c r="F4725" s="27" t="s">
        <v>48</v>
      </c>
      <c r="G4725" s="18" t="s">
        <v>35</v>
      </c>
      <c r="H4725" s="40" t="s">
        <v>35</v>
      </c>
      <c r="I4725" s="37" t="s">
        <v>36</v>
      </c>
      <c r="J4725" s="25" t="s">
        <v>18794</v>
      </c>
      <c r="K4725" s="26" t="s">
        <v>38</v>
      </c>
      <c r="L4725" s="72">
        <v>13601.0</v>
      </c>
      <c r="M4725" s="49" t="s">
        <v>73</v>
      </c>
      <c r="N4725" s="42" t="s">
        <v>18795</v>
      </c>
      <c r="O4725" s="67">
        <v>45881.68553510417</v>
      </c>
      <c r="P4725" s="35" t="s">
        <v>15714</v>
      </c>
      <c r="Q4725" s="13" t="s">
        <v>75</v>
      </c>
      <c r="R4725" s="13" t="s">
        <v>75</v>
      </c>
      <c r="S4725" s="13" t="s">
        <v>73</v>
      </c>
      <c r="T4725" s="44">
        <v>45877.49752763889</v>
      </c>
      <c r="U4725" s="44">
        <v>45877.4976341088</v>
      </c>
      <c r="V4725" s="44">
        <v>45877.548662534726</v>
      </c>
      <c r="W4725" s="11"/>
      <c r="X4725" s="11"/>
      <c r="Y4725" s="45">
        <v>302.0</v>
      </c>
      <c r="Z4725" s="45" t="s">
        <v>18808</v>
      </c>
      <c r="AA4725" s="31"/>
      <c r="AB4725" s="45" t="s">
        <v>18809</v>
      </c>
      <c r="AC4725" s="45"/>
    </row>
    <row r="4726" ht="18.75" customHeight="1">
      <c r="A4726" s="142" t="s">
        <v>18810</v>
      </c>
      <c r="B4726" s="19" t="s">
        <v>4681</v>
      </c>
      <c r="C4726" s="20">
        <v>27.0</v>
      </c>
      <c r="D4726" s="39" t="s">
        <v>18811</v>
      </c>
      <c r="E4726" s="27" t="s">
        <v>72</v>
      </c>
      <c r="F4726" s="27" t="s">
        <v>48</v>
      </c>
      <c r="G4726" s="18" t="s">
        <v>35</v>
      </c>
      <c r="H4726" s="40" t="s">
        <v>35</v>
      </c>
      <c r="I4726" s="37" t="s">
        <v>36</v>
      </c>
      <c r="J4726" s="25" t="s">
        <v>15990</v>
      </c>
      <c r="K4726" s="26" t="s">
        <v>38</v>
      </c>
      <c r="L4726" s="72">
        <v>13593.0</v>
      </c>
      <c r="M4726" s="49" t="s">
        <v>15811</v>
      </c>
      <c r="N4726" s="42"/>
      <c r="O4726" s="67">
        <v>45876.7010503125</v>
      </c>
      <c r="P4726" s="35" t="s">
        <v>17027</v>
      </c>
      <c r="Q4726" s="13" t="s">
        <v>75</v>
      </c>
      <c r="R4726" s="13" t="s">
        <v>75</v>
      </c>
      <c r="S4726" s="13" t="s">
        <v>75</v>
      </c>
      <c r="T4726" s="44">
        <v>45876.583623680555</v>
      </c>
      <c r="U4726" s="44">
        <v>45876.7010503125</v>
      </c>
      <c r="V4726" s="44">
        <v>45876.7010503125</v>
      </c>
      <c r="W4726" s="11"/>
      <c r="X4726" s="11"/>
      <c r="Y4726" s="45"/>
      <c r="Z4726" s="45"/>
      <c r="AA4726" s="31"/>
      <c r="AB4726" s="45" t="s">
        <v>18812</v>
      </c>
      <c r="AC4726" s="45"/>
    </row>
    <row r="4727" ht="18.75" customHeight="1">
      <c r="A4727" s="18" t="s">
        <v>18813</v>
      </c>
      <c r="B4727" s="19" t="s">
        <v>4293</v>
      </c>
      <c r="C4727" s="20">
        <v>90.0</v>
      </c>
      <c r="D4727" s="39" t="s">
        <v>18814</v>
      </c>
      <c r="E4727" s="27" t="s">
        <v>91</v>
      </c>
      <c r="F4727" s="27" t="s">
        <v>48</v>
      </c>
      <c r="G4727" s="18" t="s">
        <v>35</v>
      </c>
      <c r="H4727" s="40" t="s">
        <v>35</v>
      </c>
      <c r="I4727" s="37" t="s">
        <v>36</v>
      </c>
      <c r="J4727" s="25" t="s">
        <v>65</v>
      </c>
      <c r="K4727" s="26" t="s">
        <v>38</v>
      </c>
      <c r="L4727" s="72">
        <v>13613.0</v>
      </c>
      <c r="M4727" s="49" t="s">
        <v>73</v>
      </c>
      <c r="N4727" s="42" t="s">
        <v>16408</v>
      </c>
      <c r="O4727" s="67">
        <v>45881.68218483796</v>
      </c>
      <c r="P4727" s="35" t="s">
        <v>15829</v>
      </c>
      <c r="Q4727" s="13" t="s">
        <v>75</v>
      </c>
      <c r="R4727" s="13" t="s">
        <v>75</v>
      </c>
      <c r="S4727" s="13" t="s">
        <v>73</v>
      </c>
      <c r="T4727" s="44">
        <v>45880.67772953704</v>
      </c>
      <c r="U4727" s="44">
        <v>45880.67796641204</v>
      </c>
      <c r="V4727" s="44">
        <v>45881.54543938657</v>
      </c>
      <c r="W4727" s="11"/>
      <c r="X4727" s="11"/>
      <c r="Y4727" s="45">
        <v>302.0</v>
      </c>
      <c r="Z4727" s="45" t="s">
        <v>18815</v>
      </c>
      <c r="AA4727" s="31"/>
      <c r="AB4727" s="45" t="s">
        <v>18816</v>
      </c>
      <c r="AC4727" s="45"/>
    </row>
    <row r="4728" ht="18.75" customHeight="1">
      <c r="A4728" s="18" t="s">
        <v>18817</v>
      </c>
      <c r="B4728" s="19" t="s">
        <v>4293</v>
      </c>
      <c r="C4728" s="20">
        <v>34.0</v>
      </c>
      <c r="D4728" s="39" t="s">
        <v>18818</v>
      </c>
      <c r="E4728" s="27" t="s">
        <v>47</v>
      </c>
      <c r="F4728" s="27" t="s">
        <v>48</v>
      </c>
      <c r="G4728" s="18" t="s">
        <v>35</v>
      </c>
      <c r="H4728" s="40" t="s">
        <v>35</v>
      </c>
      <c r="I4728" s="37" t="s">
        <v>36</v>
      </c>
      <c r="J4728" s="25" t="s">
        <v>65</v>
      </c>
      <c r="K4728" s="26" t="s">
        <v>38</v>
      </c>
      <c r="L4728" s="72">
        <v>13613.0</v>
      </c>
      <c r="M4728" s="49" t="s">
        <v>73</v>
      </c>
      <c r="N4728" s="42" t="s">
        <v>16408</v>
      </c>
      <c r="O4728" s="67">
        <v>45881.6822646875</v>
      </c>
      <c r="P4728" s="35" t="s">
        <v>15829</v>
      </c>
      <c r="Q4728" s="13" t="s">
        <v>75</v>
      </c>
      <c r="R4728" s="13" t="s">
        <v>75</v>
      </c>
      <c r="S4728" s="13" t="s">
        <v>73</v>
      </c>
      <c r="T4728" s="44">
        <v>45876.58500482639</v>
      </c>
      <c r="U4728" s="44">
        <v>45880.677473483796</v>
      </c>
      <c r="V4728" s="44">
        <v>45881.54549596064</v>
      </c>
      <c r="W4728" s="11"/>
      <c r="X4728" s="11"/>
      <c r="Y4728" s="45">
        <v>302.0</v>
      </c>
      <c r="Z4728" s="45" t="s">
        <v>18819</v>
      </c>
      <c r="AA4728" s="31"/>
      <c r="AB4728" s="45" t="s">
        <v>18820</v>
      </c>
      <c r="AC4728" s="45"/>
    </row>
    <row r="4729" ht="18.75" customHeight="1">
      <c r="A4729" s="18" t="s">
        <v>18821</v>
      </c>
      <c r="B4729" s="19" t="s">
        <v>4293</v>
      </c>
      <c r="C4729" s="20">
        <v>90.0</v>
      </c>
      <c r="D4729" s="39" t="s">
        <v>18822</v>
      </c>
      <c r="E4729" s="27" t="s">
        <v>91</v>
      </c>
      <c r="F4729" s="27" t="s">
        <v>48</v>
      </c>
      <c r="G4729" s="18" t="s">
        <v>35</v>
      </c>
      <c r="H4729" s="40" t="s">
        <v>35</v>
      </c>
      <c r="I4729" s="37" t="s">
        <v>36</v>
      </c>
      <c r="J4729" s="25" t="s">
        <v>65</v>
      </c>
      <c r="K4729" s="26" t="s">
        <v>38</v>
      </c>
      <c r="L4729" s="72">
        <v>13613.0</v>
      </c>
      <c r="M4729" s="49" t="s">
        <v>73</v>
      </c>
      <c r="N4729" s="42" t="s">
        <v>16408</v>
      </c>
      <c r="O4729" s="67">
        <v>45881.682505358796</v>
      </c>
      <c r="P4729" s="35" t="s">
        <v>15829</v>
      </c>
      <c r="Q4729" s="13" t="s">
        <v>75</v>
      </c>
      <c r="R4729" s="13" t="s">
        <v>75</v>
      </c>
      <c r="S4729" s="13" t="s">
        <v>73</v>
      </c>
      <c r="T4729" s="44">
        <v>45880.67793204861</v>
      </c>
      <c r="U4729" s="44">
        <v>45880.677984050926</v>
      </c>
      <c r="V4729" s="44">
        <v>45881.54543939815</v>
      </c>
      <c r="W4729" s="11"/>
      <c r="X4729" s="11"/>
      <c r="Y4729" s="45">
        <v>302.0</v>
      </c>
      <c r="Z4729" s="45" t="s">
        <v>18823</v>
      </c>
      <c r="AA4729" s="31"/>
      <c r="AB4729" s="45" t="s">
        <v>18824</v>
      </c>
      <c r="AC4729" s="45"/>
    </row>
    <row r="4730" ht="18.75" customHeight="1">
      <c r="A4730" s="142" t="s">
        <v>18825</v>
      </c>
      <c r="B4730" s="19" t="s">
        <v>18826</v>
      </c>
      <c r="C4730" s="20">
        <v>11.0</v>
      </c>
      <c r="D4730" s="39" t="s">
        <v>18827</v>
      </c>
      <c r="E4730" s="27" t="s">
        <v>112</v>
      </c>
      <c r="F4730" s="27" t="s">
        <v>48</v>
      </c>
      <c r="G4730" s="18" t="s">
        <v>35</v>
      </c>
      <c r="H4730" s="40" t="s">
        <v>35</v>
      </c>
      <c r="I4730" s="37" t="s">
        <v>36</v>
      </c>
      <c r="J4730" s="25" t="s">
        <v>65</v>
      </c>
      <c r="K4730" s="26" t="s">
        <v>38</v>
      </c>
      <c r="L4730" s="72">
        <v>13592.0</v>
      </c>
      <c r="M4730" s="49" t="s">
        <v>73</v>
      </c>
      <c r="N4730" s="42" t="s">
        <v>16408</v>
      </c>
      <c r="O4730" s="67">
        <v>45876.70835277778</v>
      </c>
      <c r="P4730" s="35" t="s">
        <v>18828</v>
      </c>
      <c r="Q4730" s="13" t="s">
        <v>75</v>
      </c>
      <c r="R4730" s="13" t="s">
        <v>75</v>
      </c>
      <c r="S4730" s="13" t="s">
        <v>73</v>
      </c>
      <c r="T4730" s="44">
        <v>45876.574885486116</v>
      </c>
      <c r="U4730" s="44">
        <v>45876.60551412037</v>
      </c>
      <c r="V4730" s="44">
        <v>45876.61689082176</v>
      </c>
      <c r="W4730" s="11"/>
      <c r="X4730" s="11"/>
      <c r="Y4730" s="45">
        <v>302.0</v>
      </c>
      <c r="Z4730" s="45" t="s">
        <v>18829</v>
      </c>
      <c r="AA4730" s="31"/>
      <c r="AB4730" s="45" t="s">
        <v>18830</v>
      </c>
      <c r="AC4730" s="45"/>
    </row>
    <row r="4731" ht="18.75" customHeight="1">
      <c r="A4731" s="142" t="s">
        <v>18831</v>
      </c>
      <c r="B4731" s="19" t="s">
        <v>1811</v>
      </c>
      <c r="C4731" s="20">
        <v>11.0</v>
      </c>
      <c r="D4731" s="39" t="s">
        <v>18832</v>
      </c>
      <c r="E4731" s="27" t="s">
        <v>112</v>
      </c>
      <c r="F4731" s="27" t="s">
        <v>48</v>
      </c>
      <c r="G4731" s="18" t="s">
        <v>35</v>
      </c>
      <c r="H4731" s="40" t="s">
        <v>35</v>
      </c>
      <c r="I4731" s="37" t="s">
        <v>36</v>
      </c>
      <c r="J4731" s="25" t="s">
        <v>49</v>
      </c>
      <c r="K4731" s="26" t="s">
        <v>1506</v>
      </c>
      <c r="L4731" s="72">
        <v>13589.0</v>
      </c>
      <c r="M4731" s="49" t="s">
        <v>73</v>
      </c>
      <c r="N4731" s="42" t="s">
        <v>5936</v>
      </c>
      <c r="O4731" s="67">
        <v>45876.6974521875</v>
      </c>
      <c r="P4731" s="35" t="s">
        <v>17100</v>
      </c>
      <c r="Q4731" s="13" t="s">
        <v>75</v>
      </c>
      <c r="R4731" s="13" t="s">
        <v>75</v>
      </c>
      <c r="S4731" s="13" t="s">
        <v>73</v>
      </c>
      <c r="T4731" s="44">
        <v>45876.54895292824</v>
      </c>
      <c r="U4731" s="44">
        <v>45876.548966875</v>
      </c>
      <c r="V4731" s="44">
        <v>45876.559379976854</v>
      </c>
      <c r="W4731" s="11"/>
      <c r="X4731" s="11"/>
      <c r="Y4731" s="45">
        <v>302.0</v>
      </c>
      <c r="Z4731" s="45" t="s">
        <v>18833</v>
      </c>
      <c r="AA4731" s="31"/>
      <c r="AB4731" s="45" t="s">
        <v>18834</v>
      </c>
      <c r="AC4731" s="45"/>
    </row>
    <row r="4732" ht="18.75" customHeight="1">
      <c r="A4732" s="142" t="s">
        <v>18835</v>
      </c>
      <c r="B4732" s="19" t="s">
        <v>122</v>
      </c>
      <c r="C4732" s="20">
        <v>27.0</v>
      </c>
      <c r="D4732" s="39" t="s">
        <v>18836</v>
      </c>
      <c r="E4732" s="27" t="s">
        <v>72</v>
      </c>
      <c r="F4732" s="27" t="s">
        <v>48</v>
      </c>
      <c r="G4732" s="18" t="s">
        <v>35</v>
      </c>
      <c r="H4732" s="40" t="s">
        <v>35</v>
      </c>
      <c r="I4732" s="37" t="s">
        <v>36</v>
      </c>
      <c r="J4732" s="25" t="s">
        <v>49</v>
      </c>
      <c r="K4732" s="26" t="s">
        <v>38</v>
      </c>
      <c r="L4732" s="72">
        <v>13595.0</v>
      </c>
      <c r="M4732" s="49" t="s">
        <v>73</v>
      </c>
      <c r="N4732" s="42" t="s">
        <v>17048</v>
      </c>
      <c r="O4732" s="67">
        <v>45877.536860821754</v>
      </c>
      <c r="P4732" s="35" t="s">
        <v>18837</v>
      </c>
      <c r="Q4732" s="13" t="s">
        <v>75</v>
      </c>
      <c r="R4732" s="13" t="s">
        <v>75</v>
      </c>
      <c r="S4732" s="13" t="s">
        <v>73</v>
      </c>
      <c r="T4732" s="44">
        <v>45876.586785266205</v>
      </c>
      <c r="U4732" s="44">
        <v>45876.72666944444</v>
      </c>
      <c r="V4732" s="44">
        <v>45877.452165509254</v>
      </c>
      <c r="W4732" s="11"/>
      <c r="X4732" s="11"/>
      <c r="Y4732" s="45">
        <v>302.0</v>
      </c>
      <c r="Z4732" s="45" t="s">
        <v>18838</v>
      </c>
      <c r="AA4732" s="31"/>
      <c r="AB4732" s="45" t="s">
        <v>18839</v>
      </c>
      <c r="AC4732" s="45"/>
    </row>
    <row r="4733" ht="18.75" customHeight="1">
      <c r="A4733" s="142" t="s">
        <v>18840</v>
      </c>
      <c r="B4733" s="19" t="s">
        <v>1811</v>
      </c>
      <c r="C4733" s="20">
        <v>1.0</v>
      </c>
      <c r="D4733" s="39" t="s">
        <v>18841</v>
      </c>
      <c r="E4733" s="27" t="s">
        <v>3395</v>
      </c>
      <c r="F4733" s="27" t="s">
        <v>48</v>
      </c>
      <c r="G4733" s="18" t="s">
        <v>35</v>
      </c>
      <c r="H4733" s="40" t="s">
        <v>35</v>
      </c>
      <c r="I4733" s="37" t="s">
        <v>36</v>
      </c>
      <c r="J4733" s="25" t="s">
        <v>49</v>
      </c>
      <c r="K4733" s="26" t="s">
        <v>1506</v>
      </c>
      <c r="L4733" s="72">
        <v>13599.0</v>
      </c>
      <c r="M4733" s="49" t="s">
        <v>73</v>
      </c>
      <c r="N4733" s="42" t="s">
        <v>17048</v>
      </c>
      <c r="O4733" s="67">
        <v>45877.53678587963</v>
      </c>
      <c r="P4733" s="35" t="s">
        <v>17254</v>
      </c>
      <c r="Q4733" s="13" t="s">
        <v>75</v>
      </c>
      <c r="R4733" s="13" t="s">
        <v>75</v>
      </c>
      <c r="S4733" s="13" t="s">
        <v>73</v>
      </c>
      <c r="T4733" s="44">
        <v>45876.58855666667</v>
      </c>
      <c r="U4733" s="44">
        <v>45877.498650127316</v>
      </c>
      <c r="V4733" s="44">
        <v>45877.52728943287</v>
      </c>
      <c r="W4733" s="11"/>
      <c r="X4733" s="11"/>
      <c r="Y4733" s="45">
        <v>302.0</v>
      </c>
      <c r="Z4733" s="45" t="s">
        <v>18842</v>
      </c>
      <c r="AA4733" s="31"/>
      <c r="AB4733" s="45" t="s">
        <v>18843</v>
      </c>
      <c r="AC4733" s="45"/>
    </row>
    <row r="4734" ht="18.75" customHeight="1">
      <c r="A4734" s="142" t="s">
        <v>18844</v>
      </c>
      <c r="B4734" s="19" t="s">
        <v>18845</v>
      </c>
      <c r="C4734" s="20">
        <v>27.0</v>
      </c>
      <c r="D4734" s="39" t="s">
        <v>18846</v>
      </c>
      <c r="E4734" s="27" t="s">
        <v>72</v>
      </c>
      <c r="F4734" s="27" t="s">
        <v>48</v>
      </c>
      <c r="G4734" s="18" t="s">
        <v>35</v>
      </c>
      <c r="H4734" s="40" t="s">
        <v>35</v>
      </c>
      <c r="I4734" s="37" t="s">
        <v>36</v>
      </c>
      <c r="J4734" s="25" t="s">
        <v>92</v>
      </c>
      <c r="K4734" s="26" t="s">
        <v>38</v>
      </c>
      <c r="L4734" s="72">
        <v>13591.0</v>
      </c>
      <c r="M4734" s="49" t="s">
        <v>15811</v>
      </c>
      <c r="N4734" s="42"/>
      <c r="O4734" s="67">
        <v>45876.62244097222</v>
      </c>
      <c r="P4734" s="35" t="s">
        <v>18847</v>
      </c>
      <c r="Q4734" s="13" t="s">
        <v>75</v>
      </c>
      <c r="R4734" s="13" t="s">
        <v>75</v>
      </c>
      <c r="S4734" s="13" t="s">
        <v>75</v>
      </c>
      <c r="T4734" s="44">
        <v>45876.5963954051</v>
      </c>
      <c r="U4734" s="44">
        <v>45876.62244097222</v>
      </c>
      <c r="V4734" s="44">
        <v>45876.62244097222</v>
      </c>
      <c r="W4734" s="11"/>
      <c r="X4734" s="11"/>
      <c r="Y4734" s="45"/>
      <c r="Z4734" s="45"/>
      <c r="AA4734" s="31"/>
      <c r="AB4734" s="45" t="s">
        <v>18848</v>
      </c>
      <c r="AC4734" s="45"/>
    </row>
    <row r="4735" ht="18.75" customHeight="1">
      <c r="A4735" s="142" t="s">
        <v>18849</v>
      </c>
      <c r="B4735" s="19" t="s">
        <v>96</v>
      </c>
      <c r="C4735" s="20">
        <v>34.0</v>
      </c>
      <c r="D4735" s="39" t="s">
        <v>18850</v>
      </c>
      <c r="E4735" s="27" t="s">
        <v>47</v>
      </c>
      <c r="F4735" s="27" t="s">
        <v>48</v>
      </c>
      <c r="G4735" s="18" t="s">
        <v>35</v>
      </c>
      <c r="H4735" s="40" t="s">
        <v>35</v>
      </c>
      <c r="I4735" s="37" t="s">
        <v>36</v>
      </c>
      <c r="J4735" s="25" t="s">
        <v>49</v>
      </c>
      <c r="K4735" s="26" t="s">
        <v>38</v>
      </c>
      <c r="L4735" s="72">
        <v>13600.0</v>
      </c>
      <c r="M4735" s="49" t="s">
        <v>73</v>
      </c>
      <c r="N4735" s="42" t="s">
        <v>17048</v>
      </c>
      <c r="O4735" s="67">
        <v>45877.5367303588</v>
      </c>
      <c r="P4735" s="35" t="s">
        <v>18851</v>
      </c>
      <c r="Q4735" s="13" t="s">
        <v>75</v>
      </c>
      <c r="R4735" s="13" t="s">
        <v>75</v>
      </c>
      <c r="S4735" s="13" t="s">
        <v>73</v>
      </c>
      <c r="T4735" s="44">
        <v>45876.64139715278</v>
      </c>
      <c r="U4735" s="44">
        <v>45877.51300368056</v>
      </c>
      <c r="V4735" s="44">
        <v>45877.52726549769</v>
      </c>
      <c r="W4735" s="11"/>
      <c r="X4735" s="11"/>
      <c r="Y4735" s="45">
        <v>302.0</v>
      </c>
      <c r="Z4735" s="45" t="s">
        <v>18852</v>
      </c>
      <c r="AA4735" s="31"/>
      <c r="AB4735" s="45" t="s">
        <v>18853</v>
      </c>
      <c r="AC4735" s="45"/>
    </row>
    <row r="4736" ht="18.75" customHeight="1">
      <c r="A4736" s="142" t="s">
        <v>18854</v>
      </c>
      <c r="B4736" s="19" t="s">
        <v>7703</v>
      </c>
      <c r="C4736" s="20">
        <v>34.0</v>
      </c>
      <c r="D4736" s="39" t="s">
        <v>18855</v>
      </c>
      <c r="E4736" s="27" t="s">
        <v>47</v>
      </c>
      <c r="F4736" s="27" t="s">
        <v>48</v>
      </c>
      <c r="G4736" s="18" t="s">
        <v>35</v>
      </c>
      <c r="H4736" s="40" t="s">
        <v>35</v>
      </c>
      <c r="I4736" s="37" t="s">
        <v>36</v>
      </c>
      <c r="J4736" s="25" t="s">
        <v>65</v>
      </c>
      <c r="K4736" s="26" t="s">
        <v>38</v>
      </c>
      <c r="L4736" s="72">
        <v>13603.0</v>
      </c>
      <c r="M4736" s="49" t="s">
        <v>73</v>
      </c>
      <c r="N4736" s="42" t="s">
        <v>16408</v>
      </c>
      <c r="O4736" s="67">
        <v>45877.681549375004</v>
      </c>
      <c r="P4736" s="35" t="s">
        <v>15829</v>
      </c>
      <c r="Q4736" s="13" t="s">
        <v>75</v>
      </c>
      <c r="R4736" s="13" t="s">
        <v>75</v>
      </c>
      <c r="S4736" s="13" t="s">
        <v>73</v>
      </c>
      <c r="T4736" s="44">
        <v>45877.593941342595</v>
      </c>
      <c r="U4736" s="44">
        <v>45877.593973344905</v>
      </c>
      <c r="V4736" s="44">
        <v>45877.59794903935</v>
      </c>
      <c r="W4736" s="11"/>
      <c r="X4736" s="11"/>
      <c r="Y4736" s="45">
        <v>302.0</v>
      </c>
      <c r="Z4736" s="45" t="s">
        <v>18856</v>
      </c>
      <c r="AA4736" s="31"/>
      <c r="AB4736" s="45" t="s">
        <v>18857</v>
      </c>
      <c r="AC4736" s="45"/>
    </row>
    <row r="4737" ht="18.75" customHeight="1">
      <c r="A4737" s="142" t="s">
        <v>18858</v>
      </c>
      <c r="B4737" s="19" t="s">
        <v>7885</v>
      </c>
      <c r="C4737" s="20">
        <v>0.0</v>
      </c>
      <c r="D4737" s="39" t="s">
        <v>18859</v>
      </c>
      <c r="E4737" s="27" t="s">
        <v>3441</v>
      </c>
      <c r="F4737" s="27" t="s">
        <v>48</v>
      </c>
      <c r="G4737" s="18" t="s">
        <v>35</v>
      </c>
      <c r="H4737" s="40" t="s">
        <v>35</v>
      </c>
      <c r="I4737" s="37" t="s">
        <v>36</v>
      </c>
      <c r="J4737" s="25" t="s">
        <v>49</v>
      </c>
      <c r="K4737" s="26" t="s">
        <v>38</v>
      </c>
      <c r="L4737" s="72">
        <v>13648.0</v>
      </c>
      <c r="M4737" s="49" t="s">
        <v>73</v>
      </c>
      <c r="N4737" s="42" t="s">
        <v>5936</v>
      </c>
      <c r="O4737" s="67">
        <v>45888.652638750005</v>
      </c>
      <c r="P4737" s="35" t="s">
        <v>18860</v>
      </c>
      <c r="Q4737" s="13" t="s">
        <v>75</v>
      </c>
      <c r="R4737" s="13" t="s">
        <v>75</v>
      </c>
      <c r="S4737" s="13" t="s">
        <v>73</v>
      </c>
      <c r="T4737" s="44">
        <v>45876.650233900466</v>
      </c>
      <c r="U4737" s="44">
        <v>45888.42284493055</v>
      </c>
      <c r="V4737" s="44">
        <v>45888.44908841435</v>
      </c>
      <c r="W4737" s="11"/>
      <c r="X4737" s="11"/>
      <c r="Y4737" s="45">
        <v>302.0</v>
      </c>
      <c r="Z4737" s="45" t="s">
        <v>18861</v>
      </c>
      <c r="AA4737" s="31"/>
      <c r="AB4737" s="45" t="s">
        <v>18862</v>
      </c>
      <c r="AC4737" s="45"/>
    </row>
    <row r="4738" ht="18.75" customHeight="1">
      <c r="A4738" s="18" t="s">
        <v>18863</v>
      </c>
      <c r="B4738" s="19" t="s">
        <v>911</v>
      </c>
      <c r="C4738" s="20">
        <v>0.0</v>
      </c>
      <c r="D4738" s="179">
        <v>20239.0</v>
      </c>
      <c r="E4738" s="27" t="s">
        <v>1119</v>
      </c>
      <c r="F4738" s="27" t="s">
        <v>33</v>
      </c>
      <c r="G4738" s="18" t="s">
        <v>35</v>
      </c>
      <c r="H4738" s="40" t="s">
        <v>35</v>
      </c>
      <c r="I4738" s="37" t="s">
        <v>36</v>
      </c>
      <c r="J4738" s="25" t="s">
        <v>49</v>
      </c>
      <c r="K4738" s="26" t="s">
        <v>38</v>
      </c>
      <c r="L4738" s="72">
        <v>13620.0</v>
      </c>
      <c r="M4738" s="49" t="s">
        <v>73</v>
      </c>
      <c r="N4738" s="42" t="s">
        <v>5936</v>
      </c>
      <c r="O4738" s="67">
        <v>45882.59447866898</v>
      </c>
      <c r="P4738" s="35" t="s">
        <v>18864</v>
      </c>
      <c r="Q4738" s="13" t="s">
        <v>75</v>
      </c>
      <c r="R4738" s="13" t="s">
        <v>75</v>
      </c>
      <c r="S4738" s="13" t="s">
        <v>9620</v>
      </c>
      <c r="T4738" s="44">
        <v>45876.6729258912</v>
      </c>
      <c r="U4738" s="44">
        <v>45877.43678076389</v>
      </c>
      <c r="V4738" s="44">
        <v>45881.63075791667</v>
      </c>
      <c r="W4738" s="11"/>
      <c r="X4738" s="11"/>
      <c r="Y4738" s="45">
        <v>302.0</v>
      </c>
      <c r="Z4738" s="45" t="s">
        <v>18865</v>
      </c>
      <c r="AA4738" s="31"/>
      <c r="AB4738" s="45" t="s">
        <v>18866</v>
      </c>
      <c r="AC4738" s="45"/>
    </row>
    <row r="4739" ht="18.75" customHeight="1">
      <c r="A4739" s="18" t="s">
        <v>18867</v>
      </c>
      <c r="B4739" s="19" t="s">
        <v>911</v>
      </c>
      <c r="C4739" s="20">
        <v>0.0</v>
      </c>
      <c r="D4739" s="178" t="s">
        <v>18868</v>
      </c>
      <c r="E4739" s="27" t="s">
        <v>1119</v>
      </c>
      <c r="F4739" s="27" t="s">
        <v>33</v>
      </c>
      <c r="G4739" s="18" t="s">
        <v>35</v>
      </c>
      <c r="H4739" s="40" t="s">
        <v>35</v>
      </c>
      <c r="I4739" s="37" t="s">
        <v>36</v>
      </c>
      <c r="J4739" s="25" t="s">
        <v>49</v>
      </c>
      <c r="K4739" s="26" t="s">
        <v>38</v>
      </c>
      <c r="L4739" s="72">
        <v>13620.0</v>
      </c>
      <c r="M4739" s="49" t="s">
        <v>73</v>
      </c>
      <c r="N4739" s="42" t="s">
        <v>5936</v>
      </c>
      <c r="O4739" s="67">
        <v>45882.59438260416</v>
      </c>
      <c r="P4739" s="35" t="s">
        <v>18864</v>
      </c>
      <c r="Q4739" s="13" t="s">
        <v>75</v>
      </c>
      <c r="R4739" s="13" t="s">
        <v>75</v>
      </c>
      <c r="S4739" s="13" t="s">
        <v>9620</v>
      </c>
      <c r="T4739" s="44">
        <v>45876.70141512732</v>
      </c>
      <c r="U4739" s="44">
        <v>45877.436837500005</v>
      </c>
      <c r="V4739" s="44">
        <v>45881.68829287037</v>
      </c>
      <c r="W4739" s="11"/>
      <c r="X4739" s="11"/>
      <c r="Y4739" s="45">
        <v>302.0</v>
      </c>
      <c r="Z4739" s="45" t="s">
        <v>18869</v>
      </c>
      <c r="AA4739" s="31"/>
      <c r="AB4739" s="45" t="s">
        <v>18870</v>
      </c>
      <c r="AC4739" s="45"/>
    </row>
    <row r="4740" ht="18.75" customHeight="1">
      <c r="A4740" s="18" t="s">
        <v>18871</v>
      </c>
      <c r="B4740" s="19" t="s">
        <v>911</v>
      </c>
      <c r="C4740" s="20">
        <v>2.0</v>
      </c>
      <c r="D4740" s="178">
        <v>20168.0</v>
      </c>
      <c r="E4740" s="27" t="s">
        <v>14519</v>
      </c>
      <c r="F4740" s="27" t="s">
        <v>48</v>
      </c>
      <c r="G4740" s="18" t="s">
        <v>35</v>
      </c>
      <c r="H4740" s="40" t="s">
        <v>35</v>
      </c>
      <c r="I4740" s="37" t="s">
        <v>36</v>
      </c>
      <c r="J4740" s="25" t="s">
        <v>49</v>
      </c>
      <c r="K4740" s="26" t="s">
        <v>38</v>
      </c>
      <c r="L4740" s="72">
        <v>13620.0</v>
      </c>
      <c r="M4740" s="49" t="s">
        <v>73</v>
      </c>
      <c r="N4740" s="42" t="s">
        <v>5936</v>
      </c>
      <c r="O4740" s="67">
        <v>45882.59443116898</v>
      </c>
      <c r="P4740" s="35" t="s">
        <v>18864</v>
      </c>
      <c r="Q4740" s="13" t="s">
        <v>75</v>
      </c>
      <c r="R4740" s="13" t="s">
        <v>75</v>
      </c>
      <c r="S4740" s="13" t="s">
        <v>9620</v>
      </c>
      <c r="T4740" s="44">
        <v>45876.70185253472</v>
      </c>
      <c r="U4740" s="44">
        <v>45877.436812245374</v>
      </c>
      <c r="V4740" s="44">
        <v>45880.30943995371</v>
      </c>
      <c r="W4740" s="11"/>
      <c r="X4740" s="11"/>
      <c r="Y4740" s="45">
        <v>302.0</v>
      </c>
      <c r="Z4740" s="45" t="s">
        <v>18872</v>
      </c>
      <c r="AA4740" s="31"/>
      <c r="AB4740" s="45" t="s">
        <v>18873</v>
      </c>
      <c r="AC4740" s="45"/>
    </row>
    <row r="4741" ht="18.75" customHeight="1">
      <c r="A4741" s="18" t="s">
        <v>18874</v>
      </c>
      <c r="B4741" s="19" t="s">
        <v>911</v>
      </c>
      <c r="C4741" s="20">
        <v>2.0</v>
      </c>
      <c r="D4741" s="178">
        <v>20170.0</v>
      </c>
      <c r="E4741" s="27" t="s">
        <v>14519</v>
      </c>
      <c r="F4741" s="27" t="s">
        <v>48</v>
      </c>
      <c r="G4741" s="18" t="s">
        <v>35</v>
      </c>
      <c r="H4741" s="40" t="s">
        <v>35</v>
      </c>
      <c r="I4741" s="37" t="s">
        <v>36</v>
      </c>
      <c r="J4741" s="25" t="s">
        <v>49</v>
      </c>
      <c r="K4741" s="26" t="s">
        <v>38</v>
      </c>
      <c r="L4741" s="72">
        <v>13620.0</v>
      </c>
      <c r="M4741" s="49" t="s">
        <v>73</v>
      </c>
      <c r="N4741" s="42" t="s">
        <v>5936</v>
      </c>
      <c r="O4741" s="67">
        <v>45882.59433842593</v>
      </c>
      <c r="P4741" s="35" t="s">
        <v>18864</v>
      </c>
      <c r="Q4741" s="13" t="s">
        <v>75</v>
      </c>
      <c r="R4741" s="13" t="s">
        <v>75</v>
      </c>
      <c r="S4741" s="13" t="s">
        <v>9620</v>
      </c>
      <c r="T4741" s="44">
        <v>45876.70198957176</v>
      </c>
      <c r="U4741" s="44">
        <v>45877.43686107639</v>
      </c>
      <c r="V4741" s="44">
        <v>45880.30949663195</v>
      </c>
      <c r="W4741" s="11"/>
      <c r="X4741" s="11"/>
      <c r="Y4741" s="45">
        <v>302.0</v>
      </c>
      <c r="Z4741" s="45" t="s">
        <v>18875</v>
      </c>
      <c r="AA4741" s="31"/>
      <c r="AB4741" s="45" t="s">
        <v>18876</v>
      </c>
      <c r="AC4741" s="45"/>
    </row>
    <row r="4742" ht="18.75" customHeight="1">
      <c r="A4742" s="18" t="s">
        <v>18877</v>
      </c>
      <c r="B4742" s="19" t="s">
        <v>911</v>
      </c>
      <c r="C4742" s="20">
        <v>2.0</v>
      </c>
      <c r="D4742" s="178">
        <v>20172.0</v>
      </c>
      <c r="E4742" s="27" t="s">
        <v>14519</v>
      </c>
      <c r="F4742" s="27" t="s">
        <v>48</v>
      </c>
      <c r="G4742" s="18" t="s">
        <v>35</v>
      </c>
      <c r="H4742" s="40" t="s">
        <v>35</v>
      </c>
      <c r="I4742" s="37" t="s">
        <v>36</v>
      </c>
      <c r="J4742" s="25" t="s">
        <v>49</v>
      </c>
      <c r="K4742" s="26" t="s">
        <v>38</v>
      </c>
      <c r="L4742" s="72">
        <v>13620.0</v>
      </c>
      <c r="M4742" s="49" t="s">
        <v>73</v>
      </c>
      <c r="N4742" s="42" t="s">
        <v>5936</v>
      </c>
      <c r="O4742" s="67">
        <v>45882.594291863425</v>
      </c>
      <c r="P4742" s="35" t="s">
        <v>18864</v>
      </c>
      <c r="Q4742" s="13" t="s">
        <v>75</v>
      </c>
      <c r="R4742" s="13" t="s">
        <v>75</v>
      </c>
      <c r="S4742" s="13" t="s">
        <v>9620</v>
      </c>
      <c r="T4742" s="44">
        <v>45876.7020440625</v>
      </c>
      <c r="U4742" s="44">
        <v>45877.436882685186</v>
      </c>
      <c r="V4742" s="44">
        <v>45880.30949664352</v>
      </c>
      <c r="W4742" s="11"/>
      <c r="X4742" s="11"/>
      <c r="Y4742" s="45">
        <v>302.0</v>
      </c>
      <c r="Z4742" s="45" t="s">
        <v>18878</v>
      </c>
      <c r="AA4742" s="31"/>
      <c r="AB4742" s="45" t="s">
        <v>18879</v>
      </c>
      <c r="AC4742" s="45"/>
    </row>
    <row r="4743" ht="18.75" customHeight="1">
      <c r="A4743" s="18" t="s">
        <v>18880</v>
      </c>
      <c r="B4743" s="19" t="s">
        <v>911</v>
      </c>
      <c r="C4743" s="20">
        <v>0.0</v>
      </c>
      <c r="D4743" s="179">
        <v>20241.0</v>
      </c>
      <c r="E4743" s="27" t="s">
        <v>295</v>
      </c>
      <c r="F4743" s="27" t="s">
        <v>33</v>
      </c>
      <c r="G4743" s="18" t="s">
        <v>35</v>
      </c>
      <c r="H4743" s="40" t="s">
        <v>35</v>
      </c>
      <c r="I4743" s="37" t="s">
        <v>36</v>
      </c>
      <c r="J4743" s="25" t="s">
        <v>49</v>
      </c>
      <c r="K4743" s="26" t="s">
        <v>38</v>
      </c>
      <c r="L4743" s="72">
        <v>13620.0</v>
      </c>
      <c r="M4743" s="49" t="s">
        <v>73</v>
      </c>
      <c r="N4743" s="42" t="s">
        <v>5936</v>
      </c>
      <c r="O4743" s="67">
        <v>45882.59424440972</v>
      </c>
      <c r="P4743" s="35" t="s">
        <v>18864</v>
      </c>
      <c r="Q4743" s="13" t="s">
        <v>75</v>
      </c>
      <c r="R4743" s="13" t="s">
        <v>75</v>
      </c>
      <c r="S4743" s="13" t="s">
        <v>9620</v>
      </c>
      <c r="T4743" s="44">
        <v>45876.70223061343</v>
      </c>
      <c r="U4743" s="44">
        <v>45877.43690612269</v>
      </c>
      <c r="V4743" s="44">
        <v>45881.6083741551</v>
      </c>
      <c r="W4743" s="11"/>
      <c r="X4743" s="11"/>
      <c r="Y4743" s="45">
        <v>302.0</v>
      </c>
      <c r="Z4743" s="45" t="s">
        <v>18881</v>
      </c>
      <c r="AA4743" s="31"/>
      <c r="AB4743" s="45" t="s">
        <v>18882</v>
      </c>
      <c r="AC4743" s="45"/>
    </row>
    <row r="4744" ht="18.75" customHeight="1">
      <c r="A4744" s="18" t="s">
        <v>18883</v>
      </c>
      <c r="B4744" s="19" t="s">
        <v>1811</v>
      </c>
      <c r="C4744" s="20">
        <v>1.0</v>
      </c>
      <c r="D4744" s="39" t="s">
        <v>18884</v>
      </c>
      <c r="E4744" s="27" t="s">
        <v>3395</v>
      </c>
      <c r="F4744" s="27" t="s">
        <v>48</v>
      </c>
      <c r="G4744" s="18" t="s">
        <v>35</v>
      </c>
      <c r="H4744" s="40" t="s">
        <v>35</v>
      </c>
      <c r="I4744" s="37" t="s">
        <v>36</v>
      </c>
      <c r="J4744" s="25" t="s">
        <v>49</v>
      </c>
      <c r="K4744" s="26" t="s">
        <v>1506</v>
      </c>
      <c r="L4744" s="72">
        <v>13609.0</v>
      </c>
      <c r="M4744" s="49" t="s">
        <v>50</v>
      </c>
      <c r="N4744" s="42" t="s">
        <v>5936</v>
      </c>
      <c r="O4744" s="67">
        <v>45880.58955813658</v>
      </c>
      <c r="P4744" s="35" t="s">
        <v>18885</v>
      </c>
      <c r="Q4744" s="13" t="s">
        <v>75</v>
      </c>
      <c r="R4744" s="13" t="s">
        <v>75</v>
      </c>
      <c r="S4744" s="13" t="s">
        <v>50</v>
      </c>
      <c r="T4744" s="44">
        <v>45880.45459679398</v>
      </c>
      <c r="U4744" s="44">
        <v>45880.454673252316</v>
      </c>
      <c r="V4744" s="44">
        <v>45880.457120798616</v>
      </c>
      <c r="W4744" s="11"/>
      <c r="X4744" s="11"/>
      <c r="Y4744" s="45">
        <v>302.0</v>
      </c>
      <c r="Z4744" s="45" t="s">
        <v>18886</v>
      </c>
      <c r="AA4744" s="31"/>
      <c r="AB4744" s="45" t="s">
        <v>18887</v>
      </c>
      <c r="AC4744" s="45"/>
    </row>
    <row r="4745" ht="18.75" customHeight="1">
      <c r="A4745" s="18" t="s">
        <v>18888</v>
      </c>
      <c r="B4745" s="19" t="s">
        <v>1811</v>
      </c>
      <c r="C4745" s="20">
        <v>1.0</v>
      </c>
      <c r="D4745" s="39" t="s">
        <v>18889</v>
      </c>
      <c r="E4745" s="27" t="s">
        <v>3395</v>
      </c>
      <c r="F4745" s="27" t="s">
        <v>48</v>
      </c>
      <c r="G4745" s="18" t="s">
        <v>35</v>
      </c>
      <c r="H4745" s="40" t="s">
        <v>35</v>
      </c>
      <c r="I4745" s="37" t="s">
        <v>36</v>
      </c>
      <c r="J4745" s="25" t="s">
        <v>49</v>
      </c>
      <c r="K4745" s="26" t="s">
        <v>1506</v>
      </c>
      <c r="L4745" s="72">
        <v>13609.0</v>
      </c>
      <c r="M4745" s="49" t="s">
        <v>50</v>
      </c>
      <c r="N4745" s="42" t="s">
        <v>5936</v>
      </c>
      <c r="O4745" s="67">
        <v>45880.589661446764</v>
      </c>
      <c r="P4745" s="35" t="s">
        <v>18885</v>
      </c>
      <c r="Q4745" s="13" t="s">
        <v>75</v>
      </c>
      <c r="R4745" s="13" t="s">
        <v>75</v>
      </c>
      <c r="S4745" s="13" t="s">
        <v>50</v>
      </c>
      <c r="T4745" s="44">
        <v>45880.45465474537</v>
      </c>
      <c r="U4745" s="44">
        <v>45880.45470402778</v>
      </c>
      <c r="V4745" s="44">
        <v>45880.457120798616</v>
      </c>
      <c r="W4745" s="11"/>
      <c r="X4745" s="11"/>
      <c r="Y4745" s="45">
        <v>302.0</v>
      </c>
      <c r="Z4745" s="45" t="s">
        <v>18890</v>
      </c>
      <c r="AA4745" s="31"/>
      <c r="AB4745" s="45" t="s">
        <v>18891</v>
      </c>
      <c r="AC4745" s="45"/>
    </row>
    <row r="4746" ht="18.75" customHeight="1">
      <c r="A4746" s="142" t="s">
        <v>18892</v>
      </c>
      <c r="B4746" s="19" t="s">
        <v>11671</v>
      </c>
      <c r="C4746" s="20">
        <v>0.0</v>
      </c>
      <c r="D4746" s="39" t="s">
        <v>18893</v>
      </c>
      <c r="E4746" s="27" t="s">
        <v>4430</v>
      </c>
      <c r="F4746" s="27" t="s">
        <v>48</v>
      </c>
      <c r="G4746" s="18" t="s">
        <v>35</v>
      </c>
      <c r="H4746" s="40" t="s">
        <v>35</v>
      </c>
      <c r="I4746" s="37" t="s">
        <v>36</v>
      </c>
      <c r="J4746" s="25" t="s">
        <v>518</v>
      </c>
      <c r="K4746" s="26" t="s">
        <v>38</v>
      </c>
      <c r="L4746" s="72">
        <v>13605.0</v>
      </c>
      <c r="M4746" s="49" t="s">
        <v>73</v>
      </c>
      <c r="N4746" s="42" t="s">
        <v>18894</v>
      </c>
      <c r="O4746" s="67">
        <v>45881.68363974537</v>
      </c>
      <c r="P4746" s="35" t="s">
        <v>18895</v>
      </c>
      <c r="Q4746" s="13" t="s">
        <v>75</v>
      </c>
      <c r="R4746" s="13" t="s">
        <v>75</v>
      </c>
      <c r="S4746" s="13" t="s">
        <v>73</v>
      </c>
      <c r="T4746" s="44">
        <v>45877.43795535879</v>
      </c>
      <c r="U4746" s="44">
        <v>45877.43805804398</v>
      </c>
      <c r="V4746" s="44">
        <v>45877.45216552084</v>
      </c>
      <c r="W4746" s="11"/>
      <c r="X4746" s="11"/>
      <c r="Y4746" s="45">
        <v>302.0</v>
      </c>
      <c r="Z4746" s="45" t="s">
        <v>18896</v>
      </c>
      <c r="AA4746" s="31"/>
      <c r="AB4746" s="45" t="s">
        <v>18897</v>
      </c>
      <c r="AC4746" s="45"/>
    </row>
    <row r="4747" ht="18.75" customHeight="1">
      <c r="A4747" s="142" t="s">
        <v>18898</v>
      </c>
      <c r="B4747" s="19" t="s">
        <v>8994</v>
      </c>
      <c r="C4747" s="20">
        <v>1.0</v>
      </c>
      <c r="D4747" s="178" t="s">
        <v>18899</v>
      </c>
      <c r="E4747" s="27" t="s">
        <v>11712</v>
      </c>
      <c r="F4747" s="27" t="s">
        <v>48</v>
      </c>
      <c r="G4747" s="18" t="s">
        <v>35</v>
      </c>
      <c r="H4747" s="40" t="s">
        <v>35</v>
      </c>
      <c r="I4747" s="37" t="s">
        <v>36</v>
      </c>
      <c r="J4747" s="25" t="s">
        <v>92</v>
      </c>
      <c r="K4747" s="26" t="s">
        <v>38</v>
      </c>
      <c r="L4747" s="72">
        <v>13629.0</v>
      </c>
      <c r="M4747" s="49" t="s">
        <v>73</v>
      </c>
      <c r="N4747" s="42" t="s">
        <v>13864</v>
      </c>
      <c r="O4747" s="67">
        <v>45892.70625</v>
      </c>
      <c r="P4747" s="35" t="s">
        <v>18900</v>
      </c>
      <c r="Q4747" s="13" t="s">
        <v>75</v>
      </c>
      <c r="R4747" s="13" t="s">
        <v>75</v>
      </c>
      <c r="S4747" s="13" t="s">
        <v>9620</v>
      </c>
      <c r="T4747" s="44">
        <v>45877.71168204861</v>
      </c>
      <c r="U4747" s="44">
        <v>45877.71236761574</v>
      </c>
      <c r="V4747" s="44">
        <v>45884.322317893515</v>
      </c>
      <c r="W4747" s="11"/>
      <c r="X4747" s="11"/>
      <c r="Y4747" s="45">
        <v>302.0</v>
      </c>
      <c r="Z4747" s="45" t="s">
        <v>18901</v>
      </c>
      <c r="AA4747" s="31"/>
      <c r="AB4747" s="45" t="s">
        <v>18902</v>
      </c>
      <c r="AC4747" s="45"/>
    </row>
    <row r="4748" ht="18.75" customHeight="1">
      <c r="A4748" s="18" t="s">
        <v>18903</v>
      </c>
      <c r="B4748" s="19" t="s">
        <v>18904</v>
      </c>
      <c r="C4748" s="20">
        <v>1.0</v>
      </c>
      <c r="D4748" s="39" t="s">
        <v>18905</v>
      </c>
      <c r="E4748" s="27" t="s">
        <v>3395</v>
      </c>
      <c r="F4748" s="27" t="s">
        <v>48</v>
      </c>
      <c r="G4748" s="18" t="s">
        <v>35</v>
      </c>
      <c r="H4748" s="40" t="s">
        <v>35</v>
      </c>
      <c r="I4748" s="37" t="s">
        <v>36</v>
      </c>
      <c r="J4748" s="25" t="s">
        <v>65</v>
      </c>
      <c r="K4748" s="26" t="s">
        <v>38</v>
      </c>
      <c r="L4748" s="72">
        <v>13612.0</v>
      </c>
      <c r="M4748" s="49" t="s">
        <v>73</v>
      </c>
      <c r="N4748" s="42" t="s">
        <v>16408</v>
      </c>
      <c r="O4748" s="67">
        <v>45881.68231497685</v>
      </c>
      <c r="P4748" s="35" t="s">
        <v>18906</v>
      </c>
      <c r="Q4748" s="13" t="s">
        <v>75</v>
      </c>
      <c r="R4748" s="13" t="s">
        <v>75</v>
      </c>
      <c r="S4748" s="13" t="s">
        <v>73</v>
      </c>
      <c r="T4748" s="44">
        <v>45877.55992009259</v>
      </c>
      <c r="U4748" s="44">
        <v>45880.62490789352</v>
      </c>
      <c r="V4748" s="44">
        <v>45881.568412569446</v>
      </c>
      <c r="W4748" s="11"/>
      <c r="X4748" s="11"/>
      <c r="Y4748" s="207">
        <v>302.0</v>
      </c>
      <c r="Z4748" s="45" t="s">
        <v>18907</v>
      </c>
      <c r="AA4748" s="31"/>
      <c r="AB4748" s="45" t="s">
        <v>18908</v>
      </c>
      <c r="AC4748" s="45"/>
    </row>
    <row r="4749" ht="18.75" customHeight="1">
      <c r="A4749" s="18" t="s">
        <v>18909</v>
      </c>
      <c r="B4749" s="19" t="s">
        <v>18904</v>
      </c>
      <c r="C4749" s="20">
        <v>1.0</v>
      </c>
      <c r="D4749" s="39" t="s">
        <v>18910</v>
      </c>
      <c r="E4749" s="27" t="s">
        <v>3395</v>
      </c>
      <c r="F4749" s="27" t="s">
        <v>48</v>
      </c>
      <c r="G4749" s="18" t="s">
        <v>35</v>
      </c>
      <c r="H4749" s="40" t="s">
        <v>35</v>
      </c>
      <c r="I4749" s="37" t="s">
        <v>36</v>
      </c>
      <c r="J4749" s="25" t="s">
        <v>65</v>
      </c>
      <c r="K4749" s="26" t="s">
        <v>38</v>
      </c>
      <c r="L4749" s="72">
        <v>13612.0</v>
      </c>
      <c r="M4749" s="49" t="s">
        <v>73</v>
      </c>
      <c r="N4749" s="42" t="s">
        <v>16408</v>
      </c>
      <c r="O4749" s="67">
        <v>45881.682410740745</v>
      </c>
      <c r="P4749" s="35" t="s">
        <v>18906</v>
      </c>
      <c r="Q4749" s="13" t="s">
        <v>75</v>
      </c>
      <c r="R4749" s="13" t="s">
        <v>75</v>
      </c>
      <c r="S4749" s="13" t="s">
        <v>73</v>
      </c>
      <c r="T4749" s="44">
        <v>45877.5599815625</v>
      </c>
      <c r="U4749" s="44">
        <v>45880.62495960648</v>
      </c>
      <c r="V4749" s="44">
        <v>45881.54549596064</v>
      </c>
      <c r="W4749" s="11"/>
      <c r="X4749" s="11"/>
      <c r="Y4749" s="45">
        <v>302.0</v>
      </c>
      <c r="Z4749" s="45" t="s">
        <v>18911</v>
      </c>
      <c r="AA4749" s="31"/>
      <c r="AB4749" s="45" t="s">
        <v>18912</v>
      </c>
      <c r="AC4749" s="45"/>
    </row>
    <row r="4750" ht="18.75" customHeight="1">
      <c r="A4750" s="18" t="s">
        <v>18913</v>
      </c>
      <c r="B4750" s="19" t="s">
        <v>18904</v>
      </c>
      <c r="C4750" s="20">
        <v>1.0</v>
      </c>
      <c r="D4750" s="39" t="s">
        <v>18914</v>
      </c>
      <c r="E4750" s="27" t="s">
        <v>3395</v>
      </c>
      <c r="F4750" s="27" t="s">
        <v>48</v>
      </c>
      <c r="G4750" s="18" t="s">
        <v>35</v>
      </c>
      <c r="H4750" s="40" t="s">
        <v>35</v>
      </c>
      <c r="I4750" s="37" t="s">
        <v>36</v>
      </c>
      <c r="J4750" s="25" t="s">
        <v>65</v>
      </c>
      <c r="K4750" s="26" t="s">
        <v>38</v>
      </c>
      <c r="L4750" s="72">
        <v>13612.0</v>
      </c>
      <c r="M4750" s="49" t="s">
        <v>73</v>
      </c>
      <c r="N4750" s="42" t="s">
        <v>16408</v>
      </c>
      <c r="O4750" s="67">
        <v>45881.68236381945</v>
      </c>
      <c r="P4750" s="35" t="s">
        <v>18906</v>
      </c>
      <c r="Q4750" s="13" t="s">
        <v>75</v>
      </c>
      <c r="R4750" s="13" t="s">
        <v>75</v>
      </c>
      <c r="S4750" s="13" t="s">
        <v>73</v>
      </c>
      <c r="T4750" s="44">
        <v>45877.560032939815</v>
      </c>
      <c r="U4750" s="44">
        <v>45880.62493763889</v>
      </c>
      <c r="V4750" s="44">
        <v>45881.545495949074</v>
      </c>
      <c r="W4750" s="11"/>
      <c r="X4750" s="11"/>
      <c r="Y4750" s="45">
        <v>302.0</v>
      </c>
      <c r="Z4750" s="45" t="s">
        <v>18915</v>
      </c>
      <c r="AA4750" s="31"/>
      <c r="AB4750" s="45" t="s">
        <v>18916</v>
      </c>
      <c r="AC4750" s="45"/>
    </row>
    <row r="4751" ht="18.75" customHeight="1">
      <c r="A4751" s="142" t="s">
        <v>18917</v>
      </c>
      <c r="B4751" s="19" t="s">
        <v>18918</v>
      </c>
      <c r="C4751" s="20">
        <v>0.0</v>
      </c>
      <c r="D4751" s="39" t="s">
        <v>18919</v>
      </c>
      <c r="E4751" s="27" t="s">
        <v>3441</v>
      </c>
      <c r="F4751" s="27" t="s">
        <v>48</v>
      </c>
      <c r="G4751" s="18" t="s">
        <v>35</v>
      </c>
      <c r="H4751" s="40" t="s">
        <v>35</v>
      </c>
      <c r="I4751" s="37" t="s">
        <v>36</v>
      </c>
      <c r="J4751" s="25" t="s">
        <v>518</v>
      </c>
      <c r="K4751" s="26" t="s">
        <v>38</v>
      </c>
      <c r="L4751" s="72">
        <v>13615.0</v>
      </c>
      <c r="M4751" s="49" t="s">
        <v>73</v>
      </c>
      <c r="N4751" s="42" t="s">
        <v>18894</v>
      </c>
      <c r="O4751" s="67">
        <v>45881.68371927083</v>
      </c>
      <c r="P4751" s="35" t="s">
        <v>18920</v>
      </c>
      <c r="Q4751" s="13" t="s">
        <v>75</v>
      </c>
      <c r="R4751" s="13" t="s">
        <v>75</v>
      </c>
      <c r="S4751" s="13" t="s">
        <v>73</v>
      </c>
      <c r="T4751" s="44">
        <v>45881.57192155093</v>
      </c>
      <c r="U4751" s="44">
        <v>45881.57194260416</v>
      </c>
      <c r="V4751" s="44">
        <v>45881.57477869213</v>
      </c>
      <c r="W4751" s="11"/>
      <c r="X4751" s="11"/>
      <c r="Y4751" s="45">
        <v>302.0</v>
      </c>
      <c r="Z4751" s="45" t="s">
        <v>18921</v>
      </c>
      <c r="AA4751" s="31"/>
      <c r="AB4751" s="45" t="s">
        <v>18922</v>
      </c>
      <c r="AC4751" s="45"/>
    </row>
    <row r="4752" ht="18.75" customHeight="1">
      <c r="A4752" s="142" t="s">
        <v>18923</v>
      </c>
      <c r="B4752" s="19" t="s">
        <v>96</v>
      </c>
      <c r="C4752" s="20">
        <v>0.0</v>
      </c>
      <c r="D4752" s="179">
        <v>20249.0</v>
      </c>
      <c r="E4752" s="27" t="s">
        <v>17089</v>
      </c>
      <c r="F4752" s="27" t="s">
        <v>48</v>
      </c>
      <c r="G4752" s="18" t="s">
        <v>35</v>
      </c>
      <c r="H4752" s="40" t="s">
        <v>35</v>
      </c>
      <c r="I4752" s="37" t="s">
        <v>36</v>
      </c>
      <c r="J4752" s="25" t="s">
        <v>49</v>
      </c>
      <c r="K4752" s="26" t="s">
        <v>38</v>
      </c>
      <c r="L4752" s="72">
        <v>13657.0</v>
      </c>
      <c r="M4752" s="49" t="s">
        <v>50</v>
      </c>
      <c r="N4752" s="42" t="s">
        <v>5936</v>
      </c>
      <c r="O4752" s="67">
        <v>45889.63137346065</v>
      </c>
      <c r="P4752" s="35" t="s">
        <v>18924</v>
      </c>
      <c r="Q4752" s="13" t="s">
        <v>75</v>
      </c>
      <c r="R4752" s="13" t="s">
        <v>75</v>
      </c>
      <c r="S4752" s="13" t="s">
        <v>9620</v>
      </c>
      <c r="T4752" s="44">
        <v>45877.60301827546</v>
      </c>
      <c r="U4752" s="44">
        <v>45877.603189664354</v>
      </c>
      <c r="V4752" s="44">
        <v>45888.492532488424</v>
      </c>
      <c r="W4752" s="11"/>
      <c r="X4752" s="11"/>
      <c r="Y4752" s="45">
        <v>302.0</v>
      </c>
      <c r="Z4752" s="45" t="s">
        <v>18925</v>
      </c>
      <c r="AA4752" s="31"/>
      <c r="AB4752" s="45" t="s">
        <v>18926</v>
      </c>
      <c r="AC4752" s="45"/>
    </row>
    <row r="4753" ht="18.75" customHeight="1">
      <c r="A4753" s="142" t="s">
        <v>18927</v>
      </c>
      <c r="B4753" s="19" t="s">
        <v>8893</v>
      </c>
      <c r="C4753" s="20">
        <v>0.0</v>
      </c>
      <c r="D4753" s="39" t="s">
        <v>18928</v>
      </c>
      <c r="E4753" s="27" t="s">
        <v>3441</v>
      </c>
      <c r="F4753" s="27" t="s">
        <v>48</v>
      </c>
      <c r="G4753" s="18" t="s">
        <v>35</v>
      </c>
      <c r="H4753" s="40" t="s">
        <v>35</v>
      </c>
      <c r="I4753" s="37" t="s">
        <v>36</v>
      </c>
      <c r="J4753" s="25" t="s">
        <v>49</v>
      </c>
      <c r="K4753" s="26" t="s">
        <v>38</v>
      </c>
      <c r="L4753" s="72">
        <v>13608.0</v>
      </c>
      <c r="M4753" s="49" t="s">
        <v>50</v>
      </c>
      <c r="N4753" s="42" t="s">
        <v>5936</v>
      </c>
      <c r="O4753" s="67">
        <v>45880.58960413194</v>
      </c>
      <c r="P4753" s="35" t="s">
        <v>15666</v>
      </c>
      <c r="Q4753" s="13" t="s">
        <v>75</v>
      </c>
      <c r="R4753" s="13" t="s">
        <v>75</v>
      </c>
      <c r="S4753" s="13" t="s">
        <v>50</v>
      </c>
      <c r="T4753" s="44">
        <v>45877.65260644676</v>
      </c>
      <c r="U4753" s="44">
        <v>45880.41882170139</v>
      </c>
      <c r="V4753" s="44">
        <v>45880.41993959491</v>
      </c>
      <c r="W4753" s="11"/>
      <c r="X4753" s="11"/>
      <c r="Y4753" s="45">
        <v>302.0</v>
      </c>
      <c r="Z4753" s="45" t="s">
        <v>18929</v>
      </c>
      <c r="AA4753" s="31"/>
      <c r="AB4753" s="45" t="s">
        <v>18930</v>
      </c>
      <c r="AC4753" s="45"/>
    </row>
    <row r="4754" ht="18.75" customHeight="1">
      <c r="A4754" s="142" t="s">
        <v>18931</v>
      </c>
      <c r="B4754" s="19" t="s">
        <v>473</v>
      </c>
      <c r="C4754" s="20">
        <v>137.0</v>
      </c>
      <c r="D4754" s="39"/>
      <c r="E4754" s="27" t="s">
        <v>85</v>
      </c>
      <c r="F4754" s="27" t="s">
        <v>48</v>
      </c>
      <c r="G4754" s="18" t="s">
        <v>35</v>
      </c>
      <c r="H4754" s="40" t="s">
        <v>35</v>
      </c>
      <c r="I4754" s="37" t="s">
        <v>17277</v>
      </c>
      <c r="J4754" s="25" t="s">
        <v>65</v>
      </c>
      <c r="K4754" s="26" t="s">
        <v>38</v>
      </c>
      <c r="L4754" s="25"/>
      <c r="M4754" s="49"/>
      <c r="N4754" s="42"/>
      <c r="O4754" s="68"/>
      <c r="P4754" s="35" t="s">
        <v>15829</v>
      </c>
      <c r="Q4754" s="13" t="s">
        <v>75</v>
      </c>
      <c r="R4754" s="13" t="s">
        <v>75</v>
      </c>
      <c r="S4754" s="13"/>
      <c r="T4754" s="44">
        <v>45887.43034103009</v>
      </c>
      <c r="U4754" s="44">
        <v>45887.43031914352</v>
      </c>
      <c r="V4754" s="13"/>
      <c r="W4754" s="11"/>
      <c r="X4754" s="11"/>
      <c r="Y4754" s="45"/>
      <c r="Z4754" s="45"/>
      <c r="AA4754" s="31"/>
      <c r="AB4754" s="45" t="s">
        <v>18932</v>
      </c>
      <c r="AC4754" s="45"/>
    </row>
    <row r="4755" ht="18.75" customHeight="1">
      <c r="A4755" s="142" t="s">
        <v>18933</v>
      </c>
      <c r="B4755" s="19" t="s">
        <v>12493</v>
      </c>
      <c r="C4755" s="20">
        <v>0.0</v>
      </c>
      <c r="D4755" s="39" t="s">
        <v>18934</v>
      </c>
      <c r="E4755" s="27" t="s">
        <v>3441</v>
      </c>
      <c r="F4755" s="27" t="s">
        <v>48</v>
      </c>
      <c r="G4755" s="18" t="s">
        <v>35</v>
      </c>
      <c r="H4755" s="40" t="s">
        <v>35</v>
      </c>
      <c r="I4755" s="37" t="s">
        <v>36</v>
      </c>
      <c r="J4755" s="25" t="s">
        <v>65</v>
      </c>
      <c r="K4755" s="26" t="s">
        <v>38</v>
      </c>
      <c r="L4755" s="72">
        <v>13616.0</v>
      </c>
      <c r="M4755" s="49" t="s">
        <v>73</v>
      </c>
      <c r="N4755" s="42" t="s">
        <v>16408</v>
      </c>
      <c r="O4755" s="67">
        <v>45881.68245458334</v>
      </c>
      <c r="P4755" s="35" t="s">
        <v>15829</v>
      </c>
      <c r="Q4755" s="13" t="s">
        <v>75</v>
      </c>
      <c r="R4755" s="13" t="s">
        <v>75</v>
      </c>
      <c r="S4755" s="13" t="s">
        <v>73</v>
      </c>
      <c r="T4755" s="44">
        <v>45880.57056790509</v>
      </c>
      <c r="U4755" s="44">
        <v>45881.55337681713</v>
      </c>
      <c r="V4755" s="44">
        <v>45881.56952335648</v>
      </c>
      <c r="W4755" s="11"/>
      <c r="X4755" s="11"/>
      <c r="Y4755" s="45">
        <v>302.0</v>
      </c>
      <c r="Z4755" s="45" t="s">
        <v>18935</v>
      </c>
      <c r="AA4755" s="31"/>
      <c r="AB4755" s="45" t="s">
        <v>18936</v>
      </c>
      <c r="AC4755" s="45"/>
    </row>
    <row r="4756" ht="18.75" customHeight="1">
      <c r="A4756" s="18" t="s">
        <v>18937</v>
      </c>
      <c r="B4756" s="19" t="s">
        <v>1299</v>
      </c>
      <c r="C4756" s="20">
        <v>0.0</v>
      </c>
      <c r="D4756" s="39" t="s">
        <v>18938</v>
      </c>
      <c r="E4756" s="27" t="s">
        <v>4430</v>
      </c>
      <c r="F4756" s="27" t="s">
        <v>48</v>
      </c>
      <c r="G4756" s="18" t="s">
        <v>35</v>
      </c>
      <c r="H4756" s="40" t="s">
        <v>35</v>
      </c>
      <c r="I4756" s="37" t="s">
        <v>36</v>
      </c>
      <c r="J4756" s="25" t="s">
        <v>92</v>
      </c>
      <c r="K4756" s="26" t="s">
        <v>38</v>
      </c>
      <c r="L4756" s="72">
        <v>13611.0</v>
      </c>
      <c r="M4756" s="49" t="s">
        <v>73</v>
      </c>
      <c r="N4756" s="42" t="s">
        <v>4767</v>
      </c>
      <c r="O4756" s="67">
        <v>45881.47946390046</v>
      </c>
      <c r="P4756" s="35" t="s">
        <v>18939</v>
      </c>
      <c r="Q4756" s="13" t="s">
        <v>75</v>
      </c>
      <c r="R4756" s="13" t="s">
        <v>75</v>
      </c>
      <c r="S4756" s="13" t="s">
        <v>73</v>
      </c>
      <c r="T4756" s="44">
        <v>45880.57169423611</v>
      </c>
      <c r="U4756" s="44">
        <v>45880.65364143519</v>
      </c>
      <c r="V4756" s="44">
        <v>45881.46599993056</v>
      </c>
      <c r="W4756" s="11"/>
      <c r="X4756" s="11"/>
      <c r="Y4756" s="45">
        <v>302.0</v>
      </c>
      <c r="Z4756" s="45" t="s">
        <v>18940</v>
      </c>
      <c r="AA4756" s="31"/>
      <c r="AB4756" s="45" t="s">
        <v>18941</v>
      </c>
      <c r="AC4756" s="45"/>
    </row>
    <row r="4757" ht="18.75" customHeight="1">
      <c r="A4757" s="18" t="s">
        <v>18942</v>
      </c>
      <c r="B4757" s="19" t="s">
        <v>1299</v>
      </c>
      <c r="C4757" s="20">
        <v>137.0</v>
      </c>
      <c r="D4757" s="39" t="s">
        <v>18943</v>
      </c>
      <c r="E4757" s="27" t="s">
        <v>85</v>
      </c>
      <c r="F4757" s="27" t="s">
        <v>48</v>
      </c>
      <c r="G4757" s="18" t="s">
        <v>35</v>
      </c>
      <c r="H4757" s="40" t="s">
        <v>35</v>
      </c>
      <c r="I4757" s="37" t="s">
        <v>36</v>
      </c>
      <c r="J4757" s="25" t="s">
        <v>92</v>
      </c>
      <c r="K4757" s="26" t="s">
        <v>38</v>
      </c>
      <c r="L4757" s="72">
        <v>13611.0</v>
      </c>
      <c r="M4757" s="49" t="s">
        <v>73</v>
      </c>
      <c r="N4757" s="42" t="s">
        <v>4767</v>
      </c>
      <c r="O4757" s="67">
        <v>45881.47954152778</v>
      </c>
      <c r="P4757" s="35" t="s">
        <v>18939</v>
      </c>
      <c r="Q4757" s="13" t="s">
        <v>75</v>
      </c>
      <c r="R4757" s="13" t="s">
        <v>75</v>
      </c>
      <c r="S4757" s="13" t="s">
        <v>73</v>
      </c>
      <c r="T4757" s="44">
        <v>45880.57189366898</v>
      </c>
      <c r="U4757" s="44">
        <v>45880.653667743056</v>
      </c>
      <c r="V4757" s="44">
        <v>45881.46607394676</v>
      </c>
      <c r="W4757" s="11"/>
      <c r="X4757" s="11"/>
      <c r="Y4757" s="45">
        <v>302.0</v>
      </c>
      <c r="Z4757" s="45" t="s">
        <v>18944</v>
      </c>
      <c r="AA4757" s="31"/>
      <c r="AB4757" s="45" t="s">
        <v>18945</v>
      </c>
      <c r="AC4757" s="45"/>
    </row>
    <row r="4758" ht="18.75" customHeight="1">
      <c r="A4758" s="142" t="s">
        <v>18946</v>
      </c>
      <c r="B4758" s="19" t="s">
        <v>8825</v>
      </c>
      <c r="C4758" s="20">
        <v>90.0</v>
      </c>
      <c r="D4758" s="39" t="s">
        <v>18947</v>
      </c>
      <c r="E4758" s="27" t="s">
        <v>91</v>
      </c>
      <c r="F4758" s="27" t="s">
        <v>48</v>
      </c>
      <c r="G4758" s="18" t="s">
        <v>35</v>
      </c>
      <c r="H4758" s="40" t="s">
        <v>35</v>
      </c>
      <c r="I4758" s="37" t="s">
        <v>36</v>
      </c>
      <c r="J4758" s="25" t="s">
        <v>49</v>
      </c>
      <c r="K4758" s="26" t="s">
        <v>11095</v>
      </c>
      <c r="L4758" s="72">
        <v>13614.0</v>
      </c>
      <c r="M4758" s="49" t="s">
        <v>73</v>
      </c>
      <c r="N4758" s="42" t="s">
        <v>5936</v>
      </c>
      <c r="O4758" s="67">
        <v>45881.60902777778</v>
      </c>
      <c r="P4758" s="26" t="s">
        <v>18948</v>
      </c>
      <c r="Q4758" s="13" t="s">
        <v>75</v>
      </c>
      <c r="R4758" s="13" t="s">
        <v>75</v>
      </c>
      <c r="S4758" s="13" t="s">
        <v>73</v>
      </c>
      <c r="T4758" s="44">
        <v>45880.614853796294</v>
      </c>
      <c r="U4758" s="44">
        <v>45880.67856153935</v>
      </c>
      <c r="V4758" s="44">
        <v>45881.547963310186</v>
      </c>
      <c r="W4758" s="11"/>
      <c r="X4758" s="11"/>
      <c r="Y4758" s="45">
        <v>302.0</v>
      </c>
      <c r="Z4758" s="45" t="s">
        <v>18949</v>
      </c>
      <c r="AA4758" s="31"/>
      <c r="AB4758" s="45" t="s">
        <v>18950</v>
      </c>
      <c r="AC4758" s="45"/>
    </row>
    <row r="4759" ht="18.75" customHeight="1">
      <c r="A4759" s="142" t="s">
        <v>18951</v>
      </c>
      <c r="B4759" s="19" t="s">
        <v>14726</v>
      </c>
      <c r="C4759" s="20">
        <v>1.0</v>
      </c>
      <c r="D4759" s="179">
        <v>20230.0</v>
      </c>
      <c r="E4759" s="27" t="s">
        <v>15373</v>
      </c>
      <c r="F4759" s="27" t="s">
        <v>48</v>
      </c>
      <c r="G4759" s="18" t="s">
        <v>35</v>
      </c>
      <c r="H4759" s="40" t="s">
        <v>35</v>
      </c>
      <c r="I4759" s="37" t="s">
        <v>36</v>
      </c>
      <c r="J4759" s="25" t="s">
        <v>49</v>
      </c>
      <c r="K4759" s="26" t="s">
        <v>38</v>
      </c>
      <c r="L4759" s="72">
        <v>13630.0</v>
      </c>
      <c r="M4759" s="49" t="s">
        <v>73</v>
      </c>
      <c r="N4759" s="42" t="s">
        <v>5936</v>
      </c>
      <c r="O4759" s="67">
        <v>45884.58555981482</v>
      </c>
      <c r="P4759" s="35" t="s">
        <v>15666</v>
      </c>
      <c r="Q4759" s="13" t="s">
        <v>75</v>
      </c>
      <c r="R4759" s="13" t="s">
        <v>75</v>
      </c>
      <c r="S4759" s="13" t="s">
        <v>9620</v>
      </c>
      <c r="T4759" s="44">
        <v>45881.46278216435</v>
      </c>
      <c r="U4759" s="44">
        <v>45882.46770097222</v>
      </c>
      <c r="V4759" s="44">
        <v>45883.57589930556</v>
      </c>
      <c r="W4759" s="11"/>
      <c r="X4759" s="11"/>
      <c r="Y4759" s="45">
        <v>302.0</v>
      </c>
      <c r="Z4759" s="45" t="s">
        <v>18952</v>
      </c>
      <c r="AA4759" s="31"/>
      <c r="AB4759" s="45" t="s">
        <v>18953</v>
      </c>
      <c r="AC4759" s="45"/>
    </row>
    <row r="4760" ht="18.75" customHeight="1">
      <c r="A4760" s="18" t="s">
        <v>18954</v>
      </c>
      <c r="B4760" s="19" t="s">
        <v>14663</v>
      </c>
      <c r="C4760" s="20">
        <v>1.0</v>
      </c>
      <c r="D4760" s="39" t="s">
        <v>18955</v>
      </c>
      <c r="E4760" s="27" t="s">
        <v>3395</v>
      </c>
      <c r="F4760" s="27" t="s">
        <v>48</v>
      </c>
      <c r="G4760" s="18" t="s">
        <v>35</v>
      </c>
      <c r="H4760" s="40" t="s">
        <v>35</v>
      </c>
      <c r="I4760" s="37" t="s">
        <v>36</v>
      </c>
      <c r="J4760" s="25" t="s">
        <v>65</v>
      </c>
      <c r="K4760" s="26" t="s">
        <v>38</v>
      </c>
      <c r="L4760" s="72">
        <v>13621.0</v>
      </c>
      <c r="M4760" s="49" t="s">
        <v>73</v>
      </c>
      <c r="N4760" s="42" t="s">
        <v>16408</v>
      </c>
      <c r="O4760" s="67">
        <v>45882.70813251157</v>
      </c>
      <c r="P4760" s="35" t="s">
        <v>18956</v>
      </c>
      <c r="Q4760" s="13" t="s">
        <v>75</v>
      </c>
      <c r="R4760" s="13" t="s">
        <v>75</v>
      </c>
      <c r="S4760" s="13" t="s">
        <v>73</v>
      </c>
      <c r="T4760" s="44">
        <v>45881.47202111111</v>
      </c>
      <c r="U4760" s="44">
        <v>45881.710481180555</v>
      </c>
      <c r="V4760" s="44">
        <v>45882.47328898148</v>
      </c>
      <c r="W4760" s="11"/>
      <c r="X4760" s="11"/>
      <c r="Y4760" s="45">
        <v>302.0</v>
      </c>
      <c r="Z4760" s="45" t="s">
        <v>18957</v>
      </c>
      <c r="AA4760" s="31"/>
      <c r="AB4760" s="45" t="s">
        <v>18958</v>
      </c>
      <c r="AC4760" s="45"/>
    </row>
    <row r="4761" ht="18.75" customHeight="1">
      <c r="A4761" s="18" t="s">
        <v>18959</v>
      </c>
      <c r="B4761" s="19" t="s">
        <v>14663</v>
      </c>
      <c r="C4761" s="20">
        <v>27.0</v>
      </c>
      <c r="D4761" s="39" t="s">
        <v>18960</v>
      </c>
      <c r="E4761" s="27" t="s">
        <v>72</v>
      </c>
      <c r="F4761" s="27" t="s">
        <v>48</v>
      </c>
      <c r="G4761" s="18" t="s">
        <v>35</v>
      </c>
      <c r="H4761" s="40" t="s">
        <v>35</v>
      </c>
      <c r="I4761" s="37" t="s">
        <v>36</v>
      </c>
      <c r="J4761" s="25" t="s">
        <v>65</v>
      </c>
      <c r="K4761" s="26" t="s">
        <v>38</v>
      </c>
      <c r="L4761" s="72">
        <v>13621.0</v>
      </c>
      <c r="M4761" s="49" t="s">
        <v>73</v>
      </c>
      <c r="N4761" s="42" t="s">
        <v>16408</v>
      </c>
      <c r="O4761" s="67">
        <v>45882.708063530095</v>
      </c>
      <c r="P4761" s="35" t="s">
        <v>18956</v>
      </c>
      <c r="Q4761" s="13" t="s">
        <v>75</v>
      </c>
      <c r="R4761" s="13" t="s">
        <v>75</v>
      </c>
      <c r="S4761" s="13" t="s">
        <v>73</v>
      </c>
      <c r="T4761" s="44">
        <v>45881.47216523148</v>
      </c>
      <c r="U4761" s="44">
        <v>45881.71051482639</v>
      </c>
      <c r="V4761" s="44">
        <v>45882.47328900463</v>
      </c>
      <c r="W4761" s="11"/>
      <c r="X4761" s="11"/>
      <c r="Y4761" s="45">
        <v>302.0</v>
      </c>
      <c r="Z4761" s="45" t="s">
        <v>18961</v>
      </c>
      <c r="AA4761" s="31"/>
      <c r="AB4761" s="45" t="s">
        <v>18962</v>
      </c>
      <c r="AC4761" s="45"/>
    </row>
    <row r="4762" ht="18.75" customHeight="1">
      <c r="A4762" s="142" t="s">
        <v>18963</v>
      </c>
      <c r="B4762" s="19" t="s">
        <v>4293</v>
      </c>
      <c r="C4762" s="20">
        <v>137.0</v>
      </c>
      <c r="D4762" s="39" t="s">
        <v>18964</v>
      </c>
      <c r="E4762" s="27" t="s">
        <v>85</v>
      </c>
      <c r="F4762" s="27" t="s">
        <v>48</v>
      </c>
      <c r="G4762" s="18" t="s">
        <v>35</v>
      </c>
      <c r="H4762" s="40" t="s">
        <v>35</v>
      </c>
      <c r="I4762" s="37" t="s">
        <v>36</v>
      </c>
      <c r="J4762" s="25" t="s">
        <v>65</v>
      </c>
      <c r="K4762" s="26" t="s">
        <v>38</v>
      </c>
      <c r="L4762" s="72">
        <v>13617.0</v>
      </c>
      <c r="M4762" s="49" t="s">
        <v>73</v>
      </c>
      <c r="N4762" s="42" t="s">
        <v>16408</v>
      </c>
      <c r="O4762" s="67">
        <v>45881.68255172454</v>
      </c>
      <c r="P4762" s="35" t="s">
        <v>18597</v>
      </c>
      <c r="Q4762" s="13" t="s">
        <v>75</v>
      </c>
      <c r="R4762" s="13" t="s">
        <v>75</v>
      </c>
      <c r="S4762" s="13" t="s">
        <v>73</v>
      </c>
      <c r="T4762" s="44">
        <v>45881.47474821759</v>
      </c>
      <c r="U4762" s="44">
        <v>45881.61328884259</v>
      </c>
      <c r="V4762" s="44">
        <v>45881.64485790509</v>
      </c>
      <c r="W4762" s="11"/>
      <c r="X4762" s="11"/>
      <c r="Y4762" s="45">
        <v>302.0</v>
      </c>
      <c r="Z4762" s="45" t="s">
        <v>18965</v>
      </c>
      <c r="AA4762" s="31"/>
      <c r="AB4762" s="45" t="s">
        <v>18966</v>
      </c>
      <c r="AC4762" s="45"/>
    </row>
    <row r="4763" ht="18.75" customHeight="1">
      <c r="A4763" s="18" t="s">
        <v>18967</v>
      </c>
      <c r="B4763" s="19" t="s">
        <v>3645</v>
      </c>
      <c r="C4763" s="20">
        <v>11.0</v>
      </c>
      <c r="D4763" s="39" t="s">
        <v>18968</v>
      </c>
      <c r="E4763" s="27" t="s">
        <v>112</v>
      </c>
      <c r="F4763" s="27" t="s">
        <v>48</v>
      </c>
      <c r="G4763" s="18" t="s">
        <v>35</v>
      </c>
      <c r="H4763" s="40" t="s">
        <v>35</v>
      </c>
      <c r="I4763" s="37" t="s">
        <v>36</v>
      </c>
      <c r="J4763" s="25" t="s">
        <v>49</v>
      </c>
      <c r="K4763" s="26" t="s">
        <v>38</v>
      </c>
      <c r="L4763" s="72">
        <v>13634.0</v>
      </c>
      <c r="M4763" s="49" t="s">
        <v>50</v>
      </c>
      <c r="N4763" s="42" t="s">
        <v>17048</v>
      </c>
      <c r="O4763" s="67">
        <v>45887.59565664352</v>
      </c>
      <c r="P4763" s="26" t="s">
        <v>18969</v>
      </c>
      <c r="Q4763" s="13" t="s">
        <v>75</v>
      </c>
      <c r="R4763" s="13" t="s">
        <v>75</v>
      </c>
      <c r="S4763" s="13" t="s">
        <v>50</v>
      </c>
      <c r="T4763" s="44">
        <v>45881.64923809028</v>
      </c>
      <c r="U4763" s="44">
        <v>45887.43059229167</v>
      </c>
      <c r="V4763" s="44">
        <v>45887.43275824074</v>
      </c>
      <c r="W4763" s="11"/>
      <c r="X4763" s="11"/>
      <c r="Y4763" s="45">
        <v>302.0</v>
      </c>
      <c r="Z4763" s="45" t="s">
        <v>18970</v>
      </c>
      <c r="AA4763" s="31"/>
      <c r="AB4763" s="45" t="s">
        <v>18971</v>
      </c>
      <c r="AC4763" s="45"/>
    </row>
    <row r="4764" ht="18.75" customHeight="1">
      <c r="A4764" s="18" t="s">
        <v>18972</v>
      </c>
      <c r="B4764" s="19" t="s">
        <v>3645</v>
      </c>
      <c r="C4764" s="20">
        <v>11.0</v>
      </c>
      <c r="D4764" s="39" t="s">
        <v>18973</v>
      </c>
      <c r="E4764" s="27" t="s">
        <v>112</v>
      </c>
      <c r="F4764" s="27" t="s">
        <v>48</v>
      </c>
      <c r="G4764" s="18" t="s">
        <v>35</v>
      </c>
      <c r="H4764" s="40" t="s">
        <v>35</v>
      </c>
      <c r="I4764" s="37" t="s">
        <v>36</v>
      </c>
      <c r="J4764" s="25" t="s">
        <v>49</v>
      </c>
      <c r="K4764" s="26" t="s">
        <v>38</v>
      </c>
      <c r="L4764" s="72">
        <v>13634.0</v>
      </c>
      <c r="M4764" s="49" t="s">
        <v>50</v>
      </c>
      <c r="N4764" s="42" t="s">
        <v>17048</v>
      </c>
      <c r="O4764" s="67">
        <v>45887.595703391205</v>
      </c>
      <c r="P4764" s="26" t="s">
        <v>18969</v>
      </c>
      <c r="Q4764" s="13" t="s">
        <v>75</v>
      </c>
      <c r="R4764" s="13" t="s">
        <v>75</v>
      </c>
      <c r="S4764" s="13" t="s">
        <v>50</v>
      </c>
      <c r="T4764" s="44">
        <v>45881.64929767361</v>
      </c>
      <c r="U4764" s="44">
        <v>45887.43055805555</v>
      </c>
      <c r="V4764" s="44">
        <v>45887.43275824074</v>
      </c>
      <c r="W4764" s="11"/>
      <c r="X4764" s="11"/>
      <c r="Y4764" s="45">
        <v>302.0</v>
      </c>
      <c r="Z4764" s="45" t="s">
        <v>18974</v>
      </c>
      <c r="AA4764" s="31"/>
      <c r="AB4764" s="45" t="s">
        <v>18975</v>
      </c>
      <c r="AC4764" s="45"/>
    </row>
    <row r="4765" ht="18.75" customHeight="1">
      <c r="A4765" s="142" t="s">
        <v>18976</v>
      </c>
      <c r="B4765" s="19" t="s">
        <v>18977</v>
      </c>
      <c r="C4765" s="20">
        <v>1.0</v>
      </c>
      <c r="D4765" s="39" t="s">
        <v>18978</v>
      </c>
      <c r="E4765" s="27" t="s">
        <v>3395</v>
      </c>
      <c r="F4765" s="27" t="s">
        <v>48</v>
      </c>
      <c r="G4765" s="18" t="s">
        <v>35</v>
      </c>
      <c r="H4765" s="40" t="s">
        <v>35</v>
      </c>
      <c r="I4765" s="37" t="s">
        <v>36</v>
      </c>
      <c r="J4765" s="25" t="s">
        <v>65</v>
      </c>
      <c r="K4765" s="26" t="s">
        <v>38</v>
      </c>
      <c r="L4765" s="72">
        <v>13622.0</v>
      </c>
      <c r="M4765" s="49" t="s">
        <v>73</v>
      </c>
      <c r="N4765" s="42" t="s">
        <v>16408</v>
      </c>
      <c r="O4765" s="67">
        <v>45882.707992511576</v>
      </c>
      <c r="P4765" s="35" t="s">
        <v>18979</v>
      </c>
      <c r="Q4765" s="13" t="s">
        <v>75</v>
      </c>
      <c r="R4765" s="13" t="s">
        <v>75</v>
      </c>
      <c r="S4765" s="13" t="s">
        <v>73</v>
      </c>
      <c r="T4765" s="44">
        <v>45881.71443516204</v>
      </c>
      <c r="U4765" s="44">
        <v>45882.40854788195</v>
      </c>
      <c r="V4765" s="44">
        <v>45882.47338415509</v>
      </c>
      <c r="W4765" s="11"/>
      <c r="X4765" s="11"/>
      <c r="Y4765" s="45">
        <v>302.0</v>
      </c>
      <c r="Z4765" s="45" t="s">
        <v>18980</v>
      </c>
      <c r="AA4765" s="31"/>
      <c r="AB4765" s="45" t="s">
        <v>18981</v>
      </c>
      <c r="AC4765" s="45"/>
    </row>
    <row r="4766" ht="18.75" customHeight="1">
      <c r="A4766" s="142" t="s">
        <v>18982</v>
      </c>
      <c r="B4766" s="19" t="s">
        <v>122</v>
      </c>
      <c r="C4766" s="20">
        <v>90.0</v>
      </c>
      <c r="D4766" s="39" t="s">
        <v>18983</v>
      </c>
      <c r="E4766" s="27" t="s">
        <v>91</v>
      </c>
      <c r="F4766" s="27" t="s">
        <v>48</v>
      </c>
      <c r="G4766" s="18" t="s">
        <v>35</v>
      </c>
      <c r="H4766" s="40" t="s">
        <v>35</v>
      </c>
      <c r="I4766" s="37" t="s">
        <v>36</v>
      </c>
      <c r="J4766" s="25" t="s">
        <v>49</v>
      </c>
      <c r="K4766" s="26" t="s">
        <v>38</v>
      </c>
      <c r="L4766" s="72">
        <v>13623.0</v>
      </c>
      <c r="M4766" s="49" t="s">
        <v>73</v>
      </c>
      <c r="N4766" s="42" t="s">
        <v>5936</v>
      </c>
      <c r="O4766" s="67">
        <v>45882.59419445602</v>
      </c>
      <c r="P4766" s="35" t="s">
        <v>18984</v>
      </c>
      <c r="Q4766" s="13" t="s">
        <v>75</v>
      </c>
      <c r="R4766" s="13" t="s">
        <v>75</v>
      </c>
      <c r="S4766" s="13" t="s">
        <v>73</v>
      </c>
      <c r="T4766" s="44">
        <v>45881.716639756945</v>
      </c>
      <c r="U4766" s="44">
        <v>45882.46663241898</v>
      </c>
      <c r="V4766" s="44">
        <v>45882.47344799769</v>
      </c>
      <c r="W4766" s="11"/>
      <c r="X4766" s="11"/>
      <c r="Y4766" s="45">
        <v>302.0</v>
      </c>
      <c r="Z4766" s="45" t="s">
        <v>18985</v>
      </c>
      <c r="AA4766" s="31"/>
      <c r="AB4766" s="45" t="s">
        <v>18986</v>
      </c>
      <c r="AC4766" s="45"/>
    </row>
    <row r="4767" ht="18.75" customHeight="1">
      <c r="A4767" s="18" t="s">
        <v>18987</v>
      </c>
      <c r="B4767" s="19" t="s">
        <v>4313</v>
      </c>
      <c r="C4767" s="20">
        <v>0.0</v>
      </c>
      <c r="D4767" s="39" t="s">
        <v>18988</v>
      </c>
      <c r="E4767" s="27" t="s">
        <v>4430</v>
      </c>
      <c r="F4767" s="27" t="s">
        <v>48</v>
      </c>
      <c r="G4767" s="18" t="s">
        <v>35</v>
      </c>
      <c r="H4767" s="40" t="s">
        <v>35</v>
      </c>
      <c r="I4767" s="37" t="s">
        <v>36</v>
      </c>
      <c r="J4767" s="25" t="s">
        <v>92</v>
      </c>
      <c r="K4767" s="26" t="s">
        <v>38</v>
      </c>
      <c r="L4767" s="72">
        <v>13633.0</v>
      </c>
      <c r="M4767" s="49" t="s">
        <v>73</v>
      </c>
      <c r="N4767" s="42" t="s">
        <v>10176</v>
      </c>
      <c r="O4767" s="67">
        <v>45884.62786256944</v>
      </c>
      <c r="P4767" s="35" t="s">
        <v>18989</v>
      </c>
      <c r="Q4767" s="13" t="s">
        <v>75</v>
      </c>
      <c r="R4767" s="13" t="s">
        <v>75</v>
      </c>
      <c r="S4767" s="13" t="s">
        <v>73</v>
      </c>
      <c r="T4767" s="44">
        <v>45884.59035403935</v>
      </c>
      <c r="U4767" s="44">
        <v>45884.59137009259</v>
      </c>
      <c r="V4767" s="44">
        <v>45884.607107511576</v>
      </c>
      <c r="W4767" s="11"/>
      <c r="X4767" s="11"/>
      <c r="Y4767" s="45">
        <v>302.0</v>
      </c>
      <c r="Z4767" s="45" t="s">
        <v>18990</v>
      </c>
      <c r="AA4767" s="31"/>
      <c r="AB4767" s="45" t="s">
        <v>18991</v>
      </c>
      <c r="AC4767" s="45"/>
    </row>
    <row r="4768" ht="18.75" customHeight="1">
      <c r="A4768" s="18" t="s">
        <v>18992</v>
      </c>
      <c r="B4768" s="19" t="s">
        <v>4313</v>
      </c>
      <c r="C4768" s="20">
        <v>0.0</v>
      </c>
      <c r="D4768" s="39" t="s">
        <v>18993</v>
      </c>
      <c r="E4768" s="27" t="s">
        <v>4430</v>
      </c>
      <c r="F4768" s="27" t="s">
        <v>48</v>
      </c>
      <c r="G4768" s="18" t="s">
        <v>35</v>
      </c>
      <c r="H4768" s="40" t="s">
        <v>35</v>
      </c>
      <c r="I4768" s="37" t="s">
        <v>36</v>
      </c>
      <c r="J4768" s="25" t="s">
        <v>92</v>
      </c>
      <c r="K4768" s="26" t="s">
        <v>38</v>
      </c>
      <c r="L4768" s="72">
        <v>13633.0</v>
      </c>
      <c r="M4768" s="49" t="s">
        <v>73</v>
      </c>
      <c r="N4768" s="42" t="s">
        <v>10176</v>
      </c>
      <c r="O4768" s="67">
        <v>45884.62779909722</v>
      </c>
      <c r="P4768" s="35" t="s">
        <v>18989</v>
      </c>
      <c r="Q4768" s="13" t="s">
        <v>75</v>
      </c>
      <c r="R4768" s="13" t="s">
        <v>75</v>
      </c>
      <c r="S4768" s="13" t="s">
        <v>73</v>
      </c>
      <c r="T4768" s="44">
        <v>45884.590396643514</v>
      </c>
      <c r="U4768" s="44">
        <v>45884.5913960301</v>
      </c>
      <c r="V4768" s="44">
        <v>45884.607083055555</v>
      </c>
      <c r="W4768" s="11"/>
      <c r="X4768" s="11"/>
      <c r="Y4768" s="45">
        <v>302.0</v>
      </c>
      <c r="Z4768" s="45" t="s">
        <v>18994</v>
      </c>
      <c r="AA4768" s="31"/>
      <c r="AB4768" s="45" t="s">
        <v>18995</v>
      </c>
      <c r="AC4768" s="45"/>
    </row>
    <row r="4769" ht="18.75" customHeight="1">
      <c r="A4769" s="142" t="s">
        <v>18996</v>
      </c>
      <c r="B4769" s="19" t="s">
        <v>4293</v>
      </c>
      <c r="C4769" s="20">
        <v>34.0</v>
      </c>
      <c r="D4769" s="39" t="s">
        <v>18997</v>
      </c>
      <c r="E4769" s="27" t="s">
        <v>47</v>
      </c>
      <c r="F4769" s="27" t="s">
        <v>48</v>
      </c>
      <c r="G4769" s="18" t="s">
        <v>35</v>
      </c>
      <c r="H4769" s="40" t="s">
        <v>35</v>
      </c>
      <c r="I4769" s="37" t="s">
        <v>36</v>
      </c>
      <c r="J4769" s="25" t="s">
        <v>65</v>
      </c>
      <c r="K4769" s="26" t="s">
        <v>38</v>
      </c>
      <c r="L4769" s="72">
        <v>13635.0</v>
      </c>
      <c r="M4769" s="49" t="s">
        <v>50</v>
      </c>
      <c r="N4769" s="42" t="s">
        <v>3461</v>
      </c>
      <c r="O4769" s="67">
        <v>45888.328826666664</v>
      </c>
      <c r="P4769" s="35" t="s">
        <v>18998</v>
      </c>
      <c r="Q4769" s="13" t="s">
        <v>75</v>
      </c>
      <c r="R4769" s="13" t="s">
        <v>75</v>
      </c>
      <c r="S4769" s="13" t="s">
        <v>50</v>
      </c>
      <c r="T4769" s="44">
        <v>45881.721140821755</v>
      </c>
      <c r="U4769" s="44">
        <v>45887.41183357639</v>
      </c>
      <c r="V4769" s="44">
        <v>45887.43794078704</v>
      </c>
      <c r="W4769" s="11"/>
      <c r="X4769" s="11"/>
      <c r="Y4769" s="45">
        <v>302.0</v>
      </c>
      <c r="Z4769" s="45" t="s">
        <v>18999</v>
      </c>
      <c r="AA4769" s="31"/>
      <c r="AB4769" s="45" t="s">
        <v>19000</v>
      </c>
      <c r="AC4769" s="45"/>
    </row>
    <row r="4770" ht="18.75" customHeight="1">
      <c r="A4770" s="18" t="s">
        <v>19001</v>
      </c>
      <c r="B4770" s="19" t="s">
        <v>19002</v>
      </c>
      <c r="C4770" s="20">
        <v>1.0</v>
      </c>
      <c r="D4770" s="39" t="s">
        <v>19003</v>
      </c>
      <c r="E4770" s="27" t="s">
        <v>3395</v>
      </c>
      <c r="F4770" s="27" t="s">
        <v>48</v>
      </c>
      <c r="G4770" s="18" t="s">
        <v>35</v>
      </c>
      <c r="H4770" s="40" t="s">
        <v>35</v>
      </c>
      <c r="I4770" s="37" t="s">
        <v>36</v>
      </c>
      <c r="J4770" s="25" t="s">
        <v>92</v>
      </c>
      <c r="K4770" s="26" t="s">
        <v>38</v>
      </c>
      <c r="L4770" s="72">
        <v>13625.0</v>
      </c>
      <c r="M4770" s="49" t="s">
        <v>73</v>
      </c>
      <c r="N4770" s="42" t="s">
        <v>19004</v>
      </c>
      <c r="O4770" s="67">
        <v>45883.43466287037</v>
      </c>
      <c r="P4770" s="35" t="s">
        <v>19005</v>
      </c>
      <c r="Q4770" s="13" t="s">
        <v>75</v>
      </c>
      <c r="R4770" s="13" t="s">
        <v>75</v>
      </c>
      <c r="S4770" s="13" t="s">
        <v>73</v>
      </c>
      <c r="T4770" s="44">
        <v>45882.68924082176</v>
      </c>
      <c r="U4770" s="44">
        <v>45882.689231412034</v>
      </c>
      <c r="V4770" s="44">
        <v>45883.385300497685</v>
      </c>
      <c r="W4770" s="11"/>
      <c r="X4770" s="148">
        <v>45884.0</v>
      </c>
      <c r="Y4770" s="45">
        <v>302.0</v>
      </c>
      <c r="Z4770" s="45" t="s">
        <v>19006</v>
      </c>
      <c r="AA4770" s="31"/>
      <c r="AB4770" s="45" t="s">
        <v>19007</v>
      </c>
      <c r="AC4770" s="45"/>
    </row>
    <row r="4771" ht="18.75" customHeight="1">
      <c r="A4771" s="18" t="s">
        <v>19008</v>
      </c>
      <c r="B4771" s="19" t="s">
        <v>19002</v>
      </c>
      <c r="C4771" s="20">
        <v>1.0</v>
      </c>
      <c r="D4771" s="39" t="s">
        <v>19009</v>
      </c>
      <c r="E4771" s="27" t="s">
        <v>3395</v>
      </c>
      <c r="F4771" s="27" t="s">
        <v>48</v>
      </c>
      <c r="G4771" s="18" t="s">
        <v>35</v>
      </c>
      <c r="H4771" s="40" t="s">
        <v>35</v>
      </c>
      <c r="I4771" s="37" t="s">
        <v>36</v>
      </c>
      <c r="J4771" s="25" t="s">
        <v>92</v>
      </c>
      <c r="K4771" s="26" t="s">
        <v>38</v>
      </c>
      <c r="L4771" s="72">
        <v>13625.0</v>
      </c>
      <c r="M4771" s="49" t="s">
        <v>73</v>
      </c>
      <c r="N4771" s="42" t="s">
        <v>19004</v>
      </c>
      <c r="O4771" s="67">
        <v>45883.43513115741</v>
      </c>
      <c r="P4771" s="35" t="s">
        <v>19005</v>
      </c>
      <c r="Q4771" s="13" t="s">
        <v>75</v>
      </c>
      <c r="R4771" s="13" t="s">
        <v>75</v>
      </c>
      <c r="S4771" s="13" t="s">
        <v>73</v>
      </c>
      <c r="T4771" s="44">
        <v>45882.689516631945</v>
      </c>
      <c r="U4771" s="44">
        <v>45882.69073770833</v>
      </c>
      <c r="V4771" s="44">
        <v>45883.38557290509</v>
      </c>
      <c r="W4771" s="11"/>
      <c r="X4771" s="148">
        <v>45884.0</v>
      </c>
      <c r="Y4771" s="45">
        <v>302.0</v>
      </c>
      <c r="Z4771" s="45" t="s">
        <v>19010</v>
      </c>
      <c r="AA4771" s="31"/>
      <c r="AB4771" s="45" t="s">
        <v>19011</v>
      </c>
      <c r="AC4771" s="45"/>
    </row>
    <row r="4772" ht="18.75" customHeight="1">
      <c r="A4772" s="18" t="s">
        <v>19012</v>
      </c>
      <c r="B4772" s="19" t="s">
        <v>19002</v>
      </c>
      <c r="C4772" s="20">
        <v>1.0</v>
      </c>
      <c r="D4772" s="39" t="s">
        <v>19013</v>
      </c>
      <c r="E4772" s="27" t="s">
        <v>3395</v>
      </c>
      <c r="F4772" s="27" t="s">
        <v>48</v>
      </c>
      <c r="G4772" s="18" t="s">
        <v>35</v>
      </c>
      <c r="H4772" s="40" t="s">
        <v>35</v>
      </c>
      <c r="I4772" s="37" t="s">
        <v>36</v>
      </c>
      <c r="J4772" s="25" t="s">
        <v>92</v>
      </c>
      <c r="K4772" s="26" t="s">
        <v>38</v>
      </c>
      <c r="L4772" s="72">
        <v>13625.0</v>
      </c>
      <c r="M4772" s="49" t="s">
        <v>73</v>
      </c>
      <c r="N4772" s="42" t="s">
        <v>19004</v>
      </c>
      <c r="O4772" s="67">
        <v>45883.43517652778</v>
      </c>
      <c r="P4772" s="35" t="s">
        <v>19005</v>
      </c>
      <c r="Q4772" s="13" t="s">
        <v>75</v>
      </c>
      <c r="R4772" s="13" t="s">
        <v>75</v>
      </c>
      <c r="S4772" s="13" t="s">
        <v>73</v>
      </c>
      <c r="T4772" s="44">
        <v>45882.68954869213</v>
      </c>
      <c r="U4772" s="44">
        <v>45882.69077292824</v>
      </c>
      <c r="V4772" s="44">
        <v>45883.385610729165</v>
      </c>
      <c r="W4772" s="11"/>
      <c r="X4772" s="148">
        <v>45884.0</v>
      </c>
      <c r="Y4772" s="45">
        <v>302.0</v>
      </c>
      <c r="Z4772" s="45" t="s">
        <v>19014</v>
      </c>
      <c r="AA4772" s="31"/>
      <c r="AB4772" s="45" t="s">
        <v>19015</v>
      </c>
      <c r="AC4772" s="45"/>
    </row>
    <row r="4773" ht="18.75" customHeight="1">
      <c r="A4773" s="18" t="s">
        <v>19016</v>
      </c>
      <c r="B4773" s="19" t="s">
        <v>19002</v>
      </c>
      <c r="C4773" s="20">
        <v>1.0</v>
      </c>
      <c r="D4773" s="39" t="s">
        <v>19017</v>
      </c>
      <c r="E4773" s="27" t="s">
        <v>3395</v>
      </c>
      <c r="F4773" s="27" t="s">
        <v>48</v>
      </c>
      <c r="G4773" s="18" t="s">
        <v>35</v>
      </c>
      <c r="H4773" s="40" t="s">
        <v>35</v>
      </c>
      <c r="I4773" s="37" t="s">
        <v>36</v>
      </c>
      <c r="J4773" s="25" t="s">
        <v>92</v>
      </c>
      <c r="K4773" s="26" t="s">
        <v>38</v>
      </c>
      <c r="L4773" s="72">
        <v>13625.0</v>
      </c>
      <c r="M4773" s="49" t="s">
        <v>73</v>
      </c>
      <c r="N4773" s="42" t="s">
        <v>19004</v>
      </c>
      <c r="O4773" s="67">
        <v>45883.43641782408</v>
      </c>
      <c r="P4773" s="35" t="s">
        <v>19005</v>
      </c>
      <c r="Q4773" s="13" t="s">
        <v>75</v>
      </c>
      <c r="R4773" s="13" t="s">
        <v>75</v>
      </c>
      <c r="S4773" s="13" t="s">
        <v>73</v>
      </c>
      <c r="T4773" s="44">
        <v>45882.689578460646</v>
      </c>
      <c r="U4773" s="44">
        <v>45882.69080643519</v>
      </c>
      <c r="V4773" s="44">
        <v>45883.38565861111</v>
      </c>
      <c r="W4773" s="11"/>
      <c r="X4773" s="148">
        <v>45884.0</v>
      </c>
      <c r="Y4773" s="45">
        <v>302.0</v>
      </c>
      <c r="Z4773" s="45" t="s">
        <v>19018</v>
      </c>
      <c r="AA4773" s="31"/>
      <c r="AB4773" s="45" t="s">
        <v>19019</v>
      </c>
      <c r="AC4773" s="45"/>
    </row>
    <row r="4774" ht="18.75" customHeight="1">
      <c r="A4774" s="18" t="s">
        <v>19020</v>
      </c>
      <c r="B4774" s="19" t="s">
        <v>19002</v>
      </c>
      <c r="C4774" s="20">
        <v>1.0</v>
      </c>
      <c r="D4774" s="39" t="s">
        <v>19021</v>
      </c>
      <c r="E4774" s="27" t="s">
        <v>3395</v>
      </c>
      <c r="F4774" s="27" t="s">
        <v>48</v>
      </c>
      <c r="G4774" s="18" t="s">
        <v>35</v>
      </c>
      <c r="H4774" s="40" t="s">
        <v>35</v>
      </c>
      <c r="I4774" s="37" t="s">
        <v>36</v>
      </c>
      <c r="J4774" s="25" t="s">
        <v>92</v>
      </c>
      <c r="K4774" s="26" t="s">
        <v>38</v>
      </c>
      <c r="L4774" s="72">
        <v>13625.0</v>
      </c>
      <c r="M4774" s="49" t="s">
        <v>73</v>
      </c>
      <c r="N4774" s="42" t="s">
        <v>19004</v>
      </c>
      <c r="O4774" s="67">
        <v>45883.43647328704</v>
      </c>
      <c r="P4774" s="35" t="s">
        <v>19005</v>
      </c>
      <c r="Q4774" s="13" t="s">
        <v>75</v>
      </c>
      <c r="R4774" s="13" t="s">
        <v>75</v>
      </c>
      <c r="S4774" s="13" t="s">
        <v>73</v>
      </c>
      <c r="T4774" s="44">
        <v>45882.689608877314</v>
      </c>
      <c r="U4774" s="44">
        <v>45882.69083787037</v>
      </c>
      <c r="V4774" s="44">
        <v>45883.38572106481</v>
      </c>
      <c r="W4774" s="11"/>
      <c r="X4774" s="148">
        <v>45884.0</v>
      </c>
      <c r="Y4774" s="45">
        <v>302.0</v>
      </c>
      <c r="Z4774" s="45" t="s">
        <v>19022</v>
      </c>
      <c r="AA4774" s="31"/>
      <c r="AB4774" s="45" t="s">
        <v>19023</v>
      </c>
      <c r="AC4774" s="45"/>
    </row>
    <row r="4775" ht="18.75" customHeight="1">
      <c r="A4775" s="18" t="s">
        <v>19024</v>
      </c>
      <c r="B4775" s="19" t="s">
        <v>19002</v>
      </c>
      <c r="C4775" s="20">
        <v>1.0</v>
      </c>
      <c r="D4775" s="39" t="s">
        <v>19025</v>
      </c>
      <c r="E4775" s="27" t="s">
        <v>3395</v>
      </c>
      <c r="F4775" s="27" t="s">
        <v>48</v>
      </c>
      <c r="G4775" s="18" t="s">
        <v>35</v>
      </c>
      <c r="H4775" s="40" t="s">
        <v>35</v>
      </c>
      <c r="I4775" s="37" t="s">
        <v>36</v>
      </c>
      <c r="J4775" s="25" t="s">
        <v>92</v>
      </c>
      <c r="K4775" s="26" t="s">
        <v>38</v>
      </c>
      <c r="L4775" s="72">
        <v>13625.0</v>
      </c>
      <c r="M4775" s="49" t="s">
        <v>73</v>
      </c>
      <c r="N4775" s="42" t="s">
        <v>19004</v>
      </c>
      <c r="O4775" s="67">
        <v>45883.43652103009</v>
      </c>
      <c r="P4775" s="35" t="s">
        <v>19005</v>
      </c>
      <c r="Q4775" s="13" t="s">
        <v>75</v>
      </c>
      <c r="R4775" s="13" t="s">
        <v>75</v>
      </c>
      <c r="S4775" s="13" t="s">
        <v>73</v>
      </c>
      <c r="T4775" s="44">
        <v>45882.689638055555</v>
      </c>
      <c r="U4775" s="44">
        <v>45882.69085940972</v>
      </c>
      <c r="V4775" s="44">
        <v>45883.38576790509</v>
      </c>
      <c r="W4775" s="11"/>
      <c r="X4775" s="148">
        <v>45884.0</v>
      </c>
      <c r="Y4775" s="45">
        <v>302.0</v>
      </c>
      <c r="Z4775" s="45" t="s">
        <v>19026</v>
      </c>
      <c r="AA4775" s="31"/>
      <c r="AB4775" s="45" t="s">
        <v>19027</v>
      </c>
      <c r="AC4775" s="45"/>
    </row>
    <row r="4776" ht="18.75" customHeight="1">
      <c r="A4776" s="18" t="s">
        <v>19028</v>
      </c>
      <c r="B4776" s="19" t="s">
        <v>19002</v>
      </c>
      <c r="C4776" s="20">
        <v>1.0</v>
      </c>
      <c r="D4776" s="39" t="s">
        <v>19029</v>
      </c>
      <c r="E4776" s="27" t="s">
        <v>3395</v>
      </c>
      <c r="F4776" s="27" t="s">
        <v>48</v>
      </c>
      <c r="G4776" s="18" t="s">
        <v>35</v>
      </c>
      <c r="H4776" s="40" t="s">
        <v>35</v>
      </c>
      <c r="I4776" s="37" t="s">
        <v>36</v>
      </c>
      <c r="J4776" s="25" t="s">
        <v>92</v>
      </c>
      <c r="K4776" s="26" t="s">
        <v>38</v>
      </c>
      <c r="L4776" s="72">
        <v>13625.0</v>
      </c>
      <c r="M4776" s="49" t="s">
        <v>73</v>
      </c>
      <c r="N4776" s="42" t="s">
        <v>19004</v>
      </c>
      <c r="O4776" s="67">
        <v>45883.43656671296</v>
      </c>
      <c r="P4776" s="35" t="s">
        <v>19005</v>
      </c>
      <c r="Q4776" s="13" t="s">
        <v>75</v>
      </c>
      <c r="R4776" s="13" t="s">
        <v>75</v>
      </c>
      <c r="S4776" s="13" t="s">
        <v>73</v>
      </c>
      <c r="T4776" s="44">
        <v>45882.68966740741</v>
      </c>
      <c r="U4776" s="44">
        <v>45882.69088116898</v>
      </c>
      <c r="V4776" s="44">
        <v>45883.385803067125</v>
      </c>
      <c r="W4776" s="11"/>
      <c r="X4776" s="148">
        <v>45884.0</v>
      </c>
      <c r="Y4776" s="45">
        <v>302.0</v>
      </c>
      <c r="Z4776" s="45" t="s">
        <v>19030</v>
      </c>
      <c r="AA4776" s="31"/>
      <c r="AB4776" s="45" t="s">
        <v>19031</v>
      </c>
      <c r="AC4776" s="45"/>
    </row>
    <row r="4777" ht="18.75" customHeight="1">
      <c r="A4777" s="18" t="s">
        <v>19032</v>
      </c>
      <c r="B4777" s="19" t="s">
        <v>19002</v>
      </c>
      <c r="C4777" s="20">
        <v>1.0</v>
      </c>
      <c r="D4777" s="39" t="s">
        <v>19033</v>
      </c>
      <c r="E4777" s="27" t="s">
        <v>3395</v>
      </c>
      <c r="F4777" s="27" t="s">
        <v>48</v>
      </c>
      <c r="G4777" s="18" t="s">
        <v>35</v>
      </c>
      <c r="H4777" s="40" t="s">
        <v>35</v>
      </c>
      <c r="I4777" s="37" t="s">
        <v>36</v>
      </c>
      <c r="J4777" s="25" t="s">
        <v>92</v>
      </c>
      <c r="K4777" s="26" t="s">
        <v>38</v>
      </c>
      <c r="L4777" s="72">
        <v>13625.0</v>
      </c>
      <c r="M4777" s="49" t="s">
        <v>73</v>
      </c>
      <c r="N4777" s="42" t="s">
        <v>19004</v>
      </c>
      <c r="O4777" s="67">
        <v>45883.436618472224</v>
      </c>
      <c r="P4777" s="35" t="s">
        <v>19005</v>
      </c>
      <c r="Q4777" s="13" t="s">
        <v>75</v>
      </c>
      <c r="R4777" s="13" t="s">
        <v>75</v>
      </c>
      <c r="S4777" s="13" t="s">
        <v>73</v>
      </c>
      <c r="T4777" s="44">
        <v>45882.68969944444</v>
      </c>
      <c r="U4777" s="44">
        <v>45882.69090166666</v>
      </c>
      <c r="V4777" s="44">
        <v>45883.38585993055</v>
      </c>
      <c r="W4777" s="11"/>
      <c r="X4777" s="148">
        <v>45884.0</v>
      </c>
      <c r="Y4777" s="45"/>
      <c r="Z4777" s="45"/>
      <c r="AA4777" s="31"/>
      <c r="AB4777" s="45" t="s">
        <v>19034</v>
      </c>
      <c r="AC4777" s="45"/>
    </row>
    <row r="4778" ht="18.75" customHeight="1">
      <c r="A4778" s="18" t="s">
        <v>19035</v>
      </c>
      <c r="B4778" s="19" t="s">
        <v>19002</v>
      </c>
      <c r="C4778" s="20">
        <v>1.0</v>
      </c>
      <c r="D4778" s="39" t="s">
        <v>19036</v>
      </c>
      <c r="E4778" s="27" t="s">
        <v>3395</v>
      </c>
      <c r="F4778" s="27" t="s">
        <v>48</v>
      </c>
      <c r="G4778" s="18" t="s">
        <v>35</v>
      </c>
      <c r="H4778" s="40" t="s">
        <v>35</v>
      </c>
      <c r="I4778" s="37" t="s">
        <v>36</v>
      </c>
      <c r="J4778" s="25" t="s">
        <v>92</v>
      </c>
      <c r="K4778" s="26" t="s">
        <v>38</v>
      </c>
      <c r="L4778" s="72">
        <v>13625.0</v>
      </c>
      <c r="M4778" s="49" t="s">
        <v>73</v>
      </c>
      <c r="N4778" s="42" t="s">
        <v>19004</v>
      </c>
      <c r="O4778" s="67">
        <v>45883.43678021991</v>
      </c>
      <c r="P4778" s="35" t="s">
        <v>19005</v>
      </c>
      <c r="Q4778" s="13" t="s">
        <v>75</v>
      </c>
      <c r="R4778" s="13" t="s">
        <v>75</v>
      </c>
      <c r="S4778" s="13" t="s">
        <v>73</v>
      </c>
      <c r="T4778" s="44">
        <v>45882.689730474536</v>
      </c>
      <c r="U4778" s="44">
        <v>45882.69092476852</v>
      </c>
      <c r="V4778" s="44">
        <v>45883.38590079861</v>
      </c>
      <c r="W4778" s="11"/>
      <c r="X4778" s="148">
        <v>45884.0</v>
      </c>
      <c r="Y4778" s="45">
        <v>302.0</v>
      </c>
      <c r="Z4778" s="45" t="s">
        <v>19037</v>
      </c>
      <c r="AA4778" s="31"/>
      <c r="AB4778" s="45" t="s">
        <v>19038</v>
      </c>
      <c r="AC4778" s="45"/>
    </row>
    <row r="4779" ht="18.75" customHeight="1">
      <c r="A4779" s="18" t="s">
        <v>19039</v>
      </c>
      <c r="B4779" s="19" t="s">
        <v>19002</v>
      </c>
      <c r="C4779" s="20">
        <v>1.0</v>
      </c>
      <c r="D4779" s="39" t="s">
        <v>19040</v>
      </c>
      <c r="E4779" s="27" t="s">
        <v>3395</v>
      </c>
      <c r="F4779" s="27" t="s">
        <v>48</v>
      </c>
      <c r="G4779" s="18" t="s">
        <v>35</v>
      </c>
      <c r="H4779" s="40" t="s">
        <v>35</v>
      </c>
      <c r="I4779" s="37" t="s">
        <v>36</v>
      </c>
      <c r="J4779" s="25" t="s">
        <v>92</v>
      </c>
      <c r="K4779" s="26" t="s">
        <v>38</v>
      </c>
      <c r="L4779" s="72">
        <v>13625.0</v>
      </c>
      <c r="M4779" s="49" t="s">
        <v>73</v>
      </c>
      <c r="N4779" s="42" t="s">
        <v>19004</v>
      </c>
      <c r="O4779" s="67">
        <v>45883.43694109954</v>
      </c>
      <c r="P4779" s="35" t="s">
        <v>19005</v>
      </c>
      <c r="Q4779" s="13" t="s">
        <v>75</v>
      </c>
      <c r="R4779" s="13" t="s">
        <v>75</v>
      </c>
      <c r="S4779" s="13" t="s">
        <v>73</v>
      </c>
      <c r="T4779" s="44">
        <v>45882.68975899306</v>
      </c>
      <c r="U4779" s="44">
        <v>45882.69094703704</v>
      </c>
      <c r="V4779" s="44">
        <v>45883.385939837965</v>
      </c>
      <c r="W4779" s="11"/>
      <c r="X4779" s="148">
        <v>45884.0</v>
      </c>
      <c r="Y4779" s="45">
        <v>302.0</v>
      </c>
      <c r="Z4779" s="45" t="s">
        <v>19041</v>
      </c>
      <c r="AA4779" s="31"/>
      <c r="AB4779" s="45" t="s">
        <v>19042</v>
      </c>
      <c r="AC4779" s="45"/>
    </row>
    <row r="4780" ht="18.75" customHeight="1">
      <c r="A4780" s="18" t="s">
        <v>19043</v>
      </c>
      <c r="B4780" s="19" t="s">
        <v>19002</v>
      </c>
      <c r="C4780" s="20">
        <v>1.0</v>
      </c>
      <c r="D4780" s="39" t="s">
        <v>19044</v>
      </c>
      <c r="E4780" s="27" t="s">
        <v>3395</v>
      </c>
      <c r="F4780" s="27" t="s">
        <v>48</v>
      </c>
      <c r="G4780" s="18" t="s">
        <v>35</v>
      </c>
      <c r="H4780" s="40" t="s">
        <v>35</v>
      </c>
      <c r="I4780" s="37" t="s">
        <v>36</v>
      </c>
      <c r="J4780" s="25" t="s">
        <v>92</v>
      </c>
      <c r="K4780" s="26" t="s">
        <v>38</v>
      </c>
      <c r="L4780" s="72">
        <v>13625.0</v>
      </c>
      <c r="M4780" s="49" t="s">
        <v>73</v>
      </c>
      <c r="N4780" s="42" t="s">
        <v>19004</v>
      </c>
      <c r="O4780" s="67">
        <v>45883.43698545139</v>
      </c>
      <c r="P4780" s="35" t="s">
        <v>19005</v>
      </c>
      <c r="Q4780" s="13" t="s">
        <v>75</v>
      </c>
      <c r="R4780" s="13" t="s">
        <v>75</v>
      </c>
      <c r="S4780" s="13" t="s">
        <v>73</v>
      </c>
      <c r="T4780" s="44">
        <v>45882.6897890625</v>
      </c>
      <c r="U4780" s="44">
        <v>45882.6909716088</v>
      </c>
      <c r="V4780" s="44">
        <v>45883.38597778935</v>
      </c>
      <c r="W4780" s="11"/>
      <c r="X4780" s="148">
        <v>45884.0</v>
      </c>
      <c r="Y4780" s="45">
        <v>302.0</v>
      </c>
      <c r="Z4780" s="45" t="s">
        <v>19045</v>
      </c>
      <c r="AA4780" s="31"/>
      <c r="AB4780" s="45" t="s">
        <v>19046</v>
      </c>
      <c r="AC4780" s="45"/>
    </row>
    <row r="4781" ht="18.75" customHeight="1">
      <c r="A4781" s="18" t="s">
        <v>19047</v>
      </c>
      <c r="B4781" s="19" t="s">
        <v>19002</v>
      </c>
      <c r="C4781" s="20">
        <v>1.0</v>
      </c>
      <c r="D4781" s="39" t="s">
        <v>19048</v>
      </c>
      <c r="E4781" s="27" t="s">
        <v>3395</v>
      </c>
      <c r="F4781" s="27" t="s">
        <v>48</v>
      </c>
      <c r="G4781" s="18" t="s">
        <v>35</v>
      </c>
      <c r="H4781" s="40" t="s">
        <v>35</v>
      </c>
      <c r="I4781" s="37" t="s">
        <v>36</v>
      </c>
      <c r="J4781" s="25" t="s">
        <v>92</v>
      </c>
      <c r="K4781" s="26" t="s">
        <v>38</v>
      </c>
      <c r="L4781" s="72">
        <v>13625.0</v>
      </c>
      <c r="M4781" s="49" t="s">
        <v>73</v>
      </c>
      <c r="N4781" s="42" t="s">
        <v>19004</v>
      </c>
      <c r="O4781" s="67">
        <v>45883.43473821759</v>
      </c>
      <c r="P4781" s="35" t="s">
        <v>19005</v>
      </c>
      <c r="Q4781" s="13" t="s">
        <v>75</v>
      </c>
      <c r="R4781" s="13" t="s">
        <v>75</v>
      </c>
      <c r="S4781" s="13" t="s">
        <v>73</v>
      </c>
      <c r="T4781" s="44">
        <v>45882.68927416667</v>
      </c>
      <c r="U4781" s="44">
        <v>45882.69052070602</v>
      </c>
      <c r="V4781" s="44">
        <v>45883.38530050926</v>
      </c>
      <c r="W4781" s="11"/>
      <c r="X4781" s="148">
        <v>45884.0</v>
      </c>
      <c r="Y4781" s="45">
        <v>302.0</v>
      </c>
      <c r="Z4781" s="45" t="s">
        <v>19049</v>
      </c>
      <c r="AA4781" s="31"/>
      <c r="AB4781" s="45" t="s">
        <v>19050</v>
      </c>
      <c r="AC4781" s="45"/>
    </row>
    <row r="4782" ht="18.75" customHeight="1">
      <c r="A4782" s="18" t="s">
        <v>19051</v>
      </c>
      <c r="B4782" s="19" t="s">
        <v>19002</v>
      </c>
      <c r="C4782" s="20">
        <v>1.0</v>
      </c>
      <c r="D4782" s="39" t="s">
        <v>19052</v>
      </c>
      <c r="E4782" s="27" t="s">
        <v>3395</v>
      </c>
      <c r="F4782" s="27" t="s">
        <v>48</v>
      </c>
      <c r="G4782" s="18" t="s">
        <v>35</v>
      </c>
      <c r="H4782" s="40" t="s">
        <v>35</v>
      </c>
      <c r="I4782" s="37" t="s">
        <v>36</v>
      </c>
      <c r="J4782" s="25" t="s">
        <v>92</v>
      </c>
      <c r="K4782" s="26" t="s">
        <v>38</v>
      </c>
      <c r="L4782" s="72">
        <v>13625.0</v>
      </c>
      <c r="M4782" s="49" t="s">
        <v>73</v>
      </c>
      <c r="N4782" s="42" t="s">
        <v>19004</v>
      </c>
      <c r="O4782" s="67">
        <v>45883.43703306713</v>
      </c>
      <c r="P4782" s="35" t="s">
        <v>19005</v>
      </c>
      <c r="Q4782" s="13" t="s">
        <v>75</v>
      </c>
      <c r="R4782" s="13" t="s">
        <v>75</v>
      </c>
      <c r="S4782" s="13" t="s">
        <v>73</v>
      </c>
      <c r="T4782" s="44">
        <v>45882.68981704861</v>
      </c>
      <c r="U4782" s="44">
        <v>45882.69100521991</v>
      </c>
      <c r="V4782" s="44">
        <v>45883.386019004625</v>
      </c>
      <c r="W4782" s="11"/>
      <c r="X4782" s="148">
        <v>45884.0</v>
      </c>
      <c r="Y4782" s="45">
        <v>302.0</v>
      </c>
      <c r="Z4782" s="45" t="s">
        <v>19053</v>
      </c>
      <c r="AA4782" s="31"/>
      <c r="AB4782" s="45" t="s">
        <v>19054</v>
      </c>
      <c r="AC4782" s="45"/>
    </row>
    <row r="4783" ht="18.75" customHeight="1">
      <c r="A4783" s="18" t="s">
        <v>19055</v>
      </c>
      <c r="B4783" s="19" t="s">
        <v>19002</v>
      </c>
      <c r="C4783" s="20">
        <v>1.0</v>
      </c>
      <c r="D4783" s="39" t="s">
        <v>19056</v>
      </c>
      <c r="E4783" s="27" t="s">
        <v>3395</v>
      </c>
      <c r="F4783" s="27" t="s">
        <v>48</v>
      </c>
      <c r="G4783" s="18" t="s">
        <v>35</v>
      </c>
      <c r="H4783" s="40" t="s">
        <v>35</v>
      </c>
      <c r="I4783" s="37" t="s">
        <v>36</v>
      </c>
      <c r="J4783" s="25" t="s">
        <v>92</v>
      </c>
      <c r="K4783" s="26" t="s">
        <v>38</v>
      </c>
      <c r="L4783" s="72">
        <v>13625.0</v>
      </c>
      <c r="M4783" s="49" t="s">
        <v>73</v>
      </c>
      <c r="N4783" s="42" t="s">
        <v>19004</v>
      </c>
      <c r="O4783" s="67">
        <v>45883.43708113426</v>
      </c>
      <c r="P4783" s="35" t="s">
        <v>19005</v>
      </c>
      <c r="Q4783" s="13" t="s">
        <v>75</v>
      </c>
      <c r="R4783" s="13" t="s">
        <v>75</v>
      </c>
      <c r="S4783" s="13" t="s">
        <v>73</v>
      </c>
      <c r="T4783" s="44">
        <v>45882.689853090276</v>
      </c>
      <c r="U4783" s="44">
        <v>45882.69107306713</v>
      </c>
      <c r="V4783" s="44">
        <v>45883.386060335644</v>
      </c>
      <c r="W4783" s="11"/>
      <c r="X4783" s="148">
        <v>45884.0</v>
      </c>
      <c r="Y4783" s="45">
        <v>302.0</v>
      </c>
      <c r="Z4783" s="45" t="s">
        <v>19057</v>
      </c>
      <c r="AA4783" s="31"/>
      <c r="AB4783" s="45" t="s">
        <v>19058</v>
      </c>
      <c r="AC4783" s="45"/>
    </row>
    <row r="4784" ht="18.75" customHeight="1">
      <c r="A4784" s="18" t="s">
        <v>19059</v>
      </c>
      <c r="B4784" s="19" t="s">
        <v>19002</v>
      </c>
      <c r="C4784" s="20">
        <v>1.0</v>
      </c>
      <c r="D4784" s="39" t="s">
        <v>19060</v>
      </c>
      <c r="E4784" s="27" t="s">
        <v>3395</v>
      </c>
      <c r="F4784" s="27" t="s">
        <v>48</v>
      </c>
      <c r="G4784" s="18" t="s">
        <v>35</v>
      </c>
      <c r="H4784" s="40" t="s">
        <v>35</v>
      </c>
      <c r="I4784" s="37" t="s">
        <v>36</v>
      </c>
      <c r="J4784" s="25" t="s">
        <v>92</v>
      </c>
      <c r="K4784" s="26" t="s">
        <v>38</v>
      </c>
      <c r="L4784" s="72">
        <v>13625.0</v>
      </c>
      <c r="M4784" s="49" t="s">
        <v>73</v>
      </c>
      <c r="N4784" s="42" t="s">
        <v>19004</v>
      </c>
      <c r="O4784" s="67">
        <v>45883.43687815972</v>
      </c>
      <c r="P4784" s="35" t="s">
        <v>19005</v>
      </c>
      <c r="Q4784" s="13" t="s">
        <v>75</v>
      </c>
      <c r="R4784" s="13" t="s">
        <v>75</v>
      </c>
      <c r="S4784" s="13" t="s">
        <v>73</v>
      </c>
      <c r="T4784" s="44">
        <v>45882.689921087964</v>
      </c>
      <c r="U4784" s="44">
        <v>45882.69111847223</v>
      </c>
      <c r="V4784" s="44">
        <v>45883.38615040509</v>
      </c>
      <c r="W4784" s="11"/>
      <c r="X4784" s="148">
        <v>45884.0</v>
      </c>
      <c r="Y4784" s="45">
        <v>302.0</v>
      </c>
      <c r="Z4784" s="45" t="s">
        <v>19061</v>
      </c>
      <c r="AA4784" s="31"/>
      <c r="AB4784" s="45" t="s">
        <v>19062</v>
      </c>
      <c r="AC4784" s="45"/>
    </row>
    <row r="4785" ht="18.75" customHeight="1">
      <c r="A4785" s="18" t="s">
        <v>19063</v>
      </c>
      <c r="B4785" s="19" t="s">
        <v>19002</v>
      </c>
      <c r="C4785" s="20">
        <v>1.0</v>
      </c>
      <c r="D4785" s="39" t="s">
        <v>19064</v>
      </c>
      <c r="E4785" s="27" t="s">
        <v>3395</v>
      </c>
      <c r="F4785" s="27" t="s">
        <v>48</v>
      </c>
      <c r="G4785" s="18" t="s">
        <v>35</v>
      </c>
      <c r="H4785" s="40" t="s">
        <v>35</v>
      </c>
      <c r="I4785" s="37" t="s">
        <v>36</v>
      </c>
      <c r="J4785" s="25" t="s">
        <v>92</v>
      </c>
      <c r="K4785" s="26" t="s">
        <v>38</v>
      </c>
      <c r="L4785" s="72">
        <v>13625.0</v>
      </c>
      <c r="M4785" s="49" t="s">
        <v>73</v>
      </c>
      <c r="N4785" s="42" t="s">
        <v>19004</v>
      </c>
      <c r="O4785" s="67">
        <v>45883.43683017361</v>
      </c>
      <c r="P4785" s="35" t="s">
        <v>19005</v>
      </c>
      <c r="Q4785" s="13" t="s">
        <v>75</v>
      </c>
      <c r="R4785" s="13" t="s">
        <v>75</v>
      </c>
      <c r="S4785" s="13" t="s">
        <v>73</v>
      </c>
      <c r="T4785" s="44">
        <v>45882.68988986111</v>
      </c>
      <c r="U4785" s="44">
        <v>45882.69109813657</v>
      </c>
      <c r="V4785" s="44">
        <v>45883.38610721065</v>
      </c>
      <c r="W4785" s="11"/>
      <c r="X4785" s="148">
        <v>45884.0</v>
      </c>
      <c r="Y4785" s="45">
        <v>302.0</v>
      </c>
      <c r="Z4785" s="45" t="s">
        <v>19065</v>
      </c>
      <c r="AA4785" s="31"/>
      <c r="AB4785" s="45" t="s">
        <v>19066</v>
      </c>
      <c r="AC4785" s="45"/>
    </row>
    <row r="4786" ht="18.75" customHeight="1">
      <c r="A4786" s="18" t="s">
        <v>19067</v>
      </c>
      <c r="B4786" s="19" t="s">
        <v>19002</v>
      </c>
      <c r="C4786" s="20">
        <v>1.0</v>
      </c>
      <c r="D4786" s="39" t="s">
        <v>19068</v>
      </c>
      <c r="E4786" s="27" t="s">
        <v>3395</v>
      </c>
      <c r="F4786" s="27" t="s">
        <v>48</v>
      </c>
      <c r="G4786" s="18" t="s">
        <v>35</v>
      </c>
      <c r="H4786" s="40" t="s">
        <v>35</v>
      </c>
      <c r="I4786" s="37" t="s">
        <v>36</v>
      </c>
      <c r="J4786" s="25" t="s">
        <v>92</v>
      </c>
      <c r="K4786" s="26" t="s">
        <v>38</v>
      </c>
      <c r="L4786" s="72">
        <v>13625.0</v>
      </c>
      <c r="M4786" s="49" t="s">
        <v>73</v>
      </c>
      <c r="N4786" s="42" t="s">
        <v>19004</v>
      </c>
      <c r="O4786" s="67">
        <v>45883.437132743056</v>
      </c>
      <c r="P4786" s="35" t="s">
        <v>19005</v>
      </c>
      <c r="Q4786" s="13" t="s">
        <v>75</v>
      </c>
      <c r="R4786" s="13" t="s">
        <v>75</v>
      </c>
      <c r="S4786" s="13" t="s">
        <v>73</v>
      </c>
      <c r="T4786" s="44">
        <v>45882.6899494213</v>
      </c>
      <c r="U4786" s="44">
        <v>45882.69114040509</v>
      </c>
      <c r="V4786" s="44">
        <v>45883.386199201384</v>
      </c>
      <c r="W4786" s="11"/>
      <c r="X4786" s="148">
        <v>45884.0</v>
      </c>
      <c r="Y4786" s="45"/>
      <c r="Z4786" s="45"/>
      <c r="AA4786" s="31"/>
      <c r="AB4786" s="45" t="s">
        <v>19069</v>
      </c>
      <c r="AC4786" s="45"/>
    </row>
    <row r="4787" ht="18.75" customHeight="1">
      <c r="A4787" s="18" t="s">
        <v>19070</v>
      </c>
      <c r="B4787" s="19" t="s">
        <v>19002</v>
      </c>
      <c r="C4787" s="20">
        <v>1.0</v>
      </c>
      <c r="D4787" s="39" t="s">
        <v>19071</v>
      </c>
      <c r="E4787" s="27" t="s">
        <v>3395</v>
      </c>
      <c r="F4787" s="27" t="s">
        <v>48</v>
      </c>
      <c r="G4787" s="18" t="s">
        <v>35</v>
      </c>
      <c r="H4787" s="40" t="s">
        <v>35</v>
      </c>
      <c r="I4787" s="37" t="s">
        <v>36</v>
      </c>
      <c r="J4787" s="25" t="s">
        <v>92</v>
      </c>
      <c r="K4787" s="26" t="s">
        <v>38</v>
      </c>
      <c r="L4787" s="72">
        <v>13625.0</v>
      </c>
      <c r="M4787" s="49" t="s">
        <v>73</v>
      </c>
      <c r="N4787" s="42" t="s">
        <v>19004</v>
      </c>
      <c r="O4787" s="67">
        <v>45883.437175706014</v>
      </c>
      <c r="P4787" s="35" t="s">
        <v>19005</v>
      </c>
      <c r="Q4787" s="13" t="s">
        <v>75</v>
      </c>
      <c r="R4787" s="13" t="s">
        <v>75</v>
      </c>
      <c r="S4787" s="13" t="s">
        <v>73</v>
      </c>
      <c r="T4787" s="44">
        <v>45882.689985694444</v>
      </c>
      <c r="U4787" s="44">
        <v>45882.6911793287</v>
      </c>
      <c r="V4787" s="44">
        <v>45883.38626206019</v>
      </c>
      <c r="W4787" s="11"/>
      <c r="X4787" s="148">
        <v>45884.0</v>
      </c>
      <c r="Y4787" s="45">
        <v>302.0</v>
      </c>
      <c r="Z4787" s="45" t="s">
        <v>19072</v>
      </c>
      <c r="AA4787" s="31"/>
      <c r="AB4787" s="45" t="s">
        <v>19073</v>
      </c>
      <c r="AC4787" s="45"/>
    </row>
    <row r="4788" ht="18.75" customHeight="1">
      <c r="A4788" s="18" t="s">
        <v>19074</v>
      </c>
      <c r="B4788" s="19" t="s">
        <v>19002</v>
      </c>
      <c r="C4788" s="20">
        <v>1.0</v>
      </c>
      <c r="D4788" s="39" t="s">
        <v>19075</v>
      </c>
      <c r="E4788" s="27" t="s">
        <v>3395</v>
      </c>
      <c r="F4788" s="27" t="s">
        <v>48</v>
      </c>
      <c r="G4788" s="18" t="s">
        <v>35</v>
      </c>
      <c r="H4788" s="40" t="s">
        <v>35</v>
      </c>
      <c r="I4788" s="37" t="s">
        <v>36</v>
      </c>
      <c r="J4788" s="25" t="s">
        <v>92</v>
      </c>
      <c r="K4788" s="26" t="s">
        <v>38</v>
      </c>
      <c r="L4788" s="72">
        <v>13625.0</v>
      </c>
      <c r="M4788" s="49" t="s">
        <v>73</v>
      </c>
      <c r="N4788" s="42" t="s">
        <v>19004</v>
      </c>
      <c r="O4788" s="67">
        <v>45883.43721900463</v>
      </c>
      <c r="P4788" s="35" t="s">
        <v>19005</v>
      </c>
      <c r="Q4788" s="13" t="s">
        <v>75</v>
      </c>
      <c r="R4788" s="13" t="s">
        <v>75</v>
      </c>
      <c r="S4788" s="13" t="s">
        <v>73</v>
      </c>
      <c r="T4788" s="44">
        <v>45882.69002915509</v>
      </c>
      <c r="U4788" s="44">
        <v>45882.691205717594</v>
      </c>
      <c r="V4788" s="44">
        <v>45883.38630965278</v>
      </c>
      <c r="W4788" s="11"/>
      <c r="X4788" s="148">
        <v>45884.0</v>
      </c>
      <c r="Y4788" s="45">
        <v>302.0</v>
      </c>
      <c r="Z4788" s="45" t="s">
        <v>19076</v>
      </c>
      <c r="AA4788" s="31"/>
      <c r="AB4788" s="45" t="s">
        <v>19077</v>
      </c>
      <c r="AC4788" s="45"/>
    </row>
    <row r="4789" ht="18.75" customHeight="1">
      <c r="A4789" s="18" t="s">
        <v>19078</v>
      </c>
      <c r="B4789" s="19" t="s">
        <v>19002</v>
      </c>
      <c r="C4789" s="20">
        <v>1.0</v>
      </c>
      <c r="D4789" s="39" t="s">
        <v>19079</v>
      </c>
      <c r="E4789" s="27" t="s">
        <v>3395</v>
      </c>
      <c r="F4789" s="27" t="s">
        <v>48</v>
      </c>
      <c r="G4789" s="18" t="s">
        <v>35</v>
      </c>
      <c r="H4789" s="40" t="s">
        <v>35</v>
      </c>
      <c r="I4789" s="37" t="s">
        <v>36</v>
      </c>
      <c r="J4789" s="25" t="s">
        <v>92</v>
      </c>
      <c r="K4789" s="26" t="s">
        <v>38</v>
      </c>
      <c r="L4789" s="72">
        <v>13625.0</v>
      </c>
      <c r="M4789" s="49" t="s">
        <v>73</v>
      </c>
      <c r="N4789" s="42" t="s">
        <v>19004</v>
      </c>
      <c r="O4789" s="67">
        <v>45883.4347853125</v>
      </c>
      <c r="P4789" s="35" t="s">
        <v>19005</v>
      </c>
      <c r="Q4789" s="13" t="s">
        <v>75</v>
      </c>
      <c r="R4789" s="13" t="s">
        <v>75</v>
      </c>
      <c r="S4789" s="13" t="s">
        <v>73</v>
      </c>
      <c r="T4789" s="44">
        <v>45882.68930136574</v>
      </c>
      <c r="U4789" s="44">
        <v>45882.690549293984</v>
      </c>
      <c r="V4789" s="44">
        <v>45883.38530050926</v>
      </c>
      <c r="W4789" s="11"/>
      <c r="X4789" s="148">
        <v>45884.0</v>
      </c>
      <c r="Y4789" s="45">
        <v>302.0</v>
      </c>
      <c r="Z4789" s="45" t="s">
        <v>19080</v>
      </c>
      <c r="AA4789" s="31"/>
      <c r="AB4789" s="45" t="s">
        <v>19081</v>
      </c>
      <c r="AC4789" s="45"/>
    </row>
    <row r="4790" ht="18.75" customHeight="1">
      <c r="A4790" s="18" t="s">
        <v>19082</v>
      </c>
      <c r="B4790" s="19" t="s">
        <v>19002</v>
      </c>
      <c r="C4790" s="20">
        <v>1.0</v>
      </c>
      <c r="D4790" s="39" t="s">
        <v>19083</v>
      </c>
      <c r="E4790" s="27" t="s">
        <v>3395</v>
      </c>
      <c r="F4790" s="27" t="s">
        <v>48</v>
      </c>
      <c r="G4790" s="18" t="s">
        <v>35</v>
      </c>
      <c r="H4790" s="40" t="s">
        <v>35</v>
      </c>
      <c r="I4790" s="37" t="s">
        <v>36</v>
      </c>
      <c r="J4790" s="25" t="s">
        <v>92</v>
      </c>
      <c r="K4790" s="26" t="s">
        <v>38</v>
      </c>
      <c r="L4790" s="72">
        <v>13625.0</v>
      </c>
      <c r="M4790" s="49" t="s">
        <v>73</v>
      </c>
      <c r="N4790" s="42" t="s">
        <v>19004</v>
      </c>
      <c r="O4790" s="67">
        <v>45883.434844166666</v>
      </c>
      <c r="P4790" s="35" t="s">
        <v>19005</v>
      </c>
      <c r="Q4790" s="13" t="s">
        <v>75</v>
      </c>
      <c r="R4790" s="13" t="s">
        <v>75</v>
      </c>
      <c r="S4790" s="13" t="s">
        <v>73</v>
      </c>
      <c r="T4790" s="44">
        <v>45882.68933079861</v>
      </c>
      <c r="U4790" s="44">
        <v>45882.690573472224</v>
      </c>
      <c r="V4790" s="44">
        <v>45883.38530050926</v>
      </c>
      <c r="W4790" s="11"/>
      <c r="X4790" s="148">
        <v>45884.0</v>
      </c>
      <c r="Y4790" s="45">
        <v>302.0</v>
      </c>
      <c r="Z4790" s="45" t="s">
        <v>19084</v>
      </c>
      <c r="AA4790" s="31"/>
      <c r="AB4790" s="45" t="s">
        <v>19085</v>
      </c>
      <c r="AC4790" s="45"/>
    </row>
    <row r="4791" ht="18.75" customHeight="1">
      <c r="A4791" s="18" t="s">
        <v>19086</v>
      </c>
      <c r="B4791" s="19" t="s">
        <v>19002</v>
      </c>
      <c r="C4791" s="20">
        <v>1.0</v>
      </c>
      <c r="D4791" s="39" t="s">
        <v>19087</v>
      </c>
      <c r="E4791" s="27" t="s">
        <v>3395</v>
      </c>
      <c r="F4791" s="27" t="s">
        <v>48</v>
      </c>
      <c r="G4791" s="18" t="s">
        <v>35</v>
      </c>
      <c r="H4791" s="40" t="s">
        <v>35</v>
      </c>
      <c r="I4791" s="37" t="s">
        <v>36</v>
      </c>
      <c r="J4791" s="25" t="s">
        <v>92</v>
      </c>
      <c r="K4791" s="26" t="s">
        <v>38</v>
      </c>
      <c r="L4791" s="72">
        <v>13625.0</v>
      </c>
      <c r="M4791" s="49" t="s">
        <v>73</v>
      </c>
      <c r="N4791" s="42" t="s">
        <v>19004</v>
      </c>
      <c r="O4791" s="67">
        <v>45883.43489047454</v>
      </c>
      <c r="P4791" s="35" t="s">
        <v>19005</v>
      </c>
      <c r="Q4791" s="13" t="s">
        <v>75</v>
      </c>
      <c r="R4791" s="13" t="s">
        <v>75</v>
      </c>
      <c r="S4791" s="13" t="s">
        <v>73</v>
      </c>
      <c r="T4791" s="44">
        <v>45882.68935987269</v>
      </c>
      <c r="U4791" s="44">
        <v>45882.690595555556</v>
      </c>
      <c r="V4791" s="44">
        <v>45883.38530050926</v>
      </c>
      <c r="W4791" s="11"/>
      <c r="X4791" s="148">
        <v>45884.0</v>
      </c>
      <c r="Y4791" s="45">
        <v>302.0</v>
      </c>
      <c r="Z4791" s="45" t="s">
        <v>19088</v>
      </c>
      <c r="AA4791" s="31"/>
      <c r="AB4791" s="45" t="s">
        <v>19089</v>
      </c>
      <c r="AC4791" s="45"/>
    </row>
    <row r="4792" ht="18.75" customHeight="1">
      <c r="A4792" s="18" t="s">
        <v>19090</v>
      </c>
      <c r="B4792" s="19" t="s">
        <v>19002</v>
      </c>
      <c r="C4792" s="20">
        <v>1.0</v>
      </c>
      <c r="D4792" s="39" t="s">
        <v>19091</v>
      </c>
      <c r="E4792" s="27" t="s">
        <v>3395</v>
      </c>
      <c r="F4792" s="27" t="s">
        <v>48</v>
      </c>
      <c r="G4792" s="18" t="s">
        <v>35</v>
      </c>
      <c r="H4792" s="40" t="s">
        <v>35</v>
      </c>
      <c r="I4792" s="37" t="s">
        <v>36</v>
      </c>
      <c r="J4792" s="25" t="s">
        <v>92</v>
      </c>
      <c r="K4792" s="26" t="s">
        <v>38</v>
      </c>
      <c r="L4792" s="72">
        <v>13625.0</v>
      </c>
      <c r="M4792" s="49" t="s">
        <v>73</v>
      </c>
      <c r="N4792" s="42" t="s">
        <v>19004</v>
      </c>
      <c r="O4792" s="67">
        <v>45883.43493790509</v>
      </c>
      <c r="P4792" s="35" t="s">
        <v>19005</v>
      </c>
      <c r="Q4792" s="13" t="s">
        <v>75</v>
      </c>
      <c r="R4792" s="13" t="s">
        <v>75</v>
      </c>
      <c r="S4792" s="13" t="s">
        <v>73</v>
      </c>
      <c r="T4792" s="44">
        <v>45882.68938780093</v>
      </c>
      <c r="U4792" s="44">
        <v>45882.69062173611</v>
      </c>
      <c r="V4792" s="44">
        <v>45883.38530052084</v>
      </c>
      <c r="W4792" s="11"/>
      <c r="X4792" s="148">
        <v>45884.0</v>
      </c>
      <c r="Y4792" s="45">
        <v>302.0</v>
      </c>
      <c r="Z4792" s="45" t="s">
        <v>19092</v>
      </c>
      <c r="AA4792" s="31"/>
      <c r="AB4792" s="45" t="s">
        <v>19093</v>
      </c>
      <c r="AC4792" s="45"/>
    </row>
    <row r="4793" ht="18.75" customHeight="1">
      <c r="A4793" s="18" t="s">
        <v>19094</v>
      </c>
      <c r="B4793" s="19" t="s">
        <v>19002</v>
      </c>
      <c r="C4793" s="20">
        <v>1.0</v>
      </c>
      <c r="D4793" s="39" t="s">
        <v>19095</v>
      </c>
      <c r="E4793" s="27" t="s">
        <v>3395</v>
      </c>
      <c r="F4793" s="27" t="s">
        <v>48</v>
      </c>
      <c r="G4793" s="18" t="s">
        <v>35</v>
      </c>
      <c r="H4793" s="40" t="s">
        <v>35</v>
      </c>
      <c r="I4793" s="37" t="s">
        <v>36</v>
      </c>
      <c r="J4793" s="25" t="s">
        <v>92</v>
      </c>
      <c r="K4793" s="26" t="s">
        <v>38</v>
      </c>
      <c r="L4793" s="72">
        <v>13625.0</v>
      </c>
      <c r="M4793" s="49" t="s">
        <v>73</v>
      </c>
      <c r="N4793" s="42" t="s">
        <v>19004</v>
      </c>
      <c r="O4793" s="67">
        <v>45883.43498914352</v>
      </c>
      <c r="P4793" s="35" t="s">
        <v>19005</v>
      </c>
      <c r="Q4793" s="13" t="s">
        <v>75</v>
      </c>
      <c r="R4793" s="13" t="s">
        <v>75</v>
      </c>
      <c r="S4793" s="13" t="s">
        <v>73</v>
      </c>
      <c r="T4793" s="44">
        <v>45882.689427210644</v>
      </c>
      <c r="U4793" s="44">
        <v>45882.6906421412</v>
      </c>
      <c r="V4793" s="44">
        <v>45883.385441817125</v>
      </c>
      <c r="W4793" s="11"/>
      <c r="X4793" s="148">
        <v>45884.0</v>
      </c>
      <c r="Y4793" s="45">
        <v>302.0</v>
      </c>
      <c r="Z4793" s="45" t="s">
        <v>19096</v>
      </c>
      <c r="AA4793" s="31"/>
      <c r="AB4793" s="45" t="s">
        <v>19097</v>
      </c>
      <c r="AC4793" s="45"/>
    </row>
    <row r="4794" ht="18.75" customHeight="1">
      <c r="A4794" s="18" t="s">
        <v>19098</v>
      </c>
      <c r="B4794" s="19" t="s">
        <v>19002</v>
      </c>
      <c r="C4794" s="20">
        <v>1.0</v>
      </c>
      <c r="D4794" s="39" t="s">
        <v>19099</v>
      </c>
      <c r="E4794" s="27" t="s">
        <v>3395</v>
      </c>
      <c r="F4794" s="27" t="s">
        <v>48</v>
      </c>
      <c r="G4794" s="18" t="s">
        <v>35</v>
      </c>
      <c r="H4794" s="40" t="s">
        <v>35</v>
      </c>
      <c r="I4794" s="37" t="s">
        <v>36</v>
      </c>
      <c r="J4794" s="25" t="s">
        <v>92</v>
      </c>
      <c r="K4794" s="26" t="s">
        <v>38</v>
      </c>
      <c r="L4794" s="72">
        <v>13625.0</v>
      </c>
      <c r="M4794" s="49" t="s">
        <v>73</v>
      </c>
      <c r="N4794" s="42" t="s">
        <v>19004</v>
      </c>
      <c r="O4794" s="67">
        <v>45883.4350365162</v>
      </c>
      <c r="P4794" s="35" t="s">
        <v>19005</v>
      </c>
      <c r="Q4794" s="13" t="s">
        <v>75</v>
      </c>
      <c r="R4794" s="13" t="s">
        <v>75</v>
      </c>
      <c r="S4794" s="13" t="s">
        <v>73</v>
      </c>
      <c r="T4794" s="44">
        <v>45882.689458622684</v>
      </c>
      <c r="U4794" s="44">
        <v>45882.69066689815</v>
      </c>
      <c r="V4794" s="44">
        <v>45883.38549422454</v>
      </c>
      <c r="W4794" s="11"/>
      <c r="X4794" s="148">
        <v>45884.0</v>
      </c>
      <c r="Y4794" s="45">
        <v>302.0</v>
      </c>
      <c r="Z4794" s="45" t="s">
        <v>19100</v>
      </c>
      <c r="AA4794" s="31"/>
      <c r="AB4794" s="45" t="s">
        <v>19101</v>
      </c>
      <c r="AC4794" s="45"/>
    </row>
    <row r="4795" ht="18.75" customHeight="1">
      <c r="A4795" s="18" t="s">
        <v>19102</v>
      </c>
      <c r="B4795" s="19" t="s">
        <v>19002</v>
      </c>
      <c r="C4795" s="20">
        <v>1.0</v>
      </c>
      <c r="D4795" s="39" t="s">
        <v>19103</v>
      </c>
      <c r="E4795" s="27" t="s">
        <v>3395</v>
      </c>
      <c r="F4795" s="27" t="s">
        <v>48</v>
      </c>
      <c r="G4795" s="18" t="s">
        <v>35</v>
      </c>
      <c r="H4795" s="40" t="s">
        <v>35</v>
      </c>
      <c r="I4795" s="37" t="s">
        <v>36</v>
      </c>
      <c r="J4795" s="25" t="s">
        <v>92</v>
      </c>
      <c r="K4795" s="26" t="s">
        <v>38</v>
      </c>
      <c r="L4795" s="72">
        <v>13625.0</v>
      </c>
      <c r="M4795" s="49" t="s">
        <v>73</v>
      </c>
      <c r="N4795" s="42" t="s">
        <v>19004</v>
      </c>
      <c r="O4795" s="67">
        <v>45883.43508258102</v>
      </c>
      <c r="P4795" s="35" t="s">
        <v>19005</v>
      </c>
      <c r="Q4795" s="13" t="s">
        <v>75</v>
      </c>
      <c r="R4795" s="13" t="s">
        <v>75</v>
      </c>
      <c r="S4795" s="13" t="s">
        <v>73</v>
      </c>
      <c r="T4795" s="44">
        <v>45882.68948864583</v>
      </c>
      <c r="U4795" s="44">
        <v>45882.690698032406</v>
      </c>
      <c r="V4795" s="44">
        <v>45883.38553579861</v>
      </c>
      <c r="W4795" s="11"/>
      <c r="X4795" s="148">
        <v>45884.0</v>
      </c>
      <c r="Y4795" s="45">
        <v>302.0</v>
      </c>
      <c r="Z4795" s="45" t="s">
        <v>19104</v>
      </c>
      <c r="AA4795" s="31"/>
      <c r="AB4795" s="45" t="s">
        <v>19105</v>
      </c>
      <c r="AC4795" s="45"/>
    </row>
    <row r="4796" ht="18.75" customHeight="1">
      <c r="A4796" s="142" t="s">
        <v>19106</v>
      </c>
      <c r="B4796" s="19" t="s">
        <v>5392</v>
      </c>
      <c r="C4796" s="20">
        <v>90.0</v>
      </c>
      <c r="D4796" s="39" t="s">
        <v>19107</v>
      </c>
      <c r="E4796" s="27" t="s">
        <v>91</v>
      </c>
      <c r="F4796" s="27" t="s">
        <v>48</v>
      </c>
      <c r="G4796" s="18" t="s">
        <v>35</v>
      </c>
      <c r="H4796" s="40" t="s">
        <v>35</v>
      </c>
      <c r="I4796" s="37" t="s">
        <v>36</v>
      </c>
      <c r="J4796" s="25" t="s">
        <v>49</v>
      </c>
      <c r="K4796" s="26" t="s">
        <v>19108</v>
      </c>
      <c r="L4796" s="72">
        <v>13681.0</v>
      </c>
      <c r="M4796" s="49" t="s">
        <v>50</v>
      </c>
      <c r="N4796" s="42" t="s">
        <v>5936</v>
      </c>
      <c r="O4796" s="67">
        <v>45891.591292048615</v>
      </c>
      <c r="P4796" s="35" t="s">
        <v>19109</v>
      </c>
      <c r="Q4796" s="13" t="s">
        <v>75</v>
      </c>
      <c r="R4796" s="13" t="s">
        <v>75</v>
      </c>
      <c r="S4796" s="13" t="s">
        <v>50</v>
      </c>
      <c r="T4796" s="44">
        <v>45882.64197881945</v>
      </c>
      <c r="U4796" s="44">
        <v>45891.49997734954</v>
      </c>
      <c r="V4796" s="44">
        <v>45891.543450509256</v>
      </c>
      <c r="W4796" s="11"/>
      <c r="X4796" s="11"/>
      <c r="Y4796" s="45">
        <v>302.0</v>
      </c>
      <c r="Z4796" s="45" t="s">
        <v>19110</v>
      </c>
      <c r="AA4796" s="31"/>
      <c r="AB4796" s="45" t="s">
        <v>19111</v>
      </c>
      <c r="AC4796" s="45"/>
    </row>
    <row r="4797" ht="18.75" customHeight="1">
      <c r="A4797" s="142" t="s">
        <v>19112</v>
      </c>
      <c r="B4797" s="19" t="s">
        <v>5531</v>
      </c>
      <c r="C4797" s="20">
        <v>34.0</v>
      </c>
      <c r="D4797" s="39" t="s">
        <v>19113</v>
      </c>
      <c r="E4797" s="27" t="s">
        <v>47</v>
      </c>
      <c r="F4797" s="27" t="s">
        <v>48</v>
      </c>
      <c r="G4797" s="18" t="s">
        <v>35</v>
      </c>
      <c r="H4797" s="40" t="s">
        <v>35</v>
      </c>
      <c r="I4797" s="37" t="s">
        <v>36</v>
      </c>
      <c r="J4797" s="25" t="s">
        <v>49</v>
      </c>
      <c r="K4797" s="26" t="s">
        <v>19108</v>
      </c>
      <c r="L4797" s="72">
        <v>13627.0</v>
      </c>
      <c r="M4797" s="49" t="s">
        <v>73</v>
      </c>
      <c r="N4797" s="42" t="s">
        <v>5936</v>
      </c>
      <c r="O4797" s="67">
        <v>45883.64775726852</v>
      </c>
      <c r="P4797" s="35" t="s">
        <v>15666</v>
      </c>
      <c r="Q4797" s="13" t="s">
        <v>75</v>
      </c>
      <c r="R4797" s="13" t="s">
        <v>75</v>
      </c>
      <c r="S4797" s="13" t="s">
        <v>73</v>
      </c>
      <c r="T4797" s="44">
        <v>45883.462438518516</v>
      </c>
      <c r="U4797" s="44">
        <v>45883.46247883102</v>
      </c>
      <c r="V4797" s="44">
        <v>45883.47271775463</v>
      </c>
      <c r="W4797" s="11"/>
      <c r="X4797" s="11"/>
      <c r="Y4797" s="45">
        <v>302.0</v>
      </c>
      <c r="Z4797" s="45" t="s">
        <v>19114</v>
      </c>
      <c r="AA4797" s="31"/>
      <c r="AB4797" s="45" t="s">
        <v>19115</v>
      </c>
      <c r="AC4797" s="45"/>
    </row>
    <row r="4798" ht="18.75" customHeight="1">
      <c r="A4798" s="142" t="s">
        <v>19116</v>
      </c>
      <c r="B4798" s="19" t="s">
        <v>6153</v>
      </c>
      <c r="C4798" s="20">
        <v>11.0</v>
      </c>
      <c r="D4798" s="39" t="s">
        <v>19117</v>
      </c>
      <c r="E4798" s="27" t="s">
        <v>112</v>
      </c>
      <c r="F4798" s="27" t="s">
        <v>48</v>
      </c>
      <c r="G4798" s="18" t="s">
        <v>35</v>
      </c>
      <c r="H4798" s="40" t="s">
        <v>35</v>
      </c>
      <c r="I4798" s="37" t="s">
        <v>36</v>
      </c>
      <c r="J4798" s="25" t="s">
        <v>65</v>
      </c>
      <c r="K4798" s="26" t="s">
        <v>38</v>
      </c>
      <c r="L4798" s="72">
        <v>13626.0</v>
      </c>
      <c r="M4798" s="49" t="s">
        <v>73</v>
      </c>
      <c r="N4798" s="42" t="s">
        <v>16408</v>
      </c>
      <c r="O4798" s="67">
        <v>45883.64783553241</v>
      </c>
      <c r="P4798" s="35" t="s">
        <v>19118</v>
      </c>
      <c r="Q4798" s="13" t="s">
        <v>75</v>
      </c>
      <c r="R4798" s="13" t="s">
        <v>75</v>
      </c>
      <c r="S4798" s="13" t="s">
        <v>73</v>
      </c>
      <c r="T4798" s="44">
        <v>45882.62620280092</v>
      </c>
      <c r="U4798" s="44">
        <v>45882.676989224536</v>
      </c>
      <c r="V4798" s="44">
        <v>45883.43082518518</v>
      </c>
      <c r="W4798" s="11"/>
      <c r="X4798" s="11"/>
      <c r="Y4798" s="45">
        <v>302.0</v>
      </c>
      <c r="Z4798" s="45" t="s">
        <v>19119</v>
      </c>
      <c r="AA4798" s="31"/>
      <c r="AB4798" s="45" t="s">
        <v>19120</v>
      </c>
      <c r="AC4798" s="45"/>
    </row>
    <row r="4799" ht="18.75" customHeight="1">
      <c r="A4799" s="142" t="s">
        <v>19121</v>
      </c>
      <c r="B4799" s="19" t="s">
        <v>19122</v>
      </c>
      <c r="C4799" s="20">
        <v>0.0</v>
      </c>
      <c r="D4799" s="39" t="s">
        <v>19123</v>
      </c>
      <c r="E4799" s="27" t="s">
        <v>3441</v>
      </c>
      <c r="F4799" s="27" t="s">
        <v>48</v>
      </c>
      <c r="G4799" s="18" t="s">
        <v>35</v>
      </c>
      <c r="H4799" s="40" t="s">
        <v>35</v>
      </c>
      <c r="I4799" s="37" t="s">
        <v>36</v>
      </c>
      <c r="J4799" s="25" t="s">
        <v>65</v>
      </c>
      <c r="K4799" s="26" t="s">
        <v>38</v>
      </c>
      <c r="L4799" s="72">
        <v>13687.0</v>
      </c>
      <c r="M4799" s="49" t="s">
        <v>50</v>
      </c>
      <c r="N4799" s="42" t="s">
        <v>16408</v>
      </c>
      <c r="O4799" s="67">
        <v>45895.65549275463</v>
      </c>
      <c r="P4799" s="35" t="s">
        <v>14372</v>
      </c>
      <c r="Q4799" s="13" t="s">
        <v>75</v>
      </c>
      <c r="R4799" s="13" t="s">
        <v>75</v>
      </c>
      <c r="S4799" s="13" t="s">
        <v>73</v>
      </c>
      <c r="T4799" s="44">
        <v>45888.429488912036</v>
      </c>
      <c r="U4799" s="44">
        <v>45894.48571328704</v>
      </c>
      <c r="V4799" s="44">
        <v>45895.41840916667</v>
      </c>
      <c r="W4799" s="11"/>
      <c r="X4799" s="11"/>
      <c r="Y4799" s="45">
        <v>302.0</v>
      </c>
      <c r="Z4799" s="45" t="s">
        <v>19124</v>
      </c>
      <c r="AA4799" s="31"/>
      <c r="AB4799" s="45" t="s">
        <v>19125</v>
      </c>
      <c r="AC4799" s="45"/>
    </row>
    <row r="4800" ht="18.75" customHeight="1">
      <c r="A4800" s="142" t="s">
        <v>19126</v>
      </c>
      <c r="B4800" s="19" t="s">
        <v>19127</v>
      </c>
      <c r="C4800" s="20">
        <v>90.0</v>
      </c>
      <c r="D4800" s="39" t="s">
        <v>19128</v>
      </c>
      <c r="E4800" s="27" t="s">
        <v>91</v>
      </c>
      <c r="F4800" s="27" t="s">
        <v>48</v>
      </c>
      <c r="G4800" s="18" t="s">
        <v>35</v>
      </c>
      <c r="H4800" s="40" t="s">
        <v>35</v>
      </c>
      <c r="I4800" s="37" t="s">
        <v>36</v>
      </c>
      <c r="J4800" s="25" t="s">
        <v>65</v>
      </c>
      <c r="K4800" s="26" t="s">
        <v>38</v>
      </c>
      <c r="L4800" s="72">
        <v>13680.0</v>
      </c>
      <c r="M4800" s="49" t="s">
        <v>50</v>
      </c>
      <c r="N4800" s="42" t="s">
        <v>149</v>
      </c>
      <c r="O4800" s="67">
        <v>45891.6009382176</v>
      </c>
      <c r="P4800" s="35" t="s">
        <v>16915</v>
      </c>
      <c r="Q4800" s="13" t="s">
        <v>75</v>
      </c>
      <c r="R4800" s="13" t="s">
        <v>75</v>
      </c>
      <c r="S4800" s="13" t="s">
        <v>50</v>
      </c>
      <c r="T4800" s="44">
        <v>45882.62734471065</v>
      </c>
      <c r="U4800" s="44">
        <v>45891.523765694445</v>
      </c>
      <c r="V4800" s="44">
        <v>45891.543450509256</v>
      </c>
      <c r="W4800" s="11"/>
      <c r="X4800" s="11"/>
      <c r="Y4800" s="45">
        <v>302.0</v>
      </c>
      <c r="Z4800" s="45" t="s">
        <v>19129</v>
      </c>
      <c r="AA4800" s="31"/>
      <c r="AB4800" s="45" t="s">
        <v>19130</v>
      </c>
      <c r="AC4800" s="45"/>
    </row>
    <row r="4801" ht="18.75" customHeight="1">
      <c r="A4801" s="142" t="s">
        <v>19131</v>
      </c>
      <c r="B4801" s="19" t="s">
        <v>7736</v>
      </c>
      <c r="C4801" s="20">
        <v>90.0</v>
      </c>
      <c r="D4801" s="39" t="s">
        <v>19132</v>
      </c>
      <c r="E4801" s="27" t="s">
        <v>91</v>
      </c>
      <c r="F4801" s="27" t="s">
        <v>48</v>
      </c>
      <c r="G4801" s="18" t="s">
        <v>35</v>
      </c>
      <c r="H4801" s="40" t="s">
        <v>35</v>
      </c>
      <c r="I4801" s="37" t="s">
        <v>36</v>
      </c>
      <c r="J4801" s="25" t="s">
        <v>49</v>
      </c>
      <c r="K4801" s="26" t="s">
        <v>16899</v>
      </c>
      <c r="L4801" s="72">
        <v>13650.0</v>
      </c>
      <c r="M4801" s="49" t="s">
        <v>73</v>
      </c>
      <c r="N4801" s="42" t="s">
        <v>5936</v>
      </c>
      <c r="O4801" s="67">
        <v>45888.652580381946</v>
      </c>
      <c r="P4801" s="35" t="s">
        <v>16900</v>
      </c>
      <c r="Q4801" s="13" t="s">
        <v>75</v>
      </c>
      <c r="R4801" s="13" t="s">
        <v>75</v>
      </c>
      <c r="S4801" s="13" t="s">
        <v>73</v>
      </c>
      <c r="T4801" s="44">
        <v>45882.62815247686</v>
      </c>
      <c r="U4801" s="44">
        <v>45888.47433293982</v>
      </c>
      <c r="V4801" s="44">
        <v>45888.5013515625</v>
      </c>
      <c r="W4801" s="11"/>
      <c r="X4801" s="11"/>
      <c r="Y4801" s="45">
        <v>302.0</v>
      </c>
      <c r="Z4801" s="45" t="s">
        <v>19133</v>
      </c>
      <c r="AA4801" s="31"/>
      <c r="AB4801" s="45" t="s">
        <v>19134</v>
      </c>
      <c r="AC4801" s="45"/>
    </row>
    <row r="4802" ht="18.75" customHeight="1">
      <c r="A4802" s="142" t="s">
        <v>19135</v>
      </c>
      <c r="B4802" s="19" t="s">
        <v>11288</v>
      </c>
      <c r="C4802" s="20">
        <v>0.0</v>
      </c>
      <c r="D4802" s="179">
        <v>20256.0</v>
      </c>
      <c r="E4802" s="27" t="s">
        <v>4097</v>
      </c>
      <c r="F4802" s="27" t="s">
        <v>33</v>
      </c>
      <c r="G4802" s="18" t="s">
        <v>35</v>
      </c>
      <c r="H4802" s="40" t="s">
        <v>35</v>
      </c>
      <c r="I4802" s="37" t="s">
        <v>36</v>
      </c>
      <c r="J4802" s="25" t="s">
        <v>49</v>
      </c>
      <c r="K4802" s="26" t="s">
        <v>38</v>
      </c>
      <c r="L4802" s="72">
        <v>13662.0</v>
      </c>
      <c r="M4802" s="49" t="s">
        <v>73</v>
      </c>
      <c r="N4802" s="42" t="s">
        <v>17048</v>
      </c>
      <c r="O4802" s="67">
        <v>45890.63938875</v>
      </c>
      <c r="P4802" s="35" t="s">
        <v>19136</v>
      </c>
      <c r="Q4802" s="13" t="s">
        <v>75</v>
      </c>
      <c r="R4802" s="13" t="s">
        <v>75</v>
      </c>
      <c r="S4802" s="13" t="s">
        <v>9620</v>
      </c>
      <c r="T4802" s="44">
        <v>45883.43286354167</v>
      </c>
      <c r="U4802" s="44">
        <v>45887.4380384838</v>
      </c>
      <c r="V4802" s="44">
        <v>45889.410727731476</v>
      </c>
      <c r="W4802" s="11"/>
      <c r="X4802" s="11"/>
      <c r="Y4802" s="45">
        <v>302.0</v>
      </c>
      <c r="Z4802" s="45" t="s">
        <v>19137</v>
      </c>
      <c r="AA4802" s="31"/>
      <c r="AB4802" s="45" t="s">
        <v>19138</v>
      </c>
      <c r="AC4802" s="45"/>
    </row>
    <row r="4803" ht="18.75" customHeight="1">
      <c r="A4803" s="142" t="s">
        <v>19139</v>
      </c>
      <c r="B4803" s="19" t="s">
        <v>110</v>
      </c>
      <c r="C4803" s="20">
        <v>137.0</v>
      </c>
      <c r="D4803" s="39" t="s">
        <v>19140</v>
      </c>
      <c r="E4803" s="27" t="s">
        <v>85</v>
      </c>
      <c r="F4803" s="27" t="s">
        <v>48</v>
      </c>
      <c r="G4803" s="18" t="s">
        <v>35</v>
      </c>
      <c r="H4803" s="40" t="s">
        <v>35</v>
      </c>
      <c r="I4803" s="37" t="s">
        <v>36</v>
      </c>
      <c r="J4803" s="25" t="s">
        <v>65</v>
      </c>
      <c r="K4803" s="26" t="s">
        <v>38</v>
      </c>
      <c r="L4803" s="72">
        <v>13636.0</v>
      </c>
      <c r="M4803" s="49" t="s">
        <v>50</v>
      </c>
      <c r="N4803" s="42" t="s">
        <v>3461</v>
      </c>
      <c r="O4803" s="67">
        <v>45888.32892289352</v>
      </c>
      <c r="P4803" s="35" t="s">
        <v>19141</v>
      </c>
      <c r="Q4803" s="13" t="s">
        <v>75</v>
      </c>
      <c r="R4803" s="13" t="s">
        <v>75</v>
      </c>
      <c r="S4803" s="13" t="s">
        <v>50</v>
      </c>
      <c r="T4803" s="44">
        <v>45883.434933807875</v>
      </c>
      <c r="U4803" s="44">
        <v>45887.43251784722</v>
      </c>
      <c r="V4803" s="44">
        <v>45887.43794078704</v>
      </c>
      <c r="W4803" s="11"/>
      <c r="X4803" s="11"/>
      <c r="Y4803" s="45">
        <v>302.0</v>
      </c>
      <c r="Z4803" s="45" t="s">
        <v>19142</v>
      </c>
      <c r="AA4803" s="31"/>
      <c r="AB4803" s="45" t="s">
        <v>19143</v>
      </c>
      <c r="AC4803" s="45"/>
    </row>
    <row r="4804" ht="18.75" customHeight="1">
      <c r="A4804" s="142" t="s">
        <v>19144</v>
      </c>
      <c r="B4804" s="19" t="s">
        <v>10396</v>
      </c>
      <c r="C4804" s="20">
        <v>11.0</v>
      </c>
      <c r="D4804" s="39" t="s">
        <v>19145</v>
      </c>
      <c r="E4804" s="27" t="s">
        <v>112</v>
      </c>
      <c r="F4804" s="27" t="s">
        <v>48</v>
      </c>
      <c r="G4804" s="18" t="s">
        <v>35</v>
      </c>
      <c r="H4804" s="40" t="s">
        <v>35</v>
      </c>
      <c r="I4804" s="37" t="s">
        <v>36</v>
      </c>
      <c r="J4804" s="25" t="s">
        <v>49</v>
      </c>
      <c r="K4804" s="26" t="s">
        <v>38</v>
      </c>
      <c r="L4804" s="72">
        <v>13631.0</v>
      </c>
      <c r="M4804" s="49" t="s">
        <v>73</v>
      </c>
      <c r="N4804" s="42" t="s">
        <v>5936</v>
      </c>
      <c r="O4804" s="67">
        <v>45884.58563056713</v>
      </c>
      <c r="P4804" s="35" t="s">
        <v>19146</v>
      </c>
      <c r="Q4804" s="13" t="s">
        <v>75</v>
      </c>
      <c r="R4804" s="13" t="s">
        <v>75</v>
      </c>
      <c r="S4804" s="13" t="s">
        <v>73</v>
      </c>
      <c r="T4804" s="44">
        <v>45884.42281038195</v>
      </c>
      <c r="U4804" s="44">
        <v>45884.422859722225</v>
      </c>
      <c r="V4804" s="44">
        <v>45884.423611481485</v>
      </c>
      <c r="W4804" s="11"/>
      <c r="X4804" s="11"/>
      <c r="Y4804" s="45">
        <v>302.0</v>
      </c>
      <c r="Z4804" s="45" t="s">
        <v>19147</v>
      </c>
      <c r="AA4804" s="31"/>
      <c r="AB4804" s="45" t="s">
        <v>19148</v>
      </c>
      <c r="AC4804" s="45"/>
    </row>
    <row r="4805" ht="18.75" customHeight="1">
      <c r="A4805" s="142" t="s">
        <v>19149</v>
      </c>
      <c r="B4805" s="19" t="s">
        <v>10447</v>
      </c>
      <c r="C4805" s="20">
        <v>1.0</v>
      </c>
      <c r="D4805" s="39" t="s">
        <v>19150</v>
      </c>
      <c r="E4805" s="27" t="s">
        <v>3395</v>
      </c>
      <c r="F4805" s="27" t="s">
        <v>48</v>
      </c>
      <c r="G4805" s="18" t="s">
        <v>35</v>
      </c>
      <c r="H4805" s="40" t="s">
        <v>35</v>
      </c>
      <c r="I4805" s="37" t="s">
        <v>36</v>
      </c>
      <c r="J4805" s="25" t="s">
        <v>65</v>
      </c>
      <c r="K4805" s="26" t="s">
        <v>38</v>
      </c>
      <c r="L4805" s="72">
        <v>13688.0</v>
      </c>
      <c r="M4805" s="49" t="s">
        <v>50</v>
      </c>
      <c r="N4805" s="42" t="s">
        <v>16408</v>
      </c>
      <c r="O4805" s="67">
        <v>45895.65553871528</v>
      </c>
      <c r="P4805" s="35" t="s">
        <v>19151</v>
      </c>
      <c r="Q4805" s="13" t="s">
        <v>75</v>
      </c>
      <c r="R4805" s="13" t="s">
        <v>75</v>
      </c>
      <c r="S4805" s="13" t="s">
        <v>73</v>
      </c>
      <c r="T4805" s="44">
        <v>45884.50440128472</v>
      </c>
      <c r="U4805" s="44">
        <v>45894.39528574074</v>
      </c>
      <c r="V4805" s="44">
        <v>45895.42389935185</v>
      </c>
      <c r="W4805" s="11"/>
      <c r="X4805" s="11"/>
      <c r="Y4805" s="207">
        <v>302.0</v>
      </c>
      <c r="Z4805" s="45" t="s">
        <v>19152</v>
      </c>
      <c r="AA4805" s="31"/>
      <c r="AB4805" s="45" t="s">
        <v>19153</v>
      </c>
      <c r="AC4805" s="45"/>
    </row>
    <row r="4806" ht="18.75" customHeight="1">
      <c r="A4806" s="18" t="s">
        <v>19154</v>
      </c>
      <c r="B4806" s="19" t="s">
        <v>4147</v>
      </c>
      <c r="C4806" s="20">
        <v>27.0</v>
      </c>
      <c r="D4806" s="39" t="s">
        <v>19155</v>
      </c>
      <c r="E4806" s="27" t="s">
        <v>72</v>
      </c>
      <c r="F4806" s="27" t="s">
        <v>48</v>
      </c>
      <c r="G4806" s="18" t="s">
        <v>35</v>
      </c>
      <c r="H4806" s="40" t="s">
        <v>35</v>
      </c>
      <c r="I4806" s="37" t="s">
        <v>36</v>
      </c>
      <c r="J4806" s="25" t="s">
        <v>49</v>
      </c>
      <c r="K4806" s="26" t="s">
        <v>38</v>
      </c>
      <c r="L4806" s="72">
        <v>13637.0</v>
      </c>
      <c r="M4806" s="49" t="s">
        <v>50</v>
      </c>
      <c r="N4806" s="42" t="s">
        <v>17048</v>
      </c>
      <c r="O4806" s="67">
        <v>45887.59560458333</v>
      </c>
      <c r="P4806" s="35" t="s">
        <v>19156</v>
      </c>
      <c r="Q4806" s="13" t="s">
        <v>75</v>
      </c>
      <c r="R4806" s="13" t="s">
        <v>75</v>
      </c>
      <c r="S4806" s="13" t="s">
        <v>50</v>
      </c>
      <c r="T4806" s="44">
        <v>45884.59612893518</v>
      </c>
      <c r="U4806" s="44">
        <v>45884.70455958333</v>
      </c>
      <c r="V4806" s="44">
        <v>45887.43203809028</v>
      </c>
      <c r="W4806" s="11"/>
      <c r="X4806" s="11"/>
      <c r="Y4806" s="45">
        <v>302.0</v>
      </c>
      <c r="Z4806" s="45" t="s">
        <v>19157</v>
      </c>
      <c r="AA4806" s="31"/>
      <c r="AB4806" s="45" t="s">
        <v>19158</v>
      </c>
      <c r="AC4806" s="45"/>
    </row>
    <row r="4807" ht="18.75" customHeight="1">
      <c r="A4807" s="18" t="s">
        <v>19159</v>
      </c>
      <c r="B4807" s="19" t="s">
        <v>4147</v>
      </c>
      <c r="C4807" s="20">
        <v>90.0</v>
      </c>
      <c r="D4807" s="39" t="s">
        <v>19160</v>
      </c>
      <c r="E4807" s="27" t="s">
        <v>91</v>
      </c>
      <c r="F4807" s="27" t="s">
        <v>48</v>
      </c>
      <c r="G4807" s="18" t="s">
        <v>35</v>
      </c>
      <c r="H4807" s="40" t="s">
        <v>35</v>
      </c>
      <c r="I4807" s="37" t="s">
        <v>36</v>
      </c>
      <c r="J4807" s="25" t="s">
        <v>49</v>
      </c>
      <c r="K4807" s="26" t="s">
        <v>38</v>
      </c>
      <c r="L4807" s="72">
        <v>13637.0</v>
      </c>
      <c r="M4807" s="49" t="s">
        <v>50</v>
      </c>
      <c r="N4807" s="42" t="s">
        <v>17048</v>
      </c>
      <c r="O4807" s="67">
        <v>45887.5955458449</v>
      </c>
      <c r="P4807" s="35" t="s">
        <v>19156</v>
      </c>
      <c r="Q4807" s="13" t="s">
        <v>75</v>
      </c>
      <c r="R4807" s="13" t="s">
        <v>75</v>
      </c>
      <c r="S4807" s="13" t="s">
        <v>50</v>
      </c>
      <c r="T4807" s="44">
        <v>45884.596298749995</v>
      </c>
      <c r="U4807" s="44">
        <v>45884.70459490741</v>
      </c>
      <c r="V4807" s="44">
        <v>45887.43203810185</v>
      </c>
      <c r="W4807" s="11"/>
      <c r="X4807" s="11"/>
      <c r="Y4807" s="45">
        <v>302.0</v>
      </c>
      <c r="Z4807" s="45" t="s">
        <v>19161</v>
      </c>
      <c r="AA4807" s="31"/>
      <c r="AB4807" s="45" t="s">
        <v>19162</v>
      </c>
      <c r="AC4807" s="45"/>
    </row>
    <row r="4808" ht="18.75" customHeight="1">
      <c r="A4808" s="18" t="s">
        <v>19163</v>
      </c>
      <c r="B4808" s="19" t="s">
        <v>4147</v>
      </c>
      <c r="C4808" s="20">
        <v>90.0</v>
      </c>
      <c r="D4808" s="39" t="s">
        <v>19164</v>
      </c>
      <c r="E4808" s="27" t="s">
        <v>91</v>
      </c>
      <c r="F4808" s="27" t="s">
        <v>48</v>
      </c>
      <c r="G4808" s="18" t="s">
        <v>35</v>
      </c>
      <c r="H4808" s="40" t="s">
        <v>35</v>
      </c>
      <c r="I4808" s="37" t="s">
        <v>36</v>
      </c>
      <c r="J4808" s="25" t="s">
        <v>49</v>
      </c>
      <c r="K4808" s="26" t="s">
        <v>38</v>
      </c>
      <c r="L4808" s="72">
        <v>13637.0</v>
      </c>
      <c r="M4808" s="49" t="s">
        <v>50</v>
      </c>
      <c r="N4808" s="42" t="s">
        <v>17048</v>
      </c>
      <c r="O4808" s="67">
        <v>45887.595489942134</v>
      </c>
      <c r="P4808" s="35" t="s">
        <v>19156</v>
      </c>
      <c r="Q4808" s="13" t="s">
        <v>75</v>
      </c>
      <c r="R4808" s="13" t="s">
        <v>75</v>
      </c>
      <c r="S4808" s="13" t="s">
        <v>50</v>
      </c>
      <c r="T4808" s="44">
        <v>45884.59637939815</v>
      </c>
      <c r="U4808" s="44">
        <v>45884.70462722222</v>
      </c>
      <c r="V4808" s="44">
        <v>45887.43203810185</v>
      </c>
      <c r="W4808" s="11"/>
      <c r="X4808" s="11"/>
      <c r="Y4808" s="45">
        <v>302.0</v>
      </c>
      <c r="Z4808" s="45" t="s">
        <v>19165</v>
      </c>
      <c r="AA4808" s="31"/>
      <c r="AB4808" s="45" t="s">
        <v>19166</v>
      </c>
      <c r="AC4808" s="45"/>
    </row>
    <row r="4809" ht="18.75" customHeight="1">
      <c r="A4809" s="142" t="s">
        <v>19167</v>
      </c>
      <c r="B4809" s="19" t="s">
        <v>19168</v>
      </c>
      <c r="C4809" s="20">
        <v>27.0</v>
      </c>
      <c r="D4809" s="39" t="s">
        <v>19169</v>
      </c>
      <c r="E4809" s="27" t="s">
        <v>72</v>
      </c>
      <c r="F4809" s="27" t="s">
        <v>48</v>
      </c>
      <c r="G4809" s="18" t="s">
        <v>35</v>
      </c>
      <c r="H4809" s="40" t="s">
        <v>35</v>
      </c>
      <c r="I4809" s="37" t="s">
        <v>36</v>
      </c>
      <c r="J4809" s="25" t="s">
        <v>65</v>
      </c>
      <c r="K4809" s="26" t="s">
        <v>38</v>
      </c>
      <c r="L4809" s="72">
        <v>13638.0</v>
      </c>
      <c r="M4809" s="49" t="s">
        <v>50</v>
      </c>
      <c r="N4809" s="42" t="s">
        <v>3461</v>
      </c>
      <c r="O4809" s="67">
        <v>45888.32899646991</v>
      </c>
      <c r="P4809" s="35" t="s">
        <v>19170</v>
      </c>
      <c r="Q4809" s="13" t="s">
        <v>75</v>
      </c>
      <c r="R4809" s="13" t="s">
        <v>75</v>
      </c>
      <c r="S4809" s="13" t="s">
        <v>50</v>
      </c>
      <c r="T4809" s="44">
        <v>45884.60882886574</v>
      </c>
      <c r="U4809" s="44">
        <v>45887.43644167824</v>
      </c>
      <c r="V4809" s="44">
        <v>45887.443149178245</v>
      </c>
      <c r="W4809" s="11"/>
      <c r="X4809" s="11"/>
      <c r="Y4809" s="45">
        <v>302.0</v>
      </c>
      <c r="Z4809" s="45" t="s">
        <v>19171</v>
      </c>
      <c r="AA4809" s="31"/>
      <c r="AB4809" s="45" t="s">
        <v>19172</v>
      </c>
      <c r="AC4809" s="45"/>
    </row>
    <row r="4810" ht="18.75" customHeight="1">
      <c r="A4810" s="142" t="s">
        <v>19173</v>
      </c>
      <c r="B4810" s="19" t="s">
        <v>19174</v>
      </c>
      <c r="C4810" s="20">
        <v>27.0</v>
      </c>
      <c r="D4810" s="39" t="s">
        <v>19175</v>
      </c>
      <c r="E4810" s="27" t="s">
        <v>72</v>
      </c>
      <c r="F4810" s="27" t="s">
        <v>48</v>
      </c>
      <c r="G4810" s="18" t="s">
        <v>35</v>
      </c>
      <c r="H4810" s="40" t="s">
        <v>35</v>
      </c>
      <c r="I4810" s="37" t="s">
        <v>36</v>
      </c>
      <c r="J4810" s="25" t="s">
        <v>49</v>
      </c>
      <c r="K4810" s="26" t="s">
        <v>38</v>
      </c>
      <c r="L4810" s="72">
        <v>13639.0</v>
      </c>
      <c r="M4810" s="49" t="s">
        <v>50</v>
      </c>
      <c r="N4810" s="42" t="s">
        <v>17048</v>
      </c>
      <c r="O4810" s="67">
        <v>45887.59544232639</v>
      </c>
      <c r="P4810" s="35" t="s">
        <v>15666</v>
      </c>
      <c r="Q4810" s="13" t="s">
        <v>75</v>
      </c>
      <c r="R4810" s="13" t="s">
        <v>75</v>
      </c>
      <c r="S4810" s="13" t="s">
        <v>50</v>
      </c>
      <c r="T4810" s="44">
        <v>45884.621585960645</v>
      </c>
      <c r="U4810" s="44">
        <v>45887.437032974536</v>
      </c>
      <c r="V4810" s="44">
        <v>45887.4429228588</v>
      </c>
      <c r="W4810" s="11"/>
      <c r="X4810" s="11"/>
      <c r="Y4810" s="45">
        <v>302.0</v>
      </c>
      <c r="Z4810" s="45" t="s">
        <v>19176</v>
      </c>
      <c r="AA4810" s="31"/>
      <c r="AB4810" s="45" t="s">
        <v>19177</v>
      </c>
      <c r="AC4810" s="45"/>
    </row>
    <row r="4811" ht="18.75" customHeight="1">
      <c r="A4811" s="142" t="s">
        <v>19178</v>
      </c>
      <c r="B4811" s="19" t="s">
        <v>19179</v>
      </c>
      <c r="C4811" s="20">
        <v>90.0</v>
      </c>
      <c r="D4811" s="39" t="s">
        <v>19180</v>
      </c>
      <c r="E4811" s="27" t="s">
        <v>91</v>
      </c>
      <c r="F4811" s="27" t="s">
        <v>48</v>
      </c>
      <c r="G4811" s="18" t="s">
        <v>35</v>
      </c>
      <c r="H4811" s="40" t="s">
        <v>35</v>
      </c>
      <c r="I4811" s="37" t="s">
        <v>36</v>
      </c>
      <c r="J4811" s="25" t="s">
        <v>49</v>
      </c>
      <c r="K4811" s="26" t="s">
        <v>1184</v>
      </c>
      <c r="L4811" s="72">
        <v>13673.0</v>
      </c>
      <c r="M4811" s="49" t="s">
        <v>73</v>
      </c>
      <c r="N4811" s="42" t="s">
        <v>17048</v>
      </c>
      <c r="O4811" s="67">
        <v>45890.6393318287</v>
      </c>
      <c r="P4811" s="35" t="s">
        <v>19181</v>
      </c>
      <c r="Q4811" s="13" t="s">
        <v>75</v>
      </c>
      <c r="R4811" s="13" t="s">
        <v>75</v>
      </c>
      <c r="S4811" s="13" t="s">
        <v>73</v>
      </c>
      <c r="T4811" s="44">
        <v>45890.58669582176</v>
      </c>
      <c r="U4811" s="44">
        <v>45890.58671292824</v>
      </c>
      <c r="V4811" s="44">
        <v>45890.599315011576</v>
      </c>
      <c r="W4811" s="11"/>
      <c r="X4811" s="11"/>
      <c r="Y4811" s="45">
        <v>302.0</v>
      </c>
      <c r="Z4811" s="45" t="s">
        <v>19182</v>
      </c>
      <c r="AA4811" s="31"/>
      <c r="AB4811" s="45" t="s">
        <v>19183</v>
      </c>
      <c r="AC4811" s="45"/>
    </row>
    <row r="4812" ht="18.75" customHeight="1">
      <c r="A4812" s="142" t="s">
        <v>19184</v>
      </c>
      <c r="B4812" s="19" t="s">
        <v>8071</v>
      </c>
      <c r="C4812" s="20">
        <v>137.0</v>
      </c>
      <c r="D4812" s="39" t="s">
        <v>19185</v>
      </c>
      <c r="E4812" s="27" t="s">
        <v>85</v>
      </c>
      <c r="F4812" s="27" t="s">
        <v>48</v>
      </c>
      <c r="G4812" s="18" t="s">
        <v>35</v>
      </c>
      <c r="H4812" s="40" t="s">
        <v>35</v>
      </c>
      <c r="I4812" s="37" t="s">
        <v>36</v>
      </c>
      <c r="J4812" s="25" t="s">
        <v>49</v>
      </c>
      <c r="K4812" s="26" t="s">
        <v>38</v>
      </c>
      <c r="L4812" s="72">
        <v>13640.0</v>
      </c>
      <c r="M4812" s="49" t="s">
        <v>50</v>
      </c>
      <c r="N4812" s="42" t="s">
        <v>17048</v>
      </c>
      <c r="O4812" s="67">
        <v>45887.595385520835</v>
      </c>
      <c r="P4812" s="35" t="s">
        <v>19186</v>
      </c>
      <c r="Q4812" s="13" t="s">
        <v>75</v>
      </c>
      <c r="R4812" s="13" t="s">
        <v>75</v>
      </c>
      <c r="S4812" s="13" t="s">
        <v>50</v>
      </c>
      <c r="T4812" s="44">
        <v>45884.638799733795</v>
      </c>
      <c r="U4812" s="44">
        <v>45887.43619143519</v>
      </c>
      <c r="V4812" s="44">
        <v>45887.44280189815</v>
      </c>
      <c r="W4812" s="11"/>
      <c r="X4812" s="11"/>
      <c r="Y4812" s="45">
        <v>302.0</v>
      </c>
      <c r="Z4812" s="45" t="s">
        <v>19187</v>
      </c>
      <c r="AA4812" s="31"/>
      <c r="AB4812" s="45" t="s">
        <v>19188</v>
      </c>
      <c r="AC4812" s="45"/>
    </row>
    <row r="4813" ht="18.75" customHeight="1">
      <c r="A4813" s="142" t="s">
        <v>19189</v>
      </c>
      <c r="B4813" s="19" t="s">
        <v>10396</v>
      </c>
      <c r="C4813" s="20">
        <v>27.0</v>
      </c>
      <c r="D4813" s="39" t="s">
        <v>19190</v>
      </c>
      <c r="E4813" s="27" t="s">
        <v>72</v>
      </c>
      <c r="F4813" s="27" t="s">
        <v>48</v>
      </c>
      <c r="G4813" s="18" t="s">
        <v>35</v>
      </c>
      <c r="H4813" s="40" t="s">
        <v>35</v>
      </c>
      <c r="I4813" s="37" t="s">
        <v>36</v>
      </c>
      <c r="J4813" s="25" t="s">
        <v>518</v>
      </c>
      <c r="K4813" s="26" t="s">
        <v>38</v>
      </c>
      <c r="L4813" s="72">
        <v>13642.0</v>
      </c>
      <c r="M4813" s="49" t="s">
        <v>73</v>
      </c>
      <c r="N4813" s="42" t="s">
        <v>4616</v>
      </c>
      <c r="O4813" s="67">
        <v>45888.652184074075</v>
      </c>
      <c r="P4813" s="35" t="s">
        <v>19191</v>
      </c>
      <c r="Q4813" s="13" t="s">
        <v>75</v>
      </c>
      <c r="R4813" s="13" t="s">
        <v>75</v>
      </c>
      <c r="S4813" s="13" t="s">
        <v>50</v>
      </c>
      <c r="T4813" s="44">
        <v>45887.72493489583</v>
      </c>
      <c r="U4813" s="44">
        <v>45887.72495146991</v>
      </c>
      <c r="V4813" s="44">
        <v>45888.32784835648</v>
      </c>
      <c r="W4813" s="11"/>
      <c r="X4813" s="11"/>
      <c r="Y4813" s="45">
        <v>302.0</v>
      </c>
      <c r="Z4813" s="45" t="s">
        <v>19192</v>
      </c>
      <c r="AA4813" s="31"/>
      <c r="AB4813" s="45" t="s">
        <v>19193</v>
      </c>
      <c r="AC4813" s="45"/>
    </row>
    <row r="4814" ht="18.75" customHeight="1">
      <c r="A4814" s="142" t="s">
        <v>19194</v>
      </c>
      <c r="B4814" s="19" t="s">
        <v>16816</v>
      </c>
      <c r="C4814" s="20">
        <v>0.0</v>
      </c>
      <c r="D4814" s="39" t="s">
        <v>19195</v>
      </c>
      <c r="E4814" s="27" t="s">
        <v>3441</v>
      </c>
      <c r="F4814" s="27" t="s">
        <v>48</v>
      </c>
      <c r="G4814" s="18" t="s">
        <v>35</v>
      </c>
      <c r="H4814" s="40" t="s">
        <v>35</v>
      </c>
      <c r="I4814" s="37" t="s">
        <v>36</v>
      </c>
      <c r="J4814" s="25" t="s">
        <v>65</v>
      </c>
      <c r="K4814" s="26" t="s">
        <v>38</v>
      </c>
      <c r="L4814" s="72">
        <v>13643.0</v>
      </c>
      <c r="M4814" s="49" t="s">
        <v>50</v>
      </c>
      <c r="N4814" s="42" t="s">
        <v>3461</v>
      </c>
      <c r="O4814" s="67">
        <v>45888.329134444444</v>
      </c>
      <c r="P4814" s="35" t="s">
        <v>14372</v>
      </c>
      <c r="Q4814" s="13" t="s">
        <v>75</v>
      </c>
      <c r="R4814" s="13" t="s">
        <v>75</v>
      </c>
      <c r="S4814" s="13" t="s">
        <v>50</v>
      </c>
      <c r="T4814" s="44">
        <v>45887.453658576385</v>
      </c>
      <c r="U4814" s="44">
        <v>45887.48424336806</v>
      </c>
      <c r="V4814" s="44">
        <v>45887.49034583333</v>
      </c>
      <c r="W4814" s="11"/>
      <c r="X4814" s="11"/>
      <c r="Y4814" s="45">
        <v>302.0</v>
      </c>
      <c r="Z4814" s="45" t="s">
        <v>19196</v>
      </c>
      <c r="AA4814" s="31"/>
      <c r="AB4814" s="218" t="s">
        <v>19197</v>
      </c>
      <c r="AC4814" s="45"/>
    </row>
    <row r="4815" ht="18.75" customHeight="1">
      <c r="A4815" s="142" t="s">
        <v>19198</v>
      </c>
      <c r="B4815" s="19" t="s">
        <v>3645</v>
      </c>
      <c r="C4815" s="20">
        <v>0.0</v>
      </c>
      <c r="D4815" s="179">
        <v>20176.0</v>
      </c>
      <c r="E4815" s="27" t="s">
        <v>135</v>
      </c>
      <c r="F4815" s="27" t="s">
        <v>48</v>
      </c>
      <c r="G4815" s="18" t="s">
        <v>35</v>
      </c>
      <c r="H4815" s="40" t="s">
        <v>35</v>
      </c>
      <c r="I4815" s="37" t="s">
        <v>36</v>
      </c>
      <c r="J4815" s="25" t="s">
        <v>49</v>
      </c>
      <c r="K4815" s="26" t="s">
        <v>38</v>
      </c>
      <c r="L4815" s="72">
        <v>13647.0</v>
      </c>
      <c r="M4815" s="49" t="s">
        <v>73</v>
      </c>
      <c r="N4815" s="42" t="s">
        <v>5936</v>
      </c>
      <c r="O4815" s="67">
        <v>45888.65253528935</v>
      </c>
      <c r="P4815" s="35" t="s">
        <v>19199</v>
      </c>
      <c r="Q4815" s="13" t="s">
        <v>75</v>
      </c>
      <c r="R4815" s="13" t="s">
        <v>75</v>
      </c>
      <c r="S4815" s="13" t="s">
        <v>9620</v>
      </c>
      <c r="T4815" s="44">
        <v>45887.5549722338</v>
      </c>
      <c r="U4815" s="44">
        <v>45887.69312797453</v>
      </c>
      <c r="V4815" s="44">
        <v>45888.368077534724</v>
      </c>
      <c r="W4815" s="11"/>
      <c r="X4815" s="11"/>
      <c r="Y4815" s="45">
        <v>302.0</v>
      </c>
      <c r="Z4815" s="45" t="s">
        <v>19200</v>
      </c>
      <c r="AA4815" s="31"/>
      <c r="AB4815" s="45" t="s">
        <v>19201</v>
      </c>
      <c r="AC4815" s="45"/>
    </row>
    <row r="4816" ht="18.75" customHeight="1">
      <c r="A4816" s="142" t="s">
        <v>19202</v>
      </c>
      <c r="B4816" s="19" t="s">
        <v>18977</v>
      </c>
      <c r="C4816" s="20">
        <v>27.0</v>
      </c>
      <c r="D4816" s="39" t="s">
        <v>19203</v>
      </c>
      <c r="E4816" s="27" t="s">
        <v>72</v>
      </c>
      <c r="F4816" s="27" t="s">
        <v>48</v>
      </c>
      <c r="G4816" s="18" t="s">
        <v>35</v>
      </c>
      <c r="H4816" s="40" t="s">
        <v>35</v>
      </c>
      <c r="I4816" s="37" t="s">
        <v>36</v>
      </c>
      <c r="J4816" s="25" t="s">
        <v>65</v>
      </c>
      <c r="K4816" s="26" t="s">
        <v>38</v>
      </c>
      <c r="L4816" s="72">
        <v>13658.0</v>
      </c>
      <c r="M4816" s="49" t="s">
        <v>50</v>
      </c>
      <c r="N4816" s="42" t="s">
        <v>19204</v>
      </c>
      <c r="O4816" s="67">
        <v>45889.72916666667</v>
      </c>
      <c r="P4816" s="35" t="s">
        <v>19205</v>
      </c>
      <c r="Q4816" s="13" t="s">
        <v>75</v>
      </c>
      <c r="R4816" s="13" t="s">
        <v>75</v>
      </c>
      <c r="S4816" s="13" t="s">
        <v>50</v>
      </c>
      <c r="T4816" s="44">
        <v>45887.45409050926</v>
      </c>
      <c r="U4816" s="44">
        <v>45889.58973431713</v>
      </c>
      <c r="V4816" s="44">
        <v>45889.596488888885</v>
      </c>
      <c r="W4816" s="11"/>
      <c r="X4816" s="11"/>
      <c r="Y4816" s="45">
        <v>302.0</v>
      </c>
      <c r="Z4816" s="45" t="s">
        <v>19206</v>
      </c>
      <c r="AA4816" s="31"/>
      <c r="AB4816" s="45" t="s">
        <v>19207</v>
      </c>
      <c r="AC4816" s="45"/>
    </row>
    <row r="4817" ht="18.75" customHeight="1">
      <c r="A4817" s="142" t="s">
        <v>19208</v>
      </c>
      <c r="B4817" s="19" t="s">
        <v>19209</v>
      </c>
      <c r="C4817" s="20">
        <v>90.0</v>
      </c>
      <c r="D4817" s="39" t="s">
        <v>19210</v>
      </c>
      <c r="E4817" s="27" t="s">
        <v>91</v>
      </c>
      <c r="F4817" s="27" t="s">
        <v>48</v>
      </c>
      <c r="G4817" s="18" t="s">
        <v>35</v>
      </c>
      <c r="H4817" s="40" t="s">
        <v>35</v>
      </c>
      <c r="I4817" s="37" t="s">
        <v>36</v>
      </c>
      <c r="J4817" s="25" t="s">
        <v>49</v>
      </c>
      <c r="K4817" s="26" t="s">
        <v>38</v>
      </c>
      <c r="L4817" s="72">
        <v>13649.0</v>
      </c>
      <c r="M4817" s="49" t="s">
        <v>73</v>
      </c>
      <c r="N4817" s="42" t="s">
        <v>5936</v>
      </c>
      <c r="O4817" s="67">
        <v>45888.65249141204</v>
      </c>
      <c r="P4817" s="35" t="s">
        <v>17100</v>
      </c>
      <c r="Q4817" s="13" t="s">
        <v>75</v>
      </c>
      <c r="R4817" s="13" t="s">
        <v>75</v>
      </c>
      <c r="S4817" s="13" t="s">
        <v>73</v>
      </c>
      <c r="T4817" s="44">
        <v>45887.45632025463</v>
      </c>
      <c r="U4817" s="44">
        <v>45887.49874322917</v>
      </c>
      <c r="V4817" s="44">
        <v>45888.44902677083</v>
      </c>
      <c r="W4817" s="11"/>
      <c r="X4817" s="11"/>
      <c r="Y4817" s="45">
        <v>302.0</v>
      </c>
      <c r="Z4817" s="45" t="s">
        <v>19211</v>
      </c>
      <c r="AA4817" s="31"/>
      <c r="AB4817" s="45" t="s">
        <v>19212</v>
      </c>
      <c r="AC4817" s="45"/>
    </row>
    <row r="4818" ht="18.75" customHeight="1">
      <c r="A4818" s="142" t="s">
        <v>19213</v>
      </c>
      <c r="B4818" s="19" t="s">
        <v>19214</v>
      </c>
      <c r="C4818" s="20">
        <v>27.0</v>
      </c>
      <c r="D4818" s="39" t="s">
        <v>19215</v>
      </c>
      <c r="E4818" s="27" t="s">
        <v>72</v>
      </c>
      <c r="F4818" s="27" t="s">
        <v>48</v>
      </c>
      <c r="G4818" s="18" t="s">
        <v>35</v>
      </c>
      <c r="H4818" s="40" t="s">
        <v>35</v>
      </c>
      <c r="I4818" s="37" t="s">
        <v>36</v>
      </c>
      <c r="J4818" s="25" t="s">
        <v>65</v>
      </c>
      <c r="K4818" s="26" t="s">
        <v>38</v>
      </c>
      <c r="L4818" s="72">
        <v>13714.0</v>
      </c>
      <c r="M4818" s="49" t="s">
        <v>50</v>
      </c>
      <c r="N4818" s="42" t="s">
        <v>16408</v>
      </c>
      <c r="O4818" s="67">
        <v>45896.68521256944</v>
      </c>
      <c r="P4818" s="35" t="s">
        <v>19216</v>
      </c>
      <c r="Q4818" s="13" t="s">
        <v>75</v>
      </c>
      <c r="R4818" s="13" t="s">
        <v>75</v>
      </c>
      <c r="S4818" s="13" t="s">
        <v>50</v>
      </c>
      <c r="T4818" s="44">
        <v>45896.453777222225</v>
      </c>
      <c r="U4818" s="44">
        <v>45896.45379609954</v>
      </c>
      <c r="V4818" s="44">
        <v>45896.45423556713</v>
      </c>
      <c r="W4818" s="11"/>
      <c r="X4818" s="11"/>
      <c r="Y4818" s="45">
        <v>302.0</v>
      </c>
      <c r="Z4818" s="45" t="s">
        <v>19217</v>
      </c>
      <c r="AA4818" s="31"/>
      <c r="AB4818" s="45" t="s">
        <v>19218</v>
      </c>
      <c r="AC4818" s="45"/>
    </row>
    <row r="4819" ht="18.75" customHeight="1">
      <c r="A4819" s="142" t="s">
        <v>19219</v>
      </c>
      <c r="B4819" s="19" t="s">
        <v>4313</v>
      </c>
      <c r="C4819" s="20">
        <v>11.0</v>
      </c>
      <c r="D4819" s="39" t="s">
        <v>19220</v>
      </c>
      <c r="E4819" s="27" t="s">
        <v>112</v>
      </c>
      <c r="F4819" s="27" t="s">
        <v>48</v>
      </c>
      <c r="G4819" s="18" t="s">
        <v>35</v>
      </c>
      <c r="H4819" s="40" t="s">
        <v>35</v>
      </c>
      <c r="I4819" s="37" t="s">
        <v>36</v>
      </c>
      <c r="J4819" s="25" t="s">
        <v>92</v>
      </c>
      <c r="K4819" s="26" t="s">
        <v>38</v>
      </c>
      <c r="L4819" s="72">
        <v>13645.0</v>
      </c>
      <c r="M4819" s="49" t="s">
        <v>73</v>
      </c>
      <c r="N4819" s="42" t="s">
        <v>10176</v>
      </c>
      <c r="O4819" s="67">
        <v>45887.62465648148</v>
      </c>
      <c r="P4819" s="35" t="s">
        <v>19221</v>
      </c>
      <c r="Q4819" s="13" t="s">
        <v>75</v>
      </c>
      <c r="R4819" s="13" t="s">
        <v>75</v>
      </c>
      <c r="S4819" s="13" t="s">
        <v>73</v>
      </c>
      <c r="T4819" s="44">
        <v>45887.539387453704</v>
      </c>
      <c r="U4819" s="44">
        <v>45887.615038449076</v>
      </c>
      <c r="V4819" s="44">
        <v>45887.61741061343</v>
      </c>
      <c r="W4819" s="11"/>
      <c r="X4819" s="11"/>
      <c r="Y4819" s="45">
        <v>302.0</v>
      </c>
      <c r="Z4819" s="45" t="s">
        <v>19222</v>
      </c>
      <c r="AA4819" s="31"/>
      <c r="AB4819" s="45" t="s">
        <v>19223</v>
      </c>
      <c r="AC4819" s="45"/>
    </row>
    <row r="4820" ht="18.75" customHeight="1">
      <c r="A4820" s="142" t="s">
        <v>19224</v>
      </c>
      <c r="B4820" s="19" t="s">
        <v>4293</v>
      </c>
      <c r="C4820" s="20">
        <v>90.0</v>
      </c>
      <c r="D4820" s="39" t="s">
        <v>19225</v>
      </c>
      <c r="E4820" s="27" t="s">
        <v>91</v>
      </c>
      <c r="F4820" s="27" t="s">
        <v>48</v>
      </c>
      <c r="G4820" s="18" t="s">
        <v>35</v>
      </c>
      <c r="H4820" s="40" t="s">
        <v>35</v>
      </c>
      <c r="I4820" s="37" t="s">
        <v>36</v>
      </c>
      <c r="J4820" s="25" t="s">
        <v>65</v>
      </c>
      <c r="K4820" s="26" t="s">
        <v>38</v>
      </c>
      <c r="L4820" s="72">
        <v>13782.0</v>
      </c>
      <c r="M4820" s="49" t="s">
        <v>50</v>
      </c>
      <c r="N4820" s="42" t="s">
        <v>16408</v>
      </c>
      <c r="O4820" s="67">
        <v>45903.70469002315</v>
      </c>
      <c r="P4820" s="35" t="s">
        <v>19226</v>
      </c>
      <c r="Q4820" s="13" t="s">
        <v>75</v>
      </c>
      <c r="R4820" s="13" t="s">
        <v>75</v>
      </c>
      <c r="S4820" s="13" t="s">
        <v>73</v>
      </c>
      <c r="T4820" s="44">
        <v>45887.68750800926</v>
      </c>
      <c r="U4820" s="44">
        <v>45903.492973229164</v>
      </c>
      <c r="V4820" s="44">
        <v>45903.548922222224</v>
      </c>
      <c r="W4820" s="11"/>
      <c r="X4820" s="11"/>
      <c r="Y4820" s="45">
        <v>302.0</v>
      </c>
      <c r="Z4820" s="45" t="s">
        <v>19227</v>
      </c>
      <c r="AA4820" s="31"/>
      <c r="AB4820" s="45" t="s">
        <v>19228</v>
      </c>
      <c r="AC4820" s="45"/>
    </row>
    <row r="4821" ht="18.75" customHeight="1">
      <c r="A4821" s="142" t="s">
        <v>19229</v>
      </c>
      <c r="B4821" s="19" t="s">
        <v>19230</v>
      </c>
      <c r="C4821" s="20">
        <v>0.0</v>
      </c>
      <c r="D4821" s="39" t="s">
        <v>19231</v>
      </c>
      <c r="E4821" s="27" t="s">
        <v>3441</v>
      </c>
      <c r="F4821" s="27" t="s">
        <v>48</v>
      </c>
      <c r="G4821" s="18" t="s">
        <v>35</v>
      </c>
      <c r="H4821" s="40" t="s">
        <v>35</v>
      </c>
      <c r="I4821" s="37" t="s">
        <v>36</v>
      </c>
      <c r="J4821" s="25" t="s">
        <v>65</v>
      </c>
      <c r="K4821" s="26" t="s">
        <v>38</v>
      </c>
      <c r="L4821" s="72">
        <v>13651.0</v>
      </c>
      <c r="M4821" s="49" t="s">
        <v>73</v>
      </c>
      <c r="N4821" s="42" t="s">
        <v>16408</v>
      </c>
      <c r="O4821" s="67">
        <v>45888.6787021875</v>
      </c>
      <c r="P4821" s="35" t="s">
        <v>19232</v>
      </c>
      <c r="Q4821" s="13" t="s">
        <v>75</v>
      </c>
      <c r="R4821" s="13" t="s">
        <v>75</v>
      </c>
      <c r="S4821" s="13" t="s">
        <v>73</v>
      </c>
      <c r="T4821" s="44">
        <v>45887.688789340275</v>
      </c>
      <c r="U4821" s="44">
        <v>45888.50758651621</v>
      </c>
      <c r="V4821" s="44">
        <v>45888.53944822917</v>
      </c>
      <c r="W4821" s="11"/>
      <c r="X4821" s="11"/>
      <c r="Y4821" s="45">
        <v>302.0</v>
      </c>
      <c r="Z4821" s="45" t="s">
        <v>19233</v>
      </c>
      <c r="AA4821" s="31"/>
      <c r="AB4821" s="45" t="s">
        <v>19234</v>
      </c>
      <c r="AC4821" s="45"/>
    </row>
    <row r="4822" ht="18.75" customHeight="1">
      <c r="A4822" s="142" t="s">
        <v>19235</v>
      </c>
      <c r="B4822" s="19" t="s">
        <v>19236</v>
      </c>
      <c r="C4822" s="20">
        <v>27.0</v>
      </c>
      <c r="D4822" s="39" t="s">
        <v>19237</v>
      </c>
      <c r="E4822" s="27" t="s">
        <v>72</v>
      </c>
      <c r="F4822" s="27" t="s">
        <v>48</v>
      </c>
      <c r="G4822" s="18" t="s">
        <v>35</v>
      </c>
      <c r="H4822" s="40" t="s">
        <v>35</v>
      </c>
      <c r="I4822" s="37" t="s">
        <v>36</v>
      </c>
      <c r="J4822" s="25" t="s">
        <v>92</v>
      </c>
      <c r="K4822" s="26" t="s">
        <v>38</v>
      </c>
      <c r="L4822" s="72">
        <v>13655.0</v>
      </c>
      <c r="M4822" s="49" t="s">
        <v>73</v>
      </c>
      <c r="N4822" s="42" t="s">
        <v>19238</v>
      </c>
      <c r="O4822" s="67">
        <v>45894.57368402778</v>
      </c>
      <c r="P4822" s="35" t="s">
        <v>19239</v>
      </c>
      <c r="Q4822" s="13" t="s">
        <v>75</v>
      </c>
      <c r="R4822" s="13" t="s">
        <v>75</v>
      </c>
      <c r="S4822" s="13" t="s">
        <v>73</v>
      </c>
      <c r="T4822" s="44">
        <v>45887.689078958334</v>
      </c>
      <c r="U4822" s="44">
        <v>45888.426087280095</v>
      </c>
      <c r="V4822" s="44">
        <v>45888.654217407406</v>
      </c>
      <c r="W4822" s="11"/>
      <c r="X4822" s="11"/>
      <c r="Y4822" s="45">
        <v>302.0</v>
      </c>
      <c r="Z4822" s="45" t="s">
        <v>19240</v>
      </c>
      <c r="AA4822" s="31"/>
      <c r="AB4822" s="45" t="s">
        <v>19241</v>
      </c>
      <c r="AC4822" s="45"/>
    </row>
    <row r="4823" ht="18.75" customHeight="1">
      <c r="A4823" s="142" t="s">
        <v>19242</v>
      </c>
      <c r="B4823" s="19" t="s">
        <v>11116</v>
      </c>
      <c r="C4823" s="20">
        <v>11.0</v>
      </c>
      <c r="D4823" s="39" t="s">
        <v>19243</v>
      </c>
      <c r="E4823" s="27" t="s">
        <v>112</v>
      </c>
      <c r="F4823" s="27" t="s">
        <v>48</v>
      </c>
      <c r="G4823" s="18" t="s">
        <v>35</v>
      </c>
      <c r="H4823" s="40" t="s">
        <v>35</v>
      </c>
      <c r="I4823" s="37" t="s">
        <v>36</v>
      </c>
      <c r="J4823" s="25" t="s">
        <v>49</v>
      </c>
      <c r="K4823" s="26" t="s">
        <v>19108</v>
      </c>
      <c r="L4823" s="72">
        <v>13665.0</v>
      </c>
      <c r="M4823" s="49" t="s">
        <v>73</v>
      </c>
      <c r="N4823" s="42" t="s">
        <v>17048</v>
      </c>
      <c r="O4823" s="67">
        <v>45890.63927935185</v>
      </c>
      <c r="P4823" s="35" t="s">
        <v>19244</v>
      </c>
      <c r="Q4823" s="13" t="s">
        <v>75</v>
      </c>
      <c r="R4823" s="13" t="s">
        <v>75</v>
      </c>
      <c r="S4823" s="13" t="s">
        <v>73</v>
      </c>
      <c r="T4823" s="44">
        <v>45887.68985028935</v>
      </c>
      <c r="U4823" s="44">
        <v>45889.6453159375</v>
      </c>
      <c r="V4823" s="44">
        <v>45890.440914837964</v>
      </c>
      <c r="W4823" s="11"/>
      <c r="X4823" s="11"/>
      <c r="Y4823" s="45">
        <v>302.0</v>
      </c>
      <c r="Z4823" s="45" t="s">
        <v>19245</v>
      </c>
      <c r="AA4823" s="31"/>
      <c r="AB4823" s="45" t="s">
        <v>19246</v>
      </c>
      <c r="AC4823" s="45"/>
    </row>
    <row r="4824" ht="18.75" customHeight="1">
      <c r="A4824" s="142" t="s">
        <v>19247</v>
      </c>
      <c r="B4824" s="19" t="s">
        <v>18977</v>
      </c>
      <c r="C4824" s="20">
        <v>1.0</v>
      </c>
      <c r="D4824" s="39" t="s">
        <v>19248</v>
      </c>
      <c r="E4824" s="27" t="s">
        <v>3395</v>
      </c>
      <c r="F4824" s="27" t="s">
        <v>48</v>
      </c>
      <c r="G4824" s="18" t="s">
        <v>35</v>
      </c>
      <c r="H4824" s="40" t="s">
        <v>35</v>
      </c>
      <c r="I4824" s="37" t="s">
        <v>36</v>
      </c>
      <c r="J4824" s="25" t="s">
        <v>65</v>
      </c>
      <c r="K4824" s="26" t="s">
        <v>38</v>
      </c>
      <c r="L4824" s="25">
        <v>14008.0</v>
      </c>
      <c r="M4824" s="49" t="s">
        <v>50</v>
      </c>
      <c r="N4824" s="42" t="s">
        <v>16408</v>
      </c>
      <c r="O4824" s="67">
        <v>45929.62937951389</v>
      </c>
      <c r="P4824" s="35" t="s">
        <v>19249</v>
      </c>
      <c r="Q4824" s="13" t="s">
        <v>75</v>
      </c>
      <c r="R4824" s="13" t="s">
        <v>75</v>
      </c>
      <c r="S4824" s="13" t="s">
        <v>73</v>
      </c>
      <c r="T4824" s="44">
        <v>45929.48765430556</v>
      </c>
      <c r="U4824" s="44">
        <v>45929.48825783565</v>
      </c>
      <c r="V4824" s="44">
        <v>45929.5610096875</v>
      </c>
      <c r="W4824" s="11"/>
      <c r="X4824" s="11"/>
      <c r="Y4824" s="45">
        <v>302.0</v>
      </c>
      <c r="Z4824" s="45" t="s">
        <v>19250</v>
      </c>
      <c r="AA4824" s="31"/>
      <c r="AB4824" s="45" t="s">
        <v>19251</v>
      </c>
      <c r="AC4824" s="45"/>
    </row>
    <row r="4825" ht="18.75" customHeight="1">
      <c r="A4825" s="142" t="s">
        <v>19252</v>
      </c>
      <c r="B4825" s="19" t="s">
        <v>11116</v>
      </c>
      <c r="C4825" s="20">
        <v>1.0</v>
      </c>
      <c r="D4825" s="39" t="s">
        <v>19253</v>
      </c>
      <c r="E4825" s="27" t="s">
        <v>3395</v>
      </c>
      <c r="F4825" s="27" t="s">
        <v>48</v>
      </c>
      <c r="G4825" s="18" t="s">
        <v>35</v>
      </c>
      <c r="H4825" s="40" t="s">
        <v>35</v>
      </c>
      <c r="I4825" s="37" t="s">
        <v>36</v>
      </c>
      <c r="J4825" s="25" t="s">
        <v>49</v>
      </c>
      <c r="K4825" s="26" t="s">
        <v>19108</v>
      </c>
      <c r="L4825" s="72">
        <v>13907.0</v>
      </c>
      <c r="M4825" s="49" t="s">
        <v>73</v>
      </c>
      <c r="N4825" s="42" t="s">
        <v>17048</v>
      </c>
      <c r="O4825" s="67">
        <v>45919.597664456014</v>
      </c>
      <c r="P4825" s="35" t="s">
        <v>19254</v>
      </c>
      <c r="Q4825" s="13" t="s">
        <v>75</v>
      </c>
      <c r="R4825" s="13" t="s">
        <v>75</v>
      </c>
      <c r="S4825" s="13" t="s">
        <v>73</v>
      </c>
      <c r="T4825" s="44">
        <v>45887.691185868054</v>
      </c>
      <c r="U4825" s="44">
        <v>45889.64595085648</v>
      </c>
      <c r="V4825" s="44">
        <v>45919.505011562505</v>
      </c>
      <c r="W4825" s="11"/>
      <c r="X4825" s="11"/>
      <c r="Y4825" s="45">
        <v>302.0</v>
      </c>
      <c r="Z4825" s="45" t="s">
        <v>19255</v>
      </c>
      <c r="AA4825" s="31"/>
      <c r="AB4825" s="45" t="s">
        <v>19256</v>
      </c>
      <c r="AC4825" s="45"/>
    </row>
    <row r="4826" ht="18.75" customHeight="1">
      <c r="A4826" s="32" t="s">
        <v>19257</v>
      </c>
      <c r="B4826" s="19" t="s">
        <v>3121</v>
      </c>
      <c r="C4826" s="20">
        <v>1.0</v>
      </c>
      <c r="D4826" s="39" t="s">
        <v>19258</v>
      </c>
      <c r="E4826" s="27" t="s">
        <v>3395</v>
      </c>
      <c r="F4826" s="27" t="s">
        <v>48</v>
      </c>
      <c r="G4826" s="18" t="s">
        <v>35</v>
      </c>
      <c r="H4826" s="40" t="s">
        <v>35</v>
      </c>
      <c r="I4826" s="37" t="s">
        <v>36</v>
      </c>
      <c r="J4826" s="25" t="s">
        <v>92</v>
      </c>
      <c r="K4826" s="26" t="s">
        <v>38</v>
      </c>
      <c r="L4826" s="72">
        <v>13683.0</v>
      </c>
      <c r="M4826" s="49" t="s">
        <v>73</v>
      </c>
      <c r="N4826" s="42" t="s">
        <v>13864</v>
      </c>
      <c r="O4826" s="67">
        <v>45873.64470480324</v>
      </c>
      <c r="P4826" s="35" t="s">
        <v>19259</v>
      </c>
      <c r="Q4826" s="13" t="s">
        <v>75</v>
      </c>
      <c r="R4826" s="13" t="s">
        <v>75</v>
      </c>
      <c r="S4826" s="13" t="s">
        <v>73</v>
      </c>
      <c r="T4826" s="44">
        <v>45861.39346960648</v>
      </c>
      <c r="U4826" s="44">
        <v>45861.411212418985</v>
      </c>
      <c r="V4826" s="44">
        <v>45861.68875696759</v>
      </c>
      <c r="W4826" s="11"/>
      <c r="X4826" s="11"/>
      <c r="Y4826" s="207">
        <v>302.0</v>
      </c>
      <c r="Z4826" s="45" t="s">
        <v>19260</v>
      </c>
      <c r="AA4826" s="31"/>
      <c r="AB4826" s="45" t="s">
        <v>19261</v>
      </c>
      <c r="AC4826" s="45"/>
    </row>
    <row r="4827" ht="18.75" customHeight="1">
      <c r="A4827" s="32" t="s">
        <v>19262</v>
      </c>
      <c r="B4827" s="19" t="s">
        <v>3121</v>
      </c>
      <c r="C4827" s="20">
        <v>1.0</v>
      </c>
      <c r="D4827" s="39" t="s">
        <v>19263</v>
      </c>
      <c r="E4827" s="27" t="s">
        <v>3395</v>
      </c>
      <c r="F4827" s="27" t="s">
        <v>48</v>
      </c>
      <c r="G4827" s="18" t="s">
        <v>35</v>
      </c>
      <c r="H4827" s="40" t="s">
        <v>35</v>
      </c>
      <c r="I4827" s="37" t="s">
        <v>36</v>
      </c>
      <c r="J4827" s="25" t="s">
        <v>92</v>
      </c>
      <c r="K4827" s="26" t="s">
        <v>38</v>
      </c>
      <c r="L4827" s="72">
        <v>13683.0</v>
      </c>
      <c r="M4827" s="49" t="s">
        <v>73</v>
      </c>
      <c r="N4827" s="42" t="s">
        <v>13864</v>
      </c>
      <c r="O4827" s="67">
        <v>45873.64477478009</v>
      </c>
      <c r="P4827" s="35" t="s">
        <v>19259</v>
      </c>
      <c r="Q4827" s="13" t="s">
        <v>75</v>
      </c>
      <c r="R4827" s="13" t="s">
        <v>75</v>
      </c>
      <c r="S4827" s="13" t="s">
        <v>73</v>
      </c>
      <c r="T4827" s="44">
        <v>45861.393586921295</v>
      </c>
      <c r="U4827" s="44">
        <v>45861.41125790509</v>
      </c>
      <c r="V4827" s="44">
        <v>45861.688756979165</v>
      </c>
      <c r="W4827" s="11"/>
      <c r="X4827" s="11"/>
      <c r="Y4827" s="45">
        <v>302.0</v>
      </c>
      <c r="Z4827" s="45" t="s">
        <v>19264</v>
      </c>
      <c r="AA4827" s="31"/>
      <c r="AB4827" s="45" t="s">
        <v>19265</v>
      </c>
      <c r="AC4827" s="45"/>
    </row>
    <row r="4828" ht="18.75" customHeight="1">
      <c r="A4828" s="32" t="s">
        <v>19266</v>
      </c>
      <c r="B4828" s="19" t="s">
        <v>3121</v>
      </c>
      <c r="C4828" s="20">
        <v>1.0</v>
      </c>
      <c r="D4828" s="39" t="s">
        <v>19267</v>
      </c>
      <c r="E4828" s="27" t="s">
        <v>3395</v>
      </c>
      <c r="F4828" s="27" t="s">
        <v>48</v>
      </c>
      <c r="G4828" s="18" t="s">
        <v>35</v>
      </c>
      <c r="H4828" s="40" t="s">
        <v>35</v>
      </c>
      <c r="I4828" s="37" t="s">
        <v>36</v>
      </c>
      <c r="J4828" s="25" t="s">
        <v>92</v>
      </c>
      <c r="K4828" s="26" t="s">
        <v>38</v>
      </c>
      <c r="L4828" s="72">
        <v>13683.0</v>
      </c>
      <c r="M4828" s="49" t="s">
        <v>73</v>
      </c>
      <c r="N4828" s="42" t="s">
        <v>13864</v>
      </c>
      <c r="O4828" s="67">
        <v>45873.6448293287</v>
      </c>
      <c r="P4828" s="35" t="s">
        <v>19259</v>
      </c>
      <c r="Q4828" s="13" t="s">
        <v>75</v>
      </c>
      <c r="R4828" s="13" t="s">
        <v>75</v>
      </c>
      <c r="S4828" s="13" t="s">
        <v>73</v>
      </c>
      <c r="T4828" s="44">
        <v>45861.393648495374</v>
      </c>
      <c r="U4828" s="44">
        <v>45861.411232303246</v>
      </c>
      <c r="V4828" s="44">
        <v>45861.688756979165</v>
      </c>
      <c r="W4828" s="11"/>
      <c r="X4828" s="11"/>
      <c r="Y4828" s="45">
        <v>302.0</v>
      </c>
      <c r="Z4828" s="45" t="s">
        <v>19268</v>
      </c>
      <c r="AA4828" s="31"/>
      <c r="AB4828" s="45" t="s">
        <v>19269</v>
      </c>
      <c r="AC4828" s="45"/>
    </row>
    <row r="4829" ht="18.75" customHeight="1">
      <c r="A4829" s="32" t="s">
        <v>19270</v>
      </c>
      <c r="B4829" s="19" t="s">
        <v>3121</v>
      </c>
      <c r="C4829" s="20">
        <v>90.0</v>
      </c>
      <c r="D4829" s="39" t="s">
        <v>19271</v>
      </c>
      <c r="E4829" s="27" t="s">
        <v>91</v>
      </c>
      <c r="F4829" s="27" t="s">
        <v>48</v>
      </c>
      <c r="G4829" s="18" t="s">
        <v>35</v>
      </c>
      <c r="H4829" s="40" t="s">
        <v>35</v>
      </c>
      <c r="I4829" s="37" t="s">
        <v>36</v>
      </c>
      <c r="J4829" s="25" t="s">
        <v>92</v>
      </c>
      <c r="K4829" s="26" t="s">
        <v>38</v>
      </c>
      <c r="L4829" s="72">
        <v>13683.0</v>
      </c>
      <c r="M4829" s="49" t="s">
        <v>73</v>
      </c>
      <c r="N4829" s="42" t="s">
        <v>13864</v>
      </c>
      <c r="O4829" s="67">
        <v>45873.64487484954</v>
      </c>
      <c r="P4829" s="35" t="s">
        <v>19259</v>
      </c>
      <c r="Q4829" s="13" t="s">
        <v>75</v>
      </c>
      <c r="R4829" s="13" t="s">
        <v>75</v>
      </c>
      <c r="S4829" s="13" t="s">
        <v>73</v>
      </c>
      <c r="T4829" s="44">
        <v>45861.39375400463</v>
      </c>
      <c r="U4829" s="44">
        <v>45861.411282256944</v>
      </c>
      <c r="V4829" s="44">
        <v>45861.688908888886</v>
      </c>
      <c r="W4829" s="11"/>
      <c r="X4829" s="11"/>
      <c r="Y4829" s="45">
        <v>302.0</v>
      </c>
      <c r="Z4829" s="45" t="s">
        <v>19272</v>
      </c>
      <c r="AA4829" s="31"/>
      <c r="AB4829" s="45" t="s">
        <v>19273</v>
      </c>
      <c r="AC4829" s="45"/>
    </row>
    <row r="4830" ht="18.75" customHeight="1">
      <c r="A4830" s="32" t="s">
        <v>19274</v>
      </c>
      <c r="B4830" s="19" t="s">
        <v>3121</v>
      </c>
      <c r="C4830" s="20">
        <v>27.0</v>
      </c>
      <c r="D4830" s="39" t="s">
        <v>19275</v>
      </c>
      <c r="E4830" s="27" t="s">
        <v>72</v>
      </c>
      <c r="F4830" s="27" t="s">
        <v>48</v>
      </c>
      <c r="G4830" s="18" t="s">
        <v>35</v>
      </c>
      <c r="H4830" s="40" t="s">
        <v>35</v>
      </c>
      <c r="I4830" s="37" t="s">
        <v>36</v>
      </c>
      <c r="J4830" s="25" t="s">
        <v>92</v>
      </c>
      <c r="K4830" s="26" t="s">
        <v>38</v>
      </c>
      <c r="L4830" s="72">
        <v>13682.0</v>
      </c>
      <c r="M4830" s="49" t="s">
        <v>73</v>
      </c>
      <c r="N4830" s="42" t="s">
        <v>13864</v>
      </c>
      <c r="O4830" s="67">
        <v>45873.64499991898</v>
      </c>
      <c r="P4830" s="35" t="s">
        <v>19276</v>
      </c>
      <c r="Q4830" s="13" t="s">
        <v>75</v>
      </c>
      <c r="R4830" s="13" t="s">
        <v>75</v>
      </c>
      <c r="S4830" s="13" t="s">
        <v>73</v>
      </c>
      <c r="T4830" s="44">
        <v>45869.70806561343</v>
      </c>
      <c r="U4830" s="44">
        <v>45869.709020925926</v>
      </c>
      <c r="V4830" s="44">
        <v>45870.61465063658</v>
      </c>
      <c r="W4830" s="11"/>
      <c r="X4830" s="11"/>
      <c r="Y4830" s="45">
        <v>302.0</v>
      </c>
      <c r="Z4830" s="45" t="s">
        <v>19277</v>
      </c>
      <c r="AA4830" s="31"/>
      <c r="AB4830" s="45" t="s">
        <v>19278</v>
      </c>
      <c r="AC4830" s="45"/>
    </row>
    <row r="4831" ht="18.75" customHeight="1">
      <c r="A4831" s="32" t="s">
        <v>19279</v>
      </c>
      <c r="B4831" s="19" t="s">
        <v>3121</v>
      </c>
      <c r="C4831" s="20">
        <v>27.0</v>
      </c>
      <c r="D4831" s="39" t="s">
        <v>19280</v>
      </c>
      <c r="E4831" s="27" t="s">
        <v>72</v>
      </c>
      <c r="F4831" s="27" t="s">
        <v>48</v>
      </c>
      <c r="G4831" s="18" t="s">
        <v>35</v>
      </c>
      <c r="H4831" s="40" t="s">
        <v>35</v>
      </c>
      <c r="I4831" s="37" t="s">
        <v>36</v>
      </c>
      <c r="J4831" s="25" t="s">
        <v>92</v>
      </c>
      <c r="K4831" s="26" t="s">
        <v>38</v>
      </c>
      <c r="L4831" s="72">
        <v>13682.0</v>
      </c>
      <c r="M4831" s="49" t="s">
        <v>73</v>
      </c>
      <c r="N4831" s="42" t="s">
        <v>13864</v>
      </c>
      <c r="O4831" s="67">
        <v>45873.64514267361</v>
      </c>
      <c r="P4831" s="35" t="s">
        <v>19276</v>
      </c>
      <c r="Q4831" s="13" t="s">
        <v>75</v>
      </c>
      <c r="R4831" s="13" t="s">
        <v>75</v>
      </c>
      <c r="S4831" s="13" t="s">
        <v>73</v>
      </c>
      <c r="T4831" s="44">
        <v>45869.708438657406</v>
      </c>
      <c r="U4831" s="44">
        <v>45869.709049467594</v>
      </c>
      <c r="V4831" s="44">
        <v>45870.614650648145</v>
      </c>
      <c r="W4831" s="11"/>
      <c r="X4831" s="11"/>
      <c r="Y4831" s="45">
        <v>302.0</v>
      </c>
      <c r="Z4831" s="45" t="s">
        <v>19281</v>
      </c>
      <c r="AA4831" s="31"/>
      <c r="AB4831" s="45" t="s">
        <v>19282</v>
      </c>
      <c r="AC4831" s="45"/>
    </row>
    <row r="4832" ht="18.75" customHeight="1">
      <c r="A4832" s="32" t="s">
        <v>19283</v>
      </c>
      <c r="B4832" s="19" t="s">
        <v>3121</v>
      </c>
      <c r="C4832" s="20">
        <v>1.0</v>
      </c>
      <c r="D4832" s="39" t="s">
        <v>19284</v>
      </c>
      <c r="E4832" s="27" t="s">
        <v>3395</v>
      </c>
      <c r="F4832" s="27" t="s">
        <v>48</v>
      </c>
      <c r="G4832" s="18" t="s">
        <v>35</v>
      </c>
      <c r="H4832" s="40" t="s">
        <v>35</v>
      </c>
      <c r="I4832" s="37" t="s">
        <v>36</v>
      </c>
      <c r="J4832" s="25" t="s">
        <v>92</v>
      </c>
      <c r="K4832" s="26" t="s">
        <v>38</v>
      </c>
      <c r="L4832" s="72">
        <v>13682.0</v>
      </c>
      <c r="M4832" s="49" t="s">
        <v>73</v>
      </c>
      <c r="N4832" s="42" t="s">
        <v>13864</v>
      </c>
      <c r="O4832" s="67">
        <v>45873.6449475</v>
      </c>
      <c r="P4832" s="35" t="s">
        <v>19276</v>
      </c>
      <c r="Q4832" s="13" t="s">
        <v>75</v>
      </c>
      <c r="R4832" s="13" t="s">
        <v>75</v>
      </c>
      <c r="S4832" s="13" t="s">
        <v>73</v>
      </c>
      <c r="T4832" s="44">
        <v>45869.70872909723</v>
      </c>
      <c r="U4832" s="44">
        <v>45869.70907384259</v>
      </c>
      <c r="V4832" s="44">
        <v>45870.61494371528</v>
      </c>
      <c r="W4832" s="11"/>
      <c r="X4832" s="11"/>
      <c r="Y4832" s="45">
        <v>302.0</v>
      </c>
      <c r="Z4832" s="45" t="s">
        <v>19285</v>
      </c>
      <c r="AA4832" s="31"/>
      <c r="AB4832" s="45" t="s">
        <v>19286</v>
      </c>
      <c r="AC4832" s="45"/>
    </row>
    <row r="4833" ht="18.75" customHeight="1">
      <c r="A4833" s="32" t="s">
        <v>19287</v>
      </c>
      <c r="B4833" s="19" t="s">
        <v>3121</v>
      </c>
      <c r="C4833" s="20">
        <v>1.0</v>
      </c>
      <c r="D4833" s="39" t="s">
        <v>19288</v>
      </c>
      <c r="E4833" s="27" t="s">
        <v>3395</v>
      </c>
      <c r="F4833" s="27" t="s">
        <v>48</v>
      </c>
      <c r="G4833" s="18" t="s">
        <v>35</v>
      </c>
      <c r="H4833" s="40" t="s">
        <v>35</v>
      </c>
      <c r="I4833" s="37" t="s">
        <v>36</v>
      </c>
      <c r="J4833" s="25" t="s">
        <v>92</v>
      </c>
      <c r="K4833" s="26" t="s">
        <v>38</v>
      </c>
      <c r="L4833" s="72">
        <v>13682.0</v>
      </c>
      <c r="M4833" s="49" t="s">
        <v>73</v>
      </c>
      <c r="N4833" s="42" t="s">
        <v>13864</v>
      </c>
      <c r="O4833" s="67">
        <v>45873.645051562504</v>
      </c>
      <c r="P4833" s="35" t="s">
        <v>19276</v>
      </c>
      <c r="Q4833" s="13" t="s">
        <v>75</v>
      </c>
      <c r="R4833" s="13" t="s">
        <v>75</v>
      </c>
      <c r="S4833" s="13" t="s">
        <v>73</v>
      </c>
      <c r="T4833" s="44">
        <v>45869.708858576385</v>
      </c>
      <c r="U4833" s="44">
        <v>45869.70909559028</v>
      </c>
      <c r="V4833" s="44">
        <v>45870.614997638884</v>
      </c>
      <c r="W4833" s="11"/>
      <c r="X4833" s="11"/>
      <c r="Y4833" s="45">
        <v>302.0</v>
      </c>
      <c r="Z4833" s="45" t="s">
        <v>19289</v>
      </c>
      <c r="AA4833" s="31"/>
      <c r="AB4833" s="45" t="s">
        <v>19290</v>
      </c>
      <c r="AC4833" s="45"/>
    </row>
    <row r="4834" ht="18.75" customHeight="1">
      <c r="A4834" s="32" t="s">
        <v>19291</v>
      </c>
      <c r="B4834" s="19" t="s">
        <v>3121</v>
      </c>
      <c r="C4834" s="20">
        <v>1.0</v>
      </c>
      <c r="D4834" s="39" t="s">
        <v>19292</v>
      </c>
      <c r="E4834" s="27" t="s">
        <v>3395</v>
      </c>
      <c r="F4834" s="27" t="s">
        <v>48</v>
      </c>
      <c r="G4834" s="18" t="s">
        <v>35</v>
      </c>
      <c r="H4834" s="40" t="s">
        <v>35</v>
      </c>
      <c r="I4834" s="37" t="s">
        <v>36</v>
      </c>
      <c r="J4834" s="25" t="s">
        <v>92</v>
      </c>
      <c r="K4834" s="26" t="s">
        <v>38</v>
      </c>
      <c r="L4834" s="72">
        <v>13682.0</v>
      </c>
      <c r="M4834" s="49" t="s">
        <v>73</v>
      </c>
      <c r="N4834" s="42" t="s">
        <v>13864</v>
      </c>
      <c r="O4834" s="67">
        <v>45873.64509465278</v>
      </c>
      <c r="P4834" s="35" t="s">
        <v>19276</v>
      </c>
      <c r="Q4834" s="13" t="s">
        <v>75</v>
      </c>
      <c r="R4834" s="13" t="s">
        <v>75</v>
      </c>
      <c r="S4834" s="13" t="s">
        <v>73</v>
      </c>
      <c r="T4834" s="44">
        <v>45869.708919004624</v>
      </c>
      <c r="U4834" s="44">
        <v>45869.709120775464</v>
      </c>
      <c r="V4834" s="44">
        <v>45870.614997638884</v>
      </c>
      <c r="W4834" s="11"/>
      <c r="X4834" s="11"/>
      <c r="Y4834" s="45">
        <v>302.0</v>
      </c>
      <c r="Z4834" s="45" t="s">
        <v>19293</v>
      </c>
      <c r="AA4834" s="31"/>
      <c r="AB4834" s="45" t="s">
        <v>19294</v>
      </c>
      <c r="AC4834" s="45"/>
    </row>
    <row r="4835" ht="18.75" customHeight="1">
      <c r="A4835" s="142" t="s">
        <v>19295</v>
      </c>
      <c r="B4835" s="19" t="s">
        <v>122</v>
      </c>
      <c r="C4835" s="20">
        <v>0.0</v>
      </c>
      <c r="D4835" s="39" t="s">
        <v>19296</v>
      </c>
      <c r="E4835" s="27" t="s">
        <v>3441</v>
      </c>
      <c r="F4835" s="27" t="s">
        <v>48</v>
      </c>
      <c r="G4835" s="18" t="s">
        <v>35</v>
      </c>
      <c r="H4835" s="40" t="s">
        <v>35</v>
      </c>
      <c r="I4835" s="37" t="s">
        <v>36</v>
      </c>
      <c r="J4835" s="25" t="s">
        <v>49</v>
      </c>
      <c r="K4835" s="26" t="s">
        <v>38</v>
      </c>
      <c r="L4835" s="72">
        <v>13652.0</v>
      </c>
      <c r="M4835" s="49" t="s">
        <v>73</v>
      </c>
      <c r="N4835" s="42" t="s">
        <v>5936</v>
      </c>
      <c r="O4835" s="67">
        <v>45888.652443831015</v>
      </c>
      <c r="P4835" s="35" t="s">
        <v>19297</v>
      </c>
      <c r="Q4835" s="13" t="s">
        <v>75</v>
      </c>
      <c r="R4835" s="13" t="s">
        <v>75</v>
      </c>
      <c r="S4835" s="13" t="s">
        <v>73</v>
      </c>
      <c r="T4835" s="44">
        <v>45887.69168957176</v>
      </c>
      <c r="U4835" s="44">
        <v>45888.5114577662</v>
      </c>
      <c r="V4835" s="44">
        <v>45888.539805555556</v>
      </c>
      <c r="W4835" s="11"/>
      <c r="X4835" s="11"/>
      <c r="Y4835" s="45">
        <v>302.0</v>
      </c>
      <c r="Z4835" s="45" t="s">
        <v>19298</v>
      </c>
      <c r="AA4835" s="31"/>
      <c r="AB4835" s="45" t="s">
        <v>19299</v>
      </c>
      <c r="AC4835" s="45"/>
    </row>
    <row r="4836" ht="18.75" customHeight="1">
      <c r="A4836" s="142" t="s">
        <v>19300</v>
      </c>
      <c r="B4836" s="19" t="s">
        <v>5650</v>
      </c>
      <c r="C4836" s="20">
        <v>90.0</v>
      </c>
      <c r="D4836" s="39" t="s">
        <v>19301</v>
      </c>
      <c r="E4836" s="27" t="s">
        <v>91</v>
      </c>
      <c r="F4836" s="27" t="s">
        <v>48</v>
      </c>
      <c r="G4836" s="18" t="s">
        <v>35</v>
      </c>
      <c r="H4836" s="40" t="s">
        <v>35</v>
      </c>
      <c r="I4836" s="37" t="s">
        <v>36</v>
      </c>
      <c r="J4836" s="25" t="s">
        <v>49</v>
      </c>
      <c r="K4836" s="26" t="s">
        <v>38</v>
      </c>
      <c r="L4836" s="72">
        <v>13653.0</v>
      </c>
      <c r="M4836" s="49" t="s">
        <v>73</v>
      </c>
      <c r="N4836" s="42" t="s">
        <v>5936</v>
      </c>
      <c r="O4836" s="67">
        <v>45888.65239667824</v>
      </c>
      <c r="P4836" s="35" t="s">
        <v>15666</v>
      </c>
      <c r="Q4836" s="13" t="s">
        <v>75</v>
      </c>
      <c r="R4836" s="13" t="s">
        <v>75</v>
      </c>
      <c r="S4836" s="13" t="s">
        <v>73</v>
      </c>
      <c r="T4836" s="44">
        <v>45887.717107372686</v>
      </c>
      <c r="U4836" s="44">
        <v>45888.50705274305</v>
      </c>
      <c r="V4836" s="44">
        <v>45888.53969818287</v>
      </c>
      <c r="W4836" s="11"/>
      <c r="X4836" s="11"/>
      <c r="Y4836" s="45">
        <v>302.0</v>
      </c>
      <c r="Z4836" s="45" t="s">
        <v>19302</v>
      </c>
      <c r="AA4836" s="31"/>
      <c r="AB4836" s="45" t="s">
        <v>19303</v>
      </c>
      <c r="AC4836" s="45"/>
    </row>
    <row r="4837" ht="18.75" customHeight="1">
      <c r="A4837" s="142" t="s">
        <v>19304</v>
      </c>
      <c r="B4837" s="19" t="s">
        <v>19305</v>
      </c>
      <c r="C4837" s="20">
        <v>0.0</v>
      </c>
      <c r="D4837" s="39" t="s">
        <v>19306</v>
      </c>
      <c r="E4837" s="27" t="s">
        <v>3441</v>
      </c>
      <c r="F4837" s="27" t="s">
        <v>48</v>
      </c>
      <c r="G4837" s="18" t="s">
        <v>35</v>
      </c>
      <c r="H4837" s="40" t="s">
        <v>35</v>
      </c>
      <c r="I4837" s="37" t="s">
        <v>36</v>
      </c>
      <c r="J4837" s="25" t="s">
        <v>15990</v>
      </c>
      <c r="K4837" s="26" t="s">
        <v>38</v>
      </c>
      <c r="L4837" s="72">
        <v>13718.0</v>
      </c>
      <c r="M4837" s="49" t="s">
        <v>15811</v>
      </c>
      <c r="N4837" s="42"/>
      <c r="O4837" s="67">
        <v>45896.709572928245</v>
      </c>
      <c r="P4837" s="35" t="s">
        <v>17027</v>
      </c>
      <c r="Q4837" s="13" t="s">
        <v>75</v>
      </c>
      <c r="R4837" s="13" t="s">
        <v>75</v>
      </c>
      <c r="S4837" s="13" t="s">
        <v>75</v>
      </c>
      <c r="T4837" s="44">
        <v>45888.452156851854</v>
      </c>
      <c r="U4837" s="44">
        <v>45896.709572928245</v>
      </c>
      <c r="V4837" s="44">
        <v>45896.709572928245</v>
      </c>
      <c r="W4837" s="11"/>
      <c r="X4837" s="11"/>
      <c r="Y4837" s="45"/>
      <c r="Z4837" s="45"/>
      <c r="AA4837" s="31"/>
      <c r="AB4837" s="45" t="s">
        <v>19307</v>
      </c>
      <c r="AC4837" s="45"/>
    </row>
    <row r="4838" ht="18.75" customHeight="1">
      <c r="A4838" s="142" t="s">
        <v>19308</v>
      </c>
      <c r="B4838" s="19" t="s">
        <v>4472</v>
      </c>
      <c r="C4838" s="20">
        <v>0.0</v>
      </c>
      <c r="D4838" s="179">
        <v>20259.0</v>
      </c>
      <c r="E4838" s="27" t="s">
        <v>15497</v>
      </c>
      <c r="F4838" s="27" t="s">
        <v>48</v>
      </c>
      <c r="G4838" s="18" t="s">
        <v>35</v>
      </c>
      <c r="H4838" s="40" t="s">
        <v>35</v>
      </c>
      <c r="I4838" s="37" t="s">
        <v>36</v>
      </c>
      <c r="J4838" s="25" t="s">
        <v>49</v>
      </c>
      <c r="K4838" s="26" t="s">
        <v>38</v>
      </c>
      <c r="L4838" s="72">
        <v>13731.0</v>
      </c>
      <c r="M4838" s="49" t="s">
        <v>50</v>
      </c>
      <c r="N4838" s="42" t="s">
        <v>18561</v>
      </c>
      <c r="O4838" s="67">
        <v>45897.65046980324</v>
      </c>
      <c r="P4838" s="35" t="s">
        <v>15666</v>
      </c>
      <c r="Q4838" s="13" t="s">
        <v>75</v>
      </c>
      <c r="R4838" s="13" t="s">
        <v>75</v>
      </c>
      <c r="S4838" s="13" t="s">
        <v>9620</v>
      </c>
      <c r="T4838" s="44">
        <v>45888.45408081019</v>
      </c>
      <c r="U4838" s="44">
        <v>45888.50930572917</v>
      </c>
      <c r="V4838" s="44">
        <v>45896.69929851852</v>
      </c>
      <c r="W4838" s="11"/>
      <c r="X4838" s="11"/>
      <c r="Y4838" s="45">
        <v>302.0</v>
      </c>
      <c r="Z4838" s="45" t="s">
        <v>19309</v>
      </c>
      <c r="AA4838" s="31"/>
      <c r="AB4838" s="45" t="s">
        <v>19310</v>
      </c>
      <c r="AC4838" s="45"/>
    </row>
    <row r="4839" ht="18.75" customHeight="1">
      <c r="A4839" s="142" t="s">
        <v>19311</v>
      </c>
      <c r="B4839" s="19" t="s">
        <v>96</v>
      </c>
      <c r="C4839" s="20">
        <v>0.0</v>
      </c>
      <c r="D4839" s="179">
        <v>20139.0</v>
      </c>
      <c r="E4839" s="27" t="s">
        <v>165</v>
      </c>
      <c r="F4839" s="27" t="s">
        <v>33</v>
      </c>
      <c r="G4839" s="18" t="s">
        <v>34</v>
      </c>
      <c r="H4839" s="40" t="s">
        <v>35</v>
      </c>
      <c r="I4839" s="37" t="s">
        <v>36</v>
      </c>
      <c r="J4839" s="25" t="s">
        <v>49</v>
      </c>
      <c r="K4839" s="26" t="s">
        <v>38</v>
      </c>
      <c r="L4839" s="72">
        <v>13735.0</v>
      </c>
      <c r="M4839" s="49" t="s">
        <v>50</v>
      </c>
      <c r="N4839" s="42" t="s">
        <v>17048</v>
      </c>
      <c r="O4839" s="67">
        <v>45898.583289421294</v>
      </c>
      <c r="P4839" s="35" t="s">
        <v>19312</v>
      </c>
      <c r="Q4839" s="13" t="s">
        <v>75</v>
      </c>
      <c r="R4839" s="13" t="s">
        <v>75</v>
      </c>
      <c r="S4839" s="13" t="s">
        <v>9620</v>
      </c>
      <c r="T4839" s="44">
        <v>45888.46494640046</v>
      </c>
      <c r="U4839" s="44">
        <v>45889.45774608797</v>
      </c>
      <c r="V4839" s="44">
        <v>45891.725865636574</v>
      </c>
      <c r="W4839" s="11"/>
      <c r="X4839" s="11"/>
      <c r="Y4839" s="45">
        <v>302.0</v>
      </c>
      <c r="Z4839" s="45" t="s">
        <v>19313</v>
      </c>
      <c r="AA4839" s="31"/>
      <c r="AB4839" s="45" t="s">
        <v>19314</v>
      </c>
      <c r="AC4839" s="45"/>
    </row>
    <row r="4840" ht="18.75" customHeight="1">
      <c r="A4840" s="142" t="s">
        <v>19315</v>
      </c>
      <c r="B4840" s="19" t="s">
        <v>96</v>
      </c>
      <c r="C4840" s="20">
        <v>0.0</v>
      </c>
      <c r="D4840" s="179">
        <v>20247.0</v>
      </c>
      <c r="E4840" s="27" t="s">
        <v>11957</v>
      </c>
      <c r="F4840" s="27" t="s">
        <v>48</v>
      </c>
      <c r="G4840" s="18" t="s">
        <v>35</v>
      </c>
      <c r="H4840" s="40" t="s">
        <v>35</v>
      </c>
      <c r="I4840" s="37" t="s">
        <v>36</v>
      </c>
      <c r="J4840" s="25" t="s">
        <v>49</v>
      </c>
      <c r="K4840" s="26" t="s">
        <v>38</v>
      </c>
      <c r="L4840" s="72">
        <v>13663.0</v>
      </c>
      <c r="M4840" s="49" t="s">
        <v>73</v>
      </c>
      <c r="N4840" s="42" t="s">
        <v>17048</v>
      </c>
      <c r="O4840" s="67">
        <v>45890.63922916667</v>
      </c>
      <c r="P4840" s="35" t="s">
        <v>19316</v>
      </c>
      <c r="Q4840" s="13" t="s">
        <v>75</v>
      </c>
      <c r="R4840" s="13" t="s">
        <v>75</v>
      </c>
      <c r="S4840" s="13" t="s">
        <v>9620</v>
      </c>
      <c r="T4840" s="44">
        <v>45888.46719157408</v>
      </c>
      <c r="U4840" s="44">
        <v>45889.4586655787</v>
      </c>
      <c r="V4840" s="44">
        <v>45889.56466297454</v>
      </c>
      <c r="W4840" s="11"/>
      <c r="X4840" s="11"/>
      <c r="Y4840" s="45">
        <v>302.0</v>
      </c>
      <c r="Z4840" s="45" t="s">
        <v>19317</v>
      </c>
      <c r="AA4840" s="31"/>
      <c r="AB4840" s="45" t="s">
        <v>19318</v>
      </c>
      <c r="AC4840" s="45"/>
    </row>
    <row r="4841" ht="18.75" customHeight="1">
      <c r="A4841" s="142" t="s">
        <v>19319</v>
      </c>
      <c r="B4841" s="19" t="s">
        <v>104</v>
      </c>
      <c r="C4841" s="20">
        <v>90.0</v>
      </c>
      <c r="D4841" s="39" t="s">
        <v>19320</v>
      </c>
      <c r="E4841" s="27" t="s">
        <v>91</v>
      </c>
      <c r="F4841" s="27" t="s">
        <v>48</v>
      </c>
      <c r="G4841" s="18" t="s">
        <v>35</v>
      </c>
      <c r="H4841" s="40" t="s">
        <v>35</v>
      </c>
      <c r="I4841" s="37" t="s">
        <v>36</v>
      </c>
      <c r="J4841" s="25" t="s">
        <v>49</v>
      </c>
      <c r="K4841" s="26" t="s">
        <v>1184</v>
      </c>
      <c r="L4841" s="72">
        <v>13674.0</v>
      </c>
      <c r="M4841" s="49" t="s">
        <v>73</v>
      </c>
      <c r="N4841" s="42" t="s">
        <v>17048</v>
      </c>
      <c r="O4841" s="67">
        <v>45890.63916881944</v>
      </c>
      <c r="P4841" s="35" t="s">
        <v>19321</v>
      </c>
      <c r="Q4841" s="13" t="s">
        <v>75</v>
      </c>
      <c r="R4841" s="13" t="s">
        <v>75</v>
      </c>
      <c r="S4841" s="13" t="s">
        <v>73</v>
      </c>
      <c r="T4841" s="44">
        <v>45888.50535396991</v>
      </c>
      <c r="U4841" s="44">
        <v>45890.58716789352</v>
      </c>
      <c r="V4841" s="44">
        <v>45890.59697803241</v>
      </c>
      <c r="W4841" s="11"/>
      <c r="X4841" s="11"/>
      <c r="Y4841" s="45">
        <v>302.0</v>
      </c>
      <c r="Z4841" s="45" t="s">
        <v>19322</v>
      </c>
      <c r="AA4841" s="31"/>
      <c r="AB4841" s="45" t="s">
        <v>19323</v>
      </c>
      <c r="AC4841" s="45"/>
    </row>
    <row r="4842" ht="18.75" customHeight="1">
      <c r="A4842" s="142" t="s">
        <v>19324</v>
      </c>
      <c r="B4842" s="19" t="s">
        <v>4472</v>
      </c>
      <c r="C4842" s="20">
        <v>0.0</v>
      </c>
      <c r="D4842" s="179">
        <v>20178.0</v>
      </c>
      <c r="E4842" s="27" t="s">
        <v>135</v>
      </c>
      <c r="F4842" s="27" t="s">
        <v>48</v>
      </c>
      <c r="G4842" s="18" t="s">
        <v>35</v>
      </c>
      <c r="H4842" s="40" t="s">
        <v>35</v>
      </c>
      <c r="I4842" s="37" t="s">
        <v>36</v>
      </c>
      <c r="J4842" s="25" t="s">
        <v>49</v>
      </c>
      <c r="K4842" s="26" t="s">
        <v>38</v>
      </c>
      <c r="L4842" s="72">
        <v>13664.0</v>
      </c>
      <c r="M4842" s="49" t="s">
        <v>73</v>
      </c>
      <c r="N4842" s="42" t="s">
        <v>17048</v>
      </c>
      <c r="O4842" s="67">
        <v>45890.639121631946</v>
      </c>
      <c r="P4842" s="35" t="s">
        <v>15666</v>
      </c>
      <c r="Q4842" s="13" t="s">
        <v>75</v>
      </c>
      <c r="R4842" s="13" t="s">
        <v>75</v>
      </c>
      <c r="S4842" s="13" t="s">
        <v>9620</v>
      </c>
      <c r="T4842" s="44">
        <v>45888.506319699074</v>
      </c>
      <c r="U4842" s="44">
        <v>45888.511273807875</v>
      </c>
      <c r="V4842" s="44">
        <v>45888.62895530093</v>
      </c>
      <c r="W4842" s="11"/>
      <c r="X4842" s="11"/>
      <c r="Y4842" s="45">
        <v>302.0</v>
      </c>
      <c r="Z4842" s="45" t="s">
        <v>19325</v>
      </c>
      <c r="AA4842" s="31"/>
      <c r="AB4842" s="45" t="s">
        <v>19326</v>
      </c>
      <c r="AC4842" s="45"/>
    </row>
    <row r="4843" ht="18.75" customHeight="1">
      <c r="A4843" s="142" t="s">
        <v>19327</v>
      </c>
      <c r="B4843" s="19" t="s">
        <v>693</v>
      </c>
      <c r="C4843" s="20">
        <v>0.0</v>
      </c>
      <c r="D4843" s="39" t="s">
        <v>19328</v>
      </c>
      <c r="E4843" s="27" t="s">
        <v>3441</v>
      </c>
      <c r="F4843" s="27" t="s">
        <v>48</v>
      </c>
      <c r="G4843" s="18" t="s">
        <v>35</v>
      </c>
      <c r="H4843" s="40" t="s">
        <v>35</v>
      </c>
      <c r="I4843" s="37" t="s">
        <v>36</v>
      </c>
      <c r="J4843" s="25" t="s">
        <v>49</v>
      </c>
      <c r="K4843" s="26" t="s">
        <v>38</v>
      </c>
      <c r="L4843" s="72">
        <v>13654.0</v>
      </c>
      <c r="M4843" s="49" t="s">
        <v>73</v>
      </c>
      <c r="N4843" s="42" t="s">
        <v>5936</v>
      </c>
      <c r="O4843" s="67">
        <v>45888.65234579861</v>
      </c>
      <c r="P4843" s="35" t="s">
        <v>15666</v>
      </c>
      <c r="Q4843" s="13" t="s">
        <v>75</v>
      </c>
      <c r="R4843" s="13" t="s">
        <v>75</v>
      </c>
      <c r="S4843" s="13" t="s">
        <v>73</v>
      </c>
      <c r="T4843" s="44">
        <v>45888.527216539354</v>
      </c>
      <c r="U4843" s="44">
        <v>45888.52723532407</v>
      </c>
      <c r="V4843" s="44">
        <v>45888.54001034722</v>
      </c>
      <c r="W4843" s="11"/>
      <c r="X4843" s="11"/>
      <c r="Y4843" s="45">
        <v>302.0</v>
      </c>
      <c r="Z4843" s="45" t="s">
        <v>19329</v>
      </c>
      <c r="AA4843" s="31"/>
      <c r="AB4843" s="45" t="s">
        <v>19330</v>
      </c>
      <c r="AC4843" s="45"/>
    </row>
    <row r="4844" ht="18.75" customHeight="1">
      <c r="A4844" s="18" t="s">
        <v>19331</v>
      </c>
      <c r="B4844" s="19" t="s">
        <v>110</v>
      </c>
      <c r="C4844" s="20">
        <v>27.0</v>
      </c>
      <c r="D4844" s="39" t="s">
        <v>19332</v>
      </c>
      <c r="E4844" s="27" t="s">
        <v>72</v>
      </c>
      <c r="F4844" s="27" t="s">
        <v>48</v>
      </c>
      <c r="G4844" s="18" t="s">
        <v>35</v>
      </c>
      <c r="H4844" s="40" t="s">
        <v>35</v>
      </c>
      <c r="I4844" s="37" t="s">
        <v>36</v>
      </c>
      <c r="J4844" s="25" t="s">
        <v>65</v>
      </c>
      <c r="K4844" s="26" t="s">
        <v>38</v>
      </c>
      <c r="L4844" s="72">
        <v>13656.0</v>
      </c>
      <c r="M4844" s="49" t="s">
        <v>50</v>
      </c>
      <c r="N4844" s="42" t="s">
        <v>19204</v>
      </c>
      <c r="O4844" s="67">
        <v>45889.72916666667</v>
      </c>
      <c r="P4844" s="35" t="s">
        <v>18956</v>
      </c>
      <c r="Q4844" s="13" t="s">
        <v>75</v>
      </c>
      <c r="R4844" s="13" t="s">
        <v>75</v>
      </c>
      <c r="S4844" s="13" t="s">
        <v>50</v>
      </c>
      <c r="T4844" s="44">
        <v>45888.718538437504</v>
      </c>
      <c r="U4844" s="44">
        <v>45889.446454907404</v>
      </c>
      <c r="V4844" s="44">
        <v>45889.45736925926</v>
      </c>
      <c r="W4844" s="11"/>
      <c r="X4844" s="11"/>
      <c r="Y4844" s="45">
        <v>302.0</v>
      </c>
      <c r="Z4844" s="45" t="s">
        <v>19333</v>
      </c>
      <c r="AA4844" s="31"/>
      <c r="AB4844" s="45" t="s">
        <v>19334</v>
      </c>
      <c r="AC4844" s="45"/>
    </row>
    <row r="4845" ht="18.75" customHeight="1">
      <c r="A4845" s="18" t="s">
        <v>19335</v>
      </c>
      <c r="B4845" s="19" t="s">
        <v>110</v>
      </c>
      <c r="C4845" s="20">
        <v>34.0</v>
      </c>
      <c r="D4845" s="39" t="s">
        <v>19336</v>
      </c>
      <c r="E4845" s="27" t="s">
        <v>47</v>
      </c>
      <c r="F4845" s="27" t="s">
        <v>48</v>
      </c>
      <c r="G4845" s="18" t="s">
        <v>35</v>
      </c>
      <c r="H4845" s="40" t="s">
        <v>35</v>
      </c>
      <c r="I4845" s="37" t="s">
        <v>36</v>
      </c>
      <c r="J4845" s="25" t="s">
        <v>65</v>
      </c>
      <c r="K4845" s="26" t="s">
        <v>38</v>
      </c>
      <c r="L4845" s="72">
        <v>13656.0</v>
      </c>
      <c r="M4845" s="49" t="s">
        <v>50</v>
      </c>
      <c r="N4845" s="42" t="s">
        <v>19204</v>
      </c>
      <c r="O4845" s="67">
        <v>45889.72916666667</v>
      </c>
      <c r="P4845" s="35" t="s">
        <v>18956</v>
      </c>
      <c r="Q4845" s="13" t="s">
        <v>75</v>
      </c>
      <c r="R4845" s="13" t="s">
        <v>75</v>
      </c>
      <c r="S4845" s="13" t="s">
        <v>50</v>
      </c>
      <c r="T4845" s="44">
        <v>45888.71867155093</v>
      </c>
      <c r="U4845" s="44">
        <v>45889.44641842593</v>
      </c>
      <c r="V4845" s="44">
        <v>45889.457369247684</v>
      </c>
      <c r="W4845" s="11"/>
      <c r="X4845" s="11"/>
      <c r="Y4845" s="45">
        <v>302.0</v>
      </c>
      <c r="Z4845" s="45" t="s">
        <v>19337</v>
      </c>
      <c r="AA4845" s="31"/>
      <c r="AB4845" s="45" t="s">
        <v>19338</v>
      </c>
      <c r="AC4845" s="45"/>
    </row>
    <row r="4846" ht="18.75" customHeight="1">
      <c r="A4846" s="18" t="s">
        <v>19339</v>
      </c>
      <c r="B4846" s="19" t="s">
        <v>3888</v>
      </c>
      <c r="C4846" s="20">
        <v>137.0</v>
      </c>
      <c r="D4846" s="39" t="s">
        <v>19340</v>
      </c>
      <c r="E4846" s="27" t="s">
        <v>85</v>
      </c>
      <c r="F4846" s="27" t="s">
        <v>48</v>
      </c>
      <c r="G4846" s="18" t="s">
        <v>35</v>
      </c>
      <c r="H4846" s="40" t="s">
        <v>35</v>
      </c>
      <c r="I4846" s="37" t="s">
        <v>36</v>
      </c>
      <c r="J4846" s="25" t="s">
        <v>49</v>
      </c>
      <c r="K4846" s="26" t="s">
        <v>2978</v>
      </c>
      <c r="L4846" s="72">
        <v>13675.0</v>
      </c>
      <c r="M4846" s="49" t="s">
        <v>73</v>
      </c>
      <c r="N4846" s="42" t="s">
        <v>17048</v>
      </c>
      <c r="O4846" s="67">
        <v>45890.63901804398</v>
      </c>
      <c r="P4846" s="35" t="s">
        <v>19341</v>
      </c>
      <c r="Q4846" s="13" t="s">
        <v>75</v>
      </c>
      <c r="R4846" s="13" t="s">
        <v>75</v>
      </c>
      <c r="S4846" s="13" t="s">
        <v>73</v>
      </c>
      <c r="T4846" s="44">
        <v>45888.719985821765</v>
      </c>
      <c r="U4846" s="44">
        <v>45890.58609261574</v>
      </c>
      <c r="V4846" s="44">
        <v>45890.59523846065</v>
      </c>
      <c r="W4846" s="11"/>
      <c r="X4846" s="11"/>
      <c r="Y4846" s="45">
        <v>302.0</v>
      </c>
      <c r="Z4846" s="45" t="s">
        <v>19342</v>
      </c>
      <c r="AA4846" s="31"/>
      <c r="AB4846" s="45" t="s">
        <v>19343</v>
      </c>
      <c r="AC4846" s="45"/>
    </row>
    <row r="4847" ht="18.75" customHeight="1">
      <c r="A4847" s="18" t="s">
        <v>19344</v>
      </c>
      <c r="B4847" s="19" t="s">
        <v>3888</v>
      </c>
      <c r="C4847" s="20">
        <v>0.0</v>
      </c>
      <c r="D4847" s="39" t="s">
        <v>19345</v>
      </c>
      <c r="E4847" s="27" t="s">
        <v>3441</v>
      </c>
      <c r="F4847" s="27" t="s">
        <v>48</v>
      </c>
      <c r="G4847" s="18" t="s">
        <v>35</v>
      </c>
      <c r="H4847" s="40" t="s">
        <v>35</v>
      </c>
      <c r="I4847" s="37" t="s">
        <v>36</v>
      </c>
      <c r="J4847" s="25" t="s">
        <v>49</v>
      </c>
      <c r="K4847" s="26" t="s">
        <v>2978</v>
      </c>
      <c r="L4847" s="72">
        <v>13675.0</v>
      </c>
      <c r="M4847" s="49" t="s">
        <v>73</v>
      </c>
      <c r="N4847" s="42" t="s">
        <v>17048</v>
      </c>
      <c r="O4847" s="67">
        <v>45890.63906938657</v>
      </c>
      <c r="P4847" s="35" t="s">
        <v>19341</v>
      </c>
      <c r="Q4847" s="13" t="s">
        <v>75</v>
      </c>
      <c r="R4847" s="13" t="s">
        <v>75</v>
      </c>
      <c r="S4847" s="13" t="s">
        <v>73</v>
      </c>
      <c r="T4847" s="44">
        <v>45888.72019986111</v>
      </c>
      <c r="U4847" s="44">
        <v>45890.58606810185</v>
      </c>
      <c r="V4847" s="44">
        <v>45890.59525949074</v>
      </c>
      <c r="W4847" s="11"/>
      <c r="X4847" s="11"/>
      <c r="Y4847" s="45">
        <v>302.0</v>
      </c>
      <c r="Z4847" s="45" t="s">
        <v>19346</v>
      </c>
      <c r="AA4847" s="31"/>
      <c r="AB4847" s="45" t="s">
        <v>19347</v>
      </c>
      <c r="AC4847" s="45"/>
    </row>
    <row r="4848" ht="18.75" customHeight="1">
      <c r="A4848" s="142" t="s">
        <v>19348</v>
      </c>
      <c r="B4848" s="19" t="s">
        <v>4681</v>
      </c>
      <c r="C4848" s="20">
        <v>1.0</v>
      </c>
      <c r="D4848" s="39" t="s">
        <v>19349</v>
      </c>
      <c r="E4848" s="27" t="s">
        <v>3395</v>
      </c>
      <c r="F4848" s="27" t="s">
        <v>48</v>
      </c>
      <c r="G4848" s="18" t="s">
        <v>35</v>
      </c>
      <c r="H4848" s="40" t="s">
        <v>35</v>
      </c>
      <c r="I4848" s="37" t="s">
        <v>36</v>
      </c>
      <c r="J4848" s="25" t="s">
        <v>49</v>
      </c>
      <c r="K4848" s="26" t="s">
        <v>4683</v>
      </c>
      <c r="L4848" s="72">
        <v>13908.0</v>
      </c>
      <c r="M4848" s="49" t="s">
        <v>73</v>
      </c>
      <c r="N4848" s="42" t="s">
        <v>17048</v>
      </c>
      <c r="O4848" s="67">
        <v>45919.597709849535</v>
      </c>
      <c r="P4848" s="35" t="s">
        <v>17027</v>
      </c>
      <c r="Q4848" s="13" t="s">
        <v>75</v>
      </c>
      <c r="R4848" s="13" t="s">
        <v>75</v>
      </c>
      <c r="S4848" s="13" t="s">
        <v>73</v>
      </c>
      <c r="T4848" s="44">
        <v>45919.48947850695</v>
      </c>
      <c r="U4848" s="44">
        <v>45919.48956855324</v>
      </c>
      <c r="V4848" s="44">
        <v>45919.50525913194</v>
      </c>
      <c r="W4848" s="11"/>
      <c r="X4848" s="11"/>
      <c r="Y4848" s="45">
        <v>302.0</v>
      </c>
      <c r="Z4848" s="45" t="s">
        <v>19350</v>
      </c>
      <c r="AA4848" s="31"/>
      <c r="AB4848" s="45" t="s">
        <v>19351</v>
      </c>
      <c r="AC4848" s="45"/>
    </row>
    <row r="4849" ht="18.75" customHeight="1">
      <c r="A4849" s="142" t="s">
        <v>19352</v>
      </c>
      <c r="B4849" s="19" t="s">
        <v>7868</v>
      </c>
      <c r="C4849" s="20">
        <v>27.0</v>
      </c>
      <c r="D4849" s="39" t="s">
        <v>19353</v>
      </c>
      <c r="E4849" s="27" t="s">
        <v>72</v>
      </c>
      <c r="F4849" s="27" t="s">
        <v>48</v>
      </c>
      <c r="G4849" s="18" t="s">
        <v>35</v>
      </c>
      <c r="H4849" s="40" t="s">
        <v>35</v>
      </c>
      <c r="I4849" s="37" t="s">
        <v>36</v>
      </c>
      <c r="J4849" s="25" t="s">
        <v>65</v>
      </c>
      <c r="K4849" s="26" t="s">
        <v>38</v>
      </c>
      <c r="L4849" s="72">
        <v>13666.0</v>
      </c>
      <c r="M4849" s="49" t="s">
        <v>73</v>
      </c>
      <c r="N4849" s="42" t="s">
        <v>16408</v>
      </c>
      <c r="O4849" s="67">
        <v>45890.6818158449</v>
      </c>
      <c r="P4849" s="35" t="s">
        <v>18606</v>
      </c>
      <c r="Q4849" s="13" t="s">
        <v>75</v>
      </c>
      <c r="R4849" s="13" t="s">
        <v>75</v>
      </c>
      <c r="S4849" s="13" t="s">
        <v>73</v>
      </c>
      <c r="T4849" s="44">
        <v>45889.46274337963</v>
      </c>
      <c r="U4849" s="44">
        <v>45890.40213228009</v>
      </c>
      <c r="V4849" s="44">
        <v>45890.44930649306</v>
      </c>
      <c r="W4849" s="11"/>
      <c r="X4849" s="11"/>
      <c r="Y4849" s="45">
        <v>302.0</v>
      </c>
      <c r="Z4849" s="45" t="s">
        <v>19354</v>
      </c>
      <c r="AA4849" s="31"/>
      <c r="AB4849" s="45" t="s">
        <v>19355</v>
      </c>
      <c r="AC4849" s="45"/>
    </row>
    <row r="4850" ht="18.75" customHeight="1">
      <c r="A4850" s="142" t="s">
        <v>19356</v>
      </c>
      <c r="B4850" s="19" t="s">
        <v>19230</v>
      </c>
      <c r="C4850" s="20">
        <v>0.0</v>
      </c>
      <c r="D4850" s="39" t="s">
        <v>19357</v>
      </c>
      <c r="E4850" s="27" t="s">
        <v>3441</v>
      </c>
      <c r="F4850" s="27" t="s">
        <v>48</v>
      </c>
      <c r="G4850" s="18" t="s">
        <v>35</v>
      </c>
      <c r="H4850" s="40" t="s">
        <v>35</v>
      </c>
      <c r="I4850" s="37" t="s">
        <v>36</v>
      </c>
      <c r="J4850" s="25" t="s">
        <v>65</v>
      </c>
      <c r="K4850" s="26" t="s">
        <v>38</v>
      </c>
      <c r="L4850" s="72">
        <v>13667.0</v>
      </c>
      <c r="M4850" s="49" t="s">
        <v>73</v>
      </c>
      <c r="N4850" s="42" t="s">
        <v>16408</v>
      </c>
      <c r="O4850" s="67">
        <v>45890.68185982639</v>
      </c>
      <c r="P4850" s="35" t="s">
        <v>14372</v>
      </c>
      <c r="Q4850" s="13" t="s">
        <v>75</v>
      </c>
      <c r="R4850" s="13" t="s">
        <v>75</v>
      </c>
      <c r="S4850" s="13" t="s">
        <v>73</v>
      </c>
      <c r="T4850" s="44">
        <v>45889.463350335645</v>
      </c>
      <c r="U4850" s="44">
        <v>45890.40269993056</v>
      </c>
      <c r="V4850" s="44">
        <v>45890.44938318287</v>
      </c>
      <c r="W4850" s="11"/>
      <c r="X4850" s="11"/>
      <c r="Y4850" s="207">
        <v>302.0</v>
      </c>
      <c r="Z4850" s="45" t="s">
        <v>19358</v>
      </c>
      <c r="AA4850" s="31"/>
      <c r="AB4850" s="45" t="s">
        <v>19359</v>
      </c>
      <c r="AC4850" s="45"/>
    </row>
    <row r="4851" ht="18.75" customHeight="1">
      <c r="A4851" s="142" t="s">
        <v>19360</v>
      </c>
      <c r="B4851" s="19" t="s">
        <v>4587</v>
      </c>
      <c r="C4851" s="20">
        <v>11.0</v>
      </c>
      <c r="D4851" s="39" t="s">
        <v>19361</v>
      </c>
      <c r="E4851" s="27" t="s">
        <v>112</v>
      </c>
      <c r="F4851" s="27" t="s">
        <v>48</v>
      </c>
      <c r="G4851" s="18" t="s">
        <v>35</v>
      </c>
      <c r="H4851" s="40" t="s">
        <v>35</v>
      </c>
      <c r="I4851" s="37" t="s">
        <v>36</v>
      </c>
      <c r="J4851" s="25" t="s">
        <v>65</v>
      </c>
      <c r="K4851" s="26" t="s">
        <v>38</v>
      </c>
      <c r="L4851" s="72">
        <v>13668.0</v>
      </c>
      <c r="M4851" s="49" t="s">
        <v>73</v>
      </c>
      <c r="N4851" s="42" t="s">
        <v>16408</v>
      </c>
      <c r="O4851" s="67">
        <v>45890.68190239584</v>
      </c>
      <c r="P4851" s="35" t="s">
        <v>15829</v>
      </c>
      <c r="Q4851" s="13" t="s">
        <v>75</v>
      </c>
      <c r="R4851" s="13" t="s">
        <v>75</v>
      </c>
      <c r="S4851" s="13" t="s">
        <v>73</v>
      </c>
      <c r="T4851" s="44">
        <v>45889.46397653935</v>
      </c>
      <c r="U4851" s="44">
        <v>45889.59663827546</v>
      </c>
      <c r="V4851" s="44">
        <v>45890.44521010417</v>
      </c>
      <c r="W4851" s="11"/>
      <c r="X4851" s="11"/>
      <c r="Y4851" s="45">
        <v>302.0</v>
      </c>
      <c r="Z4851" s="45" t="s">
        <v>19362</v>
      </c>
      <c r="AA4851" s="31"/>
      <c r="AB4851" s="45" t="s">
        <v>19363</v>
      </c>
      <c r="AC4851" s="45"/>
    </row>
    <row r="4852" ht="18.75" customHeight="1">
      <c r="A4852" s="142" t="s">
        <v>19364</v>
      </c>
      <c r="B4852" s="19" t="s">
        <v>10396</v>
      </c>
      <c r="C4852" s="20">
        <v>90.0</v>
      </c>
      <c r="D4852" s="39" t="s">
        <v>19365</v>
      </c>
      <c r="E4852" s="27" t="s">
        <v>91</v>
      </c>
      <c r="F4852" s="27" t="s">
        <v>48</v>
      </c>
      <c r="G4852" s="18" t="s">
        <v>35</v>
      </c>
      <c r="H4852" s="40" t="s">
        <v>35</v>
      </c>
      <c r="I4852" s="37" t="s">
        <v>36</v>
      </c>
      <c r="J4852" s="25" t="s">
        <v>518</v>
      </c>
      <c r="K4852" s="26" t="s">
        <v>38</v>
      </c>
      <c r="L4852" s="72">
        <v>13677.0</v>
      </c>
      <c r="M4852" s="49" t="s">
        <v>50</v>
      </c>
      <c r="N4852" s="42" t="s">
        <v>4616</v>
      </c>
      <c r="O4852" s="67">
        <v>45891.56655079861</v>
      </c>
      <c r="P4852" s="35" t="s">
        <v>19366</v>
      </c>
      <c r="Q4852" s="13" t="s">
        <v>75</v>
      </c>
      <c r="R4852" s="13" t="s">
        <v>75</v>
      </c>
      <c r="S4852" s="13" t="s">
        <v>50</v>
      </c>
      <c r="T4852" s="44">
        <v>45889.46478898148</v>
      </c>
      <c r="U4852" s="44">
        <v>45890.587853668985</v>
      </c>
      <c r="V4852" s="44">
        <v>45891.3376072338</v>
      </c>
      <c r="W4852" s="11"/>
      <c r="X4852" s="11"/>
      <c r="Y4852" s="45">
        <v>302.0</v>
      </c>
      <c r="Z4852" s="45" t="s">
        <v>19367</v>
      </c>
      <c r="AA4852" s="31"/>
      <c r="AB4852" s="45" t="s">
        <v>19368</v>
      </c>
      <c r="AC4852" s="45"/>
    </row>
    <row r="4853" ht="18.75" customHeight="1">
      <c r="A4853" s="142" t="s">
        <v>19369</v>
      </c>
      <c r="B4853" s="19" t="s">
        <v>12692</v>
      </c>
      <c r="C4853" s="20">
        <v>0.0</v>
      </c>
      <c r="D4853" s="179">
        <v>20237.0</v>
      </c>
      <c r="E4853" s="222" t="s">
        <v>135</v>
      </c>
      <c r="F4853" s="27" t="s">
        <v>48</v>
      </c>
      <c r="G4853" s="18" t="s">
        <v>35</v>
      </c>
      <c r="H4853" s="40" t="s">
        <v>35</v>
      </c>
      <c r="I4853" s="37" t="s">
        <v>36</v>
      </c>
      <c r="J4853" s="25" t="s">
        <v>92</v>
      </c>
      <c r="K4853" s="26" t="s">
        <v>38</v>
      </c>
      <c r="L4853" s="72">
        <v>13660.0</v>
      </c>
      <c r="M4853" s="49" t="s">
        <v>73</v>
      </c>
      <c r="N4853" s="42" t="s">
        <v>13422</v>
      </c>
      <c r="O4853" s="67">
        <v>45890.5800228588</v>
      </c>
      <c r="P4853" s="35" t="s">
        <v>19370</v>
      </c>
      <c r="Q4853" s="13" t="s">
        <v>75</v>
      </c>
      <c r="R4853" s="13" t="s">
        <v>75</v>
      </c>
      <c r="S4853" s="13" t="s">
        <v>9620</v>
      </c>
      <c r="T4853" s="44">
        <v>45889.46699951389</v>
      </c>
      <c r="U4853" s="44">
        <v>45889.58304677083</v>
      </c>
      <c r="V4853" s="44">
        <v>45889.60177445602</v>
      </c>
      <c r="W4853" s="11"/>
      <c r="X4853" s="11"/>
      <c r="Y4853" s="45">
        <v>302.0</v>
      </c>
      <c r="Z4853" s="45" t="s">
        <v>19371</v>
      </c>
      <c r="AA4853" s="31"/>
      <c r="AB4853" s="45" t="s">
        <v>19372</v>
      </c>
      <c r="AC4853" s="45"/>
    </row>
    <row r="4854" ht="18.75" customHeight="1">
      <c r="A4854" s="142" t="s">
        <v>19373</v>
      </c>
      <c r="B4854" s="19" t="s">
        <v>19374</v>
      </c>
      <c r="C4854" s="20">
        <v>11.0</v>
      </c>
      <c r="D4854" s="39" t="s">
        <v>19375</v>
      </c>
      <c r="E4854" s="27" t="s">
        <v>112</v>
      </c>
      <c r="F4854" s="27" t="s">
        <v>48</v>
      </c>
      <c r="G4854" s="18" t="s">
        <v>35</v>
      </c>
      <c r="H4854" s="40" t="s">
        <v>35</v>
      </c>
      <c r="I4854" s="37" t="s">
        <v>36</v>
      </c>
      <c r="J4854" s="25" t="s">
        <v>92</v>
      </c>
      <c r="K4854" s="26" t="s">
        <v>38</v>
      </c>
      <c r="L4854" s="72">
        <v>13676.0</v>
      </c>
      <c r="M4854" s="49" t="s">
        <v>73</v>
      </c>
      <c r="N4854" s="42" t="s">
        <v>4827</v>
      </c>
      <c r="O4854" s="67">
        <v>45894.61867038194</v>
      </c>
      <c r="P4854" s="35" t="s">
        <v>13574</v>
      </c>
      <c r="Q4854" s="13" t="s">
        <v>75</v>
      </c>
      <c r="R4854" s="13" t="s">
        <v>75</v>
      </c>
      <c r="S4854" s="13" t="s">
        <v>73</v>
      </c>
      <c r="T4854" s="44">
        <v>45889.46795990741</v>
      </c>
      <c r="U4854" s="44">
        <v>45890.40345871528</v>
      </c>
      <c r="V4854" s="44">
        <v>45891.435892106485</v>
      </c>
      <c r="W4854" s="11"/>
      <c r="X4854" s="11"/>
      <c r="Y4854" s="45">
        <v>302.0</v>
      </c>
      <c r="Z4854" s="45" t="s">
        <v>19376</v>
      </c>
      <c r="AA4854" s="31"/>
      <c r="AB4854" s="45" t="s">
        <v>19377</v>
      </c>
      <c r="AC4854" s="45"/>
    </row>
    <row r="4855" ht="18.75" customHeight="1">
      <c r="A4855" s="142" t="s">
        <v>19378</v>
      </c>
      <c r="B4855" s="19" t="s">
        <v>4147</v>
      </c>
      <c r="C4855" s="20">
        <v>27.0</v>
      </c>
      <c r="D4855" s="39" t="s">
        <v>19379</v>
      </c>
      <c r="E4855" s="27" t="s">
        <v>72</v>
      </c>
      <c r="F4855" s="27" t="s">
        <v>48</v>
      </c>
      <c r="G4855" s="18" t="s">
        <v>35</v>
      </c>
      <c r="H4855" s="40" t="s">
        <v>35</v>
      </c>
      <c r="I4855" s="37" t="s">
        <v>36</v>
      </c>
      <c r="J4855" s="25" t="s">
        <v>49</v>
      </c>
      <c r="K4855" s="26" t="s">
        <v>38</v>
      </c>
      <c r="L4855" s="72">
        <v>13669.0</v>
      </c>
      <c r="M4855" s="49" t="s">
        <v>73</v>
      </c>
      <c r="N4855" s="42" t="s">
        <v>17048</v>
      </c>
      <c r="O4855" s="67">
        <v>45890.63896445602</v>
      </c>
      <c r="P4855" s="35" t="s">
        <v>19380</v>
      </c>
      <c r="Q4855" s="13" t="s">
        <v>75</v>
      </c>
      <c r="R4855" s="13" t="s">
        <v>75</v>
      </c>
      <c r="S4855" s="13" t="s">
        <v>73</v>
      </c>
      <c r="T4855" s="44">
        <v>45889.46839865741</v>
      </c>
      <c r="U4855" s="44">
        <v>45889.59729667824</v>
      </c>
      <c r="V4855" s="44">
        <v>45890.44085280092</v>
      </c>
      <c r="W4855" s="11"/>
      <c r="X4855" s="11"/>
      <c r="Y4855" s="45">
        <v>302.0</v>
      </c>
      <c r="Z4855" s="45" t="s">
        <v>19381</v>
      </c>
      <c r="AA4855" s="31"/>
      <c r="AB4855" s="45" t="s">
        <v>19382</v>
      </c>
      <c r="AC4855" s="45"/>
    </row>
    <row r="4856" ht="18.75" customHeight="1">
      <c r="A4856" s="142" t="s">
        <v>19383</v>
      </c>
      <c r="B4856" s="19" t="s">
        <v>10666</v>
      </c>
      <c r="C4856" s="20">
        <v>33.0</v>
      </c>
      <c r="D4856" s="39" t="s">
        <v>19384</v>
      </c>
      <c r="E4856" s="27" t="s">
        <v>6133</v>
      </c>
      <c r="F4856" s="27" t="s">
        <v>48</v>
      </c>
      <c r="G4856" s="18" t="s">
        <v>35</v>
      </c>
      <c r="H4856" s="40" t="s">
        <v>35</v>
      </c>
      <c r="I4856" s="37" t="s">
        <v>36</v>
      </c>
      <c r="J4856" s="25" t="s">
        <v>65</v>
      </c>
      <c r="K4856" s="26" t="s">
        <v>38</v>
      </c>
      <c r="L4856" s="72">
        <v>13670.0</v>
      </c>
      <c r="M4856" s="49" t="s">
        <v>73</v>
      </c>
      <c r="N4856" s="42" t="s">
        <v>16408</v>
      </c>
      <c r="O4856" s="67">
        <v>45890.68195136574</v>
      </c>
      <c r="P4856" s="35" t="s">
        <v>15829</v>
      </c>
      <c r="Q4856" s="13" t="s">
        <v>75</v>
      </c>
      <c r="R4856" s="13" t="s">
        <v>75</v>
      </c>
      <c r="S4856" s="13" t="s">
        <v>73</v>
      </c>
      <c r="T4856" s="44">
        <v>45889.47060377315</v>
      </c>
      <c r="U4856" s="44">
        <v>45889.59684864583</v>
      </c>
      <c r="V4856" s="44">
        <v>45890.44542615741</v>
      </c>
      <c r="W4856" s="11"/>
      <c r="X4856" s="11"/>
      <c r="Y4856" s="45">
        <v>302.0</v>
      </c>
      <c r="Z4856" s="45" t="s">
        <v>19385</v>
      </c>
      <c r="AA4856" s="31"/>
      <c r="AB4856" s="45" t="s">
        <v>19386</v>
      </c>
      <c r="AC4856" s="45"/>
    </row>
    <row r="4857" ht="18.75" customHeight="1">
      <c r="A4857" s="142" t="s">
        <v>19387</v>
      </c>
      <c r="B4857" s="19" t="s">
        <v>19388</v>
      </c>
      <c r="C4857" s="20">
        <v>0.0</v>
      </c>
      <c r="D4857" s="39" t="s">
        <v>19389</v>
      </c>
      <c r="E4857" s="27" t="s">
        <v>4430</v>
      </c>
      <c r="F4857" s="27" t="s">
        <v>48</v>
      </c>
      <c r="G4857" s="18" t="s">
        <v>35</v>
      </c>
      <c r="H4857" s="40" t="s">
        <v>35</v>
      </c>
      <c r="I4857" s="37" t="s">
        <v>36</v>
      </c>
      <c r="J4857" s="25" t="s">
        <v>65</v>
      </c>
      <c r="K4857" s="26" t="s">
        <v>38</v>
      </c>
      <c r="L4857" s="72">
        <v>13768.0</v>
      </c>
      <c r="M4857" s="49" t="s">
        <v>50</v>
      </c>
      <c r="N4857" s="42" t="s">
        <v>16408</v>
      </c>
      <c r="O4857" s="67">
        <v>45903.70473668982</v>
      </c>
      <c r="P4857" s="35" t="s">
        <v>19390</v>
      </c>
      <c r="Q4857" s="13" t="s">
        <v>75</v>
      </c>
      <c r="R4857" s="13" t="s">
        <v>75</v>
      </c>
      <c r="S4857" s="13" t="s">
        <v>73</v>
      </c>
      <c r="T4857" s="44">
        <v>45889.59610553241</v>
      </c>
      <c r="U4857" s="44">
        <v>45902.56933414352</v>
      </c>
      <c r="V4857" s="44">
        <v>45903.38341527778</v>
      </c>
      <c r="W4857" s="11"/>
      <c r="X4857" s="11"/>
      <c r="Y4857" s="45">
        <v>302.0</v>
      </c>
      <c r="Z4857" s="45" t="s">
        <v>19391</v>
      </c>
      <c r="AA4857" s="31"/>
      <c r="AB4857" s="45" t="s">
        <v>19392</v>
      </c>
      <c r="AC4857" s="45"/>
    </row>
    <row r="4858" ht="18.75" customHeight="1">
      <c r="A4858" s="142" t="s">
        <v>19393</v>
      </c>
      <c r="B4858" s="19" t="s">
        <v>122</v>
      </c>
      <c r="C4858" s="20">
        <v>11.0</v>
      </c>
      <c r="D4858" s="39" t="s">
        <v>19394</v>
      </c>
      <c r="E4858" s="27" t="s">
        <v>112</v>
      </c>
      <c r="F4858" s="27" t="s">
        <v>48</v>
      </c>
      <c r="G4858" s="18" t="s">
        <v>35</v>
      </c>
      <c r="H4858" s="40" t="s">
        <v>35</v>
      </c>
      <c r="I4858" s="37" t="s">
        <v>36</v>
      </c>
      <c r="J4858" s="25" t="s">
        <v>49</v>
      </c>
      <c r="K4858" s="26" t="s">
        <v>38</v>
      </c>
      <c r="L4858" s="72">
        <v>13693.0</v>
      </c>
      <c r="M4858" s="49" t="s">
        <v>50</v>
      </c>
      <c r="N4858" s="42" t="s">
        <v>17048</v>
      </c>
      <c r="O4858" s="67">
        <v>45895.57802085648</v>
      </c>
      <c r="P4858" s="35" t="s">
        <v>19395</v>
      </c>
      <c r="Q4858" s="13" t="s">
        <v>75</v>
      </c>
      <c r="R4858" s="13" t="s">
        <v>75</v>
      </c>
      <c r="S4858" s="13" t="s">
        <v>73</v>
      </c>
      <c r="T4858" s="44">
        <v>45889.4745206713</v>
      </c>
      <c r="U4858" s="44">
        <v>45894.49678994213</v>
      </c>
      <c r="V4858" s="44">
        <v>45895.407591006944</v>
      </c>
      <c r="W4858" s="11"/>
      <c r="X4858" s="11"/>
      <c r="Y4858" s="45">
        <v>302.0</v>
      </c>
      <c r="Z4858" s="45" t="s">
        <v>19396</v>
      </c>
      <c r="AA4858" s="31"/>
      <c r="AB4858" s="45" t="s">
        <v>19397</v>
      </c>
      <c r="AC4858" s="45"/>
    </row>
    <row r="4859" ht="18.75" customHeight="1">
      <c r="A4859" s="142" t="s">
        <v>19398</v>
      </c>
      <c r="B4859" s="19" t="s">
        <v>3762</v>
      </c>
      <c r="C4859" s="20">
        <v>34.0</v>
      </c>
      <c r="D4859" s="39" t="s">
        <v>19399</v>
      </c>
      <c r="E4859" s="27" t="s">
        <v>47</v>
      </c>
      <c r="F4859" s="27" t="s">
        <v>48</v>
      </c>
      <c r="G4859" s="18" t="s">
        <v>35</v>
      </c>
      <c r="H4859" s="40" t="s">
        <v>35</v>
      </c>
      <c r="I4859" s="37" t="s">
        <v>36</v>
      </c>
      <c r="J4859" s="25" t="s">
        <v>65</v>
      </c>
      <c r="K4859" s="26" t="s">
        <v>38</v>
      </c>
      <c r="L4859" s="72">
        <v>13672.0</v>
      </c>
      <c r="M4859" s="49" t="s">
        <v>73</v>
      </c>
      <c r="N4859" s="42" t="s">
        <v>16408</v>
      </c>
      <c r="O4859" s="67">
        <v>45890.6817697338</v>
      </c>
      <c r="P4859" s="35" t="s">
        <v>19400</v>
      </c>
      <c r="Q4859" s="13" t="s">
        <v>75</v>
      </c>
      <c r="R4859" s="13" t="s">
        <v>75</v>
      </c>
      <c r="S4859" s="13" t="s">
        <v>73</v>
      </c>
      <c r="T4859" s="44">
        <v>45889.60685888889</v>
      </c>
      <c r="U4859" s="44">
        <v>45890.4029771412</v>
      </c>
      <c r="V4859" s="44">
        <v>45890.445505428244</v>
      </c>
      <c r="W4859" s="11"/>
      <c r="X4859" s="11"/>
      <c r="Y4859" s="45">
        <v>302.0</v>
      </c>
      <c r="Z4859" s="45" t="s">
        <v>19401</v>
      </c>
      <c r="AA4859" s="31"/>
      <c r="AB4859" s="45" t="s">
        <v>19402</v>
      </c>
      <c r="AC4859" s="45"/>
    </row>
    <row r="4860" ht="18.75" customHeight="1">
      <c r="A4860" s="142" t="s">
        <v>19403</v>
      </c>
      <c r="B4860" s="19" t="s">
        <v>19404</v>
      </c>
      <c r="C4860" s="20">
        <v>137.0</v>
      </c>
      <c r="D4860" s="39" t="s">
        <v>19405</v>
      </c>
      <c r="E4860" s="27" t="s">
        <v>85</v>
      </c>
      <c r="F4860" s="27" t="s">
        <v>48</v>
      </c>
      <c r="G4860" s="18" t="s">
        <v>35</v>
      </c>
      <c r="H4860" s="40" t="s">
        <v>35</v>
      </c>
      <c r="I4860" s="37" t="s">
        <v>36</v>
      </c>
      <c r="J4860" s="25" t="s">
        <v>65</v>
      </c>
      <c r="K4860" s="26" t="s">
        <v>38</v>
      </c>
      <c r="L4860" s="72">
        <v>13671.0</v>
      </c>
      <c r="M4860" s="49" t="s">
        <v>73</v>
      </c>
      <c r="N4860" s="42" t="s">
        <v>16408</v>
      </c>
      <c r="O4860" s="67">
        <v>45890.68201047454</v>
      </c>
      <c r="P4860" s="35" t="s">
        <v>19406</v>
      </c>
      <c r="Q4860" s="13" t="s">
        <v>75</v>
      </c>
      <c r="R4860" s="13" t="s">
        <v>75</v>
      </c>
      <c r="S4860" s="13" t="s">
        <v>73</v>
      </c>
      <c r="T4860" s="44">
        <v>45889.60201530093</v>
      </c>
      <c r="U4860" s="44">
        <v>45889.60203574074</v>
      </c>
      <c r="V4860" s="44">
        <v>45890.449306469905</v>
      </c>
      <c r="W4860" s="11"/>
      <c r="X4860" s="11"/>
      <c r="Y4860" s="45">
        <v>302.0</v>
      </c>
      <c r="Z4860" s="45" t="s">
        <v>19407</v>
      </c>
      <c r="AA4860" s="31"/>
      <c r="AB4860" s="45" t="s">
        <v>19408</v>
      </c>
      <c r="AC4860" s="45"/>
    </row>
    <row r="4861" ht="18.75" customHeight="1">
      <c r="A4861" s="142" t="s">
        <v>19409</v>
      </c>
      <c r="B4861" s="19" t="s">
        <v>16563</v>
      </c>
      <c r="C4861" s="20">
        <v>0.0</v>
      </c>
      <c r="D4861" s="39" t="s">
        <v>19410</v>
      </c>
      <c r="E4861" s="27" t="s">
        <v>3441</v>
      </c>
      <c r="F4861" s="27" t="s">
        <v>48</v>
      </c>
      <c r="G4861" s="18" t="s">
        <v>35</v>
      </c>
      <c r="H4861" s="40" t="s">
        <v>35</v>
      </c>
      <c r="I4861" s="37" t="s">
        <v>36</v>
      </c>
      <c r="J4861" s="25" t="s">
        <v>65</v>
      </c>
      <c r="K4861" s="26" t="s">
        <v>38</v>
      </c>
      <c r="L4861" s="72">
        <v>13745.0</v>
      </c>
      <c r="M4861" s="49" t="s">
        <v>50</v>
      </c>
      <c r="N4861" s="42" t="s">
        <v>16408</v>
      </c>
      <c r="O4861" s="67">
        <v>45901.64908346065</v>
      </c>
      <c r="P4861" s="35" t="s">
        <v>19411</v>
      </c>
      <c r="Q4861" s="13" t="s">
        <v>75</v>
      </c>
      <c r="R4861" s="13" t="s">
        <v>75</v>
      </c>
      <c r="S4861" s="13" t="s">
        <v>73</v>
      </c>
      <c r="T4861" s="44">
        <v>45889.60787543982</v>
      </c>
      <c r="U4861" s="44">
        <v>45898.62175075231</v>
      </c>
      <c r="V4861" s="44">
        <v>45901.45001166667</v>
      </c>
      <c r="W4861" s="11"/>
      <c r="X4861" s="11"/>
      <c r="Y4861" s="45">
        <v>302.0</v>
      </c>
      <c r="Z4861" s="45" t="s">
        <v>19412</v>
      </c>
      <c r="AA4861" s="31"/>
      <c r="AB4861" s="45" t="s">
        <v>19413</v>
      </c>
      <c r="AC4861" s="45"/>
    </row>
    <row r="4862" ht="18.75" customHeight="1">
      <c r="A4862" s="142" t="s">
        <v>19414</v>
      </c>
      <c r="B4862" s="19" t="s">
        <v>19415</v>
      </c>
      <c r="C4862" s="20">
        <v>0.0</v>
      </c>
      <c r="D4862" s="39" t="s">
        <v>19416</v>
      </c>
      <c r="E4862" s="27" t="s">
        <v>3441</v>
      </c>
      <c r="F4862" s="27" t="s">
        <v>48</v>
      </c>
      <c r="G4862" s="18" t="s">
        <v>35</v>
      </c>
      <c r="H4862" s="40" t="s">
        <v>35</v>
      </c>
      <c r="I4862" s="37" t="s">
        <v>36</v>
      </c>
      <c r="J4862" s="25" t="s">
        <v>15990</v>
      </c>
      <c r="K4862" s="26" t="s">
        <v>38</v>
      </c>
      <c r="L4862" s="72">
        <v>13726.0</v>
      </c>
      <c r="M4862" s="49" t="s">
        <v>15811</v>
      </c>
      <c r="N4862" s="42"/>
      <c r="O4862" s="67">
        <v>45897.46367813657</v>
      </c>
      <c r="P4862" s="35" t="s">
        <v>19417</v>
      </c>
      <c r="Q4862" s="13" t="s">
        <v>75</v>
      </c>
      <c r="R4862" s="13" t="s">
        <v>75</v>
      </c>
      <c r="S4862" s="13" t="s">
        <v>75</v>
      </c>
      <c r="T4862" s="44">
        <v>45889.61000311343</v>
      </c>
      <c r="U4862" s="44">
        <v>45897.46367813657</v>
      </c>
      <c r="V4862" s="44">
        <v>45897.46367813657</v>
      </c>
      <c r="W4862" s="11"/>
      <c r="X4862" s="11"/>
      <c r="Y4862" s="45"/>
      <c r="Z4862" s="45"/>
      <c r="AA4862" s="31"/>
      <c r="AB4862" s="45" t="s">
        <v>19418</v>
      </c>
      <c r="AC4862" s="45"/>
    </row>
    <row r="4863" ht="18.75" customHeight="1">
      <c r="A4863" s="142" t="s">
        <v>19419</v>
      </c>
      <c r="B4863" s="19" t="s">
        <v>19415</v>
      </c>
      <c r="C4863" s="20">
        <v>1.0</v>
      </c>
      <c r="D4863" s="39" t="s">
        <v>19420</v>
      </c>
      <c r="E4863" s="27" t="s">
        <v>3395</v>
      </c>
      <c r="F4863" s="27" t="s">
        <v>48</v>
      </c>
      <c r="G4863" s="18" t="s">
        <v>35</v>
      </c>
      <c r="H4863" s="40" t="s">
        <v>35</v>
      </c>
      <c r="I4863" s="37" t="s">
        <v>36</v>
      </c>
      <c r="J4863" s="25" t="s">
        <v>49</v>
      </c>
      <c r="K4863" s="26" t="s">
        <v>38</v>
      </c>
      <c r="L4863" s="72">
        <v>13941.0</v>
      </c>
      <c r="M4863" s="49" t="s">
        <v>50</v>
      </c>
      <c r="N4863" s="42" t="s">
        <v>17048</v>
      </c>
      <c r="O4863" s="67">
        <v>45923.68173524305</v>
      </c>
      <c r="P4863" s="35" t="s">
        <v>19421</v>
      </c>
      <c r="Q4863" s="13" t="s">
        <v>75</v>
      </c>
      <c r="R4863" s="13" t="s">
        <v>75</v>
      </c>
      <c r="S4863" s="13" t="s">
        <v>73</v>
      </c>
      <c r="T4863" s="44">
        <v>45897.433717824075</v>
      </c>
      <c r="U4863" s="44">
        <v>45897.43368274305</v>
      </c>
      <c r="V4863" s="44">
        <v>45923.438661527776</v>
      </c>
      <c r="W4863" s="11"/>
      <c r="X4863" s="11"/>
      <c r="Y4863" s="45">
        <v>302.0</v>
      </c>
      <c r="Z4863" s="45" t="s">
        <v>19422</v>
      </c>
      <c r="AA4863" s="31"/>
      <c r="AB4863" s="45" t="s">
        <v>19423</v>
      </c>
      <c r="AC4863" s="45"/>
    </row>
    <row r="4864" ht="18.75" customHeight="1">
      <c r="A4864" s="18" t="s">
        <v>19424</v>
      </c>
      <c r="B4864" s="19" t="s">
        <v>5047</v>
      </c>
      <c r="C4864" s="20">
        <v>90.0</v>
      </c>
      <c r="D4864" s="39" t="s">
        <v>19425</v>
      </c>
      <c r="E4864" s="27" t="s">
        <v>91</v>
      </c>
      <c r="F4864" s="27" t="s">
        <v>48</v>
      </c>
      <c r="G4864" s="18" t="s">
        <v>35</v>
      </c>
      <c r="H4864" s="40" t="s">
        <v>35</v>
      </c>
      <c r="I4864" s="37" t="s">
        <v>36</v>
      </c>
      <c r="J4864" s="25" t="s">
        <v>37</v>
      </c>
      <c r="K4864" s="26" t="s">
        <v>38</v>
      </c>
      <c r="L4864" s="72">
        <v>13701.0</v>
      </c>
      <c r="M4864" s="49" t="s">
        <v>50</v>
      </c>
      <c r="N4864" s="42" t="s">
        <v>4527</v>
      </c>
      <c r="O4864" s="67">
        <v>45895.70392752315</v>
      </c>
      <c r="P4864" s="35" t="s">
        <v>19426</v>
      </c>
      <c r="Q4864" s="13" t="s">
        <v>75</v>
      </c>
      <c r="R4864" s="13" t="s">
        <v>75</v>
      </c>
      <c r="S4864" s="13" t="s">
        <v>73</v>
      </c>
      <c r="T4864" s="44">
        <v>45889.615961828706</v>
      </c>
      <c r="U4864" s="44">
        <v>45894.37236892361</v>
      </c>
      <c r="V4864" s="44">
        <v>45895.42656157407</v>
      </c>
      <c r="W4864" s="11"/>
      <c r="X4864" s="11"/>
      <c r="Y4864" s="45">
        <v>302.0</v>
      </c>
      <c r="Z4864" s="45" t="s">
        <v>19427</v>
      </c>
      <c r="AA4864" s="31"/>
      <c r="AB4864" s="45" t="s">
        <v>19428</v>
      </c>
      <c r="AC4864" s="45"/>
    </row>
    <row r="4865" ht="18.75" customHeight="1">
      <c r="A4865" s="18" t="s">
        <v>19429</v>
      </c>
      <c r="B4865" s="19" t="s">
        <v>5047</v>
      </c>
      <c r="C4865" s="20">
        <v>27.0</v>
      </c>
      <c r="D4865" s="39" t="s">
        <v>19430</v>
      </c>
      <c r="E4865" s="27" t="s">
        <v>72</v>
      </c>
      <c r="F4865" s="27" t="s">
        <v>48</v>
      </c>
      <c r="G4865" s="18" t="s">
        <v>35</v>
      </c>
      <c r="H4865" s="40" t="s">
        <v>35</v>
      </c>
      <c r="I4865" s="37" t="s">
        <v>36</v>
      </c>
      <c r="J4865" s="25" t="s">
        <v>37</v>
      </c>
      <c r="K4865" s="26" t="s">
        <v>38</v>
      </c>
      <c r="L4865" s="72">
        <v>13701.0</v>
      </c>
      <c r="M4865" s="49" t="s">
        <v>50</v>
      </c>
      <c r="N4865" s="42" t="s">
        <v>4527</v>
      </c>
      <c r="O4865" s="67">
        <v>45895.703835810185</v>
      </c>
      <c r="P4865" s="35" t="s">
        <v>19426</v>
      </c>
      <c r="Q4865" s="13" t="s">
        <v>75</v>
      </c>
      <c r="R4865" s="13" t="s">
        <v>75</v>
      </c>
      <c r="S4865" s="13" t="s">
        <v>73</v>
      </c>
      <c r="T4865" s="44">
        <v>45889.61628833333</v>
      </c>
      <c r="U4865" s="44">
        <v>45894.372413715275</v>
      </c>
      <c r="V4865" s="44">
        <v>45895.42644122685</v>
      </c>
      <c r="W4865" s="11"/>
      <c r="X4865" s="11"/>
      <c r="Y4865" s="45">
        <v>302.0</v>
      </c>
      <c r="Z4865" s="45" t="s">
        <v>19431</v>
      </c>
      <c r="AA4865" s="31"/>
      <c r="AB4865" s="45" t="s">
        <v>19432</v>
      </c>
      <c r="AC4865" s="45"/>
    </row>
    <row r="4866" ht="18.75" customHeight="1">
      <c r="A4866" s="18" t="s">
        <v>19433</v>
      </c>
      <c r="B4866" s="19" t="s">
        <v>5047</v>
      </c>
      <c r="C4866" s="20">
        <v>90.0</v>
      </c>
      <c r="D4866" s="39" t="s">
        <v>19434</v>
      </c>
      <c r="E4866" s="27" t="s">
        <v>91</v>
      </c>
      <c r="F4866" s="27" t="s">
        <v>48</v>
      </c>
      <c r="G4866" s="18" t="s">
        <v>35</v>
      </c>
      <c r="H4866" s="40" t="s">
        <v>35</v>
      </c>
      <c r="I4866" s="37" t="s">
        <v>36</v>
      </c>
      <c r="J4866" s="25" t="s">
        <v>37</v>
      </c>
      <c r="K4866" s="26" t="s">
        <v>38</v>
      </c>
      <c r="L4866" s="72">
        <v>13701.0</v>
      </c>
      <c r="M4866" s="49" t="s">
        <v>50</v>
      </c>
      <c r="N4866" s="42" t="s">
        <v>4527</v>
      </c>
      <c r="O4866" s="67">
        <v>45895.70375804398</v>
      </c>
      <c r="P4866" s="35" t="s">
        <v>19426</v>
      </c>
      <c r="Q4866" s="13" t="s">
        <v>75</v>
      </c>
      <c r="R4866" s="13" t="s">
        <v>75</v>
      </c>
      <c r="S4866" s="13" t="s">
        <v>73</v>
      </c>
      <c r="T4866" s="44">
        <v>45889.6943503588</v>
      </c>
      <c r="U4866" s="44">
        <v>45894.37246247685</v>
      </c>
      <c r="V4866" s="44">
        <v>45895.42656158565</v>
      </c>
      <c r="W4866" s="11"/>
      <c r="X4866" s="11"/>
      <c r="Y4866" s="45">
        <v>302.0</v>
      </c>
      <c r="Z4866" s="45" t="s">
        <v>19435</v>
      </c>
      <c r="AA4866" s="31"/>
      <c r="AB4866" s="45" t="s">
        <v>19436</v>
      </c>
      <c r="AC4866" s="45"/>
    </row>
    <row r="4867" ht="18.75" customHeight="1">
      <c r="A4867" s="142" t="s">
        <v>19437</v>
      </c>
      <c r="B4867" s="19" t="s">
        <v>4313</v>
      </c>
      <c r="C4867" s="20">
        <v>0.0</v>
      </c>
      <c r="D4867" s="179">
        <v>20238.0</v>
      </c>
      <c r="E4867" s="27" t="s">
        <v>135</v>
      </c>
      <c r="F4867" s="27" t="s">
        <v>48</v>
      </c>
      <c r="G4867" s="18" t="s">
        <v>35</v>
      </c>
      <c r="H4867" s="40" t="s">
        <v>35</v>
      </c>
      <c r="I4867" s="37" t="s">
        <v>36</v>
      </c>
      <c r="J4867" s="25" t="s">
        <v>92</v>
      </c>
      <c r="K4867" s="26" t="s">
        <v>38</v>
      </c>
      <c r="L4867" s="72">
        <v>13704.0</v>
      </c>
      <c r="M4867" s="49" t="s">
        <v>50</v>
      </c>
      <c r="N4867" s="42" t="s">
        <v>10176</v>
      </c>
      <c r="O4867" s="67">
        <v>45905.605212106486</v>
      </c>
      <c r="P4867" s="35" t="s">
        <v>19438</v>
      </c>
      <c r="Q4867" s="13" t="s">
        <v>75</v>
      </c>
      <c r="R4867" s="13" t="s">
        <v>75</v>
      </c>
      <c r="S4867" s="13" t="s">
        <v>9620</v>
      </c>
      <c r="T4867" s="44">
        <v>45891.51337408565</v>
      </c>
      <c r="U4867" s="44">
        <v>45891.51340303241</v>
      </c>
      <c r="V4867" s="44">
        <v>45891.726258807874</v>
      </c>
      <c r="W4867" s="11"/>
      <c r="X4867" s="11"/>
      <c r="Y4867" s="45">
        <v>302.0</v>
      </c>
      <c r="Z4867" s="45" t="s">
        <v>19439</v>
      </c>
      <c r="AA4867" s="31"/>
      <c r="AB4867" s="45" t="s">
        <v>19440</v>
      </c>
      <c r="AC4867" s="45"/>
    </row>
    <row r="4868" ht="18.75" customHeight="1">
      <c r="A4868" s="223" t="s">
        <v>19441</v>
      </c>
      <c r="B4868" s="19" t="s">
        <v>19442</v>
      </c>
      <c r="C4868" s="20">
        <v>0.0</v>
      </c>
      <c r="D4868" s="39" t="s">
        <v>19443</v>
      </c>
      <c r="E4868" s="27" t="s">
        <v>4430</v>
      </c>
      <c r="F4868" s="27" t="s">
        <v>48</v>
      </c>
      <c r="G4868" s="18" t="s">
        <v>35</v>
      </c>
      <c r="H4868" s="40" t="s">
        <v>35</v>
      </c>
      <c r="I4868" s="37" t="s">
        <v>36</v>
      </c>
      <c r="J4868" s="25" t="s">
        <v>65</v>
      </c>
      <c r="K4868" s="26" t="s">
        <v>38</v>
      </c>
      <c r="L4868" s="72">
        <v>13920.0</v>
      </c>
      <c r="M4868" s="49" t="s">
        <v>50</v>
      </c>
      <c r="N4868" s="42" t="s">
        <v>16408</v>
      </c>
      <c r="O4868" s="67">
        <v>45925.646365810186</v>
      </c>
      <c r="P4868" s="35" t="s">
        <v>19444</v>
      </c>
      <c r="Q4868" s="13" t="s">
        <v>75</v>
      </c>
      <c r="R4868" s="13" t="s">
        <v>75</v>
      </c>
      <c r="S4868" s="13" t="s">
        <v>73</v>
      </c>
      <c r="T4868" s="44">
        <v>45924.66455689815</v>
      </c>
      <c r="U4868" s="44">
        <v>45924.66457934028</v>
      </c>
      <c r="V4868" s="44">
        <v>45925.464023761575</v>
      </c>
      <c r="W4868" s="11"/>
      <c r="X4868" s="11"/>
      <c r="Y4868" s="45">
        <v>302.0</v>
      </c>
      <c r="Z4868" s="45" t="s">
        <v>19445</v>
      </c>
      <c r="AA4868" s="31"/>
      <c r="AB4868" s="45" t="s">
        <v>19446</v>
      </c>
      <c r="AC4868" s="45"/>
    </row>
    <row r="4869" ht="18.75" customHeight="1">
      <c r="A4869" s="18" t="s">
        <v>19447</v>
      </c>
      <c r="B4869" s="19" t="s">
        <v>4313</v>
      </c>
      <c r="C4869" s="20">
        <v>90.0</v>
      </c>
      <c r="D4869" s="39" t="s">
        <v>19448</v>
      </c>
      <c r="E4869" s="27" t="s">
        <v>91</v>
      </c>
      <c r="F4869" s="27" t="s">
        <v>48</v>
      </c>
      <c r="G4869" s="18" t="s">
        <v>35</v>
      </c>
      <c r="H4869" s="40" t="s">
        <v>35</v>
      </c>
      <c r="I4869" s="37" t="s">
        <v>36</v>
      </c>
      <c r="J4869" s="25" t="s">
        <v>92</v>
      </c>
      <c r="K4869" s="26" t="s">
        <v>38</v>
      </c>
      <c r="L4869" s="72">
        <v>13702.0</v>
      </c>
      <c r="M4869" s="49" t="s">
        <v>50</v>
      </c>
      <c r="N4869" s="42" t="s">
        <v>10176</v>
      </c>
      <c r="O4869" s="67">
        <v>45895.615275289354</v>
      </c>
      <c r="P4869" s="35" t="s">
        <v>19449</v>
      </c>
      <c r="Q4869" s="13" t="s">
        <v>75</v>
      </c>
      <c r="R4869" s="13" t="s">
        <v>75</v>
      </c>
      <c r="S4869" s="13" t="s">
        <v>50</v>
      </c>
      <c r="T4869" s="44">
        <v>45890.43155336806</v>
      </c>
      <c r="U4869" s="44">
        <v>45895.5710749537</v>
      </c>
      <c r="V4869" s="44">
        <v>45895.58044648149</v>
      </c>
      <c r="W4869" s="11"/>
      <c r="X4869" s="11"/>
      <c r="Y4869" s="45">
        <v>302.0</v>
      </c>
      <c r="Z4869" s="45" t="s">
        <v>19450</v>
      </c>
      <c r="AA4869" s="31"/>
      <c r="AB4869" s="45" t="s">
        <v>19451</v>
      </c>
      <c r="AC4869" s="45"/>
    </row>
    <row r="4870" ht="18.75" customHeight="1">
      <c r="A4870" s="18" t="s">
        <v>19452</v>
      </c>
      <c r="B4870" s="19" t="s">
        <v>4313</v>
      </c>
      <c r="C4870" s="20">
        <v>0.0</v>
      </c>
      <c r="D4870" s="39"/>
      <c r="E4870" s="22" t="s">
        <v>11503</v>
      </c>
      <c r="F4870" s="27" t="s">
        <v>11504</v>
      </c>
      <c r="G4870" s="18" t="s">
        <v>35</v>
      </c>
      <c r="H4870" s="40" t="s">
        <v>35</v>
      </c>
      <c r="I4870" s="37" t="s">
        <v>36</v>
      </c>
      <c r="J4870" s="25" t="s">
        <v>92</v>
      </c>
      <c r="K4870" s="26" t="s">
        <v>38</v>
      </c>
      <c r="L4870" s="72">
        <v>13702.0</v>
      </c>
      <c r="M4870" s="49" t="s">
        <v>50</v>
      </c>
      <c r="N4870" s="42" t="s">
        <v>10176</v>
      </c>
      <c r="O4870" s="67">
        <v>45895.615195011575</v>
      </c>
      <c r="P4870" s="35" t="s">
        <v>19449</v>
      </c>
      <c r="Q4870" s="13" t="s">
        <v>75</v>
      </c>
      <c r="R4870" s="13" t="s">
        <v>75</v>
      </c>
      <c r="S4870" s="13" t="s">
        <v>50</v>
      </c>
      <c r="T4870" s="44">
        <v>45890.43173578704</v>
      </c>
      <c r="U4870" s="44">
        <v>45895.57119471065</v>
      </c>
      <c r="V4870" s="44">
        <v>45895.577707627315</v>
      </c>
      <c r="W4870" s="11"/>
      <c r="X4870" s="11"/>
      <c r="Y4870" s="45">
        <v>302.0</v>
      </c>
      <c r="Z4870" s="45" t="s">
        <v>19453</v>
      </c>
      <c r="AA4870" s="31"/>
      <c r="AB4870" s="45" t="s">
        <v>19454</v>
      </c>
      <c r="AC4870" s="45"/>
    </row>
    <row r="4871" ht="18.75" customHeight="1">
      <c r="A4871" s="18" t="s">
        <v>19455</v>
      </c>
      <c r="B4871" s="19" t="s">
        <v>18904</v>
      </c>
      <c r="C4871" s="20">
        <v>90.0</v>
      </c>
      <c r="D4871" s="39" t="s">
        <v>19456</v>
      </c>
      <c r="E4871" s="27" t="s">
        <v>91</v>
      </c>
      <c r="F4871" s="27" t="s">
        <v>48</v>
      </c>
      <c r="G4871" s="18" t="s">
        <v>35</v>
      </c>
      <c r="H4871" s="40" t="s">
        <v>35</v>
      </c>
      <c r="I4871" s="37" t="s">
        <v>36</v>
      </c>
      <c r="J4871" s="25" t="s">
        <v>65</v>
      </c>
      <c r="K4871" s="26" t="s">
        <v>38</v>
      </c>
      <c r="L4871" s="72">
        <v>13824.0</v>
      </c>
      <c r="M4871" s="49" t="s">
        <v>50</v>
      </c>
      <c r="N4871" s="42" t="s">
        <v>16408</v>
      </c>
      <c r="O4871" s="67">
        <v>45909.675045474534</v>
      </c>
      <c r="P4871" s="35" t="s">
        <v>18998</v>
      </c>
      <c r="Q4871" s="13" t="s">
        <v>75</v>
      </c>
      <c r="R4871" s="13" t="s">
        <v>75</v>
      </c>
      <c r="S4871" s="13" t="s">
        <v>73</v>
      </c>
      <c r="T4871" s="44">
        <v>45908.62793717593</v>
      </c>
      <c r="U4871" s="44">
        <v>45908.62813829861</v>
      </c>
      <c r="V4871" s="44">
        <v>45909.39310621528</v>
      </c>
      <c r="W4871" s="11"/>
      <c r="X4871" s="11"/>
      <c r="Y4871" s="45">
        <v>302.0</v>
      </c>
      <c r="Z4871" s="45" t="s">
        <v>19457</v>
      </c>
      <c r="AA4871" s="31"/>
      <c r="AB4871" s="45" t="s">
        <v>19458</v>
      </c>
      <c r="AC4871" s="45"/>
    </row>
    <row r="4872" ht="18.75" customHeight="1">
      <c r="A4872" s="18" t="s">
        <v>19459</v>
      </c>
      <c r="B4872" s="19" t="s">
        <v>18904</v>
      </c>
      <c r="C4872" s="20">
        <v>90.0</v>
      </c>
      <c r="D4872" s="39" t="s">
        <v>19460</v>
      </c>
      <c r="E4872" s="27" t="s">
        <v>91</v>
      </c>
      <c r="F4872" s="27" t="s">
        <v>48</v>
      </c>
      <c r="G4872" s="18" t="s">
        <v>35</v>
      </c>
      <c r="H4872" s="40" t="s">
        <v>35</v>
      </c>
      <c r="I4872" s="37" t="s">
        <v>36</v>
      </c>
      <c r="J4872" s="25" t="s">
        <v>65</v>
      </c>
      <c r="K4872" s="26" t="s">
        <v>38</v>
      </c>
      <c r="L4872" s="72">
        <v>13824.0</v>
      </c>
      <c r="M4872" s="49" t="s">
        <v>50</v>
      </c>
      <c r="N4872" s="42" t="s">
        <v>16408</v>
      </c>
      <c r="O4872" s="67">
        <v>45909.67463763889</v>
      </c>
      <c r="P4872" s="35" t="s">
        <v>18998</v>
      </c>
      <c r="Q4872" s="13" t="s">
        <v>75</v>
      </c>
      <c r="R4872" s="13" t="s">
        <v>75</v>
      </c>
      <c r="S4872" s="13" t="s">
        <v>73</v>
      </c>
      <c r="T4872" s="44">
        <v>45908.62803857639</v>
      </c>
      <c r="U4872" s="44">
        <v>45908.62816141204</v>
      </c>
      <c r="V4872" s="44">
        <v>45909.39318027778</v>
      </c>
      <c r="W4872" s="11"/>
      <c r="X4872" s="11"/>
      <c r="Y4872" s="45">
        <v>302.0</v>
      </c>
      <c r="Z4872" s="45" t="s">
        <v>19461</v>
      </c>
      <c r="AA4872" s="31"/>
      <c r="AB4872" s="45" t="s">
        <v>19462</v>
      </c>
      <c r="AC4872" s="45"/>
    </row>
    <row r="4873" ht="18.75" customHeight="1">
      <c r="A4873" s="142" t="s">
        <v>19463</v>
      </c>
      <c r="B4873" s="19" t="s">
        <v>96</v>
      </c>
      <c r="C4873" s="20">
        <v>137.0</v>
      </c>
      <c r="D4873" s="39" t="s">
        <v>19464</v>
      </c>
      <c r="E4873" s="27" t="s">
        <v>85</v>
      </c>
      <c r="F4873" s="27" t="s">
        <v>48</v>
      </c>
      <c r="G4873" s="18" t="s">
        <v>35</v>
      </c>
      <c r="H4873" s="40" t="s">
        <v>35</v>
      </c>
      <c r="I4873" s="37" t="s">
        <v>36</v>
      </c>
      <c r="J4873" s="25" t="s">
        <v>49</v>
      </c>
      <c r="K4873" s="26" t="s">
        <v>38</v>
      </c>
      <c r="L4873" s="72">
        <v>13694.0</v>
      </c>
      <c r="M4873" s="49" t="s">
        <v>50</v>
      </c>
      <c r="N4873" s="42" t="s">
        <v>17048</v>
      </c>
      <c r="O4873" s="67">
        <v>45895.57855627315</v>
      </c>
      <c r="P4873" s="35" t="s">
        <v>19465</v>
      </c>
      <c r="Q4873" s="13" t="s">
        <v>75</v>
      </c>
      <c r="R4873" s="13" t="s">
        <v>75</v>
      </c>
      <c r="S4873" s="13" t="s">
        <v>73</v>
      </c>
      <c r="T4873" s="44">
        <v>45890.57782553241</v>
      </c>
      <c r="U4873" s="44">
        <v>45891.656984444446</v>
      </c>
      <c r="V4873" s="44">
        <v>45895.415420798614</v>
      </c>
      <c r="W4873" s="11"/>
      <c r="X4873" s="11"/>
      <c r="Y4873" s="45">
        <v>302.0</v>
      </c>
      <c r="Z4873" s="45" t="s">
        <v>19466</v>
      </c>
      <c r="AA4873" s="31"/>
      <c r="AB4873" s="45" t="s">
        <v>19467</v>
      </c>
      <c r="AC4873" s="45"/>
    </row>
    <row r="4874" ht="18.75" customHeight="1">
      <c r="A4874" s="142" t="s">
        <v>19468</v>
      </c>
      <c r="B4874" s="19" t="s">
        <v>96</v>
      </c>
      <c r="C4874" s="20">
        <v>0.0</v>
      </c>
      <c r="D4874" s="179">
        <v>20261.0</v>
      </c>
      <c r="E4874" s="27" t="s">
        <v>165</v>
      </c>
      <c r="F4874" s="27" t="s">
        <v>33</v>
      </c>
      <c r="G4874" s="18" t="s">
        <v>34</v>
      </c>
      <c r="H4874" s="40" t="s">
        <v>35</v>
      </c>
      <c r="I4874" s="37" t="s">
        <v>36</v>
      </c>
      <c r="J4874" s="25" t="s">
        <v>49</v>
      </c>
      <c r="K4874" s="26" t="s">
        <v>38</v>
      </c>
      <c r="L4874" s="72">
        <v>13737.0</v>
      </c>
      <c r="M4874" s="49" t="s">
        <v>50</v>
      </c>
      <c r="N4874" s="42" t="s">
        <v>17048</v>
      </c>
      <c r="O4874" s="67">
        <v>45898.583224305556</v>
      </c>
      <c r="P4874" s="35" t="s">
        <v>19469</v>
      </c>
      <c r="Q4874" s="13" t="s">
        <v>75</v>
      </c>
      <c r="R4874" s="13" t="s">
        <v>75</v>
      </c>
      <c r="S4874" s="13" t="s">
        <v>9620</v>
      </c>
      <c r="T4874" s="44">
        <v>45890.66454599537</v>
      </c>
      <c r="U4874" s="44">
        <v>45891.65798174769</v>
      </c>
      <c r="V4874" s="44">
        <v>45895.63950331019</v>
      </c>
      <c r="W4874" s="11"/>
      <c r="X4874" s="11"/>
      <c r="Y4874" s="45">
        <v>302.0</v>
      </c>
      <c r="Z4874" s="45" t="s">
        <v>19470</v>
      </c>
      <c r="AA4874" s="31"/>
      <c r="AB4874" s="45" t="s">
        <v>19471</v>
      </c>
      <c r="AC4874" s="45"/>
    </row>
    <row r="4875" ht="18.75" customHeight="1">
      <c r="A4875" s="142" t="s">
        <v>19472</v>
      </c>
      <c r="B4875" s="19" t="s">
        <v>96</v>
      </c>
      <c r="C4875" s="20">
        <v>0.0</v>
      </c>
      <c r="D4875" s="179">
        <v>20263.0</v>
      </c>
      <c r="E4875" s="27" t="s">
        <v>731</v>
      </c>
      <c r="F4875" s="27" t="s">
        <v>33</v>
      </c>
      <c r="G4875" s="18" t="s">
        <v>34</v>
      </c>
      <c r="H4875" s="40" t="s">
        <v>35</v>
      </c>
      <c r="I4875" s="37" t="s">
        <v>36</v>
      </c>
      <c r="J4875" s="25" t="s">
        <v>49</v>
      </c>
      <c r="K4875" s="26" t="s">
        <v>38</v>
      </c>
      <c r="L4875" s="72">
        <v>13746.0</v>
      </c>
      <c r="M4875" s="49" t="s">
        <v>50</v>
      </c>
      <c r="N4875" s="42" t="s">
        <v>17048</v>
      </c>
      <c r="O4875" s="67">
        <v>45901.602879432874</v>
      </c>
      <c r="P4875" s="35" t="s">
        <v>19473</v>
      </c>
      <c r="Q4875" s="13" t="s">
        <v>75</v>
      </c>
      <c r="R4875" s="13" t="s">
        <v>75</v>
      </c>
      <c r="S4875" s="13" t="s">
        <v>9620</v>
      </c>
      <c r="T4875" s="44">
        <v>45890.66377076389</v>
      </c>
      <c r="U4875" s="44">
        <v>45891.65858038195</v>
      </c>
      <c r="V4875" s="44">
        <v>45896.69949565972</v>
      </c>
      <c r="W4875" s="11"/>
      <c r="X4875" s="11"/>
      <c r="Y4875" s="45">
        <v>302.0</v>
      </c>
      <c r="Z4875" s="45" t="s">
        <v>19474</v>
      </c>
      <c r="AA4875" s="31"/>
      <c r="AB4875" s="45" t="s">
        <v>19475</v>
      </c>
      <c r="AC4875" s="45"/>
    </row>
    <row r="4876" ht="18.75" customHeight="1">
      <c r="A4876" s="142" t="s">
        <v>19476</v>
      </c>
      <c r="B4876" s="19" t="s">
        <v>96</v>
      </c>
      <c r="C4876" s="20">
        <v>0.0</v>
      </c>
      <c r="D4876" s="179">
        <v>20265.0</v>
      </c>
      <c r="E4876" s="27" t="s">
        <v>15497</v>
      </c>
      <c r="F4876" s="27" t="s">
        <v>48</v>
      </c>
      <c r="G4876" s="18" t="s">
        <v>35</v>
      </c>
      <c r="H4876" s="40" t="s">
        <v>35</v>
      </c>
      <c r="I4876" s="37" t="s">
        <v>36</v>
      </c>
      <c r="J4876" s="25" t="s">
        <v>49</v>
      </c>
      <c r="K4876" s="26" t="s">
        <v>38</v>
      </c>
      <c r="L4876" s="72">
        <v>13739.0</v>
      </c>
      <c r="M4876" s="49" t="s">
        <v>50</v>
      </c>
      <c r="N4876" s="42" t="s">
        <v>17048</v>
      </c>
      <c r="O4876" s="67">
        <v>45898.58317334491</v>
      </c>
      <c r="P4876" s="35" t="s">
        <v>19477</v>
      </c>
      <c r="Q4876" s="13" t="s">
        <v>75</v>
      </c>
      <c r="R4876" s="13" t="s">
        <v>75</v>
      </c>
      <c r="S4876" s="13" t="s">
        <v>9620</v>
      </c>
      <c r="T4876" s="44">
        <v>45890.67094505787</v>
      </c>
      <c r="U4876" s="44">
        <v>45891.658312314816</v>
      </c>
      <c r="V4876" s="44">
        <v>45896.699380011574</v>
      </c>
      <c r="W4876" s="11"/>
      <c r="X4876" s="11"/>
      <c r="Y4876" s="45">
        <v>302.0</v>
      </c>
      <c r="Z4876" s="45" t="s">
        <v>19478</v>
      </c>
      <c r="AA4876" s="31"/>
      <c r="AB4876" s="45" t="s">
        <v>19479</v>
      </c>
      <c r="AC4876" s="45"/>
    </row>
    <row r="4877" ht="18.75" customHeight="1">
      <c r="A4877" s="142" t="s">
        <v>19480</v>
      </c>
      <c r="B4877" s="19" t="s">
        <v>96</v>
      </c>
      <c r="C4877" s="20">
        <v>34.0</v>
      </c>
      <c r="D4877" s="39" t="s">
        <v>19481</v>
      </c>
      <c r="E4877" s="27" t="s">
        <v>47</v>
      </c>
      <c r="F4877" s="27" t="s">
        <v>48</v>
      </c>
      <c r="G4877" s="18" t="s">
        <v>35</v>
      </c>
      <c r="H4877" s="40" t="s">
        <v>35</v>
      </c>
      <c r="I4877" s="37" t="s">
        <v>36</v>
      </c>
      <c r="J4877" s="25" t="s">
        <v>49</v>
      </c>
      <c r="K4877" s="26" t="s">
        <v>38</v>
      </c>
      <c r="L4877" s="72">
        <v>13695.0</v>
      </c>
      <c r="M4877" s="49" t="s">
        <v>50</v>
      </c>
      <c r="N4877" s="42" t="s">
        <v>17048</v>
      </c>
      <c r="O4877" s="67">
        <v>45895.57849424769</v>
      </c>
      <c r="P4877" s="35" t="s">
        <v>19482</v>
      </c>
      <c r="Q4877" s="13" t="s">
        <v>75</v>
      </c>
      <c r="R4877" s="13" t="s">
        <v>75</v>
      </c>
      <c r="S4877" s="13" t="s">
        <v>73</v>
      </c>
      <c r="T4877" s="44">
        <v>45891.436115902776</v>
      </c>
      <c r="U4877" s="44">
        <v>45891.658850162035</v>
      </c>
      <c r="V4877" s="44">
        <v>45895.40773841435</v>
      </c>
      <c r="W4877" s="11"/>
      <c r="X4877" s="11"/>
      <c r="Y4877" s="45">
        <v>302.0</v>
      </c>
      <c r="Z4877" s="45" t="s">
        <v>19483</v>
      </c>
      <c r="AA4877" s="31"/>
      <c r="AB4877" s="45" t="s">
        <v>19484</v>
      </c>
      <c r="AC4877" s="45"/>
    </row>
    <row r="4878" ht="18.75" customHeight="1">
      <c r="A4878" s="18" t="s">
        <v>19485</v>
      </c>
      <c r="B4878" s="19" t="s">
        <v>96</v>
      </c>
      <c r="C4878" s="20">
        <v>0.0</v>
      </c>
      <c r="D4878" s="179">
        <v>20262.0</v>
      </c>
      <c r="E4878" s="27" t="s">
        <v>165</v>
      </c>
      <c r="F4878" s="27" t="s">
        <v>33</v>
      </c>
      <c r="G4878" s="18" t="s">
        <v>34</v>
      </c>
      <c r="H4878" s="40" t="s">
        <v>35</v>
      </c>
      <c r="I4878" s="37" t="s">
        <v>36</v>
      </c>
      <c r="J4878" s="25" t="s">
        <v>49</v>
      </c>
      <c r="K4878" s="26" t="s">
        <v>38</v>
      </c>
      <c r="L4878" s="72">
        <v>13738.0</v>
      </c>
      <c r="M4878" s="49" t="s">
        <v>50</v>
      </c>
      <c r="N4878" s="42" t="s">
        <v>17048</v>
      </c>
      <c r="O4878" s="67">
        <v>45898.583087858795</v>
      </c>
      <c r="P4878" s="35" t="s">
        <v>19486</v>
      </c>
      <c r="Q4878" s="13" t="s">
        <v>75</v>
      </c>
      <c r="R4878" s="13" t="s">
        <v>75</v>
      </c>
      <c r="S4878" s="13" t="s">
        <v>9620</v>
      </c>
      <c r="T4878" s="44">
        <v>45891.6044531713</v>
      </c>
      <c r="U4878" s="44">
        <v>45891.657306134264</v>
      </c>
      <c r="V4878" s="44">
        <v>45896.69949565972</v>
      </c>
      <c r="W4878" s="11"/>
      <c r="X4878" s="11"/>
      <c r="Y4878" s="45">
        <v>302.0</v>
      </c>
      <c r="Z4878" s="45" t="s">
        <v>19487</v>
      </c>
      <c r="AA4878" s="31"/>
      <c r="AB4878" s="45" t="s">
        <v>19488</v>
      </c>
      <c r="AC4878" s="45"/>
    </row>
    <row r="4879" ht="18.75" customHeight="1">
      <c r="A4879" s="18" t="s">
        <v>19489</v>
      </c>
      <c r="B4879" s="19" t="s">
        <v>96</v>
      </c>
      <c r="C4879" s="20">
        <v>2.0</v>
      </c>
      <c r="D4879" s="179">
        <v>20174.0</v>
      </c>
      <c r="E4879" s="27" t="s">
        <v>14519</v>
      </c>
      <c r="F4879" s="27" t="s">
        <v>48</v>
      </c>
      <c r="G4879" s="18" t="s">
        <v>34</v>
      </c>
      <c r="H4879" s="40" t="s">
        <v>35</v>
      </c>
      <c r="I4879" s="37" t="s">
        <v>36</v>
      </c>
      <c r="J4879" s="25" t="s">
        <v>49</v>
      </c>
      <c r="K4879" s="26" t="s">
        <v>38</v>
      </c>
      <c r="L4879" s="72">
        <v>13738.0</v>
      </c>
      <c r="M4879" s="49" t="s">
        <v>50</v>
      </c>
      <c r="N4879" s="42" t="s">
        <v>17048</v>
      </c>
      <c r="O4879" s="67">
        <v>45898.583023645835</v>
      </c>
      <c r="P4879" s="35" t="s">
        <v>19486</v>
      </c>
      <c r="Q4879" s="13" t="s">
        <v>75</v>
      </c>
      <c r="R4879" s="13" t="s">
        <v>75</v>
      </c>
      <c r="S4879" s="13" t="s">
        <v>9620</v>
      </c>
      <c r="T4879" s="44">
        <v>45891.43720863426</v>
      </c>
      <c r="U4879" s="44">
        <v>45891.65733325231</v>
      </c>
      <c r="V4879" s="44">
        <v>45891.72625881944</v>
      </c>
      <c r="W4879" s="11"/>
      <c r="X4879" s="11"/>
      <c r="Y4879" s="45">
        <v>302.0</v>
      </c>
      <c r="Z4879" s="45" t="s">
        <v>19490</v>
      </c>
      <c r="AA4879" s="31"/>
      <c r="AB4879" s="45" t="s">
        <v>19491</v>
      </c>
      <c r="AC4879" s="45"/>
    </row>
    <row r="4880" ht="18.75" customHeight="1">
      <c r="A4880" s="142" t="s">
        <v>19492</v>
      </c>
      <c r="B4880" s="19" t="s">
        <v>96</v>
      </c>
      <c r="C4880" s="20">
        <v>0.0</v>
      </c>
      <c r="D4880" s="179">
        <v>9708.0</v>
      </c>
      <c r="E4880" s="27" t="s">
        <v>1077</v>
      </c>
      <c r="F4880" s="27" t="s">
        <v>33</v>
      </c>
      <c r="G4880" s="18" t="s">
        <v>34</v>
      </c>
      <c r="H4880" s="40" t="s">
        <v>35</v>
      </c>
      <c r="I4880" s="37" t="s">
        <v>36</v>
      </c>
      <c r="J4880" s="25" t="s">
        <v>49</v>
      </c>
      <c r="K4880" s="26" t="s">
        <v>38</v>
      </c>
      <c r="L4880" s="72">
        <v>13762.0</v>
      </c>
      <c r="M4880" s="49" t="s">
        <v>50</v>
      </c>
      <c r="N4880" s="42" t="s">
        <v>17048</v>
      </c>
      <c r="O4880" s="67">
        <v>45905.36487164352</v>
      </c>
      <c r="P4880" s="35" t="s">
        <v>19493</v>
      </c>
      <c r="Q4880" s="13" t="s">
        <v>75</v>
      </c>
      <c r="R4880" s="13" t="s">
        <v>75</v>
      </c>
      <c r="S4880" s="13" t="s">
        <v>9620</v>
      </c>
      <c r="T4880" s="44">
        <v>45891.46284453703</v>
      </c>
      <c r="U4880" s="44">
        <v>45891.660340752314</v>
      </c>
      <c r="V4880" s="44">
        <v>45895.63950331019</v>
      </c>
      <c r="W4880" s="11"/>
      <c r="X4880" s="11"/>
      <c r="Y4880" s="45">
        <v>302.0</v>
      </c>
      <c r="Z4880" s="45" t="s">
        <v>19494</v>
      </c>
      <c r="AA4880" s="31"/>
      <c r="AB4880" s="45" t="s">
        <v>19495</v>
      </c>
      <c r="AC4880" s="45"/>
    </row>
    <row r="4881" ht="18.75" customHeight="1">
      <c r="A4881" s="142" t="s">
        <v>19496</v>
      </c>
      <c r="B4881" s="19" t="s">
        <v>19497</v>
      </c>
      <c r="C4881" s="20">
        <v>0.0</v>
      </c>
      <c r="D4881" s="39" t="s">
        <v>19498</v>
      </c>
      <c r="E4881" s="27" t="s">
        <v>3441</v>
      </c>
      <c r="F4881" s="27" t="s">
        <v>48</v>
      </c>
      <c r="G4881" s="18" t="s">
        <v>35</v>
      </c>
      <c r="H4881" s="40" t="s">
        <v>35</v>
      </c>
      <c r="I4881" s="37" t="s">
        <v>36</v>
      </c>
      <c r="J4881" s="25" t="s">
        <v>49</v>
      </c>
      <c r="K4881" s="26" t="s">
        <v>38</v>
      </c>
      <c r="L4881" s="72">
        <v>13696.0</v>
      </c>
      <c r="M4881" s="49" t="s">
        <v>50</v>
      </c>
      <c r="N4881" s="42" t="s">
        <v>17048</v>
      </c>
      <c r="O4881" s="67">
        <v>45895.578441875</v>
      </c>
      <c r="P4881" s="35" t="s">
        <v>19499</v>
      </c>
      <c r="Q4881" s="13" t="s">
        <v>75</v>
      </c>
      <c r="R4881" s="13" t="s">
        <v>75</v>
      </c>
      <c r="S4881" s="13" t="s">
        <v>73</v>
      </c>
      <c r="T4881" s="44">
        <v>45891.467479178245</v>
      </c>
      <c r="U4881" s="44">
        <v>45894.49415517361</v>
      </c>
      <c r="V4881" s="44">
        <v>45895.40921174768</v>
      </c>
      <c r="W4881" s="11"/>
      <c r="X4881" s="11"/>
      <c r="Y4881" s="45">
        <v>302.0</v>
      </c>
      <c r="Z4881" s="45" t="s">
        <v>19500</v>
      </c>
      <c r="AA4881" s="31"/>
      <c r="AB4881" s="45" t="s">
        <v>19501</v>
      </c>
      <c r="AC4881" s="45"/>
    </row>
    <row r="4882" ht="18.75" customHeight="1">
      <c r="A4882" s="142" t="s">
        <v>19502</v>
      </c>
      <c r="B4882" s="19" t="s">
        <v>96</v>
      </c>
      <c r="C4882" s="20">
        <v>0.0</v>
      </c>
      <c r="D4882" s="179">
        <v>20264.0</v>
      </c>
      <c r="E4882" s="27" t="s">
        <v>408</v>
      </c>
      <c r="F4882" s="27" t="s">
        <v>33</v>
      </c>
      <c r="G4882" s="18" t="s">
        <v>34</v>
      </c>
      <c r="H4882" s="40" t="s">
        <v>35</v>
      </c>
      <c r="I4882" s="37" t="s">
        <v>36</v>
      </c>
      <c r="J4882" s="25" t="s">
        <v>49</v>
      </c>
      <c r="K4882" s="26" t="s">
        <v>38</v>
      </c>
      <c r="L4882" s="72">
        <v>13736.0</v>
      </c>
      <c r="M4882" s="49" t="s">
        <v>50</v>
      </c>
      <c r="N4882" s="42" t="s">
        <v>17048</v>
      </c>
      <c r="O4882" s="67">
        <v>45898.58297452546</v>
      </c>
      <c r="P4882" s="35" t="s">
        <v>19503</v>
      </c>
      <c r="Q4882" s="13" t="s">
        <v>75</v>
      </c>
      <c r="R4882" s="13" t="s">
        <v>75</v>
      </c>
      <c r="S4882" s="13" t="s">
        <v>9620</v>
      </c>
      <c r="T4882" s="44">
        <v>45891.468185254635</v>
      </c>
      <c r="U4882" s="44">
        <v>45891.66196121528</v>
      </c>
      <c r="V4882" s="44">
        <v>45897.574019884254</v>
      </c>
      <c r="W4882" s="11"/>
      <c r="X4882" s="11"/>
      <c r="Y4882" s="45">
        <v>200.0</v>
      </c>
      <c r="Z4882" s="45" t="s">
        <v>19504</v>
      </c>
      <c r="AA4882" s="31"/>
      <c r="AB4882" s="45" t="s">
        <v>19505</v>
      </c>
      <c r="AC4882" s="45"/>
    </row>
    <row r="4883" ht="18.75" customHeight="1">
      <c r="A4883" s="142" t="s">
        <v>19506</v>
      </c>
      <c r="B4883" s="19" t="s">
        <v>96</v>
      </c>
      <c r="C4883" s="20">
        <v>11.0</v>
      </c>
      <c r="D4883" s="39" t="s">
        <v>19507</v>
      </c>
      <c r="E4883" s="27" t="s">
        <v>112</v>
      </c>
      <c r="F4883" s="27" t="s">
        <v>48</v>
      </c>
      <c r="G4883" s="18" t="s">
        <v>35</v>
      </c>
      <c r="H4883" s="40" t="s">
        <v>35</v>
      </c>
      <c r="I4883" s="37" t="s">
        <v>36</v>
      </c>
      <c r="J4883" s="25" t="s">
        <v>49</v>
      </c>
      <c r="K4883" s="26" t="s">
        <v>38</v>
      </c>
      <c r="L4883" s="72">
        <v>13697.0</v>
      </c>
      <c r="M4883" s="49" t="s">
        <v>50</v>
      </c>
      <c r="N4883" s="42" t="s">
        <v>17048</v>
      </c>
      <c r="O4883" s="67">
        <v>45895.57839336805</v>
      </c>
      <c r="P4883" s="35" t="s">
        <v>19508</v>
      </c>
      <c r="Q4883" s="13" t="s">
        <v>75</v>
      </c>
      <c r="R4883" s="13" t="s">
        <v>75</v>
      </c>
      <c r="S4883" s="13" t="s">
        <v>73</v>
      </c>
      <c r="T4883" s="44">
        <v>45891.46964738426</v>
      </c>
      <c r="U4883" s="44">
        <v>45891.66095952546</v>
      </c>
      <c r="V4883" s="44">
        <v>45895.40759099537</v>
      </c>
      <c r="W4883" s="11"/>
      <c r="X4883" s="11"/>
      <c r="Y4883" s="45">
        <v>302.0</v>
      </c>
      <c r="Z4883" s="45" t="s">
        <v>19509</v>
      </c>
      <c r="AA4883" s="31"/>
      <c r="AB4883" s="45" t="s">
        <v>19510</v>
      </c>
      <c r="AC4883" s="45"/>
    </row>
    <row r="4884" ht="18.75" customHeight="1">
      <c r="A4884" s="142" t="s">
        <v>19511</v>
      </c>
      <c r="B4884" s="19" t="s">
        <v>9293</v>
      </c>
      <c r="C4884" s="20">
        <v>0.0</v>
      </c>
      <c r="D4884" s="48" t="s">
        <v>19512</v>
      </c>
      <c r="E4884" s="27" t="s">
        <v>2288</v>
      </c>
      <c r="F4884" s="27" t="s">
        <v>33</v>
      </c>
      <c r="G4884" s="18" t="s">
        <v>35</v>
      </c>
      <c r="H4884" s="40" t="s">
        <v>35</v>
      </c>
      <c r="I4884" s="37" t="s">
        <v>36</v>
      </c>
      <c r="J4884" s="25" t="s">
        <v>49</v>
      </c>
      <c r="K4884" s="26" t="s">
        <v>38</v>
      </c>
      <c r="L4884" s="72">
        <v>13679.0</v>
      </c>
      <c r="M4884" s="152" t="s">
        <v>19513</v>
      </c>
      <c r="N4884" s="42" t="s">
        <v>19514</v>
      </c>
      <c r="O4884" s="67">
        <v>45891.49336415509</v>
      </c>
      <c r="P4884" s="35" t="s">
        <v>19515</v>
      </c>
      <c r="Q4884" s="13" t="s">
        <v>75</v>
      </c>
      <c r="R4884" s="13" t="s">
        <v>75</v>
      </c>
      <c r="S4884" s="13" t="s">
        <v>73</v>
      </c>
      <c r="T4884" s="44">
        <v>45891.47438252315</v>
      </c>
      <c r="U4884" s="44">
        <v>45891.47564304398</v>
      </c>
      <c r="V4884" s="44">
        <v>45891.491962500004</v>
      </c>
      <c r="W4884" s="11"/>
      <c r="X4884" s="11"/>
      <c r="Y4884" s="45">
        <v>302.0</v>
      </c>
      <c r="Z4884" s="45" t="s">
        <v>19516</v>
      </c>
      <c r="AA4884" s="31"/>
      <c r="AB4884" s="45" t="s">
        <v>19517</v>
      </c>
      <c r="AC4884" s="45"/>
    </row>
    <row r="4885" ht="18.75" customHeight="1">
      <c r="A4885" s="18" t="s">
        <v>19518</v>
      </c>
      <c r="B4885" s="19" t="s">
        <v>19519</v>
      </c>
      <c r="C4885" s="20">
        <v>0.0</v>
      </c>
      <c r="D4885" s="39" t="s">
        <v>19520</v>
      </c>
      <c r="E4885" s="27" t="s">
        <v>18072</v>
      </c>
      <c r="F4885" s="27"/>
      <c r="G4885" s="18" t="s">
        <v>35</v>
      </c>
      <c r="H4885" s="40" t="s">
        <v>35</v>
      </c>
      <c r="I4885" s="37" t="s">
        <v>36</v>
      </c>
      <c r="J4885" s="25" t="s">
        <v>49</v>
      </c>
      <c r="K4885" s="26" t="s">
        <v>38</v>
      </c>
      <c r="L4885" s="72">
        <v>13930.0</v>
      </c>
      <c r="M4885" s="49" t="s">
        <v>50</v>
      </c>
      <c r="N4885" s="42" t="s">
        <v>17048</v>
      </c>
      <c r="O4885" s="67">
        <v>45922.62754430556</v>
      </c>
      <c r="P4885" s="35" t="s">
        <v>19521</v>
      </c>
      <c r="Q4885" s="13" t="s">
        <v>75</v>
      </c>
      <c r="R4885" s="13" t="s">
        <v>75</v>
      </c>
      <c r="S4885" s="13" t="s">
        <v>73</v>
      </c>
      <c r="T4885" s="44">
        <v>45922.440727905094</v>
      </c>
      <c r="U4885" s="44">
        <v>45922.440969456016</v>
      </c>
      <c r="V4885" s="44">
        <v>45922.45529628472</v>
      </c>
      <c r="W4885" s="11"/>
      <c r="X4885" s="11"/>
      <c r="Y4885" s="45">
        <v>302.0</v>
      </c>
      <c r="Z4885" s="45" t="s">
        <v>19522</v>
      </c>
      <c r="AA4885" s="31"/>
      <c r="AB4885" s="45" t="s">
        <v>19523</v>
      </c>
      <c r="AC4885" s="45"/>
    </row>
    <row r="4886" ht="18.75" customHeight="1">
      <c r="A4886" s="18" t="s">
        <v>19524</v>
      </c>
      <c r="B4886" s="19" t="s">
        <v>19519</v>
      </c>
      <c r="C4886" s="20">
        <v>0.0</v>
      </c>
      <c r="D4886" s="39" t="s">
        <v>19525</v>
      </c>
      <c r="E4886" s="27" t="s">
        <v>18072</v>
      </c>
      <c r="F4886" s="27"/>
      <c r="G4886" s="18" t="s">
        <v>35</v>
      </c>
      <c r="H4886" s="40" t="s">
        <v>35</v>
      </c>
      <c r="I4886" s="37" t="s">
        <v>36</v>
      </c>
      <c r="J4886" s="25" t="s">
        <v>49</v>
      </c>
      <c r="K4886" s="26" t="s">
        <v>38</v>
      </c>
      <c r="L4886" s="72">
        <v>13930.0</v>
      </c>
      <c r="M4886" s="49" t="s">
        <v>50</v>
      </c>
      <c r="N4886" s="42" t="s">
        <v>17048</v>
      </c>
      <c r="O4886" s="67">
        <v>45922.6276197338</v>
      </c>
      <c r="P4886" s="35" t="s">
        <v>19521</v>
      </c>
      <c r="Q4886" s="13" t="s">
        <v>75</v>
      </c>
      <c r="R4886" s="13" t="s">
        <v>75</v>
      </c>
      <c r="S4886" s="13" t="s">
        <v>73</v>
      </c>
      <c r="T4886" s="44">
        <v>45922.44077446759</v>
      </c>
      <c r="U4886" s="44">
        <v>45922.44099800926</v>
      </c>
      <c r="V4886" s="44">
        <v>45922.45598165509</v>
      </c>
      <c r="W4886" s="11"/>
      <c r="X4886" s="11"/>
      <c r="Y4886" s="45">
        <v>302.0</v>
      </c>
      <c r="Z4886" s="45" t="s">
        <v>19526</v>
      </c>
      <c r="AA4886" s="31"/>
      <c r="AB4886" s="45" t="s">
        <v>19527</v>
      </c>
      <c r="AC4886" s="45"/>
    </row>
    <row r="4887" ht="18.75" customHeight="1">
      <c r="A4887" s="18" t="s">
        <v>19528</v>
      </c>
      <c r="B4887" s="19" t="s">
        <v>19519</v>
      </c>
      <c r="C4887" s="20">
        <v>0.0</v>
      </c>
      <c r="D4887" s="39" t="s">
        <v>19529</v>
      </c>
      <c r="E4887" s="27" t="s">
        <v>18072</v>
      </c>
      <c r="F4887" s="27"/>
      <c r="G4887" s="18" t="s">
        <v>35</v>
      </c>
      <c r="H4887" s="40" t="s">
        <v>35</v>
      </c>
      <c r="I4887" s="37" t="s">
        <v>36</v>
      </c>
      <c r="J4887" s="25" t="s">
        <v>49</v>
      </c>
      <c r="K4887" s="26" t="s">
        <v>38</v>
      </c>
      <c r="L4887" s="72">
        <v>13930.0</v>
      </c>
      <c r="M4887" s="49" t="s">
        <v>50</v>
      </c>
      <c r="N4887" s="42" t="s">
        <v>17048</v>
      </c>
      <c r="O4887" s="67">
        <v>45922.62772297453</v>
      </c>
      <c r="P4887" s="35" t="s">
        <v>19521</v>
      </c>
      <c r="Q4887" s="13" t="s">
        <v>75</v>
      </c>
      <c r="R4887" s="13" t="s">
        <v>75</v>
      </c>
      <c r="S4887" s="13" t="s">
        <v>73</v>
      </c>
      <c r="T4887" s="44">
        <v>45922.44082318287</v>
      </c>
      <c r="U4887" s="44">
        <v>45922.4410449537</v>
      </c>
      <c r="V4887" s="44">
        <v>45922.455702974534</v>
      </c>
      <c r="W4887" s="11"/>
      <c r="X4887" s="11"/>
      <c r="Y4887" s="207">
        <v>302.0</v>
      </c>
      <c r="Z4887" s="45" t="s">
        <v>19530</v>
      </c>
      <c r="AA4887" s="31"/>
      <c r="AB4887" s="45" t="s">
        <v>19531</v>
      </c>
      <c r="AC4887" s="45"/>
    </row>
    <row r="4888" ht="18.75" customHeight="1">
      <c r="A4888" s="18" t="s">
        <v>19532</v>
      </c>
      <c r="B4888" s="19" t="s">
        <v>19519</v>
      </c>
      <c r="C4888" s="20">
        <v>0.0</v>
      </c>
      <c r="D4888" s="39" t="s">
        <v>19533</v>
      </c>
      <c r="E4888" s="27" t="s">
        <v>18072</v>
      </c>
      <c r="F4888" s="27"/>
      <c r="G4888" s="18" t="s">
        <v>35</v>
      </c>
      <c r="H4888" s="40" t="s">
        <v>35</v>
      </c>
      <c r="I4888" s="37" t="s">
        <v>36</v>
      </c>
      <c r="J4888" s="25" t="s">
        <v>49</v>
      </c>
      <c r="K4888" s="26" t="s">
        <v>38</v>
      </c>
      <c r="L4888" s="72">
        <v>13930.0</v>
      </c>
      <c r="M4888" s="49" t="s">
        <v>50</v>
      </c>
      <c r="N4888" s="42" t="s">
        <v>17048</v>
      </c>
      <c r="O4888" s="67">
        <v>45922.627675462965</v>
      </c>
      <c r="P4888" s="35" t="s">
        <v>19521</v>
      </c>
      <c r="Q4888" s="13" t="s">
        <v>75</v>
      </c>
      <c r="R4888" s="13" t="s">
        <v>75</v>
      </c>
      <c r="S4888" s="13" t="s">
        <v>73</v>
      </c>
      <c r="T4888" s="44">
        <v>45922.4409385301</v>
      </c>
      <c r="U4888" s="44">
        <v>45922.44102271991</v>
      </c>
      <c r="V4888" s="44">
        <v>45922.45588775463</v>
      </c>
      <c r="W4888" s="11"/>
      <c r="X4888" s="11"/>
      <c r="Y4888" s="207">
        <v>302.0</v>
      </c>
      <c r="Z4888" s="45" t="s">
        <v>19534</v>
      </c>
      <c r="AA4888" s="31"/>
      <c r="AB4888" s="45" t="s">
        <v>19535</v>
      </c>
      <c r="AC4888" s="45"/>
    </row>
    <row r="4889" ht="18.75" customHeight="1">
      <c r="A4889" s="142" t="s">
        <v>19536</v>
      </c>
      <c r="B4889" s="19" t="s">
        <v>10366</v>
      </c>
      <c r="C4889" s="20">
        <v>0.0</v>
      </c>
      <c r="D4889" s="39" t="s">
        <v>19537</v>
      </c>
      <c r="E4889" s="27" t="s">
        <v>3441</v>
      </c>
      <c r="F4889" s="27" t="s">
        <v>48</v>
      </c>
      <c r="G4889" s="18" t="s">
        <v>35</v>
      </c>
      <c r="H4889" s="40" t="s">
        <v>35</v>
      </c>
      <c r="I4889" s="37" t="s">
        <v>36</v>
      </c>
      <c r="J4889" s="25" t="s">
        <v>49</v>
      </c>
      <c r="K4889" s="26" t="s">
        <v>38</v>
      </c>
      <c r="L4889" s="72">
        <v>13698.0</v>
      </c>
      <c r="M4889" s="49" t="s">
        <v>50</v>
      </c>
      <c r="N4889" s="42" t="s">
        <v>17048</v>
      </c>
      <c r="O4889" s="67">
        <v>45895.578341898145</v>
      </c>
      <c r="P4889" s="35" t="s">
        <v>19538</v>
      </c>
      <c r="Q4889" s="13" t="s">
        <v>75</v>
      </c>
      <c r="R4889" s="13" t="s">
        <v>75</v>
      </c>
      <c r="S4889" s="13" t="s">
        <v>73</v>
      </c>
      <c r="T4889" s="44">
        <v>45891.48739368055</v>
      </c>
      <c r="U4889" s="44">
        <v>45894.39181920139</v>
      </c>
      <c r="V4889" s="44">
        <v>45895.40926292824</v>
      </c>
      <c r="W4889" s="11"/>
      <c r="X4889" s="11"/>
      <c r="Y4889" s="45">
        <v>302.0</v>
      </c>
      <c r="Z4889" s="45" t="s">
        <v>19539</v>
      </c>
      <c r="AA4889" s="31"/>
      <c r="AB4889" s="45" t="s">
        <v>19540</v>
      </c>
      <c r="AC4889" s="45"/>
    </row>
    <row r="4890" ht="18.75" customHeight="1">
      <c r="A4890" s="142" t="s">
        <v>19541</v>
      </c>
      <c r="B4890" s="19" t="s">
        <v>530</v>
      </c>
      <c r="C4890" s="20">
        <v>27.0</v>
      </c>
      <c r="D4890" s="39" t="s">
        <v>19542</v>
      </c>
      <c r="E4890" s="27" t="s">
        <v>72</v>
      </c>
      <c r="F4890" s="27" t="s">
        <v>48</v>
      </c>
      <c r="G4890" s="18" t="s">
        <v>35</v>
      </c>
      <c r="H4890" s="40" t="s">
        <v>35</v>
      </c>
      <c r="I4890" s="37" t="s">
        <v>36</v>
      </c>
      <c r="J4890" s="25" t="s">
        <v>92</v>
      </c>
      <c r="K4890" s="26" t="s">
        <v>38</v>
      </c>
      <c r="L4890" s="72">
        <v>13706.0</v>
      </c>
      <c r="M4890" s="49" t="s">
        <v>50</v>
      </c>
      <c r="N4890" s="42" t="s">
        <v>4767</v>
      </c>
      <c r="O4890" s="67">
        <v>45897.43289576389</v>
      </c>
      <c r="P4890" s="35" t="s">
        <v>19543</v>
      </c>
      <c r="Q4890" s="13" t="s">
        <v>75</v>
      </c>
      <c r="R4890" s="13" t="s">
        <v>75</v>
      </c>
      <c r="S4890" s="13" t="s">
        <v>73</v>
      </c>
      <c r="T4890" s="44">
        <v>45891.49071039352</v>
      </c>
      <c r="U4890" s="44">
        <v>45891.791151701385</v>
      </c>
      <c r="V4890" s="44">
        <v>45896.39859027778</v>
      </c>
      <c r="W4890" s="11"/>
      <c r="X4890" s="11"/>
      <c r="Y4890" s="45">
        <v>302.0</v>
      </c>
      <c r="Z4890" s="45" t="s">
        <v>19544</v>
      </c>
      <c r="AA4890" s="31"/>
      <c r="AB4890" s="45" t="s">
        <v>19545</v>
      </c>
      <c r="AC4890" s="45"/>
    </row>
    <row r="4891" ht="18.75" customHeight="1">
      <c r="A4891" s="142" t="s">
        <v>19546</v>
      </c>
      <c r="B4891" s="19" t="s">
        <v>5047</v>
      </c>
      <c r="C4891" s="20">
        <v>1.0</v>
      </c>
      <c r="D4891" s="39" t="s">
        <v>19547</v>
      </c>
      <c r="E4891" s="27" t="s">
        <v>3395</v>
      </c>
      <c r="F4891" s="27" t="s">
        <v>48</v>
      </c>
      <c r="G4891" s="18" t="s">
        <v>35</v>
      </c>
      <c r="H4891" s="40" t="s">
        <v>35</v>
      </c>
      <c r="I4891" s="37" t="s">
        <v>36</v>
      </c>
      <c r="J4891" s="25" t="s">
        <v>37</v>
      </c>
      <c r="K4891" s="26" t="s">
        <v>38</v>
      </c>
      <c r="L4891" s="25">
        <v>14009.0</v>
      </c>
      <c r="M4891" s="49" t="s">
        <v>50</v>
      </c>
      <c r="N4891" s="42" t="s">
        <v>5231</v>
      </c>
      <c r="O4891" s="67">
        <v>45929.666924143516</v>
      </c>
      <c r="P4891" s="35" t="s">
        <v>19548</v>
      </c>
      <c r="Q4891" s="13" t="s">
        <v>75</v>
      </c>
      <c r="R4891" s="13" t="s">
        <v>75</v>
      </c>
      <c r="S4891" s="13" t="s">
        <v>73</v>
      </c>
      <c r="T4891" s="44">
        <v>45929.48770546296</v>
      </c>
      <c r="U4891" s="44">
        <v>45929.48838599537</v>
      </c>
      <c r="V4891" s="44">
        <v>45929.56108516204</v>
      </c>
      <c r="W4891" s="11"/>
      <c r="X4891" s="11"/>
      <c r="Y4891" s="45">
        <v>302.0</v>
      </c>
      <c r="Z4891" s="45" t="s">
        <v>19549</v>
      </c>
      <c r="AA4891" s="31"/>
      <c r="AB4891" s="45" t="s">
        <v>19550</v>
      </c>
      <c r="AC4891" s="45"/>
    </row>
    <row r="4892" ht="18.75" customHeight="1">
      <c r="A4892" s="18" t="s">
        <v>19551</v>
      </c>
      <c r="B4892" s="19" t="s">
        <v>18792</v>
      </c>
      <c r="C4892" s="20">
        <v>1.0</v>
      </c>
      <c r="D4892" s="39" t="s">
        <v>19552</v>
      </c>
      <c r="E4892" s="27" t="s">
        <v>3395</v>
      </c>
      <c r="F4892" s="27" t="s">
        <v>48</v>
      </c>
      <c r="G4892" s="18" t="s">
        <v>35</v>
      </c>
      <c r="H4892" s="40" t="s">
        <v>35</v>
      </c>
      <c r="I4892" s="37" t="s">
        <v>36</v>
      </c>
      <c r="J4892" s="34" t="s">
        <v>540</v>
      </c>
      <c r="K4892" s="26" t="s">
        <v>38</v>
      </c>
      <c r="L4892" s="25">
        <v>13969.0</v>
      </c>
      <c r="M4892" s="49" t="s">
        <v>50</v>
      </c>
      <c r="N4892" s="42" t="s">
        <v>18795</v>
      </c>
      <c r="O4892" s="67">
        <v>45926.63464498843</v>
      </c>
      <c r="P4892" s="35" t="s">
        <v>19553</v>
      </c>
      <c r="Q4892" s="13" t="s">
        <v>75</v>
      </c>
      <c r="R4892" s="13" t="s">
        <v>75</v>
      </c>
      <c r="S4892" s="13" t="s">
        <v>73</v>
      </c>
      <c r="T4892" s="44">
        <v>45924.639053321764</v>
      </c>
      <c r="U4892" s="44">
        <v>45924.639509456014</v>
      </c>
      <c r="V4892" s="44">
        <v>45925.45718875</v>
      </c>
      <c r="W4892" s="11"/>
      <c r="X4892" s="11"/>
      <c r="Y4892" s="45">
        <v>302.0</v>
      </c>
      <c r="Z4892" s="45" t="s">
        <v>19554</v>
      </c>
      <c r="AA4892" s="31"/>
      <c r="AB4892" s="45" t="s">
        <v>19555</v>
      </c>
      <c r="AC4892" s="45"/>
    </row>
    <row r="4893" ht="18.75" customHeight="1">
      <c r="A4893" s="18" t="s">
        <v>19556</v>
      </c>
      <c r="B4893" s="19" t="s">
        <v>18792</v>
      </c>
      <c r="C4893" s="20">
        <v>1.0</v>
      </c>
      <c r="D4893" s="39" t="s">
        <v>19557</v>
      </c>
      <c r="E4893" s="27" t="s">
        <v>3395</v>
      </c>
      <c r="F4893" s="27" t="s">
        <v>48</v>
      </c>
      <c r="G4893" s="18" t="s">
        <v>35</v>
      </c>
      <c r="H4893" s="40" t="s">
        <v>35</v>
      </c>
      <c r="I4893" s="37" t="s">
        <v>36</v>
      </c>
      <c r="J4893" s="34" t="s">
        <v>540</v>
      </c>
      <c r="K4893" s="26" t="s">
        <v>38</v>
      </c>
      <c r="L4893" s="25">
        <v>13969.0</v>
      </c>
      <c r="M4893" s="49" t="s">
        <v>50</v>
      </c>
      <c r="N4893" s="42" t="s">
        <v>18795</v>
      </c>
      <c r="O4893" s="67">
        <v>45926.63458741899</v>
      </c>
      <c r="P4893" s="35" t="s">
        <v>19553</v>
      </c>
      <c r="Q4893" s="13" t="s">
        <v>75</v>
      </c>
      <c r="R4893" s="13" t="s">
        <v>75</v>
      </c>
      <c r="S4893" s="13" t="s">
        <v>73</v>
      </c>
      <c r="T4893" s="44">
        <v>45924.639147256945</v>
      </c>
      <c r="U4893" s="44">
        <v>45924.63948648148</v>
      </c>
      <c r="V4893" s="44">
        <v>45925.45718875</v>
      </c>
      <c r="W4893" s="11"/>
      <c r="X4893" s="11"/>
      <c r="Y4893" s="45">
        <v>302.0</v>
      </c>
      <c r="Z4893" s="45" t="s">
        <v>19558</v>
      </c>
      <c r="AA4893" s="31"/>
      <c r="AB4893" s="45" t="s">
        <v>19559</v>
      </c>
      <c r="AC4893" s="45"/>
    </row>
    <row r="4894" ht="18.75" customHeight="1">
      <c r="A4894" s="18" t="s">
        <v>19560</v>
      </c>
      <c r="B4894" s="19" t="s">
        <v>18792</v>
      </c>
      <c r="C4894" s="20">
        <v>1.0</v>
      </c>
      <c r="D4894" s="39" t="s">
        <v>19561</v>
      </c>
      <c r="E4894" s="27" t="s">
        <v>3395</v>
      </c>
      <c r="F4894" s="27" t="s">
        <v>48</v>
      </c>
      <c r="G4894" s="18" t="s">
        <v>35</v>
      </c>
      <c r="H4894" s="40" t="s">
        <v>35</v>
      </c>
      <c r="I4894" s="37" t="s">
        <v>36</v>
      </c>
      <c r="J4894" s="34" t="s">
        <v>540</v>
      </c>
      <c r="K4894" s="26" t="s">
        <v>38</v>
      </c>
      <c r="L4894" s="25">
        <v>13969.0</v>
      </c>
      <c r="M4894" s="49" t="s">
        <v>50</v>
      </c>
      <c r="N4894" s="42" t="s">
        <v>18795</v>
      </c>
      <c r="O4894" s="67">
        <v>45926.63449858796</v>
      </c>
      <c r="P4894" s="35" t="s">
        <v>19553</v>
      </c>
      <c r="Q4894" s="13" t="s">
        <v>75</v>
      </c>
      <c r="R4894" s="13" t="s">
        <v>75</v>
      </c>
      <c r="S4894" s="13" t="s">
        <v>73</v>
      </c>
      <c r="T4894" s="44">
        <v>45924.63926167824</v>
      </c>
      <c r="U4894" s="44">
        <v>45924.63943289352</v>
      </c>
      <c r="V4894" s="44">
        <v>45925.45726319445</v>
      </c>
      <c r="W4894" s="11"/>
      <c r="X4894" s="11"/>
      <c r="Y4894" s="45">
        <v>302.0</v>
      </c>
      <c r="Z4894" s="45" t="s">
        <v>19562</v>
      </c>
      <c r="AA4894" s="31"/>
      <c r="AB4894" s="45" t="s">
        <v>19563</v>
      </c>
      <c r="AC4894" s="45"/>
    </row>
    <row r="4895" ht="18.75" customHeight="1">
      <c r="A4895" s="18" t="s">
        <v>19564</v>
      </c>
      <c r="B4895" s="19" t="s">
        <v>18792</v>
      </c>
      <c r="C4895" s="20">
        <v>1.0</v>
      </c>
      <c r="D4895" s="39" t="s">
        <v>19565</v>
      </c>
      <c r="E4895" s="27" t="s">
        <v>3395</v>
      </c>
      <c r="F4895" s="27" t="s">
        <v>48</v>
      </c>
      <c r="G4895" s="18" t="s">
        <v>35</v>
      </c>
      <c r="H4895" s="40" t="s">
        <v>35</v>
      </c>
      <c r="I4895" s="37" t="s">
        <v>36</v>
      </c>
      <c r="J4895" s="34" t="s">
        <v>540</v>
      </c>
      <c r="K4895" s="26" t="s">
        <v>38</v>
      </c>
      <c r="L4895" s="25">
        <v>13969.0</v>
      </c>
      <c r="M4895" s="49" t="s">
        <v>50</v>
      </c>
      <c r="N4895" s="42" t="s">
        <v>18795</v>
      </c>
      <c r="O4895" s="67">
        <v>45926.63443684028</v>
      </c>
      <c r="P4895" s="35" t="s">
        <v>19553</v>
      </c>
      <c r="Q4895" s="13" t="s">
        <v>75</v>
      </c>
      <c r="R4895" s="13" t="s">
        <v>75</v>
      </c>
      <c r="S4895" s="13" t="s">
        <v>73</v>
      </c>
      <c r="T4895" s="44">
        <v>45924.6393980787</v>
      </c>
      <c r="U4895" s="44">
        <v>45924.63941596065</v>
      </c>
      <c r="V4895" s="44">
        <v>45925.46304173611</v>
      </c>
      <c r="W4895" s="11"/>
      <c r="X4895" s="11"/>
      <c r="Y4895" s="45">
        <v>302.0</v>
      </c>
      <c r="Z4895" s="45" t="s">
        <v>19566</v>
      </c>
      <c r="AA4895" s="31"/>
      <c r="AB4895" s="45" t="s">
        <v>19567</v>
      </c>
      <c r="AC4895" s="45"/>
    </row>
    <row r="4896" ht="18.75" customHeight="1">
      <c r="A4896" s="18" t="s">
        <v>19568</v>
      </c>
      <c r="B4896" s="19" t="s">
        <v>18792</v>
      </c>
      <c r="C4896" s="20">
        <v>0.0</v>
      </c>
      <c r="D4896" s="39" t="s">
        <v>19569</v>
      </c>
      <c r="E4896" s="27" t="s">
        <v>3441</v>
      </c>
      <c r="F4896" s="27" t="s">
        <v>48</v>
      </c>
      <c r="G4896" s="18" t="s">
        <v>35</v>
      </c>
      <c r="H4896" s="40" t="s">
        <v>35</v>
      </c>
      <c r="I4896" s="37" t="s">
        <v>36</v>
      </c>
      <c r="J4896" s="25" t="s">
        <v>540</v>
      </c>
      <c r="K4896" s="26" t="s">
        <v>38</v>
      </c>
      <c r="L4896" s="72">
        <v>13786.0</v>
      </c>
      <c r="M4896" s="49" t="s">
        <v>50</v>
      </c>
      <c r="N4896" s="42" t="s">
        <v>19570</v>
      </c>
      <c r="O4896" s="67">
        <v>45908.58727386574</v>
      </c>
      <c r="P4896" s="35" t="s">
        <v>19571</v>
      </c>
      <c r="Q4896" s="13" t="s">
        <v>75</v>
      </c>
      <c r="R4896" s="13" t="s">
        <v>75</v>
      </c>
      <c r="S4896" s="13" t="s">
        <v>73</v>
      </c>
      <c r="T4896" s="44">
        <v>45894.348539467595</v>
      </c>
      <c r="U4896" s="44">
        <v>45903.628361400464</v>
      </c>
      <c r="V4896" s="44">
        <v>45904.40286952547</v>
      </c>
      <c r="W4896" s="11"/>
      <c r="X4896" s="11"/>
      <c r="Y4896" s="45">
        <v>302.0</v>
      </c>
      <c r="Z4896" s="45" t="s">
        <v>19572</v>
      </c>
      <c r="AA4896" s="31"/>
      <c r="AB4896" s="45" t="s">
        <v>19573</v>
      </c>
      <c r="AC4896" s="45"/>
    </row>
    <row r="4897" ht="18.75" customHeight="1">
      <c r="A4897" s="18" t="s">
        <v>19574</v>
      </c>
      <c r="B4897" s="19" t="s">
        <v>18792</v>
      </c>
      <c r="C4897" s="20">
        <v>0.0</v>
      </c>
      <c r="D4897" s="39" t="s">
        <v>19575</v>
      </c>
      <c r="E4897" s="27" t="s">
        <v>3441</v>
      </c>
      <c r="F4897" s="27" t="s">
        <v>48</v>
      </c>
      <c r="G4897" s="18" t="s">
        <v>35</v>
      </c>
      <c r="H4897" s="40" t="s">
        <v>35</v>
      </c>
      <c r="I4897" s="37" t="s">
        <v>36</v>
      </c>
      <c r="J4897" s="25" t="s">
        <v>540</v>
      </c>
      <c r="K4897" s="26" t="s">
        <v>38</v>
      </c>
      <c r="L4897" s="72">
        <v>13786.0</v>
      </c>
      <c r="M4897" s="49" t="s">
        <v>50</v>
      </c>
      <c r="N4897" s="42" t="s">
        <v>19570</v>
      </c>
      <c r="O4897" s="67">
        <v>45908.58720297454</v>
      </c>
      <c r="P4897" s="35" t="s">
        <v>19571</v>
      </c>
      <c r="Q4897" s="13" t="s">
        <v>75</v>
      </c>
      <c r="R4897" s="13" t="s">
        <v>75</v>
      </c>
      <c r="S4897" s="13" t="s">
        <v>73</v>
      </c>
      <c r="T4897" s="44">
        <v>45894.34863605324</v>
      </c>
      <c r="U4897" s="44">
        <v>45903.62839236111</v>
      </c>
      <c r="V4897" s="44">
        <v>45904.402969166666</v>
      </c>
      <c r="W4897" s="11"/>
      <c r="X4897" s="11"/>
      <c r="Y4897" s="45">
        <v>302.0</v>
      </c>
      <c r="Z4897" s="45" t="s">
        <v>19576</v>
      </c>
      <c r="AA4897" s="31"/>
      <c r="AB4897" s="45" t="s">
        <v>19577</v>
      </c>
      <c r="AC4897" s="45"/>
    </row>
    <row r="4898" ht="18.75" customHeight="1">
      <c r="A4898" s="142" t="s">
        <v>19578</v>
      </c>
      <c r="B4898" s="19" t="s">
        <v>96</v>
      </c>
      <c r="C4898" s="20">
        <v>0.0</v>
      </c>
      <c r="D4898" s="39"/>
      <c r="E4898" s="27" t="s">
        <v>268</v>
      </c>
      <c r="F4898" s="27" t="s">
        <v>33</v>
      </c>
      <c r="G4898" s="18" t="s">
        <v>34</v>
      </c>
      <c r="H4898" s="40" t="s">
        <v>35</v>
      </c>
      <c r="I4898" s="37" t="s">
        <v>984</v>
      </c>
      <c r="J4898" s="25" t="s">
        <v>49</v>
      </c>
      <c r="K4898" s="26" t="s">
        <v>38</v>
      </c>
      <c r="L4898" s="25"/>
      <c r="M4898" s="49"/>
      <c r="N4898" s="42"/>
      <c r="O4898" s="68"/>
      <c r="P4898" s="35" t="s">
        <v>19579</v>
      </c>
      <c r="Q4898" s="13" t="s">
        <v>75</v>
      </c>
      <c r="R4898" s="13" t="s">
        <v>75</v>
      </c>
      <c r="S4898" s="13"/>
      <c r="T4898" s="44">
        <v>45891.66324011574</v>
      </c>
      <c r="U4898" s="44">
        <v>45891.664855509254</v>
      </c>
      <c r="V4898" s="13"/>
      <c r="W4898" s="11"/>
      <c r="X4898" s="148">
        <v>45905.0</v>
      </c>
      <c r="Y4898" s="45"/>
      <c r="Z4898" s="45"/>
      <c r="AA4898" s="31"/>
      <c r="AB4898" s="45" t="s">
        <v>19580</v>
      </c>
      <c r="AC4898" s="45"/>
    </row>
    <row r="4899" ht="18.75" customHeight="1">
      <c r="A4899" s="18" t="s">
        <v>19581</v>
      </c>
      <c r="B4899" s="19" t="s">
        <v>96</v>
      </c>
      <c r="C4899" s="20">
        <v>0.0</v>
      </c>
      <c r="D4899" s="39"/>
      <c r="E4899" s="27" t="s">
        <v>268</v>
      </c>
      <c r="F4899" s="27" t="s">
        <v>33</v>
      </c>
      <c r="G4899" s="18" t="s">
        <v>34</v>
      </c>
      <c r="H4899" s="40" t="s">
        <v>35</v>
      </c>
      <c r="I4899" s="37" t="s">
        <v>984</v>
      </c>
      <c r="J4899" s="25" t="s">
        <v>49</v>
      </c>
      <c r="K4899" s="26" t="s">
        <v>38</v>
      </c>
      <c r="L4899" s="25"/>
      <c r="M4899" s="49"/>
      <c r="N4899" s="42"/>
      <c r="O4899" s="68"/>
      <c r="P4899" s="35" t="s">
        <v>19582</v>
      </c>
      <c r="Q4899" s="13" t="s">
        <v>75</v>
      </c>
      <c r="R4899" s="13" t="s">
        <v>75</v>
      </c>
      <c r="S4899" s="13"/>
      <c r="T4899" s="44">
        <v>45891.60837886574</v>
      </c>
      <c r="U4899" s="44">
        <v>45891.66832729167</v>
      </c>
      <c r="V4899" s="13"/>
      <c r="W4899" s="11"/>
      <c r="X4899" s="148">
        <v>45905.0</v>
      </c>
      <c r="Y4899" s="45"/>
      <c r="Z4899" s="45"/>
      <c r="AA4899" s="31"/>
      <c r="AB4899" s="45" t="s">
        <v>19583</v>
      </c>
      <c r="AC4899" s="45"/>
    </row>
    <row r="4900" ht="18.75" customHeight="1">
      <c r="A4900" s="18" t="s">
        <v>19584</v>
      </c>
      <c r="B4900" s="19" t="s">
        <v>96</v>
      </c>
      <c r="C4900" s="20">
        <v>2.0</v>
      </c>
      <c r="D4900" s="39"/>
      <c r="E4900" s="27" t="s">
        <v>14519</v>
      </c>
      <c r="F4900" s="27" t="s">
        <v>48</v>
      </c>
      <c r="G4900" s="18" t="s">
        <v>35</v>
      </c>
      <c r="H4900" s="40" t="s">
        <v>35</v>
      </c>
      <c r="I4900" s="37" t="s">
        <v>984</v>
      </c>
      <c r="J4900" s="25" t="s">
        <v>49</v>
      </c>
      <c r="K4900" s="26" t="s">
        <v>38</v>
      </c>
      <c r="L4900" s="25"/>
      <c r="M4900" s="49"/>
      <c r="N4900" s="42"/>
      <c r="O4900" s="68"/>
      <c r="P4900" s="35" t="s">
        <v>19582</v>
      </c>
      <c r="Q4900" s="13" t="s">
        <v>75</v>
      </c>
      <c r="R4900" s="13" t="s">
        <v>75</v>
      </c>
      <c r="S4900" s="13" t="s">
        <v>75</v>
      </c>
      <c r="T4900" s="44">
        <v>45891.608703101854</v>
      </c>
      <c r="U4900" s="44">
        <v>45891.66844298611</v>
      </c>
      <c r="V4900" s="13"/>
      <c r="W4900" s="11"/>
      <c r="X4900" s="148">
        <v>45905.0</v>
      </c>
      <c r="Y4900" s="45"/>
      <c r="Z4900" s="45"/>
      <c r="AA4900" s="31"/>
      <c r="AB4900" s="45" t="s">
        <v>19585</v>
      </c>
      <c r="AC4900" s="45"/>
    </row>
    <row r="4901" ht="18.75" customHeight="1">
      <c r="A4901" s="18" t="s">
        <v>19586</v>
      </c>
      <c r="B4901" s="19" t="s">
        <v>4885</v>
      </c>
      <c r="C4901" s="20">
        <v>33.0</v>
      </c>
      <c r="D4901" s="39" t="s">
        <v>19587</v>
      </c>
      <c r="E4901" s="27" t="s">
        <v>6133</v>
      </c>
      <c r="F4901" s="27" t="s">
        <v>48</v>
      </c>
      <c r="G4901" s="18" t="s">
        <v>35</v>
      </c>
      <c r="H4901" s="40" t="s">
        <v>35</v>
      </c>
      <c r="I4901" s="37" t="s">
        <v>36</v>
      </c>
      <c r="J4901" s="25" t="s">
        <v>92</v>
      </c>
      <c r="K4901" s="26" t="s">
        <v>38</v>
      </c>
      <c r="L4901" s="72">
        <v>13685.0</v>
      </c>
      <c r="M4901" s="49" t="s">
        <v>73</v>
      </c>
      <c r="N4901" s="42" t="s">
        <v>13864</v>
      </c>
      <c r="O4901" s="67">
        <v>45895.40832665509</v>
      </c>
      <c r="P4901" s="35" t="s">
        <v>19588</v>
      </c>
      <c r="Q4901" s="13" t="s">
        <v>75</v>
      </c>
      <c r="R4901" s="13" t="s">
        <v>75</v>
      </c>
      <c r="S4901" s="13" t="s">
        <v>73</v>
      </c>
      <c r="T4901" s="44">
        <v>45891.702194722224</v>
      </c>
      <c r="U4901" s="44">
        <v>45894.34536152778</v>
      </c>
      <c r="V4901" s="44">
        <v>45894.602477152774</v>
      </c>
      <c r="W4901" s="11"/>
      <c r="X4901" s="11"/>
      <c r="Y4901" s="45">
        <v>302.0</v>
      </c>
      <c r="Z4901" s="45" t="s">
        <v>19589</v>
      </c>
      <c r="AA4901" s="31"/>
      <c r="AB4901" s="45" t="s">
        <v>19590</v>
      </c>
      <c r="AC4901" s="45"/>
    </row>
    <row r="4902" ht="18.75" customHeight="1">
      <c r="A4902" s="18" t="s">
        <v>19591</v>
      </c>
      <c r="B4902" s="19" t="s">
        <v>4885</v>
      </c>
      <c r="C4902" s="20">
        <v>0.0</v>
      </c>
      <c r="D4902" s="39" t="s">
        <v>19592</v>
      </c>
      <c r="E4902" s="27" t="s">
        <v>4430</v>
      </c>
      <c r="F4902" s="27" t="s">
        <v>48</v>
      </c>
      <c r="G4902" s="18" t="s">
        <v>35</v>
      </c>
      <c r="H4902" s="40" t="s">
        <v>35</v>
      </c>
      <c r="I4902" s="37" t="s">
        <v>36</v>
      </c>
      <c r="J4902" s="25" t="s">
        <v>92</v>
      </c>
      <c r="K4902" s="26" t="s">
        <v>38</v>
      </c>
      <c r="L4902" s="72">
        <v>13685.0</v>
      </c>
      <c r="M4902" s="49" t="s">
        <v>73</v>
      </c>
      <c r="N4902" s="42" t="s">
        <v>13864</v>
      </c>
      <c r="O4902" s="67">
        <v>45895.40836153935</v>
      </c>
      <c r="P4902" s="35" t="s">
        <v>19588</v>
      </c>
      <c r="Q4902" s="13" t="s">
        <v>75</v>
      </c>
      <c r="R4902" s="13" t="s">
        <v>75</v>
      </c>
      <c r="S4902" s="13" t="s">
        <v>73</v>
      </c>
      <c r="T4902" s="44">
        <v>45891.7023552662</v>
      </c>
      <c r="U4902" s="44">
        <v>45894.345405</v>
      </c>
      <c r="V4902" s="44">
        <v>45894.602477152774</v>
      </c>
      <c r="W4902" s="11"/>
      <c r="X4902" s="11"/>
      <c r="Y4902" s="45">
        <v>302.0</v>
      </c>
      <c r="Z4902" s="45" t="s">
        <v>19593</v>
      </c>
      <c r="AA4902" s="31"/>
      <c r="AB4902" s="45" t="s">
        <v>19594</v>
      </c>
      <c r="AC4902" s="45"/>
    </row>
    <row r="4903" ht="18.75" customHeight="1">
      <c r="A4903" s="18" t="s">
        <v>19595</v>
      </c>
      <c r="B4903" s="19" t="s">
        <v>4885</v>
      </c>
      <c r="C4903" s="20">
        <v>90.0</v>
      </c>
      <c r="D4903" s="39" t="s">
        <v>19596</v>
      </c>
      <c r="E4903" s="27" t="s">
        <v>91</v>
      </c>
      <c r="F4903" s="27" t="s">
        <v>48</v>
      </c>
      <c r="G4903" s="18" t="s">
        <v>35</v>
      </c>
      <c r="H4903" s="40" t="s">
        <v>35</v>
      </c>
      <c r="I4903" s="37" t="s">
        <v>36</v>
      </c>
      <c r="J4903" s="25" t="s">
        <v>92</v>
      </c>
      <c r="K4903" s="26" t="s">
        <v>38</v>
      </c>
      <c r="L4903" s="72">
        <v>13685.0</v>
      </c>
      <c r="M4903" s="49" t="s">
        <v>73</v>
      </c>
      <c r="N4903" s="42" t="s">
        <v>13864</v>
      </c>
      <c r="O4903" s="67">
        <v>45895.40839055556</v>
      </c>
      <c r="P4903" s="35" t="s">
        <v>19588</v>
      </c>
      <c r="Q4903" s="13" t="s">
        <v>75</v>
      </c>
      <c r="R4903" s="13" t="s">
        <v>75</v>
      </c>
      <c r="S4903" s="13" t="s">
        <v>73</v>
      </c>
      <c r="T4903" s="44">
        <v>45891.70248365741</v>
      </c>
      <c r="U4903" s="44">
        <v>45894.34546268519</v>
      </c>
      <c r="V4903" s="44">
        <v>45894.602477152774</v>
      </c>
      <c r="W4903" s="11"/>
      <c r="X4903" s="11"/>
      <c r="Y4903" s="45">
        <v>302.0</v>
      </c>
      <c r="Z4903" s="45" t="s">
        <v>19597</v>
      </c>
      <c r="AA4903" s="31"/>
      <c r="AB4903" s="45" t="s">
        <v>19598</v>
      </c>
      <c r="AC4903" s="45"/>
    </row>
    <row r="4904" ht="18.75" customHeight="1">
      <c r="A4904" s="18" t="s">
        <v>19599</v>
      </c>
      <c r="B4904" s="19" t="s">
        <v>4885</v>
      </c>
      <c r="C4904" s="20">
        <v>90.0</v>
      </c>
      <c r="D4904" s="39" t="s">
        <v>19600</v>
      </c>
      <c r="E4904" s="27" t="s">
        <v>91</v>
      </c>
      <c r="F4904" s="27" t="s">
        <v>48</v>
      </c>
      <c r="G4904" s="18" t="s">
        <v>35</v>
      </c>
      <c r="H4904" s="40" t="s">
        <v>35</v>
      </c>
      <c r="I4904" s="37" t="s">
        <v>36</v>
      </c>
      <c r="J4904" s="25" t="s">
        <v>92</v>
      </c>
      <c r="K4904" s="26" t="s">
        <v>38</v>
      </c>
      <c r="L4904" s="72">
        <v>13685.0</v>
      </c>
      <c r="M4904" s="49" t="s">
        <v>73</v>
      </c>
      <c r="N4904" s="42" t="s">
        <v>13864</v>
      </c>
      <c r="O4904" s="67">
        <v>45895.408453564814</v>
      </c>
      <c r="P4904" s="35" t="s">
        <v>19588</v>
      </c>
      <c r="Q4904" s="13" t="s">
        <v>75</v>
      </c>
      <c r="R4904" s="13" t="s">
        <v>75</v>
      </c>
      <c r="S4904" s="13" t="s">
        <v>73</v>
      </c>
      <c r="T4904" s="44">
        <v>45891.70258141204</v>
      </c>
      <c r="U4904" s="44">
        <v>45894.34530966435</v>
      </c>
      <c r="V4904" s="44">
        <v>45894.602477141205</v>
      </c>
      <c r="W4904" s="11"/>
      <c r="X4904" s="11"/>
      <c r="Y4904" s="45">
        <v>302.0</v>
      </c>
      <c r="Z4904" s="45" t="s">
        <v>19601</v>
      </c>
      <c r="AA4904" s="31"/>
      <c r="AB4904" s="45" t="s">
        <v>19602</v>
      </c>
      <c r="AC4904" s="45"/>
    </row>
    <row r="4905" ht="18.75" customHeight="1">
      <c r="A4905" s="18" t="s">
        <v>19603</v>
      </c>
      <c r="B4905" s="19" t="s">
        <v>4885</v>
      </c>
      <c r="C4905" s="20">
        <v>90.0</v>
      </c>
      <c r="D4905" s="39" t="s">
        <v>19604</v>
      </c>
      <c r="E4905" s="27" t="s">
        <v>91</v>
      </c>
      <c r="F4905" s="27" t="s">
        <v>48</v>
      </c>
      <c r="G4905" s="18" t="s">
        <v>35</v>
      </c>
      <c r="H4905" s="40" t="s">
        <v>35</v>
      </c>
      <c r="I4905" s="37" t="s">
        <v>36</v>
      </c>
      <c r="J4905" s="25" t="s">
        <v>92</v>
      </c>
      <c r="K4905" s="26" t="s">
        <v>38</v>
      </c>
      <c r="L4905" s="72">
        <v>13685.0</v>
      </c>
      <c r="M4905" s="49" t="s">
        <v>73</v>
      </c>
      <c r="N4905" s="42" t="s">
        <v>13864</v>
      </c>
      <c r="O4905" s="67">
        <v>45895.408423796296</v>
      </c>
      <c r="P4905" s="35" t="s">
        <v>19588</v>
      </c>
      <c r="Q4905" s="13" t="s">
        <v>75</v>
      </c>
      <c r="R4905" s="13" t="s">
        <v>75</v>
      </c>
      <c r="S4905" s="13" t="s">
        <v>73</v>
      </c>
      <c r="T4905" s="44">
        <v>45891.70263701389</v>
      </c>
      <c r="U4905" s="44">
        <v>45894.3455224537</v>
      </c>
      <c r="V4905" s="44">
        <v>45894.60259297454</v>
      </c>
      <c r="W4905" s="11"/>
      <c r="X4905" s="11"/>
      <c r="Y4905" s="45">
        <v>302.0</v>
      </c>
      <c r="Z4905" s="45" t="s">
        <v>19605</v>
      </c>
      <c r="AA4905" s="31"/>
      <c r="AB4905" s="45" t="s">
        <v>19606</v>
      </c>
      <c r="AC4905" s="45"/>
    </row>
    <row r="4906" ht="18.75" customHeight="1">
      <c r="A4906" s="18" t="s">
        <v>19607</v>
      </c>
      <c r="B4906" s="19" t="s">
        <v>19608</v>
      </c>
      <c r="C4906" s="20">
        <v>0.0</v>
      </c>
      <c r="D4906" s="39" t="s">
        <v>19609</v>
      </c>
      <c r="E4906" s="27" t="s">
        <v>3441</v>
      </c>
      <c r="F4906" s="27" t="s">
        <v>48</v>
      </c>
      <c r="G4906" s="18" t="s">
        <v>35</v>
      </c>
      <c r="H4906" s="40" t="s">
        <v>35</v>
      </c>
      <c r="I4906" s="37" t="s">
        <v>36</v>
      </c>
      <c r="J4906" s="25" t="s">
        <v>49</v>
      </c>
      <c r="K4906" s="26" t="s">
        <v>38</v>
      </c>
      <c r="L4906" s="72">
        <v>13686.0</v>
      </c>
      <c r="M4906" s="49" t="s">
        <v>50</v>
      </c>
      <c r="N4906" s="42" t="s">
        <v>17048</v>
      </c>
      <c r="O4906" s="67">
        <v>45895.57828947916</v>
      </c>
      <c r="P4906" s="35" t="s">
        <v>19610</v>
      </c>
      <c r="Q4906" s="13" t="s">
        <v>75</v>
      </c>
      <c r="R4906" s="13" t="s">
        <v>75</v>
      </c>
      <c r="S4906" s="13" t="s">
        <v>73</v>
      </c>
      <c r="T4906" s="44">
        <v>45891.70517487268</v>
      </c>
      <c r="U4906" s="44">
        <v>45894.39720212963</v>
      </c>
      <c r="V4906" s="44">
        <v>45894.62131528935</v>
      </c>
      <c r="W4906" s="11"/>
      <c r="X4906" s="11"/>
      <c r="Y4906" s="45">
        <v>302.0</v>
      </c>
      <c r="Z4906" s="45" t="s">
        <v>19611</v>
      </c>
      <c r="AA4906" s="31"/>
      <c r="AB4906" s="45" t="s">
        <v>19612</v>
      </c>
      <c r="AC4906" s="45"/>
    </row>
    <row r="4907" ht="18.75" customHeight="1">
      <c r="A4907" s="18" t="s">
        <v>19613</v>
      </c>
      <c r="B4907" s="19" t="s">
        <v>19608</v>
      </c>
      <c r="C4907" s="20">
        <v>0.0</v>
      </c>
      <c r="D4907" s="39" t="s">
        <v>19614</v>
      </c>
      <c r="E4907" s="27" t="s">
        <v>3441</v>
      </c>
      <c r="F4907" s="27" t="s">
        <v>48</v>
      </c>
      <c r="G4907" s="18" t="s">
        <v>35</v>
      </c>
      <c r="H4907" s="40" t="s">
        <v>35</v>
      </c>
      <c r="I4907" s="37" t="s">
        <v>36</v>
      </c>
      <c r="J4907" s="25" t="s">
        <v>49</v>
      </c>
      <c r="K4907" s="26" t="s">
        <v>38</v>
      </c>
      <c r="L4907" s="72">
        <v>13686.0</v>
      </c>
      <c r="M4907" s="49" t="s">
        <v>50</v>
      </c>
      <c r="N4907" s="42" t="s">
        <v>17048</v>
      </c>
      <c r="O4907" s="67">
        <v>45895.57824170139</v>
      </c>
      <c r="P4907" s="35" t="s">
        <v>19610</v>
      </c>
      <c r="Q4907" s="13" t="s">
        <v>75</v>
      </c>
      <c r="R4907" s="13" t="s">
        <v>75</v>
      </c>
      <c r="S4907" s="13" t="s">
        <v>73</v>
      </c>
      <c r="T4907" s="44">
        <v>45891.70523028936</v>
      </c>
      <c r="U4907" s="44">
        <v>45894.397255625</v>
      </c>
      <c r="V4907" s="44">
        <v>45894.621430486106</v>
      </c>
      <c r="W4907" s="11"/>
      <c r="X4907" s="11"/>
      <c r="Y4907" s="45">
        <v>302.0</v>
      </c>
      <c r="Z4907" s="45" t="s">
        <v>19615</v>
      </c>
      <c r="AA4907" s="31"/>
      <c r="AB4907" s="45" t="s">
        <v>19616</v>
      </c>
      <c r="AC4907" s="45"/>
    </row>
    <row r="4908" ht="18.75" customHeight="1">
      <c r="A4908" s="142" t="s">
        <v>19617</v>
      </c>
      <c r="B4908" s="19" t="s">
        <v>4215</v>
      </c>
      <c r="C4908" s="20">
        <v>0.0</v>
      </c>
      <c r="D4908" s="179">
        <v>20267.0</v>
      </c>
      <c r="E4908" s="27" t="s">
        <v>1119</v>
      </c>
      <c r="F4908" s="27" t="s">
        <v>33</v>
      </c>
      <c r="G4908" s="18" t="s">
        <v>34</v>
      </c>
      <c r="H4908" s="40" t="s">
        <v>35</v>
      </c>
      <c r="I4908" s="37" t="s">
        <v>36</v>
      </c>
      <c r="J4908" s="25" t="s">
        <v>420</v>
      </c>
      <c r="K4908" s="26" t="s">
        <v>38</v>
      </c>
      <c r="L4908" s="72">
        <v>13728.0</v>
      </c>
      <c r="M4908" s="49" t="s">
        <v>50</v>
      </c>
      <c r="N4908" s="42" t="s">
        <v>14288</v>
      </c>
      <c r="O4908" s="67">
        <v>45898.65706229166</v>
      </c>
      <c r="P4908" s="35" t="s">
        <v>19618</v>
      </c>
      <c r="Q4908" s="13" t="s">
        <v>75</v>
      </c>
      <c r="R4908" s="13" t="s">
        <v>75</v>
      </c>
      <c r="S4908" s="13" t="s">
        <v>9620</v>
      </c>
      <c r="T4908" s="44">
        <v>45891.710398993055</v>
      </c>
      <c r="U4908" s="44">
        <v>45891.78888449074</v>
      </c>
      <c r="V4908" s="44">
        <v>45896.699842974536</v>
      </c>
      <c r="W4908" s="11"/>
      <c r="X4908" s="11"/>
      <c r="Y4908" s="45">
        <v>302.0</v>
      </c>
      <c r="Z4908" s="45" t="s">
        <v>19619</v>
      </c>
      <c r="AA4908" s="31"/>
      <c r="AB4908" s="45" t="s">
        <v>19620</v>
      </c>
      <c r="AC4908" s="45"/>
    </row>
    <row r="4909" ht="18.75" customHeight="1">
      <c r="A4909" s="142" t="s">
        <v>19621</v>
      </c>
      <c r="B4909" s="19" t="s">
        <v>11507</v>
      </c>
      <c r="C4909" s="20">
        <v>0.0</v>
      </c>
      <c r="D4909" s="39" t="s">
        <v>19622</v>
      </c>
      <c r="E4909" s="27" t="s">
        <v>3441</v>
      </c>
      <c r="F4909" s="27" t="s">
        <v>48</v>
      </c>
      <c r="G4909" s="18" t="s">
        <v>35</v>
      </c>
      <c r="H4909" s="40" t="s">
        <v>35</v>
      </c>
      <c r="I4909" s="37" t="s">
        <v>36</v>
      </c>
      <c r="J4909" s="25" t="s">
        <v>49</v>
      </c>
      <c r="K4909" s="26" t="s">
        <v>38</v>
      </c>
      <c r="L4909" s="72">
        <v>13699.0</v>
      </c>
      <c r="M4909" s="49" t="s">
        <v>50</v>
      </c>
      <c r="N4909" s="42" t="s">
        <v>17048</v>
      </c>
      <c r="O4909" s="67">
        <v>45895.57819083333</v>
      </c>
      <c r="P4909" s="35" t="s">
        <v>19623</v>
      </c>
      <c r="Q4909" s="13" t="s">
        <v>75</v>
      </c>
      <c r="R4909" s="13" t="s">
        <v>75</v>
      </c>
      <c r="S4909" s="13" t="s">
        <v>73</v>
      </c>
      <c r="T4909" s="44">
        <v>45891.711861944445</v>
      </c>
      <c r="U4909" s="44">
        <v>45891.78775138889</v>
      </c>
      <c r="V4909" s="44">
        <v>45895.40933596065</v>
      </c>
      <c r="W4909" s="11"/>
      <c r="X4909" s="11"/>
      <c r="Y4909" s="45">
        <v>302.0</v>
      </c>
      <c r="Z4909" s="45" t="s">
        <v>19624</v>
      </c>
      <c r="AA4909" s="31"/>
      <c r="AB4909" s="45" t="s">
        <v>19625</v>
      </c>
      <c r="AC4909" s="45"/>
    </row>
    <row r="4910" ht="18.75" customHeight="1">
      <c r="A4910" s="18" t="s">
        <v>19626</v>
      </c>
      <c r="B4910" s="19" t="s">
        <v>16578</v>
      </c>
      <c r="C4910" s="20">
        <v>0.0</v>
      </c>
      <c r="D4910" s="39" t="s">
        <v>19627</v>
      </c>
      <c r="E4910" s="27" t="s">
        <v>3441</v>
      </c>
      <c r="F4910" s="27" t="s">
        <v>48</v>
      </c>
      <c r="G4910" s="18" t="s">
        <v>35</v>
      </c>
      <c r="H4910" s="40" t="s">
        <v>35</v>
      </c>
      <c r="I4910" s="37" t="s">
        <v>36</v>
      </c>
      <c r="J4910" s="25" t="s">
        <v>65</v>
      </c>
      <c r="K4910" s="26" t="s">
        <v>38</v>
      </c>
      <c r="L4910" s="72">
        <v>13689.0</v>
      </c>
      <c r="M4910" s="49" t="s">
        <v>50</v>
      </c>
      <c r="N4910" s="42" t="s">
        <v>16408</v>
      </c>
      <c r="O4910" s="67">
        <v>45895.65544585648</v>
      </c>
      <c r="P4910" s="35" t="s">
        <v>14372</v>
      </c>
      <c r="Q4910" s="13" t="s">
        <v>75</v>
      </c>
      <c r="R4910" s="13" t="s">
        <v>75</v>
      </c>
      <c r="S4910" s="13" t="s">
        <v>73</v>
      </c>
      <c r="T4910" s="44">
        <v>45891.713127152776</v>
      </c>
      <c r="U4910" s="44">
        <v>45894.575609444444</v>
      </c>
      <c r="V4910" s="44">
        <v>45895.41847747685</v>
      </c>
      <c r="W4910" s="11"/>
      <c r="X4910" s="11"/>
      <c r="Y4910" s="45">
        <v>302.0</v>
      </c>
      <c r="Z4910" s="45" t="s">
        <v>19628</v>
      </c>
      <c r="AA4910" s="31"/>
      <c r="AB4910" s="45" t="s">
        <v>19629</v>
      </c>
      <c r="AC4910" s="45"/>
    </row>
    <row r="4911" ht="18.75" customHeight="1">
      <c r="A4911" s="18" t="s">
        <v>19630</v>
      </c>
      <c r="B4911" s="19" t="s">
        <v>16578</v>
      </c>
      <c r="C4911" s="20">
        <v>27.0</v>
      </c>
      <c r="D4911" s="39" t="s">
        <v>19631</v>
      </c>
      <c r="E4911" s="27" t="s">
        <v>72</v>
      </c>
      <c r="F4911" s="27" t="s">
        <v>48</v>
      </c>
      <c r="G4911" s="18" t="s">
        <v>35</v>
      </c>
      <c r="H4911" s="40" t="s">
        <v>35</v>
      </c>
      <c r="I4911" s="37" t="s">
        <v>36</v>
      </c>
      <c r="J4911" s="25" t="s">
        <v>65</v>
      </c>
      <c r="K4911" s="26" t="s">
        <v>38</v>
      </c>
      <c r="L4911" s="72">
        <v>13689.0</v>
      </c>
      <c r="M4911" s="49" t="s">
        <v>50</v>
      </c>
      <c r="N4911" s="42" t="s">
        <v>16408</v>
      </c>
      <c r="O4911" s="67">
        <v>45895.655401701384</v>
      </c>
      <c r="P4911" s="35" t="s">
        <v>14372</v>
      </c>
      <c r="Q4911" s="13" t="s">
        <v>75</v>
      </c>
      <c r="R4911" s="13" t="s">
        <v>75</v>
      </c>
      <c r="S4911" s="13" t="s">
        <v>73</v>
      </c>
      <c r="T4911" s="44">
        <v>45891.71324841435</v>
      </c>
      <c r="U4911" s="44">
        <v>45894.57565119213</v>
      </c>
      <c r="V4911" s="44">
        <v>45895.42122371528</v>
      </c>
      <c r="W4911" s="11"/>
      <c r="X4911" s="11"/>
      <c r="Y4911" s="45">
        <v>302.0</v>
      </c>
      <c r="Z4911" s="45" t="s">
        <v>19632</v>
      </c>
      <c r="AA4911" s="31"/>
      <c r="AB4911" s="45" t="s">
        <v>19633</v>
      </c>
      <c r="AC4911" s="45"/>
    </row>
    <row r="4912" ht="18.75" customHeight="1">
      <c r="A4912" s="18" t="s">
        <v>19634</v>
      </c>
      <c r="B4912" s="19" t="s">
        <v>3762</v>
      </c>
      <c r="C4912" s="20">
        <v>34.0</v>
      </c>
      <c r="D4912" s="39" t="s">
        <v>19635</v>
      </c>
      <c r="E4912" s="27" t="s">
        <v>47</v>
      </c>
      <c r="F4912" s="27" t="s">
        <v>48</v>
      </c>
      <c r="G4912" s="18" t="s">
        <v>35</v>
      </c>
      <c r="H4912" s="40" t="s">
        <v>35</v>
      </c>
      <c r="I4912" s="37" t="s">
        <v>36</v>
      </c>
      <c r="J4912" s="25" t="s">
        <v>65</v>
      </c>
      <c r="K4912" s="26" t="s">
        <v>38</v>
      </c>
      <c r="L4912" s="72">
        <v>13690.0</v>
      </c>
      <c r="M4912" s="49" t="s">
        <v>50</v>
      </c>
      <c r="N4912" s="42" t="s">
        <v>16408</v>
      </c>
      <c r="O4912" s="67">
        <v>45895.65522538194</v>
      </c>
      <c r="P4912" s="35" t="s">
        <v>18597</v>
      </c>
      <c r="Q4912" s="13" t="s">
        <v>75</v>
      </c>
      <c r="R4912" s="13" t="s">
        <v>75</v>
      </c>
      <c r="S4912" s="13" t="s">
        <v>73</v>
      </c>
      <c r="T4912" s="44">
        <v>45891.71452940972</v>
      </c>
      <c r="U4912" s="44">
        <v>45895.408540439814</v>
      </c>
      <c r="V4912" s="44">
        <v>45895.42375743056</v>
      </c>
      <c r="W4912" s="11"/>
      <c r="X4912" s="11"/>
      <c r="Y4912" s="45">
        <v>302.0</v>
      </c>
      <c r="Z4912" s="45" t="s">
        <v>19636</v>
      </c>
      <c r="AA4912" s="31"/>
      <c r="AB4912" s="45" t="s">
        <v>19637</v>
      </c>
      <c r="AC4912" s="45"/>
    </row>
    <row r="4913" ht="18.75" customHeight="1">
      <c r="A4913" s="18" t="s">
        <v>19638</v>
      </c>
      <c r="B4913" s="19" t="s">
        <v>3762</v>
      </c>
      <c r="C4913" s="20">
        <v>11.0</v>
      </c>
      <c r="D4913" s="39" t="s">
        <v>19639</v>
      </c>
      <c r="E4913" s="27" t="s">
        <v>112</v>
      </c>
      <c r="F4913" s="27" t="s">
        <v>48</v>
      </c>
      <c r="G4913" s="18" t="s">
        <v>35</v>
      </c>
      <c r="H4913" s="40" t="s">
        <v>35</v>
      </c>
      <c r="I4913" s="37" t="s">
        <v>36</v>
      </c>
      <c r="J4913" s="25" t="s">
        <v>65</v>
      </c>
      <c r="K4913" s="26" t="s">
        <v>38</v>
      </c>
      <c r="L4913" s="72">
        <v>13690.0</v>
      </c>
      <c r="M4913" s="49" t="s">
        <v>50</v>
      </c>
      <c r="N4913" s="42" t="s">
        <v>16408</v>
      </c>
      <c r="O4913" s="67">
        <v>45895.65534324074</v>
      </c>
      <c r="P4913" s="35" t="s">
        <v>18597</v>
      </c>
      <c r="Q4913" s="13" t="s">
        <v>75</v>
      </c>
      <c r="R4913" s="13" t="s">
        <v>75</v>
      </c>
      <c r="S4913" s="13" t="s">
        <v>73</v>
      </c>
      <c r="T4913" s="44">
        <v>45891.71467408565</v>
      </c>
      <c r="U4913" s="44">
        <v>45895.40850803241</v>
      </c>
      <c r="V4913" s="44">
        <v>45895.42380607639</v>
      </c>
      <c r="W4913" s="11"/>
      <c r="X4913" s="11"/>
      <c r="Y4913" s="45">
        <v>302.0</v>
      </c>
      <c r="Z4913" s="45" t="s">
        <v>19640</v>
      </c>
      <c r="AA4913" s="31"/>
      <c r="AB4913" s="45" t="s">
        <v>19641</v>
      </c>
      <c r="AC4913" s="45"/>
    </row>
    <row r="4914" ht="18.75" customHeight="1">
      <c r="A4914" s="142" t="s">
        <v>19642</v>
      </c>
      <c r="B4914" s="19" t="s">
        <v>19643</v>
      </c>
      <c r="C4914" s="20">
        <v>0.0</v>
      </c>
      <c r="D4914" s="179">
        <v>20258.0</v>
      </c>
      <c r="E4914" s="27" t="s">
        <v>2288</v>
      </c>
      <c r="F4914" s="27" t="s">
        <v>33</v>
      </c>
      <c r="G4914" s="18" t="s">
        <v>35</v>
      </c>
      <c r="H4914" s="40" t="s">
        <v>35</v>
      </c>
      <c r="I4914" s="37" t="s">
        <v>36</v>
      </c>
      <c r="J4914" s="25" t="s">
        <v>65</v>
      </c>
      <c r="K4914" s="26" t="s">
        <v>38</v>
      </c>
      <c r="L4914" s="72">
        <v>13779.0</v>
      </c>
      <c r="M4914" s="49" t="s">
        <v>50</v>
      </c>
      <c r="N4914" s="42" t="s">
        <v>7561</v>
      </c>
      <c r="O4914" s="67">
        <v>45903.4938514699</v>
      </c>
      <c r="P4914" s="35" t="s">
        <v>19644</v>
      </c>
      <c r="Q4914" s="13" t="s">
        <v>75</v>
      </c>
      <c r="R4914" s="13" t="s">
        <v>75</v>
      </c>
      <c r="S4914" s="13" t="s">
        <v>9620</v>
      </c>
      <c r="T4914" s="44">
        <v>45891.76871908565</v>
      </c>
      <c r="U4914" s="44">
        <v>45895.41283832176</v>
      </c>
      <c r="V4914" s="44">
        <v>45895.594929074075</v>
      </c>
      <c r="W4914" s="11"/>
      <c r="X4914" s="11"/>
      <c r="Y4914" s="45">
        <v>302.0</v>
      </c>
      <c r="Z4914" s="45" t="s">
        <v>19645</v>
      </c>
      <c r="AA4914" s="31"/>
      <c r="AB4914" s="45" t="s">
        <v>19646</v>
      </c>
      <c r="AC4914" s="45"/>
    </row>
    <row r="4915" ht="18.75" customHeight="1">
      <c r="A4915" s="142" t="s">
        <v>19647</v>
      </c>
      <c r="B4915" s="19" t="s">
        <v>8459</v>
      </c>
      <c r="C4915" s="20">
        <v>27.0</v>
      </c>
      <c r="D4915" s="39" t="s">
        <v>19648</v>
      </c>
      <c r="E4915" s="27" t="s">
        <v>72</v>
      </c>
      <c r="F4915" s="27" t="s">
        <v>48</v>
      </c>
      <c r="G4915" s="18" t="s">
        <v>35</v>
      </c>
      <c r="H4915" s="40" t="s">
        <v>35</v>
      </c>
      <c r="I4915" s="37" t="s">
        <v>36</v>
      </c>
      <c r="J4915" s="25" t="s">
        <v>49</v>
      </c>
      <c r="K4915" s="26" t="s">
        <v>1506</v>
      </c>
      <c r="L4915" s="72">
        <v>13700.0</v>
      </c>
      <c r="M4915" s="49" t="s">
        <v>50</v>
      </c>
      <c r="N4915" s="42" t="s">
        <v>17048</v>
      </c>
      <c r="O4915" s="67">
        <v>45895.5781412037</v>
      </c>
      <c r="P4915" s="35" t="s">
        <v>19649</v>
      </c>
      <c r="Q4915" s="13" t="s">
        <v>75</v>
      </c>
      <c r="R4915" s="13" t="s">
        <v>75</v>
      </c>
      <c r="S4915" s="13" t="s">
        <v>73</v>
      </c>
      <c r="T4915" s="44">
        <v>45894.572571111115</v>
      </c>
      <c r="U4915" s="44">
        <v>45894.572689849534</v>
      </c>
      <c r="V4915" s="44">
        <v>45895.415348738425</v>
      </c>
      <c r="W4915" s="11"/>
      <c r="X4915" s="11"/>
      <c r="Y4915" s="45">
        <v>302.0</v>
      </c>
      <c r="Z4915" s="45" t="s">
        <v>19650</v>
      </c>
      <c r="AA4915" s="31"/>
      <c r="AB4915" s="45" t="s">
        <v>19651</v>
      </c>
      <c r="AC4915" s="45"/>
    </row>
    <row r="4916" ht="18.75" customHeight="1">
      <c r="A4916" s="142" t="s">
        <v>19652</v>
      </c>
      <c r="B4916" s="19" t="s">
        <v>8459</v>
      </c>
      <c r="C4916" s="20">
        <v>90.0</v>
      </c>
      <c r="D4916" s="39" t="s">
        <v>19653</v>
      </c>
      <c r="E4916" s="27" t="s">
        <v>91</v>
      </c>
      <c r="F4916" s="27" t="s">
        <v>48</v>
      </c>
      <c r="G4916" s="18" t="s">
        <v>35</v>
      </c>
      <c r="H4916" s="40" t="s">
        <v>35</v>
      </c>
      <c r="I4916" s="37" t="s">
        <v>36</v>
      </c>
      <c r="J4916" s="25" t="s">
        <v>49</v>
      </c>
      <c r="K4916" s="26" t="s">
        <v>1506</v>
      </c>
      <c r="L4916" s="72">
        <v>13684.0</v>
      </c>
      <c r="M4916" s="49" t="s">
        <v>50</v>
      </c>
      <c r="N4916" s="42" t="s">
        <v>17048</v>
      </c>
      <c r="O4916" s="67">
        <v>45895.57808230324</v>
      </c>
      <c r="P4916" s="35" t="s">
        <v>19654</v>
      </c>
      <c r="Q4916" s="13" t="s">
        <v>75</v>
      </c>
      <c r="R4916" s="13" t="s">
        <v>75</v>
      </c>
      <c r="S4916" s="13" t="s">
        <v>73</v>
      </c>
      <c r="T4916" s="44">
        <v>45894.589398449076</v>
      </c>
      <c r="U4916" s="44">
        <v>45894.589428900465</v>
      </c>
      <c r="V4916" s="44">
        <v>45895.41529931713</v>
      </c>
      <c r="W4916" s="11"/>
      <c r="X4916" s="11"/>
      <c r="Y4916" s="45">
        <v>302.0</v>
      </c>
      <c r="Z4916" s="45" t="s">
        <v>19655</v>
      </c>
      <c r="AA4916" s="31"/>
      <c r="AB4916" s="45" t="s">
        <v>19656</v>
      </c>
      <c r="AC4916" s="45"/>
    </row>
    <row r="4917" ht="18.75" customHeight="1">
      <c r="A4917" s="18" t="s">
        <v>19657</v>
      </c>
      <c r="B4917" s="19" t="s">
        <v>13215</v>
      </c>
      <c r="C4917" s="20">
        <v>90.0</v>
      </c>
      <c r="D4917" s="39" t="s">
        <v>19658</v>
      </c>
      <c r="E4917" s="27" t="s">
        <v>91</v>
      </c>
      <c r="F4917" s="27" t="s">
        <v>48</v>
      </c>
      <c r="G4917" s="18" t="s">
        <v>35</v>
      </c>
      <c r="H4917" s="40" t="s">
        <v>35</v>
      </c>
      <c r="I4917" s="37" t="s">
        <v>36</v>
      </c>
      <c r="J4917" s="25" t="s">
        <v>49</v>
      </c>
      <c r="K4917" s="26" t="s">
        <v>13217</v>
      </c>
      <c r="L4917" s="72">
        <v>13733.0</v>
      </c>
      <c r="M4917" s="49" t="s">
        <v>50</v>
      </c>
      <c r="N4917" s="42" t="s">
        <v>17048</v>
      </c>
      <c r="O4917" s="67">
        <v>45898.58291710648</v>
      </c>
      <c r="P4917" s="35" t="s">
        <v>15666</v>
      </c>
      <c r="Q4917" s="13" t="s">
        <v>75</v>
      </c>
      <c r="R4917" s="13" t="s">
        <v>75</v>
      </c>
      <c r="S4917" s="13" t="s">
        <v>73</v>
      </c>
      <c r="T4917" s="44">
        <v>45894.640256666666</v>
      </c>
      <c r="U4917" s="44">
        <v>45898.430053599535</v>
      </c>
      <c r="V4917" s="44">
        <v>45898.44724144676</v>
      </c>
      <c r="W4917" s="11"/>
      <c r="X4917" s="11"/>
      <c r="Y4917" s="45">
        <v>302.0</v>
      </c>
      <c r="Z4917" s="45" t="s">
        <v>19659</v>
      </c>
      <c r="AA4917" s="31"/>
      <c r="AB4917" s="45" t="s">
        <v>19660</v>
      </c>
      <c r="AC4917" s="45"/>
    </row>
    <row r="4918" ht="18.75" customHeight="1">
      <c r="A4918" s="18" t="s">
        <v>19661</v>
      </c>
      <c r="B4918" s="19" t="s">
        <v>13215</v>
      </c>
      <c r="C4918" s="20">
        <v>90.0</v>
      </c>
      <c r="D4918" s="39" t="s">
        <v>19662</v>
      </c>
      <c r="E4918" s="27" t="s">
        <v>91</v>
      </c>
      <c r="F4918" s="27" t="s">
        <v>48</v>
      </c>
      <c r="G4918" s="18" t="s">
        <v>35</v>
      </c>
      <c r="H4918" s="40" t="s">
        <v>35</v>
      </c>
      <c r="I4918" s="37" t="s">
        <v>36</v>
      </c>
      <c r="J4918" s="25" t="s">
        <v>49</v>
      </c>
      <c r="K4918" s="26" t="s">
        <v>13217</v>
      </c>
      <c r="L4918" s="72">
        <v>13733.0</v>
      </c>
      <c r="M4918" s="49" t="s">
        <v>50</v>
      </c>
      <c r="N4918" s="42" t="s">
        <v>17048</v>
      </c>
      <c r="O4918" s="67">
        <v>45898.582862870375</v>
      </c>
      <c r="P4918" s="35" t="s">
        <v>15666</v>
      </c>
      <c r="Q4918" s="13" t="s">
        <v>75</v>
      </c>
      <c r="R4918" s="13" t="s">
        <v>75</v>
      </c>
      <c r="S4918" s="13" t="s">
        <v>73</v>
      </c>
      <c r="T4918" s="44">
        <v>45894.64037145833</v>
      </c>
      <c r="U4918" s="44">
        <v>45898.4300696412</v>
      </c>
      <c r="V4918" s="44">
        <v>45898.44734748843</v>
      </c>
      <c r="W4918" s="11"/>
      <c r="X4918" s="11"/>
      <c r="Y4918" s="45">
        <v>302.0</v>
      </c>
      <c r="Z4918" s="45" t="s">
        <v>19663</v>
      </c>
      <c r="AA4918" s="31"/>
      <c r="AB4918" s="45" t="s">
        <v>19664</v>
      </c>
      <c r="AC4918" s="45"/>
    </row>
    <row r="4919" ht="18.75" customHeight="1">
      <c r="A4919" s="18" t="s">
        <v>19665</v>
      </c>
      <c r="B4919" s="19" t="s">
        <v>3888</v>
      </c>
      <c r="C4919" s="20">
        <v>1.0</v>
      </c>
      <c r="D4919" s="39" t="s">
        <v>19666</v>
      </c>
      <c r="E4919" s="27" t="s">
        <v>3395</v>
      </c>
      <c r="F4919" s="27" t="s">
        <v>48</v>
      </c>
      <c r="G4919" s="18" t="s">
        <v>35</v>
      </c>
      <c r="H4919" s="40" t="s">
        <v>35</v>
      </c>
      <c r="I4919" s="37" t="s">
        <v>36</v>
      </c>
      <c r="J4919" s="25" t="s">
        <v>49</v>
      </c>
      <c r="K4919" s="26" t="s">
        <v>2978</v>
      </c>
      <c r="L4919" s="72">
        <v>14224.0</v>
      </c>
      <c r="M4919" s="49" t="s">
        <v>50</v>
      </c>
      <c r="N4919" s="42" t="s">
        <v>9953</v>
      </c>
      <c r="O4919" s="67">
        <v>45950.65319438657</v>
      </c>
      <c r="P4919" s="35" t="s">
        <v>19667</v>
      </c>
      <c r="Q4919" s="13" t="s">
        <v>75</v>
      </c>
      <c r="R4919" s="13" t="s">
        <v>75</v>
      </c>
      <c r="S4919" s="13" t="s">
        <v>50</v>
      </c>
      <c r="T4919" s="44">
        <v>45950.58551885417</v>
      </c>
      <c r="U4919" s="44">
        <v>45950.59201630787</v>
      </c>
      <c r="V4919" s="44">
        <v>45950.625425335646</v>
      </c>
      <c r="W4919" s="11"/>
      <c r="X4919" s="11"/>
      <c r="Y4919" s="45">
        <v>302.0</v>
      </c>
      <c r="Z4919" s="45" t="s">
        <v>19668</v>
      </c>
      <c r="AA4919" s="31"/>
      <c r="AB4919" s="45" t="s">
        <v>19669</v>
      </c>
      <c r="AC4919" s="45"/>
    </row>
    <row r="4920" ht="18.75" customHeight="1">
      <c r="A4920" s="18" t="s">
        <v>19670</v>
      </c>
      <c r="B4920" s="33" t="s">
        <v>3888</v>
      </c>
      <c r="C4920" s="20">
        <v>1.0</v>
      </c>
      <c r="D4920" s="39"/>
      <c r="E4920" s="27" t="s">
        <v>3395</v>
      </c>
      <c r="F4920" s="27" t="s">
        <v>48</v>
      </c>
      <c r="G4920" s="18" t="s">
        <v>35</v>
      </c>
      <c r="H4920" s="40" t="s">
        <v>35</v>
      </c>
      <c r="I4920" s="24" t="s">
        <v>18314</v>
      </c>
      <c r="J4920" s="25" t="s">
        <v>49</v>
      </c>
      <c r="K4920" s="26" t="s">
        <v>2978</v>
      </c>
      <c r="L4920" s="25"/>
      <c r="M4920" s="49"/>
      <c r="N4920" s="42"/>
      <c r="O4920" s="68"/>
      <c r="P4920" s="26" t="s">
        <v>19667</v>
      </c>
      <c r="Q4920" s="13" t="s">
        <v>75</v>
      </c>
      <c r="R4920" s="13" t="s">
        <v>75</v>
      </c>
      <c r="S4920" s="13" t="s">
        <v>75</v>
      </c>
      <c r="T4920" s="44">
        <v>45950.58566837963</v>
      </c>
      <c r="U4920" s="44">
        <v>45950.58570863426</v>
      </c>
      <c r="V4920" s="13"/>
      <c r="W4920" s="11"/>
      <c r="X4920" s="11"/>
      <c r="Y4920" s="45"/>
      <c r="Z4920" s="45"/>
      <c r="AA4920" s="31"/>
      <c r="AB4920" s="45" t="s">
        <v>19671</v>
      </c>
      <c r="AC4920" s="45"/>
    </row>
    <row r="4921" ht="18.75" customHeight="1">
      <c r="A4921" s="142" t="s">
        <v>19672</v>
      </c>
      <c r="B4921" s="19" t="s">
        <v>1345</v>
      </c>
      <c r="C4921" s="20">
        <v>0.0</v>
      </c>
      <c r="D4921" s="39"/>
      <c r="E4921" s="27" t="s">
        <v>3441</v>
      </c>
      <c r="F4921" s="27" t="s">
        <v>48</v>
      </c>
      <c r="G4921" s="18" t="s">
        <v>35</v>
      </c>
      <c r="H4921" s="40" t="s">
        <v>35</v>
      </c>
      <c r="I4921" s="37" t="s">
        <v>17277</v>
      </c>
      <c r="J4921" s="25" t="s">
        <v>420</v>
      </c>
      <c r="K4921" s="26" t="s">
        <v>38</v>
      </c>
      <c r="L4921" s="25"/>
      <c r="M4921" s="49"/>
      <c r="N4921" s="42"/>
      <c r="O4921" s="68"/>
      <c r="P4921" s="35" t="s">
        <v>16414</v>
      </c>
      <c r="Q4921" s="13" t="s">
        <v>75</v>
      </c>
      <c r="R4921" s="13"/>
      <c r="S4921" s="13"/>
      <c r="T4921" s="44">
        <v>45894.64145913195</v>
      </c>
      <c r="U4921" s="13"/>
      <c r="V4921" s="13"/>
      <c r="W4921" s="11"/>
      <c r="X4921" s="11"/>
      <c r="Y4921" s="45"/>
      <c r="Z4921" s="45"/>
      <c r="AA4921" s="31"/>
      <c r="AB4921" s="45" t="s">
        <v>19673</v>
      </c>
      <c r="AC4921" s="45"/>
    </row>
    <row r="4922" ht="18.75" customHeight="1">
      <c r="A4922" s="18" t="s">
        <v>19674</v>
      </c>
      <c r="B4922" s="19" t="s">
        <v>4035</v>
      </c>
      <c r="C4922" s="20">
        <v>11.0</v>
      </c>
      <c r="D4922" s="39" t="s">
        <v>19675</v>
      </c>
      <c r="E4922" s="27" t="s">
        <v>112</v>
      </c>
      <c r="F4922" s="27" t="s">
        <v>48</v>
      </c>
      <c r="G4922" s="18" t="s">
        <v>35</v>
      </c>
      <c r="H4922" s="40" t="s">
        <v>35</v>
      </c>
      <c r="I4922" s="37" t="s">
        <v>36</v>
      </c>
      <c r="J4922" s="25" t="s">
        <v>65</v>
      </c>
      <c r="K4922" s="26" t="s">
        <v>38</v>
      </c>
      <c r="L4922" s="72">
        <v>13729.0</v>
      </c>
      <c r="M4922" s="49" t="s">
        <v>50</v>
      </c>
      <c r="N4922" s="42" t="s">
        <v>16408</v>
      </c>
      <c r="O4922" s="67">
        <v>45897.68586809028</v>
      </c>
      <c r="P4922" s="35" t="s">
        <v>19676</v>
      </c>
      <c r="Q4922" s="13" t="s">
        <v>75</v>
      </c>
      <c r="R4922" s="13" t="s">
        <v>75</v>
      </c>
      <c r="S4922" s="13" t="s">
        <v>73</v>
      </c>
      <c r="T4922" s="44">
        <v>45894.6423893287</v>
      </c>
      <c r="U4922" s="44">
        <v>45897.45584472222</v>
      </c>
      <c r="V4922" s="44">
        <v>45897.48158982639</v>
      </c>
      <c r="W4922" s="11"/>
      <c r="X4922" s="11"/>
      <c r="Y4922" s="45">
        <v>302.0</v>
      </c>
      <c r="Z4922" s="45" t="s">
        <v>19677</v>
      </c>
      <c r="AA4922" s="31"/>
      <c r="AB4922" s="45" t="s">
        <v>19678</v>
      </c>
      <c r="AC4922" s="45"/>
    </row>
    <row r="4923" ht="18.75" customHeight="1">
      <c r="A4923" s="18" t="s">
        <v>19679</v>
      </c>
      <c r="B4923" s="19" t="s">
        <v>4035</v>
      </c>
      <c r="C4923" s="20">
        <v>11.0</v>
      </c>
      <c r="D4923" s="39" t="s">
        <v>19680</v>
      </c>
      <c r="E4923" s="27" t="s">
        <v>112</v>
      </c>
      <c r="F4923" s="27" t="s">
        <v>48</v>
      </c>
      <c r="G4923" s="18" t="s">
        <v>35</v>
      </c>
      <c r="H4923" s="40" t="s">
        <v>35</v>
      </c>
      <c r="I4923" s="37" t="s">
        <v>36</v>
      </c>
      <c r="J4923" s="25" t="s">
        <v>65</v>
      </c>
      <c r="K4923" s="26" t="s">
        <v>38</v>
      </c>
      <c r="L4923" s="72">
        <v>13729.0</v>
      </c>
      <c r="M4923" s="49" t="s">
        <v>50</v>
      </c>
      <c r="N4923" s="42" t="s">
        <v>16408</v>
      </c>
      <c r="O4923" s="67">
        <v>45897.685823472224</v>
      </c>
      <c r="P4923" s="35" t="s">
        <v>19676</v>
      </c>
      <c r="Q4923" s="13" t="s">
        <v>75</v>
      </c>
      <c r="R4923" s="13" t="s">
        <v>75</v>
      </c>
      <c r="S4923" s="13" t="s">
        <v>73</v>
      </c>
      <c r="T4923" s="44">
        <v>45894.64249273148</v>
      </c>
      <c r="U4923" s="44">
        <v>45897.45590425926</v>
      </c>
      <c r="V4923" s="44">
        <v>45897.48158983796</v>
      </c>
      <c r="W4923" s="11"/>
      <c r="X4923" s="11"/>
      <c r="Y4923" s="45">
        <v>302.0</v>
      </c>
      <c r="Z4923" s="45" t="s">
        <v>19681</v>
      </c>
      <c r="AA4923" s="31"/>
      <c r="AB4923" s="45" t="s">
        <v>19682</v>
      </c>
      <c r="AC4923" s="45"/>
    </row>
    <row r="4924" ht="18.75" customHeight="1">
      <c r="A4924" s="142" t="s">
        <v>19683</v>
      </c>
      <c r="B4924" s="19" t="s">
        <v>9895</v>
      </c>
      <c r="C4924" s="20">
        <v>11.0</v>
      </c>
      <c r="D4924" s="39" t="s">
        <v>19684</v>
      </c>
      <c r="E4924" s="27" t="s">
        <v>112</v>
      </c>
      <c r="F4924" s="27" t="s">
        <v>48</v>
      </c>
      <c r="G4924" s="18" t="s">
        <v>35</v>
      </c>
      <c r="H4924" s="40" t="s">
        <v>35</v>
      </c>
      <c r="I4924" s="37" t="s">
        <v>36</v>
      </c>
      <c r="J4924" s="25" t="s">
        <v>49</v>
      </c>
      <c r="K4924" s="26" t="s">
        <v>19685</v>
      </c>
      <c r="L4924" s="72">
        <v>13813.0</v>
      </c>
      <c r="M4924" s="49" t="s">
        <v>50</v>
      </c>
      <c r="N4924" s="42" t="s">
        <v>5936</v>
      </c>
      <c r="O4924" s="67">
        <v>45909.674357916665</v>
      </c>
      <c r="P4924" s="26" t="s">
        <v>19686</v>
      </c>
      <c r="Q4924" s="13" t="s">
        <v>75</v>
      </c>
      <c r="R4924" s="13" t="s">
        <v>75</v>
      </c>
      <c r="S4924" s="13" t="s">
        <v>73</v>
      </c>
      <c r="T4924" s="44">
        <v>45908.68765309028</v>
      </c>
      <c r="U4924" s="44">
        <v>45908.68766792824</v>
      </c>
      <c r="V4924" s="44">
        <v>45909.384419016205</v>
      </c>
      <c r="W4924" s="11"/>
      <c r="X4924" s="11"/>
      <c r="Y4924" s="45">
        <v>302.0</v>
      </c>
      <c r="Z4924" s="45" t="s">
        <v>19687</v>
      </c>
      <c r="AA4924" s="31"/>
      <c r="AB4924" s="45" t="s">
        <v>19688</v>
      </c>
      <c r="AC4924" s="45"/>
    </row>
    <row r="4925" ht="18.75" customHeight="1">
      <c r="A4925" s="142" t="s">
        <v>19689</v>
      </c>
      <c r="B4925" s="19" t="s">
        <v>5313</v>
      </c>
      <c r="C4925" s="20">
        <v>137.0</v>
      </c>
      <c r="D4925" s="39" t="s">
        <v>19690</v>
      </c>
      <c r="E4925" s="27" t="s">
        <v>85</v>
      </c>
      <c r="F4925" s="27" t="s">
        <v>48</v>
      </c>
      <c r="G4925" s="18" t="s">
        <v>35</v>
      </c>
      <c r="H4925" s="40" t="s">
        <v>35</v>
      </c>
      <c r="I4925" s="37" t="s">
        <v>36</v>
      </c>
      <c r="J4925" s="25" t="s">
        <v>65</v>
      </c>
      <c r="K4925" s="26" t="s">
        <v>38</v>
      </c>
      <c r="L4925" s="72">
        <v>13711.0</v>
      </c>
      <c r="M4925" s="49" t="s">
        <v>50</v>
      </c>
      <c r="N4925" s="42" t="s">
        <v>16408</v>
      </c>
      <c r="O4925" s="67">
        <v>45896.68516861111</v>
      </c>
      <c r="P4925" s="35" t="s">
        <v>19691</v>
      </c>
      <c r="Q4925" s="13" t="s">
        <v>75</v>
      </c>
      <c r="R4925" s="13" t="s">
        <v>75</v>
      </c>
      <c r="S4925" s="13" t="s">
        <v>73</v>
      </c>
      <c r="T4925" s="44">
        <v>45894.64436559028</v>
      </c>
      <c r="U4925" s="44">
        <v>45896.434536030094</v>
      </c>
      <c r="V4925" s="44">
        <v>45896.44669246528</v>
      </c>
      <c r="W4925" s="11"/>
      <c r="X4925" s="11"/>
      <c r="Y4925" s="45">
        <v>302.0</v>
      </c>
      <c r="Z4925" s="45" t="s">
        <v>19692</v>
      </c>
      <c r="AA4925" s="31"/>
      <c r="AB4925" s="45" t="s">
        <v>19693</v>
      </c>
      <c r="AC4925" s="45"/>
    </row>
    <row r="4926" ht="18.75" customHeight="1">
      <c r="A4926" s="142" t="s">
        <v>19694</v>
      </c>
      <c r="B4926" s="19" t="s">
        <v>18643</v>
      </c>
      <c r="C4926" s="20">
        <v>27.0</v>
      </c>
      <c r="D4926" s="39" t="s">
        <v>19695</v>
      </c>
      <c r="E4926" s="27" t="s">
        <v>72</v>
      </c>
      <c r="F4926" s="27" t="s">
        <v>48</v>
      </c>
      <c r="G4926" s="18" t="s">
        <v>35</v>
      </c>
      <c r="H4926" s="40" t="s">
        <v>35</v>
      </c>
      <c r="I4926" s="37" t="s">
        <v>36</v>
      </c>
      <c r="J4926" s="25" t="s">
        <v>65</v>
      </c>
      <c r="K4926" s="26" t="s">
        <v>38</v>
      </c>
      <c r="L4926" s="72">
        <v>13720.0</v>
      </c>
      <c r="M4926" s="49" t="s">
        <v>50</v>
      </c>
      <c r="N4926" s="42" t="s">
        <v>16408</v>
      </c>
      <c r="O4926" s="67">
        <v>45897.68577498842</v>
      </c>
      <c r="P4926" s="35" t="s">
        <v>15714</v>
      </c>
      <c r="Q4926" s="13" t="s">
        <v>75</v>
      </c>
      <c r="R4926" s="13" t="s">
        <v>75</v>
      </c>
      <c r="S4926" s="13" t="s">
        <v>73</v>
      </c>
      <c r="T4926" s="44">
        <v>45894.64494248843</v>
      </c>
      <c r="U4926" s="44">
        <v>45896.70374078704</v>
      </c>
      <c r="V4926" s="44">
        <v>45897.44040681713</v>
      </c>
      <c r="W4926" s="11"/>
      <c r="X4926" s="11"/>
      <c r="Y4926" s="45">
        <v>302.0</v>
      </c>
      <c r="Z4926" s="45" t="s">
        <v>19696</v>
      </c>
      <c r="AA4926" s="31"/>
      <c r="AB4926" s="45" t="s">
        <v>19697</v>
      </c>
      <c r="AC4926" s="45"/>
    </row>
    <row r="4927" ht="18.75" customHeight="1">
      <c r="A4927" s="18" t="s">
        <v>19698</v>
      </c>
      <c r="B4927" s="19" t="s">
        <v>18643</v>
      </c>
      <c r="C4927" s="20">
        <v>137.0</v>
      </c>
      <c r="D4927" s="39" t="s">
        <v>19699</v>
      </c>
      <c r="E4927" s="27" t="s">
        <v>85</v>
      </c>
      <c r="F4927" s="27" t="s">
        <v>48</v>
      </c>
      <c r="G4927" s="18" t="s">
        <v>35</v>
      </c>
      <c r="H4927" s="40" t="s">
        <v>35</v>
      </c>
      <c r="I4927" s="37" t="s">
        <v>36</v>
      </c>
      <c r="J4927" s="25" t="s">
        <v>65</v>
      </c>
      <c r="K4927" s="26" t="s">
        <v>38</v>
      </c>
      <c r="L4927" s="72">
        <v>13691.0</v>
      </c>
      <c r="M4927" s="49" t="s">
        <v>50</v>
      </c>
      <c r="N4927" s="42" t="s">
        <v>16408</v>
      </c>
      <c r="O4927" s="67">
        <v>45895.65517032407</v>
      </c>
      <c r="P4927" s="35" t="s">
        <v>19700</v>
      </c>
      <c r="Q4927" s="13" t="s">
        <v>75</v>
      </c>
      <c r="R4927" s="13" t="s">
        <v>75</v>
      </c>
      <c r="S4927" s="13" t="s">
        <v>73</v>
      </c>
      <c r="T4927" s="44">
        <v>45894.64563695602</v>
      </c>
      <c r="U4927" s="44">
        <v>45894.64612525463</v>
      </c>
      <c r="V4927" s="44">
        <v>45895.42122372685</v>
      </c>
      <c r="W4927" s="11"/>
      <c r="X4927" s="11"/>
      <c r="Y4927" s="45">
        <v>302.0</v>
      </c>
      <c r="Z4927" s="45" t="s">
        <v>19701</v>
      </c>
      <c r="AA4927" s="31"/>
      <c r="AB4927" s="45" t="s">
        <v>19702</v>
      </c>
      <c r="AC4927" s="45"/>
    </row>
    <row r="4928" ht="18.75" customHeight="1">
      <c r="A4928" s="18" t="s">
        <v>19703</v>
      </c>
      <c r="B4928" s="19" t="s">
        <v>18643</v>
      </c>
      <c r="C4928" s="20">
        <v>0.0</v>
      </c>
      <c r="D4928" s="39" t="s">
        <v>19704</v>
      </c>
      <c r="E4928" s="27" t="s">
        <v>3441</v>
      </c>
      <c r="F4928" s="27" t="s">
        <v>48</v>
      </c>
      <c r="G4928" s="18" t="s">
        <v>35</v>
      </c>
      <c r="H4928" s="40" t="s">
        <v>35</v>
      </c>
      <c r="I4928" s="37" t="s">
        <v>36</v>
      </c>
      <c r="J4928" s="25" t="s">
        <v>65</v>
      </c>
      <c r="K4928" s="26" t="s">
        <v>38</v>
      </c>
      <c r="L4928" s="72">
        <v>13691.0</v>
      </c>
      <c r="M4928" s="49" t="s">
        <v>50</v>
      </c>
      <c r="N4928" s="42" t="s">
        <v>16408</v>
      </c>
      <c r="O4928" s="67">
        <v>45895.655090416665</v>
      </c>
      <c r="P4928" s="35" t="s">
        <v>19700</v>
      </c>
      <c r="Q4928" s="13" t="s">
        <v>75</v>
      </c>
      <c r="R4928" s="13" t="s">
        <v>75</v>
      </c>
      <c r="S4928" s="13" t="s">
        <v>73</v>
      </c>
      <c r="T4928" s="44">
        <v>45894.64604987268</v>
      </c>
      <c r="U4928" s="44">
        <v>45894.64619137732</v>
      </c>
      <c r="V4928" s="44">
        <v>45895.41855939815</v>
      </c>
      <c r="W4928" s="11"/>
      <c r="X4928" s="11"/>
      <c r="Y4928" s="45">
        <v>302.0</v>
      </c>
      <c r="Z4928" s="45" t="s">
        <v>19705</v>
      </c>
      <c r="AA4928" s="31"/>
      <c r="AB4928" s="45" t="s">
        <v>19706</v>
      </c>
      <c r="AC4928" s="45"/>
    </row>
    <row r="4929" ht="18.75" customHeight="1">
      <c r="A4929" s="142" t="s">
        <v>19707</v>
      </c>
      <c r="B4929" s="19" t="s">
        <v>19708</v>
      </c>
      <c r="C4929" s="20">
        <v>90.0</v>
      </c>
      <c r="D4929" s="39" t="s">
        <v>19709</v>
      </c>
      <c r="E4929" s="27" t="s">
        <v>91</v>
      </c>
      <c r="F4929" s="27" t="s">
        <v>48</v>
      </c>
      <c r="G4929" s="18" t="s">
        <v>35</v>
      </c>
      <c r="H4929" s="40" t="s">
        <v>35</v>
      </c>
      <c r="I4929" s="37" t="s">
        <v>36</v>
      </c>
      <c r="J4929" s="25" t="s">
        <v>49</v>
      </c>
      <c r="K4929" s="26" t="s">
        <v>16881</v>
      </c>
      <c r="L4929" s="72">
        <v>13740.0</v>
      </c>
      <c r="M4929" s="49" t="s">
        <v>50</v>
      </c>
      <c r="N4929" s="42" t="s">
        <v>17048</v>
      </c>
      <c r="O4929" s="67">
        <v>45898.58280606482</v>
      </c>
      <c r="P4929" s="26" t="s">
        <v>19710</v>
      </c>
      <c r="Q4929" s="13" t="s">
        <v>75</v>
      </c>
      <c r="R4929" s="13" t="s">
        <v>75</v>
      </c>
      <c r="S4929" s="13" t="s">
        <v>73</v>
      </c>
      <c r="T4929" s="44">
        <v>45894.647936388894</v>
      </c>
      <c r="U4929" s="44">
        <v>45898.49251038194</v>
      </c>
      <c r="V4929" s="44">
        <v>45898.5598144213</v>
      </c>
      <c r="W4929" s="11"/>
      <c r="X4929" s="11"/>
      <c r="Y4929" s="45">
        <v>302.0</v>
      </c>
      <c r="Z4929" s="45" t="s">
        <v>19711</v>
      </c>
      <c r="AA4929" s="31"/>
      <c r="AB4929" s="45" t="s">
        <v>19712</v>
      </c>
      <c r="AC4929" s="45"/>
    </row>
    <row r="4930" ht="18.75" customHeight="1">
      <c r="A4930" s="142" t="s">
        <v>19713</v>
      </c>
      <c r="B4930" s="19" t="s">
        <v>14370</v>
      </c>
      <c r="C4930" s="20">
        <v>0.0</v>
      </c>
      <c r="D4930" s="39" t="s">
        <v>19714</v>
      </c>
      <c r="E4930" s="27" t="s">
        <v>3441</v>
      </c>
      <c r="F4930" s="27" t="s">
        <v>48</v>
      </c>
      <c r="G4930" s="18" t="s">
        <v>35</v>
      </c>
      <c r="H4930" s="40" t="s">
        <v>35</v>
      </c>
      <c r="I4930" s="37" t="s">
        <v>36</v>
      </c>
      <c r="J4930" s="25" t="s">
        <v>65</v>
      </c>
      <c r="K4930" s="26" t="s">
        <v>38</v>
      </c>
      <c r="L4930" s="72">
        <v>13692.0</v>
      </c>
      <c r="M4930" s="49" t="s">
        <v>50</v>
      </c>
      <c r="N4930" s="42" t="s">
        <v>16408</v>
      </c>
      <c r="O4930" s="67">
        <v>45895.654992916665</v>
      </c>
      <c r="P4930" s="35" t="s">
        <v>15829</v>
      </c>
      <c r="Q4930" s="13" t="s">
        <v>75</v>
      </c>
      <c r="R4930" s="13" t="s">
        <v>75</v>
      </c>
      <c r="S4930" s="13" t="s">
        <v>73</v>
      </c>
      <c r="T4930" s="44">
        <v>45894.64880917824</v>
      </c>
      <c r="U4930" s="44">
        <v>45895.409458009264</v>
      </c>
      <c r="V4930" s="44">
        <v>45895.41864011574</v>
      </c>
      <c r="W4930" s="11"/>
      <c r="X4930" s="11"/>
      <c r="Y4930" s="45">
        <v>302.0</v>
      </c>
      <c r="Z4930" s="45" t="s">
        <v>19715</v>
      </c>
      <c r="AA4930" s="31"/>
      <c r="AB4930" s="45" t="s">
        <v>19716</v>
      </c>
      <c r="AC4930" s="45"/>
    </row>
    <row r="4931" ht="18.75" customHeight="1">
      <c r="A4931" s="142" t="s">
        <v>19717</v>
      </c>
      <c r="B4931" s="19" t="s">
        <v>19718</v>
      </c>
      <c r="C4931" s="20">
        <v>0.0</v>
      </c>
      <c r="D4931" s="39" t="s">
        <v>19719</v>
      </c>
      <c r="E4931" s="27" t="s">
        <v>3441</v>
      </c>
      <c r="F4931" s="27" t="s">
        <v>48</v>
      </c>
      <c r="G4931" s="18" t="s">
        <v>35</v>
      </c>
      <c r="H4931" s="40" t="s">
        <v>35</v>
      </c>
      <c r="I4931" s="37" t="s">
        <v>36</v>
      </c>
      <c r="J4931" s="25" t="s">
        <v>49</v>
      </c>
      <c r="K4931" s="26" t="s">
        <v>19720</v>
      </c>
      <c r="L4931" s="72">
        <v>13712.0</v>
      </c>
      <c r="M4931" s="49" t="s">
        <v>50</v>
      </c>
      <c r="N4931" s="42" t="s">
        <v>17048</v>
      </c>
      <c r="O4931" s="67">
        <v>45896.612838402776</v>
      </c>
      <c r="P4931" s="35" t="s">
        <v>19721</v>
      </c>
      <c r="Q4931" s="13" t="s">
        <v>75</v>
      </c>
      <c r="R4931" s="13" t="s">
        <v>75</v>
      </c>
      <c r="S4931" s="13" t="s">
        <v>73</v>
      </c>
      <c r="T4931" s="44">
        <v>45894.649979027774</v>
      </c>
      <c r="U4931" s="44">
        <v>45896.43431119213</v>
      </c>
      <c r="V4931" s="44">
        <v>45896.44944537037</v>
      </c>
      <c r="W4931" s="11"/>
      <c r="X4931" s="11"/>
      <c r="Y4931" s="45">
        <v>302.0</v>
      </c>
      <c r="Z4931" s="45" t="s">
        <v>19722</v>
      </c>
      <c r="AA4931" s="31"/>
      <c r="AB4931" s="218" t="s">
        <v>19723</v>
      </c>
      <c r="AC4931" s="45"/>
    </row>
    <row r="4932" ht="18.75" customHeight="1">
      <c r="A4932" s="18" t="s">
        <v>19724</v>
      </c>
      <c r="B4932" s="19" t="s">
        <v>8902</v>
      </c>
      <c r="C4932" s="20">
        <v>0.0</v>
      </c>
      <c r="D4932" s="179">
        <v>20298.0</v>
      </c>
      <c r="E4932" s="27" t="s">
        <v>19725</v>
      </c>
      <c r="F4932" s="27"/>
      <c r="G4932" s="18" t="s">
        <v>35</v>
      </c>
      <c r="H4932" s="40" t="s">
        <v>35</v>
      </c>
      <c r="I4932" s="37" t="s">
        <v>36</v>
      </c>
      <c r="J4932" s="25" t="s">
        <v>49</v>
      </c>
      <c r="K4932" s="26" t="s">
        <v>38</v>
      </c>
      <c r="L4932" s="34">
        <v>13905.0</v>
      </c>
      <c r="M4932" s="49" t="s">
        <v>73</v>
      </c>
      <c r="N4932" s="42" t="s">
        <v>5753</v>
      </c>
      <c r="O4932" s="67">
        <v>45918.60461392361</v>
      </c>
      <c r="P4932" s="26" t="s">
        <v>19726</v>
      </c>
      <c r="Q4932" s="13" t="s">
        <v>75</v>
      </c>
      <c r="R4932" s="13" t="s">
        <v>75</v>
      </c>
      <c r="S4932" s="13" t="s">
        <v>9620</v>
      </c>
      <c r="T4932" s="44">
        <v>45894.656963877314</v>
      </c>
      <c r="U4932" s="44">
        <v>45912.427051273145</v>
      </c>
      <c r="V4932" s="44">
        <v>45916.61616839121</v>
      </c>
      <c r="W4932" s="11"/>
      <c r="X4932" s="11"/>
      <c r="Y4932" s="45">
        <v>302.0</v>
      </c>
      <c r="Z4932" s="45" t="s">
        <v>19727</v>
      </c>
      <c r="AA4932" s="31"/>
      <c r="AB4932" s="45" t="s">
        <v>19728</v>
      </c>
      <c r="AC4932" s="45"/>
    </row>
    <row r="4933" ht="18.75" customHeight="1">
      <c r="A4933" s="18" t="s">
        <v>19729</v>
      </c>
      <c r="B4933" s="19" t="s">
        <v>8902</v>
      </c>
      <c r="C4933" s="20">
        <v>0.0</v>
      </c>
      <c r="D4933" s="179">
        <v>20299.0</v>
      </c>
      <c r="E4933" s="27" t="s">
        <v>19725</v>
      </c>
      <c r="F4933" s="27"/>
      <c r="G4933" s="18" t="s">
        <v>35</v>
      </c>
      <c r="H4933" s="40" t="s">
        <v>35</v>
      </c>
      <c r="I4933" s="37" t="s">
        <v>36</v>
      </c>
      <c r="J4933" s="25" t="s">
        <v>49</v>
      </c>
      <c r="K4933" s="26" t="s">
        <v>38</v>
      </c>
      <c r="L4933" s="34">
        <v>13905.0</v>
      </c>
      <c r="M4933" s="49" t="s">
        <v>73</v>
      </c>
      <c r="N4933" s="42" t="s">
        <v>5753</v>
      </c>
      <c r="O4933" s="67">
        <v>45918.60468797454</v>
      </c>
      <c r="P4933" s="26" t="s">
        <v>19726</v>
      </c>
      <c r="Q4933" s="13" t="s">
        <v>75</v>
      </c>
      <c r="R4933" s="13" t="s">
        <v>75</v>
      </c>
      <c r="S4933" s="13" t="s">
        <v>9620</v>
      </c>
      <c r="T4933" s="44">
        <v>45894.65710142361</v>
      </c>
      <c r="U4933" s="44">
        <v>45912.42708395833</v>
      </c>
      <c r="V4933" s="44">
        <v>45916.688631006946</v>
      </c>
      <c r="W4933" s="11"/>
      <c r="X4933" s="11"/>
      <c r="Y4933" s="45">
        <v>302.0</v>
      </c>
      <c r="Z4933" s="45" t="s">
        <v>19730</v>
      </c>
      <c r="AA4933" s="31"/>
      <c r="AB4933" s="45" t="s">
        <v>19731</v>
      </c>
      <c r="AC4933" s="45"/>
    </row>
    <row r="4934" ht="18.75" customHeight="1">
      <c r="A4934" s="142" t="s">
        <v>19732</v>
      </c>
      <c r="B4934" s="19" t="s">
        <v>1299</v>
      </c>
      <c r="C4934" s="20">
        <v>0.0</v>
      </c>
      <c r="D4934" s="39" t="s">
        <v>19733</v>
      </c>
      <c r="E4934" s="27" t="s">
        <v>3441</v>
      </c>
      <c r="F4934" s="27" t="s">
        <v>48</v>
      </c>
      <c r="G4934" s="18" t="s">
        <v>35</v>
      </c>
      <c r="H4934" s="40" t="s">
        <v>35</v>
      </c>
      <c r="I4934" s="37" t="s">
        <v>36</v>
      </c>
      <c r="J4934" s="25" t="s">
        <v>65</v>
      </c>
      <c r="K4934" s="26" t="s">
        <v>38</v>
      </c>
      <c r="L4934" s="72">
        <v>13707.0</v>
      </c>
      <c r="M4934" s="49" t="s">
        <v>50</v>
      </c>
      <c r="N4934" s="42" t="s">
        <v>16408</v>
      </c>
      <c r="O4934" s="67">
        <v>45896.68511994213</v>
      </c>
      <c r="P4934" s="26" t="s">
        <v>19734</v>
      </c>
      <c r="Q4934" s="13" t="s">
        <v>75</v>
      </c>
      <c r="R4934" s="13" t="s">
        <v>75</v>
      </c>
      <c r="S4934" s="13" t="s">
        <v>73</v>
      </c>
      <c r="T4934" s="44">
        <v>45895.424017812504</v>
      </c>
      <c r="U4934" s="44">
        <v>45895.610636400466</v>
      </c>
      <c r="V4934" s="44">
        <v>45896.404968229166</v>
      </c>
      <c r="W4934" s="11"/>
      <c r="X4934" s="11"/>
      <c r="Y4934" s="45">
        <v>302.0</v>
      </c>
      <c r="Z4934" s="45" t="s">
        <v>19735</v>
      </c>
      <c r="AA4934" s="31"/>
      <c r="AB4934" s="45" t="s">
        <v>19736</v>
      </c>
      <c r="AC4934" s="45"/>
    </row>
    <row r="4935" ht="18.75" customHeight="1">
      <c r="A4935" s="142" t="s">
        <v>19737</v>
      </c>
      <c r="B4935" s="19" t="s">
        <v>16791</v>
      </c>
      <c r="C4935" s="20">
        <v>0.0</v>
      </c>
      <c r="D4935" s="39" t="s">
        <v>19738</v>
      </c>
      <c r="E4935" s="27" t="s">
        <v>3441</v>
      </c>
      <c r="F4935" s="27" t="s">
        <v>48</v>
      </c>
      <c r="G4935" s="18" t="s">
        <v>35</v>
      </c>
      <c r="H4935" s="40" t="s">
        <v>35</v>
      </c>
      <c r="I4935" s="37" t="s">
        <v>36</v>
      </c>
      <c r="J4935" s="25" t="s">
        <v>65</v>
      </c>
      <c r="K4935" s="26" t="s">
        <v>38</v>
      </c>
      <c r="L4935" s="72">
        <v>13708.0</v>
      </c>
      <c r="M4935" s="49" t="s">
        <v>50</v>
      </c>
      <c r="N4935" s="42" t="s">
        <v>16408</v>
      </c>
      <c r="O4935" s="67">
        <v>45896.685070381944</v>
      </c>
      <c r="P4935" s="35" t="s">
        <v>14372</v>
      </c>
      <c r="Q4935" s="13" t="s">
        <v>75</v>
      </c>
      <c r="R4935" s="13" t="s">
        <v>75</v>
      </c>
      <c r="S4935" s="13" t="s">
        <v>73</v>
      </c>
      <c r="T4935" s="44">
        <v>45895.42509701389</v>
      </c>
      <c r="U4935" s="44">
        <v>45895.72392241898</v>
      </c>
      <c r="V4935" s="44">
        <v>45896.40502037037</v>
      </c>
      <c r="W4935" s="11"/>
      <c r="X4935" s="11"/>
      <c r="Y4935" s="45">
        <v>302.0</v>
      </c>
      <c r="Z4935" s="45" t="s">
        <v>19739</v>
      </c>
      <c r="AA4935" s="31"/>
      <c r="AB4935" s="45" t="s">
        <v>19740</v>
      </c>
      <c r="AC4935" s="45"/>
    </row>
    <row r="4936" ht="18.75" customHeight="1">
      <c r="A4936" s="142" t="s">
        <v>19741</v>
      </c>
      <c r="B4936" s="19" t="s">
        <v>4035</v>
      </c>
      <c r="C4936" s="20">
        <v>90.0</v>
      </c>
      <c r="D4936" s="39" t="s">
        <v>19742</v>
      </c>
      <c r="E4936" s="27" t="s">
        <v>91</v>
      </c>
      <c r="F4936" s="27" t="s">
        <v>48</v>
      </c>
      <c r="G4936" s="18" t="s">
        <v>35</v>
      </c>
      <c r="H4936" s="40" t="s">
        <v>35</v>
      </c>
      <c r="I4936" s="37" t="s">
        <v>36</v>
      </c>
      <c r="J4936" s="25" t="s">
        <v>65</v>
      </c>
      <c r="K4936" s="26" t="s">
        <v>38</v>
      </c>
      <c r="L4936" s="72">
        <v>13730.0</v>
      </c>
      <c r="M4936" s="49" t="s">
        <v>50</v>
      </c>
      <c r="N4936" s="42" t="s">
        <v>16408</v>
      </c>
      <c r="O4936" s="67">
        <v>45897.68570960648</v>
      </c>
      <c r="P4936" s="35" t="s">
        <v>15829</v>
      </c>
      <c r="Q4936" s="13" t="s">
        <v>75</v>
      </c>
      <c r="R4936" s="13" t="s">
        <v>75</v>
      </c>
      <c r="S4936" s="13" t="s">
        <v>73</v>
      </c>
      <c r="T4936" s="44">
        <v>45895.425780219906</v>
      </c>
      <c r="U4936" s="44">
        <v>45897.45883837963</v>
      </c>
      <c r="V4936" s="44">
        <v>45897.48358642361</v>
      </c>
      <c r="W4936" s="11"/>
      <c r="X4936" s="11"/>
      <c r="Y4936" s="45">
        <v>302.0</v>
      </c>
      <c r="Z4936" s="45" t="s">
        <v>19743</v>
      </c>
      <c r="AA4936" s="31"/>
      <c r="AB4936" s="45" t="s">
        <v>19744</v>
      </c>
      <c r="AC4936" s="45"/>
    </row>
    <row r="4937" ht="18.75" customHeight="1">
      <c r="A4937" s="142" t="s">
        <v>19745</v>
      </c>
      <c r="B4937" s="19" t="s">
        <v>19746</v>
      </c>
      <c r="C4937" s="20">
        <v>90.0</v>
      </c>
      <c r="D4937" s="39" t="s">
        <v>19747</v>
      </c>
      <c r="E4937" s="27" t="s">
        <v>91</v>
      </c>
      <c r="F4937" s="27" t="s">
        <v>48</v>
      </c>
      <c r="G4937" s="18" t="s">
        <v>35</v>
      </c>
      <c r="H4937" s="40" t="s">
        <v>35</v>
      </c>
      <c r="I4937" s="37" t="s">
        <v>36</v>
      </c>
      <c r="J4937" s="25" t="s">
        <v>65</v>
      </c>
      <c r="K4937" s="26" t="s">
        <v>38</v>
      </c>
      <c r="L4937" s="72">
        <v>13778.0</v>
      </c>
      <c r="M4937" s="49" t="s">
        <v>50</v>
      </c>
      <c r="N4937" s="42" t="s">
        <v>18645</v>
      </c>
      <c r="O4937" s="67">
        <v>45905.65429708333</v>
      </c>
      <c r="P4937" s="26" t="s">
        <v>19748</v>
      </c>
      <c r="Q4937" s="13" t="s">
        <v>75</v>
      </c>
      <c r="R4937" s="13" t="s">
        <v>75</v>
      </c>
      <c r="S4937" s="13" t="s">
        <v>73</v>
      </c>
      <c r="T4937" s="44">
        <v>45895.43483096064</v>
      </c>
      <c r="U4937" s="44">
        <v>45903.47021247685</v>
      </c>
      <c r="V4937" s="44">
        <v>45903.47267215278</v>
      </c>
      <c r="W4937" s="11"/>
      <c r="X4937" s="11"/>
      <c r="Y4937" s="45">
        <v>302.0</v>
      </c>
      <c r="Z4937" s="45" t="s">
        <v>19749</v>
      </c>
      <c r="AA4937" s="31"/>
      <c r="AB4937" s="45" t="s">
        <v>19750</v>
      </c>
      <c r="AC4937" s="45"/>
    </row>
    <row r="4938" ht="18.75" customHeight="1">
      <c r="A4938" s="142" t="s">
        <v>19751</v>
      </c>
      <c r="B4938" s="19" t="s">
        <v>18792</v>
      </c>
      <c r="C4938" s="20">
        <v>0.0</v>
      </c>
      <c r="D4938" s="39" t="s">
        <v>19752</v>
      </c>
      <c r="E4938" s="27" t="s">
        <v>3441</v>
      </c>
      <c r="F4938" s="27" t="s">
        <v>48</v>
      </c>
      <c r="G4938" s="18" t="s">
        <v>35</v>
      </c>
      <c r="H4938" s="40" t="s">
        <v>35</v>
      </c>
      <c r="I4938" s="37" t="s">
        <v>36</v>
      </c>
      <c r="J4938" s="25" t="s">
        <v>65</v>
      </c>
      <c r="K4938" s="26" t="s">
        <v>38</v>
      </c>
      <c r="L4938" s="72">
        <v>13792.0</v>
      </c>
      <c r="M4938" s="49" t="s">
        <v>50</v>
      </c>
      <c r="N4938" s="42" t="s">
        <v>18645</v>
      </c>
      <c r="O4938" s="67">
        <v>45905.654399837964</v>
      </c>
      <c r="P4938" s="35" t="s">
        <v>19753</v>
      </c>
      <c r="Q4938" s="13" t="s">
        <v>75</v>
      </c>
      <c r="R4938" s="13" t="s">
        <v>75</v>
      </c>
      <c r="S4938" s="13" t="s">
        <v>73</v>
      </c>
      <c r="T4938" s="44">
        <v>45895.45340273148</v>
      </c>
      <c r="U4938" s="44">
        <v>45904.459770312504</v>
      </c>
      <c r="V4938" s="44">
        <v>45905.42807274306</v>
      </c>
      <c r="W4938" s="11"/>
      <c r="X4938" s="11"/>
      <c r="Y4938" s="45">
        <v>302.0</v>
      </c>
      <c r="Z4938" s="45" t="s">
        <v>19754</v>
      </c>
      <c r="AA4938" s="31"/>
      <c r="AB4938" s="45" t="s">
        <v>19755</v>
      </c>
      <c r="AC4938" s="45"/>
    </row>
    <row r="4939" ht="21.75" customHeight="1">
      <c r="A4939" s="18" t="s">
        <v>19756</v>
      </c>
      <c r="B4939" s="19" t="s">
        <v>5341</v>
      </c>
      <c r="C4939" s="20">
        <v>34.0</v>
      </c>
      <c r="D4939" s="39" t="s">
        <v>19757</v>
      </c>
      <c r="E4939" s="27" t="s">
        <v>47</v>
      </c>
      <c r="F4939" s="27" t="s">
        <v>48</v>
      </c>
      <c r="G4939" s="18" t="s">
        <v>35</v>
      </c>
      <c r="H4939" s="40" t="s">
        <v>35</v>
      </c>
      <c r="I4939" s="37" t="s">
        <v>36</v>
      </c>
      <c r="J4939" s="25" t="s">
        <v>65</v>
      </c>
      <c r="K4939" s="26" t="s">
        <v>38</v>
      </c>
      <c r="L4939" s="72">
        <v>13713.0</v>
      </c>
      <c r="M4939" s="49" t="s">
        <v>50</v>
      </c>
      <c r="N4939" s="42" t="s">
        <v>16408</v>
      </c>
      <c r="O4939" s="67">
        <v>45896.684988657405</v>
      </c>
      <c r="P4939" s="35" t="s">
        <v>15829</v>
      </c>
      <c r="Q4939" s="13" t="s">
        <v>75</v>
      </c>
      <c r="R4939" s="13" t="s">
        <v>75</v>
      </c>
      <c r="S4939" s="13" t="s">
        <v>73</v>
      </c>
      <c r="T4939" s="44">
        <v>45895.454876793985</v>
      </c>
      <c r="U4939" s="44">
        <v>45896.43498144676</v>
      </c>
      <c r="V4939" s="44">
        <v>45896.44740413195</v>
      </c>
      <c r="W4939" s="11"/>
      <c r="X4939" s="11"/>
      <c r="Y4939" s="45">
        <v>302.0</v>
      </c>
      <c r="Z4939" s="45" t="s">
        <v>19758</v>
      </c>
      <c r="AA4939" s="31"/>
      <c r="AB4939" s="45" t="s">
        <v>19759</v>
      </c>
      <c r="AC4939" s="45"/>
    </row>
    <row r="4940" ht="18.75" customHeight="1">
      <c r="A4940" s="18" t="s">
        <v>19760</v>
      </c>
      <c r="B4940" s="19" t="s">
        <v>5341</v>
      </c>
      <c r="C4940" s="20">
        <v>34.0</v>
      </c>
      <c r="D4940" s="39" t="s">
        <v>19761</v>
      </c>
      <c r="E4940" s="27" t="s">
        <v>47</v>
      </c>
      <c r="F4940" s="27" t="s">
        <v>48</v>
      </c>
      <c r="G4940" s="18" t="s">
        <v>35</v>
      </c>
      <c r="H4940" s="40" t="s">
        <v>35</v>
      </c>
      <c r="I4940" s="37" t="s">
        <v>36</v>
      </c>
      <c r="J4940" s="25" t="s">
        <v>65</v>
      </c>
      <c r="K4940" s="26" t="s">
        <v>38</v>
      </c>
      <c r="L4940" s="72">
        <v>13713.0</v>
      </c>
      <c r="M4940" s="49" t="s">
        <v>50</v>
      </c>
      <c r="N4940" s="42" t="s">
        <v>16408</v>
      </c>
      <c r="O4940" s="67">
        <v>45896.68493644676</v>
      </c>
      <c r="P4940" s="35" t="s">
        <v>15829</v>
      </c>
      <c r="Q4940" s="13" t="s">
        <v>75</v>
      </c>
      <c r="R4940" s="13" t="s">
        <v>75</v>
      </c>
      <c r="S4940" s="13" t="s">
        <v>73</v>
      </c>
      <c r="T4940" s="44">
        <v>45895.4549680787</v>
      </c>
      <c r="U4940" s="44">
        <v>45896.43500751157</v>
      </c>
      <c r="V4940" s="44">
        <v>45896.44740414352</v>
      </c>
      <c r="W4940" s="11"/>
      <c r="X4940" s="11"/>
      <c r="Y4940" s="45">
        <v>302.0</v>
      </c>
      <c r="Z4940" s="45" t="s">
        <v>19762</v>
      </c>
      <c r="AA4940" s="31"/>
      <c r="AB4940" s="45" t="s">
        <v>19763</v>
      </c>
      <c r="AC4940" s="45"/>
    </row>
    <row r="4941" ht="18.75" customHeight="1">
      <c r="A4941" s="142" t="s">
        <v>19764</v>
      </c>
      <c r="B4941" s="19" t="s">
        <v>19230</v>
      </c>
      <c r="C4941" s="20">
        <v>90.0</v>
      </c>
      <c r="D4941" s="39" t="s">
        <v>19765</v>
      </c>
      <c r="E4941" s="27" t="s">
        <v>91</v>
      </c>
      <c r="F4941" s="27" t="s">
        <v>48</v>
      </c>
      <c r="G4941" s="18" t="s">
        <v>35</v>
      </c>
      <c r="H4941" s="40" t="s">
        <v>35</v>
      </c>
      <c r="I4941" s="37" t="s">
        <v>36</v>
      </c>
      <c r="J4941" s="25" t="s">
        <v>65</v>
      </c>
      <c r="K4941" s="26" t="s">
        <v>38</v>
      </c>
      <c r="L4941" s="72">
        <v>13709.0</v>
      </c>
      <c r="M4941" s="49" t="s">
        <v>50</v>
      </c>
      <c r="N4941" s="42" t="s">
        <v>16408</v>
      </c>
      <c r="O4941" s="67">
        <v>45896.68476638889</v>
      </c>
      <c r="P4941" s="35" t="s">
        <v>19766</v>
      </c>
      <c r="Q4941" s="13" t="s">
        <v>75</v>
      </c>
      <c r="R4941" s="13" t="s">
        <v>75</v>
      </c>
      <c r="S4941" s="13" t="s">
        <v>73</v>
      </c>
      <c r="T4941" s="44">
        <v>45895.455908240736</v>
      </c>
      <c r="U4941" s="44">
        <v>45895.60935726852</v>
      </c>
      <c r="V4941" s="44">
        <v>45896.4050203588</v>
      </c>
      <c r="W4941" s="11"/>
      <c r="X4941" s="11"/>
      <c r="Y4941" s="45">
        <v>302.0</v>
      </c>
      <c r="Z4941" s="45" t="s">
        <v>19767</v>
      </c>
      <c r="AA4941" s="31"/>
      <c r="AB4941" s="45" t="s">
        <v>19768</v>
      </c>
      <c r="AC4941" s="45"/>
    </row>
    <row r="4942" ht="18.75" customHeight="1">
      <c r="A4942" s="142" t="s">
        <v>19769</v>
      </c>
      <c r="B4942" s="19" t="s">
        <v>4352</v>
      </c>
      <c r="C4942" s="20">
        <v>90.0</v>
      </c>
      <c r="D4942" s="39" t="s">
        <v>19770</v>
      </c>
      <c r="E4942" s="27" t="s">
        <v>91</v>
      </c>
      <c r="F4942" s="27" t="s">
        <v>48</v>
      </c>
      <c r="G4942" s="18" t="s">
        <v>35</v>
      </c>
      <c r="H4942" s="40" t="s">
        <v>35</v>
      </c>
      <c r="I4942" s="37" t="s">
        <v>36</v>
      </c>
      <c r="J4942" s="25" t="s">
        <v>49</v>
      </c>
      <c r="K4942" s="26" t="s">
        <v>38</v>
      </c>
      <c r="L4942" s="72">
        <v>13721.0</v>
      </c>
      <c r="M4942" s="49" t="s">
        <v>50</v>
      </c>
      <c r="N4942" s="42" t="s">
        <v>18561</v>
      </c>
      <c r="O4942" s="67">
        <v>45897.65036542824</v>
      </c>
      <c r="P4942" s="35" t="s">
        <v>19771</v>
      </c>
      <c r="Q4942" s="13" t="s">
        <v>75</v>
      </c>
      <c r="R4942" s="13" t="s">
        <v>75</v>
      </c>
      <c r="S4942" s="13" t="s">
        <v>73</v>
      </c>
      <c r="T4942" s="44">
        <v>45895.45746971064</v>
      </c>
      <c r="U4942" s="44">
        <v>45896.610138923614</v>
      </c>
      <c r="V4942" s="44">
        <v>45897.4426474537</v>
      </c>
      <c r="W4942" s="11"/>
      <c r="X4942" s="11"/>
      <c r="Y4942" s="45">
        <v>302.0</v>
      </c>
      <c r="Z4942" s="45" t="s">
        <v>19772</v>
      </c>
      <c r="AA4942" s="31"/>
      <c r="AB4942" s="45" t="s">
        <v>19773</v>
      </c>
      <c r="AC4942" s="45"/>
    </row>
    <row r="4943" ht="18.75" customHeight="1">
      <c r="A4943" s="142" t="s">
        <v>19774</v>
      </c>
      <c r="B4943" s="19" t="s">
        <v>4352</v>
      </c>
      <c r="C4943" s="20">
        <v>27.0</v>
      </c>
      <c r="D4943" s="39" t="s">
        <v>19775</v>
      </c>
      <c r="E4943" s="27" t="s">
        <v>72</v>
      </c>
      <c r="F4943" s="27" t="s">
        <v>48</v>
      </c>
      <c r="G4943" s="18" t="s">
        <v>35</v>
      </c>
      <c r="H4943" s="40" t="s">
        <v>35</v>
      </c>
      <c r="I4943" s="37" t="s">
        <v>36</v>
      </c>
      <c r="J4943" s="25" t="s">
        <v>49</v>
      </c>
      <c r="K4943" s="26" t="s">
        <v>38</v>
      </c>
      <c r="L4943" s="72">
        <v>13723.0</v>
      </c>
      <c r="M4943" s="49" t="s">
        <v>50</v>
      </c>
      <c r="N4943" s="42" t="s">
        <v>18561</v>
      </c>
      <c r="O4943" s="67">
        <v>45897.65005836806</v>
      </c>
      <c r="P4943" s="35" t="s">
        <v>19776</v>
      </c>
      <c r="Q4943" s="13" t="s">
        <v>75</v>
      </c>
      <c r="R4943" s="13" t="s">
        <v>75</v>
      </c>
      <c r="S4943" s="13" t="s">
        <v>73</v>
      </c>
      <c r="T4943" s="44">
        <v>45895.45836827546</v>
      </c>
      <c r="U4943" s="44">
        <v>45896.610324629626</v>
      </c>
      <c r="V4943" s="44">
        <v>45897.44270265046</v>
      </c>
      <c r="W4943" s="11"/>
      <c r="X4943" s="11"/>
      <c r="Y4943" s="45">
        <v>302.0</v>
      </c>
      <c r="Z4943" s="45" t="s">
        <v>19777</v>
      </c>
      <c r="AA4943" s="31"/>
      <c r="AB4943" s="45" t="s">
        <v>19778</v>
      </c>
      <c r="AC4943" s="45"/>
    </row>
    <row r="4944" ht="18.75" customHeight="1">
      <c r="A4944" s="142" t="s">
        <v>19779</v>
      </c>
      <c r="B4944" s="19" t="s">
        <v>4352</v>
      </c>
      <c r="C4944" s="20">
        <v>90.0</v>
      </c>
      <c r="D4944" s="39" t="s">
        <v>19780</v>
      </c>
      <c r="E4944" s="27" t="s">
        <v>91</v>
      </c>
      <c r="F4944" s="27" t="s">
        <v>48</v>
      </c>
      <c r="G4944" s="18" t="s">
        <v>35</v>
      </c>
      <c r="H4944" s="40" t="s">
        <v>35</v>
      </c>
      <c r="I4944" s="37" t="s">
        <v>36</v>
      </c>
      <c r="J4944" s="25" t="s">
        <v>49</v>
      </c>
      <c r="K4944" s="26" t="s">
        <v>38</v>
      </c>
      <c r="L4944" s="72">
        <v>13722.0</v>
      </c>
      <c r="M4944" s="49" t="s">
        <v>50</v>
      </c>
      <c r="N4944" s="42" t="s">
        <v>18561</v>
      </c>
      <c r="O4944" s="67">
        <v>45897.650149444446</v>
      </c>
      <c r="P4944" s="35" t="s">
        <v>19781</v>
      </c>
      <c r="Q4944" s="13" t="s">
        <v>75</v>
      </c>
      <c r="R4944" s="13" t="s">
        <v>75</v>
      </c>
      <c r="S4944" s="13" t="s">
        <v>73</v>
      </c>
      <c r="T4944" s="44">
        <v>45895.459334363426</v>
      </c>
      <c r="U4944" s="44">
        <v>45896.61048091435</v>
      </c>
      <c r="V4944" s="44">
        <v>45897.44275130787</v>
      </c>
      <c r="W4944" s="11"/>
      <c r="X4944" s="11"/>
      <c r="Y4944" s="45">
        <v>302.0</v>
      </c>
      <c r="Z4944" s="45" t="s">
        <v>19782</v>
      </c>
      <c r="AA4944" s="31"/>
      <c r="AB4944" s="45" t="s">
        <v>19783</v>
      </c>
      <c r="AC4944" s="45"/>
    </row>
    <row r="4945" ht="18.75" customHeight="1">
      <c r="A4945" s="142" t="s">
        <v>19784</v>
      </c>
      <c r="B4945" s="19" t="s">
        <v>4352</v>
      </c>
      <c r="C4945" s="20">
        <v>90.0</v>
      </c>
      <c r="D4945" s="39" t="s">
        <v>19785</v>
      </c>
      <c r="E4945" s="27" t="s">
        <v>91</v>
      </c>
      <c r="F4945" s="27" t="s">
        <v>48</v>
      </c>
      <c r="G4945" s="18" t="s">
        <v>35</v>
      </c>
      <c r="H4945" s="40" t="s">
        <v>35</v>
      </c>
      <c r="I4945" s="37" t="s">
        <v>36</v>
      </c>
      <c r="J4945" s="25" t="s">
        <v>49</v>
      </c>
      <c r="K4945" s="26" t="s">
        <v>38</v>
      </c>
      <c r="L4945" s="72">
        <v>13741.0</v>
      </c>
      <c r="M4945" s="49" t="s">
        <v>50</v>
      </c>
      <c r="N4945" s="42" t="s">
        <v>17048</v>
      </c>
      <c r="O4945" s="67">
        <v>45898.58274042824</v>
      </c>
      <c r="P4945" s="35" t="s">
        <v>19786</v>
      </c>
      <c r="Q4945" s="13" t="s">
        <v>75</v>
      </c>
      <c r="R4945" s="13" t="s">
        <v>75</v>
      </c>
      <c r="S4945" s="13" t="s">
        <v>73</v>
      </c>
      <c r="T4945" s="44">
        <v>45895.460848159724</v>
      </c>
      <c r="U4945" s="44">
        <v>45898.50649869213</v>
      </c>
      <c r="V4945" s="44">
        <v>45898.55981443287</v>
      </c>
      <c r="W4945" s="11"/>
      <c r="X4945" s="11"/>
      <c r="Y4945" s="45">
        <v>302.0</v>
      </c>
      <c r="Z4945" s="45" t="s">
        <v>19787</v>
      </c>
      <c r="AA4945" s="31"/>
      <c r="AB4945" s="45" t="s">
        <v>19788</v>
      </c>
      <c r="AC4945" s="45"/>
    </row>
    <row r="4946" ht="18.75" customHeight="1">
      <c r="A4946" s="142" t="s">
        <v>19789</v>
      </c>
      <c r="B4946" s="19" t="s">
        <v>14663</v>
      </c>
      <c r="C4946" s="20">
        <v>27.0</v>
      </c>
      <c r="D4946" s="39" t="s">
        <v>19790</v>
      </c>
      <c r="E4946" s="27" t="s">
        <v>72</v>
      </c>
      <c r="F4946" s="27" t="s">
        <v>48</v>
      </c>
      <c r="G4946" s="18" t="s">
        <v>35</v>
      </c>
      <c r="H4946" s="40" t="s">
        <v>35</v>
      </c>
      <c r="I4946" s="37" t="s">
        <v>36</v>
      </c>
      <c r="J4946" s="25" t="s">
        <v>65</v>
      </c>
      <c r="K4946" s="26" t="s">
        <v>38</v>
      </c>
      <c r="L4946" s="72">
        <v>13788.0</v>
      </c>
      <c r="M4946" s="49" t="s">
        <v>73</v>
      </c>
      <c r="N4946" s="42" t="s">
        <v>16408</v>
      </c>
      <c r="O4946" s="67">
        <v>45904.673958263884</v>
      </c>
      <c r="P4946" s="35" t="s">
        <v>19791</v>
      </c>
      <c r="Q4946" s="13" t="s">
        <v>75</v>
      </c>
      <c r="R4946" s="13" t="s">
        <v>75</v>
      </c>
      <c r="S4946" s="13" t="s">
        <v>73</v>
      </c>
      <c r="T4946" s="44">
        <v>45895.633403541666</v>
      </c>
      <c r="U4946" s="44">
        <v>45904.408237662035</v>
      </c>
      <c r="V4946" s="44">
        <v>45904.4130237037</v>
      </c>
      <c r="W4946" s="11"/>
      <c r="X4946" s="11"/>
      <c r="Y4946" s="45">
        <v>302.0</v>
      </c>
      <c r="Z4946" s="45" t="s">
        <v>19792</v>
      </c>
      <c r="AA4946" s="31"/>
      <c r="AB4946" s="45" t="s">
        <v>19793</v>
      </c>
      <c r="AC4946" s="45"/>
    </row>
    <row r="4947" ht="18.75" customHeight="1">
      <c r="A4947" s="18" t="s">
        <v>19794</v>
      </c>
      <c r="B4947" s="19" t="s">
        <v>8223</v>
      </c>
      <c r="C4947" s="20">
        <v>90.0</v>
      </c>
      <c r="D4947" s="39" t="s">
        <v>19795</v>
      </c>
      <c r="E4947" s="27" t="s">
        <v>91</v>
      </c>
      <c r="F4947" s="27" t="s">
        <v>48</v>
      </c>
      <c r="G4947" s="18" t="s">
        <v>35</v>
      </c>
      <c r="H4947" s="40" t="s">
        <v>35</v>
      </c>
      <c r="I4947" s="37" t="s">
        <v>36</v>
      </c>
      <c r="J4947" s="25" t="s">
        <v>65</v>
      </c>
      <c r="K4947" s="26" t="s">
        <v>38</v>
      </c>
      <c r="L4947" s="72">
        <v>13787.0</v>
      </c>
      <c r="M4947" s="49" t="s">
        <v>73</v>
      </c>
      <c r="N4947" s="42" t="s">
        <v>16408</v>
      </c>
      <c r="O4947" s="67">
        <v>45904.6735525</v>
      </c>
      <c r="P4947" s="35" t="s">
        <v>19796</v>
      </c>
      <c r="Q4947" s="13" t="s">
        <v>75</v>
      </c>
      <c r="R4947" s="13" t="s">
        <v>75</v>
      </c>
      <c r="S4947" s="13" t="s">
        <v>73</v>
      </c>
      <c r="T4947" s="44">
        <v>45895.624231458336</v>
      </c>
      <c r="U4947" s="44">
        <v>45903.69505674769</v>
      </c>
      <c r="V4947" s="44">
        <v>45904.406444733795</v>
      </c>
      <c r="W4947" s="11"/>
      <c r="X4947" s="11"/>
      <c r="Y4947" s="45">
        <v>302.0</v>
      </c>
      <c r="Z4947" s="45" t="s">
        <v>19797</v>
      </c>
      <c r="AA4947" s="31"/>
      <c r="AB4947" s="45" t="s">
        <v>19798</v>
      </c>
      <c r="AC4947" s="45"/>
    </row>
    <row r="4948" ht="18.75" customHeight="1">
      <c r="A4948" s="18" t="s">
        <v>19799</v>
      </c>
      <c r="B4948" s="19" t="s">
        <v>8223</v>
      </c>
      <c r="C4948" s="20">
        <v>90.0</v>
      </c>
      <c r="D4948" s="39" t="s">
        <v>19800</v>
      </c>
      <c r="E4948" s="27" t="s">
        <v>91</v>
      </c>
      <c r="F4948" s="27" t="s">
        <v>48</v>
      </c>
      <c r="G4948" s="18" t="s">
        <v>35</v>
      </c>
      <c r="H4948" s="40" t="s">
        <v>35</v>
      </c>
      <c r="I4948" s="37" t="s">
        <v>36</v>
      </c>
      <c r="J4948" s="25" t="s">
        <v>65</v>
      </c>
      <c r="K4948" s="26" t="s">
        <v>38</v>
      </c>
      <c r="L4948" s="72">
        <v>13787.0</v>
      </c>
      <c r="M4948" s="49" t="s">
        <v>73</v>
      </c>
      <c r="N4948" s="42" t="s">
        <v>16408</v>
      </c>
      <c r="O4948" s="67">
        <v>45904.67368815972</v>
      </c>
      <c r="P4948" s="35" t="s">
        <v>19796</v>
      </c>
      <c r="Q4948" s="13" t="s">
        <v>75</v>
      </c>
      <c r="R4948" s="13" t="s">
        <v>75</v>
      </c>
      <c r="S4948" s="13" t="s">
        <v>73</v>
      </c>
      <c r="T4948" s="44">
        <v>45895.62430214121</v>
      </c>
      <c r="U4948" s="44">
        <v>45903.69509782408</v>
      </c>
      <c r="V4948" s="44">
        <v>45904.40651690972</v>
      </c>
      <c r="W4948" s="11"/>
      <c r="X4948" s="11"/>
      <c r="Y4948" s="45">
        <v>302.0</v>
      </c>
      <c r="Z4948" s="45" t="s">
        <v>19801</v>
      </c>
      <c r="AA4948" s="31"/>
      <c r="AB4948" s="45" t="s">
        <v>19802</v>
      </c>
      <c r="AC4948" s="45"/>
    </row>
    <row r="4949" ht="18.75" customHeight="1">
      <c r="A4949" s="18" t="s">
        <v>19803</v>
      </c>
      <c r="B4949" s="19" t="s">
        <v>8223</v>
      </c>
      <c r="C4949" s="20">
        <v>33.0</v>
      </c>
      <c r="D4949" s="39" t="s">
        <v>19804</v>
      </c>
      <c r="E4949" s="27" t="s">
        <v>6133</v>
      </c>
      <c r="F4949" s="27" t="s">
        <v>48</v>
      </c>
      <c r="G4949" s="18" t="s">
        <v>35</v>
      </c>
      <c r="H4949" s="40" t="s">
        <v>35</v>
      </c>
      <c r="I4949" s="37" t="s">
        <v>36</v>
      </c>
      <c r="J4949" s="25" t="s">
        <v>65</v>
      </c>
      <c r="K4949" s="26" t="s">
        <v>38</v>
      </c>
      <c r="L4949" s="72">
        <v>13787.0</v>
      </c>
      <c r="M4949" s="49" t="s">
        <v>73</v>
      </c>
      <c r="N4949" s="42" t="s">
        <v>16408</v>
      </c>
      <c r="O4949" s="67">
        <v>45904.67376450231</v>
      </c>
      <c r="P4949" s="35" t="s">
        <v>19796</v>
      </c>
      <c r="Q4949" s="13" t="s">
        <v>75</v>
      </c>
      <c r="R4949" s="13" t="s">
        <v>75</v>
      </c>
      <c r="S4949" s="13" t="s">
        <v>73</v>
      </c>
      <c r="T4949" s="44">
        <v>45895.6243605787</v>
      </c>
      <c r="U4949" s="44">
        <v>45903.69511929398</v>
      </c>
      <c r="V4949" s="44">
        <v>45904.40980513889</v>
      </c>
      <c r="W4949" s="11"/>
      <c r="X4949" s="11"/>
      <c r="Y4949" s="45">
        <v>302.0</v>
      </c>
      <c r="Z4949" s="45" t="s">
        <v>19805</v>
      </c>
      <c r="AA4949" s="31"/>
      <c r="AB4949" s="45" t="s">
        <v>19806</v>
      </c>
      <c r="AC4949" s="45"/>
    </row>
    <row r="4950" ht="18.75" customHeight="1">
      <c r="A4950" s="18" t="s">
        <v>19807</v>
      </c>
      <c r="B4950" s="19" t="s">
        <v>8223</v>
      </c>
      <c r="C4950" s="20">
        <v>137.0</v>
      </c>
      <c r="D4950" s="39" t="s">
        <v>19808</v>
      </c>
      <c r="E4950" s="27" t="s">
        <v>85</v>
      </c>
      <c r="F4950" s="27" t="s">
        <v>48</v>
      </c>
      <c r="G4950" s="18" t="s">
        <v>35</v>
      </c>
      <c r="H4950" s="40" t="s">
        <v>35</v>
      </c>
      <c r="I4950" s="37" t="s">
        <v>36</v>
      </c>
      <c r="J4950" s="25" t="s">
        <v>65</v>
      </c>
      <c r="K4950" s="26" t="s">
        <v>38</v>
      </c>
      <c r="L4950" s="72">
        <v>13787.0</v>
      </c>
      <c r="M4950" s="49" t="s">
        <v>73</v>
      </c>
      <c r="N4950" s="42" t="s">
        <v>16408</v>
      </c>
      <c r="O4950" s="67">
        <v>45904.6738227662</v>
      </c>
      <c r="P4950" s="35" t="s">
        <v>19796</v>
      </c>
      <c r="Q4950" s="13" t="s">
        <v>75</v>
      </c>
      <c r="R4950" s="13" t="s">
        <v>75</v>
      </c>
      <c r="S4950" s="13" t="s">
        <v>73</v>
      </c>
      <c r="T4950" s="44">
        <v>45895.62441399306</v>
      </c>
      <c r="U4950" s="44">
        <v>45903.69514228009</v>
      </c>
      <c r="V4950" s="44">
        <v>45904.40663074074</v>
      </c>
      <c r="W4950" s="11"/>
      <c r="X4950" s="11"/>
      <c r="Y4950" s="45">
        <v>302.0</v>
      </c>
      <c r="Z4950" s="45" t="s">
        <v>19809</v>
      </c>
      <c r="AA4950" s="31"/>
      <c r="AB4950" s="45" t="s">
        <v>19810</v>
      </c>
      <c r="AC4950" s="45"/>
    </row>
    <row r="4951" ht="18.75" customHeight="1">
      <c r="A4951" s="18" t="s">
        <v>19811</v>
      </c>
      <c r="B4951" s="19" t="s">
        <v>8223</v>
      </c>
      <c r="C4951" s="20">
        <v>27.0</v>
      </c>
      <c r="D4951" s="39" t="s">
        <v>19812</v>
      </c>
      <c r="E4951" s="27" t="s">
        <v>72</v>
      </c>
      <c r="F4951" s="27" t="s">
        <v>48</v>
      </c>
      <c r="G4951" s="18" t="s">
        <v>35</v>
      </c>
      <c r="H4951" s="40" t="s">
        <v>35</v>
      </c>
      <c r="I4951" s="37" t="s">
        <v>36</v>
      </c>
      <c r="J4951" s="25" t="s">
        <v>65</v>
      </c>
      <c r="K4951" s="26" t="s">
        <v>38</v>
      </c>
      <c r="L4951" s="72">
        <v>13787.0</v>
      </c>
      <c r="M4951" s="49" t="s">
        <v>73</v>
      </c>
      <c r="N4951" s="42" t="s">
        <v>16408</v>
      </c>
      <c r="O4951" s="67">
        <v>45904.67387483796</v>
      </c>
      <c r="P4951" s="35" t="s">
        <v>19796</v>
      </c>
      <c r="Q4951" s="13" t="s">
        <v>75</v>
      </c>
      <c r="R4951" s="13" t="s">
        <v>75</v>
      </c>
      <c r="S4951" s="13" t="s">
        <v>73</v>
      </c>
      <c r="T4951" s="44">
        <v>45895.62448171296</v>
      </c>
      <c r="U4951" s="44">
        <v>45903.69516216435</v>
      </c>
      <c r="V4951" s="44">
        <v>45904.40671572917</v>
      </c>
      <c r="W4951" s="11"/>
      <c r="X4951" s="11"/>
      <c r="Y4951" s="45">
        <v>302.0</v>
      </c>
      <c r="Z4951" s="45" t="s">
        <v>19813</v>
      </c>
      <c r="AA4951" s="31"/>
      <c r="AB4951" s="45" t="s">
        <v>19814</v>
      </c>
      <c r="AC4951" s="45"/>
    </row>
    <row r="4952" ht="18.75" customHeight="1">
      <c r="A4952" s="142" t="s">
        <v>19815</v>
      </c>
      <c r="B4952" s="19" t="s">
        <v>5180</v>
      </c>
      <c r="C4952" s="20">
        <v>0.0</v>
      </c>
      <c r="D4952" s="39" t="s">
        <v>19816</v>
      </c>
      <c r="E4952" s="27" t="s">
        <v>3441</v>
      </c>
      <c r="F4952" s="27" t="s">
        <v>48</v>
      </c>
      <c r="G4952" s="18" t="s">
        <v>35</v>
      </c>
      <c r="H4952" s="40" t="s">
        <v>35</v>
      </c>
      <c r="I4952" s="37" t="s">
        <v>36</v>
      </c>
      <c r="J4952" s="25" t="s">
        <v>65</v>
      </c>
      <c r="K4952" s="26" t="s">
        <v>38</v>
      </c>
      <c r="L4952" s="72">
        <v>13724.0</v>
      </c>
      <c r="M4952" s="49" t="s">
        <v>50</v>
      </c>
      <c r="N4952" s="42" t="s">
        <v>16408</v>
      </c>
      <c r="O4952" s="67">
        <v>45897.68566020833</v>
      </c>
      <c r="P4952" s="35" t="s">
        <v>15829</v>
      </c>
      <c r="Q4952" s="13" t="s">
        <v>75</v>
      </c>
      <c r="R4952" s="13" t="s">
        <v>75</v>
      </c>
      <c r="S4952" s="13" t="s">
        <v>73</v>
      </c>
      <c r="T4952" s="44">
        <v>45895.63525918982</v>
      </c>
      <c r="U4952" s="44">
        <v>45896.663572164354</v>
      </c>
      <c r="V4952" s="44">
        <v>45897.44029520833</v>
      </c>
      <c r="W4952" s="11"/>
      <c r="X4952" s="11"/>
      <c r="Y4952" s="45">
        <v>302.0</v>
      </c>
      <c r="Z4952" s="45" t="s">
        <v>19817</v>
      </c>
      <c r="AA4952" s="31"/>
      <c r="AB4952" s="45" t="s">
        <v>19818</v>
      </c>
      <c r="AC4952" s="45"/>
    </row>
    <row r="4953" ht="18.75" customHeight="1">
      <c r="A4953" s="142" t="s">
        <v>19819</v>
      </c>
      <c r="B4953" s="19" t="s">
        <v>473</v>
      </c>
      <c r="C4953" s="20">
        <v>137.0</v>
      </c>
      <c r="D4953" s="39" t="s">
        <v>19820</v>
      </c>
      <c r="E4953" s="27" t="s">
        <v>85</v>
      </c>
      <c r="F4953" s="27" t="s">
        <v>48</v>
      </c>
      <c r="G4953" s="18" t="s">
        <v>35</v>
      </c>
      <c r="H4953" s="40" t="s">
        <v>35</v>
      </c>
      <c r="I4953" s="37" t="s">
        <v>36</v>
      </c>
      <c r="J4953" s="25" t="s">
        <v>65</v>
      </c>
      <c r="K4953" s="26" t="s">
        <v>38</v>
      </c>
      <c r="L4953" s="72">
        <v>13793.0</v>
      </c>
      <c r="M4953" s="49" t="s">
        <v>50</v>
      </c>
      <c r="N4953" s="42" t="s">
        <v>18645</v>
      </c>
      <c r="O4953" s="67">
        <v>45905.65445055555</v>
      </c>
      <c r="P4953" s="35" t="s">
        <v>19821</v>
      </c>
      <c r="Q4953" s="13" t="s">
        <v>75</v>
      </c>
      <c r="R4953" s="13" t="s">
        <v>75</v>
      </c>
      <c r="S4953" s="13" t="s">
        <v>73</v>
      </c>
      <c r="T4953" s="44">
        <v>45895.63754325232</v>
      </c>
      <c r="U4953" s="44">
        <v>45904.526940069445</v>
      </c>
      <c r="V4953" s="44">
        <v>45905.428135243055</v>
      </c>
      <c r="W4953" s="11"/>
      <c r="X4953" s="11"/>
      <c r="Y4953" s="45">
        <v>302.0</v>
      </c>
      <c r="Z4953" s="45" t="s">
        <v>19822</v>
      </c>
      <c r="AA4953" s="31"/>
      <c r="AB4953" s="45" t="s">
        <v>19823</v>
      </c>
      <c r="AC4953" s="45"/>
    </row>
    <row r="4954" ht="18.75" customHeight="1">
      <c r="A4954" s="142" t="s">
        <v>19824</v>
      </c>
      <c r="B4954" s="19" t="s">
        <v>19825</v>
      </c>
      <c r="C4954" s="20">
        <v>0.0</v>
      </c>
      <c r="D4954" s="179">
        <v>20274.0</v>
      </c>
      <c r="E4954" s="27" t="s">
        <v>2288</v>
      </c>
      <c r="F4954" s="27" t="s">
        <v>33</v>
      </c>
      <c r="G4954" s="18" t="s">
        <v>35</v>
      </c>
      <c r="H4954" s="40" t="s">
        <v>35</v>
      </c>
      <c r="I4954" s="37" t="s">
        <v>36</v>
      </c>
      <c r="J4954" s="25" t="s">
        <v>37</v>
      </c>
      <c r="K4954" s="26" t="s">
        <v>38</v>
      </c>
      <c r="L4954" s="72">
        <v>13868.0</v>
      </c>
      <c r="M4954" s="49" t="s">
        <v>73</v>
      </c>
      <c r="N4954" s="42" t="s">
        <v>10833</v>
      </c>
      <c r="O4954" s="67">
        <v>45916.63728439815</v>
      </c>
      <c r="P4954" s="35" t="s">
        <v>19826</v>
      </c>
      <c r="Q4954" s="13" t="s">
        <v>75</v>
      </c>
      <c r="R4954" s="13" t="s">
        <v>75</v>
      </c>
      <c r="S4954" s="13" t="s">
        <v>9620</v>
      </c>
      <c r="T4954" s="44">
        <v>45895.63992402778</v>
      </c>
      <c r="U4954" s="44">
        <v>45896.4651255787</v>
      </c>
      <c r="V4954" s="44">
        <v>45911.73078121528</v>
      </c>
      <c r="W4954" s="11"/>
      <c r="X4954" s="11"/>
      <c r="Y4954" s="45">
        <v>302.0</v>
      </c>
      <c r="Z4954" s="45" t="s">
        <v>19827</v>
      </c>
      <c r="AA4954" s="31"/>
      <c r="AB4954" s="45" t="s">
        <v>19828</v>
      </c>
      <c r="AC4954" s="45"/>
    </row>
    <row r="4955" ht="18.75" customHeight="1">
      <c r="A4955" s="142" t="s">
        <v>19829</v>
      </c>
      <c r="B4955" s="19" t="s">
        <v>3289</v>
      </c>
      <c r="C4955" s="20">
        <v>90.0</v>
      </c>
      <c r="D4955" s="39" t="s">
        <v>19830</v>
      </c>
      <c r="E4955" s="27" t="s">
        <v>91</v>
      </c>
      <c r="F4955" s="27" t="s">
        <v>48</v>
      </c>
      <c r="G4955" s="18" t="s">
        <v>35</v>
      </c>
      <c r="H4955" s="40" t="s">
        <v>35</v>
      </c>
      <c r="I4955" s="37" t="s">
        <v>36</v>
      </c>
      <c r="J4955" s="25" t="s">
        <v>92</v>
      </c>
      <c r="K4955" s="26" t="s">
        <v>38</v>
      </c>
      <c r="L4955" s="72">
        <v>13705.0</v>
      </c>
      <c r="M4955" s="49" t="s">
        <v>50</v>
      </c>
      <c r="N4955" s="42" t="s">
        <v>16512</v>
      </c>
      <c r="O4955" s="67">
        <v>45896.41637228009</v>
      </c>
      <c r="P4955" s="35" t="s">
        <v>19831</v>
      </c>
      <c r="Q4955" s="13" t="s">
        <v>75</v>
      </c>
      <c r="R4955" s="13" t="s">
        <v>75</v>
      </c>
      <c r="S4955" s="13" t="s">
        <v>73</v>
      </c>
      <c r="T4955" s="44">
        <v>45896.36812113426</v>
      </c>
      <c r="U4955" s="44">
        <v>45896.36816488426</v>
      </c>
      <c r="V4955" s="44">
        <v>45896.369047141205</v>
      </c>
      <c r="W4955" s="11"/>
      <c r="X4955" s="11"/>
      <c r="Y4955" s="45">
        <v>302.0</v>
      </c>
      <c r="Z4955" s="45" t="s">
        <v>19832</v>
      </c>
      <c r="AA4955" s="31"/>
      <c r="AB4955" s="45" t="s">
        <v>19833</v>
      </c>
      <c r="AC4955" s="45"/>
    </row>
    <row r="4956" ht="18.75" customHeight="1">
      <c r="A4956" s="142" t="s">
        <v>19834</v>
      </c>
      <c r="B4956" s="19" t="s">
        <v>7945</v>
      </c>
      <c r="C4956" s="20">
        <v>90.0</v>
      </c>
      <c r="D4956" s="39" t="s">
        <v>19835</v>
      </c>
      <c r="E4956" s="27" t="s">
        <v>91</v>
      </c>
      <c r="F4956" s="27" t="s">
        <v>48</v>
      </c>
      <c r="G4956" s="18" t="s">
        <v>35</v>
      </c>
      <c r="H4956" s="40" t="s">
        <v>35</v>
      </c>
      <c r="I4956" s="37" t="s">
        <v>36</v>
      </c>
      <c r="J4956" s="25" t="s">
        <v>49</v>
      </c>
      <c r="K4956" s="26" t="s">
        <v>19108</v>
      </c>
      <c r="L4956" s="72">
        <v>13715.0</v>
      </c>
      <c r="M4956" s="49" t="s">
        <v>50</v>
      </c>
      <c r="N4956" s="42" t="s">
        <v>17048</v>
      </c>
      <c r="O4956" s="67">
        <v>45896.61278145833</v>
      </c>
      <c r="P4956" s="35" t="s">
        <v>19836</v>
      </c>
      <c r="Q4956" s="13" t="s">
        <v>75</v>
      </c>
      <c r="R4956" s="13" t="s">
        <v>75</v>
      </c>
      <c r="S4956" s="13" t="s">
        <v>73</v>
      </c>
      <c r="T4956" s="44">
        <v>45896.424526944444</v>
      </c>
      <c r="U4956" s="44">
        <v>45896.46483689814</v>
      </c>
      <c r="V4956" s="44">
        <v>45896.47720521991</v>
      </c>
      <c r="W4956" s="11"/>
      <c r="X4956" s="11"/>
      <c r="Y4956" s="45">
        <v>302.0</v>
      </c>
      <c r="Z4956" s="45" t="s">
        <v>19837</v>
      </c>
      <c r="AA4956" s="31"/>
      <c r="AB4956" s="45" t="s">
        <v>19838</v>
      </c>
      <c r="AC4956" s="45"/>
    </row>
    <row r="4957" ht="18.75" customHeight="1">
      <c r="A4957" s="142" t="s">
        <v>19839</v>
      </c>
      <c r="B4957" s="19" t="s">
        <v>19840</v>
      </c>
      <c r="C4957" s="20">
        <v>90.0</v>
      </c>
      <c r="D4957" s="39" t="s">
        <v>19841</v>
      </c>
      <c r="E4957" s="27" t="s">
        <v>91</v>
      </c>
      <c r="F4957" s="27" t="s">
        <v>48</v>
      </c>
      <c r="G4957" s="18" t="s">
        <v>35</v>
      </c>
      <c r="H4957" s="40" t="s">
        <v>35</v>
      </c>
      <c r="I4957" s="37" t="s">
        <v>36</v>
      </c>
      <c r="J4957" s="25" t="s">
        <v>65</v>
      </c>
      <c r="K4957" s="26" t="s">
        <v>38</v>
      </c>
      <c r="L4957" s="72">
        <v>13725.0</v>
      </c>
      <c r="M4957" s="49" t="s">
        <v>50</v>
      </c>
      <c r="N4957" s="42" t="s">
        <v>16408</v>
      </c>
      <c r="O4957" s="67">
        <v>45897.685611180554</v>
      </c>
      <c r="P4957" s="35" t="s">
        <v>19842</v>
      </c>
      <c r="Q4957" s="13" t="s">
        <v>75</v>
      </c>
      <c r="R4957" s="13" t="s">
        <v>75</v>
      </c>
      <c r="S4957" s="13" t="s">
        <v>73</v>
      </c>
      <c r="T4957" s="44">
        <v>45896.4357796875</v>
      </c>
      <c r="U4957" s="44">
        <v>45896.6061128125</v>
      </c>
      <c r="V4957" s="44">
        <v>45897.44029518518</v>
      </c>
      <c r="W4957" s="11"/>
      <c r="X4957" s="11"/>
      <c r="Y4957" s="45">
        <v>302.0</v>
      </c>
      <c r="Z4957" s="45" t="s">
        <v>19843</v>
      </c>
      <c r="AA4957" s="31"/>
      <c r="AB4957" s="45" t="s">
        <v>19844</v>
      </c>
      <c r="AC4957" s="45"/>
    </row>
    <row r="4958" ht="18.75" customHeight="1">
      <c r="A4958" s="142" t="s">
        <v>19845</v>
      </c>
      <c r="B4958" s="19" t="s">
        <v>4313</v>
      </c>
      <c r="C4958" s="20">
        <v>27.0</v>
      </c>
      <c r="D4958" s="39" t="s">
        <v>19846</v>
      </c>
      <c r="E4958" s="27" t="s">
        <v>72</v>
      </c>
      <c r="F4958" s="27" t="s">
        <v>48</v>
      </c>
      <c r="G4958" s="18" t="s">
        <v>35</v>
      </c>
      <c r="H4958" s="40" t="s">
        <v>35</v>
      </c>
      <c r="I4958" s="37" t="s">
        <v>36</v>
      </c>
      <c r="J4958" s="25" t="s">
        <v>92</v>
      </c>
      <c r="K4958" s="26" t="s">
        <v>38</v>
      </c>
      <c r="L4958" s="72">
        <v>13766.0</v>
      </c>
      <c r="M4958" s="49" t="s">
        <v>73</v>
      </c>
      <c r="N4958" s="42" t="s">
        <v>10176</v>
      </c>
      <c r="O4958" s="67">
        <v>45904.61962311342</v>
      </c>
      <c r="P4958" s="35" t="s">
        <v>19847</v>
      </c>
      <c r="Q4958" s="13" t="s">
        <v>75</v>
      </c>
      <c r="R4958" s="13" t="s">
        <v>75</v>
      </c>
      <c r="S4958" s="13" t="s">
        <v>73</v>
      </c>
      <c r="T4958" s="44">
        <v>45896.62004016204</v>
      </c>
      <c r="U4958" s="44">
        <v>45896.70392706018</v>
      </c>
      <c r="V4958" s="44">
        <v>45902.43684814815</v>
      </c>
      <c r="W4958" s="11"/>
      <c r="X4958" s="11"/>
      <c r="Y4958" s="45">
        <v>302.0</v>
      </c>
      <c r="Z4958" s="45" t="s">
        <v>19848</v>
      </c>
      <c r="AA4958" s="31"/>
      <c r="AB4958" s="45" t="s">
        <v>19849</v>
      </c>
      <c r="AC4958" s="45"/>
    </row>
    <row r="4959" ht="18.75" customHeight="1">
      <c r="A4959" s="18" t="s">
        <v>19850</v>
      </c>
      <c r="B4959" s="19" t="s">
        <v>1299</v>
      </c>
      <c r="C4959" s="20">
        <v>0.0</v>
      </c>
      <c r="D4959" s="39"/>
      <c r="E4959" s="27" t="s">
        <v>12486</v>
      </c>
      <c r="F4959" s="27" t="s">
        <v>11504</v>
      </c>
      <c r="G4959" s="18" t="s">
        <v>35</v>
      </c>
      <c r="H4959" s="40" t="s">
        <v>35</v>
      </c>
      <c r="I4959" s="37" t="s">
        <v>36</v>
      </c>
      <c r="J4959" s="25" t="s">
        <v>92</v>
      </c>
      <c r="K4959" s="26" t="s">
        <v>38</v>
      </c>
      <c r="L4959" s="72">
        <v>13719.0</v>
      </c>
      <c r="M4959" s="49" t="s">
        <v>50</v>
      </c>
      <c r="N4959" s="42" t="s">
        <v>4767</v>
      </c>
      <c r="O4959" s="67">
        <v>45897.43283708333</v>
      </c>
      <c r="P4959" s="35" t="s">
        <v>13574</v>
      </c>
      <c r="Q4959" s="13" t="s">
        <v>75</v>
      </c>
      <c r="R4959" s="13" t="s">
        <v>75</v>
      </c>
      <c r="S4959" s="13" t="s">
        <v>50</v>
      </c>
      <c r="T4959" s="44"/>
      <c r="U4959" s="44"/>
      <c r="V4959" s="44">
        <v>45897.41840502315</v>
      </c>
      <c r="W4959" s="11"/>
      <c r="X4959" s="11"/>
      <c r="Y4959" s="45">
        <v>302.0</v>
      </c>
      <c r="Z4959" s="45" t="s">
        <v>19851</v>
      </c>
      <c r="AA4959" s="31"/>
      <c r="AB4959" s="45" t="s">
        <v>19852</v>
      </c>
      <c r="AC4959" s="45"/>
    </row>
    <row r="4960" ht="18.75" customHeight="1">
      <c r="A4960" s="32" t="s">
        <v>19853</v>
      </c>
      <c r="B4960" s="19" t="s">
        <v>1299</v>
      </c>
      <c r="C4960" s="20">
        <v>0.0</v>
      </c>
      <c r="D4960" s="39"/>
      <c r="E4960" s="27" t="s">
        <v>12486</v>
      </c>
      <c r="F4960" s="27" t="s">
        <v>11504</v>
      </c>
      <c r="G4960" s="18" t="s">
        <v>35</v>
      </c>
      <c r="H4960" s="40" t="s">
        <v>35</v>
      </c>
      <c r="I4960" s="37" t="s">
        <v>36</v>
      </c>
      <c r="J4960" s="25" t="s">
        <v>92</v>
      </c>
      <c r="K4960" s="26" t="s">
        <v>38</v>
      </c>
      <c r="L4960" s="72">
        <v>13719.0</v>
      </c>
      <c r="M4960" s="49" t="s">
        <v>50</v>
      </c>
      <c r="N4960" s="42" t="s">
        <v>4767</v>
      </c>
      <c r="O4960" s="67">
        <v>45897.432747962965</v>
      </c>
      <c r="P4960" s="35" t="s">
        <v>13574</v>
      </c>
      <c r="Q4960" s="13" t="s">
        <v>75</v>
      </c>
      <c r="R4960" s="13" t="s">
        <v>75</v>
      </c>
      <c r="S4960" s="13" t="s">
        <v>50</v>
      </c>
      <c r="T4960" s="44"/>
      <c r="U4960" s="44"/>
      <c r="V4960" s="44">
        <v>45897.41840502315</v>
      </c>
      <c r="W4960" s="11"/>
      <c r="X4960" s="11"/>
      <c r="Y4960" s="45">
        <v>302.0</v>
      </c>
      <c r="Z4960" s="45" t="s">
        <v>19854</v>
      </c>
      <c r="AA4960" s="31"/>
      <c r="AB4960" s="45" t="s">
        <v>19855</v>
      </c>
      <c r="AC4960" s="45"/>
    </row>
    <row r="4961" ht="18.75" customHeight="1">
      <c r="A4961" s="32" t="s">
        <v>19856</v>
      </c>
      <c r="B4961" s="19" t="s">
        <v>1299</v>
      </c>
      <c r="C4961" s="20">
        <v>0.0</v>
      </c>
      <c r="D4961" s="39"/>
      <c r="E4961" s="27" t="s">
        <v>12486</v>
      </c>
      <c r="F4961" s="27" t="s">
        <v>11504</v>
      </c>
      <c r="G4961" s="18" t="s">
        <v>35</v>
      </c>
      <c r="H4961" s="40" t="s">
        <v>35</v>
      </c>
      <c r="I4961" s="37" t="s">
        <v>36</v>
      </c>
      <c r="J4961" s="25" t="s">
        <v>92</v>
      </c>
      <c r="K4961" s="26" t="s">
        <v>38</v>
      </c>
      <c r="L4961" s="72">
        <v>13719.0</v>
      </c>
      <c r="M4961" s="49" t="s">
        <v>50</v>
      </c>
      <c r="N4961" s="42" t="s">
        <v>4767</v>
      </c>
      <c r="O4961" s="67">
        <v>45897.43264318287</v>
      </c>
      <c r="P4961" s="35" t="s">
        <v>13574</v>
      </c>
      <c r="Q4961" s="13" t="s">
        <v>75</v>
      </c>
      <c r="R4961" s="13" t="s">
        <v>75</v>
      </c>
      <c r="S4961" s="13" t="s">
        <v>50</v>
      </c>
      <c r="T4961" s="44">
        <v>45896.62163841435</v>
      </c>
      <c r="U4961" s="44">
        <v>45896.704381180556</v>
      </c>
      <c r="V4961" s="44">
        <v>45897.41097545139</v>
      </c>
      <c r="W4961" s="11"/>
      <c r="X4961" s="11"/>
      <c r="Y4961" s="45">
        <v>302.0</v>
      </c>
      <c r="Z4961" s="45" t="s">
        <v>19857</v>
      </c>
      <c r="AA4961" s="31"/>
      <c r="AB4961" s="45" t="s">
        <v>19858</v>
      </c>
      <c r="AC4961" s="45"/>
    </row>
    <row r="4962" ht="18.75" customHeight="1">
      <c r="A4962" s="32" t="s">
        <v>19859</v>
      </c>
      <c r="B4962" s="19" t="s">
        <v>1299</v>
      </c>
      <c r="C4962" s="20">
        <v>0.0</v>
      </c>
      <c r="D4962" s="39"/>
      <c r="E4962" s="27" t="s">
        <v>11503</v>
      </c>
      <c r="F4962" s="27" t="s">
        <v>11504</v>
      </c>
      <c r="G4962" s="18" t="s">
        <v>35</v>
      </c>
      <c r="H4962" s="40" t="s">
        <v>35</v>
      </c>
      <c r="I4962" s="37" t="s">
        <v>36</v>
      </c>
      <c r="J4962" s="25" t="s">
        <v>92</v>
      </c>
      <c r="K4962" s="26" t="s">
        <v>38</v>
      </c>
      <c r="L4962" s="72">
        <v>13719.0</v>
      </c>
      <c r="M4962" s="49" t="s">
        <v>50</v>
      </c>
      <c r="N4962" s="42" t="s">
        <v>4767</v>
      </c>
      <c r="O4962" s="67">
        <v>45897.43269497685</v>
      </c>
      <c r="P4962" s="35" t="s">
        <v>13574</v>
      </c>
      <c r="Q4962" s="13" t="s">
        <v>75</v>
      </c>
      <c r="R4962" s="13" t="s">
        <v>75</v>
      </c>
      <c r="S4962" s="13" t="s">
        <v>50</v>
      </c>
      <c r="T4962" s="44">
        <v>45896.62185538195</v>
      </c>
      <c r="U4962" s="44">
        <v>45896.704414733795</v>
      </c>
      <c r="V4962" s="44">
        <v>45897.41097545139</v>
      </c>
      <c r="W4962" s="11"/>
      <c r="X4962" s="11"/>
      <c r="Y4962" s="45">
        <v>302.0</v>
      </c>
      <c r="Z4962" s="45" t="s">
        <v>19860</v>
      </c>
      <c r="AA4962" s="31"/>
      <c r="AB4962" s="45" t="s">
        <v>19861</v>
      </c>
      <c r="AC4962" s="45"/>
    </row>
    <row r="4963" ht="18.75" customHeight="1">
      <c r="A4963" s="142" t="s">
        <v>19862</v>
      </c>
      <c r="B4963" s="19" t="s">
        <v>13276</v>
      </c>
      <c r="C4963" s="20">
        <v>0.0</v>
      </c>
      <c r="D4963" s="39" t="s">
        <v>19863</v>
      </c>
      <c r="E4963" s="27" t="s">
        <v>4430</v>
      </c>
      <c r="F4963" s="27" t="s">
        <v>48</v>
      </c>
      <c r="G4963" s="18" t="s">
        <v>35</v>
      </c>
      <c r="H4963" s="40" t="s">
        <v>35</v>
      </c>
      <c r="I4963" s="37" t="s">
        <v>36</v>
      </c>
      <c r="J4963" s="25" t="s">
        <v>92</v>
      </c>
      <c r="K4963" s="26" t="s">
        <v>38</v>
      </c>
      <c r="L4963" s="72">
        <v>13765.0</v>
      </c>
      <c r="M4963" s="49" t="s">
        <v>50</v>
      </c>
      <c r="N4963" s="42" t="s">
        <v>7145</v>
      </c>
      <c r="O4963" s="67">
        <v>45916.476503125</v>
      </c>
      <c r="P4963" s="35" t="s">
        <v>17486</v>
      </c>
      <c r="Q4963" s="13" t="s">
        <v>75</v>
      </c>
      <c r="R4963" s="13" t="s">
        <v>75</v>
      </c>
      <c r="S4963" s="13" t="s">
        <v>73</v>
      </c>
      <c r="T4963" s="44">
        <v>45896.62619707176</v>
      </c>
      <c r="U4963" s="44">
        <v>45896.70411795139</v>
      </c>
      <c r="V4963" s="44">
        <v>45902.43697565972</v>
      </c>
      <c r="W4963" s="11"/>
      <c r="X4963" s="11"/>
      <c r="Y4963" s="45">
        <v>302.0</v>
      </c>
      <c r="Z4963" s="45" t="s">
        <v>19864</v>
      </c>
      <c r="AA4963" s="31"/>
      <c r="AB4963" s="45" t="s">
        <v>19865</v>
      </c>
      <c r="AC4963" s="45"/>
    </row>
    <row r="4964" ht="18.75" customHeight="1">
      <c r="A4964" s="142" t="s">
        <v>19866</v>
      </c>
      <c r="B4964" s="19" t="s">
        <v>5469</v>
      </c>
      <c r="C4964" s="20">
        <v>1.0</v>
      </c>
      <c r="D4964" s="179">
        <v>20244.0</v>
      </c>
      <c r="E4964" s="27" t="s">
        <v>11712</v>
      </c>
      <c r="F4964" s="27" t="s">
        <v>48</v>
      </c>
      <c r="G4964" s="18" t="s">
        <v>35</v>
      </c>
      <c r="H4964" s="40" t="s">
        <v>35</v>
      </c>
      <c r="I4964" s="37" t="s">
        <v>36</v>
      </c>
      <c r="J4964" s="25" t="s">
        <v>49</v>
      </c>
      <c r="K4964" s="26" t="s">
        <v>38</v>
      </c>
      <c r="L4964" s="72">
        <v>13763.0</v>
      </c>
      <c r="M4964" s="49" t="s">
        <v>50</v>
      </c>
      <c r="N4964" s="42" t="s">
        <v>17048</v>
      </c>
      <c r="O4964" s="67">
        <v>45905.365137581015</v>
      </c>
      <c r="P4964" s="35" t="s">
        <v>19867</v>
      </c>
      <c r="Q4964" s="13" t="s">
        <v>75</v>
      </c>
      <c r="R4964" s="13" t="s">
        <v>75</v>
      </c>
      <c r="S4964" s="13" t="s">
        <v>9620</v>
      </c>
      <c r="T4964" s="44">
        <v>45896.64718667824</v>
      </c>
      <c r="U4964" s="44">
        <v>45898.58203832176</v>
      </c>
      <c r="V4964" s="44">
        <v>45901.63906289352</v>
      </c>
      <c r="W4964" s="11"/>
      <c r="X4964" s="11"/>
      <c r="Y4964" s="45">
        <v>302.0</v>
      </c>
      <c r="Z4964" s="45" t="s">
        <v>19868</v>
      </c>
      <c r="AA4964" s="31"/>
      <c r="AB4964" s="45" t="s">
        <v>19869</v>
      </c>
      <c r="AC4964" s="45"/>
    </row>
    <row r="4965" ht="18.75" customHeight="1">
      <c r="A4965" s="142" t="s">
        <v>19870</v>
      </c>
      <c r="B4965" s="19" t="s">
        <v>4352</v>
      </c>
      <c r="C4965" s="20">
        <v>90.0</v>
      </c>
      <c r="D4965" s="39" t="s">
        <v>19871</v>
      </c>
      <c r="E4965" s="27" t="s">
        <v>91</v>
      </c>
      <c r="F4965" s="27" t="s">
        <v>48</v>
      </c>
      <c r="G4965" s="18" t="s">
        <v>35</v>
      </c>
      <c r="H4965" s="40" t="s">
        <v>35</v>
      </c>
      <c r="I4965" s="37" t="s">
        <v>36</v>
      </c>
      <c r="J4965" s="25" t="s">
        <v>49</v>
      </c>
      <c r="K4965" s="26" t="s">
        <v>38</v>
      </c>
      <c r="L4965" s="72">
        <v>13749.0</v>
      </c>
      <c r="M4965" s="49" t="s">
        <v>50</v>
      </c>
      <c r="N4965" s="42" t="s">
        <v>17048</v>
      </c>
      <c r="O4965" s="67">
        <v>45901.60272497685</v>
      </c>
      <c r="P4965" s="35" t="s">
        <v>19872</v>
      </c>
      <c r="Q4965" s="13" t="s">
        <v>75</v>
      </c>
      <c r="R4965" s="13" t="s">
        <v>75</v>
      </c>
      <c r="S4965" s="13" t="s">
        <v>73</v>
      </c>
      <c r="T4965" s="44">
        <v>45898.48528003472</v>
      </c>
      <c r="U4965" s="44">
        <v>45898.697928946756</v>
      </c>
      <c r="V4965" s="44">
        <v>45901.43745513889</v>
      </c>
      <c r="W4965" s="11"/>
      <c r="X4965" s="11"/>
      <c r="Y4965" s="45">
        <v>302.0</v>
      </c>
      <c r="Z4965" s="45" t="s">
        <v>19873</v>
      </c>
      <c r="AA4965" s="31"/>
      <c r="AB4965" s="45" t="s">
        <v>19874</v>
      </c>
      <c r="AC4965" s="45"/>
    </row>
    <row r="4966" ht="18.75" customHeight="1">
      <c r="A4966" s="142" t="s">
        <v>19875</v>
      </c>
      <c r="B4966" s="19" t="s">
        <v>4352</v>
      </c>
      <c r="C4966" s="20">
        <v>11.0</v>
      </c>
      <c r="D4966" s="39" t="s">
        <v>19876</v>
      </c>
      <c r="E4966" s="27" t="s">
        <v>112</v>
      </c>
      <c r="F4966" s="27" t="s">
        <v>48</v>
      </c>
      <c r="G4966" s="18" t="s">
        <v>35</v>
      </c>
      <c r="H4966" s="40" t="s">
        <v>35</v>
      </c>
      <c r="I4966" s="37" t="s">
        <v>36</v>
      </c>
      <c r="J4966" s="25" t="s">
        <v>49</v>
      </c>
      <c r="K4966" s="26" t="s">
        <v>38</v>
      </c>
      <c r="L4966" s="72">
        <v>13753.0</v>
      </c>
      <c r="M4966" s="49" t="s">
        <v>50</v>
      </c>
      <c r="N4966" s="42" t="s">
        <v>17048</v>
      </c>
      <c r="O4966" s="67">
        <v>45901.602584444445</v>
      </c>
      <c r="P4966" s="35" t="s">
        <v>19877</v>
      </c>
      <c r="Q4966" s="13" t="s">
        <v>75</v>
      </c>
      <c r="R4966" s="13" t="s">
        <v>75</v>
      </c>
      <c r="S4966" s="13" t="s">
        <v>73</v>
      </c>
      <c r="T4966" s="44">
        <v>45898.69900736111</v>
      </c>
      <c r="U4966" s="44">
        <v>45898.69907884259</v>
      </c>
      <c r="V4966" s="44">
        <v>45901.44093577546</v>
      </c>
      <c r="W4966" s="11"/>
      <c r="X4966" s="11"/>
      <c r="Y4966" s="45">
        <v>302.0</v>
      </c>
      <c r="Z4966" s="45" t="s">
        <v>19878</v>
      </c>
      <c r="AA4966" s="31"/>
      <c r="AB4966" s="45" t="s">
        <v>19879</v>
      </c>
      <c r="AC4966" s="45"/>
    </row>
    <row r="4967" ht="18.75" customHeight="1">
      <c r="A4967" s="18" t="s">
        <v>19880</v>
      </c>
      <c r="B4967" s="19" t="s">
        <v>19002</v>
      </c>
      <c r="C4967" s="20">
        <v>1.0</v>
      </c>
      <c r="D4967" s="39" t="s">
        <v>19881</v>
      </c>
      <c r="E4967" s="27" t="s">
        <v>3395</v>
      </c>
      <c r="F4967" s="27" t="s">
        <v>48</v>
      </c>
      <c r="G4967" s="18" t="s">
        <v>35</v>
      </c>
      <c r="H4967" s="40" t="s">
        <v>35</v>
      </c>
      <c r="I4967" s="37" t="s">
        <v>36</v>
      </c>
      <c r="J4967" s="25" t="s">
        <v>19882</v>
      </c>
      <c r="K4967" s="26" t="s">
        <v>38</v>
      </c>
      <c r="L4967" s="72">
        <v>13876.0</v>
      </c>
      <c r="M4967" s="49" t="s">
        <v>73</v>
      </c>
      <c r="N4967" s="65" t="s">
        <v>19883</v>
      </c>
      <c r="O4967" s="224">
        <v>45916.0</v>
      </c>
      <c r="P4967" s="26" t="s">
        <v>19884</v>
      </c>
      <c r="Q4967" s="13" t="s">
        <v>73</v>
      </c>
      <c r="R4967" s="13" t="s">
        <v>73</v>
      </c>
      <c r="S4967" s="13" t="s">
        <v>73</v>
      </c>
      <c r="T4967" s="44">
        <v>45916.541390115744</v>
      </c>
      <c r="U4967" s="44">
        <v>45916.54176900463</v>
      </c>
      <c r="V4967" s="44">
        <v>45916.54708716435</v>
      </c>
      <c r="W4967" s="11"/>
      <c r="X4967" s="11"/>
      <c r="Y4967" s="45">
        <v>302.0</v>
      </c>
      <c r="Z4967" s="45" t="s">
        <v>19885</v>
      </c>
      <c r="AA4967" s="31"/>
      <c r="AB4967" s="45" t="s">
        <v>19886</v>
      </c>
      <c r="AC4967" s="45"/>
    </row>
    <row r="4968" ht="18.75" customHeight="1">
      <c r="A4968" s="18" t="s">
        <v>19887</v>
      </c>
      <c r="B4968" s="19" t="s">
        <v>19002</v>
      </c>
      <c r="C4968" s="20">
        <v>1.0</v>
      </c>
      <c r="D4968" s="39" t="s">
        <v>19888</v>
      </c>
      <c r="E4968" s="27" t="s">
        <v>3395</v>
      </c>
      <c r="F4968" s="27" t="s">
        <v>48</v>
      </c>
      <c r="G4968" s="18" t="s">
        <v>35</v>
      </c>
      <c r="H4968" s="40" t="s">
        <v>35</v>
      </c>
      <c r="I4968" s="37" t="s">
        <v>36</v>
      </c>
      <c r="J4968" s="25" t="s">
        <v>19882</v>
      </c>
      <c r="K4968" s="26" t="s">
        <v>38</v>
      </c>
      <c r="L4968" s="72">
        <v>13876.0</v>
      </c>
      <c r="M4968" s="49" t="s">
        <v>73</v>
      </c>
      <c r="N4968" s="65" t="s">
        <v>19883</v>
      </c>
      <c r="O4968" s="224">
        <v>45916.0</v>
      </c>
      <c r="P4968" s="26" t="s">
        <v>19889</v>
      </c>
      <c r="Q4968" s="13" t="s">
        <v>73</v>
      </c>
      <c r="R4968" s="13" t="s">
        <v>73</v>
      </c>
      <c r="S4968" s="13" t="s">
        <v>73</v>
      </c>
      <c r="T4968" s="44">
        <v>45916.54149523148</v>
      </c>
      <c r="U4968" s="44">
        <v>45916.541899930555</v>
      </c>
      <c r="V4968" s="44">
        <v>45916.54315146991</v>
      </c>
      <c r="W4968" s="11"/>
      <c r="X4968" s="11"/>
      <c r="Y4968" s="45">
        <v>302.0</v>
      </c>
      <c r="Z4968" s="45" t="s">
        <v>19890</v>
      </c>
      <c r="AA4968" s="31"/>
      <c r="AB4968" s="45" t="s">
        <v>19891</v>
      </c>
      <c r="AC4968" s="45"/>
    </row>
    <row r="4969" ht="18.75" customHeight="1">
      <c r="A4969" s="18" t="s">
        <v>19892</v>
      </c>
      <c r="B4969" s="19" t="s">
        <v>19002</v>
      </c>
      <c r="C4969" s="20">
        <v>1.0</v>
      </c>
      <c r="D4969" s="39" t="s">
        <v>19893</v>
      </c>
      <c r="E4969" s="27" t="s">
        <v>3395</v>
      </c>
      <c r="F4969" s="27" t="s">
        <v>48</v>
      </c>
      <c r="G4969" s="18" t="s">
        <v>35</v>
      </c>
      <c r="H4969" s="40" t="s">
        <v>35</v>
      </c>
      <c r="I4969" s="37" t="s">
        <v>36</v>
      </c>
      <c r="J4969" s="25" t="s">
        <v>19882</v>
      </c>
      <c r="K4969" s="26" t="s">
        <v>38</v>
      </c>
      <c r="L4969" s="72">
        <v>13876.0</v>
      </c>
      <c r="M4969" s="49" t="s">
        <v>73</v>
      </c>
      <c r="N4969" s="65" t="s">
        <v>19883</v>
      </c>
      <c r="O4969" s="224">
        <v>45916.0</v>
      </c>
      <c r="P4969" s="26" t="s">
        <v>19889</v>
      </c>
      <c r="Q4969" s="13" t="s">
        <v>73</v>
      </c>
      <c r="R4969" s="13" t="s">
        <v>73</v>
      </c>
      <c r="S4969" s="13" t="s">
        <v>73</v>
      </c>
      <c r="T4969" s="44">
        <v>45916.541613090274</v>
      </c>
      <c r="U4969" s="44">
        <v>45916.54194709491</v>
      </c>
      <c r="V4969" s="44">
        <v>45916.54315146991</v>
      </c>
      <c r="W4969" s="11"/>
      <c r="X4969" s="11"/>
      <c r="Y4969" s="45">
        <v>302.0</v>
      </c>
      <c r="Z4969" s="45" t="s">
        <v>19894</v>
      </c>
      <c r="AA4969" s="31"/>
      <c r="AB4969" s="45" t="s">
        <v>19895</v>
      </c>
      <c r="AC4969" s="45"/>
    </row>
    <row r="4970" ht="18.75" customHeight="1">
      <c r="A4970" s="18" t="s">
        <v>19896</v>
      </c>
      <c r="B4970" s="19" t="s">
        <v>19002</v>
      </c>
      <c r="C4970" s="20">
        <v>1.0</v>
      </c>
      <c r="D4970" s="39" t="s">
        <v>19897</v>
      </c>
      <c r="E4970" s="27" t="s">
        <v>3395</v>
      </c>
      <c r="F4970" s="27" t="s">
        <v>48</v>
      </c>
      <c r="G4970" s="18" t="s">
        <v>35</v>
      </c>
      <c r="H4970" s="40" t="s">
        <v>35</v>
      </c>
      <c r="I4970" s="37" t="s">
        <v>36</v>
      </c>
      <c r="J4970" s="25" t="s">
        <v>19882</v>
      </c>
      <c r="K4970" s="26" t="s">
        <v>38</v>
      </c>
      <c r="L4970" s="72">
        <v>13876.0</v>
      </c>
      <c r="M4970" s="49" t="s">
        <v>73</v>
      </c>
      <c r="N4970" s="65" t="s">
        <v>19883</v>
      </c>
      <c r="O4970" s="224">
        <v>45916.0</v>
      </c>
      <c r="P4970" s="26" t="s">
        <v>19889</v>
      </c>
      <c r="Q4970" s="13" t="s">
        <v>73</v>
      </c>
      <c r="R4970" s="13" t="s">
        <v>73</v>
      </c>
      <c r="S4970" s="13" t="s">
        <v>73</v>
      </c>
      <c r="T4970" s="44">
        <v>45916.541722187496</v>
      </c>
      <c r="U4970" s="44">
        <v>45916.54199107639</v>
      </c>
      <c r="V4970" s="44">
        <v>45916.543151527774</v>
      </c>
      <c r="W4970" s="11"/>
      <c r="X4970" s="11"/>
      <c r="Y4970" s="45">
        <v>302.0</v>
      </c>
      <c r="Z4970" s="45" t="s">
        <v>19898</v>
      </c>
      <c r="AA4970" s="31"/>
      <c r="AB4970" s="45" t="s">
        <v>19899</v>
      </c>
      <c r="AC4970" s="45"/>
    </row>
    <row r="4971" ht="18.75" customHeight="1">
      <c r="A4971" s="18" t="s">
        <v>19900</v>
      </c>
      <c r="B4971" s="19" t="s">
        <v>19901</v>
      </c>
      <c r="C4971" s="20">
        <v>34.0</v>
      </c>
      <c r="D4971" s="39" t="s">
        <v>19902</v>
      </c>
      <c r="E4971" s="27" t="s">
        <v>47</v>
      </c>
      <c r="F4971" s="27" t="s">
        <v>48</v>
      </c>
      <c r="G4971" s="18" t="s">
        <v>35</v>
      </c>
      <c r="H4971" s="40" t="s">
        <v>35</v>
      </c>
      <c r="I4971" s="37" t="s">
        <v>36</v>
      </c>
      <c r="J4971" s="25" t="s">
        <v>65</v>
      </c>
      <c r="K4971" s="26" t="s">
        <v>38</v>
      </c>
      <c r="L4971" s="72">
        <v>13734.0</v>
      </c>
      <c r="M4971" s="49" t="s">
        <v>50</v>
      </c>
      <c r="N4971" s="42" t="s">
        <v>16408</v>
      </c>
      <c r="O4971" s="67">
        <v>45898.62376590278</v>
      </c>
      <c r="P4971" s="35" t="s">
        <v>19903</v>
      </c>
      <c r="Q4971" s="13" t="s">
        <v>75</v>
      </c>
      <c r="R4971" s="13" t="s">
        <v>75</v>
      </c>
      <c r="S4971" s="13" t="s">
        <v>73</v>
      </c>
      <c r="T4971" s="44">
        <v>45897.50989221065</v>
      </c>
      <c r="U4971" s="44">
        <v>45897.577743912036</v>
      </c>
      <c r="V4971" s="44">
        <v>45898.45441664352</v>
      </c>
      <c r="W4971" s="11"/>
      <c r="X4971" s="11"/>
      <c r="Y4971" s="45">
        <v>302.0</v>
      </c>
      <c r="Z4971" s="45" t="s">
        <v>19904</v>
      </c>
      <c r="AA4971" s="31"/>
      <c r="AB4971" s="45" t="s">
        <v>19905</v>
      </c>
      <c r="AC4971" s="45"/>
    </row>
    <row r="4972" ht="18.75" customHeight="1">
      <c r="A4972" s="18" t="s">
        <v>19906</v>
      </c>
      <c r="B4972" s="19" t="s">
        <v>19901</v>
      </c>
      <c r="C4972" s="20">
        <v>34.0</v>
      </c>
      <c r="D4972" s="39" t="s">
        <v>19907</v>
      </c>
      <c r="E4972" s="27" t="s">
        <v>47</v>
      </c>
      <c r="F4972" s="27" t="s">
        <v>48</v>
      </c>
      <c r="G4972" s="18" t="s">
        <v>35</v>
      </c>
      <c r="H4972" s="40" t="s">
        <v>35</v>
      </c>
      <c r="I4972" s="37" t="s">
        <v>36</v>
      </c>
      <c r="J4972" s="25" t="s">
        <v>65</v>
      </c>
      <c r="K4972" s="26" t="s">
        <v>38</v>
      </c>
      <c r="L4972" s="72">
        <v>13734.0</v>
      </c>
      <c r="M4972" s="49" t="s">
        <v>50</v>
      </c>
      <c r="N4972" s="42" t="s">
        <v>16408</v>
      </c>
      <c r="O4972" s="67">
        <v>45898.623721909724</v>
      </c>
      <c r="P4972" s="35" t="s">
        <v>19903</v>
      </c>
      <c r="Q4972" s="13" t="s">
        <v>75</v>
      </c>
      <c r="R4972" s="13" t="s">
        <v>75</v>
      </c>
      <c r="S4972" s="13" t="s">
        <v>73</v>
      </c>
      <c r="T4972" s="44">
        <v>45897.50997133102</v>
      </c>
      <c r="U4972" s="44">
        <v>45897.577767511575</v>
      </c>
      <c r="V4972" s="44">
        <v>45898.45441665509</v>
      </c>
      <c r="W4972" s="11"/>
      <c r="X4972" s="11"/>
      <c r="Y4972" s="45">
        <v>302.0</v>
      </c>
      <c r="Z4972" s="45" t="s">
        <v>19908</v>
      </c>
      <c r="AA4972" s="31"/>
      <c r="AB4972" s="45" t="s">
        <v>19909</v>
      </c>
      <c r="AC4972" s="45"/>
    </row>
    <row r="4973" ht="18.75" customHeight="1">
      <c r="A4973" s="18" t="s">
        <v>19910</v>
      </c>
      <c r="B4973" s="19" t="s">
        <v>19901</v>
      </c>
      <c r="C4973" s="20">
        <v>34.0</v>
      </c>
      <c r="D4973" s="39" t="s">
        <v>19911</v>
      </c>
      <c r="E4973" s="27" t="s">
        <v>47</v>
      </c>
      <c r="F4973" s="27" t="s">
        <v>48</v>
      </c>
      <c r="G4973" s="18" t="s">
        <v>35</v>
      </c>
      <c r="H4973" s="40" t="s">
        <v>35</v>
      </c>
      <c r="I4973" s="37" t="s">
        <v>36</v>
      </c>
      <c r="J4973" s="25" t="s">
        <v>65</v>
      </c>
      <c r="K4973" s="26" t="s">
        <v>38</v>
      </c>
      <c r="L4973" s="72">
        <v>13734.0</v>
      </c>
      <c r="M4973" s="49" t="s">
        <v>50</v>
      </c>
      <c r="N4973" s="42" t="s">
        <v>16408</v>
      </c>
      <c r="O4973" s="67">
        <v>45898.62367804398</v>
      </c>
      <c r="P4973" s="35" t="s">
        <v>19903</v>
      </c>
      <c r="Q4973" s="13" t="s">
        <v>75</v>
      </c>
      <c r="R4973" s="13" t="s">
        <v>75</v>
      </c>
      <c r="S4973" s="13" t="s">
        <v>73</v>
      </c>
      <c r="T4973" s="44">
        <v>45897.5100221875</v>
      </c>
      <c r="U4973" s="44">
        <v>45897.577792199074</v>
      </c>
      <c r="V4973" s="44">
        <v>45898.45441665509</v>
      </c>
      <c r="W4973" s="11"/>
      <c r="X4973" s="11"/>
      <c r="Y4973" s="45">
        <v>302.0</v>
      </c>
      <c r="Z4973" s="45" t="s">
        <v>19912</v>
      </c>
      <c r="AA4973" s="31"/>
      <c r="AB4973" s="45" t="s">
        <v>19913</v>
      </c>
      <c r="AC4973" s="45"/>
    </row>
    <row r="4974" ht="18.75" customHeight="1">
      <c r="A4974" s="142" t="s">
        <v>19914</v>
      </c>
      <c r="B4974" s="19" t="s">
        <v>3289</v>
      </c>
      <c r="C4974" s="20">
        <v>0.0</v>
      </c>
      <c r="D4974" s="220" t="s">
        <v>19915</v>
      </c>
      <c r="E4974" s="27" t="s">
        <v>135</v>
      </c>
      <c r="F4974" s="27" t="s">
        <v>48</v>
      </c>
      <c r="G4974" s="18" t="s">
        <v>35</v>
      </c>
      <c r="H4974" s="40" t="s">
        <v>35</v>
      </c>
      <c r="I4974" s="37" t="s">
        <v>36</v>
      </c>
      <c r="J4974" s="25" t="s">
        <v>92</v>
      </c>
      <c r="K4974" s="26" t="s">
        <v>38</v>
      </c>
      <c r="L4974" s="72">
        <v>13732.0</v>
      </c>
      <c r="M4974" s="49" t="s">
        <v>73</v>
      </c>
      <c r="N4974" s="42" t="s">
        <v>16512</v>
      </c>
      <c r="O4974" s="67">
        <v>45897.75</v>
      </c>
      <c r="P4974" s="35" t="s">
        <v>19916</v>
      </c>
      <c r="Q4974" s="13" t="s">
        <v>75</v>
      </c>
      <c r="R4974" s="13" t="s">
        <v>75</v>
      </c>
      <c r="S4974" s="13" t="s">
        <v>73</v>
      </c>
      <c r="T4974" s="44">
        <v>45898.32295423611</v>
      </c>
      <c r="U4974" s="44">
        <v>45898.32299626157</v>
      </c>
      <c r="V4974" s="44">
        <v>45898.43210549769</v>
      </c>
      <c r="W4974" s="11"/>
      <c r="X4974" s="11"/>
      <c r="Y4974" s="45">
        <v>302.0</v>
      </c>
      <c r="Z4974" s="45" t="s">
        <v>19917</v>
      </c>
      <c r="AA4974" s="31"/>
      <c r="AB4974" s="45" t="s">
        <v>19918</v>
      </c>
      <c r="AC4974" s="45"/>
    </row>
    <row r="4975" ht="18.75" customHeight="1">
      <c r="A4975" s="142" t="s">
        <v>19919</v>
      </c>
      <c r="B4975" s="19" t="s">
        <v>19920</v>
      </c>
      <c r="C4975" s="20">
        <v>0.0</v>
      </c>
      <c r="D4975" s="39" t="s">
        <v>19921</v>
      </c>
      <c r="E4975" s="27" t="s">
        <v>3441</v>
      </c>
      <c r="F4975" s="27" t="s">
        <v>48</v>
      </c>
      <c r="G4975" s="18" t="s">
        <v>35</v>
      </c>
      <c r="H4975" s="40" t="s">
        <v>35</v>
      </c>
      <c r="I4975" s="37" t="s">
        <v>36</v>
      </c>
      <c r="J4975" s="25" t="s">
        <v>65</v>
      </c>
      <c r="K4975" s="26" t="s">
        <v>38</v>
      </c>
      <c r="L4975" s="72">
        <v>13747.0</v>
      </c>
      <c r="M4975" s="49" t="s">
        <v>50</v>
      </c>
      <c r="N4975" s="42" t="s">
        <v>16408</v>
      </c>
      <c r="O4975" s="67">
        <v>45901.6491484838</v>
      </c>
      <c r="P4975" s="35" t="s">
        <v>14372</v>
      </c>
      <c r="Q4975" s="13" t="s">
        <v>75</v>
      </c>
      <c r="R4975" s="13" t="s">
        <v>75</v>
      </c>
      <c r="S4975" s="13" t="s">
        <v>73</v>
      </c>
      <c r="T4975" s="44">
        <v>45898.449502881944</v>
      </c>
      <c r="U4975" s="44">
        <v>45898.63061368055</v>
      </c>
      <c r="V4975" s="44">
        <v>45901.4500475463</v>
      </c>
      <c r="W4975" s="11"/>
      <c r="X4975" s="11"/>
      <c r="Y4975" s="45">
        <v>302.0</v>
      </c>
      <c r="Z4975" s="45" t="s">
        <v>19922</v>
      </c>
      <c r="AA4975" s="31"/>
      <c r="AB4975" s="45" t="s">
        <v>19923</v>
      </c>
      <c r="AC4975" s="45"/>
    </row>
    <row r="4976" ht="18.75" customHeight="1">
      <c r="A4976" s="142" t="s">
        <v>19924</v>
      </c>
      <c r="B4976" s="19" t="s">
        <v>19925</v>
      </c>
      <c r="C4976" s="20">
        <v>0.0</v>
      </c>
      <c r="D4976" s="39"/>
      <c r="E4976" s="27" t="s">
        <v>453</v>
      </c>
      <c r="F4976" s="27" t="s">
        <v>244</v>
      </c>
      <c r="G4976" s="18" t="s">
        <v>35</v>
      </c>
      <c r="H4976" s="40" t="s">
        <v>35</v>
      </c>
      <c r="I4976" s="37" t="s">
        <v>17277</v>
      </c>
      <c r="J4976" s="25" t="s">
        <v>49</v>
      </c>
      <c r="K4976" s="26" t="s">
        <v>38</v>
      </c>
      <c r="L4976" s="25"/>
      <c r="M4976" s="49"/>
      <c r="N4976" s="42"/>
      <c r="O4976" s="68"/>
      <c r="P4976" s="35" t="s">
        <v>19926</v>
      </c>
      <c r="Q4976" s="13" t="s">
        <v>75</v>
      </c>
      <c r="R4976" s="13"/>
      <c r="S4976" s="13"/>
      <c r="T4976" s="44">
        <v>45898.45602358796</v>
      </c>
      <c r="U4976" s="13"/>
      <c r="V4976" s="13"/>
      <c r="W4976" s="11"/>
      <c r="X4976" s="11"/>
      <c r="Y4976" s="45"/>
      <c r="Z4976" s="45"/>
      <c r="AA4976" s="31"/>
      <c r="AB4976" s="45" t="s">
        <v>19927</v>
      </c>
      <c r="AC4976" s="45"/>
    </row>
    <row r="4977" ht="18.75" customHeight="1">
      <c r="A4977" s="18" t="s">
        <v>19928</v>
      </c>
      <c r="B4977" s="19" t="s">
        <v>1192</v>
      </c>
      <c r="C4977" s="20">
        <v>0.0</v>
      </c>
      <c r="D4977" s="39" t="s">
        <v>19929</v>
      </c>
      <c r="E4977" s="27" t="s">
        <v>3441</v>
      </c>
      <c r="F4977" s="27" t="s">
        <v>48</v>
      </c>
      <c r="G4977" s="18" t="s">
        <v>35</v>
      </c>
      <c r="H4977" s="40" t="s">
        <v>35</v>
      </c>
      <c r="I4977" s="37" t="s">
        <v>36</v>
      </c>
      <c r="J4977" s="25" t="s">
        <v>65</v>
      </c>
      <c r="K4977" s="26" t="s">
        <v>38</v>
      </c>
      <c r="L4977" s="72">
        <v>13742.0</v>
      </c>
      <c r="M4977" s="49" t="s">
        <v>50</v>
      </c>
      <c r="N4977" s="42" t="s">
        <v>16408</v>
      </c>
      <c r="O4977" s="67">
        <v>45898.62362309028</v>
      </c>
      <c r="P4977" s="35" t="s">
        <v>15829</v>
      </c>
      <c r="Q4977" s="13" t="s">
        <v>75</v>
      </c>
      <c r="R4977" s="13" t="s">
        <v>75</v>
      </c>
      <c r="S4977" s="13" t="s">
        <v>73</v>
      </c>
      <c r="T4977" s="44">
        <v>45898.4600789699</v>
      </c>
      <c r="U4977" s="44">
        <v>45898.51094152778</v>
      </c>
      <c r="V4977" s="44">
        <v>45898.56279956018</v>
      </c>
      <c r="W4977" s="11"/>
      <c r="X4977" s="11"/>
      <c r="Y4977" s="45">
        <v>302.0</v>
      </c>
      <c r="Z4977" s="45" t="s">
        <v>19930</v>
      </c>
      <c r="AA4977" s="31"/>
      <c r="AB4977" s="45" t="s">
        <v>19931</v>
      </c>
      <c r="AC4977" s="45"/>
    </row>
    <row r="4978" ht="18.75" customHeight="1">
      <c r="A4978" s="18" t="s">
        <v>19932</v>
      </c>
      <c r="B4978" s="19" t="s">
        <v>1192</v>
      </c>
      <c r="C4978" s="20">
        <v>0.0</v>
      </c>
      <c r="D4978" s="39" t="s">
        <v>19933</v>
      </c>
      <c r="E4978" s="27" t="s">
        <v>3441</v>
      </c>
      <c r="F4978" s="27" t="s">
        <v>48</v>
      </c>
      <c r="G4978" s="18" t="s">
        <v>35</v>
      </c>
      <c r="H4978" s="40" t="s">
        <v>35</v>
      </c>
      <c r="I4978" s="37" t="s">
        <v>36</v>
      </c>
      <c r="J4978" s="25" t="s">
        <v>65</v>
      </c>
      <c r="K4978" s="26" t="s">
        <v>38</v>
      </c>
      <c r="L4978" s="72">
        <v>13742.0</v>
      </c>
      <c r="M4978" s="49" t="s">
        <v>50</v>
      </c>
      <c r="N4978" s="42" t="s">
        <v>16408</v>
      </c>
      <c r="O4978" s="67">
        <v>45898.62357202546</v>
      </c>
      <c r="P4978" s="35" t="s">
        <v>15829</v>
      </c>
      <c r="Q4978" s="13" t="s">
        <v>75</v>
      </c>
      <c r="R4978" s="13" t="s">
        <v>75</v>
      </c>
      <c r="S4978" s="13" t="s">
        <v>73</v>
      </c>
      <c r="T4978" s="44">
        <v>45898.460218113425</v>
      </c>
      <c r="U4978" s="44">
        <v>45898.51096642361</v>
      </c>
      <c r="V4978" s="44">
        <v>45898.562733287035</v>
      </c>
      <c r="W4978" s="11"/>
      <c r="X4978" s="11"/>
      <c r="Y4978" s="45">
        <v>302.0</v>
      </c>
      <c r="Z4978" s="45" t="s">
        <v>19934</v>
      </c>
      <c r="AA4978" s="31"/>
      <c r="AB4978" s="45" t="s">
        <v>19935</v>
      </c>
      <c r="AC4978" s="45"/>
    </row>
    <row r="4979" ht="18.75" customHeight="1">
      <c r="A4979" s="18" t="s">
        <v>19936</v>
      </c>
      <c r="B4979" s="19" t="s">
        <v>1192</v>
      </c>
      <c r="C4979" s="20">
        <v>27.0</v>
      </c>
      <c r="D4979" s="39" t="s">
        <v>19937</v>
      </c>
      <c r="E4979" s="27" t="s">
        <v>72</v>
      </c>
      <c r="F4979" s="27" t="s">
        <v>48</v>
      </c>
      <c r="G4979" s="18" t="s">
        <v>35</v>
      </c>
      <c r="H4979" s="40" t="s">
        <v>35</v>
      </c>
      <c r="I4979" s="37" t="s">
        <v>36</v>
      </c>
      <c r="J4979" s="25" t="s">
        <v>65</v>
      </c>
      <c r="K4979" s="26" t="s">
        <v>38</v>
      </c>
      <c r="L4979" s="72">
        <v>13742.0</v>
      </c>
      <c r="M4979" s="49" t="s">
        <v>50</v>
      </c>
      <c r="N4979" s="42" t="s">
        <v>16408</v>
      </c>
      <c r="O4979" s="67">
        <v>45898.62342186343</v>
      </c>
      <c r="P4979" s="35" t="s">
        <v>15829</v>
      </c>
      <c r="Q4979" s="13" t="s">
        <v>75</v>
      </c>
      <c r="R4979" s="13" t="s">
        <v>75</v>
      </c>
      <c r="S4979" s="13" t="s">
        <v>73</v>
      </c>
      <c r="T4979" s="44">
        <v>45898.460455243054</v>
      </c>
      <c r="U4979" s="44">
        <v>45898.511013888885</v>
      </c>
      <c r="V4979" s="44">
        <v>45898.562545740744</v>
      </c>
      <c r="W4979" s="11"/>
      <c r="X4979" s="11"/>
      <c r="Y4979" s="45">
        <v>302.0</v>
      </c>
      <c r="Z4979" s="45" t="s">
        <v>19938</v>
      </c>
      <c r="AA4979" s="31"/>
      <c r="AB4979" s="45" t="s">
        <v>19939</v>
      </c>
      <c r="AC4979" s="45"/>
    </row>
    <row r="4980" ht="18.75" customHeight="1">
      <c r="A4980" s="18" t="s">
        <v>19940</v>
      </c>
      <c r="B4980" s="19" t="s">
        <v>1192</v>
      </c>
      <c r="C4980" s="20">
        <v>137.0</v>
      </c>
      <c r="D4980" s="39" t="s">
        <v>19941</v>
      </c>
      <c r="E4980" s="27" t="s">
        <v>85</v>
      </c>
      <c r="F4980" s="27" t="s">
        <v>48</v>
      </c>
      <c r="G4980" s="18" t="s">
        <v>35</v>
      </c>
      <c r="H4980" s="40" t="s">
        <v>35</v>
      </c>
      <c r="I4980" s="37" t="s">
        <v>36</v>
      </c>
      <c r="J4980" s="25" t="s">
        <v>65</v>
      </c>
      <c r="K4980" s="26" t="s">
        <v>38</v>
      </c>
      <c r="L4980" s="72">
        <v>13742.0</v>
      </c>
      <c r="M4980" s="49" t="s">
        <v>50</v>
      </c>
      <c r="N4980" s="42" t="s">
        <v>16408</v>
      </c>
      <c r="O4980" s="67">
        <v>45898.62352728009</v>
      </c>
      <c r="P4980" s="35" t="s">
        <v>15829</v>
      </c>
      <c r="Q4980" s="13" t="s">
        <v>75</v>
      </c>
      <c r="R4980" s="13" t="s">
        <v>75</v>
      </c>
      <c r="S4980" s="13" t="s">
        <v>73</v>
      </c>
      <c r="T4980" s="44">
        <v>45898.46058474537</v>
      </c>
      <c r="U4980" s="44">
        <v>45898.51098853009</v>
      </c>
      <c r="V4980" s="44">
        <v>45898.56248986111</v>
      </c>
      <c r="W4980" s="11"/>
      <c r="X4980" s="11"/>
      <c r="Y4980" s="45">
        <v>302.0</v>
      </c>
      <c r="Z4980" s="45" t="s">
        <v>19942</v>
      </c>
      <c r="AA4980" s="31"/>
      <c r="AB4980" s="45" t="s">
        <v>19943</v>
      </c>
      <c r="AC4980" s="45"/>
    </row>
    <row r="4981" ht="18.75" customHeight="1">
      <c r="A4981" s="18" t="s">
        <v>19944</v>
      </c>
      <c r="B4981" s="19" t="s">
        <v>19945</v>
      </c>
      <c r="C4981" s="20">
        <v>137.0</v>
      </c>
      <c r="D4981" s="39" t="s">
        <v>19946</v>
      </c>
      <c r="E4981" s="27" t="s">
        <v>85</v>
      </c>
      <c r="F4981" s="27" t="s">
        <v>48</v>
      </c>
      <c r="G4981" s="18" t="s">
        <v>35</v>
      </c>
      <c r="H4981" s="40" t="s">
        <v>35</v>
      </c>
      <c r="I4981" s="37" t="s">
        <v>36</v>
      </c>
      <c r="J4981" s="25" t="s">
        <v>49</v>
      </c>
      <c r="K4981" s="26" t="s">
        <v>38</v>
      </c>
      <c r="L4981" s="72">
        <v>13757.0</v>
      </c>
      <c r="M4981" s="49" t="s">
        <v>50</v>
      </c>
      <c r="N4981" s="42" t="s">
        <v>17048</v>
      </c>
      <c r="O4981" s="67">
        <v>45901.60283012732</v>
      </c>
      <c r="P4981" s="35" t="s">
        <v>19947</v>
      </c>
      <c r="Q4981" s="13" t="s">
        <v>75</v>
      </c>
      <c r="R4981" s="13" t="s">
        <v>75</v>
      </c>
      <c r="S4981" s="13" t="s">
        <v>73</v>
      </c>
      <c r="T4981" s="44">
        <v>45898.47920802083</v>
      </c>
      <c r="U4981" s="44">
        <v>45898.60775575231</v>
      </c>
      <c r="V4981" s="44">
        <v>45901.437455127314</v>
      </c>
      <c r="W4981" s="11"/>
      <c r="X4981" s="11"/>
      <c r="Y4981" s="45">
        <v>302.0</v>
      </c>
      <c r="Z4981" s="45" t="s">
        <v>19948</v>
      </c>
      <c r="AA4981" s="31"/>
      <c r="AB4981" s="45" t="s">
        <v>19949</v>
      </c>
      <c r="AC4981" s="45"/>
    </row>
    <row r="4982" ht="18.75" customHeight="1">
      <c r="A4982" s="18" t="s">
        <v>19950</v>
      </c>
      <c r="B4982" s="19" t="s">
        <v>19945</v>
      </c>
      <c r="C4982" s="20">
        <v>38.0</v>
      </c>
      <c r="D4982" s="39" t="s">
        <v>19951</v>
      </c>
      <c r="E4982" s="27" t="s">
        <v>19952</v>
      </c>
      <c r="F4982" s="27" t="s">
        <v>19953</v>
      </c>
      <c r="G4982" s="18" t="s">
        <v>35</v>
      </c>
      <c r="H4982" s="40" t="s">
        <v>35</v>
      </c>
      <c r="I4982" s="37" t="s">
        <v>36</v>
      </c>
      <c r="J4982" s="25" t="s">
        <v>49</v>
      </c>
      <c r="K4982" s="26" t="s">
        <v>38</v>
      </c>
      <c r="L4982" s="72">
        <v>13757.0</v>
      </c>
      <c r="M4982" s="49" t="s">
        <v>50</v>
      </c>
      <c r="N4982" s="42" t="s">
        <v>17048</v>
      </c>
      <c r="O4982" s="67">
        <v>45901.602778078704</v>
      </c>
      <c r="P4982" s="35" t="s">
        <v>19947</v>
      </c>
      <c r="Q4982" s="13" t="s">
        <v>75</v>
      </c>
      <c r="R4982" s="13" t="s">
        <v>75</v>
      </c>
      <c r="S4982" s="13" t="s">
        <v>73</v>
      </c>
      <c r="T4982" s="44">
        <v>45898.47944921296</v>
      </c>
      <c r="U4982" s="44">
        <v>45898.60777952547</v>
      </c>
      <c r="V4982" s="44">
        <v>45901.544658530096</v>
      </c>
      <c r="W4982" s="11"/>
      <c r="X4982" s="11"/>
      <c r="Y4982" s="45">
        <v>302.0</v>
      </c>
      <c r="Z4982" s="45" t="s">
        <v>19954</v>
      </c>
      <c r="AA4982" s="31"/>
      <c r="AB4982" s="45" t="s">
        <v>19955</v>
      </c>
      <c r="AC4982" s="45"/>
    </row>
    <row r="4983" ht="18.75" customHeight="1">
      <c r="A4983" s="142" t="s">
        <v>19956</v>
      </c>
      <c r="B4983" s="19" t="s">
        <v>96</v>
      </c>
      <c r="C4983" s="20">
        <v>0.0</v>
      </c>
      <c r="D4983" s="179">
        <v>20268.0</v>
      </c>
      <c r="E4983" s="27" t="s">
        <v>135</v>
      </c>
      <c r="F4983" s="27" t="s">
        <v>48</v>
      </c>
      <c r="G4983" s="18" t="s">
        <v>35</v>
      </c>
      <c r="H4983" s="40" t="s">
        <v>35</v>
      </c>
      <c r="I4983" s="37" t="s">
        <v>36</v>
      </c>
      <c r="J4983" s="25" t="s">
        <v>49</v>
      </c>
      <c r="K4983" s="26" t="s">
        <v>38</v>
      </c>
      <c r="L4983" s="72">
        <v>13830.0</v>
      </c>
      <c r="M4983" s="49" t="s">
        <v>50</v>
      </c>
      <c r="N4983" s="42" t="s">
        <v>17048</v>
      </c>
      <c r="O4983" s="67">
        <v>45910.61052153935</v>
      </c>
      <c r="P4983" s="35" t="s">
        <v>19957</v>
      </c>
      <c r="Q4983" s="13" t="s">
        <v>75</v>
      </c>
      <c r="R4983" s="13" t="s">
        <v>75</v>
      </c>
      <c r="S4983" s="13" t="s">
        <v>9620</v>
      </c>
      <c r="T4983" s="44">
        <v>45898.481412002315</v>
      </c>
      <c r="U4983" s="44">
        <v>45908.692229259264</v>
      </c>
      <c r="V4983" s="44">
        <v>45909.37157407407</v>
      </c>
      <c r="W4983" s="11"/>
      <c r="X4983" s="11"/>
      <c r="Y4983" s="45">
        <v>302.0</v>
      </c>
      <c r="Z4983" s="45" t="s">
        <v>19958</v>
      </c>
      <c r="AA4983" s="31"/>
      <c r="AB4983" s="45" t="s">
        <v>19959</v>
      </c>
      <c r="AC4983" s="45"/>
    </row>
    <row r="4984" ht="18.75" customHeight="1">
      <c r="A4984" s="142" t="s">
        <v>19960</v>
      </c>
      <c r="B4984" s="19" t="s">
        <v>4352</v>
      </c>
      <c r="C4984" s="20">
        <v>90.0</v>
      </c>
      <c r="D4984" s="39"/>
      <c r="E4984" s="27" t="s">
        <v>91</v>
      </c>
      <c r="F4984" s="27" t="s">
        <v>48</v>
      </c>
      <c r="G4984" s="18" t="s">
        <v>35</v>
      </c>
      <c r="H4984" s="40" t="s">
        <v>35</v>
      </c>
      <c r="I4984" s="37" t="s">
        <v>17277</v>
      </c>
      <c r="J4984" s="25" t="s">
        <v>49</v>
      </c>
      <c r="K4984" s="26" t="s">
        <v>38</v>
      </c>
      <c r="L4984" s="25"/>
      <c r="M4984" s="49"/>
      <c r="N4984" s="42"/>
      <c r="O4984" s="68"/>
      <c r="P4984" s="35" t="s">
        <v>19961</v>
      </c>
      <c r="Q4984" s="13" t="s">
        <v>75</v>
      </c>
      <c r="R4984" s="13"/>
      <c r="S4984" s="13"/>
      <c r="T4984" s="44">
        <v>45898.58756517361</v>
      </c>
      <c r="U4984" s="13"/>
      <c r="V4984" s="13"/>
      <c r="W4984" s="11"/>
      <c r="X4984" s="11"/>
      <c r="Y4984" s="45"/>
      <c r="Z4984" s="45"/>
      <c r="AA4984" s="31"/>
      <c r="AB4984" s="45" t="s">
        <v>19962</v>
      </c>
      <c r="AC4984" s="45"/>
    </row>
    <row r="4985" ht="18.75" customHeight="1">
      <c r="A4985" s="142" t="s">
        <v>19963</v>
      </c>
      <c r="B4985" s="19" t="s">
        <v>15286</v>
      </c>
      <c r="C4985" s="20">
        <v>90.0</v>
      </c>
      <c r="D4985" s="39" t="s">
        <v>19964</v>
      </c>
      <c r="E4985" s="27" t="s">
        <v>91</v>
      </c>
      <c r="F4985" s="27" t="s">
        <v>48</v>
      </c>
      <c r="G4985" s="18" t="s">
        <v>35</v>
      </c>
      <c r="H4985" s="40" t="s">
        <v>35</v>
      </c>
      <c r="I4985" s="37" t="s">
        <v>36</v>
      </c>
      <c r="J4985" s="25" t="s">
        <v>65</v>
      </c>
      <c r="K4985" s="26" t="s">
        <v>38</v>
      </c>
      <c r="L4985" s="72">
        <v>13755.0</v>
      </c>
      <c r="M4985" s="49" t="s">
        <v>50</v>
      </c>
      <c r="N4985" s="42" t="s">
        <v>16408</v>
      </c>
      <c r="O4985" s="67">
        <v>45901.649816793986</v>
      </c>
      <c r="P4985" s="35" t="s">
        <v>15399</v>
      </c>
      <c r="Q4985" s="13" t="s">
        <v>75</v>
      </c>
      <c r="R4985" s="13" t="s">
        <v>75</v>
      </c>
      <c r="S4985" s="13" t="s">
        <v>50</v>
      </c>
      <c r="T4985" s="44">
        <v>45901.466045127316</v>
      </c>
      <c r="U4985" s="44">
        <v>45901.46606276621</v>
      </c>
      <c r="V4985" s="44">
        <v>45901.46646795139</v>
      </c>
      <c r="W4985" s="11"/>
      <c r="X4985" s="11"/>
      <c r="Y4985" s="45">
        <v>302.0</v>
      </c>
      <c r="Z4985" s="45" t="s">
        <v>19965</v>
      </c>
      <c r="AA4985" s="31"/>
      <c r="AB4985" s="45" t="s">
        <v>19966</v>
      </c>
      <c r="AC4985" s="45"/>
    </row>
    <row r="4986" ht="18.75" customHeight="1">
      <c r="A4986" s="142" t="s">
        <v>19967</v>
      </c>
      <c r="B4986" s="19" t="s">
        <v>5180</v>
      </c>
      <c r="C4986" s="20">
        <v>90.0</v>
      </c>
      <c r="D4986" s="39" t="s">
        <v>19968</v>
      </c>
      <c r="E4986" s="27" t="s">
        <v>91</v>
      </c>
      <c r="F4986" s="27" t="s">
        <v>48</v>
      </c>
      <c r="G4986" s="18" t="s">
        <v>35</v>
      </c>
      <c r="H4986" s="40" t="s">
        <v>35</v>
      </c>
      <c r="I4986" s="37" t="s">
        <v>36</v>
      </c>
      <c r="J4986" s="25" t="s">
        <v>65</v>
      </c>
      <c r="K4986" s="26" t="s">
        <v>38</v>
      </c>
      <c r="L4986" s="72">
        <v>13750.0</v>
      </c>
      <c r="M4986" s="49" t="s">
        <v>50</v>
      </c>
      <c r="N4986" s="42" t="s">
        <v>16408</v>
      </c>
      <c r="O4986" s="67">
        <v>45901.64976645833</v>
      </c>
      <c r="P4986" s="35" t="s">
        <v>19969</v>
      </c>
      <c r="Q4986" s="13" t="s">
        <v>75</v>
      </c>
      <c r="R4986" s="13" t="s">
        <v>75</v>
      </c>
      <c r="S4986" s="13" t="s">
        <v>73</v>
      </c>
      <c r="T4986" s="44">
        <v>45898.595315115745</v>
      </c>
      <c r="U4986" s="44">
        <v>45898.60999815972</v>
      </c>
      <c r="V4986" s="44">
        <v>45901.44808290509</v>
      </c>
      <c r="W4986" s="11"/>
      <c r="X4986" s="11"/>
      <c r="Y4986" s="45">
        <v>302.0</v>
      </c>
      <c r="Z4986" s="45" t="s">
        <v>19970</v>
      </c>
      <c r="AA4986" s="31"/>
      <c r="AB4986" s="45" t="s">
        <v>19971</v>
      </c>
      <c r="AC4986" s="45"/>
    </row>
    <row r="4987" ht="18.75" customHeight="1">
      <c r="A4987" s="142" t="s">
        <v>19972</v>
      </c>
      <c r="B4987" s="19" t="s">
        <v>5277</v>
      </c>
      <c r="C4987" s="20">
        <v>1.0</v>
      </c>
      <c r="D4987" s="179">
        <v>20234.0</v>
      </c>
      <c r="E4987" s="27" t="s">
        <v>15373</v>
      </c>
      <c r="F4987" s="27" t="s">
        <v>48</v>
      </c>
      <c r="G4987" s="18" t="s">
        <v>35</v>
      </c>
      <c r="H4987" s="40" t="s">
        <v>35</v>
      </c>
      <c r="I4987" s="37" t="s">
        <v>36</v>
      </c>
      <c r="J4987" s="25" t="s">
        <v>65</v>
      </c>
      <c r="K4987" s="26" t="s">
        <v>38</v>
      </c>
      <c r="L4987" s="72">
        <v>13800.0</v>
      </c>
      <c r="M4987" s="49" t="s">
        <v>50</v>
      </c>
      <c r="N4987" s="42" t="s">
        <v>18645</v>
      </c>
      <c r="O4987" s="67">
        <v>45905.65449376157</v>
      </c>
      <c r="P4987" s="35" t="s">
        <v>15829</v>
      </c>
      <c r="Q4987" s="13" t="s">
        <v>75</v>
      </c>
      <c r="R4987" s="13" t="s">
        <v>75</v>
      </c>
      <c r="S4987" s="13" t="s">
        <v>9620</v>
      </c>
      <c r="T4987" s="44">
        <v>45898.59578822917</v>
      </c>
      <c r="U4987" s="44">
        <v>45903.491890081015</v>
      </c>
      <c r="V4987" s="44">
        <v>45903.615383958335</v>
      </c>
      <c r="W4987" s="11"/>
      <c r="X4987" s="11"/>
      <c r="Y4987" s="45">
        <v>302.0</v>
      </c>
      <c r="Z4987" s="45" t="s">
        <v>19973</v>
      </c>
      <c r="AA4987" s="31"/>
      <c r="AB4987" s="45" t="s">
        <v>19974</v>
      </c>
      <c r="AC4987" s="45"/>
    </row>
    <row r="4988" ht="18.75" customHeight="1">
      <c r="A4988" s="18" t="s">
        <v>19975</v>
      </c>
      <c r="B4988" s="19" t="s">
        <v>7403</v>
      </c>
      <c r="C4988" s="20">
        <v>34.0</v>
      </c>
      <c r="D4988" s="39" t="s">
        <v>19976</v>
      </c>
      <c r="E4988" s="27" t="s">
        <v>47</v>
      </c>
      <c r="F4988" s="27" t="s">
        <v>48</v>
      </c>
      <c r="G4988" s="18" t="s">
        <v>35</v>
      </c>
      <c r="H4988" s="40" t="s">
        <v>35</v>
      </c>
      <c r="I4988" s="37" t="s">
        <v>36</v>
      </c>
      <c r="J4988" s="25" t="s">
        <v>65</v>
      </c>
      <c r="K4988" s="26" t="s">
        <v>38</v>
      </c>
      <c r="L4988" s="72">
        <v>13769.0</v>
      </c>
      <c r="M4988" s="49" t="s">
        <v>50</v>
      </c>
      <c r="N4988" s="42" t="s">
        <v>16408</v>
      </c>
      <c r="O4988" s="67">
        <v>45903.70482767361</v>
      </c>
      <c r="P4988" s="35" t="s">
        <v>19977</v>
      </c>
      <c r="Q4988" s="13" t="s">
        <v>75</v>
      </c>
      <c r="R4988" s="13" t="s">
        <v>75</v>
      </c>
      <c r="S4988" s="13" t="s">
        <v>73</v>
      </c>
      <c r="T4988" s="44">
        <v>45898.59751771991</v>
      </c>
      <c r="U4988" s="44">
        <v>45902.64143532407</v>
      </c>
      <c r="V4988" s="44">
        <v>45903.38354708333</v>
      </c>
      <c r="W4988" s="11"/>
      <c r="X4988" s="11"/>
      <c r="Y4988" s="45">
        <v>302.0</v>
      </c>
      <c r="Z4988" s="45" t="s">
        <v>19978</v>
      </c>
      <c r="AA4988" s="31"/>
      <c r="AB4988" s="45" t="s">
        <v>19979</v>
      </c>
      <c r="AC4988" s="45"/>
    </row>
    <row r="4989" ht="18.75" customHeight="1">
      <c r="A4989" s="18" t="s">
        <v>19980</v>
      </c>
      <c r="B4989" s="19" t="s">
        <v>7403</v>
      </c>
      <c r="C4989" s="20">
        <v>34.0</v>
      </c>
      <c r="D4989" s="39" t="s">
        <v>19981</v>
      </c>
      <c r="E4989" s="27" t="s">
        <v>47</v>
      </c>
      <c r="F4989" s="27" t="s">
        <v>48</v>
      </c>
      <c r="G4989" s="18" t="s">
        <v>35</v>
      </c>
      <c r="H4989" s="40" t="s">
        <v>35</v>
      </c>
      <c r="I4989" s="37" t="s">
        <v>36</v>
      </c>
      <c r="J4989" s="25" t="s">
        <v>65</v>
      </c>
      <c r="K4989" s="26" t="s">
        <v>38</v>
      </c>
      <c r="L4989" s="72">
        <v>13769.0</v>
      </c>
      <c r="M4989" s="49" t="s">
        <v>50</v>
      </c>
      <c r="N4989" s="42" t="s">
        <v>16408</v>
      </c>
      <c r="O4989" s="67">
        <v>45903.70487109954</v>
      </c>
      <c r="P4989" s="35" t="s">
        <v>19977</v>
      </c>
      <c r="Q4989" s="13" t="s">
        <v>75</v>
      </c>
      <c r="R4989" s="13" t="s">
        <v>75</v>
      </c>
      <c r="S4989" s="13" t="s">
        <v>73</v>
      </c>
      <c r="T4989" s="44">
        <v>45898.59757986111</v>
      </c>
      <c r="U4989" s="44">
        <v>45902.64146612269</v>
      </c>
      <c r="V4989" s="44">
        <v>45903.383625613424</v>
      </c>
      <c r="W4989" s="11"/>
      <c r="X4989" s="11"/>
      <c r="Y4989" s="45">
        <v>302.0</v>
      </c>
      <c r="Z4989" s="45" t="s">
        <v>19982</v>
      </c>
      <c r="AA4989" s="31"/>
      <c r="AB4989" s="45" t="s">
        <v>19983</v>
      </c>
      <c r="AC4989" s="45"/>
    </row>
    <row r="4990" ht="18.75" customHeight="1">
      <c r="A4990" s="142" t="s">
        <v>19984</v>
      </c>
      <c r="B4990" s="19" t="s">
        <v>18643</v>
      </c>
      <c r="C4990" s="20">
        <v>137.0</v>
      </c>
      <c r="D4990" s="39" t="s">
        <v>19985</v>
      </c>
      <c r="E4990" s="27" t="s">
        <v>85</v>
      </c>
      <c r="F4990" s="27" t="s">
        <v>48</v>
      </c>
      <c r="G4990" s="18" t="s">
        <v>35</v>
      </c>
      <c r="H4990" s="40" t="s">
        <v>35</v>
      </c>
      <c r="I4990" s="37" t="s">
        <v>36</v>
      </c>
      <c r="J4990" s="25" t="s">
        <v>65</v>
      </c>
      <c r="K4990" s="26" t="s">
        <v>38</v>
      </c>
      <c r="L4990" s="72">
        <v>13814.0</v>
      </c>
      <c r="M4990" s="49" t="s">
        <v>50</v>
      </c>
      <c r="N4990" s="42" t="s">
        <v>16408</v>
      </c>
      <c r="O4990" s="67">
        <v>45909.67500549769</v>
      </c>
      <c r="P4990" s="35" t="s">
        <v>19986</v>
      </c>
      <c r="Q4990" s="13" t="s">
        <v>75</v>
      </c>
      <c r="R4990" s="13" t="s">
        <v>75</v>
      </c>
      <c r="S4990" s="13" t="s">
        <v>73</v>
      </c>
      <c r="T4990" s="44">
        <v>45898.59944895833</v>
      </c>
      <c r="U4990" s="44">
        <v>45908.63248988426</v>
      </c>
      <c r="V4990" s="44">
        <v>45909.390553206016</v>
      </c>
      <c r="W4990" s="11"/>
      <c r="X4990" s="11"/>
      <c r="Y4990" s="45">
        <v>302.0</v>
      </c>
      <c r="Z4990" s="45" t="s">
        <v>19987</v>
      </c>
      <c r="AA4990" s="31"/>
      <c r="AB4990" s="45" t="s">
        <v>19988</v>
      </c>
      <c r="AC4990" s="45"/>
    </row>
    <row r="4991" ht="18.75" customHeight="1">
      <c r="A4991" s="142" t="s">
        <v>19989</v>
      </c>
      <c r="B4991" s="19" t="s">
        <v>4587</v>
      </c>
      <c r="C4991" s="20">
        <v>137.0</v>
      </c>
      <c r="D4991" s="39" t="s">
        <v>19990</v>
      </c>
      <c r="E4991" s="27" t="s">
        <v>85</v>
      </c>
      <c r="F4991" s="27" t="s">
        <v>48</v>
      </c>
      <c r="G4991" s="18" t="s">
        <v>35</v>
      </c>
      <c r="H4991" s="40" t="s">
        <v>35</v>
      </c>
      <c r="I4991" s="37" t="s">
        <v>36</v>
      </c>
      <c r="J4991" s="25" t="s">
        <v>65</v>
      </c>
      <c r="K4991" s="26" t="s">
        <v>38</v>
      </c>
      <c r="L4991" s="72">
        <v>13751.0</v>
      </c>
      <c r="M4991" s="49" t="s">
        <v>50</v>
      </c>
      <c r="N4991" s="42" t="s">
        <v>16408</v>
      </c>
      <c r="O4991" s="67">
        <v>45901.64970627315</v>
      </c>
      <c r="P4991" s="35" t="s">
        <v>15829</v>
      </c>
      <c r="Q4991" s="13" t="s">
        <v>75</v>
      </c>
      <c r="R4991" s="13" t="s">
        <v>75</v>
      </c>
      <c r="S4991" s="13" t="s">
        <v>73</v>
      </c>
      <c r="T4991" s="44">
        <v>45898.6001488426</v>
      </c>
      <c r="U4991" s="44">
        <v>45898.60944943287</v>
      </c>
      <c r="V4991" s="44">
        <v>45901.44182918982</v>
      </c>
      <c r="W4991" s="11"/>
      <c r="X4991" s="11"/>
      <c r="Y4991" s="45">
        <v>302.0</v>
      </c>
      <c r="Z4991" s="45" t="s">
        <v>19991</v>
      </c>
      <c r="AA4991" s="31"/>
      <c r="AB4991" s="45" t="s">
        <v>19992</v>
      </c>
      <c r="AC4991" s="45"/>
    </row>
    <row r="4992" ht="18.75" customHeight="1">
      <c r="A4992" s="142" t="s">
        <v>19993</v>
      </c>
      <c r="B4992" s="19" t="s">
        <v>9101</v>
      </c>
      <c r="C4992" s="20">
        <v>137.0</v>
      </c>
      <c r="D4992" s="39" t="s">
        <v>19994</v>
      </c>
      <c r="E4992" s="27" t="s">
        <v>85</v>
      </c>
      <c r="F4992" s="27" t="s">
        <v>48</v>
      </c>
      <c r="G4992" s="18" t="s">
        <v>35</v>
      </c>
      <c r="H4992" s="40" t="s">
        <v>35</v>
      </c>
      <c r="I4992" s="37" t="s">
        <v>36</v>
      </c>
      <c r="J4992" s="25" t="s">
        <v>65</v>
      </c>
      <c r="K4992" s="26" t="s">
        <v>38</v>
      </c>
      <c r="L4992" s="72">
        <v>13754.0</v>
      </c>
      <c r="M4992" s="49" t="s">
        <v>50</v>
      </c>
      <c r="N4992" s="42" t="s">
        <v>16408</v>
      </c>
      <c r="O4992" s="67">
        <v>45901.64920584491</v>
      </c>
      <c r="P4992" s="35" t="s">
        <v>18606</v>
      </c>
      <c r="Q4992" s="13" t="s">
        <v>75</v>
      </c>
      <c r="R4992" s="13" t="s">
        <v>75</v>
      </c>
      <c r="S4992" s="13" t="s">
        <v>73</v>
      </c>
      <c r="T4992" s="44">
        <v>45898.70075042824</v>
      </c>
      <c r="U4992" s="44">
        <v>45898.70084288194</v>
      </c>
      <c r="V4992" s="44">
        <v>45901.441699375</v>
      </c>
      <c r="W4992" s="11"/>
      <c r="X4992" s="11"/>
      <c r="Y4992" s="45">
        <v>302.0</v>
      </c>
      <c r="Z4992" s="45" t="s">
        <v>19995</v>
      </c>
      <c r="AA4992" s="31"/>
      <c r="AB4992" s="45" t="s">
        <v>19996</v>
      </c>
      <c r="AC4992" s="45"/>
    </row>
    <row r="4993" ht="18.75" customHeight="1">
      <c r="A4993" s="18" t="s">
        <v>19997</v>
      </c>
      <c r="B4993" s="19" t="s">
        <v>8743</v>
      </c>
      <c r="C4993" s="20">
        <v>137.0</v>
      </c>
      <c r="D4993" s="39" t="s">
        <v>19998</v>
      </c>
      <c r="E4993" s="27" t="s">
        <v>85</v>
      </c>
      <c r="F4993" s="27" t="s">
        <v>48</v>
      </c>
      <c r="G4993" s="18" t="s">
        <v>35</v>
      </c>
      <c r="H4993" s="40" t="s">
        <v>35</v>
      </c>
      <c r="I4993" s="37" t="s">
        <v>36</v>
      </c>
      <c r="J4993" s="25" t="s">
        <v>65</v>
      </c>
      <c r="K4993" s="26" t="s">
        <v>38</v>
      </c>
      <c r="L4993" s="25">
        <v>13959.0</v>
      </c>
      <c r="M4993" s="49" t="s">
        <v>50</v>
      </c>
      <c r="N4993" s="42" t="s">
        <v>16408</v>
      </c>
      <c r="O4993" s="67">
        <v>45924.62088540509</v>
      </c>
      <c r="P4993" s="35" t="s">
        <v>19999</v>
      </c>
      <c r="Q4993" s="13" t="s">
        <v>75</v>
      </c>
      <c r="R4993" s="13" t="s">
        <v>75</v>
      </c>
      <c r="S4993" s="13" t="s">
        <v>73</v>
      </c>
      <c r="T4993" s="44">
        <v>45924.40121885417</v>
      </c>
      <c r="U4993" s="44">
        <v>45924.401443877316</v>
      </c>
      <c r="V4993" s="44">
        <v>45924.408742581014</v>
      </c>
      <c r="W4993" s="11"/>
      <c r="X4993" s="148">
        <v>45926.0</v>
      </c>
      <c r="Y4993" s="45">
        <v>302.0</v>
      </c>
      <c r="Z4993" s="45" t="s">
        <v>20000</v>
      </c>
      <c r="AA4993" s="31"/>
      <c r="AB4993" s="45" t="s">
        <v>20001</v>
      </c>
      <c r="AC4993" s="45"/>
    </row>
    <row r="4994" ht="18.75" customHeight="1">
      <c r="A4994" s="18" t="s">
        <v>20002</v>
      </c>
      <c r="B4994" s="19" t="s">
        <v>8743</v>
      </c>
      <c r="C4994" s="20">
        <v>137.0</v>
      </c>
      <c r="D4994" s="39" t="s">
        <v>20003</v>
      </c>
      <c r="E4994" s="27" t="s">
        <v>85</v>
      </c>
      <c r="F4994" s="27" t="s">
        <v>48</v>
      </c>
      <c r="G4994" s="18" t="s">
        <v>35</v>
      </c>
      <c r="H4994" s="40" t="s">
        <v>35</v>
      </c>
      <c r="I4994" s="37" t="s">
        <v>36</v>
      </c>
      <c r="J4994" s="25" t="s">
        <v>65</v>
      </c>
      <c r="K4994" s="26" t="s">
        <v>38</v>
      </c>
      <c r="L4994" s="25">
        <v>13959.0</v>
      </c>
      <c r="M4994" s="49" t="s">
        <v>50</v>
      </c>
      <c r="N4994" s="42" t="s">
        <v>16408</v>
      </c>
      <c r="O4994" s="67">
        <v>45924.6209433912</v>
      </c>
      <c r="P4994" s="35" t="s">
        <v>19999</v>
      </c>
      <c r="Q4994" s="13" t="s">
        <v>75</v>
      </c>
      <c r="R4994" s="13" t="s">
        <v>75</v>
      </c>
      <c r="S4994" s="13" t="s">
        <v>73</v>
      </c>
      <c r="T4994" s="44">
        <v>45924.40125206018</v>
      </c>
      <c r="U4994" s="44">
        <v>45924.40148746528</v>
      </c>
      <c r="V4994" s="44">
        <v>45924.408810925925</v>
      </c>
      <c r="W4994" s="11"/>
      <c r="X4994" s="148">
        <v>45926.0</v>
      </c>
      <c r="Y4994" s="45">
        <v>302.0</v>
      </c>
      <c r="Z4994" s="45" t="s">
        <v>20004</v>
      </c>
      <c r="AA4994" s="31"/>
      <c r="AB4994" s="45" t="s">
        <v>20005</v>
      </c>
      <c r="AC4994" s="45"/>
    </row>
    <row r="4995" ht="18.75" customHeight="1">
      <c r="A4995" s="18" t="s">
        <v>20006</v>
      </c>
      <c r="B4995" s="19" t="s">
        <v>8743</v>
      </c>
      <c r="C4995" s="20">
        <v>90.0</v>
      </c>
      <c r="D4995" s="39" t="s">
        <v>20007</v>
      </c>
      <c r="E4995" s="27" t="s">
        <v>91</v>
      </c>
      <c r="F4995" s="27" t="s">
        <v>48</v>
      </c>
      <c r="G4995" s="18" t="s">
        <v>35</v>
      </c>
      <c r="H4995" s="40" t="s">
        <v>35</v>
      </c>
      <c r="I4995" s="37" t="s">
        <v>36</v>
      </c>
      <c r="J4995" s="25" t="s">
        <v>65</v>
      </c>
      <c r="K4995" s="26" t="s">
        <v>38</v>
      </c>
      <c r="L4995" s="25">
        <v>13959.0</v>
      </c>
      <c r="M4995" s="49" t="s">
        <v>50</v>
      </c>
      <c r="N4995" s="42" t="s">
        <v>16408</v>
      </c>
      <c r="O4995" s="67">
        <v>45924.62101671296</v>
      </c>
      <c r="P4995" s="35" t="s">
        <v>19999</v>
      </c>
      <c r="Q4995" s="13" t="s">
        <v>75</v>
      </c>
      <c r="R4995" s="13" t="s">
        <v>75</v>
      </c>
      <c r="S4995" s="13" t="s">
        <v>73</v>
      </c>
      <c r="T4995" s="44">
        <v>45924.401282210645</v>
      </c>
      <c r="U4995" s="44">
        <v>45924.40197439815</v>
      </c>
      <c r="V4995" s="44">
        <v>45924.40888358797</v>
      </c>
      <c r="W4995" s="11"/>
      <c r="X4995" s="148">
        <v>45926.0</v>
      </c>
      <c r="Y4995" s="45">
        <v>302.0</v>
      </c>
      <c r="Z4995" s="45" t="s">
        <v>20008</v>
      </c>
      <c r="AA4995" s="31"/>
      <c r="AB4995" s="45" t="s">
        <v>20009</v>
      </c>
      <c r="AC4995" s="45"/>
    </row>
    <row r="4996" ht="18.75" customHeight="1">
      <c r="A4996" s="18" t="s">
        <v>20010</v>
      </c>
      <c r="B4996" s="19" t="s">
        <v>4206</v>
      </c>
      <c r="C4996" s="20">
        <v>0.0</v>
      </c>
      <c r="D4996" s="39" t="s">
        <v>20011</v>
      </c>
      <c r="E4996" s="27" t="s">
        <v>4430</v>
      </c>
      <c r="F4996" s="27" t="s">
        <v>48</v>
      </c>
      <c r="G4996" s="18" t="s">
        <v>35</v>
      </c>
      <c r="H4996" s="40" t="s">
        <v>35</v>
      </c>
      <c r="I4996" s="37" t="s">
        <v>36</v>
      </c>
      <c r="J4996" s="25" t="s">
        <v>92</v>
      </c>
      <c r="K4996" s="26" t="s">
        <v>38</v>
      </c>
      <c r="L4996" s="72">
        <v>13773.0</v>
      </c>
      <c r="M4996" s="49" t="s">
        <v>50</v>
      </c>
      <c r="N4996" s="42" t="s">
        <v>5893</v>
      </c>
      <c r="O4996" s="67">
        <v>45903.49332136574</v>
      </c>
      <c r="P4996" s="35" t="s">
        <v>20012</v>
      </c>
      <c r="Q4996" s="13" t="s">
        <v>75</v>
      </c>
      <c r="R4996" s="13" t="s">
        <v>75</v>
      </c>
      <c r="S4996" s="13" t="s">
        <v>73</v>
      </c>
      <c r="T4996" s="44">
        <v>45898.60437828704</v>
      </c>
      <c r="U4996" s="44">
        <v>45902.61605189815</v>
      </c>
      <c r="V4996" s="44">
        <v>45903.43170813657</v>
      </c>
      <c r="W4996" s="11"/>
      <c r="X4996" s="11"/>
      <c r="Y4996" s="45">
        <v>302.0</v>
      </c>
      <c r="Z4996" s="45" t="s">
        <v>20013</v>
      </c>
      <c r="AA4996" s="31"/>
      <c r="AB4996" s="45" t="s">
        <v>20014</v>
      </c>
      <c r="AC4996" s="45"/>
    </row>
    <row r="4997" ht="18.75" customHeight="1">
      <c r="A4997" s="18" t="s">
        <v>20015</v>
      </c>
      <c r="B4997" s="19" t="s">
        <v>4206</v>
      </c>
      <c r="C4997" s="20">
        <v>0.0</v>
      </c>
      <c r="D4997" s="39" t="s">
        <v>20016</v>
      </c>
      <c r="E4997" s="27" t="s">
        <v>4430</v>
      </c>
      <c r="F4997" s="27" t="s">
        <v>48</v>
      </c>
      <c r="G4997" s="18" t="s">
        <v>35</v>
      </c>
      <c r="H4997" s="40" t="s">
        <v>35</v>
      </c>
      <c r="I4997" s="37" t="s">
        <v>36</v>
      </c>
      <c r="J4997" s="25" t="s">
        <v>92</v>
      </c>
      <c r="K4997" s="26" t="s">
        <v>38</v>
      </c>
      <c r="L4997" s="72">
        <v>13773.0</v>
      </c>
      <c r="M4997" s="49" t="s">
        <v>50</v>
      </c>
      <c r="N4997" s="42" t="s">
        <v>5893</v>
      </c>
      <c r="O4997" s="67">
        <v>45903.4934259375</v>
      </c>
      <c r="P4997" s="35" t="s">
        <v>20012</v>
      </c>
      <c r="Q4997" s="13" t="s">
        <v>75</v>
      </c>
      <c r="R4997" s="13" t="s">
        <v>75</v>
      </c>
      <c r="S4997" s="13" t="s">
        <v>73</v>
      </c>
      <c r="T4997" s="44">
        <v>45898.60452533565</v>
      </c>
      <c r="U4997" s="44">
        <v>45902.61610818287</v>
      </c>
      <c r="V4997" s="44">
        <v>45903.431826921296</v>
      </c>
      <c r="W4997" s="11"/>
      <c r="X4997" s="11"/>
      <c r="Y4997" s="45">
        <v>302.0</v>
      </c>
      <c r="Z4997" s="45" t="s">
        <v>20017</v>
      </c>
      <c r="AA4997" s="31"/>
      <c r="AB4997" s="45" t="s">
        <v>20018</v>
      </c>
      <c r="AC4997" s="45"/>
    </row>
    <row r="4998" ht="18.75" customHeight="1">
      <c r="A4998" s="18" t="s">
        <v>20019</v>
      </c>
      <c r="B4998" s="19" t="s">
        <v>4206</v>
      </c>
      <c r="C4998" s="20">
        <v>27.0</v>
      </c>
      <c r="D4998" s="39" t="s">
        <v>20020</v>
      </c>
      <c r="E4998" s="27" t="s">
        <v>72</v>
      </c>
      <c r="F4998" s="27" t="s">
        <v>48</v>
      </c>
      <c r="G4998" s="18" t="s">
        <v>35</v>
      </c>
      <c r="H4998" s="40" t="s">
        <v>35</v>
      </c>
      <c r="I4998" s="37" t="s">
        <v>18148</v>
      </c>
      <c r="J4998" s="25" t="s">
        <v>92</v>
      </c>
      <c r="K4998" s="26" t="s">
        <v>38</v>
      </c>
      <c r="L4998" s="72">
        <v>13773.0</v>
      </c>
      <c r="M4998" s="49"/>
      <c r="N4998" s="42"/>
      <c r="O4998" s="68"/>
      <c r="P4998" s="35" t="s">
        <v>20012</v>
      </c>
      <c r="Q4998" s="13" t="s">
        <v>75</v>
      </c>
      <c r="R4998" s="13" t="s">
        <v>75</v>
      </c>
      <c r="S4998" s="13" t="s">
        <v>73</v>
      </c>
      <c r="T4998" s="44">
        <v>45898.60465572917</v>
      </c>
      <c r="U4998" s="44">
        <v>45902.616077858795</v>
      </c>
      <c r="V4998" s="44">
        <v>45903.43516997685</v>
      </c>
      <c r="W4998" s="11"/>
      <c r="X4998" s="11"/>
      <c r="Y4998" s="45">
        <v>302.0</v>
      </c>
      <c r="Z4998" s="45" t="s">
        <v>20021</v>
      </c>
      <c r="AA4998" s="31"/>
      <c r="AB4998" s="45" t="s">
        <v>20022</v>
      </c>
      <c r="AC4998" s="45"/>
    </row>
    <row r="4999" ht="18.75" customHeight="1">
      <c r="A4999" s="142" t="s">
        <v>20023</v>
      </c>
      <c r="B4999" s="19" t="s">
        <v>20024</v>
      </c>
      <c r="C4999" s="20">
        <v>0.0</v>
      </c>
      <c r="D4999" s="39" t="s">
        <v>20025</v>
      </c>
      <c r="E4999" s="27" t="s">
        <v>3441</v>
      </c>
      <c r="F4999" s="27" t="s">
        <v>48</v>
      </c>
      <c r="G4999" s="18" t="s">
        <v>35</v>
      </c>
      <c r="H4999" s="40" t="s">
        <v>35</v>
      </c>
      <c r="I4999" s="37" t="s">
        <v>36</v>
      </c>
      <c r="J4999" s="25" t="s">
        <v>65</v>
      </c>
      <c r="K4999" s="26" t="s">
        <v>38</v>
      </c>
      <c r="L4999" s="72">
        <v>13752.0</v>
      </c>
      <c r="M4999" s="49" t="s">
        <v>50</v>
      </c>
      <c r="N4999" s="42" t="s">
        <v>16408</v>
      </c>
      <c r="O4999" s="67">
        <v>45901.6496572801</v>
      </c>
      <c r="P4999" s="35" t="s">
        <v>20026</v>
      </c>
      <c r="Q4999" s="13" t="s">
        <v>75</v>
      </c>
      <c r="R4999" s="13" t="s">
        <v>75</v>
      </c>
      <c r="S4999" s="13" t="s">
        <v>73</v>
      </c>
      <c r="T4999" s="44">
        <v>45898.605467002315</v>
      </c>
      <c r="U4999" s="44">
        <v>45898.63038949074</v>
      </c>
      <c r="V4999" s="44">
        <v>45901.45004753472</v>
      </c>
      <c r="W4999" s="11"/>
      <c r="X4999" s="11"/>
      <c r="Y4999" s="45">
        <v>302.0</v>
      </c>
      <c r="Z4999" s="45" t="s">
        <v>20027</v>
      </c>
      <c r="AA4999" s="31"/>
      <c r="AB4999" s="45" t="s">
        <v>20028</v>
      </c>
      <c r="AC4999" s="45"/>
    </row>
    <row r="5000" ht="18.75" customHeight="1">
      <c r="A5000" s="142" t="s">
        <v>20029</v>
      </c>
      <c r="B5000" s="19" t="s">
        <v>20030</v>
      </c>
      <c r="C5000" s="20">
        <v>34.0</v>
      </c>
      <c r="D5000" s="39" t="s">
        <v>20031</v>
      </c>
      <c r="E5000" s="27" t="s">
        <v>47</v>
      </c>
      <c r="F5000" s="27" t="s">
        <v>48</v>
      </c>
      <c r="G5000" s="18" t="s">
        <v>35</v>
      </c>
      <c r="H5000" s="40" t="s">
        <v>35</v>
      </c>
      <c r="I5000" s="37" t="s">
        <v>36</v>
      </c>
      <c r="J5000" s="25" t="s">
        <v>65</v>
      </c>
      <c r="K5000" s="26" t="s">
        <v>38</v>
      </c>
      <c r="L5000" s="72">
        <v>13756.0</v>
      </c>
      <c r="M5000" s="49" t="s">
        <v>50</v>
      </c>
      <c r="N5000" s="42" t="s">
        <v>16408</v>
      </c>
      <c r="O5000" s="67">
        <v>45901.64960050926</v>
      </c>
      <c r="P5000" s="35" t="s">
        <v>15829</v>
      </c>
      <c r="Q5000" s="13" t="s">
        <v>75</v>
      </c>
      <c r="R5000" s="13" t="s">
        <v>75</v>
      </c>
      <c r="S5000" s="13" t="s">
        <v>73</v>
      </c>
      <c r="T5000" s="44">
        <v>45898.60735215277</v>
      </c>
      <c r="U5000" s="44">
        <v>45898.60798755787</v>
      </c>
      <c r="V5000" s="44">
        <v>45901.44808289352</v>
      </c>
      <c r="W5000" s="11"/>
      <c r="X5000" s="11"/>
      <c r="Y5000" s="45">
        <v>302.0</v>
      </c>
      <c r="Z5000" s="45" t="s">
        <v>20032</v>
      </c>
      <c r="AA5000" s="31"/>
      <c r="AB5000" s="45" t="s">
        <v>20033</v>
      </c>
      <c r="AC5000" s="45"/>
    </row>
    <row r="5001" ht="18.75" customHeight="1">
      <c r="A5001" s="142" t="s">
        <v>20034</v>
      </c>
      <c r="B5001" s="19" t="s">
        <v>20035</v>
      </c>
      <c r="C5001" s="20">
        <v>0.0</v>
      </c>
      <c r="D5001" s="39"/>
      <c r="E5001" s="27" t="s">
        <v>1911</v>
      </c>
      <c r="F5001" s="27" t="s">
        <v>244</v>
      </c>
      <c r="G5001" s="18" t="s">
        <v>35</v>
      </c>
      <c r="H5001" s="40" t="s">
        <v>35</v>
      </c>
      <c r="I5001" s="37" t="s">
        <v>17277</v>
      </c>
      <c r="J5001" s="25" t="s">
        <v>49</v>
      </c>
      <c r="K5001" s="26" t="s">
        <v>38</v>
      </c>
      <c r="L5001" s="25"/>
      <c r="M5001" s="49"/>
      <c r="N5001" s="42"/>
      <c r="O5001" s="68"/>
      <c r="P5001" s="35" t="s">
        <v>20036</v>
      </c>
      <c r="Q5001" s="13" t="s">
        <v>75</v>
      </c>
      <c r="R5001" s="13"/>
      <c r="S5001" s="13"/>
      <c r="T5001" s="44">
        <v>45901.422731921295</v>
      </c>
      <c r="U5001" s="13"/>
      <c r="V5001" s="13"/>
      <c r="W5001" s="11"/>
      <c r="X5001" s="11"/>
      <c r="Y5001" s="45"/>
      <c r="Z5001" s="45"/>
      <c r="AA5001" s="31"/>
      <c r="AB5001" s="45" t="s">
        <v>20037</v>
      </c>
      <c r="AC5001" s="45"/>
    </row>
    <row r="5002" ht="18.75" customHeight="1">
      <c r="A5002" s="142" t="s">
        <v>20038</v>
      </c>
      <c r="B5002" s="19" t="s">
        <v>8666</v>
      </c>
      <c r="C5002" s="20">
        <v>1.0</v>
      </c>
      <c r="D5002" s="39" t="s">
        <v>20039</v>
      </c>
      <c r="E5002" s="27" t="s">
        <v>3395</v>
      </c>
      <c r="F5002" s="27" t="s">
        <v>48</v>
      </c>
      <c r="G5002" s="18" t="s">
        <v>35</v>
      </c>
      <c r="H5002" s="40" t="s">
        <v>35</v>
      </c>
      <c r="I5002" s="37" t="s">
        <v>36</v>
      </c>
      <c r="J5002" s="25" t="s">
        <v>49</v>
      </c>
      <c r="K5002" s="26" t="s">
        <v>38</v>
      </c>
      <c r="L5002" s="72">
        <v>13942.0</v>
      </c>
      <c r="M5002" s="49" t="s">
        <v>50</v>
      </c>
      <c r="N5002" s="42" t="s">
        <v>17048</v>
      </c>
      <c r="O5002" s="67">
        <v>45923.68178547454</v>
      </c>
      <c r="P5002" s="35" t="s">
        <v>20040</v>
      </c>
      <c r="Q5002" s="13" t="s">
        <v>75</v>
      </c>
      <c r="R5002" s="13" t="s">
        <v>75</v>
      </c>
      <c r="S5002" s="13" t="s">
        <v>50</v>
      </c>
      <c r="T5002" s="44">
        <v>45901.42336202547</v>
      </c>
      <c r="U5002" s="44">
        <v>45922.653229062504</v>
      </c>
      <c r="V5002" s="44">
        <v>45923.42716068287</v>
      </c>
      <c r="W5002" s="11"/>
      <c r="X5002" s="11"/>
      <c r="Y5002" s="45">
        <v>302.0</v>
      </c>
      <c r="Z5002" s="45" t="s">
        <v>20041</v>
      </c>
      <c r="AA5002" s="31"/>
      <c r="AB5002" s="45" t="s">
        <v>20042</v>
      </c>
      <c r="AC5002" s="45"/>
    </row>
    <row r="5003" ht="18.75" customHeight="1">
      <c r="A5003" s="18" t="s">
        <v>20043</v>
      </c>
      <c r="B5003" s="19" t="s">
        <v>8666</v>
      </c>
      <c r="C5003" s="20">
        <v>27.0</v>
      </c>
      <c r="D5003" s="39" t="s">
        <v>20044</v>
      </c>
      <c r="E5003" s="27" t="s">
        <v>72</v>
      </c>
      <c r="F5003" s="27" t="s">
        <v>48</v>
      </c>
      <c r="G5003" s="18" t="s">
        <v>35</v>
      </c>
      <c r="H5003" s="40" t="s">
        <v>35</v>
      </c>
      <c r="I5003" s="37" t="s">
        <v>36</v>
      </c>
      <c r="J5003" s="25" t="s">
        <v>49</v>
      </c>
      <c r="K5003" s="26" t="s">
        <v>38</v>
      </c>
      <c r="L5003" s="72">
        <v>13943.0</v>
      </c>
      <c r="M5003" s="49" t="s">
        <v>50</v>
      </c>
      <c r="N5003" s="42" t="s">
        <v>17048</v>
      </c>
      <c r="O5003" s="67">
        <v>45923.68183695602</v>
      </c>
      <c r="P5003" s="35" t="s">
        <v>20045</v>
      </c>
      <c r="Q5003" s="13" t="s">
        <v>75</v>
      </c>
      <c r="R5003" s="13" t="s">
        <v>75</v>
      </c>
      <c r="S5003" s="13" t="s">
        <v>73</v>
      </c>
      <c r="T5003" s="44">
        <v>45901.42502023148</v>
      </c>
      <c r="U5003" s="44">
        <v>45922.65358842592</v>
      </c>
      <c r="V5003" s="44">
        <v>45923.41561380787</v>
      </c>
      <c r="W5003" s="11"/>
      <c r="X5003" s="11"/>
      <c r="Y5003" s="207">
        <v>302.0</v>
      </c>
      <c r="Z5003" s="45" t="s">
        <v>20046</v>
      </c>
      <c r="AA5003" s="31"/>
      <c r="AB5003" s="45" t="s">
        <v>20047</v>
      </c>
      <c r="AC5003" s="45"/>
    </row>
    <row r="5004" ht="18.75" customHeight="1">
      <c r="A5004" s="18" t="s">
        <v>20048</v>
      </c>
      <c r="B5004" s="19" t="s">
        <v>8666</v>
      </c>
      <c r="C5004" s="20">
        <v>90.0</v>
      </c>
      <c r="D5004" s="39" t="s">
        <v>20049</v>
      </c>
      <c r="E5004" s="27" t="s">
        <v>91</v>
      </c>
      <c r="F5004" s="27" t="s">
        <v>48</v>
      </c>
      <c r="G5004" s="18" t="s">
        <v>35</v>
      </c>
      <c r="H5004" s="40" t="s">
        <v>35</v>
      </c>
      <c r="I5004" s="37" t="s">
        <v>36</v>
      </c>
      <c r="J5004" s="25" t="s">
        <v>49</v>
      </c>
      <c r="K5004" s="26" t="s">
        <v>38</v>
      </c>
      <c r="L5004" s="72">
        <v>13943.0</v>
      </c>
      <c r="M5004" s="49" t="s">
        <v>50</v>
      </c>
      <c r="N5004" s="42" t="s">
        <v>17048</v>
      </c>
      <c r="O5004" s="67">
        <v>45923.68188875</v>
      </c>
      <c r="P5004" s="35" t="s">
        <v>20045</v>
      </c>
      <c r="Q5004" s="13" t="s">
        <v>75</v>
      </c>
      <c r="R5004" s="13" t="s">
        <v>75</v>
      </c>
      <c r="S5004" s="13" t="s">
        <v>73</v>
      </c>
      <c r="T5004" s="44">
        <v>45901.42515755787</v>
      </c>
      <c r="U5004" s="44">
        <v>45922.65361770833</v>
      </c>
      <c r="V5004" s="44">
        <v>45923.41422806713</v>
      </c>
      <c r="W5004" s="11"/>
      <c r="X5004" s="11"/>
      <c r="Y5004" s="207">
        <v>302.0</v>
      </c>
      <c r="Z5004" s="45" t="s">
        <v>20050</v>
      </c>
      <c r="AA5004" s="31"/>
      <c r="AB5004" s="45" t="s">
        <v>20051</v>
      </c>
      <c r="AC5004" s="45"/>
    </row>
    <row r="5005" ht="18.75" customHeight="1">
      <c r="A5005" s="18" t="s">
        <v>20052</v>
      </c>
      <c r="B5005" s="19" t="s">
        <v>8666</v>
      </c>
      <c r="C5005" s="20">
        <v>90.0</v>
      </c>
      <c r="D5005" s="39" t="s">
        <v>20053</v>
      </c>
      <c r="E5005" s="27" t="s">
        <v>91</v>
      </c>
      <c r="F5005" s="27" t="s">
        <v>48</v>
      </c>
      <c r="G5005" s="18" t="s">
        <v>35</v>
      </c>
      <c r="H5005" s="40" t="s">
        <v>35</v>
      </c>
      <c r="I5005" s="37" t="s">
        <v>36</v>
      </c>
      <c r="J5005" s="25" t="s">
        <v>49</v>
      </c>
      <c r="K5005" s="26" t="s">
        <v>38</v>
      </c>
      <c r="L5005" s="72">
        <v>13943.0</v>
      </c>
      <c r="M5005" s="49" t="s">
        <v>50</v>
      </c>
      <c r="N5005" s="42" t="s">
        <v>17048</v>
      </c>
      <c r="O5005" s="67">
        <v>45923.68193359954</v>
      </c>
      <c r="P5005" s="35" t="s">
        <v>20045</v>
      </c>
      <c r="Q5005" s="13" t="s">
        <v>75</v>
      </c>
      <c r="R5005" s="13" t="s">
        <v>75</v>
      </c>
      <c r="S5005" s="13" t="s">
        <v>73</v>
      </c>
      <c r="T5005" s="44">
        <v>45901.42525832176</v>
      </c>
      <c r="U5005" s="44">
        <v>45922.65363840278</v>
      </c>
      <c r="V5005" s="44">
        <v>45923.41429189815</v>
      </c>
      <c r="W5005" s="11"/>
      <c r="X5005" s="11"/>
      <c r="Y5005" s="207">
        <v>302.0</v>
      </c>
      <c r="Z5005" s="45" t="s">
        <v>20054</v>
      </c>
      <c r="AA5005" s="31"/>
      <c r="AB5005" s="45" t="s">
        <v>20055</v>
      </c>
      <c r="AC5005" s="45"/>
    </row>
    <row r="5006" ht="18.75" customHeight="1">
      <c r="A5006" s="18" t="s">
        <v>20056</v>
      </c>
      <c r="B5006" s="19" t="s">
        <v>96</v>
      </c>
      <c r="C5006" s="20">
        <v>0.0</v>
      </c>
      <c r="D5006" s="179">
        <v>20280.0</v>
      </c>
      <c r="E5006" s="27" t="s">
        <v>98</v>
      </c>
      <c r="F5006" s="27" t="s">
        <v>33</v>
      </c>
      <c r="G5006" s="18" t="s">
        <v>34</v>
      </c>
      <c r="H5006" s="40" t="s">
        <v>35</v>
      </c>
      <c r="I5006" s="37" t="s">
        <v>36</v>
      </c>
      <c r="J5006" s="25" t="s">
        <v>49</v>
      </c>
      <c r="K5006" s="26" t="s">
        <v>38</v>
      </c>
      <c r="L5006" s="72">
        <v>13791.0</v>
      </c>
      <c r="M5006" s="49" t="s">
        <v>50</v>
      </c>
      <c r="N5006" s="42" t="s">
        <v>18561</v>
      </c>
      <c r="O5006" s="67">
        <v>45905.62545010417</v>
      </c>
      <c r="P5006" s="35" t="s">
        <v>20057</v>
      </c>
      <c r="Q5006" s="13" t="s">
        <v>75</v>
      </c>
      <c r="R5006" s="13" t="s">
        <v>75</v>
      </c>
      <c r="S5006" s="13" t="s">
        <v>9620</v>
      </c>
      <c r="T5006" s="44">
        <v>45901.47824244213</v>
      </c>
      <c r="U5006" s="13">
        <v>45901.478316064815</v>
      </c>
      <c r="V5006" s="44">
        <v>45903.697812349536</v>
      </c>
      <c r="W5006" s="11"/>
      <c r="X5006" s="11"/>
      <c r="Y5006" s="45">
        <v>302.0</v>
      </c>
      <c r="Z5006" s="45" t="s">
        <v>20058</v>
      </c>
      <c r="AA5006" s="31"/>
      <c r="AB5006" s="45" t="s">
        <v>20059</v>
      </c>
      <c r="AC5006" s="45"/>
    </row>
    <row r="5007" ht="18.75" customHeight="1">
      <c r="A5007" s="18" t="s">
        <v>20060</v>
      </c>
      <c r="B5007" s="19" t="s">
        <v>96</v>
      </c>
      <c r="C5007" s="20">
        <v>0.0</v>
      </c>
      <c r="D5007" s="179">
        <v>20281.0</v>
      </c>
      <c r="E5007" s="27" t="s">
        <v>98</v>
      </c>
      <c r="F5007" s="27" t="s">
        <v>33</v>
      </c>
      <c r="G5007" s="18" t="s">
        <v>34</v>
      </c>
      <c r="H5007" s="40" t="s">
        <v>35</v>
      </c>
      <c r="I5007" s="37" t="s">
        <v>36</v>
      </c>
      <c r="J5007" s="25" t="s">
        <v>49</v>
      </c>
      <c r="K5007" s="26" t="s">
        <v>38</v>
      </c>
      <c r="L5007" s="72">
        <v>13791.0</v>
      </c>
      <c r="M5007" s="49" t="s">
        <v>50</v>
      </c>
      <c r="N5007" s="42" t="s">
        <v>18561</v>
      </c>
      <c r="O5007" s="67">
        <v>45905.62539332176</v>
      </c>
      <c r="P5007" s="35" t="s">
        <v>20057</v>
      </c>
      <c r="Q5007" s="13" t="s">
        <v>75</v>
      </c>
      <c r="R5007" s="13" t="s">
        <v>75</v>
      </c>
      <c r="S5007" s="13" t="s">
        <v>9620</v>
      </c>
      <c r="T5007" s="44">
        <v>45901.47830086805</v>
      </c>
      <c r="U5007" s="13">
        <v>45901.47838793982</v>
      </c>
      <c r="V5007" s="44">
        <v>45903.64669959491</v>
      </c>
      <c r="W5007" s="11"/>
      <c r="X5007" s="11"/>
      <c r="Y5007" s="45"/>
      <c r="Z5007" s="45"/>
      <c r="AA5007" s="31"/>
      <c r="AB5007" s="45" t="s">
        <v>20061</v>
      </c>
      <c r="AC5007" s="45"/>
    </row>
    <row r="5008" ht="18.75" customHeight="1">
      <c r="A5008" s="18" t="s">
        <v>20062</v>
      </c>
      <c r="B5008" s="19" t="s">
        <v>96</v>
      </c>
      <c r="C5008" s="20">
        <v>0.0</v>
      </c>
      <c r="D5008" s="179">
        <v>20279.0</v>
      </c>
      <c r="E5008" s="27" t="s">
        <v>731</v>
      </c>
      <c r="F5008" s="27" t="s">
        <v>33</v>
      </c>
      <c r="G5008" s="18" t="s">
        <v>34</v>
      </c>
      <c r="H5008" s="40" t="s">
        <v>35</v>
      </c>
      <c r="I5008" s="37" t="s">
        <v>36</v>
      </c>
      <c r="J5008" s="25" t="s">
        <v>49</v>
      </c>
      <c r="K5008" s="26" t="s">
        <v>38</v>
      </c>
      <c r="L5008" s="72">
        <v>13831.0</v>
      </c>
      <c r="M5008" s="49" t="s">
        <v>50</v>
      </c>
      <c r="N5008" s="42" t="s">
        <v>17048</v>
      </c>
      <c r="O5008" s="67">
        <v>45910.610456319446</v>
      </c>
      <c r="P5008" s="35" t="s">
        <v>20063</v>
      </c>
      <c r="Q5008" s="13" t="s">
        <v>75</v>
      </c>
      <c r="R5008" s="13" t="s">
        <v>75</v>
      </c>
      <c r="S5008" s="13" t="s">
        <v>9620</v>
      </c>
      <c r="T5008" s="44">
        <v>45908.52485828704</v>
      </c>
      <c r="U5008" s="44">
        <v>45908.525090243056</v>
      </c>
      <c r="V5008" s="44">
        <v>45910.31983113426</v>
      </c>
      <c r="W5008" s="11"/>
      <c r="X5008" s="11"/>
      <c r="Y5008" s="45">
        <v>302.0</v>
      </c>
      <c r="Z5008" s="45" t="s">
        <v>20064</v>
      </c>
      <c r="AA5008" s="31"/>
      <c r="AB5008" s="45" t="s">
        <v>20065</v>
      </c>
      <c r="AC5008" s="45"/>
    </row>
    <row r="5009" ht="18.75" customHeight="1">
      <c r="A5009" s="18" t="s">
        <v>20066</v>
      </c>
      <c r="B5009" s="19" t="s">
        <v>96</v>
      </c>
      <c r="C5009" s="20">
        <v>0.0</v>
      </c>
      <c r="D5009" s="179">
        <v>20290.0</v>
      </c>
      <c r="E5009" s="27" t="s">
        <v>731</v>
      </c>
      <c r="F5009" s="27" t="s">
        <v>33</v>
      </c>
      <c r="G5009" s="18" t="s">
        <v>34</v>
      </c>
      <c r="H5009" s="40" t="s">
        <v>35</v>
      </c>
      <c r="I5009" s="37" t="s">
        <v>36</v>
      </c>
      <c r="J5009" s="25" t="s">
        <v>49</v>
      </c>
      <c r="K5009" s="26" t="s">
        <v>38</v>
      </c>
      <c r="L5009" s="72">
        <v>13831.0</v>
      </c>
      <c r="M5009" s="49" t="s">
        <v>50</v>
      </c>
      <c r="N5009" s="42" t="s">
        <v>17048</v>
      </c>
      <c r="O5009" s="67">
        <v>45910.610380983795</v>
      </c>
      <c r="P5009" s="35" t="s">
        <v>20063</v>
      </c>
      <c r="Q5009" s="13" t="s">
        <v>75</v>
      </c>
      <c r="R5009" s="13" t="s">
        <v>75</v>
      </c>
      <c r="S5009" s="13" t="s">
        <v>9620</v>
      </c>
      <c r="T5009" s="44">
        <v>45908.52507520834</v>
      </c>
      <c r="U5009" s="44">
        <v>45908.52519359953</v>
      </c>
      <c r="V5009" s="44">
        <v>45910.31983113426</v>
      </c>
      <c r="W5009" s="11"/>
      <c r="X5009" s="11"/>
      <c r="Y5009" s="45">
        <v>302.0</v>
      </c>
      <c r="Z5009" s="45" t="s">
        <v>20067</v>
      </c>
      <c r="AA5009" s="31"/>
      <c r="AB5009" s="45" t="s">
        <v>20068</v>
      </c>
      <c r="AC5009" s="45"/>
    </row>
    <row r="5010" ht="18.75" customHeight="1">
      <c r="A5010" s="18" t="s">
        <v>20069</v>
      </c>
      <c r="B5010" s="19" t="s">
        <v>4472</v>
      </c>
      <c r="C5010" s="20">
        <v>0.0</v>
      </c>
      <c r="D5010" s="220" t="s">
        <v>20070</v>
      </c>
      <c r="E5010" s="27" t="s">
        <v>794</v>
      </c>
      <c r="F5010" s="27" t="s">
        <v>33</v>
      </c>
      <c r="G5010" s="18" t="s">
        <v>34</v>
      </c>
      <c r="H5010" s="40" t="s">
        <v>35</v>
      </c>
      <c r="I5010" s="37" t="s">
        <v>36</v>
      </c>
      <c r="J5010" s="25" t="s">
        <v>49</v>
      </c>
      <c r="K5010" s="26" t="s">
        <v>38</v>
      </c>
      <c r="L5010" s="25">
        <v>14132.0</v>
      </c>
      <c r="M5010" s="49" t="s">
        <v>50</v>
      </c>
      <c r="N5010" s="42" t="s">
        <v>17048</v>
      </c>
      <c r="O5010" s="67">
        <v>45943.59487190972</v>
      </c>
      <c r="P5010" s="35" t="s">
        <v>20071</v>
      </c>
      <c r="Q5010" s="13" t="s">
        <v>75</v>
      </c>
      <c r="R5010" s="13" t="s">
        <v>75</v>
      </c>
      <c r="S5010" s="13" t="s">
        <v>9620</v>
      </c>
      <c r="T5010" s="44">
        <v>45917.42765186343</v>
      </c>
      <c r="U5010" s="44">
        <v>45917.42784697917</v>
      </c>
      <c r="V5010" s="44">
        <v>45943.37052474537</v>
      </c>
      <c r="W5010" s="11"/>
      <c r="X5010" s="148">
        <v>45930.0</v>
      </c>
      <c r="Y5010" s="45">
        <v>302.0</v>
      </c>
      <c r="Z5010" s="45" t="s">
        <v>20072</v>
      </c>
      <c r="AA5010" s="31"/>
      <c r="AB5010" s="45" t="s">
        <v>20073</v>
      </c>
      <c r="AC5010" s="45"/>
    </row>
    <row r="5011" ht="18.75" customHeight="1">
      <c r="A5011" s="18" t="s">
        <v>20074</v>
      </c>
      <c r="B5011" s="19" t="s">
        <v>4472</v>
      </c>
      <c r="C5011" s="20">
        <v>0.0</v>
      </c>
      <c r="D5011" s="220" t="s">
        <v>20075</v>
      </c>
      <c r="E5011" s="27" t="s">
        <v>882</v>
      </c>
      <c r="F5011" s="27" t="s">
        <v>33</v>
      </c>
      <c r="G5011" s="18" t="s">
        <v>34</v>
      </c>
      <c r="H5011" s="40" t="s">
        <v>35</v>
      </c>
      <c r="I5011" s="37" t="s">
        <v>36</v>
      </c>
      <c r="J5011" s="25" t="s">
        <v>49</v>
      </c>
      <c r="K5011" s="26" t="s">
        <v>38</v>
      </c>
      <c r="L5011" s="25">
        <v>14132.0</v>
      </c>
      <c r="M5011" s="49" t="s">
        <v>50</v>
      </c>
      <c r="N5011" s="42" t="s">
        <v>17048</v>
      </c>
      <c r="O5011" s="67">
        <v>45943.594828483794</v>
      </c>
      <c r="P5011" s="35" t="s">
        <v>20071</v>
      </c>
      <c r="Q5011" s="13" t="s">
        <v>75</v>
      </c>
      <c r="R5011" s="13" t="s">
        <v>75</v>
      </c>
      <c r="S5011" s="13" t="s">
        <v>9620</v>
      </c>
      <c r="T5011" s="44">
        <v>45917.42768483797</v>
      </c>
      <c r="U5011" s="44">
        <v>45917.42786974537</v>
      </c>
      <c r="V5011" s="44">
        <v>45937.74496736111</v>
      </c>
      <c r="W5011" s="11"/>
      <c r="X5011" s="148">
        <v>45930.0</v>
      </c>
      <c r="Y5011" s="45">
        <v>302.0</v>
      </c>
      <c r="Z5011" s="45" t="s">
        <v>20076</v>
      </c>
      <c r="AA5011" s="31"/>
      <c r="AB5011" s="45" t="s">
        <v>20077</v>
      </c>
      <c r="AC5011" s="45"/>
    </row>
    <row r="5012" ht="18.75" customHeight="1">
      <c r="A5012" s="18" t="s">
        <v>20078</v>
      </c>
      <c r="B5012" s="19" t="s">
        <v>4472</v>
      </c>
      <c r="C5012" s="20">
        <v>0.0</v>
      </c>
      <c r="D5012" s="220" t="s">
        <v>20079</v>
      </c>
      <c r="E5012" s="27" t="s">
        <v>882</v>
      </c>
      <c r="F5012" s="27" t="s">
        <v>33</v>
      </c>
      <c r="G5012" s="18" t="s">
        <v>34</v>
      </c>
      <c r="H5012" s="40" t="s">
        <v>35</v>
      </c>
      <c r="I5012" s="37" t="s">
        <v>36</v>
      </c>
      <c r="J5012" s="25" t="s">
        <v>49</v>
      </c>
      <c r="K5012" s="26" t="s">
        <v>38</v>
      </c>
      <c r="L5012" s="25">
        <v>14132.0</v>
      </c>
      <c r="M5012" s="49" t="s">
        <v>50</v>
      </c>
      <c r="N5012" s="42" t="s">
        <v>17048</v>
      </c>
      <c r="O5012" s="67">
        <v>45943.59478140046</v>
      </c>
      <c r="P5012" s="35" t="s">
        <v>20071</v>
      </c>
      <c r="Q5012" s="13" t="s">
        <v>75</v>
      </c>
      <c r="R5012" s="13" t="s">
        <v>75</v>
      </c>
      <c r="S5012" s="13" t="s">
        <v>9620</v>
      </c>
      <c r="T5012" s="44">
        <v>45917.42771741898</v>
      </c>
      <c r="U5012" s="44">
        <v>45917.42789237268</v>
      </c>
      <c r="V5012" s="44">
        <v>45938.43024487268</v>
      </c>
      <c r="W5012" s="11"/>
      <c r="X5012" s="148">
        <v>45930.0</v>
      </c>
      <c r="Y5012" s="45">
        <v>200.0</v>
      </c>
      <c r="Z5012" s="45" t="s">
        <v>20080</v>
      </c>
      <c r="AA5012" s="31"/>
      <c r="AB5012" s="45" t="s">
        <v>20081</v>
      </c>
      <c r="AC5012" s="45"/>
    </row>
    <row r="5013" ht="18.75" customHeight="1">
      <c r="A5013" s="18" t="s">
        <v>20082</v>
      </c>
      <c r="B5013" s="19" t="s">
        <v>4472</v>
      </c>
      <c r="C5013" s="20">
        <v>0.0</v>
      </c>
      <c r="D5013" s="179">
        <v>20334.0</v>
      </c>
      <c r="E5013" s="27" t="s">
        <v>882</v>
      </c>
      <c r="F5013" s="27" t="s">
        <v>33</v>
      </c>
      <c r="G5013" s="18" t="s">
        <v>34</v>
      </c>
      <c r="H5013" s="40" t="s">
        <v>35</v>
      </c>
      <c r="I5013" s="37" t="s">
        <v>36</v>
      </c>
      <c r="J5013" s="25" t="s">
        <v>49</v>
      </c>
      <c r="K5013" s="26" t="s">
        <v>38</v>
      </c>
      <c r="L5013" s="25">
        <v>14132.0</v>
      </c>
      <c r="M5013" s="49" t="s">
        <v>50</v>
      </c>
      <c r="N5013" s="42" t="s">
        <v>17048</v>
      </c>
      <c r="O5013" s="67">
        <v>45943.59473359954</v>
      </c>
      <c r="P5013" s="35" t="s">
        <v>20071</v>
      </c>
      <c r="Q5013" s="13" t="s">
        <v>75</v>
      </c>
      <c r="R5013" s="13" t="s">
        <v>75</v>
      </c>
      <c r="S5013" s="13" t="s">
        <v>9620</v>
      </c>
      <c r="T5013" s="44">
        <v>45917.42775027778</v>
      </c>
      <c r="U5013" s="44">
        <v>45917.42791627315</v>
      </c>
      <c r="V5013" s="44">
        <v>45938.40234315972</v>
      </c>
      <c r="W5013" s="11"/>
      <c r="X5013" s="148">
        <v>45930.0</v>
      </c>
      <c r="Y5013" s="45">
        <v>302.0</v>
      </c>
      <c r="Z5013" s="45" t="s">
        <v>20083</v>
      </c>
      <c r="AA5013" s="31"/>
      <c r="AB5013" s="45" t="s">
        <v>20084</v>
      </c>
      <c r="AC5013" s="45"/>
    </row>
    <row r="5014" ht="18.75" customHeight="1">
      <c r="A5014" s="18" t="s">
        <v>20085</v>
      </c>
      <c r="B5014" s="19" t="s">
        <v>4472</v>
      </c>
      <c r="C5014" s="20">
        <v>0.0</v>
      </c>
      <c r="D5014" s="179">
        <v>20335.0</v>
      </c>
      <c r="E5014" s="27" t="s">
        <v>882</v>
      </c>
      <c r="F5014" s="27" t="s">
        <v>33</v>
      </c>
      <c r="G5014" s="18" t="s">
        <v>34</v>
      </c>
      <c r="H5014" s="40" t="s">
        <v>35</v>
      </c>
      <c r="I5014" s="37" t="s">
        <v>36</v>
      </c>
      <c r="J5014" s="25" t="s">
        <v>49</v>
      </c>
      <c r="K5014" s="26" t="s">
        <v>38</v>
      </c>
      <c r="L5014" s="25">
        <v>14132.0</v>
      </c>
      <c r="M5014" s="49" t="s">
        <v>50</v>
      </c>
      <c r="N5014" s="42" t="s">
        <v>17048</v>
      </c>
      <c r="O5014" s="67">
        <v>45943.59469039352</v>
      </c>
      <c r="P5014" s="35" t="s">
        <v>20071</v>
      </c>
      <c r="Q5014" s="13" t="s">
        <v>75</v>
      </c>
      <c r="R5014" s="13" t="s">
        <v>75</v>
      </c>
      <c r="S5014" s="13" t="s">
        <v>9620</v>
      </c>
      <c r="T5014" s="44">
        <v>45917.427782557876</v>
      </c>
      <c r="U5014" s="44">
        <v>45917.42794173611</v>
      </c>
      <c r="V5014" s="44">
        <v>45938.464143749996</v>
      </c>
      <c r="W5014" s="11"/>
      <c r="X5014" s="148">
        <v>45930.0</v>
      </c>
      <c r="Y5014" s="45">
        <v>302.0</v>
      </c>
      <c r="Z5014" s="45" t="s">
        <v>20086</v>
      </c>
      <c r="AA5014" s="31"/>
      <c r="AB5014" s="45" t="s">
        <v>20087</v>
      </c>
      <c r="AC5014" s="45"/>
    </row>
    <row r="5015" ht="18.75" customHeight="1">
      <c r="A5015" s="142" t="s">
        <v>20088</v>
      </c>
      <c r="B5015" s="19" t="s">
        <v>8203</v>
      </c>
      <c r="C5015" s="20">
        <v>27.0</v>
      </c>
      <c r="D5015" s="39" t="s">
        <v>20089</v>
      </c>
      <c r="E5015" s="27" t="s">
        <v>72</v>
      </c>
      <c r="F5015" s="27" t="s">
        <v>48</v>
      </c>
      <c r="G5015" s="18" t="s">
        <v>35</v>
      </c>
      <c r="H5015" s="40" t="s">
        <v>35</v>
      </c>
      <c r="I5015" s="37" t="s">
        <v>36</v>
      </c>
      <c r="J5015" s="25" t="s">
        <v>65</v>
      </c>
      <c r="K5015" s="26" t="s">
        <v>38</v>
      </c>
      <c r="L5015" s="72">
        <v>13770.0</v>
      </c>
      <c r="M5015" s="49" t="s">
        <v>50</v>
      </c>
      <c r="N5015" s="42" t="s">
        <v>16408</v>
      </c>
      <c r="O5015" s="67">
        <v>45903.70491962963</v>
      </c>
      <c r="P5015" s="35" t="s">
        <v>20090</v>
      </c>
      <c r="Q5015" s="13" t="s">
        <v>75</v>
      </c>
      <c r="R5015" s="13" t="s">
        <v>75</v>
      </c>
      <c r="S5015" s="13" t="s">
        <v>73</v>
      </c>
      <c r="T5015" s="44">
        <v>45901.433039236115</v>
      </c>
      <c r="U5015" s="44">
        <v>45902.61084008102</v>
      </c>
      <c r="V5015" s="44">
        <v>45903.38348134259</v>
      </c>
      <c r="W5015" s="11"/>
      <c r="X5015" s="11"/>
      <c r="Y5015" s="45">
        <v>302.0</v>
      </c>
      <c r="Z5015" s="45" t="s">
        <v>20091</v>
      </c>
      <c r="AA5015" s="31"/>
      <c r="AB5015" s="45" t="s">
        <v>20092</v>
      </c>
      <c r="AC5015" s="45"/>
    </row>
    <row r="5016" ht="18.75" customHeight="1">
      <c r="A5016" s="142" t="s">
        <v>20093</v>
      </c>
      <c r="B5016" s="19" t="s">
        <v>19825</v>
      </c>
      <c r="C5016" s="20">
        <v>0.0</v>
      </c>
      <c r="D5016" s="225">
        <v>20300.0</v>
      </c>
      <c r="E5016" s="27" t="s">
        <v>4792</v>
      </c>
      <c r="F5016" s="27" t="s">
        <v>244</v>
      </c>
      <c r="G5016" s="18" t="s">
        <v>35</v>
      </c>
      <c r="H5016" s="40" t="s">
        <v>35</v>
      </c>
      <c r="I5016" s="37" t="s">
        <v>36</v>
      </c>
      <c r="J5016" s="25" t="s">
        <v>37</v>
      </c>
      <c r="K5016" s="26" t="s">
        <v>38</v>
      </c>
      <c r="L5016" s="72">
        <v>13867.0</v>
      </c>
      <c r="M5016" s="49" t="s">
        <v>73</v>
      </c>
      <c r="N5016" s="42" t="s">
        <v>10833</v>
      </c>
      <c r="O5016" s="67">
        <v>45916.63715599537</v>
      </c>
      <c r="P5016" s="35" t="s">
        <v>20094</v>
      </c>
      <c r="Q5016" s="13" t="s">
        <v>75</v>
      </c>
      <c r="R5016" s="13" t="s">
        <v>75</v>
      </c>
      <c r="S5016" s="13" t="s">
        <v>9620</v>
      </c>
      <c r="T5016" s="44">
        <v>45901.434257974535</v>
      </c>
      <c r="U5016" s="44">
        <v>45903.700372569445</v>
      </c>
      <c r="V5016" s="44">
        <v>45912.74290571759</v>
      </c>
      <c r="W5016" s="11"/>
      <c r="X5016" s="11"/>
      <c r="Y5016" s="45">
        <v>302.0</v>
      </c>
      <c r="Z5016" s="45" t="s">
        <v>20095</v>
      </c>
      <c r="AA5016" s="31"/>
      <c r="AB5016" s="45" t="s">
        <v>20096</v>
      </c>
      <c r="AC5016" s="45"/>
    </row>
    <row r="5017" ht="18.75" customHeight="1">
      <c r="A5017" s="142" t="s">
        <v>20097</v>
      </c>
      <c r="B5017" s="19" t="s">
        <v>17465</v>
      </c>
      <c r="C5017" s="20">
        <v>0.0</v>
      </c>
      <c r="D5017" s="39" t="s">
        <v>20098</v>
      </c>
      <c r="E5017" s="27" t="s">
        <v>3441</v>
      </c>
      <c r="F5017" s="27" t="s">
        <v>48</v>
      </c>
      <c r="G5017" s="18" t="s">
        <v>35</v>
      </c>
      <c r="H5017" s="40" t="s">
        <v>35</v>
      </c>
      <c r="I5017" s="37" t="s">
        <v>36</v>
      </c>
      <c r="J5017" s="25" t="s">
        <v>65</v>
      </c>
      <c r="K5017" s="26" t="s">
        <v>38</v>
      </c>
      <c r="L5017" s="72">
        <v>13794.0</v>
      </c>
      <c r="M5017" s="49" t="s">
        <v>50</v>
      </c>
      <c r="N5017" s="42" t="s">
        <v>18645</v>
      </c>
      <c r="O5017" s="67">
        <v>45905.65455045139</v>
      </c>
      <c r="P5017" s="35" t="s">
        <v>14372</v>
      </c>
      <c r="Q5017" s="13" t="s">
        <v>75</v>
      </c>
      <c r="R5017" s="13" t="s">
        <v>75</v>
      </c>
      <c r="S5017" s="13" t="s">
        <v>73</v>
      </c>
      <c r="T5017" s="44">
        <v>45901.67435777778</v>
      </c>
      <c r="U5017" s="44">
        <v>45904.54093902778</v>
      </c>
      <c r="V5017" s="44">
        <v>45905.428190624996</v>
      </c>
      <c r="W5017" s="11"/>
      <c r="X5017" s="11"/>
      <c r="Y5017" s="45">
        <v>302.0</v>
      </c>
      <c r="Z5017" s="45" t="s">
        <v>20099</v>
      </c>
      <c r="AA5017" s="31"/>
      <c r="AB5017" s="45" t="s">
        <v>20100</v>
      </c>
      <c r="AC5017" s="45"/>
    </row>
    <row r="5018" ht="18.75" customHeight="1">
      <c r="A5018" s="142" t="s">
        <v>20101</v>
      </c>
      <c r="B5018" s="19" t="s">
        <v>4352</v>
      </c>
      <c r="C5018" s="20">
        <v>33.0</v>
      </c>
      <c r="D5018" s="39" t="s">
        <v>20102</v>
      </c>
      <c r="E5018" s="27" t="s">
        <v>6133</v>
      </c>
      <c r="F5018" s="27" t="s">
        <v>48</v>
      </c>
      <c r="G5018" s="18" t="s">
        <v>35</v>
      </c>
      <c r="H5018" s="40" t="s">
        <v>35</v>
      </c>
      <c r="I5018" s="37" t="s">
        <v>36</v>
      </c>
      <c r="J5018" s="25" t="s">
        <v>49</v>
      </c>
      <c r="K5018" s="26" t="s">
        <v>38</v>
      </c>
      <c r="L5018" s="72">
        <v>13771.0</v>
      </c>
      <c r="M5018" s="49" t="s">
        <v>50</v>
      </c>
      <c r="N5018" s="42" t="s">
        <v>17048</v>
      </c>
      <c r="O5018" s="67">
        <v>45905.36521584491</v>
      </c>
      <c r="P5018" s="35" t="s">
        <v>20103</v>
      </c>
      <c r="Q5018" s="13" t="s">
        <v>75</v>
      </c>
      <c r="R5018" s="13" t="s">
        <v>75</v>
      </c>
      <c r="S5018" s="13" t="s">
        <v>73</v>
      </c>
      <c r="T5018" s="44">
        <v>45901.67561024305</v>
      </c>
      <c r="U5018" s="44">
        <v>45902.59461042824</v>
      </c>
      <c r="V5018" s="44">
        <v>45903.37964627315</v>
      </c>
      <c r="W5018" s="11"/>
      <c r="X5018" s="11"/>
      <c r="Y5018" s="45">
        <v>302.0</v>
      </c>
      <c r="Z5018" s="45" t="s">
        <v>20104</v>
      </c>
      <c r="AA5018" s="31"/>
      <c r="AB5018" s="45" t="s">
        <v>20105</v>
      </c>
      <c r="AC5018" s="45"/>
    </row>
    <row r="5019" ht="18.75" customHeight="1">
      <c r="A5019" s="142" t="s">
        <v>20106</v>
      </c>
      <c r="B5019" s="19" t="s">
        <v>4206</v>
      </c>
      <c r="C5019" s="20">
        <v>0.0</v>
      </c>
      <c r="D5019" s="39" t="s">
        <v>20107</v>
      </c>
      <c r="E5019" s="27" t="s">
        <v>3441</v>
      </c>
      <c r="F5019" s="27" t="s">
        <v>48</v>
      </c>
      <c r="G5019" s="18" t="s">
        <v>35</v>
      </c>
      <c r="H5019" s="40" t="s">
        <v>35</v>
      </c>
      <c r="I5019" s="37" t="s">
        <v>18148</v>
      </c>
      <c r="J5019" s="25" t="s">
        <v>92</v>
      </c>
      <c r="K5019" s="26" t="s">
        <v>38</v>
      </c>
      <c r="L5019" s="72">
        <v>13775.0</v>
      </c>
      <c r="M5019" s="49"/>
      <c r="N5019" s="42"/>
      <c r="O5019" s="68"/>
      <c r="P5019" s="35" t="s">
        <v>20108</v>
      </c>
      <c r="Q5019" s="13" t="s">
        <v>75</v>
      </c>
      <c r="R5019" s="13" t="s">
        <v>75</v>
      </c>
      <c r="S5019" s="13" t="s">
        <v>73</v>
      </c>
      <c r="T5019" s="44">
        <v>45901.677737569444</v>
      </c>
      <c r="U5019" s="44">
        <v>45902.616579525464</v>
      </c>
      <c r="V5019" s="44">
        <v>45903.441052905095</v>
      </c>
      <c r="W5019" s="11"/>
      <c r="X5019" s="11"/>
      <c r="Y5019" s="45">
        <v>302.0</v>
      </c>
      <c r="Z5019" s="45" t="s">
        <v>20109</v>
      </c>
      <c r="AA5019" s="31"/>
      <c r="AB5019" s="45" t="s">
        <v>20110</v>
      </c>
      <c r="AC5019" s="45"/>
    </row>
    <row r="5020" ht="18.75" customHeight="1">
      <c r="A5020" s="142" t="s">
        <v>20111</v>
      </c>
      <c r="B5020" s="19" t="s">
        <v>8267</v>
      </c>
      <c r="C5020" s="20">
        <v>27.0</v>
      </c>
      <c r="D5020" s="39" t="s">
        <v>20112</v>
      </c>
      <c r="E5020" s="27" t="s">
        <v>72</v>
      </c>
      <c r="F5020" s="27" t="s">
        <v>48</v>
      </c>
      <c r="G5020" s="18" t="s">
        <v>35</v>
      </c>
      <c r="H5020" s="40" t="s">
        <v>35</v>
      </c>
      <c r="I5020" s="37" t="s">
        <v>36</v>
      </c>
      <c r="J5020" s="25" t="s">
        <v>518</v>
      </c>
      <c r="K5020" s="26" t="s">
        <v>38</v>
      </c>
      <c r="L5020" s="72">
        <v>13772.0</v>
      </c>
      <c r="M5020" s="49" t="s">
        <v>73</v>
      </c>
      <c r="N5020" s="42" t="s">
        <v>4616</v>
      </c>
      <c r="O5020" s="67">
        <v>45904.620164305554</v>
      </c>
      <c r="P5020" s="35" t="s">
        <v>19232</v>
      </c>
      <c r="Q5020" s="13" t="s">
        <v>75</v>
      </c>
      <c r="R5020" s="13" t="s">
        <v>75</v>
      </c>
      <c r="S5020" s="13" t="s">
        <v>73</v>
      </c>
      <c r="T5020" s="44">
        <v>45902.60452287037</v>
      </c>
      <c r="U5020" s="44">
        <v>45902.604666597224</v>
      </c>
      <c r="V5020" s="44">
        <v>45903.37828934028</v>
      </c>
      <c r="W5020" s="11"/>
      <c r="X5020" s="11"/>
      <c r="Y5020" s="45">
        <v>302.0</v>
      </c>
      <c r="Z5020" s="45" t="s">
        <v>20113</v>
      </c>
      <c r="AA5020" s="31"/>
      <c r="AB5020" s="45" t="s">
        <v>20114</v>
      </c>
      <c r="AC5020" s="45"/>
    </row>
    <row r="5021" ht="18.75" customHeight="1">
      <c r="A5021" s="18" t="s">
        <v>20115</v>
      </c>
      <c r="B5021" s="19" t="s">
        <v>8267</v>
      </c>
      <c r="C5021" s="20">
        <v>0.0</v>
      </c>
      <c r="D5021" s="39" t="s">
        <v>20116</v>
      </c>
      <c r="E5021" s="27" t="s">
        <v>3441</v>
      </c>
      <c r="F5021" s="27" t="s">
        <v>48</v>
      </c>
      <c r="G5021" s="18" t="s">
        <v>35</v>
      </c>
      <c r="H5021" s="40" t="s">
        <v>35</v>
      </c>
      <c r="I5021" s="37" t="s">
        <v>36</v>
      </c>
      <c r="J5021" s="25" t="s">
        <v>518</v>
      </c>
      <c r="K5021" s="26" t="s">
        <v>38</v>
      </c>
      <c r="L5021" s="72">
        <v>13767.0</v>
      </c>
      <c r="M5021" s="49" t="s">
        <v>73</v>
      </c>
      <c r="N5021" s="42" t="s">
        <v>4616</v>
      </c>
      <c r="O5021" s="67">
        <v>45904.62027262732</v>
      </c>
      <c r="P5021" s="35" t="s">
        <v>20117</v>
      </c>
      <c r="Q5021" s="13" t="s">
        <v>75</v>
      </c>
      <c r="R5021" s="13" t="s">
        <v>75</v>
      </c>
      <c r="S5021" s="13" t="s">
        <v>50</v>
      </c>
      <c r="T5021" s="44">
        <v>45902.60397181713</v>
      </c>
      <c r="U5021" s="44">
        <v>45902.60461113426</v>
      </c>
      <c r="V5021" s="44">
        <v>45902.60655640047</v>
      </c>
      <c r="W5021" s="11"/>
      <c r="X5021" s="11"/>
      <c r="Y5021" s="45">
        <v>302.0</v>
      </c>
      <c r="Z5021" s="45" t="s">
        <v>20118</v>
      </c>
      <c r="AA5021" s="31"/>
      <c r="AB5021" s="45" t="s">
        <v>20119</v>
      </c>
      <c r="AC5021" s="45"/>
    </row>
    <row r="5022" ht="18.75" customHeight="1">
      <c r="A5022" s="18" t="s">
        <v>20120</v>
      </c>
      <c r="B5022" s="19" t="s">
        <v>8267</v>
      </c>
      <c r="C5022" s="20">
        <v>0.0</v>
      </c>
      <c r="D5022" s="39" t="s">
        <v>20121</v>
      </c>
      <c r="E5022" s="27" t="s">
        <v>3441</v>
      </c>
      <c r="F5022" s="27" t="s">
        <v>48</v>
      </c>
      <c r="G5022" s="18" t="s">
        <v>35</v>
      </c>
      <c r="H5022" s="40" t="s">
        <v>35</v>
      </c>
      <c r="I5022" s="37" t="s">
        <v>36</v>
      </c>
      <c r="J5022" s="25" t="s">
        <v>518</v>
      </c>
      <c r="K5022" s="26" t="s">
        <v>38</v>
      </c>
      <c r="L5022" s="72">
        <v>13767.0</v>
      </c>
      <c r="M5022" s="49" t="s">
        <v>73</v>
      </c>
      <c r="N5022" s="42" t="s">
        <v>4616</v>
      </c>
      <c r="O5022" s="67">
        <v>45904.62034425926</v>
      </c>
      <c r="P5022" s="35" t="s">
        <v>20117</v>
      </c>
      <c r="Q5022" s="13" t="s">
        <v>75</v>
      </c>
      <c r="R5022" s="13" t="s">
        <v>75</v>
      </c>
      <c r="S5022" s="13" t="s">
        <v>50</v>
      </c>
      <c r="T5022" s="44">
        <v>45902.604595613426</v>
      </c>
      <c r="U5022" s="44">
        <v>45902.60463581019</v>
      </c>
      <c r="V5022" s="44">
        <v>45902.606556412036</v>
      </c>
      <c r="W5022" s="11"/>
      <c r="X5022" s="11"/>
      <c r="Y5022" s="45">
        <v>302.0</v>
      </c>
      <c r="Z5022" s="45" t="s">
        <v>20122</v>
      </c>
      <c r="AA5022" s="31"/>
      <c r="AB5022" s="45" t="s">
        <v>20123</v>
      </c>
      <c r="AC5022" s="45"/>
    </row>
    <row r="5023" ht="18.75" customHeight="1">
      <c r="A5023" s="142" t="s">
        <v>20124</v>
      </c>
      <c r="B5023" s="19" t="s">
        <v>20125</v>
      </c>
      <c r="C5023" s="20">
        <v>90.0</v>
      </c>
      <c r="D5023" s="39" t="s">
        <v>20126</v>
      </c>
      <c r="E5023" s="27" t="s">
        <v>91</v>
      </c>
      <c r="F5023" s="27" t="s">
        <v>48</v>
      </c>
      <c r="G5023" s="18" t="s">
        <v>35</v>
      </c>
      <c r="H5023" s="40" t="s">
        <v>35</v>
      </c>
      <c r="I5023" s="37" t="s">
        <v>36</v>
      </c>
      <c r="J5023" s="25" t="s">
        <v>65</v>
      </c>
      <c r="K5023" s="26" t="s">
        <v>38</v>
      </c>
      <c r="L5023" s="72">
        <v>13777.0</v>
      </c>
      <c r="M5023" s="49" t="s">
        <v>50</v>
      </c>
      <c r="N5023" s="42" t="s">
        <v>16408</v>
      </c>
      <c r="O5023" s="67">
        <v>45903.70496335648</v>
      </c>
      <c r="P5023" s="35" t="s">
        <v>20127</v>
      </c>
      <c r="Q5023" s="13" t="s">
        <v>75</v>
      </c>
      <c r="R5023" s="13" t="s">
        <v>75</v>
      </c>
      <c r="S5023" s="13" t="s">
        <v>73</v>
      </c>
      <c r="T5023" s="44">
        <v>45901.68278679399</v>
      </c>
      <c r="U5023" s="44">
        <v>45903.469316828705</v>
      </c>
      <c r="V5023" s="44">
        <v>45903.47256278935</v>
      </c>
      <c r="W5023" s="11"/>
      <c r="X5023" s="11"/>
      <c r="Y5023" s="45">
        <v>302.0</v>
      </c>
      <c r="Z5023" s="45" t="s">
        <v>20128</v>
      </c>
      <c r="AA5023" s="31"/>
      <c r="AB5023" s="45" t="s">
        <v>20129</v>
      </c>
      <c r="AC5023" s="45"/>
    </row>
    <row r="5024" ht="18.75" customHeight="1">
      <c r="A5024" s="18" t="s">
        <v>20130</v>
      </c>
      <c r="B5024" s="19" t="s">
        <v>20131</v>
      </c>
      <c r="C5024" s="20">
        <v>1.0</v>
      </c>
      <c r="D5024" s="39"/>
      <c r="E5024" s="27" t="s">
        <v>3395</v>
      </c>
      <c r="F5024" s="27" t="s">
        <v>48</v>
      </c>
      <c r="G5024" s="18" t="s">
        <v>35</v>
      </c>
      <c r="H5024" s="40" t="s">
        <v>35</v>
      </c>
      <c r="I5024" s="37" t="s">
        <v>984</v>
      </c>
      <c r="J5024" s="25" t="s">
        <v>65</v>
      </c>
      <c r="K5024" s="26" t="s">
        <v>38</v>
      </c>
      <c r="L5024" s="25">
        <v>-14063.0</v>
      </c>
      <c r="M5024" s="49"/>
      <c r="N5024" s="42"/>
      <c r="O5024" s="68"/>
      <c r="P5024" s="35" t="s">
        <v>20132</v>
      </c>
      <c r="Q5024" s="13" t="s">
        <v>75</v>
      </c>
      <c r="R5024" s="13" t="s">
        <v>75</v>
      </c>
      <c r="S5024" s="13"/>
      <c r="T5024" s="44">
        <v>45901.69383371528</v>
      </c>
      <c r="U5024" s="44">
        <v>45933.414646273144</v>
      </c>
      <c r="V5024" s="13"/>
      <c r="W5024" s="11"/>
      <c r="X5024" s="148">
        <v>45971.0</v>
      </c>
      <c r="Y5024" s="45"/>
      <c r="Z5024" s="45"/>
      <c r="AA5024" s="31"/>
      <c r="AB5024" s="45" t="s">
        <v>20133</v>
      </c>
      <c r="AC5024" s="45"/>
    </row>
    <row r="5025" ht="21.0" customHeight="1">
      <c r="A5025" s="18" t="s">
        <v>20134</v>
      </c>
      <c r="B5025" s="19" t="s">
        <v>20131</v>
      </c>
      <c r="C5025" s="20">
        <v>1.0</v>
      </c>
      <c r="D5025" s="39"/>
      <c r="E5025" s="27" t="s">
        <v>3395</v>
      </c>
      <c r="F5025" s="27" t="s">
        <v>48</v>
      </c>
      <c r="G5025" s="18" t="s">
        <v>35</v>
      </c>
      <c r="H5025" s="40" t="s">
        <v>35</v>
      </c>
      <c r="I5025" s="37" t="s">
        <v>984</v>
      </c>
      <c r="J5025" s="25" t="s">
        <v>65</v>
      </c>
      <c r="K5025" s="26" t="s">
        <v>38</v>
      </c>
      <c r="L5025" s="25">
        <v>-14063.0</v>
      </c>
      <c r="M5025" s="49"/>
      <c r="N5025" s="42"/>
      <c r="O5025" s="68"/>
      <c r="P5025" s="35" t="s">
        <v>20132</v>
      </c>
      <c r="Q5025" s="13" t="s">
        <v>75</v>
      </c>
      <c r="R5025" s="13" t="s">
        <v>75</v>
      </c>
      <c r="S5025" s="13" t="s">
        <v>75</v>
      </c>
      <c r="T5025" s="44">
        <v>45901.69393238426</v>
      </c>
      <c r="U5025" s="44">
        <v>45933.414761990745</v>
      </c>
      <c r="V5025" s="13"/>
      <c r="W5025" s="11"/>
      <c r="X5025" s="148">
        <v>45971.0</v>
      </c>
      <c r="Y5025" s="45"/>
      <c r="Z5025" s="45"/>
      <c r="AA5025" s="31"/>
      <c r="AB5025" s="45" t="s">
        <v>20135</v>
      </c>
      <c r="AC5025" s="45"/>
    </row>
    <row r="5026" ht="18.75" customHeight="1">
      <c r="A5026" s="142" t="s">
        <v>20136</v>
      </c>
      <c r="B5026" s="19" t="s">
        <v>12493</v>
      </c>
      <c r="C5026" s="20">
        <v>27.0</v>
      </c>
      <c r="D5026" s="39" t="s">
        <v>20137</v>
      </c>
      <c r="E5026" s="27" t="s">
        <v>72</v>
      </c>
      <c r="F5026" s="27" t="s">
        <v>48</v>
      </c>
      <c r="G5026" s="18" t="s">
        <v>35</v>
      </c>
      <c r="H5026" s="40" t="s">
        <v>35</v>
      </c>
      <c r="I5026" s="37" t="s">
        <v>36</v>
      </c>
      <c r="J5026" s="25" t="s">
        <v>65</v>
      </c>
      <c r="K5026" s="26" t="s">
        <v>38</v>
      </c>
      <c r="L5026" s="72">
        <v>13764.0</v>
      </c>
      <c r="M5026" s="49" t="s">
        <v>50</v>
      </c>
      <c r="N5026" s="42" t="s">
        <v>16408</v>
      </c>
      <c r="O5026" s="67">
        <v>45902.697913703705</v>
      </c>
      <c r="P5026" s="35" t="s">
        <v>20138</v>
      </c>
      <c r="Q5026" s="13" t="s">
        <v>75</v>
      </c>
      <c r="R5026" s="13" t="s">
        <v>75</v>
      </c>
      <c r="S5026" s="13" t="s">
        <v>73</v>
      </c>
      <c r="T5026" s="44">
        <v>45901.69508424768</v>
      </c>
      <c r="U5026" s="44">
        <v>45901.72127925926</v>
      </c>
      <c r="V5026" s="44">
        <v>45902.438932523146</v>
      </c>
      <c r="W5026" s="11"/>
      <c r="X5026" s="11"/>
      <c r="Y5026" s="45">
        <v>302.0</v>
      </c>
      <c r="Z5026" s="45" t="s">
        <v>20139</v>
      </c>
      <c r="AA5026" s="31"/>
      <c r="AB5026" s="45" t="s">
        <v>20140</v>
      </c>
      <c r="AC5026" s="45"/>
    </row>
    <row r="5027" ht="18.75" customHeight="1">
      <c r="A5027" s="142" t="s">
        <v>20141</v>
      </c>
      <c r="B5027" s="19" t="s">
        <v>6153</v>
      </c>
      <c r="C5027" s="20">
        <v>90.0</v>
      </c>
      <c r="D5027" s="39" t="s">
        <v>20142</v>
      </c>
      <c r="E5027" s="27" t="s">
        <v>91</v>
      </c>
      <c r="F5027" s="27" t="s">
        <v>48</v>
      </c>
      <c r="G5027" s="18" t="s">
        <v>35</v>
      </c>
      <c r="H5027" s="40" t="s">
        <v>35</v>
      </c>
      <c r="I5027" s="37" t="s">
        <v>36</v>
      </c>
      <c r="J5027" s="25" t="s">
        <v>65</v>
      </c>
      <c r="K5027" s="26" t="s">
        <v>38</v>
      </c>
      <c r="L5027" s="72">
        <v>13783.0</v>
      </c>
      <c r="M5027" s="49" t="s">
        <v>50</v>
      </c>
      <c r="N5027" s="42" t="s">
        <v>16408</v>
      </c>
      <c r="O5027" s="67">
        <v>45903.70502175926</v>
      </c>
      <c r="P5027" s="35" t="s">
        <v>20143</v>
      </c>
      <c r="Q5027" s="13" t="s">
        <v>75</v>
      </c>
      <c r="R5027" s="13" t="s">
        <v>75</v>
      </c>
      <c r="S5027" s="13" t="s">
        <v>73</v>
      </c>
      <c r="T5027" s="44">
        <v>45901.69798302083</v>
      </c>
      <c r="U5027" s="44">
        <v>45903.4476647338</v>
      </c>
      <c r="V5027" s="44">
        <v>45903.460945729166</v>
      </c>
      <c r="W5027" s="11"/>
      <c r="X5027" s="11"/>
      <c r="Y5027" s="45">
        <v>302.0</v>
      </c>
      <c r="Z5027" s="45" t="s">
        <v>20144</v>
      </c>
      <c r="AA5027" s="31"/>
      <c r="AB5027" s="45" t="s">
        <v>20145</v>
      </c>
      <c r="AC5027" s="45"/>
    </row>
    <row r="5028" ht="18.75" customHeight="1">
      <c r="A5028" s="18" t="s">
        <v>20146</v>
      </c>
      <c r="B5028" s="19" t="s">
        <v>20147</v>
      </c>
      <c r="C5028" s="20">
        <v>33.0</v>
      </c>
      <c r="D5028" s="39" t="s">
        <v>20148</v>
      </c>
      <c r="E5028" s="27" t="s">
        <v>6133</v>
      </c>
      <c r="F5028" s="27" t="s">
        <v>48</v>
      </c>
      <c r="G5028" s="18" t="s">
        <v>35</v>
      </c>
      <c r="H5028" s="40" t="s">
        <v>35</v>
      </c>
      <c r="I5028" s="37" t="s">
        <v>36</v>
      </c>
      <c r="J5028" s="25" t="s">
        <v>49</v>
      </c>
      <c r="K5028" s="26" t="s">
        <v>16881</v>
      </c>
      <c r="L5028" s="72">
        <v>13846.0</v>
      </c>
      <c r="M5028" s="49" t="s">
        <v>50</v>
      </c>
      <c r="N5028" s="42" t="s">
        <v>5936</v>
      </c>
      <c r="O5028" s="67">
        <v>45912.655598136575</v>
      </c>
      <c r="P5028" s="35" t="s">
        <v>20149</v>
      </c>
      <c r="Q5028" s="13" t="s">
        <v>75</v>
      </c>
      <c r="R5028" s="13" t="s">
        <v>75</v>
      </c>
      <c r="S5028" s="13" t="s">
        <v>50</v>
      </c>
      <c r="T5028" s="44">
        <v>45901.65685431713</v>
      </c>
      <c r="U5028" s="44">
        <v>45912.45666310185</v>
      </c>
      <c r="V5028" s="44">
        <v>45912.46124208333</v>
      </c>
      <c r="W5028" s="11"/>
      <c r="X5028" s="11"/>
      <c r="Y5028" s="45">
        <v>302.0</v>
      </c>
      <c r="Z5028" s="45" t="s">
        <v>20150</v>
      </c>
      <c r="AA5028" s="31"/>
      <c r="AB5028" s="45" t="s">
        <v>20151</v>
      </c>
      <c r="AC5028" s="45"/>
    </row>
    <row r="5029" ht="18.75" customHeight="1">
      <c r="A5029" s="18" t="s">
        <v>20152</v>
      </c>
      <c r="B5029" s="19" t="s">
        <v>20147</v>
      </c>
      <c r="C5029" s="20">
        <v>33.0</v>
      </c>
      <c r="D5029" s="39" t="s">
        <v>20153</v>
      </c>
      <c r="E5029" s="27" t="s">
        <v>6133</v>
      </c>
      <c r="F5029" s="27" t="s">
        <v>48</v>
      </c>
      <c r="G5029" s="18" t="s">
        <v>35</v>
      </c>
      <c r="H5029" s="40" t="s">
        <v>35</v>
      </c>
      <c r="I5029" s="37" t="s">
        <v>36</v>
      </c>
      <c r="J5029" s="25" t="s">
        <v>49</v>
      </c>
      <c r="K5029" s="26" t="s">
        <v>16881</v>
      </c>
      <c r="L5029" s="72">
        <v>13846.0</v>
      </c>
      <c r="M5029" s="49" t="s">
        <v>50</v>
      </c>
      <c r="N5029" s="42" t="s">
        <v>5936</v>
      </c>
      <c r="O5029" s="67">
        <v>45912.65565577547</v>
      </c>
      <c r="P5029" s="35" t="s">
        <v>20149</v>
      </c>
      <c r="Q5029" s="13" t="s">
        <v>75</v>
      </c>
      <c r="R5029" s="13" t="s">
        <v>75</v>
      </c>
      <c r="S5029" s="13" t="s">
        <v>50</v>
      </c>
      <c r="T5029" s="44">
        <v>45901.65688355324</v>
      </c>
      <c r="U5029" s="44">
        <v>45912.456691064814</v>
      </c>
      <c r="V5029" s="44">
        <v>45912.46124208333</v>
      </c>
      <c r="W5029" s="11"/>
      <c r="X5029" s="11"/>
      <c r="Y5029" s="45">
        <v>302.0</v>
      </c>
      <c r="Z5029" s="45" t="s">
        <v>20154</v>
      </c>
      <c r="AA5029" s="31"/>
      <c r="AB5029" s="45" t="s">
        <v>20155</v>
      </c>
      <c r="AC5029" s="45"/>
    </row>
    <row r="5030" ht="18.75" customHeight="1">
      <c r="A5030" s="18" t="s">
        <v>20156</v>
      </c>
      <c r="B5030" s="19" t="s">
        <v>17502</v>
      </c>
      <c r="C5030" s="20">
        <v>1.0</v>
      </c>
      <c r="D5030" s="39"/>
      <c r="E5030" s="27" t="s">
        <v>3395</v>
      </c>
      <c r="F5030" s="27" t="s">
        <v>48</v>
      </c>
      <c r="G5030" s="18" t="s">
        <v>35</v>
      </c>
      <c r="H5030" s="40" t="s">
        <v>35</v>
      </c>
      <c r="I5030" s="37" t="s">
        <v>17277</v>
      </c>
      <c r="J5030" s="25" t="s">
        <v>65</v>
      </c>
      <c r="K5030" s="26" t="s">
        <v>38</v>
      </c>
      <c r="L5030" s="25"/>
      <c r="M5030" s="49"/>
      <c r="N5030" s="42"/>
      <c r="O5030" s="68"/>
      <c r="P5030" s="35" t="s">
        <v>20157</v>
      </c>
      <c r="Q5030" s="13" t="s">
        <v>75</v>
      </c>
      <c r="R5030" s="13"/>
      <c r="S5030" s="13"/>
      <c r="T5030" s="44">
        <v>45902.46140497686</v>
      </c>
      <c r="U5030" s="13"/>
      <c r="V5030" s="13"/>
      <c r="W5030" s="11"/>
      <c r="X5030" s="11"/>
      <c r="Y5030" s="45"/>
      <c r="Z5030" s="45"/>
      <c r="AA5030" s="31"/>
      <c r="AB5030" s="45" t="s">
        <v>20158</v>
      </c>
      <c r="AC5030" s="45"/>
    </row>
    <row r="5031" ht="18.75" customHeight="1">
      <c r="A5031" s="18" t="s">
        <v>20159</v>
      </c>
      <c r="B5031" s="19" t="s">
        <v>17502</v>
      </c>
      <c r="C5031" s="20">
        <v>0.0</v>
      </c>
      <c r="D5031" s="39"/>
      <c r="E5031" s="27" t="s">
        <v>3441</v>
      </c>
      <c r="F5031" s="27" t="s">
        <v>48</v>
      </c>
      <c r="G5031" s="18" t="s">
        <v>35</v>
      </c>
      <c r="H5031" s="40" t="s">
        <v>35</v>
      </c>
      <c r="I5031" s="37" t="s">
        <v>17277</v>
      </c>
      <c r="J5031" s="25" t="s">
        <v>65</v>
      </c>
      <c r="K5031" s="26" t="s">
        <v>38</v>
      </c>
      <c r="L5031" s="25"/>
      <c r="M5031" s="49"/>
      <c r="N5031" s="42"/>
      <c r="O5031" s="68"/>
      <c r="P5031" s="35" t="s">
        <v>20157</v>
      </c>
      <c r="Q5031" s="13" t="s">
        <v>75</v>
      </c>
      <c r="R5031" s="13"/>
      <c r="S5031" s="13" t="s">
        <v>75</v>
      </c>
      <c r="T5031" s="44">
        <v>45902.46155086806</v>
      </c>
      <c r="U5031" s="13"/>
      <c r="V5031" s="13"/>
      <c r="W5031" s="11"/>
      <c r="X5031" s="11"/>
      <c r="Y5031" s="45"/>
      <c r="Z5031" s="45"/>
      <c r="AA5031" s="31"/>
      <c r="AB5031" s="45" t="s">
        <v>20160</v>
      </c>
      <c r="AC5031" s="45"/>
    </row>
    <row r="5032" ht="18.75" customHeight="1">
      <c r="A5032" s="18" t="s">
        <v>20161</v>
      </c>
      <c r="B5032" s="19" t="s">
        <v>17502</v>
      </c>
      <c r="C5032" s="20">
        <v>90.0</v>
      </c>
      <c r="D5032" s="39"/>
      <c r="E5032" s="27" t="s">
        <v>91</v>
      </c>
      <c r="F5032" s="27" t="s">
        <v>48</v>
      </c>
      <c r="G5032" s="18" t="s">
        <v>35</v>
      </c>
      <c r="H5032" s="40" t="s">
        <v>35</v>
      </c>
      <c r="I5032" s="37" t="s">
        <v>17277</v>
      </c>
      <c r="J5032" s="25" t="s">
        <v>65</v>
      </c>
      <c r="K5032" s="26" t="s">
        <v>38</v>
      </c>
      <c r="L5032" s="25"/>
      <c r="M5032" s="49"/>
      <c r="N5032" s="42"/>
      <c r="O5032" s="68"/>
      <c r="P5032" s="35" t="s">
        <v>20157</v>
      </c>
      <c r="Q5032" s="13" t="s">
        <v>75</v>
      </c>
      <c r="R5032" s="13"/>
      <c r="S5032" s="13" t="s">
        <v>75</v>
      </c>
      <c r="T5032" s="44">
        <v>45902.46174006944</v>
      </c>
      <c r="U5032" s="13"/>
      <c r="V5032" s="13"/>
      <c r="W5032" s="11"/>
      <c r="X5032" s="11"/>
      <c r="Y5032" s="45"/>
      <c r="Z5032" s="45"/>
      <c r="AA5032" s="31"/>
      <c r="AB5032" s="45" t="s">
        <v>20162</v>
      </c>
      <c r="AC5032" s="45"/>
    </row>
    <row r="5033" ht="18.75" customHeight="1">
      <c r="A5033" s="142" t="s">
        <v>20163</v>
      </c>
      <c r="B5033" s="19" t="s">
        <v>8435</v>
      </c>
      <c r="C5033" s="20">
        <v>27.0</v>
      </c>
      <c r="D5033" s="39" t="s">
        <v>20164</v>
      </c>
      <c r="E5033" s="27" t="s">
        <v>72</v>
      </c>
      <c r="F5033" s="27" t="s">
        <v>48</v>
      </c>
      <c r="G5033" s="18" t="s">
        <v>35</v>
      </c>
      <c r="H5033" s="40" t="s">
        <v>35</v>
      </c>
      <c r="I5033" s="37" t="s">
        <v>36</v>
      </c>
      <c r="J5033" s="25" t="s">
        <v>65</v>
      </c>
      <c r="K5033" s="26" t="s">
        <v>38</v>
      </c>
      <c r="L5033" s="72">
        <v>13780.0</v>
      </c>
      <c r="M5033" s="49" t="s">
        <v>50</v>
      </c>
      <c r="N5033" s="42" t="s">
        <v>16408</v>
      </c>
      <c r="O5033" s="67">
        <v>45903.70507743055</v>
      </c>
      <c r="P5033" s="35" t="s">
        <v>20165</v>
      </c>
      <c r="Q5033" s="13" t="s">
        <v>75</v>
      </c>
      <c r="R5033" s="13" t="s">
        <v>75</v>
      </c>
      <c r="S5033" s="13" t="s">
        <v>73</v>
      </c>
      <c r="T5033" s="44">
        <v>45902.46291180556</v>
      </c>
      <c r="U5033" s="44">
        <v>45903.502706203704</v>
      </c>
      <c r="V5033" s="44">
        <v>45903.548794629634</v>
      </c>
      <c r="W5033" s="11"/>
      <c r="X5033" s="11"/>
      <c r="Y5033" s="45">
        <v>302.0</v>
      </c>
      <c r="Z5033" s="45" t="s">
        <v>20166</v>
      </c>
      <c r="AA5033" s="31"/>
      <c r="AB5033" s="45" t="s">
        <v>20167</v>
      </c>
      <c r="AC5033" s="45"/>
    </row>
    <row r="5034" ht="18.75" customHeight="1">
      <c r="A5034" s="142" t="s">
        <v>20168</v>
      </c>
      <c r="B5034" s="19" t="s">
        <v>115</v>
      </c>
      <c r="C5034" s="20">
        <v>27.0</v>
      </c>
      <c r="D5034" s="39" t="s">
        <v>20169</v>
      </c>
      <c r="E5034" s="27" t="s">
        <v>72</v>
      </c>
      <c r="F5034" s="27" t="s">
        <v>48</v>
      </c>
      <c r="G5034" s="18" t="s">
        <v>35</v>
      </c>
      <c r="H5034" s="40" t="s">
        <v>35</v>
      </c>
      <c r="I5034" s="37" t="s">
        <v>36</v>
      </c>
      <c r="J5034" s="25" t="s">
        <v>92</v>
      </c>
      <c r="K5034" s="26" t="s">
        <v>38</v>
      </c>
      <c r="L5034" s="72">
        <v>13776.0</v>
      </c>
      <c r="M5034" s="49" t="s">
        <v>73</v>
      </c>
      <c r="N5034" s="42" t="s">
        <v>10176</v>
      </c>
      <c r="O5034" s="67">
        <v>45917.40143799769</v>
      </c>
      <c r="P5034" s="35" t="s">
        <v>20170</v>
      </c>
      <c r="Q5034" s="13" t="s">
        <v>75</v>
      </c>
      <c r="R5034" s="13" t="s">
        <v>75</v>
      </c>
      <c r="S5034" s="13" t="s">
        <v>73</v>
      </c>
      <c r="T5034" s="44">
        <v>45902.46395917824</v>
      </c>
      <c r="U5034" s="44">
        <v>45902.704070520835</v>
      </c>
      <c r="V5034" s="44">
        <v>45903.43527559028</v>
      </c>
      <c r="W5034" s="11"/>
      <c r="X5034" s="11"/>
      <c r="Y5034" s="45">
        <v>302.0</v>
      </c>
      <c r="Z5034" s="45" t="s">
        <v>20171</v>
      </c>
      <c r="AA5034" s="31"/>
      <c r="AB5034" s="45" t="s">
        <v>20172</v>
      </c>
      <c r="AC5034" s="45"/>
    </row>
    <row r="5035" ht="18.75" customHeight="1">
      <c r="A5035" s="142" t="s">
        <v>20173</v>
      </c>
      <c r="B5035" s="19" t="s">
        <v>20174</v>
      </c>
      <c r="C5035" s="20">
        <v>0.0</v>
      </c>
      <c r="D5035" s="179">
        <v>20077.0</v>
      </c>
      <c r="E5035" s="27" t="s">
        <v>713</v>
      </c>
      <c r="F5035" s="27" t="s">
        <v>33</v>
      </c>
      <c r="G5035" s="18" t="s">
        <v>35</v>
      </c>
      <c r="H5035" s="40" t="s">
        <v>35</v>
      </c>
      <c r="I5035" s="37" t="s">
        <v>36</v>
      </c>
      <c r="J5035" s="25" t="s">
        <v>92</v>
      </c>
      <c r="K5035" s="26" t="s">
        <v>38</v>
      </c>
      <c r="L5035" s="72">
        <v>13823.0</v>
      </c>
      <c r="M5035" s="49" t="s">
        <v>50</v>
      </c>
      <c r="N5035" s="42" t="s">
        <v>20175</v>
      </c>
      <c r="O5035" s="67">
        <v>45916.58498731481</v>
      </c>
      <c r="P5035" s="35" t="s">
        <v>20176</v>
      </c>
      <c r="Q5035" s="13" t="s">
        <v>75</v>
      </c>
      <c r="R5035" s="13" t="s">
        <v>75</v>
      </c>
      <c r="S5035" s="13" t="s">
        <v>9620</v>
      </c>
      <c r="T5035" s="44">
        <v>45902.61838917824</v>
      </c>
      <c r="U5035" s="44">
        <v>45903.62976134259</v>
      </c>
      <c r="V5035" s="44">
        <v>45903.64730552083</v>
      </c>
      <c r="W5035" s="11"/>
      <c r="X5035" s="11"/>
      <c r="Y5035" s="45">
        <v>302.0</v>
      </c>
      <c r="Z5035" s="45" t="s">
        <v>20177</v>
      </c>
      <c r="AA5035" s="31"/>
      <c r="AB5035" s="45" t="s">
        <v>20178</v>
      </c>
      <c r="AC5035" s="45"/>
    </row>
    <row r="5036" ht="18.75" customHeight="1">
      <c r="A5036" s="142" t="s">
        <v>20179</v>
      </c>
      <c r="B5036" s="19" t="s">
        <v>3645</v>
      </c>
      <c r="C5036" s="20">
        <v>2.0</v>
      </c>
      <c r="D5036" s="179">
        <v>20181.0</v>
      </c>
      <c r="E5036" s="27" t="s">
        <v>14519</v>
      </c>
      <c r="F5036" s="27" t="s">
        <v>48</v>
      </c>
      <c r="G5036" s="18" t="s">
        <v>35</v>
      </c>
      <c r="H5036" s="40" t="s">
        <v>35</v>
      </c>
      <c r="I5036" s="37" t="s">
        <v>36</v>
      </c>
      <c r="J5036" s="25" t="s">
        <v>49</v>
      </c>
      <c r="K5036" s="26" t="s">
        <v>38</v>
      </c>
      <c r="L5036" s="72">
        <v>13851.0</v>
      </c>
      <c r="M5036" s="49" t="s">
        <v>50</v>
      </c>
      <c r="N5036" s="42" t="s">
        <v>5936</v>
      </c>
      <c r="O5036" s="67">
        <v>45912.65570287037</v>
      </c>
      <c r="P5036" s="35" t="s">
        <v>20180</v>
      </c>
      <c r="Q5036" s="13" t="s">
        <v>75</v>
      </c>
      <c r="R5036" s="13" t="s">
        <v>75</v>
      </c>
      <c r="S5036" s="13" t="s">
        <v>9620</v>
      </c>
      <c r="T5036" s="44">
        <v>45902.7146783912</v>
      </c>
      <c r="U5036" s="44">
        <v>45912.54808295138</v>
      </c>
      <c r="V5036" s="44">
        <v>45912.577530891205</v>
      </c>
      <c r="W5036" s="11"/>
      <c r="X5036" s="11"/>
      <c r="Y5036" s="45">
        <v>302.0</v>
      </c>
      <c r="Z5036" s="45" t="s">
        <v>20181</v>
      </c>
      <c r="AA5036" s="31"/>
      <c r="AB5036" s="45" t="s">
        <v>20182</v>
      </c>
      <c r="AC5036" s="45"/>
    </row>
    <row r="5037" ht="18.75" customHeight="1">
      <c r="A5037" s="142" t="s">
        <v>20183</v>
      </c>
      <c r="B5037" s="19" t="s">
        <v>11671</v>
      </c>
      <c r="C5037" s="20">
        <v>90.0</v>
      </c>
      <c r="D5037" s="39" t="s">
        <v>20184</v>
      </c>
      <c r="E5037" s="27" t="s">
        <v>91</v>
      </c>
      <c r="F5037" s="27" t="s">
        <v>48</v>
      </c>
      <c r="G5037" s="18" t="s">
        <v>35</v>
      </c>
      <c r="H5037" s="40" t="s">
        <v>35</v>
      </c>
      <c r="I5037" s="37" t="s">
        <v>36</v>
      </c>
      <c r="J5037" s="25" t="s">
        <v>49</v>
      </c>
      <c r="K5037" s="26" t="s">
        <v>38</v>
      </c>
      <c r="L5037" s="72">
        <v>13784.0</v>
      </c>
      <c r="M5037" s="49" t="s">
        <v>50</v>
      </c>
      <c r="N5037" s="42" t="s">
        <v>17048</v>
      </c>
      <c r="O5037" s="67">
        <v>45905.364986203705</v>
      </c>
      <c r="P5037" s="35" t="s">
        <v>20185</v>
      </c>
      <c r="Q5037" s="13" t="s">
        <v>75</v>
      </c>
      <c r="R5037" s="13" t="s">
        <v>75</v>
      </c>
      <c r="S5037" s="13" t="s">
        <v>50</v>
      </c>
      <c r="T5037" s="44">
        <v>45903.39754520833</v>
      </c>
      <c r="U5037" s="44">
        <v>45903.61947828704</v>
      </c>
      <c r="V5037" s="44">
        <v>45904.37659988426</v>
      </c>
      <c r="W5037" s="11"/>
      <c r="X5037" s="11"/>
      <c r="Y5037" s="45">
        <v>302.0</v>
      </c>
      <c r="Z5037" s="45" t="s">
        <v>20186</v>
      </c>
      <c r="AA5037" s="31"/>
      <c r="AB5037" s="45" t="s">
        <v>20187</v>
      </c>
      <c r="AC5037" s="45"/>
    </row>
    <row r="5038" ht="18.75" customHeight="1">
      <c r="A5038" s="18" t="s">
        <v>20188</v>
      </c>
      <c r="B5038" s="19" t="s">
        <v>3645</v>
      </c>
      <c r="C5038" s="20">
        <v>34.0</v>
      </c>
      <c r="D5038" s="39" t="s">
        <v>20189</v>
      </c>
      <c r="E5038" s="27" t="s">
        <v>47</v>
      </c>
      <c r="F5038" s="27" t="s">
        <v>48</v>
      </c>
      <c r="G5038" s="18" t="s">
        <v>35</v>
      </c>
      <c r="H5038" s="40" t="s">
        <v>35</v>
      </c>
      <c r="I5038" s="37" t="s">
        <v>36</v>
      </c>
      <c r="J5038" s="25" t="s">
        <v>49</v>
      </c>
      <c r="K5038" s="26" t="s">
        <v>38</v>
      </c>
      <c r="L5038" s="72">
        <v>13809.0</v>
      </c>
      <c r="M5038" s="49" t="s">
        <v>50</v>
      </c>
      <c r="N5038" s="42" t="s">
        <v>17048</v>
      </c>
      <c r="O5038" s="67">
        <v>45908.59136517361</v>
      </c>
      <c r="P5038" s="35" t="s">
        <v>20190</v>
      </c>
      <c r="Q5038" s="13" t="s">
        <v>75</v>
      </c>
      <c r="R5038" s="13" t="s">
        <v>75</v>
      </c>
      <c r="S5038" s="13" t="s">
        <v>73</v>
      </c>
      <c r="T5038" s="44">
        <v>45903.50620253472</v>
      </c>
      <c r="U5038" s="44">
        <v>45908.376925613426</v>
      </c>
      <c r="V5038" s="44">
        <v>45908.40309076389</v>
      </c>
      <c r="W5038" s="11"/>
      <c r="X5038" s="11"/>
      <c r="Y5038" s="45">
        <v>302.0</v>
      </c>
      <c r="Z5038" s="45" t="s">
        <v>20191</v>
      </c>
      <c r="AA5038" s="31"/>
      <c r="AB5038" s="45" t="s">
        <v>20192</v>
      </c>
      <c r="AC5038" s="45"/>
    </row>
    <row r="5039" ht="18.75" customHeight="1">
      <c r="A5039" s="18" t="s">
        <v>20193</v>
      </c>
      <c r="B5039" s="19" t="s">
        <v>3645</v>
      </c>
      <c r="C5039" s="20">
        <v>34.0</v>
      </c>
      <c r="D5039" s="39" t="s">
        <v>20194</v>
      </c>
      <c r="E5039" s="27" t="s">
        <v>47</v>
      </c>
      <c r="F5039" s="27" t="s">
        <v>48</v>
      </c>
      <c r="G5039" s="18" t="s">
        <v>35</v>
      </c>
      <c r="H5039" s="40" t="s">
        <v>35</v>
      </c>
      <c r="I5039" s="37" t="s">
        <v>36</v>
      </c>
      <c r="J5039" s="25" t="s">
        <v>49</v>
      </c>
      <c r="K5039" s="26" t="s">
        <v>38</v>
      </c>
      <c r="L5039" s="72">
        <v>13809.0</v>
      </c>
      <c r="M5039" s="49" t="s">
        <v>50</v>
      </c>
      <c r="N5039" s="42" t="s">
        <v>17048</v>
      </c>
      <c r="O5039" s="67">
        <v>45908.591749942134</v>
      </c>
      <c r="P5039" s="35" t="s">
        <v>20190</v>
      </c>
      <c r="Q5039" s="13" t="s">
        <v>75</v>
      </c>
      <c r="R5039" s="13" t="s">
        <v>75</v>
      </c>
      <c r="S5039" s="13" t="s">
        <v>73</v>
      </c>
      <c r="T5039" s="44">
        <v>45903.506703437495</v>
      </c>
      <c r="U5039" s="44">
        <v>45908.37704431713</v>
      </c>
      <c r="V5039" s="44">
        <v>45908.40324290509</v>
      </c>
      <c r="W5039" s="11"/>
      <c r="X5039" s="11"/>
      <c r="Y5039" s="45">
        <v>302.0</v>
      </c>
      <c r="Z5039" s="45" t="s">
        <v>20195</v>
      </c>
      <c r="AA5039" s="31"/>
      <c r="AB5039" s="45" t="s">
        <v>20196</v>
      </c>
      <c r="AC5039" s="45"/>
    </row>
    <row r="5040" ht="18.75" customHeight="1">
      <c r="A5040" s="18" t="s">
        <v>20197</v>
      </c>
      <c r="B5040" s="19" t="s">
        <v>3645</v>
      </c>
      <c r="C5040" s="20">
        <v>34.0</v>
      </c>
      <c r="D5040" s="39" t="s">
        <v>20198</v>
      </c>
      <c r="E5040" s="27" t="s">
        <v>47</v>
      </c>
      <c r="F5040" s="27" t="s">
        <v>48</v>
      </c>
      <c r="G5040" s="18" t="s">
        <v>35</v>
      </c>
      <c r="H5040" s="40" t="s">
        <v>35</v>
      </c>
      <c r="I5040" s="37" t="s">
        <v>36</v>
      </c>
      <c r="J5040" s="25" t="s">
        <v>49</v>
      </c>
      <c r="K5040" s="26" t="s">
        <v>38</v>
      </c>
      <c r="L5040" s="72">
        <v>13809.0</v>
      </c>
      <c r="M5040" s="49" t="s">
        <v>50</v>
      </c>
      <c r="N5040" s="42" t="s">
        <v>17048</v>
      </c>
      <c r="O5040" s="67">
        <v>45908.591442476856</v>
      </c>
      <c r="P5040" s="35" t="s">
        <v>20190</v>
      </c>
      <c r="Q5040" s="13" t="s">
        <v>75</v>
      </c>
      <c r="R5040" s="13" t="s">
        <v>75</v>
      </c>
      <c r="S5040" s="13" t="s">
        <v>73</v>
      </c>
      <c r="T5040" s="44">
        <v>45903.50676269676</v>
      </c>
      <c r="U5040" s="44">
        <v>45908.37708527778</v>
      </c>
      <c r="V5040" s="44">
        <v>45908.40332510417</v>
      </c>
      <c r="W5040" s="11"/>
      <c r="X5040" s="11"/>
      <c r="Y5040" s="45">
        <v>302.0</v>
      </c>
      <c r="Z5040" s="45" t="s">
        <v>20199</v>
      </c>
      <c r="AA5040" s="31"/>
      <c r="AB5040" s="45" t="s">
        <v>20200</v>
      </c>
      <c r="AC5040" s="45"/>
    </row>
    <row r="5041" ht="18.75" customHeight="1">
      <c r="A5041" s="18" t="s">
        <v>20201</v>
      </c>
      <c r="B5041" s="19" t="s">
        <v>3645</v>
      </c>
      <c r="C5041" s="20">
        <v>11.0</v>
      </c>
      <c r="D5041" s="39" t="s">
        <v>20202</v>
      </c>
      <c r="E5041" s="27" t="s">
        <v>112</v>
      </c>
      <c r="F5041" s="27" t="s">
        <v>48</v>
      </c>
      <c r="G5041" s="18" t="s">
        <v>35</v>
      </c>
      <c r="H5041" s="40" t="s">
        <v>35</v>
      </c>
      <c r="I5041" s="37" t="s">
        <v>36</v>
      </c>
      <c r="J5041" s="25" t="s">
        <v>49</v>
      </c>
      <c r="K5041" s="26" t="s">
        <v>38</v>
      </c>
      <c r="L5041" s="72">
        <v>13809.0</v>
      </c>
      <c r="M5041" s="49" t="s">
        <v>50</v>
      </c>
      <c r="N5041" s="42" t="s">
        <v>17048</v>
      </c>
      <c r="O5041" s="67">
        <v>45908.59184390046</v>
      </c>
      <c r="P5041" s="35" t="s">
        <v>20190</v>
      </c>
      <c r="Q5041" s="13" t="s">
        <v>75</v>
      </c>
      <c r="R5041" s="13" t="s">
        <v>75</v>
      </c>
      <c r="S5041" s="13" t="s">
        <v>73</v>
      </c>
      <c r="T5041" s="44">
        <v>45903.50660908565</v>
      </c>
      <c r="U5041" s="44">
        <v>45908.37698418982</v>
      </c>
      <c r="V5041" s="44">
        <v>45908.40315753472</v>
      </c>
      <c r="W5041" s="11"/>
      <c r="X5041" s="11"/>
      <c r="Y5041" s="45">
        <v>302.0</v>
      </c>
      <c r="Z5041" s="45" t="s">
        <v>20203</v>
      </c>
      <c r="AA5041" s="31"/>
      <c r="AB5041" s="45" t="s">
        <v>20204</v>
      </c>
      <c r="AC5041" s="45"/>
    </row>
    <row r="5042" ht="18.75" customHeight="1">
      <c r="A5042" s="142" t="s">
        <v>20205</v>
      </c>
      <c r="B5042" s="19" t="s">
        <v>3645</v>
      </c>
      <c r="C5042" s="20">
        <v>0.0</v>
      </c>
      <c r="D5042" s="39" t="s">
        <v>20206</v>
      </c>
      <c r="E5042" s="27" t="s">
        <v>4430</v>
      </c>
      <c r="F5042" s="27" t="s">
        <v>48</v>
      </c>
      <c r="G5042" s="18" t="s">
        <v>35</v>
      </c>
      <c r="H5042" s="40" t="s">
        <v>35</v>
      </c>
      <c r="I5042" s="37" t="s">
        <v>36</v>
      </c>
      <c r="J5042" s="25" t="s">
        <v>49</v>
      </c>
      <c r="K5042" s="26" t="s">
        <v>38</v>
      </c>
      <c r="L5042" s="72">
        <v>13810.0</v>
      </c>
      <c r="M5042" s="49" t="s">
        <v>50</v>
      </c>
      <c r="N5042" s="42" t="s">
        <v>17048</v>
      </c>
      <c r="O5042" s="67">
        <v>45908.59168356481</v>
      </c>
      <c r="P5042" s="35" t="s">
        <v>20207</v>
      </c>
      <c r="Q5042" s="13" t="s">
        <v>75</v>
      </c>
      <c r="R5042" s="13" t="s">
        <v>75</v>
      </c>
      <c r="S5042" s="13" t="s">
        <v>73</v>
      </c>
      <c r="T5042" s="44">
        <v>45903.507610659726</v>
      </c>
      <c r="U5042" s="44">
        <v>45908.37719400463</v>
      </c>
      <c r="V5042" s="44">
        <v>45908.40344127315</v>
      </c>
      <c r="W5042" s="11"/>
      <c r="X5042" s="11"/>
      <c r="Y5042" s="45">
        <v>302.0</v>
      </c>
      <c r="Z5042" s="45" t="s">
        <v>20208</v>
      </c>
      <c r="AA5042" s="31"/>
      <c r="AB5042" s="45" t="s">
        <v>20209</v>
      </c>
      <c r="AC5042" s="45"/>
    </row>
    <row r="5043" ht="18.75" customHeight="1">
      <c r="A5043" s="142" t="s">
        <v>20210</v>
      </c>
      <c r="B5043" s="19" t="s">
        <v>3645</v>
      </c>
      <c r="C5043" s="20">
        <v>2.0</v>
      </c>
      <c r="D5043" s="179">
        <v>20251.0</v>
      </c>
      <c r="E5043" s="27" t="s">
        <v>14519</v>
      </c>
      <c r="F5043" s="27" t="s">
        <v>48</v>
      </c>
      <c r="G5043" s="18" t="s">
        <v>35</v>
      </c>
      <c r="H5043" s="40" t="s">
        <v>35</v>
      </c>
      <c r="I5043" s="37" t="s">
        <v>36</v>
      </c>
      <c r="J5043" s="25" t="s">
        <v>49</v>
      </c>
      <c r="K5043" s="26" t="s">
        <v>38</v>
      </c>
      <c r="L5043" s="72">
        <v>13852.0</v>
      </c>
      <c r="M5043" s="49" t="s">
        <v>50</v>
      </c>
      <c r="N5043" s="42" t="s">
        <v>5936</v>
      </c>
      <c r="O5043" s="67">
        <v>45912.65590869213</v>
      </c>
      <c r="P5043" s="35" t="s">
        <v>20211</v>
      </c>
      <c r="Q5043" s="13" t="s">
        <v>75</v>
      </c>
      <c r="R5043" s="13" t="s">
        <v>75</v>
      </c>
      <c r="S5043" s="13" t="s">
        <v>9620</v>
      </c>
      <c r="T5043" s="44">
        <v>45912.49108800926</v>
      </c>
      <c r="U5043" s="44">
        <v>45912.49116152778</v>
      </c>
      <c r="V5043" s="44">
        <v>45912.50143790509</v>
      </c>
      <c r="W5043" s="11"/>
      <c r="X5043" s="11"/>
      <c r="Y5043" s="45">
        <v>302.0</v>
      </c>
      <c r="Z5043" s="45" t="s">
        <v>20212</v>
      </c>
      <c r="AA5043" s="31"/>
      <c r="AB5043" s="45" t="s">
        <v>20213</v>
      </c>
      <c r="AC5043" s="45"/>
    </row>
    <row r="5044" ht="18.75" customHeight="1">
      <c r="A5044" s="142" t="s">
        <v>20214</v>
      </c>
      <c r="B5044" s="19" t="s">
        <v>20215</v>
      </c>
      <c r="C5044" s="20">
        <v>0.0</v>
      </c>
      <c r="D5044" s="39" t="s">
        <v>20216</v>
      </c>
      <c r="E5044" s="27" t="s">
        <v>3441</v>
      </c>
      <c r="F5044" s="27" t="s">
        <v>48</v>
      </c>
      <c r="G5044" s="18" t="s">
        <v>35</v>
      </c>
      <c r="H5044" s="40" t="s">
        <v>35</v>
      </c>
      <c r="I5044" s="37" t="s">
        <v>36</v>
      </c>
      <c r="J5044" s="25" t="s">
        <v>65</v>
      </c>
      <c r="K5044" s="26" t="s">
        <v>38</v>
      </c>
      <c r="L5044" s="72">
        <v>13815.0</v>
      </c>
      <c r="M5044" s="49" t="s">
        <v>50</v>
      </c>
      <c r="N5044" s="42" t="s">
        <v>16408</v>
      </c>
      <c r="O5044" s="67">
        <v>45909.67495936343</v>
      </c>
      <c r="P5044" s="35" t="s">
        <v>20217</v>
      </c>
      <c r="Q5044" s="13" t="s">
        <v>75</v>
      </c>
      <c r="R5044" s="13" t="s">
        <v>75</v>
      </c>
      <c r="S5044" s="13" t="s">
        <v>73</v>
      </c>
      <c r="T5044" s="44">
        <v>45903.510219502314</v>
      </c>
      <c r="U5044" s="44">
        <v>45908.662220150465</v>
      </c>
      <c r="V5044" s="44">
        <v>45909.39298379629</v>
      </c>
      <c r="W5044" s="11"/>
      <c r="X5044" s="11"/>
      <c r="Y5044" s="45">
        <v>302.0</v>
      </c>
      <c r="Z5044" s="45" t="s">
        <v>20218</v>
      </c>
      <c r="AA5044" s="31"/>
      <c r="AB5044" s="45" t="s">
        <v>20219</v>
      </c>
      <c r="AC5044" s="45"/>
    </row>
    <row r="5045" ht="18.75" customHeight="1">
      <c r="A5045" s="142" t="s">
        <v>20220</v>
      </c>
      <c r="B5045" s="19" t="s">
        <v>20221</v>
      </c>
      <c r="C5045" s="20">
        <v>0.0</v>
      </c>
      <c r="D5045" s="179">
        <v>20272.0</v>
      </c>
      <c r="E5045" s="27" t="s">
        <v>135</v>
      </c>
      <c r="F5045" s="27" t="s">
        <v>48</v>
      </c>
      <c r="G5045" s="18" t="s">
        <v>35</v>
      </c>
      <c r="H5045" s="40" t="s">
        <v>35</v>
      </c>
      <c r="I5045" s="37" t="s">
        <v>36</v>
      </c>
      <c r="J5045" s="25" t="s">
        <v>65</v>
      </c>
      <c r="K5045" s="26" t="s">
        <v>38</v>
      </c>
      <c r="L5045" s="72">
        <v>13916.0</v>
      </c>
      <c r="M5045" s="49" t="s">
        <v>73</v>
      </c>
      <c r="N5045" s="42" t="s">
        <v>20222</v>
      </c>
      <c r="O5045" s="67">
        <v>45919.66498248842</v>
      </c>
      <c r="P5045" s="35" t="s">
        <v>20223</v>
      </c>
      <c r="Q5045" s="13" t="s">
        <v>75</v>
      </c>
      <c r="R5045" s="13" t="s">
        <v>75</v>
      </c>
      <c r="S5045" s="13" t="s">
        <v>9620</v>
      </c>
      <c r="T5045" s="44">
        <v>45916.522015497685</v>
      </c>
      <c r="U5045" s="44">
        <v>45916.52208199074</v>
      </c>
      <c r="V5045" s="44">
        <v>45916.61616839121</v>
      </c>
      <c r="W5045" s="11"/>
      <c r="X5045" s="148">
        <v>45915.0</v>
      </c>
      <c r="Y5045" s="45">
        <v>302.0</v>
      </c>
      <c r="Z5045" s="45" t="s">
        <v>20224</v>
      </c>
      <c r="AA5045" s="31"/>
      <c r="AB5045" s="45" t="s">
        <v>20225</v>
      </c>
      <c r="AC5045" s="45"/>
    </row>
    <row r="5046" ht="18.75" customHeight="1">
      <c r="A5046" s="142" t="s">
        <v>20226</v>
      </c>
      <c r="B5046" s="19" t="s">
        <v>9359</v>
      </c>
      <c r="C5046" s="20">
        <v>0.0</v>
      </c>
      <c r="D5046" s="39" t="s">
        <v>20227</v>
      </c>
      <c r="E5046" s="27" t="s">
        <v>3441</v>
      </c>
      <c r="F5046" s="27" t="s">
        <v>48</v>
      </c>
      <c r="G5046" s="18" t="s">
        <v>35</v>
      </c>
      <c r="H5046" s="40" t="s">
        <v>35</v>
      </c>
      <c r="I5046" s="37" t="s">
        <v>36</v>
      </c>
      <c r="J5046" s="25" t="s">
        <v>49</v>
      </c>
      <c r="K5046" s="26" t="s">
        <v>518</v>
      </c>
      <c r="L5046" s="72">
        <v>13821.0</v>
      </c>
      <c r="M5046" s="49" t="s">
        <v>50</v>
      </c>
      <c r="N5046" s="42" t="s">
        <v>5936</v>
      </c>
      <c r="O5046" s="67">
        <v>45909.67405596065</v>
      </c>
      <c r="P5046" s="35" t="s">
        <v>20228</v>
      </c>
      <c r="Q5046" s="13" t="s">
        <v>75</v>
      </c>
      <c r="R5046" s="13" t="s">
        <v>75</v>
      </c>
      <c r="S5046" s="13" t="s">
        <v>73</v>
      </c>
      <c r="T5046" s="44">
        <v>45908.60345377315</v>
      </c>
      <c r="U5046" s="44">
        <v>45908.60346783565</v>
      </c>
      <c r="V5046" s="44">
        <v>45909.386657256946</v>
      </c>
      <c r="W5046" s="11"/>
      <c r="X5046" s="11"/>
      <c r="Y5046" s="45">
        <v>302.0</v>
      </c>
      <c r="Z5046" s="45" t="s">
        <v>20229</v>
      </c>
      <c r="AA5046" s="31"/>
      <c r="AB5046" s="45" t="s">
        <v>20230</v>
      </c>
      <c r="AC5046" s="45"/>
    </row>
    <row r="5047" ht="18.75" customHeight="1">
      <c r="A5047" s="18" t="s">
        <v>20231</v>
      </c>
      <c r="B5047" s="19" t="s">
        <v>14922</v>
      </c>
      <c r="C5047" s="20">
        <v>0.0</v>
      </c>
      <c r="D5047" s="39" t="s">
        <v>20232</v>
      </c>
      <c r="E5047" s="27" t="s">
        <v>3441</v>
      </c>
      <c r="F5047" s="27" t="s">
        <v>48</v>
      </c>
      <c r="G5047" s="18" t="s">
        <v>35</v>
      </c>
      <c r="H5047" s="40" t="s">
        <v>35</v>
      </c>
      <c r="I5047" s="37" t="s">
        <v>36</v>
      </c>
      <c r="J5047" s="25" t="s">
        <v>49</v>
      </c>
      <c r="K5047" s="26" t="s">
        <v>1506</v>
      </c>
      <c r="L5047" s="72">
        <v>13799.0</v>
      </c>
      <c r="M5047" s="49" t="s">
        <v>50</v>
      </c>
      <c r="N5047" s="42" t="s">
        <v>18561</v>
      </c>
      <c r="O5047" s="67">
        <v>45905.62512570602</v>
      </c>
      <c r="P5047" s="35" t="s">
        <v>20233</v>
      </c>
      <c r="Q5047" s="13" t="s">
        <v>75</v>
      </c>
      <c r="R5047" s="13" t="s">
        <v>75</v>
      </c>
      <c r="S5047" s="13" t="s">
        <v>73</v>
      </c>
      <c r="T5047" s="44">
        <v>45904.53840315972</v>
      </c>
      <c r="U5047" s="44">
        <v>45904.53868506945</v>
      </c>
      <c r="V5047" s="44">
        <v>45905.4203478125</v>
      </c>
      <c r="W5047" s="11"/>
      <c r="X5047" s="11"/>
      <c r="Y5047" s="45">
        <v>302.0</v>
      </c>
      <c r="Z5047" s="45" t="s">
        <v>20234</v>
      </c>
      <c r="AA5047" s="31"/>
      <c r="AB5047" s="45" t="s">
        <v>20235</v>
      </c>
      <c r="AC5047" s="45"/>
    </row>
    <row r="5048" ht="18.75" customHeight="1">
      <c r="A5048" s="18" t="s">
        <v>20236</v>
      </c>
      <c r="B5048" s="19" t="s">
        <v>14922</v>
      </c>
      <c r="C5048" s="20">
        <v>90.0</v>
      </c>
      <c r="D5048" s="39" t="s">
        <v>20237</v>
      </c>
      <c r="E5048" s="27" t="s">
        <v>91</v>
      </c>
      <c r="F5048" s="27" t="s">
        <v>48</v>
      </c>
      <c r="G5048" s="18" t="s">
        <v>35</v>
      </c>
      <c r="H5048" s="40" t="s">
        <v>35</v>
      </c>
      <c r="I5048" s="37" t="s">
        <v>36</v>
      </c>
      <c r="J5048" s="25" t="s">
        <v>49</v>
      </c>
      <c r="K5048" s="26" t="s">
        <v>1506</v>
      </c>
      <c r="L5048" s="72">
        <v>13799.0</v>
      </c>
      <c r="M5048" s="49" t="s">
        <v>50</v>
      </c>
      <c r="N5048" s="42" t="s">
        <v>18561</v>
      </c>
      <c r="O5048" s="67">
        <v>45905.62508280092</v>
      </c>
      <c r="P5048" s="35" t="s">
        <v>20233</v>
      </c>
      <c r="Q5048" s="13" t="s">
        <v>75</v>
      </c>
      <c r="R5048" s="13" t="s">
        <v>75</v>
      </c>
      <c r="S5048" s="13" t="s">
        <v>73</v>
      </c>
      <c r="T5048" s="44">
        <v>45904.538654930555</v>
      </c>
      <c r="U5048" s="44">
        <v>45904.538714305556</v>
      </c>
      <c r="V5048" s="44">
        <v>45905.42231047453</v>
      </c>
      <c r="W5048" s="11"/>
      <c r="X5048" s="11"/>
      <c r="Y5048" s="45">
        <v>302.0</v>
      </c>
      <c r="Z5048" s="45" t="s">
        <v>20238</v>
      </c>
      <c r="AA5048" s="31"/>
      <c r="AB5048" s="45" t="s">
        <v>20239</v>
      </c>
      <c r="AC5048" s="45"/>
    </row>
    <row r="5049" ht="18.75" customHeight="1">
      <c r="A5049" s="18" t="s">
        <v>20240</v>
      </c>
      <c r="B5049" s="19" t="s">
        <v>14922</v>
      </c>
      <c r="C5049" s="20">
        <v>11.0</v>
      </c>
      <c r="D5049" s="39" t="s">
        <v>20241</v>
      </c>
      <c r="E5049" s="27" t="s">
        <v>112</v>
      </c>
      <c r="F5049" s="27" t="s">
        <v>48</v>
      </c>
      <c r="G5049" s="18" t="s">
        <v>35</v>
      </c>
      <c r="H5049" s="40" t="s">
        <v>35</v>
      </c>
      <c r="I5049" s="37" t="s">
        <v>36</v>
      </c>
      <c r="J5049" s="25" t="s">
        <v>49</v>
      </c>
      <c r="K5049" s="26" t="s">
        <v>1506</v>
      </c>
      <c r="L5049" s="72">
        <v>13799.0</v>
      </c>
      <c r="M5049" s="49" t="s">
        <v>50</v>
      </c>
      <c r="N5049" s="42" t="s">
        <v>18561</v>
      </c>
      <c r="O5049" s="67">
        <v>45905.62495197917</v>
      </c>
      <c r="P5049" s="35" t="s">
        <v>20233</v>
      </c>
      <c r="Q5049" s="13" t="s">
        <v>75</v>
      </c>
      <c r="R5049" s="13" t="s">
        <v>75</v>
      </c>
      <c r="S5049" s="13" t="s">
        <v>73</v>
      </c>
      <c r="T5049" s="44">
        <v>45904.53858434028</v>
      </c>
      <c r="U5049" s="44">
        <v>45904.538739826385</v>
      </c>
      <c r="V5049" s="44">
        <v>45905.42505752315</v>
      </c>
      <c r="W5049" s="11"/>
      <c r="X5049" s="11"/>
      <c r="Y5049" s="45">
        <v>200.0</v>
      </c>
      <c r="Z5049" s="45" t="s">
        <v>20242</v>
      </c>
      <c r="AA5049" s="31"/>
      <c r="AB5049" s="45" t="s">
        <v>20243</v>
      </c>
      <c r="AC5049" s="45"/>
    </row>
    <row r="5050" ht="18.75" customHeight="1">
      <c r="A5050" s="142" t="s">
        <v>20244</v>
      </c>
      <c r="B5050" s="19" t="s">
        <v>20245</v>
      </c>
      <c r="C5050" s="20">
        <v>0.0</v>
      </c>
      <c r="D5050" s="39" t="s">
        <v>20246</v>
      </c>
      <c r="E5050" s="27" t="s">
        <v>3441</v>
      </c>
      <c r="F5050" s="27" t="s">
        <v>48</v>
      </c>
      <c r="G5050" s="18" t="s">
        <v>35</v>
      </c>
      <c r="H5050" s="40" t="s">
        <v>35</v>
      </c>
      <c r="I5050" s="37" t="s">
        <v>36</v>
      </c>
      <c r="J5050" s="25" t="s">
        <v>49</v>
      </c>
      <c r="K5050" s="26" t="s">
        <v>19108</v>
      </c>
      <c r="L5050" s="72">
        <v>13798.0</v>
      </c>
      <c r="M5050" s="49" t="s">
        <v>50</v>
      </c>
      <c r="N5050" s="42" t="s">
        <v>18561</v>
      </c>
      <c r="O5050" s="67">
        <v>45905.62520034722</v>
      </c>
      <c r="P5050" s="35" t="s">
        <v>20247</v>
      </c>
      <c r="Q5050" s="13" t="s">
        <v>75</v>
      </c>
      <c r="R5050" s="13" t="s">
        <v>75</v>
      </c>
      <c r="S5050" s="13" t="s">
        <v>73</v>
      </c>
      <c r="T5050" s="44">
        <v>45904.536492175925</v>
      </c>
      <c r="U5050" s="44">
        <v>45904.536574618054</v>
      </c>
      <c r="V5050" s="44">
        <v>45905.420269780094</v>
      </c>
      <c r="W5050" s="11"/>
      <c r="X5050" s="11"/>
      <c r="Y5050" s="45">
        <v>302.0</v>
      </c>
      <c r="Z5050" s="45" t="s">
        <v>20248</v>
      </c>
      <c r="AA5050" s="31"/>
      <c r="AB5050" s="45" t="s">
        <v>20249</v>
      </c>
      <c r="AC5050" s="45"/>
    </row>
    <row r="5051" ht="18.75" customHeight="1">
      <c r="A5051" s="142" t="s">
        <v>20250</v>
      </c>
      <c r="B5051" s="19" t="s">
        <v>17819</v>
      </c>
      <c r="C5051" s="20">
        <v>27.0</v>
      </c>
      <c r="D5051" s="39" t="s">
        <v>20251</v>
      </c>
      <c r="E5051" s="27" t="s">
        <v>72</v>
      </c>
      <c r="F5051" s="27" t="s">
        <v>48</v>
      </c>
      <c r="G5051" s="18" t="s">
        <v>35</v>
      </c>
      <c r="H5051" s="40" t="s">
        <v>35</v>
      </c>
      <c r="I5051" s="37" t="s">
        <v>36</v>
      </c>
      <c r="J5051" s="25" t="s">
        <v>92</v>
      </c>
      <c r="K5051" s="26" t="s">
        <v>38</v>
      </c>
      <c r="L5051" s="72">
        <v>13789.0</v>
      </c>
      <c r="M5051" s="49" t="s">
        <v>50</v>
      </c>
      <c r="N5051" s="42" t="s">
        <v>7145</v>
      </c>
      <c r="O5051" s="67">
        <v>45905.44696635417</v>
      </c>
      <c r="P5051" s="26"/>
      <c r="Q5051" s="13" t="s">
        <v>75</v>
      </c>
      <c r="R5051" s="13" t="s">
        <v>75</v>
      </c>
      <c r="S5051" s="13" t="s">
        <v>73</v>
      </c>
      <c r="T5051" s="44">
        <v>45904.40957771991</v>
      </c>
      <c r="U5051" s="44">
        <v>45904.409596666665</v>
      </c>
      <c r="V5051" s="44">
        <v>45904.413165798615</v>
      </c>
      <c r="W5051" s="11"/>
      <c r="X5051" s="11"/>
      <c r="Y5051" s="45">
        <v>302.0</v>
      </c>
      <c r="Z5051" s="45" t="s">
        <v>20252</v>
      </c>
      <c r="AA5051" s="31"/>
      <c r="AB5051" s="45" t="s">
        <v>20253</v>
      </c>
      <c r="AC5051" s="45"/>
    </row>
    <row r="5052" ht="18.75" customHeight="1">
      <c r="A5052" s="18" t="s">
        <v>20254</v>
      </c>
      <c r="B5052" s="19" t="s">
        <v>11507</v>
      </c>
      <c r="C5052" s="20">
        <v>0.0</v>
      </c>
      <c r="D5052" s="39" t="s">
        <v>20255</v>
      </c>
      <c r="E5052" s="27" t="s">
        <v>3441</v>
      </c>
      <c r="F5052" s="27" t="s">
        <v>48</v>
      </c>
      <c r="G5052" s="18" t="s">
        <v>35</v>
      </c>
      <c r="H5052" s="40" t="s">
        <v>35</v>
      </c>
      <c r="I5052" s="37" t="s">
        <v>36</v>
      </c>
      <c r="J5052" s="25" t="s">
        <v>49</v>
      </c>
      <c r="K5052" s="26" t="s">
        <v>38</v>
      </c>
      <c r="L5052" s="72">
        <v>13801.0</v>
      </c>
      <c r="M5052" s="49" t="s">
        <v>50</v>
      </c>
      <c r="N5052" s="42" t="s">
        <v>18561</v>
      </c>
      <c r="O5052" s="67">
        <v>45905.62533962963</v>
      </c>
      <c r="P5052" s="35" t="s">
        <v>15666</v>
      </c>
      <c r="Q5052" s="13" t="s">
        <v>75</v>
      </c>
      <c r="R5052" s="13" t="s">
        <v>75</v>
      </c>
      <c r="S5052" s="13" t="s">
        <v>73</v>
      </c>
      <c r="T5052" s="44">
        <v>45904.45824940973</v>
      </c>
      <c r="U5052" s="44">
        <v>45904.71143193287</v>
      </c>
      <c r="V5052" s="44">
        <v>45905.42046840278</v>
      </c>
      <c r="W5052" s="11"/>
      <c r="X5052" s="11"/>
      <c r="Y5052" s="45">
        <v>302.0</v>
      </c>
      <c r="Z5052" s="45" t="s">
        <v>20256</v>
      </c>
      <c r="AA5052" s="31"/>
      <c r="AB5052" s="45" t="s">
        <v>20257</v>
      </c>
      <c r="AC5052" s="45"/>
    </row>
    <row r="5053" ht="18.75" customHeight="1">
      <c r="A5053" s="18" t="s">
        <v>20258</v>
      </c>
      <c r="B5053" s="19" t="s">
        <v>11507</v>
      </c>
      <c r="C5053" s="20">
        <v>0.0</v>
      </c>
      <c r="D5053" s="39" t="s">
        <v>20259</v>
      </c>
      <c r="E5053" s="27" t="s">
        <v>18072</v>
      </c>
      <c r="F5053" s="27"/>
      <c r="G5053" s="18" t="s">
        <v>35</v>
      </c>
      <c r="H5053" s="40" t="s">
        <v>35</v>
      </c>
      <c r="I5053" s="37" t="s">
        <v>36</v>
      </c>
      <c r="J5053" s="25" t="s">
        <v>49</v>
      </c>
      <c r="K5053" s="26" t="s">
        <v>38</v>
      </c>
      <c r="L5053" s="72">
        <v>13801.0</v>
      </c>
      <c r="M5053" s="49" t="s">
        <v>50</v>
      </c>
      <c r="N5053" s="42" t="s">
        <v>18561</v>
      </c>
      <c r="O5053" s="67">
        <v>45905.625248125</v>
      </c>
      <c r="P5053" s="35" t="s">
        <v>15666</v>
      </c>
      <c r="Q5053" s="13" t="s">
        <v>75</v>
      </c>
      <c r="R5053" s="13" t="s">
        <v>75</v>
      </c>
      <c r="S5053" s="13" t="s">
        <v>73</v>
      </c>
      <c r="T5053" s="44">
        <v>45904.458189791665</v>
      </c>
      <c r="U5053" s="44">
        <v>45904.71148449074</v>
      </c>
      <c r="V5053" s="44">
        <v>45905.46634326389</v>
      </c>
      <c r="W5053" s="11"/>
      <c r="X5053" s="11"/>
      <c r="Y5053" s="45">
        <v>302.0</v>
      </c>
      <c r="Z5053" s="45" t="s">
        <v>20260</v>
      </c>
      <c r="AA5053" s="31"/>
      <c r="AB5053" s="45" t="s">
        <v>20261</v>
      </c>
      <c r="AC5053" s="45"/>
    </row>
    <row r="5054" ht="18.75" customHeight="1">
      <c r="A5054" s="142" t="s">
        <v>20262</v>
      </c>
      <c r="B5054" s="19" t="s">
        <v>911</v>
      </c>
      <c r="C5054" s="20">
        <v>90.0</v>
      </c>
      <c r="D5054" s="39" t="s">
        <v>20263</v>
      </c>
      <c r="E5054" s="27" t="s">
        <v>91</v>
      </c>
      <c r="F5054" s="27" t="s">
        <v>48</v>
      </c>
      <c r="G5054" s="18" t="s">
        <v>35</v>
      </c>
      <c r="H5054" s="40" t="s">
        <v>35</v>
      </c>
      <c r="I5054" s="37" t="s">
        <v>36</v>
      </c>
      <c r="J5054" s="25" t="s">
        <v>49</v>
      </c>
      <c r="K5054" s="26" t="s">
        <v>38</v>
      </c>
      <c r="L5054" s="72">
        <v>13795.0</v>
      </c>
      <c r="M5054" s="49" t="s">
        <v>50</v>
      </c>
      <c r="N5054" s="42" t="s">
        <v>18561</v>
      </c>
      <c r="O5054" s="67">
        <v>45905.625290428245</v>
      </c>
      <c r="P5054" s="35" t="s">
        <v>20264</v>
      </c>
      <c r="Q5054" s="13" t="s">
        <v>75</v>
      </c>
      <c r="R5054" s="13" t="s">
        <v>75</v>
      </c>
      <c r="S5054" s="13" t="s">
        <v>73</v>
      </c>
      <c r="T5054" s="44">
        <v>45904.42844618055</v>
      </c>
      <c r="U5054" s="44">
        <v>45904.71339333333</v>
      </c>
      <c r="V5054" s="44">
        <v>45905.42239289352</v>
      </c>
      <c r="W5054" s="11"/>
      <c r="X5054" s="11"/>
      <c r="Y5054" s="45">
        <v>302.0</v>
      </c>
      <c r="Z5054" s="45" t="s">
        <v>20265</v>
      </c>
      <c r="AA5054" s="31"/>
      <c r="AB5054" s="45" t="s">
        <v>20266</v>
      </c>
      <c r="AC5054" s="45"/>
    </row>
    <row r="5055" ht="18.75" customHeight="1">
      <c r="A5055" s="142" t="s">
        <v>20267</v>
      </c>
      <c r="B5055" s="19" t="s">
        <v>147</v>
      </c>
      <c r="C5055" s="20">
        <v>0.0</v>
      </c>
      <c r="D5055" s="39" t="s">
        <v>20268</v>
      </c>
      <c r="E5055" s="27" t="s">
        <v>3441</v>
      </c>
      <c r="F5055" s="27" t="s">
        <v>48</v>
      </c>
      <c r="G5055" s="18" t="s">
        <v>35</v>
      </c>
      <c r="H5055" s="40" t="s">
        <v>35</v>
      </c>
      <c r="I5055" s="37" t="s">
        <v>36</v>
      </c>
      <c r="J5055" s="25" t="s">
        <v>65</v>
      </c>
      <c r="K5055" s="26" t="s">
        <v>38</v>
      </c>
      <c r="L5055" s="72">
        <v>13796.0</v>
      </c>
      <c r="M5055" s="49" t="s">
        <v>50</v>
      </c>
      <c r="N5055" s="42" t="s">
        <v>18645</v>
      </c>
      <c r="O5055" s="67">
        <v>45905.654618125</v>
      </c>
      <c r="P5055" s="35" t="s">
        <v>19118</v>
      </c>
      <c r="Q5055" s="13" t="s">
        <v>75</v>
      </c>
      <c r="R5055" s="13" t="s">
        <v>75</v>
      </c>
      <c r="S5055" s="13" t="s">
        <v>73</v>
      </c>
      <c r="T5055" s="44">
        <v>45904.42946329861</v>
      </c>
      <c r="U5055" s="44">
        <v>45904.71217114583</v>
      </c>
      <c r="V5055" s="44">
        <v>45905.42825430556</v>
      </c>
      <c r="W5055" s="11"/>
      <c r="X5055" s="11"/>
      <c r="Y5055" s="45">
        <v>302.0</v>
      </c>
      <c r="Z5055" s="45" t="s">
        <v>20269</v>
      </c>
      <c r="AA5055" s="31"/>
      <c r="AB5055" s="45" t="s">
        <v>20270</v>
      </c>
      <c r="AC5055" s="45"/>
    </row>
    <row r="5056" ht="18.75" customHeight="1">
      <c r="A5056" s="142" t="s">
        <v>20271</v>
      </c>
      <c r="B5056" s="19" t="s">
        <v>147</v>
      </c>
      <c r="C5056" s="20">
        <v>0.0</v>
      </c>
      <c r="D5056" s="39" t="s">
        <v>20272</v>
      </c>
      <c r="E5056" s="27" t="s">
        <v>3441</v>
      </c>
      <c r="F5056" s="27" t="s">
        <v>48</v>
      </c>
      <c r="G5056" s="18" t="s">
        <v>35</v>
      </c>
      <c r="H5056" s="40" t="s">
        <v>35</v>
      </c>
      <c r="I5056" s="37" t="s">
        <v>36</v>
      </c>
      <c r="J5056" s="25" t="s">
        <v>65</v>
      </c>
      <c r="K5056" s="26" t="s">
        <v>38</v>
      </c>
      <c r="L5056" s="72">
        <v>13844.0</v>
      </c>
      <c r="M5056" s="49" t="s">
        <v>50</v>
      </c>
      <c r="N5056" s="42" t="s">
        <v>16408</v>
      </c>
      <c r="O5056" s="67">
        <v>45912.63617708333</v>
      </c>
      <c r="P5056" s="35" t="s">
        <v>19118</v>
      </c>
      <c r="Q5056" s="13" t="s">
        <v>75</v>
      </c>
      <c r="R5056" s="13" t="s">
        <v>75</v>
      </c>
      <c r="S5056" s="13" t="s">
        <v>73</v>
      </c>
      <c r="T5056" s="44">
        <v>45904.42989865741</v>
      </c>
      <c r="U5056" s="44">
        <v>45911.630836006945</v>
      </c>
      <c r="V5056" s="44">
        <v>45912.40426417824</v>
      </c>
      <c r="W5056" s="11"/>
      <c r="X5056" s="11"/>
      <c r="Y5056" s="45">
        <v>302.0</v>
      </c>
      <c r="Z5056" s="45" t="s">
        <v>20273</v>
      </c>
      <c r="AA5056" s="31"/>
      <c r="AB5056" s="45" t="s">
        <v>20274</v>
      </c>
      <c r="AC5056" s="45"/>
    </row>
    <row r="5057" ht="18.75" customHeight="1">
      <c r="A5057" s="18" t="s">
        <v>20275</v>
      </c>
      <c r="B5057" s="19" t="s">
        <v>4313</v>
      </c>
      <c r="C5057" s="20">
        <v>0.0</v>
      </c>
      <c r="D5057" s="39" t="s">
        <v>20276</v>
      </c>
      <c r="E5057" s="27" t="s">
        <v>12486</v>
      </c>
      <c r="F5057" s="27" t="s">
        <v>11504</v>
      </c>
      <c r="G5057" s="18" t="s">
        <v>35</v>
      </c>
      <c r="H5057" s="40" t="s">
        <v>35</v>
      </c>
      <c r="I5057" s="37" t="s">
        <v>36</v>
      </c>
      <c r="J5057" s="25" t="s">
        <v>92</v>
      </c>
      <c r="K5057" s="26" t="s">
        <v>38</v>
      </c>
      <c r="L5057" s="34">
        <v>13790.0</v>
      </c>
      <c r="M5057" s="49" t="s">
        <v>73</v>
      </c>
      <c r="N5057" s="42" t="s">
        <v>10176</v>
      </c>
      <c r="O5057" s="67">
        <v>45904.61970447916</v>
      </c>
      <c r="P5057" s="35" t="s">
        <v>20277</v>
      </c>
      <c r="Q5057" s="13" t="s">
        <v>75</v>
      </c>
      <c r="R5057" s="13" t="s">
        <v>75</v>
      </c>
      <c r="S5057" s="13" t="s">
        <v>73</v>
      </c>
      <c r="T5057" s="44">
        <v>45904.43156751158</v>
      </c>
      <c r="U5057" s="44">
        <v>45904.49742165509</v>
      </c>
      <c r="V5057" s="44">
        <v>45904.50883456018</v>
      </c>
      <c r="W5057" s="11"/>
      <c r="X5057" s="11"/>
      <c r="Y5057" s="45">
        <v>302.0</v>
      </c>
      <c r="Z5057" s="45" t="s">
        <v>20278</v>
      </c>
      <c r="AA5057" s="31"/>
      <c r="AB5057" s="45" t="s">
        <v>20279</v>
      </c>
      <c r="AC5057" s="45"/>
    </row>
    <row r="5058" ht="18.75" customHeight="1">
      <c r="A5058" s="18" t="s">
        <v>20280</v>
      </c>
      <c r="B5058" s="19" t="s">
        <v>4313</v>
      </c>
      <c r="C5058" s="20">
        <v>0.0</v>
      </c>
      <c r="D5058" s="39" t="s">
        <v>20281</v>
      </c>
      <c r="E5058" s="27" t="s">
        <v>12486</v>
      </c>
      <c r="F5058" s="27" t="s">
        <v>11504</v>
      </c>
      <c r="G5058" s="18" t="s">
        <v>35</v>
      </c>
      <c r="H5058" s="40" t="s">
        <v>35</v>
      </c>
      <c r="I5058" s="37" t="s">
        <v>36</v>
      </c>
      <c r="J5058" s="25" t="s">
        <v>92</v>
      </c>
      <c r="K5058" s="26" t="s">
        <v>38</v>
      </c>
      <c r="L5058" s="34">
        <v>13790.0</v>
      </c>
      <c r="M5058" s="49" t="s">
        <v>73</v>
      </c>
      <c r="N5058" s="42" t="s">
        <v>10176</v>
      </c>
      <c r="O5058" s="67">
        <v>45904.619412037035</v>
      </c>
      <c r="P5058" s="35" t="s">
        <v>20277</v>
      </c>
      <c r="Q5058" s="13" t="s">
        <v>75</v>
      </c>
      <c r="R5058" s="13" t="s">
        <v>75</v>
      </c>
      <c r="S5058" s="13" t="s">
        <v>73</v>
      </c>
      <c r="T5058" s="44">
        <v>45904.431648819445</v>
      </c>
      <c r="U5058" s="44">
        <v>45904.497384849536</v>
      </c>
      <c r="V5058" s="44">
        <v>45904.508717777775</v>
      </c>
      <c r="W5058" s="11"/>
      <c r="X5058" s="11"/>
      <c r="Y5058" s="45">
        <v>302.0</v>
      </c>
      <c r="Z5058" s="45" t="s">
        <v>20282</v>
      </c>
      <c r="AA5058" s="31"/>
      <c r="AB5058" s="45" t="s">
        <v>20283</v>
      </c>
      <c r="AC5058" s="45"/>
    </row>
    <row r="5059" ht="18.75" customHeight="1">
      <c r="A5059" s="142" t="s">
        <v>20284</v>
      </c>
      <c r="B5059" s="19" t="s">
        <v>3289</v>
      </c>
      <c r="C5059" s="20">
        <v>27.0</v>
      </c>
      <c r="D5059" s="39" t="s">
        <v>20285</v>
      </c>
      <c r="E5059" s="27" t="s">
        <v>72</v>
      </c>
      <c r="F5059" s="27" t="s">
        <v>48</v>
      </c>
      <c r="G5059" s="18" t="s">
        <v>35</v>
      </c>
      <c r="H5059" s="40" t="s">
        <v>35</v>
      </c>
      <c r="I5059" s="37" t="s">
        <v>36</v>
      </c>
      <c r="J5059" s="25" t="s">
        <v>92</v>
      </c>
      <c r="K5059" s="26" t="s">
        <v>38</v>
      </c>
      <c r="L5059" s="72">
        <v>13802.0</v>
      </c>
      <c r="M5059" s="49" t="s">
        <v>50</v>
      </c>
      <c r="N5059" s="42" t="s">
        <v>16512</v>
      </c>
      <c r="O5059" s="67">
        <v>45909.41776027778</v>
      </c>
      <c r="P5059" s="35" t="s">
        <v>20286</v>
      </c>
      <c r="Q5059" s="13" t="s">
        <v>75</v>
      </c>
      <c r="R5059" s="13" t="s">
        <v>75</v>
      </c>
      <c r="S5059" s="13" t="s">
        <v>73</v>
      </c>
      <c r="T5059" s="44">
        <v>45904.43224329861</v>
      </c>
      <c r="U5059" s="44">
        <v>45905.469464016205</v>
      </c>
      <c r="V5059" s="44">
        <v>45905.48361913195</v>
      </c>
      <c r="W5059" s="11"/>
      <c r="X5059" s="11"/>
      <c r="Y5059" s="45">
        <v>302.0</v>
      </c>
      <c r="Z5059" s="45" t="s">
        <v>20287</v>
      </c>
      <c r="AA5059" s="31"/>
      <c r="AB5059" s="45" t="s">
        <v>20288</v>
      </c>
      <c r="AC5059" s="45"/>
    </row>
    <row r="5060" ht="18.75" customHeight="1">
      <c r="A5060" s="142" t="s">
        <v>20289</v>
      </c>
      <c r="B5060" s="19" t="s">
        <v>20290</v>
      </c>
      <c r="C5060" s="20">
        <v>0.0</v>
      </c>
      <c r="D5060" s="39"/>
      <c r="E5060" s="27" t="s">
        <v>3441</v>
      </c>
      <c r="F5060" s="27" t="s">
        <v>48</v>
      </c>
      <c r="G5060" s="18" t="s">
        <v>35</v>
      </c>
      <c r="H5060" s="40" t="s">
        <v>35</v>
      </c>
      <c r="I5060" s="37" t="s">
        <v>18314</v>
      </c>
      <c r="J5060" s="25" t="s">
        <v>92</v>
      </c>
      <c r="K5060" s="26" t="s">
        <v>38</v>
      </c>
      <c r="L5060" s="25"/>
      <c r="M5060" s="49"/>
      <c r="N5060" s="42"/>
      <c r="O5060" s="68"/>
      <c r="P5060" s="35" t="s">
        <v>20291</v>
      </c>
      <c r="Q5060" s="13" t="s">
        <v>75</v>
      </c>
      <c r="R5060" s="13" t="s">
        <v>67</v>
      </c>
      <c r="S5060" s="13"/>
      <c r="T5060" s="44">
        <v>45904.43533172454</v>
      </c>
      <c r="U5060" s="44">
        <v>45944.70380621528</v>
      </c>
      <c r="V5060" s="13"/>
      <c r="W5060" s="11"/>
      <c r="X5060" s="11"/>
      <c r="Y5060" s="45"/>
      <c r="Z5060" s="45"/>
      <c r="AA5060" s="31"/>
      <c r="AB5060" s="45" t="s">
        <v>20292</v>
      </c>
      <c r="AC5060" s="45"/>
    </row>
    <row r="5061" ht="18.75" customHeight="1">
      <c r="A5061" s="142" t="s">
        <v>20293</v>
      </c>
      <c r="B5061" s="19" t="s">
        <v>17819</v>
      </c>
      <c r="C5061" s="20">
        <v>0.0</v>
      </c>
      <c r="D5061" s="39" t="s">
        <v>20294</v>
      </c>
      <c r="E5061" s="27" t="s">
        <v>3441</v>
      </c>
      <c r="F5061" s="27" t="s">
        <v>48</v>
      </c>
      <c r="G5061" s="18" t="s">
        <v>35</v>
      </c>
      <c r="H5061" s="40" t="s">
        <v>35</v>
      </c>
      <c r="I5061" s="37" t="s">
        <v>36</v>
      </c>
      <c r="J5061" s="25" t="s">
        <v>92</v>
      </c>
      <c r="K5061" s="26" t="s">
        <v>38</v>
      </c>
      <c r="L5061" s="72">
        <v>13797.0</v>
      </c>
      <c r="M5061" s="49" t="s">
        <v>50</v>
      </c>
      <c r="N5061" s="42" t="s">
        <v>7145</v>
      </c>
      <c r="O5061" s="67">
        <v>45908.45459959491</v>
      </c>
      <c r="P5061" s="26"/>
      <c r="Q5061" s="13" t="s">
        <v>75</v>
      </c>
      <c r="R5061" s="13" t="s">
        <v>75</v>
      </c>
      <c r="S5061" s="13" t="s">
        <v>73</v>
      </c>
      <c r="T5061" s="44">
        <v>45904.49067471064</v>
      </c>
      <c r="U5061" s="44">
        <v>45904.498080439815</v>
      </c>
      <c r="V5061" s="44">
        <v>45905.429836979165</v>
      </c>
      <c r="W5061" s="11"/>
      <c r="X5061" s="11"/>
      <c r="Y5061" s="45">
        <v>302.0</v>
      </c>
      <c r="Z5061" s="45" t="s">
        <v>20295</v>
      </c>
      <c r="AA5061" s="31"/>
      <c r="AB5061" s="45" t="s">
        <v>20296</v>
      </c>
      <c r="AC5061" s="45"/>
    </row>
    <row r="5062" ht="18.75" customHeight="1">
      <c r="A5062" s="18" t="s">
        <v>20297</v>
      </c>
      <c r="B5062" s="19" t="s">
        <v>3888</v>
      </c>
      <c r="C5062" s="20">
        <v>1.0</v>
      </c>
      <c r="D5062" s="39" t="s">
        <v>20298</v>
      </c>
      <c r="E5062" s="27" t="s">
        <v>3395</v>
      </c>
      <c r="F5062" s="27" t="s">
        <v>48</v>
      </c>
      <c r="G5062" s="18" t="s">
        <v>35</v>
      </c>
      <c r="H5062" s="40" t="s">
        <v>35</v>
      </c>
      <c r="I5062" s="37" t="s">
        <v>36</v>
      </c>
      <c r="J5062" s="25" t="s">
        <v>49</v>
      </c>
      <c r="K5062" s="26" t="s">
        <v>2978</v>
      </c>
      <c r="L5062" s="25">
        <v>14217.0</v>
      </c>
      <c r="M5062" s="49" t="s">
        <v>50</v>
      </c>
      <c r="N5062" s="42" t="s">
        <v>9953</v>
      </c>
      <c r="O5062" s="67">
        <v>45950.65328513889</v>
      </c>
      <c r="P5062" s="35" t="s">
        <v>20299</v>
      </c>
      <c r="Q5062" s="13" t="s">
        <v>75</v>
      </c>
      <c r="R5062" s="13" t="s">
        <v>75</v>
      </c>
      <c r="S5062" s="13" t="s">
        <v>73</v>
      </c>
      <c r="T5062" s="44">
        <v>45905.5033950463</v>
      </c>
      <c r="U5062" s="44">
        <v>45905.60973842593</v>
      </c>
      <c r="V5062" s="44">
        <v>45950.54414747685</v>
      </c>
      <c r="W5062" s="11"/>
      <c r="X5062" s="148">
        <v>45940.0</v>
      </c>
      <c r="Y5062" s="45">
        <v>302.0</v>
      </c>
      <c r="Z5062" s="45" t="s">
        <v>20300</v>
      </c>
      <c r="AA5062" s="31"/>
      <c r="AB5062" s="45" t="s">
        <v>20301</v>
      </c>
      <c r="AC5062" s="45"/>
    </row>
    <row r="5063" ht="18.75" customHeight="1">
      <c r="A5063" s="18" t="s">
        <v>20302</v>
      </c>
      <c r="B5063" s="19" t="s">
        <v>3888</v>
      </c>
      <c r="C5063" s="20">
        <v>1.0</v>
      </c>
      <c r="D5063" s="39" t="s">
        <v>20303</v>
      </c>
      <c r="E5063" s="27" t="s">
        <v>3395</v>
      </c>
      <c r="F5063" s="27" t="s">
        <v>48</v>
      </c>
      <c r="G5063" s="18" t="s">
        <v>35</v>
      </c>
      <c r="H5063" s="40" t="s">
        <v>35</v>
      </c>
      <c r="I5063" s="37" t="s">
        <v>36</v>
      </c>
      <c r="J5063" s="25" t="s">
        <v>49</v>
      </c>
      <c r="K5063" s="26" t="s">
        <v>2978</v>
      </c>
      <c r="L5063" s="25">
        <v>14217.0</v>
      </c>
      <c r="M5063" s="49" t="s">
        <v>50</v>
      </c>
      <c r="N5063" s="42" t="s">
        <v>9953</v>
      </c>
      <c r="O5063" s="67">
        <v>45950.65334680556</v>
      </c>
      <c r="P5063" s="35" t="s">
        <v>20299</v>
      </c>
      <c r="Q5063" s="13" t="s">
        <v>75</v>
      </c>
      <c r="R5063" s="13" t="s">
        <v>75</v>
      </c>
      <c r="S5063" s="13" t="s">
        <v>73</v>
      </c>
      <c r="T5063" s="44">
        <v>45905.503466458336</v>
      </c>
      <c r="U5063" s="44">
        <v>45905.60985849537</v>
      </c>
      <c r="V5063" s="44">
        <v>45950.54422611111</v>
      </c>
      <c r="W5063" s="11"/>
      <c r="X5063" s="148">
        <v>45940.0</v>
      </c>
      <c r="Y5063" s="45">
        <v>302.0</v>
      </c>
      <c r="Z5063" s="45" t="s">
        <v>20304</v>
      </c>
      <c r="AA5063" s="31"/>
      <c r="AB5063" s="45" t="s">
        <v>20305</v>
      </c>
      <c r="AC5063" s="45"/>
    </row>
    <row r="5064" ht="18.75" customHeight="1">
      <c r="A5064" s="142" t="s">
        <v>20306</v>
      </c>
      <c r="B5064" s="19" t="s">
        <v>5630</v>
      </c>
      <c r="C5064" s="20">
        <v>0.0</v>
      </c>
      <c r="D5064" s="39" t="s">
        <v>20307</v>
      </c>
      <c r="E5064" s="27" t="s">
        <v>4430</v>
      </c>
      <c r="F5064" s="27" t="s">
        <v>48</v>
      </c>
      <c r="G5064" s="18" t="s">
        <v>35</v>
      </c>
      <c r="H5064" s="40" t="s">
        <v>35</v>
      </c>
      <c r="I5064" s="37" t="s">
        <v>36</v>
      </c>
      <c r="J5064" s="25" t="s">
        <v>49</v>
      </c>
      <c r="K5064" s="26" t="s">
        <v>38</v>
      </c>
      <c r="L5064" s="72">
        <v>13803.0</v>
      </c>
      <c r="M5064" s="49" t="s">
        <v>50</v>
      </c>
      <c r="N5064" s="42" t="s">
        <v>18561</v>
      </c>
      <c r="O5064" s="67">
        <v>45905.62490667824</v>
      </c>
      <c r="P5064" s="35" t="s">
        <v>20308</v>
      </c>
      <c r="Q5064" s="13" t="s">
        <v>75</v>
      </c>
      <c r="R5064" s="13" t="s">
        <v>75</v>
      </c>
      <c r="S5064" s="13" t="s">
        <v>73</v>
      </c>
      <c r="T5064" s="44">
        <v>45905.47115049769</v>
      </c>
      <c r="U5064" s="44">
        <v>45905.472590219906</v>
      </c>
      <c r="V5064" s="44">
        <v>45905.486014305556</v>
      </c>
      <c r="W5064" s="11"/>
      <c r="X5064" s="11"/>
      <c r="Y5064" s="207">
        <v>302.0</v>
      </c>
      <c r="Z5064" s="45" t="s">
        <v>20309</v>
      </c>
      <c r="AA5064" s="31"/>
      <c r="AB5064" s="45" t="s">
        <v>20310</v>
      </c>
      <c r="AC5064" s="45"/>
    </row>
    <row r="5065" ht="18.75" customHeight="1">
      <c r="A5065" s="18" t="s">
        <v>20311</v>
      </c>
      <c r="B5065" s="19" t="s">
        <v>5531</v>
      </c>
      <c r="C5065" s="20">
        <v>34.0</v>
      </c>
      <c r="D5065" s="39" t="s">
        <v>20312</v>
      </c>
      <c r="E5065" s="27" t="s">
        <v>47</v>
      </c>
      <c r="F5065" s="27" t="s">
        <v>48</v>
      </c>
      <c r="G5065" s="18" t="s">
        <v>35</v>
      </c>
      <c r="H5065" s="40" t="s">
        <v>35</v>
      </c>
      <c r="I5065" s="37" t="s">
        <v>36</v>
      </c>
      <c r="J5065" s="25" t="s">
        <v>49</v>
      </c>
      <c r="K5065" s="26" t="s">
        <v>19108</v>
      </c>
      <c r="L5065" s="72">
        <v>13816.0</v>
      </c>
      <c r="M5065" s="49" t="s">
        <v>50</v>
      </c>
      <c r="N5065" s="42" t="s">
        <v>5936</v>
      </c>
      <c r="O5065" s="67">
        <v>45909.674300439816</v>
      </c>
      <c r="P5065" s="35" t="s">
        <v>20313</v>
      </c>
      <c r="Q5065" s="13" t="s">
        <v>75</v>
      </c>
      <c r="R5065" s="13" t="s">
        <v>75</v>
      </c>
      <c r="S5065" s="13" t="s">
        <v>73</v>
      </c>
      <c r="T5065" s="44">
        <v>45905.48222755787</v>
      </c>
      <c r="U5065" s="44">
        <v>45908.58510445602</v>
      </c>
      <c r="V5065" s="44">
        <v>45909.38420946759</v>
      </c>
      <c r="W5065" s="11"/>
      <c r="X5065" s="11"/>
      <c r="Y5065" s="45">
        <v>302.0</v>
      </c>
      <c r="Z5065" s="45" t="s">
        <v>20314</v>
      </c>
      <c r="AA5065" s="31"/>
      <c r="AB5065" s="45" t="s">
        <v>20315</v>
      </c>
      <c r="AC5065" s="45"/>
    </row>
    <row r="5066" ht="18.75" customHeight="1">
      <c r="A5066" s="18" t="s">
        <v>20316</v>
      </c>
      <c r="B5066" s="19" t="s">
        <v>5531</v>
      </c>
      <c r="C5066" s="20">
        <v>34.0</v>
      </c>
      <c r="D5066" s="39" t="s">
        <v>20317</v>
      </c>
      <c r="E5066" s="27" t="s">
        <v>47</v>
      </c>
      <c r="F5066" s="27" t="s">
        <v>48</v>
      </c>
      <c r="G5066" s="18" t="s">
        <v>35</v>
      </c>
      <c r="H5066" s="40" t="s">
        <v>35</v>
      </c>
      <c r="I5066" s="37" t="s">
        <v>36</v>
      </c>
      <c r="J5066" s="25" t="s">
        <v>49</v>
      </c>
      <c r="K5066" s="26" t="s">
        <v>19108</v>
      </c>
      <c r="L5066" s="72">
        <v>13816.0</v>
      </c>
      <c r="M5066" s="49" t="s">
        <v>50</v>
      </c>
      <c r="N5066" s="42" t="s">
        <v>5936</v>
      </c>
      <c r="O5066" s="67">
        <v>45909.674249386575</v>
      </c>
      <c r="P5066" s="35" t="s">
        <v>20313</v>
      </c>
      <c r="Q5066" s="13" t="s">
        <v>75</v>
      </c>
      <c r="R5066" s="13" t="s">
        <v>75</v>
      </c>
      <c r="S5066" s="13" t="s">
        <v>73</v>
      </c>
      <c r="T5066" s="44">
        <v>45905.48228296296</v>
      </c>
      <c r="U5066" s="44">
        <v>45908.58507908565</v>
      </c>
      <c r="V5066" s="44">
        <v>45909.38413210648</v>
      </c>
      <c r="W5066" s="11"/>
      <c r="X5066" s="11"/>
      <c r="Y5066" s="45">
        <v>302.0</v>
      </c>
      <c r="Z5066" s="45" t="s">
        <v>20318</v>
      </c>
      <c r="AA5066" s="31"/>
      <c r="AB5066" s="45" t="s">
        <v>20319</v>
      </c>
      <c r="AC5066" s="45"/>
    </row>
    <row r="5067" ht="18.75" customHeight="1">
      <c r="A5067" s="142" t="s">
        <v>20320</v>
      </c>
      <c r="B5067" s="19" t="s">
        <v>11733</v>
      </c>
      <c r="C5067" s="20">
        <v>90.0</v>
      </c>
      <c r="D5067" s="39" t="s">
        <v>20321</v>
      </c>
      <c r="E5067" s="27" t="s">
        <v>91</v>
      </c>
      <c r="F5067" s="27" t="s">
        <v>48</v>
      </c>
      <c r="G5067" s="18" t="s">
        <v>35</v>
      </c>
      <c r="H5067" s="40" t="s">
        <v>35</v>
      </c>
      <c r="I5067" s="37" t="s">
        <v>36</v>
      </c>
      <c r="J5067" s="25" t="s">
        <v>49</v>
      </c>
      <c r="K5067" s="26" t="s">
        <v>38</v>
      </c>
      <c r="L5067" s="72">
        <v>13817.0</v>
      </c>
      <c r="M5067" s="49" t="s">
        <v>50</v>
      </c>
      <c r="N5067" s="42" t="s">
        <v>5936</v>
      </c>
      <c r="O5067" s="67">
        <v>45909.6741974537</v>
      </c>
      <c r="P5067" s="35" t="s">
        <v>20322</v>
      </c>
      <c r="Q5067" s="13" t="s">
        <v>75</v>
      </c>
      <c r="R5067" s="13" t="s">
        <v>75</v>
      </c>
      <c r="S5067" s="13" t="s">
        <v>73</v>
      </c>
      <c r="T5067" s="44">
        <v>45905.4832708912</v>
      </c>
      <c r="U5067" s="44">
        <v>45908.58627864583</v>
      </c>
      <c r="V5067" s="44">
        <v>45909.38538013889</v>
      </c>
      <c r="W5067" s="11"/>
      <c r="X5067" s="11"/>
      <c r="Y5067" s="45">
        <v>302.0</v>
      </c>
      <c r="Z5067" s="45" t="s">
        <v>20323</v>
      </c>
      <c r="AA5067" s="31"/>
      <c r="AB5067" s="45" t="s">
        <v>20324</v>
      </c>
      <c r="AC5067" s="45"/>
    </row>
    <row r="5068" ht="18.75" customHeight="1">
      <c r="A5068" s="142" t="s">
        <v>20325</v>
      </c>
      <c r="B5068" s="19" t="s">
        <v>20326</v>
      </c>
      <c r="C5068" s="20">
        <v>137.0</v>
      </c>
      <c r="D5068" s="39" t="s">
        <v>20327</v>
      </c>
      <c r="E5068" s="27" t="s">
        <v>85</v>
      </c>
      <c r="F5068" s="27" t="s">
        <v>48</v>
      </c>
      <c r="G5068" s="18" t="s">
        <v>35</v>
      </c>
      <c r="H5068" s="40" t="s">
        <v>35</v>
      </c>
      <c r="I5068" s="37" t="s">
        <v>36</v>
      </c>
      <c r="J5068" s="25" t="s">
        <v>65</v>
      </c>
      <c r="K5068" s="26" t="s">
        <v>38</v>
      </c>
      <c r="L5068" s="25">
        <v>14168.0</v>
      </c>
      <c r="M5068" s="49" t="s">
        <v>50</v>
      </c>
      <c r="N5068" s="42" t="s">
        <v>16408</v>
      </c>
      <c r="O5068" s="67">
        <v>45945.657217002314</v>
      </c>
      <c r="P5068" s="35" t="s">
        <v>16062</v>
      </c>
      <c r="Q5068" s="13" t="s">
        <v>75</v>
      </c>
      <c r="R5068" s="13" t="s">
        <v>75</v>
      </c>
      <c r="S5068" s="13" t="s">
        <v>50</v>
      </c>
      <c r="T5068" s="44">
        <v>45945.558452627316</v>
      </c>
      <c r="U5068" s="44">
        <v>45945.55853440972</v>
      </c>
      <c r="V5068" s="44">
        <v>45945.55919502315</v>
      </c>
      <c r="W5068" s="11"/>
      <c r="X5068" s="11"/>
      <c r="Y5068" s="45">
        <v>302.0</v>
      </c>
      <c r="Z5068" s="45" t="s">
        <v>20328</v>
      </c>
      <c r="AA5068" s="31"/>
      <c r="AB5068" s="45" t="s">
        <v>20329</v>
      </c>
      <c r="AC5068" s="45"/>
    </row>
    <row r="5069" ht="18.75" customHeight="1">
      <c r="A5069" s="142" t="s">
        <v>20330</v>
      </c>
      <c r="B5069" s="19" t="s">
        <v>7868</v>
      </c>
      <c r="C5069" s="20">
        <v>0.0</v>
      </c>
      <c r="D5069" s="39" t="s">
        <v>20331</v>
      </c>
      <c r="E5069" s="27" t="s">
        <v>3441</v>
      </c>
      <c r="F5069" s="27" t="s">
        <v>48</v>
      </c>
      <c r="G5069" s="18" t="s">
        <v>35</v>
      </c>
      <c r="H5069" s="40" t="s">
        <v>35</v>
      </c>
      <c r="I5069" s="37" t="s">
        <v>36</v>
      </c>
      <c r="J5069" s="25" t="s">
        <v>65</v>
      </c>
      <c r="K5069" s="26" t="s">
        <v>38</v>
      </c>
      <c r="L5069" s="72">
        <v>13818.0</v>
      </c>
      <c r="M5069" s="49" t="s">
        <v>50</v>
      </c>
      <c r="N5069" s="42" t="s">
        <v>16408</v>
      </c>
      <c r="O5069" s="67">
        <v>45909.674912268514</v>
      </c>
      <c r="P5069" s="35" t="s">
        <v>15829</v>
      </c>
      <c r="Q5069" s="13" t="s">
        <v>75</v>
      </c>
      <c r="R5069" s="13" t="s">
        <v>75</v>
      </c>
      <c r="S5069" s="13" t="s">
        <v>73</v>
      </c>
      <c r="T5069" s="44">
        <v>45908.56732130787</v>
      </c>
      <c r="U5069" s="44">
        <v>45908.567360960646</v>
      </c>
      <c r="V5069" s="44">
        <v>45909.3928896875</v>
      </c>
      <c r="W5069" s="11"/>
      <c r="X5069" s="11"/>
      <c r="Y5069" s="45">
        <v>302.0</v>
      </c>
      <c r="Z5069" s="45" t="s">
        <v>20332</v>
      </c>
      <c r="AA5069" s="31"/>
      <c r="AB5069" s="45" t="s">
        <v>20333</v>
      </c>
      <c r="AC5069" s="45"/>
    </row>
    <row r="5070" ht="18.75" customHeight="1">
      <c r="A5070" s="18" t="s">
        <v>20334</v>
      </c>
      <c r="B5070" s="19" t="s">
        <v>4711</v>
      </c>
      <c r="C5070" s="20">
        <v>11.0</v>
      </c>
      <c r="D5070" s="39" t="s">
        <v>20335</v>
      </c>
      <c r="E5070" s="27" t="s">
        <v>112</v>
      </c>
      <c r="F5070" s="27" t="s">
        <v>48</v>
      </c>
      <c r="G5070" s="18" t="s">
        <v>35</v>
      </c>
      <c r="H5070" s="40" t="s">
        <v>35</v>
      </c>
      <c r="I5070" s="37" t="s">
        <v>36</v>
      </c>
      <c r="J5070" s="25" t="s">
        <v>65</v>
      </c>
      <c r="K5070" s="26" t="s">
        <v>38</v>
      </c>
      <c r="L5070" s="72">
        <v>13819.0</v>
      </c>
      <c r="M5070" s="49" t="s">
        <v>50</v>
      </c>
      <c r="N5070" s="42" t="s">
        <v>16408</v>
      </c>
      <c r="O5070" s="67">
        <v>45909.67486861111</v>
      </c>
      <c r="P5070" s="35" t="s">
        <v>20336</v>
      </c>
      <c r="Q5070" s="13" t="s">
        <v>75</v>
      </c>
      <c r="R5070" s="13" t="s">
        <v>75</v>
      </c>
      <c r="S5070" s="13" t="s">
        <v>73</v>
      </c>
      <c r="T5070" s="44">
        <v>45908.664665578704</v>
      </c>
      <c r="U5070" s="44">
        <v>45908.69546459491</v>
      </c>
      <c r="V5070" s="44">
        <v>45909.38947721064</v>
      </c>
      <c r="W5070" s="11"/>
      <c r="X5070" s="11"/>
      <c r="Y5070" s="45">
        <v>302.0</v>
      </c>
      <c r="Z5070" s="45" t="s">
        <v>20337</v>
      </c>
      <c r="AA5070" s="31"/>
      <c r="AB5070" s="45" t="s">
        <v>20338</v>
      </c>
      <c r="AC5070" s="45"/>
    </row>
    <row r="5071" ht="18.75" customHeight="1">
      <c r="A5071" s="18" t="s">
        <v>20339</v>
      </c>
      <c r="B5071" s="19" t="s">
        <v>4711</v>
      </c>
      <c r="C5071" s="20">
        <v>11.0</v>
      </c>
      <c r="D5071" s="39" t="s">
        <v>20340</v>
      </c>
      <c r="E5071" s="27" t="s">
        <v>112</v>
      </c>
      <c r="F5071" s="27" t="s">
        <v>48</v>
      </c>
      <c r="G5071" s="18" t="s">
        <v>35</v>
      </c>
      <c r="H5071" s="40" t="s">
        <v>35</v>
      </c>
      <c r="I5071" s="37" t="s">
        <v>36</v>
      </c>
      <c r="J5071" s="25" t="s">
        <v>65</v>
      </c>
      <c r="K5071" s="26" t="s">
        <v>38</v>
      </c>
      <c r="L5071" s="72">
        <v>13819.0</v>
      </c>
      <c r="M5071" s="49" t="s">
        <v>50</v>
      </c>
      <c r="N5071" s="42" t="s">
        <v>16408</v>
      </c>
      <c r="O5071" s="67">
        <v>45909.67472935186</v>
      </c>
      <c r="P5071" s="35" t="s">
        <v>20336</v>
      </c>
      <c r="Q5071" s="13" t="s">
        <v>75</v>
      </c>
      <c r="R5071" s="13" t="s">
        <v>75</v>
      </c>
      <c r="S5071" s="13" t="s">
        <v>73</v>
      </c>
      <c r="T5071" s="44">
        <v>45908.5681731713</v>
      </c>
      <c r="U5071" s="44">
        <v>45908.69553326389</v>
      </c>
      <c r="V5071" s="44">
        <v>45909.389669965276</v>
      </c>
      <c r="W5071" s="11"/>
      <c r="X5071" s="11"/>
      <c r="Y5071" s="45">
        <v>302.0</v>
      </c>
      <c r="Z5071" s="45" t="s">
        <v>20341</v>
      </c>
      <c r="AA5071" s="31"/>
      <c r="AB5071" s="45" t="s">
        <v>20342</v>
      </c>
      <c r="AC5071" s="45"/>
    </row>
    <row r="5072" ht="18.75" customHeight="1">
      <c r="A5072" s="18" t="s">
        <v>20343</v>
      </c>
      <c r="B5072" s="19" t="s">
        <v>4711</v>
      </c>
      <c r="C5072" s="20">
        <v>11.0</v>
      </c>
      <c r="D5072" s="39" t="s">
        <v>20344</v>
      </c>
      <c r="E5072" s="27" t="s">
        <v>112</v>
      </c>
      <c r="F5072" s="27" t="s">
        <v>48</v>
      </c>
      <c r="G5072" s="18" t="s">
        <v>35</v>
      </c>
      <c r="H5072" s="40" t="s">
        <v>35</v>
      </c>
      <c r="I5072" s="37" t="s">
        <v>36</v>
      </c>
      <c r="J5072" s="25" t="s">
        <v>65</v>
      </c>
      <c r="K5072" s="26" t="s">
        <v>38</v>
      </c>
      <c r="L5072" s="72">
        <v>13819.0</v>
      </c>
      <c r="M5072" s="49" t="s">
        <v>50</v>
      </c>
      <c r="N5072" s="42" t="s">
        <v>16408</v>
      </c>
      <c r="O5072" s="67">
        <v>45909.67477268519</v>
      </c>
      <c r="P5072" s="35" t="s">
        <v>20336</v>
      </c>
      <c r="Q5072" s="13" t="s">
        <v>75</v>
      </c>
      <c r="R5072" s="13" t="s">
        <v>75</v>
      </c>
      <c r="S5072" s="13" t="s">
        <v>73</v>
      </c>
      <c r="T5072" s="44">
        <v>45908.56822959491</v>
      </c>
      <c r="U5072" s="44">
        <v>45908.69550789351</v>
      </c>
      <c r="V5072" s="44">
        <v>45909.38957013889</v>
      </c>
      <c r="W5072" s="11"/>
      <c r="X5072" s="11"/>
      <c r="Y5072" s="45">
        <v>302.0</v>
      </c>
      <c r="Z5072" s="45" t="s">
        <v>20345</v>
      </c>
      <c r="AA5072" s="31"/>
      <c r="AB5072" s="45" t="s">
        <v>20346</v>
      </c>
      <c r="AC5072" s="45"/>
    </row>
    <row r="5073" ht="18.75" customHeight="1">
      <c r="A5073" s="18" t="s">
        <v>20347</v>
      </c>
      <c r="B5073" s="19" t="s">
        <v>4711</v>
      </c>
      <c r="C5073" s="20">
        <v>90.0</v>
      </c>
      <c r="D5073" s="39" t="s">
        <v>20348</v>
      </c>
      <c r="E5073" s="27" t="s">
        <v>91</v>
      </c>
      <c r="F5073" s="27" t="s">
        <v>48</v>
      </c>
      <c r="G5073" s="18" t="s">
        <v>35</v>
      </c>
      <c r="H5073" s="40" t="s">
        <v>35</v>
      </c>
      <c r="I5073" s="37" t="s">
        <v>36</v>
      </c>
      <c r="J5073" s="25" t="s">
        <v>65</v>
      </c>
      <c r="K5073" s="26" t="s">
        <v>38</v>
      </c>
      <c r="L5073" s="72">
        <v>13819.0</v>
      </c>
      <c r="M5073" s="49" t="s">
        <v>50</v>
      </c>
      <c r="N5073" s="42" t="s">
        <v>16408</v>
      </c>
      <c r="O5073" s="67">
        <v>45909.67468377315</v>
      </c>
      <c r="P5073" s="35" t="s">
        <v>20336</v>
      </c>
      <c r="Q5073" s="13" t="s">
        <v>75</v>
      </c>
      <c r="R5073" s="13" t="s">
        <v>75</v>
      </c>
      <c r="S5073" s="13" t="s">
        <v>73</v>
      </c>
      <c r="T5073" s="44">
        <v>45908.568459131944</v>
      </c>
      <c r="U5073" s="44">
        <v>45908.69555716435</v>
      </c>
      <c r="V5073" s="44">
        <v>45909.3933465625</v>
      </c>
      <c r="W5073" s="11"/>
      <c r="X5073" s="11"/>
      <c r="Y5073" s="45">
        <v>302.0</v>
      </c>
      <c r="Z5073" s="45" t="s">
        <v>20349</v>
      </c>
      <c r="AA5073" s="31"/>
      <c r="AB5073" s="45" t="s">
        <v>20350</v>
      </c>
      <c r="AC5073" s="45"/>
    </row>
    <row r="5074" ht="18.75" customHeight="1">
      <c r="A5074" s="18" t="s">
        <v>20351</v>
      </c>
      <c r="B5074" s="19" t="s">
        <v>4711</v>
      </c>
      <c r="C5074" s="20">
        <v>90.0</v>
      </c>
      <c r="D5074" s="39" t="s">
        <v>20352</v>
      </c>
      <c r="E5074" s="27" t="s">
        <v>91</v>
      </c>
      <c r="F5074" s="27" t="s">
        <v>48</v>
      </c>
      <c r="G5074" s="18" t="s">
        <v>35</v>
      </c>
      <c r="H5074" s="40" t="s">
        <v>35</v>
      </c>
      <c r="I5074" s="37" t="s">
        <v>36</v>
      </c>
      <c r="J5074" s="25" t="s">
        <v>65</v>
      </c>
      <c r="K5074" s="26" t="s">
        <v>38</v>
      </c>
      <c r="L5074" s="72">
        <v>13819.0</v>
      </c>
      <c r="M5074" s="49" t="s">
        <v>50</v>
      </c>
      <c r="N5074" s="42" t="s">
        <v>16408</v>
      </c>
      <c r="O5074" s="67">
        <v>45909.674820127315</v>
      </c>
      <c r="P5074" s="35" t="s">
        <v>20336</v>
      </c>
      <c r="Q5074" s="13" t="s">
        <v>75</v>
      </c>
      <c r="R5074" s="13" t="s">
        <v>75</v>
      </c>
      <c r="S5074" s="13" t="s">
        <v>73</v>
      </c>
      <c r="T5074" s="44">
        <v>45908.66463320602</v>
      </c>
      <c r="U5074" s="44">
        <v>45908.69548707176</v>
      </c>
      <c r="V5074" s="44">
        <v>45909.393251064816</v>
      </c>
      <c r="W5074" s="11"/>
      <c r="X5074" s="11"/>
      <c r="Y5074" s="45">
        <v>302.0</v>
      </c>
      <c r="Z5074" s="45" t="s">
        <v>20353</v>
      </c>
      <c r="AA5074" s="31"/>
      <c r="AB5074" s="45" t="s">
        <v>20354</v>
      </c>
      <c r="AC5074" s="45"/>
    </row>
    <row r="5075" ht="18.75" customHeight="1">
      <c r="A5075" s="142" t="s">
        <v>20355</v>
      </c>
      <c r="B5075" s="19" t="s">
        <v>3883</v>
      </c>
      <c r="C5075" s="20">
        <v>27.0</v>
      </c>
      <c r="D5075" s="39" t="s">
        <v>20356</v>
      </c>
      <c r="E5075" s="27" t="s">
        <v>72</v>
      </c>
      <c r="F5075" s="27" t="s">
        <v>48</v>
      </c>
      <c r="G5075" s="18" t="s">
        <v>35</v>
      </c>
      <c r="H5075" s="40" t="s">
        <v>35</v>
      </c>
      <c r="I5075" s="37" t="s">
        <v>36</v>
      </c>
      <c r="J5075" s="25" t="s">
        <v>65</v>
      </c>
      <c r="K5075" s="26" t="s">
        <v>38</v>
      </c>
      <c r="L5075" s="72">
        <v>13834.0</v>
      </c>
      <c r="M5075" s="49" t="s">
        <v>50</v>
      </c>
      <c r="N5075" s="42" t="s">
        <v>16408</v>
      </c>
      <c r="O5075" s="67">
        <v>45910.697222222225</v>
      </c>
      <c r="P5075" s="35" t="s">
        <v>20357</v>
      </c>
      <c r="Q5075" s="13" t="s">
        <v>75</v>
      </c>
      <c r="R5075" s="13" t="s">
        <v>75</v>
      </c>
      <c r="S5075" s="13" t="s">
        <v>73</v>
      </c>
      <c r="T5075" s="44">
        <v>45908.60029427083</v>
      </c>
      <c r="U5075" s="44">
        <v>45909.62845859954</v>
      </c>
      <c r="V5075" s="44">
        <v>45910.471716678236</v>
      </c>
      <c r="W5075" s="11"/>
      <c r="X5075" s="11"/>
      <c r="Y5075" s="45">
        <v>302.0</v>
      </c>
      <c r="Z5075" s="45" t="s">
        <v>20358</v>
      </c>
      <c r="AA5075" s="31"/>
      <c r="AB5075" s="45" t="s">
        <v>20359</v>
      </c>
      <c r="AC5075" s="45"/>
    </row>
    <row r="5076" ht="18.75" customHeight="1">
      <c r="A5076" s="18" t="s">
        <v>20360</v>
      </c>
      <c r="B5076" s="19" t="s">
        <v>20361</v>
      </c>
      <c r="C5076" s="20">
        <v>0.0</v>
      </c>
      <c r="D5076" s="39" t="s">
        <v>20362</v>
      </c>
      <c r="E5076" s="27" t="s">
        <v>3441</v>
      </c>
      <c r="F5076" s="27" t="s">
        <v>48</v>
      </c>
      <c r="G5076" s="18" t="s">
        <v>35</v>
      </c>
      <c r="H5076" s="40" t="s">
        <v>35</v>
      </c>
      <c r="I5076" s="37" t="s">
        <v>36</v>
      </c>
      <c r="J5076" s="25" t="s">
        <v>15990</v>
      </c>
      <c r="K5076" s="26" t="s">
        <v>38</v>
      </c>
      <c r="L5076" s="72">
        <v>13812.0</v>
      </c>
      <c r="M5076" s="49" t="s">
        <v>15811</v>
      </c>
      <c r="N5076" s="42"/>
      <c r="O5076" s="67">
        <v>45908.56238944444</v>
      </c>
      <c r="P5076" s="35" t="s">
        <v>20363</v>
      </c>
      <c r="Q5076" s="13" t="s">
        <v>75</v>
      </c>
      <c r="R5076" s="13" t="s">
        <v>75</v>
      </c>
      <c r="S5076" s="13" t="s">
        <v>75</v>
      </c>
      <c r="T5076" s="44">
        <v>45908.559394745374</v>
      </c>
      <c r="U5076" s="44">
        <v>45908.56238944444</v>
      </c>
      <c r="V5076" s="44">
        <v>45908.56238944444</v>
      </c>
      <c r="W5076" s="11"/>
      <c r="X5076" s="11"/>
      <c r="Y5076" s="45"/>
      <c r="Z5076" s="45"/>
      <c r="AA5076" s="31"/>
      <c r="AB5076" s="45" t="s">
        <v>20364</v>
      </c>
      <c r="AC5076" s="45"/>
    </row>
    <row r="5077" ht="18.75" customHeight="1">
      <c r="A5077" s="18" t="s">
        <v>20365</v>
      </c>
      <c r="B5077" s="19" t="s">
        <v>20361</v>
      </c>
      <c r="C5077" s="20">
        <v>0.0</v>
      </c>
      <c r="D5077" s="39" t="s">
        <v>20366</v>
      </c>
      <c r="E5077" s="27" t="s">
        <v>3441</v>
      </c>
      <c r="F5077" s="27" t="s">
        <v>48</v>
      </c>
      <c r="G5077" s="18" t="s">
        <v>35</v>
      </c>
      <c r="H5077" s="40" t="s">
        <v>35</v>
      </c>
      <c r="I5077" s="37" t="s">
        <v>36</v>
      </c>
      <c r="J5077" s="25" t="s">
        <v>15990</v>
      </c>
      <c r="K5077" s="26" t="s">
        <v>38</v>
      </c>
      <c r="L5077" s="72">
        <v>13812.0</v>
      </c>
      <c r="M5077" s="49" t="s">
        <v>15811</v>
      </c>
      <c r="N5077" s="42"/>
      <c r="O5077" s="67">
        <v>45908.5625028125</v>
      </c>
      <c r="P5077" s="35" t="s">
        <v>20363</v>
      </c>
      <c r="Q5077" s="13" t="s">
        <v>75</v>
      </c>
      <c r="R5077" s="13" t="s">
        <v>75</v>
      </c>
      <c r="S5077" s="13" t="s">
        <v>75</v>
      </c>
      <c r="T5077" s="44">
        <v>45908.559446458334</v>
      </c>
      <c r="U5077" s="44">
        <v>45908.5625028125</v>
      </c>
      <c r="V5077" s="44">
        <v>45908.5625028125</v>
      </c>
      <c r="W5077" s="11"/>
      <c r="X5077" s="11"/>
      <c r="Y5077" s="45"/>
      <c r="Z5077" s="45"/>
      <c r="AA5077" s="31"/>
      <c r="AB5077" s="45" t="s">
        <v>20367</v>
      </c>
      <c r="AC5077" s="45"/>
    </row>
    <row r="5078" ht="18.75" customHeight="1">
      <c r="A5078" s="18" t="s">
        <v>20368</v>
      </c>
      <c r="B5078" s="19" t="s">
        <v>122</v>
      </c>
      <c r="C5078" s="20">
        <v>34.0</v>
      </c>
      <c r="D5078" s="39" t="s">
        <v>20369</v>
      </c>
      <c r="E5078" s="27" t="s">
        <v>47</v>
      </c>
      <c r="F5078" s="27" t="s">
        <v>48</v>
      </c>
      <c r="G5078" s="18" t="s">
        <v>35</v>
      </c>
      <c r="H5078" s="40" t="s">
        <v>35</v>
      </c>
      <c r="I5078" s="37" t="s">
        <v>36</v>
      </c>
      <c r="J5078" s="25" t="s">
        <v>49</v>
      </c>
      <c r="K5078" s="26" t="s">
        <v>38</v>
      </c>
      <c r="L5078" s="72">
        <v>13842.0</v>
      </c>
      <c r="M5078" s="49" t="s">
        <v>50</v>
      </c>
      <c r="N5078" s="42" t="s">
        <v>18561</v>
      </c>
      <c r="O5078" s="67">
        <v>45911.64431300926</v>
      </c>
      <c r="P5078" s="35" t="s">
        <v>20370</v>
      </c>
      <c r="Q5078" s="13" t="s">
        <v>75</v>
      </c>
      <c r="R5078" s="13" t="s">
        <v>75</v>
      </c>
      <c r="S5078" s="13" t="s">
        <v>73</v>
      </c>
      <c r="T5078" s="44">
        <v>45908.570344803244</v>
      </c>
      <c r="U5078" s="44">
        <v>45911.494489143515</v>
      </c>
      <c r="V5078" s="44">
        <v>45911.50034924768</v>
      </c>
      <c r="W5078" s="11"/>
      <c r="X5078" s="11"/>
      <c r="Y5078" s="45">
        <v>302.0</v>
      </c>
      <c r="Z5078" s="45" t="s">
        <v>20371</v>
      </c>
      <c r="AA5078" s="31"/>
      <c r="AB5078" s="45" t="s">
        <v>20372</v>
      </c>
      <c r="AC5078" s="45"/>
    </row>
    <row r="5079" ht="18.75" customHeight="1">
      <c r="A5079" s="18" t="s">
        <v>20373</v>
      </c>
      <c r="B5079" s="19" t="s">
        <v>122</v>
      </c>
      <c r="C5079" s="20">
        <v>34.0</v>
      </c>
      <c r="D5079" s="39" t="s">
        <v>20374</v>
      </c>
      <c r="E5079" s="27" t="s">
        <v>47</v>
      </c>
      <c r="F5079" s="27" t="s">
        <v>48</v>
      </c>
      <c r="G5079" s="18" t="s">
        <v>35</v>
      </c>
      <c r="H5079" s="40" t="s">
        <v>35</v>
      </c>
      <c r="I5079" s="37" t="s">
        <v>36</v>
      </c>
      <c r="J5079" s="25" t="s">
        <v>49</v>
      </c>
      <c r="K5079" s="26" t="s">
        <v>38</v>
      </c>
      <c r="L5079" s="72">
        <v>13842.0</v>
      </c>
      <c r="M5079" s="49" t="s">
        <v>50</v>
      </c>
      <c r="N5079" s="42" t="s">
        <v>18561</v>
      </c>
      <c r="O5079" s="67">
        <v>45911.64426302083</v>
      </c>
      <c r="P5079" s="35" t="s">
        <v>20370</v>
      </c>
      <c r="Q5079" s="13" t="s">
        <v>75</v>
      </c>
      <c r="R5079" s="13" t="s">
        <v>75</v>
      </c>
      <c r="S5079" s="13" t="s">
        <v>73</v>
      </c>
      <c r="T5079" s="44">
        <v>45908.570414988426</v>
      </c>
      <c r="U5079" s="44">
        <v>45911.49446732639</v>
      </c>
      <c r="V5079" s="44">
        <v>45911.50027237269</v>
      </c>
      <c r="W5079" s="11"/>
      <c r="X5079" s="11"/>
      <c r="Y5079" s="45">
        <v>302.0</v>
      </c>
      <c r="Z5079" s="45" t="s">
        <v>20375</v>
      </c>
      <c r="AA5079" s="31"/>
      <c r="AB5079" s="45" t="s">
        <v>20376</v>
      </c>
      <c r="AC5079" s="45"/>
    </row>
    <row r="5080" ht="18.75" customHeight="1">
      <c r="A5080" s="142" t="s">
        <v>20377</v>
      </c>
      <c r="B5080" s="19" t="s">
        <v>11733</v>
      </c>
      <c r="C5080" s="20">
        <v>0.0</v>
      </c>
      <c r="D5080" s="39" t="s">
        <v>20378</v>
      </c>
      <c r="E5080" s="27" t="s">
        <v>3441</v>
      </c>
      <c r="F5080" s="27" t="s">
        <v>48</v>
      </c>
      <c r="G5080" s="18" t="s">
        <v>35</v>
      </c>
      <c r="H5080" s="40" t="s">
        <v>35</v>
      </c>
      <c r="I5080" s="37" t="s">
        <v>36</v>
      </c>
      <c r="J5080" s="25" t="s">
        <v>49</v>
      </c>
      <c r="K5080" s="26" t="s">
        <v>38</v>
      </c>
      <c r="L5080" s="72">
        <v>13820.0</v>
      </c>
      <c r="M5080" s="49" t="s">
        <v>50</v>
      </c>
      <c r="N5080" s="42" t="s">
        <v>5936</v>
      </c>
      <c r="O5080" s="67">
        <v>45909.67414403935</v>
      </c>
      <c r="P5080" s="35" t="s">
        <v>20379</v>
      </c>
      <c r="Q5080" s="13" t="s">
        <v>75</v>
      </c>
      <c r="R5080" s="13" t="s">
        <v>75</v>
      </c>
      <c r="S5080" s="13" t="s">
        <v>73</v>
      </c>
      <c r="T5080" s="44">
        <v>45908.5709636574</v>
      </c>
      <c r="U5080" s="44">
        <v>45908.57106446759</v>
      </c>
      <c r="V5080" s="44">
        <v>45909.3865653588</v>
      </c>
      <c r="W5080" s="11"/>
      <c r="X5080" s="11"/>
      <c r="Y5080" s="45">
        <v>302.0</v>
      </c>
      <c r="Z5080" s="45" t="s">
        <v>20380</v>
      </c>
      <c r="AA5080" s="31"/>
      <c r="AB5080" s="45" t="s">
        <v>20381</v>
      </c>
      <c r="AC5080" s="45"/>
    </row>
    <row r="5081" ht="18.75" customHeight="1">
      <c r="A5081" s="142" t="s">
        <v>20382</v>
      </c>
      <c r="B5081" s="19" t="s">
        <v>5507</v>
      </c>
      <c r="C5081" s="20">
        <v>90.0</v>
      </c>
      <c r="D5081" s="39" t="s">
        <v>20383</v>
      </c>
      <c r="E5081" s="27" t="s">
        <v>91</v>
      </c>
      <c r="F5081" s="27" t="s">
        <v>48</v>
      </c>
      <c r="G5081" s="18" t="s">
        <v>35</v>
      </c>
      <c r="H5081" s="40" t="s">
        <v>35</v>
      </c>
      <c r="I5081" s="37" t="s">
        <v>36</v>
      </c>
      <c r="J5081" s="25" t="s">
        <v>15990</v>
      </c>
      <c r="K5081" s="26" t="s">
        <v>38</v>
      </c>
      <c r="L5081" s="72">
        <v>13822.0</v>
      </c>
      <c r="M5081" s="49" t="s">
        <v>15811</v>
      </c>
      <c r="N5081" s="42"/>
      <c r="O5081" s="67">
        <v>45909.41186759259</v>
      </c>
      <c r="P5081" s="35" t="s">
        <v>20384</v>
      </c>
      <c r="Q5081" s="13" t="s">
        <v>75</v>
      </c>
      <c r="R5081" s="13" t="s">
        <v>75</v>
      </c>
      <c r="S5081" s="13" t="s">
        <v>75</v>
      </c>
      <c r="T5081" s="44">
        <v>45908.601546736114</v>
      </c>
      <c r="U5081" s="44">
        <v>45909.41186759259</v>
      </c>
      <c r="V5081" s="44">
        <v>45909.41186759259</v>
      </c>
      <c r="W5081" s="11"/>
      <c r="X5081" s="11"/>
      <c r="Y5081" s="45"/>
      <c r="Z5081" s="45"/>
      <c r="AA5081" s="31"/>
      <c r="AB5081" s="45" t="s">
        <v>20385</v>
      </c>
      <c r="AC5081" s="45"/>
    </row>
    <row r="5082" ht="18.75" customHeight="1">
      <c r="A5082" s="142" t="s">
        <v>20386</v>
      </c>
      <c r="B5082" s="19" t="s">
        <v>4215</v>
      </c>
      <c r="C5082" s="20">
        <v>90.0</v>
      </c>
      <c r="D5082" s="39" t="s">
        <v>20387</v>
      </c>
      <c r="E5082" s="27" t="s">
        <v>91</v>
      </c>
      <c r="F5082" s="27" t="s">
        <v>48</v>
      </c>
      <c r="G5082" s="18" t="s">
        <v>35</v>
      </c>
      <c r="H5082" s="40" t="s">
        <v>35</v>
      </c>
      <c r="I5082" s="37" t="s">
        <v>36</v>
      </c>
      <c r="J5082" s="25" t="s">
        <v>420</v>
      </c>
      <c r="K5082" s="26" t="s">
        <v>38</v>
      </c>
      <c r="L5082" s="72">
        <v>13858.0</v>
      </c>
      <c r="M5082" s="49" t="s">
        <v>50</v>
      </c>
      <c r="N5082" s="42" t="s">
        <v>4031</v>
      </c>
      <c r="O5082" s="67">
        <v>45915.67248248843</v>
      </c>
      <c r="P5082" s="35" t="s">
        <v>20388</v>
      </c>
      <c r="Q5082" s="13" t="s">
        <v>75</v>
      </c>
      <c r="R5082" s="13" t="s">
        <v>75</v>
      </c>
      <c r="S5082" s="13" t="s">
        <v>73</v>
      </c>
      <c r="T5082" s="44">
        <v>45908.61212496528</v>
      </c>
      <c r="U5082" s="44">
        <v>45912.7117962037</v>
      </c>
      <c r="V5082" s="44">
        <v>45915.43996482639</v>
      </c>
      <c r="W5082" s="11"/>
      <c r="X5082" s="11"/>
      <c r="Y5082" s="45">
        <v>302.0</v>
      </c>
      <c r="Z5082" s="45" t="s">
        <v>20389</v>
      </c>
      <c r="AA5082" s="31"/>
      <c r="AB5082" s="45" t="s">
        <v>20390</v>
      </c>
      <c r="AC5082" s="45"/>
    </row>
    <row r="5083" ht="18.75" customHeight="1">
      <c r="A5083" s="142" t="s">
        <v>20391</v>
      </c>
      <c r="B5083" s="19" t="s">
        <v>20392</v>
      </c>
      <c r="C5083" s="20">
        <v>34.0</v>
      </c>
      <c r="D5083" s="39" t="s">
        <v>20393</v>
      </c>
      <c r="E5083" s="27" t="s">
        <v>47</v>
      </c>
      <c r="F5083" s="27" t="s">
        <v>48</v>
      </c>
      <c r="G5083" s="18" t="s">
        <v>35</v>
      </c>
      <c r="H5083" s="40" t="s">
        <v>35</v>
      </c>
      <c r="I5083" s="37" t="s">
        <v>36</v>
      </c>
      <c r="J5083" s="25" t="s">
        <v>65</v>
      </c>
      <c r="K5083" s="26" t="s">
        <v>38</v>
      </c>
      <c r="L5083" s="72">
        <v>13947.0</v>
      </c>
      <c r="M5083" s="49" t="s">
        <v>50</v>
      </c>
      <c r="N5083" s="42" t="s">
        <v>16408</v>
      </c>
      <c r="O5083" s="67">
        <v>45923.68119157407</v>
      </c>
      <c r="P5083" s="35" t="s">
        <v>20394</v>
      </c>
      <c r="Q5083" s="13" t="s">
        <v>75</v>
      </c>
      <c r="R5083" s="13" t="s">
        <v>75</v>
      </c>
      <c r="S5083" s="13" t="s">
        <v>73</v>
      </c>
      <c r="T5083" s="44">
        <v>45908.616416770834</v>
      </c>
      <c r="U5083" s="44">
        <v>45922.64820306713</v>
      </c>
      <c r="V5083" s="44">
        <v>45923.410999907406</v>
      </c>
      <c r="W5083" s="11"/>
      <c r="X5083" s="11"/>
      <c r="Y5083" s="45">
        <v>302.0</v>
      </c>
      <c r="Z5083" s="45" t="s">
        <v>20395</v>
      </c>
      <c r="AA5083" s="31"/>
      <c r="AB5083" s="45" t="s">
        <v>20396</v>
      </c>
      <c r="AC5083" s="45"/>
    </row>
    <row r="5084" ht="18.75" customHeight="1">
      <c r="A5084" s="142" t="s">
        <v>20397</v>
      </c>
      <c r="B5084" s="19" t="s">
        <v>7511</v>
      </c>
      <c r="C5084" s="20">
        <v>27.0</v>
      </c>
      <c r="D5084" s="39" t="s">
        <v>20398</v>
      </c>
      <c r="E5084" s="27" t="s">
        <v>72</v>
      </c>
      <c r="F5084" s="27" t="s">
        <v>48</v>
      </c>
      <c r="G5084" s="18" t="s">
        <v>35</v>
      </c>
      <c r="H5084" s="40" t="s">
        <v>35</v>
      </c>
      <c r="I5084" s="37" t="s">
        <v>36</v>
      </c>
      <c r="J5084" s="25" t="s">
        <v>49</v>
      </c>
      <c r="K5084" s="26" t="s">
        <v>38</v>
      </c>
      <c r="L5084" s="72">
        <v>13833.0</v>
      </c>
      <c r="M5084" s="49" t="s">
        <v>50</v>
      </c>
      <c r="N5084" s="42" t="s">
        <v>5936</v>
      </c>
      <c r="O5084" s="67">
        <v>45910.59188800926</v>
      </c>
      <c r="P5084" s="35" t="s">
        <v>20399</v>
      </c>
      <c r="Q5084" s="13" t="s">
        <v>75</v>
      </c>
      <c r="R5084" s="13" t="s">
        <v>75</v>
      </c>
      <c r="S5084" s="13" t="s">
        <v>73</v>
      </c>
      <c r="T5084" s="44">
        <v>45909.48067605324</v>
      </c>
      <c r="U5084" s="44">
        <v>45909.681441134264</v>
      </c>
      <c r="V5084" s="44">
        <v>45910.4715991088</v>
      </c>
      <c r="W5084" s="11"/>
      <c r="X5084" s="11"/>
      <c r="Y5084" s="45">
        <v>302.0</v>
      </c>
      <c r="Z5084" s="45" t="s">
        <v>20400</v>
      </c>
      <c r="AA5084" s="31"/>
      <c r="AB5084" s="45" t="s">
        <v>20401</v>
      </c>
      <c r="AC5084" s="45"/>
    </row>
    <row r="5085" ht="18.75" customHeight="1">
      <c r="A5085" s="142" t="s">
        <v>20402</v>
      </c>
      <c r="B5085" s="19" t="s">
        <v>3289</v>
      </c>
      <c r="C5085" s="20">
        <v>27.0</v>
      </c>
      <c r="D5085" s="39" t="s">
        <v>20403</v>
      </c>
      <c r="E5085" s="27" t="s">
        <v>72</v>
      </c>
      <c r="F5085" s="27" t="s">
        <v>48</v>
      </c>
      <c r="G5085" s="18" t="s">
        <v>35</v>
      </c>
      <c r="H5085" s="40" t="s">
        <v>35</v>
      </c>
      <c r="I5085" s="37" t="s">
        <v>36</v>
      </c>
      <c r="J5085" s="25" t="s">
        <v>92</v>
      </c>
      <c r="K5085" s="26" t="s">
        <v>38</v>
      </c>
      <c r="L5085" s="72">
        <v>13828.0</v>
      </c>
      <c r="M5085" s="49" t="s">
        <v>50</v>
      </c>
      <c r="N5085" s="42" t="s">
        <v>16512</v>
      </c>
      <c r="O5085" s="67">
        <v>45909.65938162037</v>
      </c>
      <c r="P5085" s="35" t="s">
        <v>20404</v>
      </c>
      <c r="Q5085" s="13" t="s">
        <v>75</v>
      </c>
      <c r="R5085" s="13" t="s">
        <v>75</v>
      </c>
      <c r="S5085" s="13" t="s">
        <v>73</v>
      </c>
      <c r="T5085" s="44">
        <v>45909.653259189814</v>
      </c>
      <c r="U5085" s="44">
        <v>45909.6532922801</v>
      </c>
      <c r="V5085" s="44">
        <v>45909.65731947917</v>
      </c>
      <c r="W5085" s="11"/>
      <c r="X5085" s="11"/>
      <c r="Y5085" s="45">
        <v>302.0</v>
      </c>
      <c r="Z5085" s="45" t="s">
        <v>20405</v>
      </c>
      <c r="AA5085" s="31"/>
      <c r="AB5085" s="45" t="s">
        <v>20406</v>
      </c>
      <c r="AC5085" s="45"/>
    </row>
    <row r="5086" ht="18.75" customHeight="1">
      <c r="A5086" s="142" t="s">
        <v>20407</v>
      </c>
      <c r="B5086" s="19" t="s">
        <v>3289</v>
      </c>
      <c r="C5086" s="20">
        <v>90.0</v>
      </c>
      <c r="D5086" s="39" t="s">
        <v>20408</v>
      </c>
      <c r="E5086" s="27" t="s">
        <v>91</v>
      </c>
      <c r="F5086" s="27" t="s">
        <v>48</v>
      </c>
      <c r="G5086" s="18" t="s">
        <v>35</v>
      </c>
      <c r="H5086" s="40" t="s">
        <v>35</v>
      </c>
      <c r="I5086" s="37" t="s">
        <v>36</v>
      </c>
      <c r="J5086" s="25" t="s">
        <v>92</v>
      </c>
      <c r="K5086" s="26" t="s">
        <v>38</v>
      </c>
      <c r="L5086" s="72">
        <v>13829.0</v>
      </c>
      <c r="M5086" s="49" t="s">
        <v>50</v>
      </c>
      <c r="N5086" s="42" t="s">
        <v>16512</v>
      </c>
      <c r="O5086" s="67">
        <v>45909.67732771991</v>
      </c>
      <c r="P5086" s="35" t="s">
        <v>20409</v>
      </c>
      <c r="Q5086" s="13" t="s">
        <v>75</v>
      </c>
      <c r="R5086" s="13" t="s">
        <v>75</v>
      </c>
      <c r="S5086" s="13" t="s">
        <v>50</v>
      </c>
      <c r="T5086" s="44">
        <v>45909.660476296296</v>
      </c>
      <c r="U5086" s="44">
        <v>45909.66049271991</v>
      </c>
      <c r="V5086" s="44">
        <v>45909.676049155096</v>
      </c>
      <c r="W5086" s="11"/>
      <c r="X5086" s="11"/>
      <c r="Y5086" s="45">
        <v>302.0</v>
      </c>
      <c r="Z5086" s="45" t="s">
        <v>20410</v>
      </c>
      <c r="AA5086" s="31"/>
      <c r="AB5086" s="45" t="s">
        <v>20411</v>
      </c>
      <c r="AC5086" s="45"/>
    </row>
    <row r="5087" ht="18.75" customHeight="1">
      <c r="A5087" s="142" t="s">
        <v>20412</v>
      </c>
      <c r="B5087" s="19" t="s">
        <v>8328</v>
      </c>
      <c r="C5087" s="20">
        <v>0.0</v>
      </c>
      <c r="D5087" s="179">
        <v>20313.0</v>
      </c>
      <c r="E5087" s="27" t="s">
        <v>17892</v>
      </c>
      <c r="F5087" s="27" t="s">
        <v>48</v>
      </c>
      <c r="G5087" s="18" t="s">
        <v>35</v>
      </c>
      <c r="H5087" s="40" t="s">
        <v>35</v>
      </c>
      <c r="I5087" s="37" t="s">
        <v>36</v>
      </c>
      <c r="J5087" s="25" t="s">
        <v>65</v>
      </c>
      <c r="K5087" s="26" t="s">
        <v>38</v>
      </c>
      <c r="L5087" s="25">
        <v>14002.0</v>
      </c>
      <c r="M5087" s="49" t="s">
        <v>50</v>
      </c>
      <c r="N5087" s="42" t="s">
        <v>16408</v>
      </c>
      <c r="O5087" s="67">
        <v>45929.62946336805</v>
      </c>
      <c r="P5087" s="35" t="s">
        <v>20413</v>
      </c>
      <c r="Q5087" s="13" t="s">
        <v>75</v>
      </c>
      <c r="R5087" s="13" t="s">
        <v>75</v>
      </c>
      <c r="S5087" s="13" t="s">
        <v>9620</v>
      </c>
      <c r="T5087" s="44">
        <v>45909.66201741898</v>
      </c>
      <c r="U5087" s="44">
        <v>45918.44685466435</v>
      </c>
      <c r="V5087" s="44">
        <v>45926.54542815972</v>
      </c>
      <c r="W5087" s="11"/>
      <c r="X5087" s="11"/>
      <c r="Y5087" s="45">
        <v>302.0</v>
      </c>
      <c r="Z5087" s="45" t="s">
        <v>20414</v>
      </c>
      <c r="AA5087" s="31"/>
      <c r="AB5087" s="45" t="s">
        <v>20415</v>
      </c>
      <c r="AC5087" s="45"/>
    </row>
    <row r="5088" ht="18.75" customHeight="1">
      <c r="A5088" s="142" t="s">
        <v>20416</v>
      </c>
      <c r="B5088" s="19" t="s">
        <v>10396</v>
      </c>
      <c r="C5088" s="20">
        <v>0.0</v>
      </c>
      <c r="D5088" s="39" t="s">
        <v>20417</v>
      </c>
      <c r="E5088" s="27" t="s">
        <v>3441</v>
      </c>
      <c r="F5088" s="27" t="s">
        <v>48</v>
      </c>
      <c r="G5088" s="18" t="s">
        <v>35</v>
      </c>
      <c r="H5088" s="40" t="s">
        <v>35</v>
      </c>
      <c r="I5088" s="37" t="s">
        <v>36</v>
      </c>
      <c r="J5088" s="34" t="s">
        <v>18078</v>
      </c>
      <c r="K5088" s="26" t="s">
        <v>38</v>
      </c>
      <c r="L5088" s="72">
        <v>13860.0</v>
      </c>
      <c r="M5088" s="49" t="s">
        <v>73</v>
      </c>
      <c r="N5088" s="42" t="s">
        <v>20418</v>
      </c>
      <c r="O5088" s="209">
        <v>45917.68130787037</v>
      </c>
      <c r="P5088" s="35" t="s">
        <v>14372</v>
      </c>
      <c r="Q5088" s="13" t="s">
        <v>75</v>
      </c>
      <c r="R5088" s="13" t="s">
        <v>75</v>
      </c>
      <c r="S5088" s="13" t="s">
        <v>73</v>
      </c>
      <c r="T5088" s="44">
        <v>45909.664319131945</v>
      </c>
      <c r="U5088" s="44">
        <v>45912.60046427083</v>
      </c>
      <c r="V5088" s="44">
        <v>45915.44250618055</v>
      </c>
      <c r="W5088" s="11"/>
      <c r="X5088" s="11"/>
      <c r="Y5088" s="45">
        <v>302.0</v>
      </c>
      <c r="Z5088" s="45" t="s">
        <v>20419</v>
      </c>
      <c r="AA5088" s="31"/>
      <c r="AB5088" s="45" t="s">
        <v>20420</v>
      </c>
      <c r="AC5088" s="45"/>
    </row>
    <row r="5089" ht="18.75" customHeight="1">
      <c r="A5089" s="142" t="s">
        <v>20421</v>
      </c>
      <c r="B5089" s="19" t="s">
        <v>4941</v>
      </c>
      <c r="C5089" s="20">
        <v>11.0</v>
      </c>
      <c r="D5089" s="39" t="s">
        <v>20422</v>
      </c>
      <c r="E5089" s="27" t="s">
        <v>112</v>
      </c>
      <c r="F5089" s="27" t="s">
        <v>48</v>
      </c>
      <c r="G5089" s="18" t="s">
        <v>35</v>
      </c>
      <c r="H5089" s="40" t="s">
        <v>35</v>
      </c>
      <c r="I5089" s="37" t="s">
        <v>36</v>
      </c>
      <c r="J5089" s="25" t="s">
        <v>92</v>
      </c>
      <c r="K5089" s="26" t="s">
        <v>38</v>
      </c>
      <c r="L5089" s="72">
        <v>13835.0</v>
      </c>
      <c r="M5089" s="49" t="s">
        <v>50</v>
      </c>
      <c r="N5089" s="42" t="s">
        <v>20423</v>
      </c>
      <c r="O5089" s="67">
        <v>45911.39825385417</v>
      </c>
      <c r="P5089" s="35" t="s">
        <v>20424</v>
      </c>
      <c r="Q5089" s="13" t="s">
        <v>75</v>
      </c>
      <c r="R5089" s="13" t="s">
        <v>75</v>
      </c>
      <c r="S5089" s="13" t="s">
        <v>73</v>
      </c>
      <c r="T5089" s="44">
        <v>45909.670195300925</v>
      </c>
      <c r="U5089" s="44">
        <v>45910.508080416665</v>
      </c>
      <c r="V5089" s="44">
        <v>45910.54108248843</v>
      </c>
      <c r="W5089" s="11"/>
      <c r="X5089" s="11"/>
      <c r="Y5089" s="45">
        <v>302.0</v>
      </c>
      <c r="Z5089" s="45" t="s">
        <v>20425</v>
      </c>
      <c r="AA5089" s="31"/>
      <c r="AB5089" s="45" t="s">
        <v>20426</v>
      </c>
      <c r="AC5089" s="45"/>
    </row>
    <row r="5090" ht="18.75" customHeight="1">
      <c r="A5090" s="142" t="s">
        <v>20427</v>
      </c>
      <c r="B5090" s="19" t="s">
        <v>5674</v>
      </c>
      <c r="C5090" s="20">
        <v>34.0</v>
      </c>
      <c r="D5090" s="39" t="s">
        <v>20428</v>
      </c>
      <c r="E5090" s="27" t="s">
        <v>47</v>
      </c>
      <c r="F5090" s="27" t="s">
        <v>48</v>
      </c>
      <c r="G5090" s="18" t="s">
        <v>35</v>
      </c>
      <c r="H5090" s="40" t="s">
        <v>35</v>
      </c>
      <c r="I5090" s="37" t="s">
        <v>36</v>
      </c>
      <c r="J5090" s="25" t="s">
        <v>65</v>
      </c>
      <c r="K5090" s="26" t="s">
        <v>38</v>
      </c>
      <c r="L5090" s="72">
        <v>13832.0</v>
      </c>
      <c r="M5090" s="49" t="s">
        <v>50</v>
      </c>
      <c r="N5090" s="42" t="s">
        <v>16408</v>
      </c>
      <c r="O5090" s="67">
        <v>45910.697222222225</v>
      </c>
      <c r="P5090" s="35" t="s">
        <v>20429</v>
      </c>
      <c r="Q5090" s="13" t="s">
        <v>75</v>
      </c>
      <c r="R5090" s="13" t="s">
        <v>75</v>
      </c>
      <c r="S5090" s="13" t="s">
        <v>73</v>
      </c>
      <c r="T5090" s="44">
        <v>45909.66924375</v>
      </c>
      <c r="U5090" s="44">
        <v>45910.41890950232</v>
      </c>
      <c r="V5090" s="44">
        <v>45910.47178741898</v>
      </c>
      <c r="W5090" s="11"/>
      <c r="X5090" s="11"/>
      <c r="Y5090" s="45">
        <v>302.0</v>
      </c>
      <c r="Z5090" s="45" t="s">
        <v>20430</v>
      </c>
      <c r="AA5090" s="31"/>
      <c r="AB5090" s="45" t="s">
        <v>20431</v>
      </c>
      <c r="AC5090" s="45"/>
    </row>
    <row r="5091" ht="18.75" customHeight="1">
      <c r="A5091" s="142" t="s">
        <v>20432</v>
      </c>
      <c r="B5091" s="19" t="s">
        <v>4352</v>
      </c>
      <c r="C5091" s="20">
        <v>27.0</v>
      </c>
      <c r="D5091" s="39"/>
      <c r="E5091" s="27" t="s">
        <v>72</v>
      </c>
      <c r="F5091" s="27" t="s">
        <v>48</v>
      </c>
      <c r="G5091" s="18" t="s">
        <v>35</v>
      </c>
      <c r="H5091" s="40" t="s">
        <v>35</v>
      </c>
      <c r="I5091" s="37" t="s">
        <v>17277</v>
      </c>
      <c r="J5091" s="25" t="s">
        <v>49</v>
      </c>
      <c r="K5091" s="26" t="s">
        <v>38</v>
      </c>
      <c r="L5091" s="25"/>
      <c r="M5091" s="49"/>
      <c r="N5091" s="42"/>
      <c r="O5091" s="68"/>
      <c r="P5091" s="35" t="s">
        <v>20433</v>
      </c>
      <c r="Q5091" s="13" t="s">
        <v>75</v>
      </c>
      <c r="R5091" s="13"/>
      <c r="S5091" s="13"/>
      <c r="T5091" s="44">
        <v>45910.42378055556</v>
      </c>
      <c r="U5091" s="13"/>
      <c r="V5091" s="13"/>
      <c r="W5091" s="11"/>
      <c r="X5091" s="11"/>
      <c r="Y5091" s="45"/>
      <c r="Z5091" s="45"/>
      <c r="AA5091" s="31"/>
      <c r="AB5091" s="45" t="s">
        <v>20434</v>
      </c>
      <c r="AC5091" s="45"/>
    </row>
    <row r="5092" ht="18.75" customHeight="1">
      <c r="A5092" s="142" t="s">
        <v>20435</v>
      </c>
      <c r="B5092" s="19" t="s">
        <v>4352</v>
      </c>
      <c r="C5092" s="20">
        <v>90.0</v>
      </c>
      <c r="D5092" s="39"/>
      <c r="E5092" s="27" t="s">
        <v>91</v>
      </c>
      <c r="F5092" s="27" t="s">
        <v>48</v>
      </c>
      <c r="G5092" s="18" t="s">
        <v>35</v>
      </c>
      <c r="H5092" s="40" t="s">
        <v>35</v>
      </c>
      <c r="I5092" s="37" t="s">
        <v>17277</v>
      </c>
      <c r="J5092" s="25" t="s">
        <v>49</v>
      </c>
      <c r="K5092" s="26" t="s">
        <v>38</v>
      </c>
      <c r="L5092" s="25"/>
      <c r="M5092" s="49"/>
      <c r="N5092" s="42"/>
      <c r="O5092" s="68"/>
      <c r="P5092" s="35" t="s">
        <v>20436</v>
      </c>
      <c r="Q5092" s="13" t="s">
        <v>75</v>
      </c>
      <c r="R5092" s="13"/>
      <c r="S5092" s="13" t="s">
        <v>75</v>
      </c>
      <c r="T5092" s="44">
        <v>45910.424659386576</v>
      </c>
      <c r="U5092" s="13"/>
      <c r="V5092" s="13"/>
      <c r="W5092" s="11"/>
      <c r="X5092" s="11"/>
      <c r="Y5092" s="45"/>
      <c r="Z5092" s="45"/>
      <c r="AA5092" s="31"/>
      <c r="AB5092" s="45" t="s">
        <v>20437</v>
      </c>
      <c r="AC5092" s="45"/>
    </row>
    <row r="5093" ht="18.75" customHeight="1">
      <c r="A5093" s="142" t="s">
        <v>20438</v>
      </c>
      <c r="B5093" s="19" t="s">
        <v>4352</v>
      </c>
      <c r="C5093" s="20">
        <v>90.0</v>
      </c>
      <c r="D5093" s="39"/>
      <c r="E5093" s="27" t="s">
        <v>91</v>
      </c>
      <c r="F5093" s="27" t="s">
        <v>48</v>
      </c>
      <c r="G5093" s="18" t="s">
        <v>35</v>
      </c>
      <c r="H5093" s="40" t="s">
        <v>35</v>
      </c>
      <c r="I5093" s="37" t="s">
        <v>17277</v>
      </c>
      <c r="J5093" s="25" t="s">
        <v>49</v>
      </c>
      <c r="K5093" s="26" t="s">
        <v>38</v>
      </c>
      <c r="L5093" s="25"/>
      <c r="M5093" s="49"/>
      <c r="N5093" s="42"/>
      <c r="O5093" s="68"/>
      <c r="P5093" s="35" t="s">
        <v>20439</v>
      </c>
      <c r="Q5093" s="13" t="s">
        <v>75</v>
      </c>
      <c r="R5093" s="13"/>
      <c r="S5093" s="13" t="s">
        <v>75</v>
      </c>
      <c r="T5093" s="44">
        <v>45910.42504512731</v>
      </c>
      <c r="U5093" s="13"/>
      <c r="V5093" s="13"/>
      <c r="W5093" s="11"/>
      <c r="X5093" s="11"/>
      <c r="Y5093" s="45"/>
      <c r="Z5093" s="45"/>
      <c r="AA5093" s="31"/>
      <c r="AB5093" s="45" t="s">
        <v>20440</v>
      </c>
      <c r="AC5093" s="45"/>
    </row>
    <row r="5094" ht="18.75" customHeight="1">
      <c r="A5094" s="18" t="s">
        <v>20441</v>
      </c>
      <c r="B5094" s="19" t="s">
        <v>9895</v>
      </c>
      <c r="C5094" s="20">
        <v>1.0</v>
      </c>
      <c r="D5094" s="39" t="s">
        <v>20442</v>
      </c>
      <c r="E5094" s="27" t="s">
        <v>3395</v>
      </c>
      <c r="F5094" s="27" t="s">
        <v>48</v>
      </c>
      <c r="G5094" s="18" t="s">
        <v>35</v>
      </c>
      <c r="H5094" s="40" t="s">
        <v>35</v>
      </c>
      <c r="I5094" s="37" t="s">
        <v>36</v>
      </c>
      <c r="J5094" s="25" t="s">
        <v>49</v>
      </c>
      <c r="K5094" s="26" t="s">
        <v>19685</v>
      </c>
      <c r="L5094" s="25">
        <v>14223.0</v>
      </c>
      <c r="M5094" s="49" t="s">
        <v>50</v>
      </c>
      <c r="N5094" s="42" t="s">
        <v>9953</v>
      </c>
      <c r="O5094" s="67">
        <v>45950.653397754635</v>
      </c>
      <c r="P5094" s="35" t="s">
        <v>20443</v>
      </c>
      <c r="Q5094" s="13" t="s">
        <v>75</v>
      </c>
      <c r="R5094" s="13" t="s">
        <v>75</v>
      </c>
      <c r="S5094" s="13" t="s">
        <v>73</v>
      </c>
      <c r="T5094" s="44">
        <v>45910.427080497684</v>
      </c>
      <c r="U5094" s="44">
        <v>45910.43582564815</v>
      </c>
      <c r="V5094" s="44">
        <v>45950.54429534722</v>
      </c>
      <c r="W5094" s="11"/>
      <c r="X5094" s="148">
        <v>45940.0</v>
      </c>
      <c r="Y5094" s="45">
        <v>302.0</v>
      </c>
      <c r="Z5094" s="45" t="s">
        <v>20444</v>
      </c>
      <c r="AA5094" s="31"/>
      <c r="AB5094" s="45" t="s">
        <v>20445</v>
      </c>
      <c r="AC5094" s="45"/>
    </row>
    <row r="5095" ht="18.75" customHeight="1">
      <c r="A5095" s="18" t="s">
        <v>20446</v>
      </c>
      <c r="B5095" s="19" t="s">
        <v>9895</v>
      </c>
      <c r="C5095" s="20">
        <v>1.0</v>
      </c>
      <c r="D5095" s="39" t="s">
        <v>20447</v>
      </c>
      <c r="E5095" s="27" t="s">
        <v>3395</v>
      </c>
      <c r="F5095" s="27" t="s">
        <v>48</v>
      </c>
      <c r="G5095" s="18" t="s">
        <v>35</v>
      </c>
      <c r="H5095" s="40" t="s">
        <v>35</v>
      </c>
      <c r="I5095" s="37" t="s">
        <v>36</v>
      </c>
      <c r="J5095" s="25" t="s">
        <v>49</v>
      </c>
      <c r="K5095" s="26" t="s">
        <v>19685</v>
      </c>
      <c r="L5095" s="25">
        <v>14223.0</v>
      </c>
      <c r="M5095" s="49" t="s">
        <v>50</v>
      </c>
      <c r="N5095" s="42" t="s">
        <v>9953</v>
      </c>
      <c r="O5095" s="67">
        <v>45950.65344041667</v>
      </c>
      <c r="P5095" s="35" t="s">
        <v>20443</v>
      </c>
      <c r="Q5095" s="13" t="s">
        <v>75</v>
      </c>
      <c r="R5095" s="13" t="s">
        <v>75</v>
      </c>
      <c r="S5095" s="13" t="s">
        <v>73</v>
      </c>
      <c r="T5095" s="44">
        <v>45910.42723857639</v>
      </c>
      <c r="U5095" s="44">
        <v>45910.43604074074</v>
      </c>
      <c r="V5095" s="44">
        <v>45950.54435625</v>
      </c>
      <c r="W5095" s="11"/>
      <c r="X5095" s="148">
        <v>45940.0</v>
      </c>
      <c r="Y5095" s="45">
        <v>302.0</v>
      </c>
      <c r="Z5095" s="45" t="s">
        <v>20448</v>
      </c>
      <c r="AA5095" s="31"/>
      <c r="AB5095" s="45" t="s">
        <v>20449</v>
      </c>
      <c r="AC5095" s="45"/>
    </row>
    <row r="5096" ht="18.75" customHeight="1">
      <c r="A5096" s="18" t="s">
        <v>20450</v>
      </c>
      <c r="B5096" s="19" t="s">
        <v>9895</v>
      </c>
      <c r="C5096" s="20">
        <v>1.0</v>
      </c>
      <c r="D5096" s="39" t="s">
        <v>20451</v>
      </c>
      <c r="E5096" s="27" t="s">
        <v>3395</v>
      </c>
      <c r="F5096" s="27" t="s">
        <v>48</v>
      </c>
      <c r="G5096" s="18" t="s">
        <v>35</v>
      </c>
      <c r="H5096" s="40" t="s">
        <v>35</v>
      </c>
      <c r="I5096" s="37" t="s">
        <v>36</v>
      </c>
      <c r="J5096" s="25" t="s">
        <v>49</v>
      </c>
      <c r="K5096" s="26" t="s">
        <v>19685</v>
      </c>
      <c r="L5096" s="25">
        <v>14223.0</v>
      </c>
      <c r="M5096" s="49" t="s">
        <v>50</v>
      </c>
      <c r="N5096" s="42" t="s">
        <v>9953</v>
      </c>
      <c r="O5096" s="67">
        <v>45950.65350039351</v>
      </c>
      <c r="P5096" s="35" t="s">
        <v>20443</v>
      </c>
      <c r="Q5096" s="13" t="s">
        <v>75</v>
      </c>
      <c r="R5096" s="13" t="s">
        <v>75</v>
      </c>
      <c r="S5096" s="13" t="s">
        <v>73</v>
      </c>
      <c r="T5096" s="44">
        <v>45910.427281145836</v>
      </c>
      <c r="U5096" s="44">
        <v>45910.43618991898</v>
      </c>
      <c r="V5096" s="44">
        <v>45950.5444259375</v>
      </c>
      <c r="W5096" s="11"/>
      <c r="X5096" s="148">
        <v>45940.0</v>
      </c>
      <c r="Y5096" s="45">
        <v>302.0</v>
      </c>
      <c r="Z5096" s="45" t="s">
        <v>20452</v>
      </c>
      <c r="AA5096" s="31"/>
      <c r="AB5096" s="45" t="s">
        <v>20453</v>
      </c>
      <c r="AC5096" s="45"/>
    </row>
    <row r="5097" ht="18.75" customHeight="1">
      <c r="A5097" s="18" t="s">
        <v>20454</v>
      </c>
      <c r="B5097" s="19" t="s">
        <v>9895</v>
      </c>
      <c r="C5097" s="20">
        <v>1.0</v>
      </c>
      <c r="D5097" s="39"/>
      <c r="E5097" s="27" t="s">
        <v>3395</v>
      </c>
      <c r="F5097" s="27" t="s">
        <v>48</v>
      </c>
      <c r="G5097" s="18" t="s">
        <v>35</v>
      </c>
      <c r="H5097" s="40" t="s">
        <v>35</v>
      </c>
      <c r="I5097" s="24" t="s">
        <v>18314</v>
      </c>
      <c r="J5097" s="25" t="s">
        <v>49</v>
      </c>
      <c r="K5097" s="26" t="s">
        <v>19685</v>
      </c>
      <c r="L5097" s="25"/>
      <c r="M5097" s="49"/>
      <c r="N5097" s="42"/>
      <c r="O5097" s="68"/>
      <c r="P5097" s="35" t="s">
        <v>20443</v>
      </c>
      <c r="Q5097" s="13" t="s">
        <v>75</v>
      </c>
      <c r="R5097" s="13" t="s">
        <v>75</v>
      </c>
      <c r="S5097" s="13" t="s">
        <v>75</v>
      </c>
      <c r="T5097" s="44">
        <v>45910.427327048616</v>
      </c>
      <c r="U5097" s="44">
        <v>45910.436438125005</v>
      </c>
      <c r="V5097" s="13"/>
      <c r="W5097" s="11"/>
      <c r="X5097" s="148">
        <v>45940.0</v>
      </c>
      <c r="Y5097" s="45"/>
      <c r="Z5097" s="45"/>
      <c r="AA5097" s="31"/>
      <c r="AB5097" s="45" t="s">
        <v>20455</v>
      </c>
      <c r="AC5097" s="45"/>
    </row>
    <row r="5098" ht="18.75" customHeight="1">
      <c r="A5098" s="18" t="s">
        <v>20456</v>
      </c>
      <c r="B5098" s="19" t="s">
        <v>9895</v>
      </c>
      <c r="C5098" s="20">
        <v>1.0</v>
      </c>
      <c r="D5098" s="39"/>
      <c r="E5098" s="27" t="s">
        <v>3395</v>
      </c>
      <c r="F5098" s="27" t="s">
        <v>48</v>
      </c>
      <c r="G5098" s="18" t="s">
        <v>35</v>
      </c>
      <c r="H5098" s="40" t="s">
        <v>35</v>
      </c>
      <c r="I5098" s="24" t="s">
        <v>18314</v>
      </c>
      <c r="J5098" s="25" t="s">
        <v>49</v>
      </c>
      <c r="K5098" s="26" t="s">
        <v>19685</v>
      </c>
      <c r="L5098" s="25"/>
      <c r="M5098" s="49"/>
      <c r="N5098" s="42"/>
      <c r="O5098" s="68"/>
      <c r="P5098" s="35" t="s">
        <v>20443</v>
      </c>
      <c r="Q5098" s="13" t="s">
        <v>75</v>
      </c>
      <c r="R5098" s="13" t="s">
        <v>75</v>
      </c>
      <c r="S5098" s="13" t="s">
        <v>75</v>
      </c>
      <c r="T5098" s="44">
        <v>45910.42737290509</v>
      </c>
      <c r="U5098" s="44">
        <v>45910.43638762731</v>
      </c>
      <c r="V5098" s="13"/>
      <c r="W5098" s="11"/>
      <c r="X5098" s="148">
        <v>45940.0</v>
      </c>
      <c r="Y5098" s="45"/>
      <c r="Z5098" s="45"/>
      <c r="AA5098" s="31"/>
      <c r="AB5098" s="45" t="s">
        <v>20457</v>
      </c>
      <c r="AC5098" s="45"/>
    </row>
    <row r="5099" ht="18.75" customHeight="1">
      <c r="A5099" s="18" t="s">
        <v>20458</v>
      </c>
      <c r="B5099" s="19" t="s">
        <v>9895</v>
      </c>
      <c r="C5099" s="20">
        <v>1.0</v>
      </c>
      <c r="D5099" s="39"/>
      <c r="E5099" s="27" t="s">
        <v>3395</v>
      </c>
      <c r="F5099" s="27" t="s">
        <v>48</v>
      </c>
      <c r="G5099" s="18" t="s">
        <v>35</v>
      </c>
      <c r="H5099" s="40" t="s">
        <v>35</v>
      </c>
      <c r="I5099" s="24" t="s">
        <v>18314</v>
      </c>
      <c r="J5099" s="25" t="s">
        <v>49</v>
      </c>
      <c r="K5099" s="26" t="s">
        <v>19685</v>
      </c>
      <c r="L5099" s="25"/>
      <c r="M5099" s="49"/>
      <c r="N5099" s="42"/>
      <c r="O5099" s="68"/>
      <c r="P5099" s="35" t="s">
        <v>20443</v>
      </c>
      <c r="Q5099" s="13" t="s">
        <v>75</v>
      </c>
      <c r="R5099" s="13" t="s">
        <v>75</v>
      </c>
      <c r="S5099" s="13" t="s">
        <v>75</v>
      </c>
      <c r="T5099" s="44">
        <v>45910.42742137732</v>
      </c>
      <c r="U5099" s="44">
        <v>45910.43627910879</v>
      </c>
      <c r="V5099" s="13"/>
      <c r="W5099" s="11"/>
      <c r="X5099" s="148">
        <v>45940.0</v>
      </c>
      <c r="Y5099" s="45"/>
      <c r="Z5099" s="45"/>
      <c r="AA5099" s="31"/>
      <c r="AB5099" s="45" t="s">
        <v>20459</v>
      </c>
      <c r="AC5099" s="45"/>
    </row>
    <row r="5100" ht="18.75" customHeight="1">
      <c r="A5100" s="18" t="s">
        <v>20460</v>
      </c>
      <c r="B5100" s="19" t="s">
        <v>9895</v>
      </c>
      <c r="C5100" s="20">
        <v>1.0</v>
      </c>
      <c r="D5100" s="39"/>
      <c r="E5100" s="27" t="s">
        <v>3395</v>
      </c>
      <c r="F5100" s="27" t="s">
        <v>48</v>
      </c>
      <c r="G5100" s="18" t="s">
        <v>35</v>
      </c>
      <c r="H5100" s="40" t="s">
        <v>35</v>
      </c>
      <c r="I5100" s="24" t="s">
        <v>18314</v>
      </c>
      <c r="J5100" s="25" t="s">
        <v>49</v>
      </c>
      <c r="K5100" s="26" t="s">
        <v>19685</v>
      </c>
      <c r="L5100" s="25"/>
      <c r="M5100" s="49"/>
      <c r="N5100" s="42"/>
      <c r="O5100" s="68"/>
      <c r="P5100" s="35" t="s">
        <v>20443</v>
      </c>
      <c r="Q5100" s="13" t="s">
        <v>75</v>
      </c>
      <c r="R5100" s="13" t="s">
        <v>75</v>
      </c>
      <c r="S5100" s="13" t="s">
        <v>75</v>
      </c>
      <c r="T5100" s="44">
        <v>45910.427477210644</v>
      </c>
      <c r="U5100" s="44">
        <v>45910.43608908565</v>
      </c>
      <c r="V5100" s="13"/>
      <c r="W5100" s="11"/>
      <c r="X5100" s="148">
        <v>45940.0</v>
      </c>
      <c r="Y5100" s="45"/>
      <c r="Z5100" s="45"/>
      <c r="AA5100" s="31"/>
      <c r="AB5100" s="45" t="s">
        <v>20461</v>
      </c>
      <c r="AC5100" s="45"/>
    </row>
    <row r="5101" ht="18.75" customHeight="1">
      <c r="A5101" s="18" t="s">
        <v>20462</v>
      </c>
      <c r="B5101" s="19" t="s">
        <v>20463</v>
      </c>
      <c r="C5101" s="20">
        <v>34.0</v>
      </c>
      <c r="D5101" s="39" t="s">
        <v>20464</v>
      </c>
      <c r="E5101" s="27" t="s">
        <v>47</v>
      </c>
      <c r="F5101" s="27" t="s">
        <v>48</v>
      </c>
      <c r="G5101" s="18" t="s">
        <v>35</v>
      </c>
      <c r="H5101" s="40" t="s">
        <v>35</v>
      </c>
      <c r="I5101" s="37" t="s">
        <v>36</v>
      </c>
      <c r="J5101" s="25" t="s">
        <v>49</v>
      </c>
      <c r="K5101" s="26" t="s">
        <v>38</v>
      </c>
      <c r="L5101" s="72">
        <v>13841.0</v>
      </c>
      <c r="M5101" s="49" t="s">
        <v>50</v>
      </c>
      <c r="N5101" s="42" t="s">
        <v>18561</v>
      </c>
      <c r="O5101" s="67">
        <v>45911.644215810185</v>
      </c>
      <c r="P5101" s="35" t="s">
        <v>14457</v>
      </c>
      <c r="Q5101" s="13" t="s">
        <v>75</v>
      </c>
      <c r="R5101" s="13" t="s">
        <v>75</v>
      </c>
      <c r="S5101" s="13" t="s">
        <v>73</v>
      </c>
      <c r="T5101" s="44">
        <v>45910.432434965274</v>
      </c>
      <c r="U5101" s="44">
        <v>45911.48486321759</v>
      </c>
      <c r="V5101" s="44">
        <v>45911.49163674768</v>
      </c>
      <c r="W5101" s="11"/>
      <c r="X5101" s="11"/>
      <c r="Y5101" s="45">
        <v>302.0</v>
      </c>
      <c r="Z5101" s="45" t="s">
        <v>20465</v>
      </c>
      <c r="AA5101" s="31"/>
      <c r="AB5101" s="45" t="s">
        <v>20466</v>
      </c>
      <c r="AC5101" s="45"/>
    </row>
    <row r="5102" ht="18.75" customHeight="1">
      <c r="A5102" s="18" t="s">
        <v>20467</v>
      </c>
      <c r="B5102" s="19" t="s">
        <v>20463</v>
      </c>
      <c r="C5102" s="20">
        <v>34.0</v>
      </c>
      <c r="D5102" s="39" t="s">
        <v>20468</v>
      </c>
      <c r="E5102" s="27" t="s">
        <v>47</v>
      </c>
      <c r="F5102" s="27" t="s">
        <v>48</v>
      </c>
      <c r="G5102" s="18" t="s">
        <v>35</v>
      </c>
      <c r="H5102" s="40" t="s">
        <v>35</v>
      </c>
      <c r="I5102" s="37" t="s">
        <v>36</v>
      </c>
      <c r="J5102" s="25" t="s">
        <v>49</v>
      </c>
      <c r="K5102" s="26" t="s">
        <v>38</v>
      </c>
      <c r="L5102" s="72">
        <v>13841.0</v>
      </c>
      <c r="M5102" s="49" t="s">
        <v>50</v>
      </c>
      <c r="N5102" s="42" t="s">
        <v>18561</v>
      </c>
      <c r="O5102" s="67">
        <v>45911.64414582176</v>
      </c>
      <c r="P5102" s="35" t="s">
        <v>14457</v>
      </c>
      <c r="Q5102" s="13" t="s">
        <v>75</v>
      </c>
      <c r="R5102" s="13" t="s">
        <v>75</v>
      </c>
      <c r="S5102" s="13" t="s">
        <v>73</v>
      </c>
      <c r="T5102" s="44">
        <v>45910.432384722226</v>
      </c>
      <c r="U5102" s="44">
        <v>45911.48481898148</v>
      </c>
      <c r="V5102" s="44">
        <v>45911.49151140046</v>
      </c>
      <c r="W5102" s="11"/>
      <c r="X5102" s="11"/>
      <c r="Y5102" s="45">
        <v>302.0</v>
      </c>
      <c r="Z5102" s="45" t="s">
        <v>20469</v>
      </c>
      <c r="AA5102" s="31"/>
      <c r="AB5102" s="45" t="s">
        <v>20470</v>
      </c>
      <c r="AC5102" s="45"/>
    </row>
    <row r="5103" ht="18.75" customHeight="1">
      <c r="A5103" s="18" t="s">
        <v>20471</v>
      </c>
      <c r="B5103" s="19" t="s">
        <v>4147</v>
      </c>
      <c r="C5103" s="20">
        <v>11.0</v>
      </c>
      <c r="D5103" s="39" t="s">
        <v>20472</v>
      </c>
      <c r="E5103" s="27" t="s">
        <v>112</v>
      </c>
      <c r="F5103" s="27" t="s">
        <v>48</v>
      </c>
      <c r="G5103" s="18" t="s">
        <v>35</v>
      </c>
      <c r="H5103" s="40" t="s">
        <v>35</v>
      </c>
      <c r="I5103" s="37" t="s">
        <v>36</v>
      </c>
      <c r="J5103" s="25" t="s">
        <v>49</v>
      </c>
      <c r="K5103" s="26" t="s">
        <v>38</v>
      </c>
      <c r="L5103" s="34">
        <v>13899.0</v>
      </c>
      <c r="M5103" s="49" t="s">
        <v>73</v>
      </c>
      <c r="N5103" s="42" t="s">
        <v>17048</v>
      </c>
      <c r="O5103" s="67">
        <v>45918.60476150463</v>
      </c>
      <c r="P5103" s="35" t="s">
        <v>15666</v>
      </c>
      <c r="Q5103" s="13" t="s">
        <v>75</v>
      </c>
      <c r="R5103" s="13" t="s">
        <v>75</v>
      </c>
      <c r="S5103" s="13" t="s">
        <v>73</v>
      </c>
      <c r="T5103" s="44">
        <v>45910.57956342593</v>
      </c>
      <c r="U5103" s="44">
        <v>45917.72735739584</v>
      </c>
      <c r="V5103" s="44">
        <v>45918.41624868056</v>
      </c>
      <c r="W5103" s="11"/>
      <c r="X5103" s="11"/>
      <c r="Y5103" s="45">
        <v>302.0</v>
      </c>
      <c r="Z5103" s="45" t="s">
        <v>20473</v>
      </c>
      <c r="AA5103" s="31"/>
      <c r="AB5103" s="45" t="s">
        <v>20474</v>
      </c>
      <c r="AC5103" s="45"/>
    </row>
    <row r="5104" ht="18.75" customHeight="1">
      <c r="A5104" s="18" t="s">
        <v>20475</v>
      </c>
      <c r="B5104" s="19" t="s">
        <v>4147</v>
      </c>
      <c r="C5104" s="20">
        <v>11.0</v>
      </c>
      <c r="D5104" s="39" t="s">
        <v>20476</v>
      </c>
      <c r="E5104" s="27" t="s">
        <v>112</v>
      </c>
      <c r="F5104" s="27" t="s">
        <v>48</v>
      </c>
      <c r="G5104" s="18" t="s">
        <v>35</v>
      </c>
      <c r="H5104" s="40" t="s">
        <v>35</v>
      </c>
      <c r="I5104" s="37" t="s">
        <v>36</v>
      </c>
      <c r="J5104" s="25" t="s">
        <v>49</v>
      </c>
      <c r="K5104" s="26" t="s">
        <v>38</v>
      </c>
      <c r="L5104" s="34">
        <v>13899.0</v>
      </c>
      <c r="M5104" s="49" t="s">
        <v>73</v>
      </c>
      <c r="N5104" s="42" t="s">
        <v>17048</v>
      </c>
      <c r="O5104" s="67">
        <v>45918.60514598379</v>
      </c>
      <c r="P5104" s="35" t="s">
        <v>15666</v>
      </c>
      <c r="Q5104" s="13" t="s">
        <v>75</v>
      </c>
      <c r="R5104" s="13" t="s">
        <v>75</v>
      </c>
      <c r="S5104" s="13" t="s">
        <v>73</v>
      </c>
      <c r="T5104" s="44">
        <v>45910.57961835648</v>
      </c>
      <c r="U5104" s="44">
        <v>45917.72740258102</v>
      </c>
      <c r="V5104" s="44">
        <v>45918.41633730324</v>
      </c>
      <c r="W5104" s="11"/>
      <c r="X5104" s="11"/>
      <c r="Y5104" s="45"/>
      <c r="Z5104" s="45"/>
      <c r="AA5104" s="31"/>
      <c r="AB5104" s="45" t="s">
        <v>20477</v>
      </c>
      <c r="AC5104" s="45"/>
    </row>
    <row r="5105" ht="18.75" customHeight="1">
      <c r="A5105" s="18" t="s">
        <v>20478</v>
      </c>
      <c r="B5105" s="19" t="s">
        <v>4147</v>
      </c>
      <c r="C5105" s="20">
        <v>11.0</v>
      </c>
      <c r="D5105" s="39" t="s">
        <v>20479</v>
      </c>
      <c r="E5105" s="27" t="s">
        <v>112</v>
      </c>
      <c r="F5105" s="27" t="s">
        <v>48</v>
      </c>
      <c r="G5105" s="18" t="s">
        <v>35</v>
      </c>
      <c r="H5105" s="40" t="s">
        <v>35</v>
      </c>
      <c r="I5105" s="37" t="s">
        <v>36</v>
      </c>
      <c r="J5105" s="25" t="s">
        <v>49</v>
      </c>
      <c r="K5105" s="26" t="s">
        <v>38</v>
      </c>
      <c r="L5105" s="34">
        <v>13899.0</v>
      </c>
      <c r="M5105" s="49" t="s">
        <v>73</v>
      </c>
      <c r="N5105" s="42" t="s">
        <v>17048</v>
      </c>
      <c r="O5105" s="67">
        <v>45918.60529878472</v>
      </c>
      <c r="P5105" s="35" t="s">
        <v>15666</v>
      </c>
      <c r="Q5105" s="13" t="s">
        <v>75</v>
      </c>
      <c r="R5105" s="13" t="s">
        <v>75</v>
      </c>
      <c r="S5105" s="13" t="s">
        <v>73</v>
      </c>
      <c r="T5105" s="44">
        <v>45910.57967423611</v>
      </c>
      <c r="U5105" s="44">
        <v>45917.727458043984</v>
      </c>
      <c r="V5105" s="44">
        <v>45918.419464907405</v>
      </c>
      <c r="W5105" s="11"/>
      <c r="X5105" s="11"/>
      <c r="Y5105" s="45">
        <v>302.0</v>
      </c>
      <c r="Z5105" s="45" t="s">
        <v>20480</v>
      </c>
      <c r="AA5105" s="31"/>
      <c r="AB5105" s="45" t="s">
        <v>20481</v>
      </c>
      <c r="AC5105" s="45"/>
    </row>
    <row r="5106" ht="18.75" customHeight="1">
      <c r="A5106" s="142" t="s">
        <v>20482</v>
      </c>
      <c r="B5106" s="19" t="s">
        <v>4090</v>
      </c>
      <c r="C5106" s="20">
        <v>0.0</v>
      </c>
      <c r="D5106" s="39" t="s">
        <v>20483</v>
      </c>
      <c r="E5106" s="27" t="s">
        <v>3441</v>
      </c>
      <c r="F5106" s="27" t="s">
        <v>48</v>
      </c>
      <c r="G5106" s="18" t="s">
        <v>35</v>
      </c>
      <c r="H5106" s="40" t="s">
        <v>35</v>
      </c>
      <c r="I5106" s="37" t="s">
        <v>36</v>
      </c>
      <c r="J5106" s="25" t="s">
        <v>49</v>
      </c>
      <c r="K5106" s="26" t="s">
        <v>38</v>
      </c>
      <c r="L5106" s="72">
        <v>13836.0</v>
      </c>
      <c r="M5106" s="49" t="s">
        <v>50</v>
      </c>
      <c r="N5106" s="42" t="s">
        <v>18561</v>
      </c>
      <c r="O5106" s="67">
        <v>45911.64409082176</v>
      </c>
      <c r="P5106" s="35" t="s">
        <v>15666</v>
      </c>
      <c r="Q5106" s="13" t="s">
        <v>75</v>
      </c>
      <c r="R5106" s="13" t="s">
        <v>75</v>
      </c>
      <c r="S5106" s="13" t="s">
        <v>73</v>
      </c>
      <c r="T5106" s="44">
        <v>45910.58081771991</v>
      </c>
      <c r="U5106" s="44">
        <v>45911.44501018518</v>
      </c>
      <c r="V5106" s="44">
        <v>45911.466366747685</v>
      </c>
      <c r="W5106" s="11"/>
      <c r="X5106" s="11"/>
      <c r="Y5106" s="45">
        <v>302.0</v>
      </c>
      <c r="Z5106" s="45" t="s">
        <v>20484</v>
      </c>
      <c r="AA5106" s="31"/>
      <c r="AB5106" s="45" t="s">
        <v>20485</v>
      </c>
      <c r="AC5106" s="45"/>
    </row>
    <row r="5107" ht="18.75" customHeight="1">
      <c r="A5107" s="142" t="s">
        <v>20486</v>
      </c>
      <c r="B5107" s="19" t="s">
        <v>11507</v>
      </c>
      <c r="C5107" s="20">
        <v>137.0</v>
      </c>
      <c r="D5107" s="39" t="s">
        <v>20487</v>
      </c>
      <c r="E5107" s="27" t="s">
        <v>85</v>
      </c>
      <c r="F5107" s="27" t="s">
        <v>48</v>
      </c>
      <c r="G5107" s="18" t="s">
        <v>35</v>
      </c>
      <c r="H5107" s="40" t="s">
        <v>35</v>
      </c>
      <c r="I5107" s="37" t="s">
        <v>36</v>
      </c>
      <c r="J5107" s="25" t="s">
        <v>49</v>
      </c>
      <c r="K5107" s="26" t="s">
        <v>38</v>
      </c>
      <c r="L5107" s="72">
        <v>13837.0</v>
      </c>
      <c r="M5107" s="49" t="s">
        <v>50</v>
      </c>
      <c r="N5107" s="42" t="s">
        <v>18561</v>
      </c>
      <c r="O5107" s="67">
        <v>45911.644041736115</v>
      </c>
      <c r="P5107" s="35" t="s">
        <v>15666</v>
      </c>
      <c r="Q5107" s="13" t="s">
        <v>75</v>
      </c>
      <c r="R5107" s="13" t="s">
        <v>75</v>
      </c>
      <c r="S5107" s="13" t="s">
        <v>73</v>
      </c>
      <c r="T5107" s="44">
        <v>45910.6832584838</v>
      </c>
      <c r="U5107" s="44">
        <v>45911.44587435185</v>
      </c>
      <c r="V5107" s="44">
        <v>45911.46653331019</v>
      </c>
      <c r="W5107" s="11"/>
      <c r="X5107" s="11"/>
      <c r="Y5107" s="45">
        <v>302.0</v>
      </c>
      <c r="Z5107" s="45" t="s">
        <v>20488</v>
      </c>
      <c r="AA5107" s="31"/>
      <c r="AB5107" s="45" t="s">
        <v>20489</v>
      </c>
      <c r="AC5107" s="45"/>
    </row>
    <row r="5108" ht="18.75" customHeight="1">
      <c r="A5108" s="142" t="s">
        <v>20490</v>
      </c>
      <c r="B5108" s="19" t="s">
        <v>20491</v>
      </c>
      <c r="C5108" s="20">
        <v>137.0</v>
      </c>
      <c r="D5108" s="39" t="s">
        <v>20492</v>
      </c>
      <c r="E5108" s="27" t="s">
        <v>85</v>
      </c>
      <c r="F5108" s="27" t="s">
        <v>48</v>
      </c>
      <c r="G5108" s="18" t="s">
        <v>35</v>
      </c>
      <c r="H5108" s="40" t="s">
        <v>35</v>
      </c>
      <c r="I5108" s="37" t="s">
        <v>36</v>
      </c>
      <c r="J5108" s="25" t="s">
        <v>49</v>
      </c>
      <c r="K5108" s="26" t="s">
        <v>38</v>
      </c>
      <c r="L5108" s="72">
        <v>13838.0</v>
      </c>
      <c r="M5108" s="49" t="s">
        <v>50</v>
      </c>
      <c r="N5108" s="42" t="s">
        <v>18561</v>
      </c>
      <c r="O5108" s="67">
        <v>45911.64399615741</v>
      </c>
      <c r="P5108" s="35" t="s">
        <v>14372</v>
      </c>
      <c r="Q5108" s="13" t="s">
        <v>75</v>
      </c>
      <c r="R5108" s="13" t="s">
        <v>75</v>
      </c>
      <c r="S5108" s="13" t="s">
        <v>73</v>
      </c>
      <c r="T5108" s="44">
        <v>45910.68811920139</v>
      </c>
      <c r="U5108" s="44">
        <v>45911.44550686343</v>
      </c>
      <c r="V5108" s="44">
        <v>45911.46646658565</v>
      </c>
      <c r="W5108" s="11"/>
      <c r="X5108" s="11"/>
      <c r="Y5108" s="45">
        <v>302.0</v>
      </c>
      <c r="Z5108" s="45" t="s">
        <v>20493</v>
      </c>
      <c r="AA5108" s="31"/>
      <c r="AB5108" s="45" t="s">
        <v>20494</v>
      </c>
      <c r="AC5108" s="45"/>
    </row>
    <row r="5109" ht="18.75" customHeight="1">
      <c r="A5109" s="142" t="s">
        <v>20495</v>
      </c>
      <c r="B5109" s="19" t="s">
        <v>5307</v>
      </c>
      <c r="C5109" s="20">
        <v>34.0</v>
      </c>
      <c r="D5109" s="39" t="s">
        <v>20496</v>
      </c>
      <c r="E5109" s="27" t="s">
        <v>47</v>
      </c>
      <c r="F5109" s="27" t="s">
        <v>48</v>
      </c>
      <c r="G5109" s="18" t="s">
        <v>35</v>
      </c>
      <c r="H5109" s="40" t="s">
        <v>35</v>
      </c>
      <c r="I5109" s="37" t="s">
        <v>36</v>
      </c>
      <c r="J5109" s="25" t="s">
        <v>49</v>
      </c>
      <c r="K5109" s="26" t="s">
        <v>38</v>
      </c>
      <c r="L5109" s="72">
        <v>13850.0</v>
      </c>
      <c r="M5109" s="49" t="s">
        <v>50</v>
      </c>
      <c r="N5109" s="42" t="s">
        <v>5936</v>
      </c>
      <c r="O5109" s="67">
        <v>45912.65574854167</v>
      </c>
      <c r="P5109" s="35" t="s">
        <v>15666</v>
      </c>
      <c r="Q5109" s="13" t="s">
        <v>75</v>
      </c>
      <c r="R5109" s="13" t="s">
        <v>75</v>
      </c>
      <c r="S5109" s="13" t="s">
        <v>73</v>
      </c>
      <c r="T5109" s="44">
        <v>45910.69009847222</v>
      </c>
      <c r="U5109" s="44">
        <v>45912.59166791667</v>
      </c>
      <c r="V5109" s="44">
        <v>45912.60030525463</v>
      </c>
      <c r="W5109" s="11"/>
      <c r="X5109" s="11"/>
      <c r="Y5109" s="45">
        <v>302.0</v>
      </c>
      <c r="Z5109" s="45" t="s">
        <v>20497</v>
      </c>
      <c r="AA5109" s="31"/>
      <c r="AB5109" s="45" t="s">
        <v>20498</v>
      </c>
      <c r="AC5109" s="45"/>
    </row>
    <row r="5110" ht="18.75" customHeight="1">
      <c r="A5110" s="142" t="s">
        <v>20499</v>
      </c>
      <c r="B5110" s="19" t="s">
        <v>5323</v>
      </c>
      <c r="C5110" s="20">
        <v>137.0</v>
      </c>
      <c r="D5110" s="39" t="s">
        <v>20500</v>
      </c>
      <c r="E5110" s="27" t="s">
        <v>85</v>
      </c>
      <c r="F5110" s="27" t="s">
        <v>48</v>
      </c>
      <c r="G5110" s="18" t="s">
        <v>35</v>
      </c>
      <c r="H5110" s="40" t="s">
        <v>35</v>
      </c>
      <c r="I5110" s="37" t="s">
        <v>36</v>
      </c>
      <c r="J5110" s="25" t="s">
        <v>49</v>
      </c>
      <c r="K5110" s="26" t="s">
        <v>38</v>
      </c>
      <c r="L5110" s="72">
        <v>13839.0</v>
      </c>
      <c r="M5110" s="49" t="s">
        <v>50</v>
      </c>
      <c r="N5110" s="42" t="s">
        <v>18561</v>
      </c>
      <c r="O5110" s="67">
        <v>45911.64394571759</v>
      </c>
      <c r="P5110" s="35" t="s">
        <v>15666</v>
      </c>
      <c r="Q5110" s="13" t="s">
        <v>75</v>
      </c>
      <c r="R5110" s="13" t="s">
        <v>75</v>
      </c>
      <c r="S5110" s="13" t="s">
        <v>73</v>
      </c>
      <c r="T5110" s="44">
        <v>45910.69121049768</v>
      </c>
      <c r="U5110" s="44">
        <v>45911.4477965625</v>
      </c>
      <c r="V5110" s="44">
        <v>45911.46660652778</v>
      </c>
      <c r="W5110" s="11"/>
      <c r="X5110" s="11"/>
      <c r="Y5110" s="45">
        <v>302.0</v>
      </c>
      <c r="Z5110" s="45" t="s">
        <v>20501</v>
      </c>
      <c r="AA5110" s="31"/>
      <c r="AB5110" s="45" t="s">
        <v>20502</v>
      </c>
      <c r="AC5110" s="45"/>
    </row>
    <row r="5111" ht="18.75" customHeight="1">
      <c r="A5111" s="18" t="s">
        <v>20503</v>
      </c>
      <c r="B5111" s="19" t="s">
        <v>8041</v>
      </c>
      <c r="C5111" s="20">
        <v>137.0</v>
      </c>
      <c r="D5111" s="39" t="s">
        <v>20504</v>
      </c>
      <c r="E5111" s="27" t="s">
        <v>85</v>
      </c>
      <c r="F5111" s="27" t="s">
        <v>48</v>
      </c>
      <c r="G5111" s="18" t="s">
        <v>35</v>
      </c>
      <c r="H5111" s="40" t="s">
        <v>35</v>
      </c>
      <c r="I5111" s="37" t="s">
        <v>36</v>
      </c>
      <c r="J5111" s="25" t="s">
        <v>49</v>
      </c>
      <c r="K5111" s="26" t="s">
        <v>38</v>
      </c>
      <c r="L5111" s="72">
        <v>13840.0</v>
      </c>
      <c r="M5111" s="49" t="s">
        <v>50</v>
      </c>
      <c r="N5111" s="42" t="s">
        <v>18561</v>
      </c>
      <c r="O5111" s="67">
        <v>45911.643901284726</v>
      </c>
      <c r="P5111" s="35" t="s">
        <v>20505</v>
      </c>
      <c r="Q5111" s="13" t="s">
        <v>75</v>
      </c>
      <c r="R5111" s="13" t="s">
        <v>75</v>
      </c>
      <c r="S5111" s="13" t="s">
        <v>73</v>
      </c>
      <c r="T5111" s="44">
        <v>45910.69436625</v>
      </c>
      <c r="U5111" s="44">
        <v>45911.44847379629</v>
      </c>
      <c r="V5111" s="44">
        <v>45911.46690271991</v>
      </c>
      <c r="W5111" s="11"/>
      <c r="X5111" s="11"/>
      <c r="Y5111" s="45">
        <v>200.0</v>
      </c>
      <c r="Z5111" s="45" t="s">
        <v>20506</v>
      </c>
      <c r="AA5111" s="31"/>
      <c r="AB5111" s="45" t="s">
        <v>20507</v>
      </c>
      <c r="AC5111" s="45"/>
    </row>
    <row r="5112" ht="18.75" customHeight="1">
      <c r="A5112" s="18" t="s">
        <v>20508</v>
      </c>
      <c r="B5112" s="19" t="s">
        <v>8041</v>
      </c>
      <c r="C5112" s="20">
        <v>137.0</v>
      </c>
      <c r="D5112" s="39" t="s">
        <v>20509</v>
      </c>
      <c r="E5112" s="27" t="s">
        <v>85</v>
      </c>
      <c r="F5112" s="27" t="s">
        <v>48</v>
      </c>
      <c r="G5112" s="18" t="s">
        <v>35</v>
      </c>
      <c r="H5112" s="40" t="s">
        <v>35</v>
      </c>
      <c r="I5112" s="37" t="s">
        <v>36</v>
      </c>
      <c r="J5112" s="25" t="s">
        <v>49</v>
      </c>
      <c r="K5112" s="26" t="s">
        <v>38</v>
      </c>
      <c r="L5112" s="72">
        <v>13840.0</v>
      </c>
      <c r="M5112" s="49" t="s">
        <v>50</v>
      </c>
      <c r="N5112" s="42" t="s">
        <v>18561</v>
      </c>
      <c r="O5112" s="67">
        <v>45911.6438583912</v>
      </c>
      <c r="P5112" s="35" t="s">
        <v>20505</v>
      </c>
      <c r="Q5112" s="13" t="s">
        <v>75</v>
      </c>
      <c r="R5112" s="13" t="s">
        <v>75</v>
      </c>
      <c r="S5112" s="13" t="s">
        <v>73</v>
      </c>
      <c r="T5112" s="44">
        <v>45910.694417060186</v>
      </c>
      <c r="U5112" s="44">
        <v>45911.448451759265</v>
      </c>
      <c r="V5112" s="44">
        <v>45911.46683607639</v>
      </c>
      <c r="W5112" s="11"/>
      <c r="X5112" s="11"/>
      <c r="Y5112" s="45">
        <v>200.0</v>
      </c>
      <c r="Z5112" s="45" t="s">
        <v>20510</v>
      </c>
      <c r="AA5112" s="31"/>
      <c r="AB5112" s="45" t="s">
        <v>20511</v>
      </c>
      <c r="AC5112" s="45"/>
    </row>
    <row r="5113" ht="18.75" customHeight="1">
      <c r="A5113" s="18" t="s">
        <v>20512</v>
      </c>
      <c r="B5113" s="19" t="s">
        <v>8041</v>
      </c>
      <c r="C5113" s="20">
        <v>137.0</v>
      </c>
      <c r="D5113" s="39" t="s">
        <v>20513</v>
      </c>
      <c r="E5113" s="27" t="s">
        <v>85</v>
      </c>
      <c r="F5113" s="27" t="s">
        <v>48</v>
      </c>
      <c r="G5113" s="18" t="s">
        <v>35</v>
      </c>
      <c r="H5113" s="40" t="s">
        <v>35</v>
      </c>
      <c r="I5113" s="37" t="s">
        <v>36</v>
      </c>
      <c r="J5113" s="25" t="s">
        <v>49</v>
      </c>
      <c r="K5113" s="26" t="s">
        <v>38</v>
      </c>
      <c r="L5113" s="72">
        <v>13840.0</v>
      </c>
      <c r="M5113" s="49" t="s">
        <v>50</v>
      </c>
      <c r="N5113" s="42" t="s">
        <v>18561</v>
      </c>
      <c r="O5113" s="67">
        <v>45911.64381263889</v>
      </c>
      <c r="P5113" s="35" t="s">
        <v>20505</v>
      </c>
      <c r="Q5113" s="13" t="s">
        <v>75</v>
      </c>
      <c r="R5113" s="13" t="s">
        <v>75</v>
      </c>
      <c r="S5113" s="13" t="s">
        <v>73</v>
      </c>
      <c r="T5113" s="44">
        <v>45910.69447019676</v>
      </c>
      <c r="U5113" s="44">
        <v>45911.44842851852</v>
      </c>
      <c r="V5113" s="44">
        <v>45911.46676030093</v>
      </c>
      <c r="W5113" s="11"/>
      <c r="X5113" s="11"/>
      <c r="Y5113" s="45">
        <v>302.0</v>
      </c>
      <c r="Z5113" s="45" t="s">
        <v>20514</v>
      </c>
      <c r="AA5113" s="31"/>
      <c r="AB5113" s="45" t="s">
        <v>20515</v>
      </c>
      <c r="AC5113" s="45"/>
    </row>
    <row r="5114" ht="18.75" customHeight="1">
      <c r="A5114" s="18" t="s">
        <v>20516</v>
      </c>
      <c r="B5114" s="19" t="s">
        <v>8041</v>
      </c>
      <c r="C5114" s="20">
        <v>137.0</v>
      </c>
      <c r="D5114" s="39" t="s">
        <v>20517</v>
      </c>
      <c r="E5114" s="27" t="s">
        <v>85</v>
      </c>
      <c r="F5114" s="27" t="s">
        <v>48</v>
      </c>
      <c r="G5114" s="18" t="s">
        <v>35</v>
      </c>
      <c r="H5114" s="40" t="s">
        <v>35</v>
      </c>
      <c r="I5114" s="37" t="s">
        <v>36</v>
      </c>
      <c r="J5114" s="25" t="s">
        <v>49</v>
      </c>
      <c r="K5114" s="26" t="s">
        <v>38</v>
      </c>
      <c r="L5114" s="72">
        <v>13840.0</v>
      </c>
      <c r="M5114" s="49" t="s">
        <v>50</v>
      </c>
      <c r="N5114" s="42" t="s">
        <v>18561</v>
      </c>
      <c r="O5114" s="67">
        <v>45911.64373333333</v>
      </c>
      <c r="P5114" s="35" t="s">
        <v>20505</v>
      </c>
      <c r="Q5114" s="13" t="s">
        <v>75</v>
      </c>
      <c r="R5114" s="13" t="s">
        <v>75</v>
      </c>
      <c r="S5114" s="13" t="s">
        <v>73</v>
      </c>
      <c r="T5114" s="44">
        <v>45910.69452722222</v>
      </c>
      <c r="U5114" s="44">
        <v>45911.44840126157</v>
      </c>
      <c r="V5114" s="44">
        <v>45911.466664039355</v>
      </c>
      <c r="W5114" s="11"/>
      <c r="X5114" s="11"/>
      <c r="Y5114" s="45">
        <v>302.0</v>
      </c>
      <c r="Z5114" s="45" t="s">
        <v>20518</v>
      </c>
      <c r="AA5114" s="31"/>
      <c r="AB5114" s="45" t="s">
        <v>20519</v>
      </c>
      <c r="AC5114" s="45"/>
    </row>
    <row r="5115" ht="18.75" customHeight="1">
      <c r="A5115" s="142" t="s">
        <v>20520</v>
      </c>
      <c r="B5115" s="19" t="s">
        <v>20521</v>
      </c>
      <c r="C5115" s="20">
        <v>27.0</v>
      </c>
      <c r="D5115" s="39" t="s">
        <v>20522</v>
      </c>
      <c r="E5115" s="27" t="s">
        <v>72</v>
      </c>
      <c r="F5115" s="27" t="s">
        <v>48</v>
      </c>
      <c r="G5115" s="18" t="s">
        <v>35</v>
      </c>
      <c r="H5115" s="40" t="s">
        <v>35</v>
      </c>
      <c r="I5115" s="37" t="s">
        <v>36</v>
      </c>
      <c r="J5115" s="25" t="s">
        <v>49</v>
      </c>
      <c r="K5115" s="26" t="s">
        <v>38</v>
      </c>
      <c r="L5115" s="72">
        <v>13845.0</v>
      </c>
      <c r="M5115" s="49" t="s">
        <v>50</v>
      </c>
      <c r="N5115" s="42" t="s">
        <v>5936</v>
      </c>
      <c r="O5115" s="67">
        <v>45912.65579775463</v>
      </c>
      <c r="P5115" s="35" t="s">
        <v>20523</v>
      </c>
      <c r="Q5115" s="13" t="s">
        <v>75</v>
      </c>
      <c r="R5115" s="13" t="s">
        <v>75</v>
      </c>
      <c r="S5115" s="13" t="s">
        <v>73</v>
      </c>
      <c r="T5115" s="44">
        <v>45910.69610457176</v>
      </c>
      <c r="U5115" s="44">
        <v>45911.6339299074</v>
      </c>
      <c r="V5115" s="44">
        <v>45912.41031346065</v>
      </c>
      <c r="W5115" s="11"/>
      <c r="X5115" s="11"/>
      <c r="Y5115" s="45">
        <v>302.0</v>
      </c>
      <c r="Z5115" s="45" t="s">
        <v>20524</v>
      </c>
      <c r="AA5115" s="31"/>
      <c r="AB5115" s="45" t="s">
        <v>20525</v>
      </c>
      <c r="AC5115" s="45"/>
    </row>
    <row r="5116" ht="18.75" customHeight="1">
      <c r="A5116" s="18" t="s">
        <v>20526</v>
      </c>
      <c r="B5116" s="19" t="s">
        <v>19002</v>
      </c>
      <c r="C5116" s="20">
        <v>1.0</v>
      </c>
      <c r="D5116" s="39" t="s">
        <v>20527</v>
      </c>
      <c r="E5116" s="27" t="s">
        <v>3395</v>
      </c>
      <c r="F5116" s="27" t="s">
        <v>48</v>
      </c>
      <c r="G5116" s="18" t="s">
        <v>35</v>
      </c>
      <c r="H5116" s="40" t="s">
        <v>35</v>
      </c>
      <c r="I5116" s="37" t="s">
        <v>36</v>
      </c>
      <c r="J5116" s="25" t="s">
        <v>65</v>
      </c>
      <c r="K5116" s="26" t="s">
        <v>38</v>
      </c>
      <c r="L5116" s="25">
        <v>14236.0</v>
      </c>
      <c r="M5116" s="49" t="s">
        <v>50</v>
      </c>
      <c r="N5116" s="42" t="s">
        <v>16408</v>
      </c>
      <c r="O5116" s="67">
        <v>45951.65879671296</v>
      </c>
      <c r="P5116" s="35" t="s">
        <v>20528</v>
      </c>
      <c r="Q5116" s="13" t="s">
        <v>20529</v>
      </c>
      <c r="R5116" s="13" t="s">
        <v>67</v>
      </c>
      <c r="S5116" s="13" t="s">
        <v>50</v>
      </c>
      <c r="T5116" s="44">
        <v>45951.59952296296</v>
      </c>
      <c r="U5116" s="44">
        <v>45951.60026178241</v>
      </c>
      <c r="V5116" s="44">
        <v>45951.601851747684</v>
      </c>
      <c r="W5116" s="11"/>
      <c r="X5116" s="11"/>
      <c r="Y5116" s="45">
        <v>302.0</v>
      </c>
      <c r="Z5116" s="45" t="s">
        <v>20530</v>
      </c>
      <c r="AA5116" s="31"/>
      <c r="AB5116" s="45" t="s">
        <v>20531</v>
      </c>
      <c r="AC5116" s="45"/>
    </row>
    <row r="5117" ht="18.75" customHeight="1">
      <c r="A5117" s="18" t="s">
        <v>20532</v>
      </c>
      <c r="B5117" s="19" t="s">
        <v>19002</v>
      </c>
      <c r="C5117" s="20">
        <v>1.0</v>
      </c>
      <c r="D5117" s="39" t="s">
        <v>20533</v>
      </c>
      <c r="E5117" s="27" t="s">
        <v>3395</v>
      </c>
      <c r="F5117" s="27" t="s">
        <v>48</v>
      </c>
      <c r="G5117" s="18" t="s">
        <v>35</v>
      </c>
      <c r="H5117" s="40" t="s">
        <v>35</v>
      </c>
      <c r="I5117" s="37" t="s">
        <v>36</v>
      </c>
      <c r="J5117" s="25" t="s">
        <v>65</v>
      </c>
      <c r="K5117" s="26" t="s">
        <v>38</v>
      </c>
      <c r="L5117" s="25">
        <v>14236.0</v>
      </c>
      <c r="M5117" s="49" t="s">
        <v>50</v>
      </c>
      <c r="N5117" s="42" t="s">
        <v>16408</v>
      </c>
      <c r="O5117" s="67">
        <v>45951.65884314815</v>
      </c>
      <c r="P5117" s="35" t="s">
        <v>20528</v>
      </c>
      <c r="Q5117" s="13" t="s">
        <v>67</v>
      </c>
      <c r="R5117" s="13" t="s">
        <v>67</v>
      </c>
      <c r="S5117" s="13" t="s">
        <v>50</v>
      </c>
      <c r="T5117" s="44">
        <v>45951.59930732639</v>
      </c>
      <c r="U5117" s="44">
        <v>45951.599590682876</v>
      </c>
      <c r="V5117" s="44">
        <v>45951.60175787037</v>
      </c>
      <c r="W5117" s="11"/>
      <c r="X5117" s="11"/>
      <c r="Y5117" s="45">
        <v>302.0</v>
      </c>
      <c r="Z5117" s="45" t="s">
        <v>20534</v>
      </c>
      <c r="AA5117" s="31"/>
      <c r="AB5117" s="45" t="s">
        <v>20535</v>
      </c>
      <c r="AC5117" s="45"/>
    </row>
    <row r="5118" ht="18.75" customHeight="1">
      <c r="A5118" s="18" t="s">
        <v>20536</v>
      </c>
      <c r="B5118" s="19" t="s">
        <v>19002</v>
      </c>
      <c r="C5118" s="20">
        <v>1.0</v>
      </c>
      <c r="D5118" s="39" t="s">
        <v>20537</v>
      </c>
      <c r="E5118" s="27" t="s">
        <v>3395</v>
      </c>
      <c r="F5118" s="27" t="s">
        <v>48</v>
      </c>
      <c r="G5118" s="18" t="s">
        <v>35</v>
      </c>
      <c r="H5118" s="40" t="s">
        <v>35</v>
      </c>
      <c r="I5118" s="37" t="s">
        <v>36</v>
      </c>
      <c r="J5118" s="25" t="s">
        <v>65</v>
      </c>
      <c r="K5118" s="26" t="s">
        <v>38</v>
      </c>
      <c r="L5118" s="25">
        <v>14236.0</v>
      </c>
      <c r="M5118" s="49" t="s">
        <v>50</v>
      </c>
      <c r="N5118" s="42" t="s">
        <v>16408</v>
      </c>
      <c r="O5118" s="67">
        <v>45951.658899490736</v>
      </c>
      <c r="P5118" s="35" t="s">
        <v>20528</v>
      </c>
      <c r="Q5118" s="13" t="s">
        <v>67</v>
      </c>
      <c r="R5118" s="13" t="s">
        <v>67</v>
      </c>
      <c r="S5118" s="13" t="s">
        <v>50</v>
      </c>
      <c r="T5118" s="44">
        <v>45951.59935224537</v>
      </c>
      <c r="U5118" s="44">
        <v>45951.59963128473</v>
      </c>
      <c r="V5118" s="44">
        <v>45951.601757881945</v>
      </c>
      <c r="W5118" s="11"/>
      <c r="X5118" s="11"/>
      <c r="Y5118" s="45">
        <v>302.0</v>
      </c>
      <c r="Z5118" s="45" t="s">
        <v>20538</v>
      </c>
      <c r="AA5118" s="31"/>
      <c r="AB5118" s="45" t="s">
        <v>20539</v>
      </c>
      <c r="AC5118" s="45"/>
    </row>
    <row r="5119" ht="18.75" customHeight="1">
      <c r="A5119" s="18" t="s">
        <v>20540</v>
      </c>
      <c r="B5119" s="19" t="s">
        <v>19002</v>
      </c>
      <c r="C5119" s="20">
        <v>1.0</v>
      </c>
      <c r="D5119" s="39" t="s">
        <v>20541</v>
      </c>
      <c r="E5119" s="27" t="s">
        <v>3395</v>
      </c>
      <c r="F5119" s="27" t="s">
        <v>48</v>
      </c>
      <c r="G5119" s="18" t="s">
        <v>35</v>
      </c>
      <c r="H5119" s="40" t="s">
        <v>35</v>
      </c>
      <c r="I5119" s="37" t="s">
        <v>36</v>
      </c>
      <c r="J5119" s="25" t="s">
        <v>65</v>
      </c>
      <c r="K5119" s="26" t="s">
        <v>38</v>
      </c>
      <c r="L5119" s="25">
        <v>14236.0</v>
      </c>
      <c r="M5119" s="49" t="s">
        <v>50</v>
      </c>
      <c r="N5119" s="42" t="s">
        <v>16408</v>
      </c>
      <c r="O5119" s="67">
        <v>45951.658946724536</v>
      </c>
      <c r="P5119" s="35" t="s">
        <v>20528</v>
      </c>
      <c r="Q5119" s="13" t="s">
        <v>67</v>
      </c>
      <c r="R5119" s="13" t="s">
        <v>67</v>
      </c>
      <c r="S5119" s="13" t="s">
        <v>50</v>
      </c>
      <c r="T5119" s="44">
        <v>45951.59940283565</v>
      </c>
      <c r="U5119" s="44">
        <v>45951.59970478009</v>
      </c>
      <c r="V5119" s="44">
        <v>45951.601757881945</v>
      </c>
      <c r="W5119" s="11"/>
      <c r="X5119" s="11"/>
      <c r="Y5119" s="45">
        <v>302.0</v>
      </c>
      <c r="Z5119" s="45" t="s">
        <v>20542</v>
      </c>
      <c r="AA5119" s="31"/>
      <c r="AB5119" s="45" t="s">
        <v>20543</v>
      </c>
      <c r="AC5119" s="45"/>
    </row>
    <row r="5120" ht="18.75" customHeight="1">
      <c r="A5120" s="18" t="s">
        <v>20544</v>
      </c>
      <c r="B5120" s="19" t="s">
        <v>19002</v>
      </c>
      <c r="C5120" s="20">
        <v>1.0</v>
      </c>
      <c r="D5120" s="39" t="s">
        <v>20545</v>
      </c>
      <c r="E5120" s="27" t="s">
        <v>3395</v>
      </c>
      <c r="F5120" s="27" t="s">
        <v>48</v>
      </c>
      <c r="G5120" s="18" t="s">
        <v>35</v>
      </c>
      <c r="H5120" s="40" t="s">
        <v>35</v>
      </c>
      <c r="I5120" s="37" t="s">
        <v>36</v>
      </c>
      <c r="J5120" s="25" t="s">
        <v>65</v>
      </c>
      <c r="K5120" s="26" t="s">
        <v>38</v>
      </c>
      <c r="L5120" s="25">
        <v>14236.0</v>
      </c>
      <c r="M5120" s="49" t="s">
        <v>50</v>
      </c>
      <c r="N5120" s="42" t="s">
        <v>16408</v>
      </c>
      <c r="O5120" s="67">
        <v>45951.6589928125</v>
      </c>
      <c r="P5120" s="35" t="s">
        <v>20528</v>
      </c>
      <c r="Q5120" s="13" t="s">
        <v>67</v>
      </c>
      <c r="R5120" s="13" t="s">
        <v>67</v>
      </c>
      <c r="S5120" s="13" t="s">
        <v>50</v>
      </c>
      <c r="T5120" s="44">
        <v>45951.59945887732</v>
      </c>
      <c r="U5120" s="44">
        <v>45951.59974255787</v>
      </c>
      <c r="V5120" s="44">
        <v>45951.601757881945</v>
      </c>
      <c r="W5120" s="11"/>
      <c r="X5120" s="11"/>
      <c r="Y5120" s="45">
        <v>302.0</v>
      </c>
      <c r="Z5120" s="45" t="s">
        <v>20546</v>
      </c>
      <c r="AA5120" s="31"/>
      <c r="AB5120" s="45" t="s">
        <v>20547</v>
      </c>
      <c r="AC5120" s="45"/>
    </row>
    <row r="5121" ht="18.75" customHeight="1">
      <c r="A5121" s="18" t="s">
        <v>20548</v>
      </c>
      <c r="B5121" s="19" t="s">
        <v>19002</v>
      </c>
      <c r="C5121" s="20">
        <v>1.0</v>
      </c>
      <c r="D5121" s="179"/>
      <c r="E5121" s="27" t="s">
        <v>3395</v>
      </c>
      <c r="F5121" s="27" t="s">
        <v>48</v>
      </c>
      <c r="G5121" s="18" t="s">
        <v>35</v>
      </c>
      <c r="H5121" s="40" t="s">
        <v>35</v>
      </c>
      <c r="I5121" s="37" t="s">
        <v>18314</v>
      </c>
      <c r="J5121" s="25" t="s">
        <v>19882</v>
      </c>
      <c r="K5121" s="26" t="s">
        <v>38</v>
      </c>
      <c r="L5121" s="25">
        <v>-14235.0</v>
      </c>
      <c r="M5121" s="49"/>
      <c r="N5121" s="42"/>
      <c r="O5121" s="68"/>
      <c r="P5121" s="35" t="s">
        <v>20528</v>
      </c>
      <c r="Q5121" s="13" t="s">
        <v>75</v>
      </c>
      <c r="R5121" s="13" t="s">
        <v>75</v>
      </c>
      <c r="S5121" s="13" t="s">
        <v>75</v>
      </c>
      <c r="T5121" s="44">
        <v>45911.4365396412</v>
      </c>
      <c r="U5121" s="44">
        <v>45951.58909059028</v>
      </c>
      <c r="V5121" s="13"/>
      <c r="W5121" s="11"/>
      <c r="X5121" s="11"/>
      <c r="Y5121" s="45"/>
      <c r="Z5121" s="45"/>
      <c r="AA5121" s="31"/>
      <c r="AB5121" s="45" t="s">
        <v>20549</v>
      </c>
      <c r="AC5121" s="45"/>
    </row>
    <row r="5122" ht="18.75" customHeight="1">
      <c r="A5122" s="18" t="s">
        <v>20550</v>
      </c>
      <c r="B5122" s="19" t="s">
        <v>19002</v>
      </c>
      <c r="C5122" s="20">
        <v>1.0</v>
      </c>
      <c r="D5122" s="179"/>
      <c r="E5122" s="27" t="s">
        <v>3395</v>
      </c>
      <c r="F5122" s="27" t="s">
        <v>48</v>
      </c>
      <c r="G5122" s="18" t="s">
        <v>35</v>
      </c>
      <c r="H5122" s="40" t="s">
        <v>35</v>
      </c>
      <c r="I5122" s="37" t="s">
        <v>18314</v>
      </c>
      <c r="J5122" s="25" t="s">
        <v>19882</v>
      </c>
      <c r="K5122" s="26" t="s">
        <v>38</v>
      </c>
      <c r="L5122" s="25">
        <v>-14235.0</v>
      </c>
      <c r="M5122" s="49"/>
      <c r="N5122" s="42"/>
      <c r="O5122" s="68"/>
      <c r="P5122" s="35" t="s">
        <v>20528</v>
      </c>
      <c r="Q5122" s="13" t="s">
        <v>75</v>
      </c>
      <c r="R5122" s="13" t="s">
        <v>75</v>
      </c>
      <c r="S5122" s="13" t="s">
        <v>75</v>
      </c>
      <c r="T5122" s="44">
        <v>45911.43658818287</v>
      </c>
      <c r="U5122" s="44">
        <v>45951.58920635417</v>
      </c>
      <c r="V5122" s="13"/>
      <c r="W5122" s="11"/>
      <c r="X5122" s="11"/>
      <c r="Y5122" s="45"/>
      <c r="Z5122" s="45"/>
      <c r="AA5122" s="31"/>
      <c r="AB5122" s="45" t="s">
        <v>20551</v>
      </c>
      <c r="AC5122" s="45"/>
    </row>
    <row r="5123" ht="18.75" customHeight="1">
      <c r="A5123" s="18" t="s">
        <v>20552</v>
      </c>
      <c r="B5123" s="19" t="s">
        <v>19002</v>
      </c>
      <c r="C5123" s="20">
        <v>1.0</v>
      </c>
      <c r="D5123" s="179"/>
      <c r="E5123" s="27" t="s">
        <v>3395</v>
      </c>
      <c r="F5123" s="27" t="s">
        <v>48</v>
      </c>
      <c r="G5123" s="18" t="s">
        <v>35</v>
      </c>
      <c r="H5123" s="40" t="s">
        <v>35</v>
      </c>
      <c r="I5123" s="37" t="s">
        <v>18314</v>
      </c>
      <c r="J5123" s="25" t="s">
        <v>19882</v>
      </c>
      <c r="K5123" s="26" t="s">
        <v>38</v>
      </c>
      <c r="L5123" s="25">
        <v>-14235.0</v>
      </c>
      <c r="M5123" s="49"/>
      <c r="N5123" s="42"/>
      <c r="O5123" s="68"/>
      <c r="P5123" s="35" t="s">
        <v>20528</v>
      </c>
      <c r="Q5123" s="13" t="s">
        <v>75</v>
      </c>
      <c r="R5123" s="13" t="s">
        <v>75</v>
      </c>
      <c r="S5123" s="13" t="s">
        <v>75</v>
      </c>
      <c r="T5123" s="44">
        <v>45911.436656481485</v>
      </c>
      <c r="U5123" s="44">
        <v>45951.589212719904</v>
      </c>
      <c r="V5123" s="13"/>
      <c r="W5123" s="11"/>
      <c r="X5123" s="11"/>
      <c r="Y5123" s="45"/>
      <c r="Z5123" s="45"/>
      <c r="AA5123" s="31"/>
      <c r="AB5123" s="45" t="s">
        <v>20553</v>
      </c>
      <c r="AC5123" s="45"/>
    </row>
    <row r="5124" ht="18.75" customHeight="1">
      <c r="A5124" s="18" t="s">
        <v>20554</v>
      </c>
      <c r="B5124" s="19" t="s">
        <v>19002</v>
      </c>
      <c r="C5124" s="20">
        <v>1.0</v>
      </c>
      <c r="D5124" s="179"/>
      <c r="E5124" s="27" t="s">
        <v>3395</v>
      </c>
      <c r="F5124" s="27" t="s">
        <v>48</v>
      </c>
      <c r="G5124" s="18" t="s">
        <v>35</v>
      </c>
      <c r="H5124" s="40" t="s">
        <v>35</v>
      </c>
      <c r="I5124" s="37" t="s">
        <v>18314</v>
      </c>
      <c r="J5124" s="25" t="s">
        <v>19882</v>
      </c>
      <c r="K5124" s="26" t="s">
        <v>38</v>
      </c>
      <c r="L5124" s="25">
        <v>-14235.0</v>
      </c>
      <c r="M5124" s="49"/>
      <c r="N5124" s="42"/>
      <c r="O5124" s="68"/>
      <c r="P5124" s="35" t="s">
        <v>20528</v>
      </c>
      <c r="Q5124" s="13" t="s">
        <v>75</v>
      </c>
      <c r="R5124" s="13" t="s">
        <v>75</v>
      </c>
      <c r="S5124" s="13" t="s">
        <v>75</v>
      </c>
      <c r="T5124" s="44">
        <v>45911.43670914352</v>
      </c>
      <c r="U5124" s="44">
        <v>45951.58923435185</v>
      </c>
      <c r="V5124" s="13"/>
      <c r="W5124" s="11"/>
      <c r="X5124" s="11"/>
      <c r="Y5124" s="45"/>
      <c r="Z5124" s="45"/>
      <c r="AA5124" s="31"/>
      <c r="AB5124" s="45" t="s">
        <v>20555</v>
      </c>
      <c r="AC5124" s="45"/>
    </row>
    <row r="5125" ht="18.75" customHeight="1">
      <c r="A5125" s="18" t="s">
        <v>20556</v>
      </c>
      <c r="B5125" s="19" t="s">
        <v>19002</v>
      </c>
      <c r="C5125" s="20">
        <v>1.0</v>
      </c>
      <c r="D5125" s="179"/>
      <c r="E5125" s="27" t="s">
        <v>3395</v>
      </c>
      <c r="F5125" s="27" t="s">
        <v>48</v>
      </c>
      <c r="G5125" s="18" t="s">
        <v>35</v>
      </c>
      <c r="H5125" s="40" t="s">
        <v>35</v>
      </c>
      <c r="I5125" s="37" t="s">
        <v>18314</v>
      </c>
      <c r="J5125" s="25" t="s">
        <v>19882</v>
      </c>
      <c r="K5125" s="26" t="s">
        <v>38</v>
      </c>
      <c r="L5125" s="25">
        <v>-14235.0</v>
      </c>
      <c r="M5125" s="49"/>
      <c r="N5125" s="42"/>
      <c r="O5125" s="68"/>
      <c r="P5125" s="35" t="s">
        <v>20528</v>
      </c>
      <c r="Q5125" s="13" t="s">
        <v>75</v>
      </c>
      <c r="R5125" s="13" t="s">
        <v>75</v>
      </c>
      <c r="S5125" s="13" t="s">
        <v>75</v>
      </c>
      <c r="T5125" s="44">
        <v>45911.436764976854</v>
      </c>
      <c r="U5125" s="44">
        <v>45951.58925210648</v>
      </c>
      <c r="V5125" s="13"/>
      <c r="W5125" s="11"/>
      <c r="X5125" s="11"/>
      <c r="Y5125" s="45"/>
      <c r="Z5125" s="45"/>
      <c r="AA5125" s="31"/>
      <c r="AB5125" s="45" t="s">
        <v>20557</v>
      </c>
      <c r="AC5125" s="45"/>
    </row>
    <row r="5126" ht="18.75" customHeight="1">
      <c r="A5126" s="32" t="s">
        <v>20558</v>
      </c>
      <c r="B5126" s="19" t="s">
        <v>19002</v>
      </c>
      <c r="C5126" s="20">
        <v>0.0</v>
      </c>
      <c r="D5126" s="39" t="s">
        <v>20559</v>
      </c>
      <c r="E5126" s="27" t="s">
        <v>3441</v>
      </c>
      <c r="F5126" s="27" t="s">
        <v>48</v>
      </c>
      <c r="G5126" s="18" t="s">
        <v>35</v>
      </c>
      <c r="H5126" s="40" t="s">
        <v>35</v>
      </c>
      <c r="I5126" s="37" t="s">
        <v>36</v>
      </c>
      <c r="J5126" s="25" t="s">
        <v>19882</v>
      </c>
      <c r="K5126" s="26" t="s">
        <v>38</v>
      </c>
      <c r="L5126" s="72">
        <v>13875.0</v>
      </c>
      <c r="M5126" s="49" t="s">
        <v>73</v>
      </c>
      <c r="N5126" s="65" t="s">
        <v>19883</v>
      </c>
      <c r="O5126" s="224">
        <v>45916.0</v>
      </c>
      <c r="P5126" s="35" t="s">
        <v>20560</v>
      </c>
      <c r="Q5126" s="13" t="s">
        <v>75</v>
      </c>
      <c r="R5126" s="13" t="s">
        <v>75</v>
      </c>
      <c r="S5126" s="13" t="s">
        <v>73</v>
      </c>
      <c r="T5126" s="44">
        <v>45916.78512738426</v>
      </c>
      <c r="U5126" s="44">
        <v>45916.78615559028</v>
      </c>
      <c r="V5126" s="44">
        <v>45916.41688585648</v>
      </c>
      <c r="W5126" s="11"/>
      <c r="X5126" s="11"/>
      <c r="Y5126" s="45">
        <v>302.0</v>
      </c>
      <c r="Z5126" s="45" t="s">
        <v>20561</v>
      </c>
      <c r="AA5126" s="31"/>
      <c r="AB5126" s="45" t="s">
        <v>20562</v>
      </c>
      <c r="AC5126" s="45"/>
    </row>
    <row r="5127" ht="18.75" customHeight="1">
      <c r="A5127" s="32" t="s">
        <v>20563</v>
      </c>
      <c r="B5127" s="19" t="s">
        <v>19002</v>
      </c>
      <c r="C5127" s="20">
        <v>0.0</v>
      </c>
      <c r="D5127" s="39" t="s">
        <v>20564</v>
      </c>
      <c r="E5127" s="27" t="s">
        <v>3441</v>
      </c>
      <c r="F5127" s="27" t="s">
        <v>48</v>
      </c>
      <c r="G5127" s="18" t="s">
        <v>35</v>
      </c>
      <c r="H5127" s="40" t="s">
        <v>35</v>
      </c>
      <c r="I5127" s="37" t="s">
        <v>36</v>
      </c>
      <c r="J5127" s="25" t="s">
        <v>19882</v>
      </c>
      <c r="K5127" s="26" t="s">
        <v>38</v>
      </c>
      <c r="L5127" s="72">
        <v>13875.0</v>
      </c>
      <c r="M5127" s="49" t="s">
        <v>73</v>
      </c>
      <c r="N5127" s="65" t="s">
        <v>19883</v>
      </c>
      <c r="O5127" s="224">
        <v>45916.0</v>
      </c>
      <c r="P5127" s="35" t="s">
        <v>20560</v>
      </c>
      <c r="Q5127" s="13" t="s">
        <v>75</v>
      </c>
      <c r="R5127" s="13" t="s">
        <v>75</v>
      </c>
      <c r="S5127" s="13" t="s">
        <v>73</v>
      </c>
      <c r="T5127" s="44">
        <v>45916.78520549768</v>
      </c>
      <c r="U5127" s="44">
        <v>45916.786207488425</v>
      </c>
      <c r="V5127" s="44">
        <v>45915.67599005787</v>
      </c>
      <c r="W5127" s="11"/>
      <c r="X5127" s="11"/>
      <c r="Y5127" s="45">
        <v>302.0</v>
      </c>
      <c r="Z5127" s="45" t="s">
        <v>20565</v>
      </c>
      <c r="AA5127" s="31"/>
      <c r="AB5127" s="45" t="s">
        <v>20566</v>
      </c>
      <c r="AC5127" s="45"/>
    </row>
    <row r="5128" ht="18.75" customHeight="1">
      <c r="A5128" s="32" t="s">
        <v>20567</v>
      </c>
      <c r="B5128" s="19" t="s">
        <v>19002</v>
      </c>
      <c r="C5128" s="20">
        <v>0.0</v>
      </c>
      <c r="D5128" s="39" t="s">
        <v>20568</v>
      </c>
      <c r="E5128" s="27" t="s">
        <v>3441</v>
      </c>
      <c r="F5128" s="27" t="s">
        <v>48</v>
      </c>
      <c r="G5128" s="18" t="s">
        <v>35</v>
      </c>
      <c r="H5128" s="40" t="s">
        <v>35</v>
      </c>
      <c r="I5128" s="37" t="s">
        <v>36</v>
      </c>
      <c r="J5128" s="25" t="s">
        <v>19882</v>
      </c>
      <c r="K5128" s="26" t="s">
        <v>38</v>
      </c>
      <c r="L5128" s="72">
        <v>13875.0</v>
      </c>
      <c r="M5128" s="49" t="s">
        <v>73</v>
      </c>
      <c r="N5128" s="65" t="s">
        <v>19883</v>
      </c>
      <c r="O5128" s="224">
        <v>45916.0</v>
      </c>
      <c r="P5128" s="35" t="s">
        <v>20560</v>
      </c>
      <c r="Q5128" s="13" t="s">
        <v>75</v>
      </c>
      <c r="R5128" s="13" t="s">
        <v>75</v>
      </c>
      <c r="S5128" s="13" t="s">
        <v>73</v>
      </c>
      <c r="T5128" s="44">
        <v>45916.785284618054</v>
      </c>
      <c r="U5128" s="44">
        <v>45916.78624991898</v>
      </c>
      <c r="V5128" s="44">
        <v>45915.67591759259</v>
      </c>
      <c r="W5128" s="11"/>
      <c r="X5128" s="11"/>
      <c r="Y5128" s="45">
        <v>302.0</v>
      </c>
      <c r="Z5128" s="45" t="s">
        <v>20569</v>
      </c>
      <c r="AA5128" s="31"/>
      <c r="AB5128" s="45" t="s">
        <v>20570</v>
      </c>
      <c r="AC5128" s="45"/>
    </row>
    <row r="5129" ht="18.75" customHeight="1">
      <c r="A5129" s="32" t="s">
        <v>20571</v>
      </c>
      <c r="B5129" s="19" t="s">
        <v>19002</v>
      </c>
      <c r="C5129" s="20">
        <v>0.0</v>
      </c>
      <c r="D5129" s="39" t="s">
        <v>20572</v>
      </c>
      <c r="E5129" s="27" t="s">
        <v>3441</v>
      </c>
      <c r="F5129" s="27" t="s">
        <v>48</v>
      </c>
      <c r="G5129" s="18" t="s">
        <v>35</v>
      </c>
      <c r="H5129" s="40" t="s">
        <v>35</v>
      </c>
      <c r="I5129" s="37" t="s">
        <v>36</v>
      </c>
      <c r="J5129" s="25" t="s">
        <v>19882</v>
      </c>
      <c r="K5129" s="26" t="s">
        <v>38</v>
      </c>
      <c r="L5129" s="72">
        <v>13875.0</v>
      </c>
      <c r="M5129" s="49" t="s">
        <v>73</v>
      </c>
      <c r="N5129" s="65" t="s">
        <v>19883</v>
      </c>
      <c r="O5129" s="224">
        <v>45916.0</v>
      </c>
      <c r="P5129" s="35" t="s">
        <v>20560</v>
      </c>
      <c r="Q5129" s="13" t="s">
        <v>75</v>
      </c>
      <c r="R5129" s="13" t="s">
        <v>75</v>
      </c>
      <c r="S5129" s="13" t="s">
        <v>73</v>
      </c>
      <c r="T5129" s="44">
        <v>45916.785360995375</v>
      </c>
      <c r="U5129" s="44">
        <v>45916.786300023145</v>
      </c>
      <c r="V5129" s="44">
        <v>45915.67941159722</v>
      </c>
      <c r="W5129" s="11"/>
      <c r="X5129" s="11"/>
      <c r="Y5129" s="45">
        <v>302.0</v>
      </c>
      <c r="Z5129" s="45" t="s">
        <v>20573</v>
      </c>
      <c r="AA5129" s="31"/>
      <c r="AB5129" s="45" t="s">
        <v>20574</v>
      </c>
      <c r="AC5129" s="45"/>
    </row>
    <row r="5130" ht="18.75" customHeight="1">
      <c r="A5130" s="32" t="s">
        <v>20575</v>
      </c>
      <c r="B5130" s="19" t="s">
        <v>19002</v>
      </c>
      <c r="C5130" s="20">
        <v>27.0</v>
      </c>
      <c r="D5130" s="39" t="s">
        <v>20576</v>
      </c>
      <c r="E5130" s="27" t="s">
        <v>72</v>
      </c>
      <c r="F5130" s="27" t="s">
        <v>48</v>
      </c>
      <c r="G5130" s="18" t="s">
        <v>35</v>
      </c>
      <c r="H5130" s="40" t="s">
        <v>35</v>
      </c>
      <c r="I5130" s="37" t="s">
        <v>36</v>
      </c>
      <c r="J5130" s="25" t="s">
        <v>19882</v>
      </c>
      <c r="K5130" s="26" t="s">
        <v>38</v>
      </c>
      <c r="L5130" s="72">
        <v>13875.0</v>
      </c>
      <c r="M5130" s="49" t="s">
        <v>73</v>
      </c>
      <c r="N5130" s="65" t="s">
        <v>19883</v>
      </c>
      <c r="O5130" s="224">
        <v>45916.0</v>
      </c>
      <c r="P5130" s="35" t="s">
        <v>20560</v>
      </c>
      <c r="Q5130" s="13" t="s">
        <v>75</v>
      </c>
      <c r="R5130" s="13" t="s">
        <v>75</v>
      </c>
      <c r="S5130" s="13" t="s">
        <v>73</v>
      </c>
      <c r="T5130" s="44">
        <v>45916.78567353009</v>
      </c>
      <c r="U5130" s="44">
        <v>45916.786465</v>
      </c>
      <c r="V5130" s="44">
        <v>45915.67315259259</v>
      </c>
      <c r="W5130" s="11"/>
      <c r="X5130" s="11"/>
      <c r="Y5130" s="45">
        <v>302.0</v>
      </c>
      <c r="Z5130" s="45" t="s">
        <v>20577</v>
      </c>
      <c r="AA5130" s="31"/>
      <c r="AB5130" s="45" t="s">
        <v>20578</v>
      </c>
      <c r="AC5130" s="45"/>
    </row>
    <row r="5131" ht="18.75" customHeight="1">
      <c r="A5131" s="32" t="s">
        <v>20579</v>
      </c>
      <c r="B5131" s="19" t="s">
        <v>19002</v>
      </c>
      <c r="C5131" s="20">
        <v>137.0</v>
      </c>
      <c r="D5131" s="39" t="s">
        <v>20580</v>
      </c>
      <c r="E5131" s="27" t="s">
        <v>85</v>
      </c>
      <c r="F5131" s="27" t="s">
        <v>48</v>
      </c>
      <c r="G5131" s="18" t="s">
        <v>35</v>
      </c>
      <c r="H5131" s="40" t="s">
        <v>35</v>
      </c>
      <c r="I5131" s="37" t="s">
        <v>36</v>
      </c>
      <c r="J5131" s="25" t="s">
        <v>19882</v>
      </c>
      <c r="K5131" s="26" t="s">
        <v>38</v>
      </c>
      <c r="L5131" s="72">
        <v>13875.0</v>
      </c>
      <c r="M5131" s="49" t="s">
        <v>73</v>
      </c>
      <c r="N5131" s="65" t="s">
        <v>19883</v>
      </c>
      <c r="O5131" s="224">
        <v>45916.0</v>
      </c>
      <c r="P5131" s="35" t="s">
        <v>20560</v>
      </c>
      <c r="Q5131" s="13" t="s">
        <v>75</v>
      </c>
      <c r="R5131" s="13" t="s">
        <v>75</v>
      </c>
      <c r="S5131" s="13" t="s">
        <v>73</v>
      </c>
      <c r="T5131" s="44">
        <v>45916.78575008102</v>
      </c>
      <c r="U5131" s="44">
        <v>45916.78681172454</v>
      </c>
      <c r="V5131" s="44">
        <v>45916.419153483796</v>
      </c>
      <c r="W5131" s="11"/>
      <c r="X5131" s="11"/>
      <c r="Y5131" s="45">
        <v>302.0</v>
      </c>
      <c r="Z5131" s="45" t="s">
        <v>20581</v>
      </c>
      <c r="AA5131" s="31"/>
      <c r="AB5131" s="45" t="s">
        <v>20582</v>
      </c>
      <c r="AC5131" s="45"/>
    </row>
    <row r="5132" ht="18.75" customHeight="1">
      <c r="A5132" s="32" t="s">
        <v>20583</v>
      </c>
      <c r="B5132" s="19" t="s">
        <v>19002</v>
      </c>
      <c r="C5132" s="20">
        <v>137.0</v>
      </c>
      <c r="D5132" s="39" t="s">
        <v>20584</v>
      </c>
      <c r="E5132" s="27" t="s">
        <v>85</v>
      </c>
      <c r="F5132" s="27" t="s">
        <v>48</v>
      </c>
      <c r="G5132" s="18" t="s">
        <v>35</v>
      </c>
      <c r="H5132" s="40" t="s">
        <v>35</v>
      </c>
      <c r="I5132" s="37" t="s">
        <v>36</v>
      </c>
      <c r="J5132" s="25" t="s">
        <v>19882</v>
      </c>
      <c r="K5132" s="26" t="s">
        <v>38</v>
      </c>
      <c r="L5132" s="72">
        <v>13875.0</v>
      </c>
      <c r="M5132" s="49" t="s">
        <v>73</v>
      </c>
      <c r="N5132" s="65" t="s">
        <v>19883</v>
      </c>
      <c r="O5132" s="224">
        <v>45916.0</v>
      </c>
      <c r="P5132" s="35" t="s">
        <v>20560</v>
      </c>
      <c r="Q5132" s="13" t="s">
        <v>75</v>
      </c>
      <c r="R5132" s="13" t="s">
        <v>75</v>
      </c>
      <c r="S5132" s="13" t="s">
        <v>73</v>
      </c>
      <c r="T5132" s="44">
        <v>45916.785932025465</v>
      </c>
      <c r="U5132" s="44">
        <v>45916.78687753472</v>
      </c>
      <c r="V5132" s="44">
        <v>45916.41927915509</v>
      </c>
      <c r="W5132" s="11"/>
      <c r="X5132" s="11"/>
      <c r="Y5132" s="45">
        <v>302.0</v>
      </c>
      <c r="Z5132" s="45" t="s">
        <v>20585</v>
      </c>
      <c r="AA5132" s="31"/>
      <c r="AB5132" s="45" t="s">
        <v>20586</v>
      </c>
      <c r="AC5132" s="45"/>
    </row>
    <row r="5133" ht="18.75" customHeight="1">
      <c r="A5133" s="32" t="s">
        <v>20587</v>
      </c>
      <c r="B5133" s="19" t="s">
        <v>19002</v>
      </c>
      <c r="C5133" s="20">
        <v>137.0</v>
      </c>
      <c r="D5133" s="39" t="s">
        <v>20588</v>
      </c>
      <c r="E5133" s="27" t="s">
        <v>85</v>
      </c>
      <c r="F5133" s="27" t="s">
        <v>48</v>
      </c>
      <c r="G5133" s="18" t="s">
        <v>35</v>
      </c>
      <c r="H5133" s="40" t="s">
        <v>35</v>
      </c>
      <c r="I5133" s="37" t="s">
        <v>36</v>
      </c>
      <c r="J5133" s="25" t="s">
        <v>19882</v>
      </c>
      <c r="K5133" s="26" t="s">
        <v>38</v>
      </c>
      <c r="L5133" s="72">
        <v>13875.0</v>
      </c>
      <c r="M5133" s="49" t="s">
        <v>73</v>
      </c>
      <c r="N5133" s="65" t="s">
        <v>19883</v>
      </c>
      <c r="O5133" s="224">
        <v>45916.0</v>
      </c>
      <c r="P5133" s="35" t="s">
        <v>20560</v>
      </c>
      <c r="Q5133" s="13" t="s">
        <v>75</v>
      </c>
      <c r="R5133" s="13" t="s">
        <v>75</v>
      </c>
      <c r="S5133" s="13" t="s">
        <v>73</v>
      </c>
      <c r="T5133" s="44">
        <v>45916.78601083333</v>
      </c>
      <c r="U5133" s="44">
        <v>45916.78693495371</v>
      </c>
      <c r="V5133" s="44">
        <v>45916.41939472222</v>
      </c>
      <c r="W5133" s="11"/>
      <c r="X5133" s="11"/>
      <c r="Y5133" s="45">
        <v>302.0</v>
      </c>
      <c r="Z5133" s="45" t="s">
        <v>20589</v>
      </c>
      <c r="AA5133" s="31"/>
      <c r="AB5133" s="45" t="s">
        <v>20590</v>
      </c>
      <c r="AC5133" s="45"/>
    </row>
    <row r="5134" ht="18.75" customHeight="1">
      <c r="A5134" s="18" t="s">
        <v>20591</v>
      </c>
      <c r="B5134" s="19" t="s">
        <v>12937</v>
      </c>
      <c r="C5134" s="20">
        <v>0.0</v>
      </c>
      <c r="D5134" s="39" t="s">
        <v>20592</v>
      </c>
      <c r="E5134" s="27" t="s">
        <v>3441</v>
      </c>
      <c r="F5134" s="27" t="s">
        <v>48</v>
      </c>
      <c r="G5134" s="18" t="s">
        <v>35</v>
      </c>
      <c r="H5134" s="40" t="s">
        <v>35</v>
      </c>
      <c r="I5134" s="37" t="s">
        <v>36</v>
      </c>
      <c r="J5134" s="25" t="s">
        <v>65</v>
      </c>
      <c r="K5134" s="26" t="s">
        <v>38</v>
      </c>
      <c r="L5134" s="72">
        <v>13843.0</v>
      </c>
      <c r="M5134" s="49" t="s">
        <v>50</v>
      </c>
      <c r="N5134" s="42" t="s">
        <v>16408</v>
      </c>
      <c r="O5134" s="67">
        <v>45912.63622748843</v>
      </c>
      <c r="P5134" s="35" t="s">
        <v>15829</v>
      </c>
      <c r="Q5134" s="13" t="s">
        <v>75</v>
      </c>
      <c r="R5134" s="13" t="s">
        <v>75</v>
      </c>
      <c r="S5134" s="13" t="s">
        <v>73</v>
      </c>
      <c r="T5134" s="44">
        <v>45911.443568946765</v>
      </c>
      <c r="U5134" s="44">
        <v>45911.63164290509</v>
      </c>
      <c r="V5134" s="44">
        <v>45912.40435193287</v>
      </c>
      <c r="W5134" s="11"/>
      <c r="X5134" s="11"/>
      <c r="Y5134" s="45">
        <v>302.0</v>
      </c>
      <c r="Z5134" s="45" t="s">
        <v>20593</v>
      </c>
      <c r="AA5134" s="31"/>
      <c r="AB5134" s="45" t="s">
        <v>20594</v>
      </c>
      <c r="AC5134" s="45"/>
    </row>
    <row r="5135" ht="18.75" customHeight="1">
      <c r="A5135" s="18" t="s">
        <v>20595</v>
      </c>
      <c r="B5135" s="19" t="s">
        <v>12937</v>
      </c>
      <c r="C5135" s="20">
        <v>0.0</v>
      </c>
      <c r="D5135" s="39" t="s">
        <v>20596</v>
      </c>
      <c r="E5135" s="27" t="s">
        <v>3441</v>
      </c>
      <c r="F5135" s="27" t="s">
        <v>48</v>
      </c>
      <c r="G5135" s="18" t="s">
        <v>35</v>
      </c>
      <c r="H5135" s="40" t="s">
        <v>35</v>
      </c>
      <c r="I5135" s="37" t="s">
        <v>36</v>
      </c>
      <c r="J5135" s="25" t="s">
        <v>65</v>
      </c>
      <c r="K5135" s="26" t="s">
        <v>38</v>
      </c>
      <c r="L5135" s="72">
        <v>13843.0</v>
      </c>
      <c r="M5135" s="49" t="s">
        <v>50</v>
      </c>
      <c r="N5135" s="42" t="s">
        <v>16408</v>
      </c>
      <c r="O5135" s="67">
        <v>45912.63627783565</v>
      </c>
      <c r="P5135" s="35" t="s">
        <v>15829</v>
      </c>
      <c r="Q5135" s="13" t="s">
        <v>75</v>
      </c>
      <c r="R5135" s="13" t="s">
        <v>75</v>
      </c>
      <c r="S5135" s="13" t="s">
        <v>73</v>
      </c>
      <c r="T5135" s="44">
        <v>45911.44363905092</v>
      </c>
      <c r="U5135" s="44">
        <v>45911.63166815972</v>
      </c>
      <c r="V5135" s="44">
        <v>45912.40441466435</v>
      </c>
      <c r="W5135" s="11"/>
      <c r="X5135" s="11"/>
      <c r="Y5135" s="45">
        <v>302.0</v>
      </c>
      <c r="Z5135" s="45" t="s">
        <v>20597</v>
      </c>
      <c r="AA5135" s="31"/>
      <c r="AB5135" s="45" t="s">
        <v>20598</v>
      </c>
      <c r="AC5135" s="45"/>
    </row>
    <row r="5136" ht="18.75" customHeight="1">
      <c r="A5136" s="18" t="s">
        <v>20599</v>
      </c>
      <c r="B5136" s="19" t="s">
        <v>12937</v>
      </c>
      <c r="C5136" s="20">
        <v>0.0</v>
      </c>
      <c r="D5136" s="39" t="s">
        <v>20600</v>
      </c>
      <c r="E5136" s="27" t="s">
        <v>3441</v>
      </c>
      <c r="F5136" s="27" t="s">
        <v>48</v>
      </c>
      <c r="G5136" s="18" t="s">
        <v>35</v>
      </c>
      <c r="H5136" s="40" t="s">
        <v>35</v>
      </c>
      <c r="I5136" s="37" t="s">
        <v>36</v>
      </c>
      <c r="J5136" s="25" t="s">
        <v>65</v>
      </c>
      <c r="K5136" s="26" t="s">
        <v>38</v>
      </c>
      <c r="L5136" s="72">
        <v>13843.0</v>
      </c>
      <c r="M5136" s="49" t="s">
        <v>50</v>
      </c>
      <c r="N5136" s="42" t="s">
        <v>16408</v>
      </c>
      <c r="O5136" s="67">
        <v>45912.636326458334</v>
      </c>
      <c r="P5136" s="35" t="s">
        <v>15829</v>
      </c>
      <c r="Q5136" s="13" t="s">
        <v>75</v>
      </c>
      <c r="R5136" s="13" t="s">
        <v>75</v>
      </c>
      <c r="S5136" s="13" t="s">
        <v>73</v>
      </c>
      <c r="T5136" s="44">
        <v>45911.44370215278</v>
      </c>
      <c r="U5136" s="14" t="s">
        <v>20601</v>
      </c>
      <c r="V5136" s="44">
        <v>45912.404484618055</v>
      </c>
      <c r="W5136" s="11"/>
      <c r="X5136" s="11"/>
      <c r="Y5136" s="45">
        <v>302.0</v>
      </c>
      <c r="Z5136" s="45" t="s">
        <v>20602</v>
      </c>
      <c r="AA5136" s="31"/>
      <c r="AB5136" s="45" t="s">
        <v>20603</v>
      </c>
      <c r="AC5136" s="45"/>
    </row>
    <row r="5137" ht="18.75" customHeight="1">
      <c r="A5137" s="142" t="s">
        <v>20604</v>
      </c>
      <c r="B5137" s="19" t="s">
        <v>122</v>
      </c>
      <c r="C5137" s="20">
        <v>90.0</v>
      </c>
      <c r="D5137" s="39" t="s">
        <v>20605</v>
      </c>
      <c r="E5137" s="27" t="s">
        <v>91</v>
      </c>
      <c r="F5137" s="27" t="s">
        <v>48</v>
      </c>
      <c r="G5137" s="18" t="s">
        <v>35</v>
      </c>
      <c r="H5137" s="40" t="s">
        <v>35</v>
      </c>
      <c r="I5137" s="37" t="s">
        <v>36</v>
      </c>
      <c r="J5137" s="25" t="s">
        <v>49</v>
      </c>
      <c r="K5137" s="26" t="s">
        <v>38</v>
      </c>
      <c r="L5137" s="72">
        <v>13869.0</v>
      </c>
      <c r="M5137" s="49" t="s">
        <v>73</v>
      </c>
      <c r="N5137" s="42" t="s">
        <v>17048</v>
      </c>
      <c r="O5137" s="67">
        <v>45916.55821725694</v>
      </c>
      <c r="P5137" s="35" t="s">
        <v>20606</v>
      </c>
      <c r="Q5137" s="13" t="s">
        <v>75</v>
      </c>
      <c r="R5137" s="13" t="s">
        <v>75</v>
      </c>
      <c r="S5137" s="13" t="s">
        <v>73</v>
      </c>
      <c r="T5137" s="44">
        <v>45912.56288751157</v>
      </c>
      <c r="U5137" s="44">
        <v>45915.67212773148</v>
      </c>
      <c r="V5137" s="44">
        <v>45916.37736894676</v>
      </c>
      <c r="W5137" s="11"/>
      <c r="X5137" s="11"/>
      <c r="Y5137" s="45">
        <v>302.0</v>
      </c>
      <c r="Z5137" s="45" t="s">
        <v>20607</v>
      </c>
      <c r="AA5137" s="31"/>
      <c r="AB5137" s="45" t="s">
        <v>20608</v>
      </c>
      <c r="AC5137" s="45"/>
    </row>
    <row r="5138" ht="18.75" customHeight="1">
      <c r="A5138" s="142" t="s">
        <v>20609</v>
      </c>
      <c r="B5138" s="19" t="s">
        <v>9101</v>
      </c>
      <c r="C5138" s="20">
        <v>137.0</v>
      </c>
      <c r="D5138" s="39" t="s">
        <v>20610</v>
      </c>
      <c r="E5138" s="27" t="s">
        <v>85</v>
      </c>
      <c r="F5138" s="27" t="s">
        <v>48</v>
      </c>
      <c r="G5138" s="18" t="s">
        <v>35</v>
      </c>
      <c r="H5138" s="40" t="s">
        <v>35</v>
      </c>
      <c r="I5138" s="24" t="s">
        <v>36</v>
      </c>
      <c r="J5138" s="25" t="s">
        <v>65</v>
      </c>
      <c r="K5138" s="26" t="s">
        <v>38</v>
      </c>
      <c r="L5138" s="72">
        <v>13878.0</v>
      </c>
      <c r="M5138" s="226" t="s">
        <v>16407</v>
      </c>
      <c r="N5138" s="214" t="s">
        <v>16408</v>
      </c>
      <c r="O5138" s="227">
        <v>45916.0</v>
      </c>
      <c r="P5138" s="35" t="s">
        <v>20611</v>
      </c>
      <c r="Q5138" s="13" t="s">
        <v>75</v>
      </c>
      <c r="R5138" s="13" t="s">
        <v>75</v>
      </c>
      <c r="S5138" s="13" t="s">
        <v>73</v>
      </c>
      <c r="T5138" s="44">
        <v>45912.570767384255</v>
      </c>
      <c r="U5138" s="44">
        <v>45916.520695405095</v>
      </c>
      <c r="V5138" s="44">
        <v>45916.59224790509</v>
      </c>
      <c r="W5138" s="11"/>
      <c r="X5138" s="11"/>
      <c r="Y5138" s="45">
        <v>302.0</v>
      </c>
      <c r="Z5138" s="45" t="s">
        <v>20612</v>
      </c>
      <c r="AA5138" s="31"/>
      <c r="AB5138" s="45" t="s">
        <v>20613</v>
      </c>
      <c r="AC5138" s="45"/>
    </row>
    <row r="5139" ht="18.75" customHeight="1">
      <c r="A5139" s="18" t="s">
        <v>20614</v>
      </c>
      <c r="B5139" s="19" t="s">
        <v>18904</v>
      </c>
      <c r="C5139" s="20">
        <v>137.0</v>
      </c>
      <c r="D5139" s="39"/>
      <c r="E5139" s="27" t="s">
        <v>85</v>
      </c>
      <c r="F5139" s="27" t="s">
        <v>48</v>
      </c>
      <c r="G5139" s="18" t="s">
        <v>35</v>
      </c>
      <c r="H5139" s="40" t="s">
        <v>35</v>
      </c>
      <c r="I5139" s="37" t="s">
        <v>17277</v>
      </c>
      <c r="J5139" s="25" t="s">
        <v>65</v>
      </c>
      <c r="K5139" s="26" t="s">
        <v>38</v>
      </c>
      <c r="L5139" s="25"/>
      <c r="M5139" s="49"/>
      <c r="N5139" s="42"/>
      <c r="O5139" s="68"/>
      <c r="P5139" s="35" t="s">
        <v>20615</v>
      </c>
      <c r="Q5139" s="13" t="s">
        <v>75</v>
      </c>
      <c r="R5139" s="13"/>
      <c r="S5139" s="13"/>
      <c r="T5139" s="44">
        <v>45912.57126556713</v>
      </c>
      <c r="U5139" s="13"/>
      <c r="V5139" s="13"/>
      <c r="W5139" s="11"/>
      <c r="X5139" s="11"/>
      <c r="Y5139" s="45"/>
      <c r="Z5139" s="45"/>
      <c r="AA5139" s="31"/>
      <c r="AB5139" s="45" t="s">
        <v>20616</v>
      </c>
      <c r="AC5139" s="45"/>
    </row>
    <row r="5140" ht="18.75" customHeight="1">
      <c r="A5140" s="18" t="s">
        <v>20617</v>
      </c>
      <c r="B5140" s="19" t="s">
        <v>18904</v>
      </c>
      <c r="C5140" s="20">
        <v>137.0</v>
      </c>
      <c r="D5140" s="39"/>
      <c r="E5140" s="27" t="s">
        <v>85</v>
      </c>
      <c r="F5140" s="27" t="s">
        <v>48</v>
      </c>
      <c r="G5140" s="18" t="s">
        <v>35</v>
      </c>
      <c r="H5140" s="40" t="s">
        <v>35</v>
      </c>
      <c r="I5140" s="37" t="s">
        <v>17277</v>
      </c>
      <c r="J5140" s="25" t="s">
        <v>65</v>
      </c>
      <c r="K5140" s="26" t="s">
        <v>38</v>
      </c>
      <c r="L5140" s="25"/>
      <c r="M5140" s="49"/>
      <c r="N5140" s="42"/>
      <c r="O5140" s="68"/>
      <c r="P5140" s="35" t="s">
        <v>20615</v>
      </c>
      <c r="Q5140" s="13" t="s">
        <v>75</v>
      </c>
      <c r="R5140" s="13"/>
      <c r="S5140" s="13" t="s">
        <v>75</v>
      </c>
      <c r="T5140" s="44">
        <v>45912.571373819446</v>
      </c>
      <c r="U5140" s="13"/>
      <c r="V5140" s="13"/>
      <c r="W5140" s="11"/>
      <c r="X5140" s="11"/>
      <c r="Y5140" s="45"/>
      <c r="Z5140" s="45"/>
      <c r="AA5140" s="31"/>
      <c r="AB5140" s="45" t="s">
        <v>20618</v>
      </c>
      <c r="AC5140" s="45"/>
    </row>
    <row r="5141" ht="18.75" customHeight="1">
      <c r="A5141" s="18" t="s">
        <v>20619</v>
      </c>
      <c r="B5141" s="19" t="s">
        <v>18904</v>
      </c>
      <c r="C5141" s="20">
        <v>137.0</v>
      </c>
      <c r="D5141" s="39"/>
      <c r="E5141" s="27" t="s">
        <v>85</v>
      </c>
      <c r="F5141" s="27" t="s">
        <v>48</v>
      </c>
      <c r="G5141" s="18" t="s">
        <v>35</v>
      </c>
      <c r="H5141" s="40" t="s">
        <v>35</v>
      </c>
      <c r="I5141" s="37" t="s">
        <v>17277</v>
      </c>
      <c r="J5141" s="25" t="s">
        <v>65</v>
      </c>
      <c r="K5141" s="26" t="s">
        <v>38</v>
      </c>
      <c r="L5141" s="25"/>
      <c r="M5141" s="49"/>
      <c r="N5141" s="42"/>
      <c r="O5141" s="68"/>
      <c r="P5141" s="35" t="s">
        <v>20615</v>
      </c>
      <c r="Q5141" s="13" t="s">
        <v>75</v>
      </c>
      <c r="R5141" s="13"/>
      <c r="S5141" s="13" t="s">
        <v>75</v>
      </c>
      <c r="T5141" s="44">
        <v>45912.57141921297</v>
      </c>
      <c r="U5141" s="13"/>
      <c r="V5141" s="13"/>
      <c r="W5141" s="11"/>
      <c r="X5141" s="11"/>
      <c r="Y5141" s="45"/>
      <c r="Z5141" s="45"/>
      <c r="AA5141" s="31"/>
      <c r="AB5141" s="45" t="s">
        <v>20620</v>
      </c>
      <c r="AC5141" s="45"/>
    </row>
    <row r="5142" ht="18.75" customHeight="1">
      <c r="A5142" s="142" t="s">
        <v>20621</v>
      </c>
      <c r="B5142" s="19" t="s">
        <v>20622</v>
      </c>
      <c r="C5142" s="20">
        <v>34.0</v>
      </c>
      <c r="D5142" s="39" t="s">
        <v>20623</v>
      </c>
      <c r="E5142" s="27" t="s">
        <v>47</v>
      </c>
      <c r="F5142" s="27" t="s">
        <v>48</v>
      </c>
      <c r="G5142" s="18" t="s">
        <v>35</v>
      </c>
      <c r="H5142" s="40" t="s">
        <v>35</v>
      </c>
      <c r="I5142" s="37" t="s">
        <v>36</v>
      </c>
      <c r="J5142" s="25" t="s">
        <v>49</v>
      </c>
      <c r="K5142" s="26" t="s">
        <v>20624</v>
      </c>
      <c r="L5142" s="72">
        <v>13847.0</v>
      </c>
      <c r="M5142" s="49" t="s">
        <v>50</v>
      </c>
      <c r="N5142" s="42" t="s">
        <v>5936</v>
      </c>
      <c r="O5142" s="67">
        <v>45912.65584384259</v>
      </c>
      <c r="P5142" s="35" t="s">
        <v>20625</v>
      </c>
      <c r="Q5142" s="13" t="s">
        <v>75</v>
      </c>
      <c r="R5142" s="13" t="s">
        <v>75</v>
      </c>
      <c r="S5142" s="13" t="s">
        <v>73</v>
      </c>
      <c r="T5142" s="44">
        <v>45912.474464224535</v>
      </c>
      <c r="U5142" s="44">
        <v>45912.47451068287</v>
      </c>
      <c r="V5142" s="44">
        <v>45912.48127192129</v>
      </c>
      <c r="W5142" s="11"/>
      <c r="X5142" s="11"/>
      <c r="Y5142" s="45">
        <v>302.0</v>
      </c>
      <c r="Z5142" s="45" t="s">
        <v>20626</v>
      </c>
      <c r="AA5142" s="31"/>
      <c r="AB5142" s="45" t="s">
        <v>20627</v>
      </c>
      <c r="AC5142" s="45"/>
    </row>
    <row r="5143" ht="18.75" customHeight="1">
      <c r="A5143" s="142" t="s">
        <v>20628</v>
      </c>
      <c r="B5143" s="19" t="s">
        <v>18090</v>
      </c>
      <c r="C5143" s="20">
        <v>137.0</v>
      </c>
      <c r="D5143" s="39"/>
      <c r="E5143" s="27" t="s">
        <v>85</v>
      </c>
      <c r="F5143" s="27" t="s">
        <v>48</v>
      </c>
      <c r="G5143" s="18" t="s">
        <v>35</v>
      </c>
      <c r="H5143" s="40" t="s">
        <v>35</v>
      </c>
      <c r="I5143" s="24" t="s">
        <v>17277</v>
      </c>
      <c r="J5143" s="25" t="s">
        <v>65</v>
      </c>
      <c r="K5143" s="26" t="s">
        <v>38</v>
      </c>
      <c r="L5143" s="25"/>
      <c r="M5143" s="49"/>
      <c r="N5143" s="42"/>
      <c r="O5143" s="68"/>
      <c r="P5143" s="35" t="s">
        <v>20629</v>
      </c>
      <c r="Q5143" s="13" t="s">
        <v>75</v>
      </c>
      <c r="R5143" s="13" t="s">
        <v>75</v>
      </c>
      <c r="S5143" s="13" t="s">
        <v>73</v>
      </c>
      <c r="T5143" s="44">
        <v>45912.47095989583</v>
      </c>
      <c r="U5143" s="44">
        <v>45912.47097239584</v>
      </c>
      <c r="V5143" s="44">
        <v>45917.47089601852</v>
      </c>
      <c r="W5143" s="11"/>
      <c r="X5143" s="11"/>
      <c r="Y5143" s="45">
        <v>302.0</v>
      </c>
      <c r="Z5143" s="45" t="s">
        <v>20630</v>
      </c>
      <c r="AA5143" s="31"/>
      <c r="AB5143" s="45" t="s">
        <v>20631</v>
      </c>
      <c r="AC5143" s="45"/>
    </row>
    <row r="5144" ht="18.75" customHeight="1">
      <c r="A5144" s="142" t="s">
        <v>20632</v>
      </c>
      <c r="B5144" s="19" t="s">
        <v>11777</v>
      </c>
      <c r="C5144" s="20">
        <v>1.0</v>
      </c>
      <c r="D5144" s="39" t="s">
        <v>20633</v>
      </c>
      <c r="E5144" s="27" t="s">
        <v>3395</v>
      </c>
      <c r="F5144" s="27" t="s">
        <v>48</v>
      </c>
      <c r="G5144" s="18" t="s">
        <v>35</v>
      </c>
      <c r="H5144" s="40" t="s">
        <v>35</v>
      </c>
      <c r="I5144" s="37" t="s">
        <v>36</v>
      </c>
      <c r="J5144" s="34" t="s">
        <v>18078</v>
      </c>
      <c r="K5144" s="26" t="s">
        <v>38</v>
      </c>
      <c r="L5144" s="25">
        <v>14207.0</v>
      </c>
      <c r="M5144" s="49" t="s">
        <v>50</v>
      </c>
      <c r="N5144" s="42" t="s">
        <v>20634</v>
      </c>
      <c r="O5144" s="67">
        <v>45950.69755875</v>
      </c>
      <c r="P5144" s="35" t="s">
        <v>20635</v>
      </c>
      <c r="Q5144" s="13" t="s">
        <v>6028</v>
      </c>
      <c r="R5144" s="13" t="s">
        <v>6028</v>
      </c>
      <c r="S5144" s="13" t="s">
        <v>73</v>
      </c>
      <c r="T5144" s="44">
        <v>45929.62009873842</v>
      </c>
      <c r="U5144" s="44">
        <v>45929.62192116898</v>
      </c>
      <c r="V5144" s="44">
        <v>45950.55573288194</v>
      </c>
      <c r="W5144" s="11"/>
      <c r="X5144" s="148">
        <v>45940.0</v>
      </c>
      <c r="Y5144" s="45">
        <v>302.0</v>
      </c>
      <c r="Z5144" s="45" t="s">
        <v>20636</v>
      </c>
      <c r="AA5144" s="31"/>
      <c r="AB5144" s="45" t="s">
        <v>20637</v>
      </c>
      <c r="AC5144" s="45"/>
    </row>
    <row r="5145" ht="18.75" customHeight="1">
      <c r="A5145" s="142" t="s">
        <v>20638</v>
      </c>
      <c r="B5145" s="19" t="s">
        <v>11777</v>
      </c>
      <c r="C5145" s="20">
        <v>137.0</v>
      </c>
      <c r="D5145" s="39" t="s">
        <v>20639</v>
      </c>
      <c r="E5145" s="27" t="s">
        <v>85</v>
      </c>
      <c r="F5145" s="27" t="s">
        <v>48</v>
      </c>
      <c r="G5145" s="18" t="s">
        <v>35</v>
      </c>
      <c r="H5145" s="40" t="s">
        <v>35</v>
      </c>
      <c r="I5145" s="37" t="s">
        <v>36</v>
      </c>
      <c r="J5145" s="34" t="s">
        <v>18078</v>
      </c>
      <c r="K5145" s="26" t="s">
        <v>38</v>
      </c>
      <c r="L5145" s="25">
        <v>13977.0</v>
      </c>
      <c r="M5145" s="49" t="s">
        <v>50</v>
      </c>
      <c r="N5145" s="42" t="s">
        <v>20640</v>
      </c>
      <c r="O5145" s="67">
        <v>45926.625888622686</v>
      </c>
      <c r="P5145" s="35" t="s">
        <v>20641</v>
      </c>
      <c r="Q5145" s="13" t="s">
        <v>75</v>
      </c>
      <c r="R5145" s="13" t="s">
        <v>75</v>
      </c>
      <c r="S5145" s="13" t="s">
        <v>73</v>
      </c>
      <c r="T5145" s="44">
        <v>45916.51793335648</v>
      </c>
      <c r="U5145" s="44">
        <v>45925.70588436343</v>
      </c>
      <c r="V5145" s="44">
        <v>45926.45783063657</v>
      </c>
      <c r="W5145" s="11"/>
      <c r="X5145" s="11"/>
      <c r="Y5145" s="45">
        <v>302.0</v>
      </c>
      <c r="Z5145" s="45" t="s">
        <v>20642</v>
      </c>
      <c r="AA5145" s="31"/>
      <c r="AB5145" s="45" t="s">
        <v>20643</v>
      </c>
      <c r="AC5145" s="45"/>
    </row>
    <row r="5146" ht="18.75" customHeight="1">
      <c r="A5146" s="142" t="s">
        <v>20644</v>
      </c>
      <c r="B5146" s="19" t="s">
        <v>11777</v>
      </c>
      <c r="C5146" s="20">
        <v>0.0</v>
      </c>
      <c r="D5146" s="39" t="s">
        <v>20645</v>
      </c>
      <c r="E5146" s="27" t="s">
        <v>3441</v>
      </c>
      <c r="F5146" s="27" t="s">
        <v>48</v>
      </c>
      <c r="G5146" s="18" t="s">
        <v>35</v>
      </c>
      <c r="H5146" s="40" t="s">
        <v>35</v>
      </c>
      <c r="I5146" s="37" t="s">
        <v>36</v>
      </c>
      <c r="J5146" s="25" t="s">
        <v>518</v>
      </c>
      <c r="K5146" s="26" t="s">
        <v>38</v>
      </c>
      <c r="L5146" s="72">
        <v>13848.0</v>
      </c>
      <c r="M5146" s="49" t="s">
        <v>50</v>
      </c>
      <c r="N5146" s="42" t="s">
        <v>20646</v>
      </c>
      <c r="O5146" s="67">
        <v>45912.69081409722</v>
      </c>
      <c r="P5146" s="35" t="s">
        <v>20647</v>
      </c>
      <c r="Q5146" s="13" t="s">
        <v>75</v>
      </c>
      <c r="R5146" s="13" t="s">
        <v>75</v>
      </c>
      <c r="S5146" s="13" t="s">
        <v>73</v>
      </c>
      <c r="T5146" s="44">
        <v>45912.475972569446</v>
      </c>
      <c r="U5146" s="44">
        <v>45912.475983819444</v>
      </c>
      <c r="V5146" s="44">
        <v>45912.48221342593</v>
      </c>
      <c r="W5146" s="11"/>
      <c r="X5146" s="11"/>
      <c r="Y5146" s="45">
        <v>302.0</v>
      </c>
      <c r="Z5146" s="45" t="s">
        <v>20648</v>
      </c>
      <c r="AA5146" s="31"/>
      <c r="AB5146" s="45" t="s">
        <v>20649</v>
      </c>
      <c r="AC5146" s="45"/>
    </row>
    <row r="5147" ht="18.75" customHeight="1">
      <c r="A5147" s="142" t="s">
        <v>20650</v>
      </c>
      <c r="B5147" s="19" t="s">
        <v>20651</v>
      </c>
      <c r="C5147" s="20">
        <v>137.0</v>
      </c>
      <c r="D5147" s="39" t="s">
        <v>20652</v>
      </c>
      <c r="E5147" s="27" t="s">
        <v>85</v>
      </c>
      <c r="F5147" s="27" t="s">
        <v>48</v>
      </c>
      <c r="G5147" s="18" t="s">
        <v>35</v>
      </c>
      <c r="H5147" s="40" t="s">
        <v>35</v>
      </c>
      <c r="I5147" s="37" t="s">
        <v>36</v>
      </c>
      <c r="J5147" s="25" t="s">
        <v>49</v>
      </c>
      <c r="K5147" s="26" t="s">
        <v>38</v>
      </c>
      <c r="L5147" s="72">
        <v>13861.0</v>
      </c>
      <c r="M5147" s="49" t="s">
        <v>50</v>
      </c>
      <c r="N5147" s="42" t="s">
        <v>17048</v>
      </c>
      <c r="O5147" s="67">
        <v>45915.63707946759</v>
      </c>
      <c r="P5147" s="35" t="s">
        <v>20653</v>
      </c>
      <c r="Q5147" s="13" t="s">
        <v>75</v>
      </c>
      <c r="R5147" s="13" t="s">
        <v>75</v>
      </c>
      <c r="S5147" s="13" t="s">
        <v>73</v>
      </c>
      <c r="T5147" s="44">
        <v>45912.57367222222</v>
      </c>
      <c r="U5147" s="44">
        <v>45912.610635370365</v>
      </c>
      <c r="V5147" s="44">
        <v>45915.43822293982</v>
      </c>
      <c r="W5147" s="11"/>
      <c r="X5147" s="11"/>
      <c r="Y5147" s="45">
        <v>302.0</v>
      </c>
      <c r="Z5147" s="45" t="s">
        <v>20654</v>
      </c>
      <c r="AA5147" s="31"/>
      <c r="AB5147" s="45" t="s">
        <v>20655</v>
      </c>
      <c r="AC5147" s="45"/>
    </row>
    <row r="5148" ht="18.75" customHeight="1">
      <c r="A5148" s="18" t="s">
        <v>20656</v>
      </c>
      <c r="B5148" s="19" t="s">
        <v>5287</v>
      </c>
      <c r="C5148" s="20">
        <v>0.0</v>
      </c>
      <c r="D5148" s="39"/>
      <c r="E5148" s="27" t="s">
        <v>3441</v>
      </c>
      <c r="F5148" s="27" t="s">
        <v>48</v>
      </c>
      <c r="G5148" s="18" t="s">
        <v>35</v>
      </c>
      <c r="H5148" s="40" t="s">
        <v>35</v>
      </c>
      <c r="I5148" s="37" t="s">
        <v>18314</v>
      </c>
      <c r="J5148" s="25" t="s">
        <v>49</v>
      </c>
      <c r="K5148" s="26" t="s">
        <v>11095</v>
      </c>
      <c r="L5148" s="25">
        <v>-14205.0</v>
      </c>
      <c r="M5148" s="49"/>
      <c r="N5148" s="42"/>
      <c r="O5148" s="68"/>
      <c r="P5148" s="35" t="s">
        <v>20657</v>
      </c>
      <c r="Q5148" s="13" t="s">
        <v>75</v>
      </c>
      <c r="R5148" s="13" t="s">
        <v>75</v>
      </c>
      <c r="S5148" s="13"/>
      <c r="T5148" s="44">
        <v>45912.574524317126</v>
      </c>
      <c r="U5148" s="44">
        <v>45950.50615579861</v>
      </c>
      <c r="V5148" s="13"/>
      <c r="W5148" s="11"/>
      <c r="X5148" s="148">
        <v>45950.0</v>
      </c>
      <c r="Y5148" s="45"/>
      <c r="Z5148" s="45"/>
      <c r="AA5148" s="31"/>
      <c r="AB5148" s="45" t="s">
        <v>20658</v>
      </c>
      <c r="AC5148" s="45"/>
    </row>
    <row r="5149" ht="18.75" customHeight="1">
      <c r="A5149" s="18" t="s">
        <v>20659</v>
      </c>
      <c r="B5149" s="19" t="s">
        <v>5287</v>
      </c>
      <c r="C5149" s="20">
        <v>27.0</v>
      </c>
      <c r="D5149" s="39" t="s">
        <v>20660</v>
      </c>
      <c r="E5149" s="27" t="s">
        <v>72</v>
      </c>
      <c r="F5149" s="27" t="s">
        <v>48</v>
      </c>
      <c r="G5149" s="18" t="s">
        <v>35</v>
      </c>
      <c r="H5149" s="40" t="s">
        <v>35</v>
      </c>
      <c r="I5149" s="37" t="s">
        <v>36</v>
      </c>
      <c r="J5149" s="25" t="s">
        <v>49</v>
      </c>
      <c r="K5149" s="26" t="s">
        <v>11095</v>
      </c>
      <c r="L5149" s="25">
        <v>14218.0</v>
      </c>
      <c r="M5149" s="49" t="s">
        <v>50</v>
      </c>
      <c r="N5149" s="42" t="s">
        <v>9953</v>
      </c>
      <c r="O5149" s="67">
        <v>45950.65354658564</v>
      </c>
      <c r="P5149" s="35" t="s">
        <v>15666</v>
      </c>
      <c r="Q5149" s="13" t="s">
        <v>75</v>
      </c>
      <c r="R5149" s="13" t="s">
        <v>75</v>
      </c>
      <c r="S5149" s="13" t="s">
        <v>73</v>
      </c>
      <c r="T5149" s="44">
        <v>45912.57488377315</v>
      </c>
      <c r="U5149" s="44">
        <v>45950.506039618056</v>
      </c>
      <c r="V5149" s="44">
        <v>45950.55009950232</v>
      </c>
      <c r="W5149" s="11"/>
      <c r="X5149" s="148">
        <v>45950.0</v>
      </c>
      <c r="Y5149" s="45">
        <v>302.0</v>
      </c>
      <c r="Z5149" s="45" t="s">
        <v>20661</v>
      </c>
      <c r="AA5149" s="31"/>
      <c r="AB5149" s="45" t="s">
        <v>20662</v>
      </c>
      <c r="AC5149" s="45"/>
    </row>
    <row r="5150" ht="18.75" customHeight="1">
      <c r="A5150" s="18" t="s">
        <v>20663</v>
      </c>
      <c r="B5150" s="19" t="s">
        <v>5287</v>
      </c>
      <c r="C5150" s="20">
        <v>1.0</v>
      </c>
      <c r="D5150" s="39"/>
      <c r="E5150" s="27" t="s">
        <v>3395</v>
      </c>
      <c r="F5150" s="27" t="s">
        <v>48</v>
      </c>
      <c r="G5150" s="18" t="s">
        <v>35</v>
      </c>
      <c r="H5150" s="40" t="s">
        <v>35</v>
      </c>
      <c r="I5150" s="37" t="s">
        <v>20664</v>
      </c>
      <c r="J5150" s="25" t="s">
        <v>49</v>
      </c>
      <c r="K5150" s="26" t="s">
        <v>11095</v>
      </c>
      <c r="L5150" s="25"/>
      <c r="M5150" s="49"/>
      <c r="N5150" s="42"/>
      <c r="O5150" s="68"/>
      <c r="P5150" s="35" t="s">
        <v>20665</v>
      </c>
      <c r="Q5150" s="13" t="s">
        <v>75</v>
      </c>
      <c r="R5150" s="13" t="s">
        <v>67</v>
      </c>
      <c r="S5150" s="13"/>
      <c r="T5150" s="44">
        <v>45912.57702606481</v>
      </c>
      <c r="U5150" s="13"/>
      <c r="V5150" s="13"/>
      <c r="W5150" s="11"/>
      <c r="X5150" s="11"/>
      <c r="Y5150" s="45"/>
      <c r="Z5150" s="45"/>
      <c r="AA5150" s="31"/>
      <c r="AB5150" s="45" t="s">
        <v>20666</v>
      </c>
      <c r="AC5150" s="45"/>
    </row>
    <row r="5151" ht="18.75" customHeight="1">
      <c r="A5151" s="18" t="s">
        <v>20667</v>
      </c>
      <c r="B5151" s="19" t="s">
        <v>5287</v>
      </c>
      <c r="C5151" s="20">
        <v>1.0</v>
      </c>
      <c r="D5151" s="39"/>
      <c r="E5151" s="27" t="s">
        <v>3395</v>
      </c>
      <c r="F5151" s="27" t="s">
        <v>48</v>
      </c>
      <c r="G5151" s="18" t="s">
        <v>35</v>
      </c>
      <c r="H5151" s="40" t="s">
        <v>35</v>
      </c>
      <c r="I5151" s="37" t="s">
        <v>20664</v>
      </c>
      <c r="J5151" s="25" t="s">
        <v>49</v>
      </c>
      <c r="K5151" s="26" t="s">
        <v>11095</v>
      </c>
      <c r="L5151" s="25"/>
      <c r="M5151" s="49"/>
      <c r="N5151" s="42"/>
      <c r="O5151" s="68"/>
      <c r="P5151" s="35" t="s">
        <v>20665</v>
      </c>
      <c r="Q5151" s="13" t="s">
        <v>75</v>
      </c>
      <c r="R5151" s="13" t="s">
        <v>67</v>
      </c>
      <c r="S5151" s="13" t="s">
        <v>75</v>
      </c>
      <c r="T5151" s="44">
        <v>45912.576916562495</v>
      </c>
      <c r="U5151" s="13"/>
      <c r="V5151" s="13"/>
      <c r="W5151" s="11"/>
      <c r="X5151" s="11"/>
      <c r="Y5151" s="45"/>
      <c r="Z5151" s="45"/>
      <c r="AA5151" s="31"/>
      <c r="AB5151" s="45" t="s">
        <v>20668</v>
      </c>
      <c r="AC5151" s="45"/>
    </row>
    <row r="5152" ht="18.75" customHeight="1">
      <c r="A5152" s="18" t="s">
        <v>20669</v>
      </c>
      <c r="B5152" s="19" t="s">
        <v>5287</v>
      </c>
      <c r="C5152" s="20">
        <v>1.0</v>
      </c>
      <c r="D5152" s="39"/>
      <c r="E5152" s="27" t="s">
        <v>3395</v>
      </c>
      <c r="F5152" s="27" t="s">
        <v>48</v>
      </c>
      <c r="G5152" s="18" t="s">
        <v>35</v>
      </c>
      <c r="H5152" s="40" t="s">
        <v>35</v>
      </c>
      <c r="I5152" s="37" t="s">
        <v>20664</v>
      </c>
      <c r="J5152" s="25" t="s">
        <v>49</v>
      </c>
      <c r="K5152" s="26" t="s">
        <v>11095</v>
      </c>
      <c r="L5152" s="25"/>
      <c r="M5152" s="49"/>
      <c r="N5152" s="42"/>
      <c r="O5152" s="68"/>
      <c r="P5152" s="35" t="s">
        <v>20665</v>
      </c>
      <c r="Q5152" s="13" t="s">
        <v>75</v>
      </c>
      <c r="R5152" s="13" t="s">
        <v>67</v>
      </c>
      <c r="S5152" s="13" t="s">
        <v>75</v>
      </c>
      <c r="T5152" s="44">
        <v>45912.57683476852</v>
      </c>
      <c r="U5152" s="13"/>
      <c r="V5152" s="13"/>
      <c r="W5152" s="11"/>
      <c r="X5152" s="11"/>
      <c r="Y5152" s="45"/>
      <c r="Z5152" s="45"/>
      <c r="AA5152" s="31"/>
      <c r="AB5152" s="45" t="s">
        <v>20670</v>
      </c>
      <c r="AC5152" s="45"/>
    </row>
    <row r="5153" ht="18.75" customHeight="1">
      <c r="A5153" s="142" t="s">
        <v>20671</v>
      </c>
      <c r="B5153" s="19" t="s">
        <v>6153</v>
      </c>
      <c r="C5153" s="20">
        <v>27.0</v>
      </c>
      <c r="D5153" s="39" t="s">
        <v>20672</v>
      </c>
      <c r="E5153" s="27" t="s">
        <v>72</v>
      </c>
      <c r="F5153" s="27" t="s">
        <v>48</v>
      </c>
      <c r="G5153" s="18" t="s">
        <v>35</v>
      </c>
      <c r="H5153" s="40" t="s">
        <v>35</v>
      </c>
      <c r="I5153" s="37" t="s">
        <v>36</v>
      </c>
      <c r="J5153" s="25" t="s">
        <v>92</v>
      </c>
      <c r="K5153" s="26" t="s">
        <v>38</v>
      </c>
      <c r="L5153" s="72">
        <v>13853.0</v>
      </c>
      <c r="M5153" s="49" t="s">
        <v>50</v>
      </c>
      <c r="N5153" s="42" t="s">
        <v>20673</v>
      </c>
      <c r="O5153" s="67">
        <v>45912.67618033565</v>
      </c>
      <c r="P5153" s="35" t="s">
        <v>20674</v>
      </c>
      <c r="Q5153" s="13" t="s">
        <v>75</v>
      </c>
      <c r="R5153" s="13" t="s">
        <v>75</v>
      </c>
      <c r="S5153" s="13" t="s">
        <v>73</v>
      </c>
      <c r="T5153" s="44">
        <v>45912.57762527778</v>
      </c>
      <c r="U5153" s="44">
        <v>45912.66806659722</v>
      </c>
      <c r="V5153" s="44">
        <v>45912.66896737269</v>
      </c>
      <c r="W5153" s="11"/>
      <c r="X5153" s="11"/>
      <c r="Y5153" s="45">
        <v>302.0</v>
      </c>
      <c r="Z5153" s="45" t="s">
        <v>20675</v>
      </c>
      <c r="AA5153" s="31"/>
      <c r="AB5153" s="45" t="s">
        <v>20676</v>
      </c>
      <c r="AC5153" s="45"/>
    </row>
    <row r="5154" ht="18.75" customHeight="1">
      <c r="A5154" s="142" t="s">
        <v>20677</v>
      </c>
      <c r="B5154" s="19" t="s">
        <v>8893</v>
      </c>
      <c r="C5154" s="20">
        <v>1.0</v>
      </c>
      <c r="D5154" s="39" t="s">
        <v>20678</v>
      </c>
      <c r="E5154" s="27" t="s">
        <v>3395</v>
      </c>
      <c r="F5154" s="27" t="s">
        <v>48</v>
      </c>
      <c r="G5154" s="18" t="s">
        <v>35</v>
      </c>
      <c r="H5154" s="40" t="s">
        <v>35</v>
      </c>
      <c r="I5154" s="37" t="s">
        <v>36</v>
      </c>
      <c r="J5154" s="25" t="s">
        <v>49</v>
      </c>
      <c r="K5154" s="26" t="s">
        <v>38</v>
      </c>
      <c r="L5154" s="25">
        <v>13975.0</v>
      </c>
      <c r="M5154" s="49" t="s">
        <v>50</v>
      </c>
      <c r="N5154" s="42" t="s">
        <v>9953</v>
      </c>
      <c r="O5154" s="67">
        <v>45950.6535872338</v>
      </c>
      <c r="P5154" s="35" t="s">
        <v>20679</v>
      </c>
      <c r="Q5154" s="13" t="s">
        <v>6028</v>
      </c>
      <c r="R5154" s="13" t="s">
        <v>6028</v>
      </c>
      <c r="S5154" s="13" t="s">
        <v>73</v>
      </c>
      <c r="T5154" s="44">
        <v>45912.57843275463</v>
      </c>
      <c r="U5154" s="44">
        <v>45938.61263383101</v>
      </c>
      <c r="V5154" s="44">
        <v>45950.54589328704</v>
      </c>
      <c r="W5154" s="11"/>
      <c r="X5154" s="148">
        <v>45930.0</v>
      </c>
      <c r="Y5154" s="45">
        <v>302.0</v>
      </c>
      <c r="Z5154" s="45" t="s">
        <v>20680</v>
      </c>
      <c r="AA5154" s="31"/>
      <c r="AB5154" s="45" t="s">
        <v>20681</v>
      </c>
      <c r="AC5154" s="45"/>
    </row>
    <row r="5155" ht="18.75" customHeight="1">
      <c r="A5155" s="142" t="s">
        <v>20682</v>
      </c>
      <c r="B5155" s="19" t="s">
        <v>9766</v>
      </c>
      <c r="C5155" s="20">
        <v>11.0</v>
      </c>
      <c r="D5155" s="39" t="s">
        <v>20683</v>
      </c>
      <c r="E5155" s="27" t="s">
        <v>112</v>
      </c>
      <c r="F5155" s="27" t="s">
        <v>48</v>
      </c>
      <c r="G5155" s="18" t="s">
        <v>35</v>
      </c>
      <c r="H5155" s="40" t="s">
        <v>35</v>
      </c>
      <c r="I5155" s="24" t="s">
        <v>36</v>
      </c>
      <c r="J5155" s="25" t="s">
        <v>65</v>
      </c>
      <c r="K5155" s="26" t="s">
        <v>38</v>
      </c>
      <c r="L5155" s="72">
        <v>13879.0</v>
      </c>
      <c r="M5155" s="226" t="s">
        <v>16407</v>
      </c>
      <c r="N5155" s="214" t="s">
        <v>16408</v>
      </c>
      <c r="O5155" s="227">
        <v>45916.0</v>
      </c>
      <c r="P5155" s="35" t="s">
        <v>20684</v>
      </c>
      <c r="Q5155" s="13" t="s">
        <v>75</v>
      </c>
      <c r="R5155" s="13" t="s">
        <v>75</v>
      </c>
      <c r="S5155" s="13" t="s">
        <v>73</v>
      </c>
      <c r="T5155" s="44">
        <v>45912.57938565972</v>
      </c>
      <c r="U5155" s="44">
        <v>45916.515737546295</v>
      </c>
      <c r="V5155" s="44">
        <v>45916.59224790509</v>
      </c>
      <c r="W5155" s="11"/>
      <c r="X5155" s="11"/>
      <c r="Y5155" s="45">
        <v>302.0</v>
      </c>
      <c r="Z5155" s="45" t="s">
        <v>20685</v>
      </c>
      <c r="AA5155" s="31"/>
      <c r="AB5155" s="45" t="s">
        <v>20686</v>
      </c>
      <c r="AC5155" s="45"/>
    </row>
    <row r="5156" ht="18.75" customHeight="1">
      <c r="A5156" s="142" t="s">
        <v>20687</v>
      </c>
      <c r="B5156" s="19" t="s">
        <v>20688</v>
      </c>
      <c r="C5156" s="20">
        <v>90.0</v>
      </c>
      <c r="D5156" s="39"/>
      <c r="E5156" s="27" t="s">
        <v>91</v>
      </c>
      <c r="F5156" s="27" t="s">
        <v>48</v>
      </c>
      <c r="G5156" s="18" t="s">
        <v>35</v>
      </c>
      <c r="H5156" s="40" t="s">
        <v>35</v>
      </c>
      <c r="I5156" s="24" t="s">
        <v>17277</v>
      </c>
      <c r="J5156" s="25" t="s">
        <v>49</v>
      </c>
      <c r="K5156" s="26" t="s">
        <v>16881</v>
      </c>
      <c r="L5156" s="34">
        <v>13900.0</v>
      </c>
      <c r="M5156" s="49"/>
      <c r="N5156" s="42"/>
      <c r="O5156" s="68"/>
      <c r="P5156" s="35" t="s">
        <v>20689</v>
      </c>
      <c r="Q5156" s="13" t="s">
        <v>75</v>
      </c>
      <c r="R5156" s="13" t="s">
        <v>75</v>
      </c>
      <c r="S5156" s="13" t="s">
        <v>73</v>
      </c>
      <c r="T5156" s="44">
        <v>45918.462874375</v>
      </c>
      <c r="U5156" s="44">
        <v>45918.462896261575</v>
      </c>
      <c r="V5156" s="44">
        <v>45918.48494113426</v>
      </c>
      <c r="W5156" s="11"/>
      <c r="X5156" s="11"/>
      <c r="Y5156" s="45">
        <v>302.0</v>
      </c>
      <c r="Z5156" s="45" t="s">
        <v>20690</v>
      </c>
      <c r="AA5156" s="31"/>
      <c r="AB5156" s="45" t="s">
        <v>20691</v>
      </c>
      <c r="AC5156" s="45"/>
    </row>
    <row r="5157" ht="18.75" customHeight="1">
      <c r="A5157" s="142" t="s">
        <v>20692</v>
      </c>
      <c r="B5157" s="19" t="s">
        <v>10396</v>
      </c>
      <c r="C5157" s="20">
        <v>0.0</v>
      </c>
      <c r="D5157" s="39" t="s">
        <v>20693</v>
      </c>
      <c r="E5157" s="27" t="s">
        <v>3441</v>
      </c>
      <c r="F5157" s="27" t="s">
        <v>48</v>
      </c>
      <c r="G5157" s="18" t="s">
        <v>35</v>
      </c>
      <c r="H5157" s="40" t="s">
        <v>35</v>
      </c>
      <c r="I5157" s="37" t="s">
        <v>36</v>
      </c>
      <c r="J5157" s="34" t="s">
        <v>18078</v>
      </c>
      <c r="K5157" s="26" t="s">
        <v>38</v>
      </c>
      <c r="L5157" s="72">
        <v>13871.0</v>
      </c>
      <c r="M5157" s="49" t="s">
        <v>50</v>
      </c>
      <c r="N5157" s="42" t="s">
        <v>20418</v>
      </c>
      <c r="O5157" s="67">
        <v>45922.5588713426</v>
      </c>
      <c r="P5157" s="35" t="s">
        <v>20694</v>
      </c>
      <c r="Q5157" s="13" t="s">
        <v>75</v>
      </c>
      <c r="R5157" s="13" t="s">
        <v>75</v>
      </c>
      <c r="S5157" s="13" t="s">
        <v>73</v>
      </c>
      <c r="T5157" s="44">
        <v>45912.58435762732</v>
      </c>
      <c r="U5157" s="44">
        <v>45915.67135315972</v>
      </c>
      <c r="V5157" s="44">
        <v>45916.37965707176</v>
      </c>
      <c r="W5157" s="11"/>
      <c r="X5157" s="11"/>
      <c r="Y5157" s="45">
        <v>302.0</v>
      </c>
      <c r="Z5157" s="45" t="s">
        <v>20695</v>
      </c>
      <c r="AA5157" s="31"/>
      <c r="AB5157" s="45" t="s">
        <v>20696</v>
      </c>
      <c r="AC5157" s="45"/>
    </row>
    <row r="5158" ht="18.75" customHeight="1">
      <c r="A5158" s="142" t="s">
        <v>20697</v>
      </c>
      <c r="B5158" s="19" t="s">
        <v>12625</v>
      </c>
      <c r="C5158" s="20">
        <v>1.0</v>
      </c>
      <c r="D5158" s="39" t="s">
        <v>20698</v>
      </c>
      <c r="E5158" s="27" t="s">
        <v>3395</v>
      </c>
      <c r="F5158" s="27" t="s">
        <v>48</v>
      </c>
      <c r="G5158" s="18" t="s">
        <v>35</v>
      </c>
      <c r="H5158" s="40" t="s">
        <v>35</v>
      </c>
      <c r="I5158" s="37" t="s">
        <v>36</v>
      </c>
      <c r="J5158" s="25" t="s">
        <v>49</v>
      </c>
      <c r="K5158" s="26" t="s">
        <v>17747</v>
      </c>
      <c r="L5158" s="25">
        <v>14209.0</v>
      </c>
      <c r="M5158" s="49" t="s">
        <v>50</v>
      </c>
      <c r="N5158" s="42" t="s">
        <v>9953</v>
      </c>
      <c r="O5158" s="67">
        <v>45950.6536291088</v>
      </c>
      <c r="P5158" s="35" t="s">
        <v>20699</v>
      </c>
      <c r="Q5158" s="13" t="s">
        <v>6028</v>
      </c>
      <c r="R5158" s="13" t="s">
        <v>6028</v>
      </c>
      <c r="S5158" s="13" t="s">
        <v>73</v>
      </c>
      <c r="T5158" s="44">
        <v>45912.589093125</v>
      </c>
      <c r="U5158" s="44">
        <v>45915.439650625005</v>
      </c>
      <c r="V5158" s="44">
        <v>45950.54561342593</v>
      </c>
      <c r="W5158" s="11"/>
      <c r="X5158" s="11"/>
      <c r="Y5158" s="45">
        <v>302.0</v>
      </c>
      <c r="Z5158" s="45" t="s">
        <v>20700</v>
      </c>
      <c r="AA5158" s="31"/>
      <c r="AB5158" s="45" t="s">
        <v>20701</v>
      </c>
      <c r="AC5158" s="45"/>
    </row>
    <row r="5159" ht="18.75" customHeight="1">
      <c r="A5159" s="142" t="s">
        <v>20702</v>
      </c>
      <c r="B5159" s="19" t="s">
        <v>4090</v>
      </c>
      <c r="C5159" s="20">
        <v>0.0</v>
      </c>
      <c r="D5159" s="39" t="s">
        <v>20703</v>
      </c>
      <c r="E5159" s="27" t="s">
        <v>3441</v>
      </c>
      <c r="F5159" s="27" t="s">
        <v>48</v>
      </c>
      <c r="G5159" s="18" t="s">
        <v>35</v>
      </c>
      <c r="H5159" s="40" t="s">
        <v>35</v>
      </c>
      <c r="I5159" s="37" t="s">
        <v>36</v>
      </c>
      <c r="J5159" s="25" t="s">
        <v>49</v>
      </c>
      <c r="K5159" s="26" t="s">
        <v>38</v>
      </c>
      <c r="L5159" s="72">
        <v>13870.0</v>
      </c>
      <c r="M5159" s="49" t="s">
        <v>73</v>
      </c>
      <c r="N5159" s="42" t="s">
        <v>17048</v>
      </c>
      <c r="O5159" s="67">
        <v>45916.55829385416</v>
      </c>
      <c r="P5159" s="35" t="s">
        <v>15666</v>
      </c>
      <c r="Q5159" s="13" t="s">
        <v>75</v>
      </c>
      <c r="R5159" s="13" t="s">
        <v>75</v>
      </c>
      <c r="S5159" s="13" t="s">
        <v>73</v>
      </c>
      <c r="T5159" s="44">
        <v>45915.59470777778</v>
      </c>
      <c r="U5159" s="44">
        <v>45915.72037663194</v>
      </c>
      <c r="V5159" s="44">
        <v>45916.37936738426</v>
      </c>
      <c r="W5159" s="11"/>
      <c r="X5159" s="11"/>
      <c r="Y5159" s="45">
        <v>302.0</v>
      </c>
      <c r="Z5159" s="45" t="s">
        <v>20704</v>
      </c>
      <c r="AA5159" s="31"/>
      <c r="AB5159" s="45" t="s">
        <v>20705</v>
      </c>
      <c r="AC5159" s="45"/>
    </row>
    <row r="5160" ht="18.75" customHeight="1">
      <c r="A5160" s="18" t="s">
        <v>20706</v>
      </c>
      <c r="B5160" s="19" t="s">
        <v>10785</v>
      </c>
      <c r="C5160" s="20">
        <v>0.0</v>
      </c>
      <c r="D5160" s="39" t="s">
        <v>20707</v>
      </c>
      <c r="E5160" s="27" t="s">
        <v>3441</v>
      </c>
      <c r="F5160" s="27" t="s">
        <v>48</v>
      </c>
      <c r="G5160" s="18" t="s">
        <v>35</v>
      </c>
      <c r="H5160" s="40" t="s">
        <v>35</v>
      </c>
      <c r="I5160" s="37" t="s">
        <v>36</v>
      </c>
      <c r="J5160" s="25" t="s">
        <v>92</v>
      </c>
      <c r="K5160" s="26" t="s">
        <v>38</v>
      </c>
      <c r="L5160" s="72">
        <v>13863.0</v>
      </c>
      <c r="M5160" s="49" t="s">
        <v>50</v>
      </c>
      <c r="N5160" s="42" t="s">
        <v>14975</v>
      </c>
      <c r="O5160" s="67">
        <v>45915.58574001158</v>
      </c>
      <c r="P5160" s="35" t="s">
        <v>20708</v>
      </c>
      <c r="Q5160" s="13" t="s">
        <v>75</v>
      </c>
      <c r="R5160" s="13" t="s">
        <v>75</v>
      </c>
      <c r="S5160" s="13" t="s">
        <v>73</v>
      </c>
      <c r="T5160" s="44">
        <v>45915.48136091435</v>
      </c>
      <c r="U5160" s="44">
        <v>45915.52524524306</v>
      </c>
      <c r="V5160" s="44">
        <v>45915.576648946764</v>
      </c>
      <c r="W5160" s="11"/>
      <c r="X5160" s="11"/>
      <c r="Y5160" s="45">
        <v>200.0</v>
      </c>
      <c r="Z5160" s="45" t="s">
        <v>20709</v>
      </c>
      <c r="AA5160" s="31"/>
      <c r="AB5160" s="45" t="s">
        <v>20710</v>
      </c>
      <c r="AC5160" s="45"/>
    </row>
    <row r="5161" ht="18.75" customHeight="1">
      <c r="A5161" s="18" t="s">
        <v>20711</v>
      </c>
      <c r="B5161" s="19" t="s">
        <v>10785</v>
      </c>
      <c r="C5161" s="20">
        <v>0.0</v>
      </c>
      <c r="D5161" s="39" t="s">
        <v>20712</v>
      </c>
      <c r="E5161" s="27" t="s">
        <v>3441</v>
      </c>
      <c r="F5161" s="27" t="s">
        <v>48</v>
      </c>
      <c r="G5161" s="18" t="s">
        <v>35</v>
      </c>
      <c r="H5161" s="40" t="s">
        <v>35</v>
      </c>
      <c r="I5161" s="37" t="s">
        <v>36</v>
      </c>
      <c r="J5161" s="25" t="s">
        <v>92</v>
      </c>
      <c r="K5161" s="26" t="s">
        <v>38</v>
      </c>
      <c r="L5161" s="72">
        <v>13863.0</v>
      </c>
      <c r="M5161" s="49" t="s">
        <v>50</v>
      </c>
      <c r="N5161" s="42" t="s">
        <v>14975</v>
      </c>
      <c r="O5161" s="67">
        <v>45915.585597604164</v>
      </c>
      <c r="P5161" s="35" t="s">
        <v>20708</v>
      </c>
      <c r="Q5161" s="13" t="s">
        <v>75</v>
      </c>
      <c r="R5161" s="13" t="s">
        <v>75</v>
      </c>
      <c r="S5161" s="13" t="s">
        <v>73</v>
      </c>
      <c r="T5161" s="44">
        <v>45915.48142975694</v>
      </c>
      <c r="U5161" s="44">
        <v>45915.52529049768</v>
      </c>
      <c r="V5161" s="44">
        <v>45915.57680082176</v>
      </c>
      <c r="W5161" s="11"/>
      <c r="X5161" s="11"/>
      <c r="Y5161" s="45">
        <v>200.0</v>
      </c>
      <c r="Z5161" s="45" t="s">
        <v>20713</v>
      </c>
      <c r="AA5161" s="31"/>
      <c r="AB5161" s="45" t="s">
        <v>20714</v>
      </c>
      <c r="AC5161" s="45"/>
    </row>
    <row r="5162" ht="18.75" customHeight="1">
      <c r="A5162" s="18" t="s">
        <v>20715</v>
      </c>
      <c r="B5162" s="19" t="s">
        <v>10785</v>
      </c>
      <c r="C5162" s="20">
        <v>0.0</v>
      </c>
      <c r="D5162" s="39" t="s">
        <v>20716</v>
      </c>
      <c r="E5162" s="27" t="s">
        <v>3441</v>
      </c>
      <c r="F5162" s="27" t="s">
        <v>48</v>
      </c>
      <c r="G5162" s="18" t="s">
        <v>35</v>
      </c>
      <c r="H5162" s="40" t="s">
        <v>35</v>
      </c>
      <c r="I5162" s="37" t="s">
        <v>36</v>
      </c>
      <c r="J5162" s="25" t="s">
        <v>92</v>
      </c>
      <c r="K5162" s="26" t="s">
        <v>38</v>
      </c>
      <c r="L5162" s="72">
        <v>13863.0</v>
      </c>
      <c r="M5162" s="49" t="s">
        <v>50</v>
      </c>
      <c r="N5162" s="42" t="s">
        <v>14975</v>
      </c>
      <c r="O5162" s="67">
        <v>45915.585674953705</v>
      </c>
      <c r="P5162" s="35" t="s">
        <v>20708</v>
      </c>
      <c r="Q5162" s="13" t="s">
        <v>75</v>
      </c>
      <c r="R5162" s="13" t="s">
        <v>75</v>
      </c>
      <c r="S5162" s="13" t="s">
        <v>73</v>
      </c>
      <c r="T5162" s="44">
        <v>45915.48148135417</v>
      </c>
      <c r="U5162" s="44">
        <v>45915.525269606485</v>
      </c>
      <c r="V5162" s="44">
        <v>45915.57672829861</v>
      </c>
      <c r="W5162" s="11"/>
      <c r="X5162" s="11"/>
      <c r="Y5162" s="45">
        <v>200.0</v>
      </c>
      <c r="Z5162" s="45" t="s">
        <v>20717</v>
      </c>
      <c r="AA5162" s="31"/>
      <c r="AB5162" s="45" t="s">
        <v>20718</v>
      </c>
      <c r="AC5162" s="45"/>
    </row>
    <row r="5163" ht="18.75" customHeight="1">
      <c r="A5163" s="142" t="s">
        <v>20719</v>
      </c>
      <c r="B5163" s="19" t="s">
        <v>725</v>
      </c>
      <c r="C5163" s="20">
        <v>0.0</v>
      </c>
      <c r="D5163" s="179">
        <v>20270.0</v>
      </c>
      <c r="E5163" s="27" t="s">
        <v>135</v>
      </c>
      <c r="F5163" s="27" t="s">
        <v>48</v>
      </c>
      <c r="G5163" s="18" t="s">
        <v>35</v>
      </c>
      <c r="H5163" s="40" t="s">
        <v>35</v>
      </c>
      <c r="I5163" s="37" t="s">
        <v>36</v>
      </c>
      <c r="J5163" s="25" t="s">
        <v>49</v>
      </c>
      <c r="K5163" s="26" t="s">
        <v>38</v>
      </c>
      <c r="L5163" s="72">
        <v>13921.0</v>
      </c>
      <c r="M5163" s="49" t="s">
        <v>73</v>
      </c>
      <c r="N5163" s="42" t="s">
        <v>17048</v>
      </c>
      <c r="O5163" s="67">
        <v>45919.597750381945</v>
      </c>
      <c r="P5163" s="35" t="s">
        <v>20720</v>
      </c>
      <c r="Q5163" s="13" t="s">
        <v>75</v>
      </c>
      <c r="R5163" s="13" t="s">
        <v>75</v>
      </c>
      <c r="S5163" s="13" t="s">
        <v>9620</v>
      </c>
      <c r="T5163" s="44">
        <v>45915.55486650463</v>
      </c>
      <c r="U5163" s="44">
        <v>45915.58078574074</v>
      </c>
      <c r="V5163" s="44">
        <v>45916.35876077546</v>
      </c>
      <c r="W5163" s="11"/>
      <c r="X5163" s="11"/>
      <c r="Y5163" s="45">
        <v>302.0</v>
      </c>
      <c r="Z5163" s="45" t="s">
        <v>20721</v>
      </c>
      <c r="AA5163" s="31"/>
      <c r="AB5163" s="45" t="s">
        <v>20722</v>
      </c>
      <c r="AC5163" s="45"/>
    </row>
    <row r="5164" ht="18.75" customHeight="1">
      <c r="A5164" s="142" t="s">
        <v>20723</v>
      </c>
      <c r="B5164" s="19" t="s">
        <v>10785</v>
      </c>
      <c r="C5164" s="20">
        <v>11.0</v>
      </c>
      <c r="D5164" s="39" t="s">
        <v>20724</v>
      </c>
      <c r="E5164" s="27" t="s">
        <v>112</v>
      </c>
      <c r="F5164" s="27" t="s">
        <v>48</v>
      </c>
      <c r="G5164" s="18" t="s">
        <v>35</v>
      </c>
      <c r="H5164" s="40" t="s">
        <v>35</v>
      </c>
      <c r="I5164" s="37" t="s">
        <v>36</v>
      </c>
      <c r="J5164" s="25" t="s">
        <v>92</v>
      </c>
      <c r="K5164" s="26" t="s">
        <v>38</v>
      </c>
      <c r="L5164" s="72">
        <v>13864.0</v>
      </c>
      <c r="M5164" s="49" t="s">
        <v>50</v>
      </c>
      <c r="N5164" s="42" t="s">
        <v>14975</v>
      </c>
      <c r="O5164" s="67">
        <v>45915.58552717592</v>
      </c>
      <c r="P5164" s="35" t="s">
        <v>20725</v>
      </c>
      <c r="Q5164" s="13" t="s">
        <v>75</v>
      </c>
      <c r="R5164" s="13" t="s">
        <v>75</v>
      </c>
      <c r="S5164" s="13" t="s">
        <v>73</v>
      </c>
      <c r="T5164" s="44">
        <v>45915.4822900463</v>
      </c>
      <c r="U5164" s="44">
        <v>45915.525219953706</v>
      </c>
      <c r="V5164" s="44">
        <v>45915.576511817126</v>
      </c>
      <c r="W5164" s="11"/>
      <c r="X5164" s="11"/>
      <c r="Y5164" s="45">
        <v>200.0</v>
      </c>
      <c r="Z5164" s="45" t="s">
        <v>20726</v>
      </c>
      <c r="AA5164" s="31"/>
      <c r="AB5164" s="45" t="s">
        <v>20727</v>
      </c>
      <c r="AC5164" s="45"/>
    </row>
    <row r="5165" ht="18.75" customHeight="1">
      <c r="A5165" s="18" t="s">
        <v>20728</v>
      </c>
      <c r="B5165" s="19" t="s">
        <v>10785</v>
      </c>
      <c r="C5165" s="20">
        <v>0.0</v>
      </c>
      <c r="D5165" s="39" t="s">
        <v>20729</v>
      </c>
      <c r="E5165" s="27" t="s">
        <v>3441</v>
      </c>
      <c r="F5165" s="27" t="s">
        <v>48</v>
      </c>
      <c r="G5165" s="18" t="s">
        <v>35</v>
      </c>
      <c r="H5165" s="40" t="s">
        <v>35</v>
      </c>
      <c r="I5165" s="37" t="s">
        <v>36</v>
      </c>
      <c r="J5165" s="25" t="s">
        <v>92</v>
      </c>
      <c r="K5165" s="26" t="s">
        <v>38</v>
      </c>
      <c r="L5165" s="72">
        <v>13865.0</v>
      </c>
      <c r="M5165" s="49" t="s">
        <v>50</v>
      </c>
      <c r="N5165" s="42" t="s">
        <v>14975</v>
      </c>
      <c r="O5165" s="67">
        <v>45915.585376400464</v>
      </c>
      <c r="P5165" s="35" t="s">
        <v>20730</v>
      </c>
      <c r="Q5165" s="13" t="s">
        <v>75</v>
      </c>
      <c r="R5165" s="13" t="s">
        <v>75</v>
      </c>
      <c r="S5165" s="13" t="s">
        <v>73</v>
      </c>
      <c r="T5165" s="44">
        <v>45915.48368333333</v>
      </c>
      <c r="U5165" s="44">
        <v>45915.52515260417</v>
      </c>
      <c r="V5165" s="44">
        <v>45915.57641976852</v>
      </c>
      <c r="W5165" s="11"/>
      <c r="X5165" s="11"/>
      <c r="Y5165" s="45">
        <v>302.0</v>
      </c>
      <c r="Z5165" s="45" t="s">
        <v>20731</v>
      </c>
      <c r="AA5165" s="31"/>
      <c r="AB5165" s="45" t="s">
        <v>20732</v>
      </c>
      <c r="AC5165" s="45"/>
    </row>
    <row r="5166" ht="18.75" customHeight="1">
      <c r="A5166" s="18" t="s">
        <v>20733</v>
      </c>
      <c r="B5166" s="19" t="s">
        <v>10785</v>
      </c>
      <c r="C5166" s="20">
        <v>90.0</v>
      </c>
      <c r="D5166" s="39" t="s">
        <v>20734</v>
      </c>
      <c r="E5166" s="27" t="s">
        <v>91</v>
      </c>
      <c r="F5166" s="27" t="s">
        <v>48</v>
      </c>
      <c r="G5166" s="18" t="s">
        <v>35</v>
      </c>
      <c r="H5166" s="40" t="s">
        <v>35</v>
      </c>
      <c r="I5166" s="37" t="s">
        <v>36</v>
      </c>
      <c r="J5166" s="25" t="s">
        <v>92</v>
      </c>
      <c r="K5166" s="26" t="s">
        <v>38</v>
      </c>
      <c r="L5166" s="72">
        <v>13865.0</v>
      </c>
      <c r="M5166" s="49" t="s">
        <v>50</v>
      </c>
      <c r="N5166" s="42" t="s">
        <v>14975</v>
      </c>
      <c r="O5166" s="67">
        <v>45915.58545655092</v>
      </c>
      <c r="P5166" s="35" t="s">
        <v>20730</v>
      </c>
      <c r="Q5166" s="13" t="s">
        <v>75</v>
      </c>
      <c r="R5166" s="13" t="s">
        <v>75</v>
      </c>
      <c r="S5166" s="13" t="s">
        <v>73</v>
      </c>
      <c r="T5166" s="44">
        <v>45915.48381106481</v>
      </c>
      <c r="U5166" s="44">
        <v>45915.52512530093</v>
      </c>
      <c r="V5166" s="44">
        <v>45915.58107435185</v>
      </c>
      <c r="W5166" s="11"/>
      <c r="X5166" s="11"/>
      <c r="Y5166" s="45">
        <v>302.0</v>
      </c>
      <c r="Z5166" s="45" t="s">
        <v>20735</v>
      </c>
      <c r="AA5166" s="31"/>
      <c r="AB5166" s="45" t="s">
        <v>20736</v>
      </c>
      <c r="AC5166" s="45"/>
    </row>
    <row r="5167" ht="18.75" customHeight="1">
      <c r="A5167" s="18" t="s">
        <v>20737</v>
      </c>
      <c r="B5167" s="19" t="s">
        <v>1192</v>
      </c>
      <c r="C5167" s="20">
        <v>137.0</v>
      </c>
      <c r="D5167" s="39" t="s">
        <v>20738</v>
      </c>
      <c r="E5167" s="27" t="s">
        <v>85</v>
      </c>
      <c r="F5167" s="27" t="s">
        <v>48</v>
      </c>
      <c r="G5167" s="18" t="s">
        <v>35</v>
      </c>
      <c r="H5167" s="40" t="s">
        <v>35</v>
      </c>
      <c r="I5167" s="37" t="s">
        <v>36</v>
      </c>
      <c r="J5167" s="25" t="s">
        <v>65</v>
      </c>
      <c r="K5167" s="26" t="s">
        <v>38</v>
      </c>
      <c r="L5167" s="25">
        <v>13984.0</v>
      </c>
      <c r="M5167" s="49" t="s">
        <v>50</v>
      </c>
      <c r="N5167" s="42" t="s">
        <v>16408</v>
      </c>
      <c r="O5167" s="67">
        <v>45926.69413415509</v>
      </c>
      <c r="P5167" s="35" t="s">
        <v>20739</v>
      </c>
      <c r="Q5167" s="13" t="s">
        <v>75</v>
      </c>
      <c r="R5167" s="13" t="s">
        <v>75</v>
      </c>
      <c r="S5167" s="13" t="s">
        <v>73</v>
      </c>
      <c r="T5167" s="44">
        <v>45915.55748133102</v>
      </c>
      <c r="U5167" s="44">
        <v>45925.62749586806</v>
      </c>
      <c r="V5167" s="44">
        <v>45926.43309037037</v>
      </c>
      <c r="W5167" s="11"/>
      <c r="X5167" s="11"/>
      <c r="Y5167" s="45">
        <v>302.0</v>
      </c>
      <c r="Z5167" s="45" t="s">
        <v>20740</v>
      </c>
      <c r="AA5167" s="31"/>
      <c r="AB5167" s="45" t="s">
        <v>20741</v>
      </c>
      <c r="AC5167" s="45"/>
    </row>
    <row r="5168" ht="18.75" customHeight="1">
      <c r="A5168" s="18" t="s">
        <v>20742</v>
      </c>
      <c r="B5168" s="19" t="s">
        <v>1192</v>
      </c>
      <c r="C5168" s="20">
        <v>137.0</v>
      </c>
      <c r="D5168" s="39" t="s">
        <v>20743</v>
      </c>
      <c r="E5168" s="27" t="s">
        <v>85</v>
      </c>
      <c r="F5168" s="27" t="s">
        <v>48</v>
      </c>
      <c r="G5168" s="18" t="s">
        <v>35</v>
      </c>
      <c r="H5168" s="40" t="s">
        <v>35</v>
      </c>
      <c r="I5168" s="37" t="s">
        <v>36</v>
      </c>
      <c r="J5168" s="25" t="s">
        <v>65</v>
      </c>
      <c r="K5168" s="26" t="s">
        <v>38</v>
      </c>
      <c r="L5168" s="25">
        <v>13984.0</v>
      </c>
      <c r="M5168" s="49" t="s">
        <v>50</v>
      </c>
      <c r="N5168" s="42" t="s">
        <v>16408</v>
      </c>
      <c r="O5168" s="67">
        <v>45926.694175254626</v>
      </c>
      <c r="P5168" s="35" t="s">
        <v>20739</v>
      </c>
      <c r="Q5168" s="13" t="s">
        <v>75</v>
      </c>
      <c r="R5168" s="13" t="s">
        <v>75</v>
      </c>
      <c r="S5168" s="13" t="s">
        <v>73</v>
      </c>
      <c r="T5168" s="44">
        <v>45915.55759266204</v>
      </c>
      <c r="U5168" s="44">
        <v>45925.62752487269</v>
      </c>
      <c r="V5168" s="44">
        <v>45926.43314512732</v>
      </c>
      <c r="W5168" s="11"/>
      <c r="X5168" s="11"/>
      <c r="Y5168" s="45">
        <v>302.0</v>
      </c>
      <c r="Z5168" s="45" t="s">
        <v>20744</v>
      </c>
      <c r="AA5168" s="31"/>
      <c r="AB5168" s="45" t="s">
        <v>20745</v>
      </c>
      <c r="AC5168" s="45"/>
    </row>
    <row r="5169" ht="18.75" customHeight="1">
      <c r="A5169" s="18" t="s">
        <v>20746</v>
      </c>
      <c r="B5169" s="19" t="s">
        <v>1192</v>
      </c>
      <c r="C5169" s="20">
        <v>137.0</v>
      </c>
      <c r="D5169" s="39" t="s">
        <v>20747</v>
      </c>
      <c r="E5169" s="27" t="s">
        <v>85</v>
      </c>
      <c r="F5169" s="27" t="s">
        <v>48</v>
      </c>
      <c r="G5169" s="18" t="s">
        <v>35</v>
      </c>
      <c r="H5169" s="40" t="s">
        <v>35</v>
      </c>
      <c r="I5169" s="37" t="s">
        <v>36</v>
      </c>
      <c r="J5169" s="25" t="s">
        <v>65</v>
      </c>
      <c r="K5169" s="26" t="s">
        <v>38</v>
      </c>
      <c r="L5169" s="25">
        <v>13984.0</v>
      </c>
      <c r="M5169" s="49" t="s">
        <v>50</v>
      </c>
      <c r="N5169" s="42" t="s">
        <v>16408</v>
      </c>
      <c r="O5169" s="67">
        <v>45926.69422228009</v>
      </c>
      <c r="P5169" s="35" t="s">
        <v>20739</v>
      </c>
      <c r="Q5169" s="13" t="s">
        <v>75</v>
      </c>
      <c r="R5169" s="13" t="s">
        <v>75</v>
      </c>
      <c r="S5169" s="13" t="s">
        <v>73</v>
      </c>
      <c r="T5169" s="44">
        <v>45915.55764798611</v>
      </c>
      <c r="U5169" s="44">
        <v>45925.62753734954</v>
      </c>
      <c r="V5169" s="44">
        <v>45926.433226469904</v>
      </c>
      <c r="W5169" s="11"/>
      <c r="X5169" s="11"/>
      <c r="Y5169" s="45">
        <v>302.0</v>
      </c>
      <c r="Z5169" s="45" t="s">
        <v>20748</v>
      </c>
      <c r="AA5169" s="31"/>
      <c r="AB5169" s="45" t="s">
        <v>20749</v>
      </c>
      <c r="AC5169" s="45"/>
    </row>
    <row r="5170" ht="18.75" customHeight="1">
      <c r="A5170" s="142" t="s">
        <v>20750</v>
      </c>
      <c r="B5170" s="19" t="s">
        <v>5180</v>
      </c>
      <c r="C5170" s="20">
        <v>34.0</v>
      </c>
      <c r="D5170" s="39" t="s">
        <v>20751</v>
      </c>
      <c r="E5170" s="27" t="s">
        <v>47</v>
      </c>
      <c r="F5170" s="27" t="s">
        <v>48</v>
      </c>
      <c r="G5170" s="18" t="s">
        <v>35</v>
      </c>
      <c r="H5170" s="40" t="s">
        <v>35</v>
      </c>
      <c r="I5170" s="37" t="s">
        <v>36</v>
      </c>
      <c r="J5170" s="25" t="s">
        <v>65</v>
      </c>
      <c r="K5170" s="26" t="s">
        <v>38</v>
      </c>
      <c r="L5170" s="72">
        <v>13952.0</v>
      </c>
      <c r="M5170" s="49" t="s">
        <v>50</v>
      </c>
      <c r="N5170" s="42" t="s">
        <v>16408</v>
      </c>
      <c r="O5170" s="67">
        <v>45923.681236840275</v>
      </c>
      <c r="P5170" s="35" t="s">
        <v>20752</v>
      </c>
      <c r="Q5170" s="13" t="s">
        <v>75</v>
      </c>
      <c r="R5170" s="13" t="s">
        <v>75</v>
      </c>
      <c r="S5170" s="13" t="s">
        <v>73</v>
      </c>
      <c r="T5170" s="44">
        <v>45915.56173446759</v>
      </c>
      <c r="U5170" s="44">
        <v>45923.462934386574</v>
      </c>
      <c r="V5170" s="44">
        <v>45923.467516979166</v>
      </c>
      <c r="W5170" s="11"/>
      <c r="X5170" s="11"/>
      <c r="Y5170" s="45">
        <v>302.0</v>
      </c>
      <c r="Z5170" s="45" t="s">
        <v>20753</v>
      </c>
      <c r="AA5170" s="31"/>
      <c r="AB5170" s="45" t="s">
        <v>20754</v>
      </c>
      <c r="AC5170" s="45"/>
    </row>
    <row r="5171" ht="18.75" customHeight="1">
      <c r="A5171" s="142" t="s">
        <v>20755</v>
      </c>
      <c r="B5171" s="19" t="s">
        <v>20756</v>
      </c>
      <c r="C5171" s="20">
        <v>0.0</v>
      </c>
      <c r="D5171" s="39" t="s">
        <v>20757</v>
      </c>
      <c r="E5171" s="27" t="s">
        <v>3441</v>
      </c>
      <c r="F5171" s="27" t="s">
        <v>48</v>
      </c>
      <c r="G5171" s="18" t="s">
        <v>35</v>
      </c>
      <c r="H5171" s="40" t="s">
        <v>35</v>
      </c>
      <c r="I5171" s="37" t="s">
        <v>36</v>
      </c>
      <c r="J5171" s="25" t="s">
        <v>65</v>
      </c>
      <c r="K5171" s="26" t="s">
        <v>38</v>
      </c>
      <c r="L5171" s="72">
        <v>13917.0</v>
      </c>
      <c r="M5171" s="49" t="s">
        <v>73</v>
      </c>
      <c r="N5171" s="42" t="s">
        <v>20222</v>
      </c>
      <c r="O5171" s="67">
        <v>45919.665060150466</v>
      </c>
      <c r="P5171" s="35" t="s">
        <v>15829</v>
      </c>
      <c r="Q5171" s="13" t="s">
        <v>75</v>
      </c>
      <c r="R5171" s="13" t="s">
        <v>75</v>
      </c>
      <c r="S5171" s="13" t="s">
        <v>73</v>
      </c>
      <c r="T5171" s="44">
        <v>45915.56280189815</v>
      </c>
      <c r="U5171" s="44">
        <v>45918.70775141203</v>
      </c>
      <c r="V5171" s="44">
        <v>45919.43083511574</v>
      </c>
      <c r="W5171" s="11"/>
      <c r="X5171" s="11"/>
      <c r="Y5171" s="45">
        <v>302.0</v>
      </c>
      <c r="Z5171" s="45" t="s">
        <v>20758</v>
      </c>
      <c r="AA5171" s="31"/>
      <c r="AB5171" s="45" t="s">
        <v>20759</v>
      </c>
      <c r="AC5171" s="45"/>
    </row>
    <row r="5172" ht="18.75" customHeight="1">
      <c r="A5172" s="142" t="s">
        <v>20760</v>
      </c>
      <c r="B5172" s="19" t="s">
        <v>4147</v>
      </c>
      <c r="C5172" s="20">
        <v>11.0</v>
      </c>
      <c r="D5172" s="39" t="s">
        <v>20761</v>
      </c>
      <c r="E5172" s="27" t="s">
        <v>112</v>
      </c>
      <c r="F5172" s="27" t="s">
        <v>48</v>
      </c>
      <c r="G5172" s="18" t="s">
        <v>35</v>
      </c>
      <c r="H5172" s="40" t="s">
        <v>35</v>
      </c>
      <c r="I5172" s="37" t="s">
        <v>36</v>
      </c>
      <c r="J5172" s="25" t="s">
        <v>49</v>
      </c>
      <c r="K5172" s="26" t="s">
        <v>38</v>
      </c>
      <c r="L5172" s="72">
        <v>13884.0</v>
      </c>
      <c r="M5172" s="49" t="s">
        <v>73</v>
      </c>
      <c r="N5172" s="42" t="s">
        <v>18561</v>
      </c>
      <c r="O5172" s="67">
        <v>45917.57791664352</v>
      </c>
      <c r="P5172" s="35" t="s">
        <v>20762</v>
      </c>
      <c r="Q5172" s="13" t="s">
        <v>75</v>
      </c>
      <c r="R5172" s="13" t="s">
        <v>75</v>
      </c>
      <c r="S5172" s="13" t="s">
        <v>73</v>
      </c>
      <c r="T5172" s="44">
        <v>45915.58265818287</v>
      </c>
      <c r="U5172" s="44">
        <v>45916.59322872685</v>
      </c>
      <c r="V5172" s="44">
        <v>45917.4719437037</v>
      </c>
      <c r="W5172" s="11"/>
      <c r="X5172" s="11"/>
      <c r="Y5172" s="45">
        <v>302.0</v>
      </c>
      <c r="Z5172" s="45" t="s">
        <v>20763</v>
      </c>
      <c r="AA5172" s="31"/>
      <c r="AB5172" s="45" t="s">
        <v>20764</v>
      </c>
      <c r="AC5172" s="45"/>
    </row>
    <row r="5173" ht="18.75" customHeight="1">
      <c r="A5173" s="142" t="s">
        <v>20765</v>
      </c>
      <c r="B5173" s="19" t="s">
        <v>17896</v>
      </c>
      <c r="C5173" s="20">
        <v>0.0</v>
      </c>
      <c r="D5173" s="39" t="s">
        <v>20766</v>
      </c>
      <c r="E5173" s="27" t="s">
        <v>3441</v>
      </c>
      <c r="F5173" s="27" t="s">
        <v>48</v>
      </c>
      <c r="G5173" s="18" t="s">
        <v>35</v>
      </c>
      <c r="H5173" s="40" t="s">
        <v>35</v>
      </c>
      <c r="I5173" s="24" t="s">
        <v>36</v>
      </c>
      <c r="J5173" s="25" t="s">
        <v>65</v>
      </c>
      <c r="K5173" s="26" t="s">
        <v>38</v>
      </c>
      <c r="L5173" s="34">
        <v>13895.0</v>
      </c>
      <c r="M5173" s="152" t="s">
        <v>16407</v>
      </c>
      <c r="N5173" s="42" t="s">
        <v>16408</v>
      </c>
      <c r="O5173" s="43">
        <v>45918.62195141204</v>
      </c>
      <c r="P5173" s="35" t="s">
        <v>14372</v>
      </c>
      <c r="Q5173" s="13" t="s">
        <v>75</v>
      </c>
      <c r="R5173" s="13" t="s">
        <v>75</v>
      </c>
      <c r="S5173" s="13" t="s">
        <v>73</v>
      </c>
      <c r="T5173" s="44">
        <v>45915.583686087964</v>
      </c>
      <c r="U5173" s="44">
        <v>45917.71724513889</v>
      </c>
      <c r="V5173" s="44">
        <v>45918.413554108796</v>
      </c>
      <c r="W5173" s="11"/>
      <c r="X5173" s="11"/>
      <c r="Y5173" s="45">
        <v>302.0</v>
      </c>
      <c r="Z5173" s="45" t="s">
        <v>20767</v>
      </c>
      <c r="AA5173" s="31"/>
      <c r="AB5173" s="45" t="s">
        <v>20768</v>
      </c>
      <c r="AC5173" s="45"/>
    </row>
    <row r="5174" ht="18.75" customHeight="1">
      <c r="A5174" s="142" t="s">
        <v>20769</v>
      </c>
      <c r="B5174" s="19" t="s">
        <v>16778</v>
      </c>
      <c r="C5174" s="20">
        <v>0.0</v>
      </c>
      <c r="D5174" s="39" t="s">
        <v>20770</v>
      </c>
      <c r="E5174" s="27" t="s">
        <v>3441</v>
      </c>
      <c r="F5174" s="27" t="s">
        <v>48</v>
      </c>
      <c r="G5174" s="18" t="s">
        <v>35</v>
      </c>
      <c r="H5174" s="40" t="s">
        <v>35</v>
      </c>
      <c r="I5174" s="37" t="s">
        <v>36</v>
      </c>
      <c r="J5174" s="25" t="s">
        <v>49</v>
      </c>
      <c r="K5174" s="26" t="s">
        <v>38</v>
      </c>
      <c r="L5174" s="72">
        <v>13872.0</v>
      </c>
      <c r="M5174" s="49" t="s">
        <v>73</v>
      </c>
      <c r="N5174" s="42" t="s">
        <v>17048</v>
      </c>
      <c r="O5174" s="67">
        <v>45916.5583934375</v>
      </c>
      <c r="P5174" s="35" t="s">
        <v>20771</v>
      </c>
      <c r="Q5174" s="13" t="s">
        <v>75</v>
      </c>
      <c r="R5174" s="13" t="s">
        <v>75</v>
      </c>
      <c r="S5174" s="13" t="s">
        <v>73</v>
      </c>
      <c r="T5174" s="44">
        <v>45915.585796921296</v>
      </c>
      <c r="U5174" s="44">
        <v>45915.679141307875</v>
      </c>
      <c r="V5174" s="44">
        <v>45916.379441875004</v>
      </c>
      <c r="W5174" s="11"/>
      <c r="X5174" s="11"/>
      <c r="Y5174" s="45">
        <v>302.0</v>
      </c>
      <c r="Z5174" s="45" t="s">
        <v>20772</v>
      </c>
      <c r="AA5174" s="31"/>
      <c r="AB5174" s="45" t="s">
        <v>20773</v>
      </c>
      <c r="AC5174" s="45"/>
    </row>
    <row r="5175" ht="18.75" customHeight="1">
      <c r="A5175" s="18" t="s">
        <v>20774</v>
      </c>
      <c r="B5175" s="19" t="s">
        <v>4293</v>
      </c>
      <c r="C5175" s="20">
        <v>137.0</v>
      </c>
      <c r="D5175" s="39" t="s">
        <v>20775</v>
      </c>
      <c r="E5175" s="27" t="s">
        <v>85</v>
      </c>
      <c r="F5175" s="27" t="s">
        <v>48</v>
      </c>
      <c r="G5175" s="18" t="s">
        <v>35</v>
      </c>
      <c r="H5175" s="40" t="s">
        <v>35</v>
      </c>
      <c r="I5175" s="24" t="s">
        <v>36</v>
      </c>
      <c r="J5175" s="25" t="s">
        <v>65</v>
      </c>
      <c r="K5175" s="26" t="s">
        <v>38</v>
      </c>
      <c r="L5175" s="72">
        <v>13866.0</v>
      </c>
      <c r="M5175" s="226" t="s">
        <v>16407</v>
      </c>
      <c r="N5175" s="214" t="s">
        <v>16408</v>
      </c>
      <c r="O5175" s="227">
        <v>45916.0</v>
      </c>
      <c r="P5175" s="35" t="s">
        <v>20776</v>
      </c>
      <c r="Q5175" s="13" t="s">
        <v>75</v>
      </c>
      <c r="R5175" s="13" t="s">
        <v>75</v>
      </c>
      <c r="S5175" s="13" t="s">
        <v>50</v>
      </c>
      <c r="T5175" s="44">
        <v>45915.58767166667</v>
      </c>
      <c r="U5175" s="44">
        <v>45915.5934724074</v>
      </c>
      <c r="V5175" s="44">
        <v>45915.6112246875</v>
      </c>
      <c r="W5175" s="11"/>
      <c r="X5175" s="11"/>
      <c r="Y5175" s="45">
        <v>302.0</v>
      </c>
      <c r="Z5175" s="45" t="s">
        <v>20777</v>
      </c>
      <c r="AA5175" s="31"/>
      <c r="AB5175" s="45" t="s">
        <v>20778</v>
      </c>
      <c r="AC5175" s="45"/>
    </row>
    <row r="5176" ht="18.75" customHeight="1">
      <c r="A5176" s="18" t="s">
        <v>20779</v>
      </c>
      <c r="B5176" s="19" t="s">
        <v>4293</v>
      </c>
      <c r="C5176" s="20">
        <v>137.0</v>
      </c>
      <c r="D5176" s="39" t="s">
        <v>20780</v>
      </c>
      <c r="E5176" s="27" t="s">
        <v>85</v>
      </c>
      <c r="F5176" s="27" t="s">
        <v>48</v>
      </c>
      <c r="G5176" s="18" t="s">
        <v>35</v>
      </c>
      <c r="H5176" s="40" t="s">
        <v>35</v>
      </c>
      <c r="I5176" s="24" t="s">
        <v>36</v>
      </c>
      <c r="J5176" s="25" t="s">
        <v>65</v>
      </c>
      <c r="K5176" s="26" t="s">
        <v>38</v>
      </c>
      <c r="L5176" s="72">
        <v>13866.0</v>
      </c>
      <c r="M5176" s="226" t="s">
        <v>16407</v>
      </c>
      <c r="N5176" s="214" t="s">
        <v>16408</v>
      </c>
      <c r="O5176" s="227">
        <v>45916.0</v>
      </c>
      <c r="P5176" s="35" t="s">
        <v>20776</v>
      </c>
      <c r="Q5176" s="13" t="s">
        <v>75</v>
      </c>
      <c r="R5176" s="13" t="s">
        <v>75</v>
      </c>
      <c r="S5176" s="13" t="s">
        <v>50</v>
      </c>
      <c r="T5176" s="44">
        <v>45915.587742118056</v>
      </c>
      <c r="U5176" s="44">
        <v>45915.593502488424</v>
      </c>
      <c r="V5176" s="44">
        <v>45915.6112246875</v>
      </c>
      <c r="W5176" s="11"/>
      <c r="X5176" s="11"/>
      <c r="Y5176" s="45">
        <v>302.0</v>
      </c>
      <c r="Z5176" s="45" t="s">
        <v>20781</v>
      </c>
      <c r="AA5176" s="31"/>
      <c r="AB5176" s="45" t="s">
        <v>20782</v>
      </c>
      <c r="AC5176" s="45"/>
    </row>
    <row r="5177" ht="18.75" customHeight="1">
      <c r="A5177" s="18" t="s">
        <v>20783</v>
      </c>
      <c r="B5177" s="19" t="s">
        <v>3121</v>
      </c>
      <c r="C5177" s="20">
        <v>90.0</v>
      </c>
      <c r="D5177" s="39" t="s">
        <v>20784</v>
      </c>
      <c r="E5177" s="27" t="s">
        <v>91</v>
      </c>
      <c r="F5177" s="27" t="s">
        <v>48</v>
      </c>
      <c r="G5177" s="18" t="s">
        <v>35</v>
      </c>
      <c r="H5177" s="40" t="s">
        <v>35</v>
      </c>
      <c r="I5177" s="37" t="s">
        <v>36</v>
      </c>
      <c r="J5177" s="25" t="s">
        <v>92</v>
      </c>
      <c r="K5177" s="26" t="s">
        <v>38</v>
      </c>
      <c r="L5177" s="72">
        <v>13939.0</v>
      </c>
      <c r="M5177" s="49" t="s">
        <v>50</v>
      </c>
      <c r="N5177" s="42" t="s">
        <v>13255</v>
      </c>
      <c r="O5177" s="67">
        <v>45950.66130487269</v>
      </c>
      <c r="P5177" s="35" t="s">
        <v>20785</v>
      </c>
      <c r="Q5177" s="13" t="s">
        <v>75</v>
      </c>
      <c r="R5177" s="13" t="s">
        <v>75</v>
      </c>
      <c r="S5177" s="13" t="s">
        <v>73</v>
      </c>
      <c r="T5177" s="44">
        <v>45915.58991180555</v>
      </c>
      <c r="U5177" s="44">
        <v>45922.47372296297</v>
      </c>
      <c r="V5177" s="44">
        <v>45923.42127813658</v>
      </c>
      <c r="W5177" s="11"/>
      <c r="X5177" s="11"/>
      <c r="Y5177" s="207">
        <v>302.0</v>
      </c>
      <c r="Z5177" s="45" t="s">
        <v>20786</v>
      </c>
      <c r="AA5177" s="31"/>
      <c r="AB5177" s="45" t="s">
        <v>20787</v>
      </c>
      <c r="AC5177" s="45"/>
    </row>
    <row r="5178" ht="18.75" customHeight="1">
      <c r="A5178" s="18" t="s">
        <v>20788</v>
      </c>
      <c r="B5178" s="19" t="s">
        <v>3121</v>
      </c>
      <c r="C5178" s="20">
        <v>137.0</v>
      </c>
      <c r="D5178" s="39" t="s">
        <v>20789</v>
      </c>
      <c r="E5178" s="27" t="s">
        <v>85</v>
      </c>
      <c r="F5178" s="27" t="s">
        <v>48</v>
      </c>
      <c r="G5178" s="18" t="s">
        <v>35</v>
      </c>
      <c r="H5178" s="40" t="s">
        <v>35</v>
      </c>
      <c r="I5178" s="37" t="s">
        <v>36</v>
      </c>
      <c r="J5178" s="25" t="s">
        <v>92</v>
      </c>
      <c r="K5178" s="26" t="s">
        <v>38</v>
      </c>
      <c r="L5178" s="72">
        <v>13939.0</v>
      </c>
      <c r="M5178" s="49" t="s">
        <v>50</v>
      </c>
      <c r="N5178" s="42" t="s">
        <v>13255</v>
      </c>
      <c r="O5178" s="67">
        <v>45950.661356412034</v>
      </c>
      <c r="P5178" s="35" t="s">
        <v>20785</v>
      </c>
      <c r="Q5178" s="13" t="s">
        <v>75</v>
      </c>
      <c r="R5178" s="13" t="s">
        <v>75</v>
      </c>
      <c r="S5178" s="13" t="s">
        <v>73</v>
      </c>
      <c r="T5178" s="44">
        <v>45915.59003545139</v>
      </c>
      <c r="U5178" s="44">
        <v>45922.47374667824</v>
      </c>
      <c r="V5178" s="44">
        <v>45923.42134327546</v>
      </c>
      <c r="W5178" s="11"/>
      <c r="X5178" s="11"/>
      <c r="Y5178" s="207">
        <v>302.0</v>
      </c>
      <c r="Z5178" s="45" t="s">
        <v>20790</v>
      </c>
      <c r="AA5178" s="31"/>
      <c r="AB5178" s="45" t="s">
        <v>20791</v>
      </c>
      <c r="AC5178" s="45"/>
    </row>
    <row r="5179" ht="18.75" customHeight="1">
      <c r="A5179" s="18" t="s">
        <v>20792</v>
      </c>
      <c r="B5179" s="19" t="s">
        <v>3121</v>
      </c>
      <c r="C5179" s="20">
        <v>137.0</v>
      </c>
      <c r="D5179" s="39" t="s">
        <v>20793</v>
      </c>
      <c r="E5179" s="27" t="s">
        <v>85</v>
      </c>
      <c r="F5179" s="27" t="s">
        <v>48</v>
      </c>
      <c r="G5179" s="18" t="s">
        <v>35</v>
      </c>
      <c r="H5179" s="40" t="s">
        <v>35</v>
      </c>
      <c r="I5179" s="37" t="s">
        <v>36</v>
      </c>
      <c r="J5179" s="25" t="s">
        <v>92</v>
      </c>
      <c r="K5179" s="26" t="s">
        <v>38</v>
      </c>
      <c r="L5179" s="72">
        <v>13939.0</v>
      </c>
      <c r="M5179" s="49" t="s">
        <v>50</v>
      </c>
      <c r="N5179" s="42" t="s">
        <v>13255</v>
      </c>
      <c r="O5179" s="67">
        <v>45950.66139592593</v>
      </c>
      <c r="P5179" s="35" t="s">
        <v>20785</v>
      </c>
      <c r="Q5179" s="13" t="s">
        <v>75</v>
      </c>
      <c r="R5179" s="13" t="s">
        <v>75</v>
      </c>
      <c r="S5179" s="13" t="s">
        <v>73</v>
      </c>
      <c r="T5179" s="44">
        <v>45915.590105324074</v>
      </c>
      <c r="U5179" s="44">
        <v>45922.47377686342</v>
      </c>
      <c r="V5179" s="44">
        <v>45923.42140813658</v>
      </c>
      <c r="W5179" s="11"/>
      <c r="X5179" s="11"/>
      <c r="Y5179" s="207">
        <v>302.0</v>
      </c>
      <c r="Z5179" s="45" t="s">
        <v>20794</v>
      </c>
      <c r="AA5179" s="31"/>
      <c r="AB5179" s="45" t="s">
        <v>20795</v>
      </c>
      <c r="AC5179" s="45"/>
    </row>
    <row r="5180" ht="18.75" customHeight="1">
      <c r="A5180" s="142" t="s">
        <v>20796</v>
      </c>
      <c r="B5180" s="19" t="s">
        <v>11366</v>
      </c>
      <c r="C5180" s="20">
        <v>137.0</v>
      </c>
      <c r="D5180" s="39" t="s">
        <v>20797</v>
      </c>
      <c r="E5180" s="27" t="s">
        <v>85</v>
      </c>
      <c r="F5180" s="27" t="s">
        <v>48</v>
      </c>
      <c r="G5180" s="18" t="s">
        <v>35</v>
      </c>
      <c r="H5180" s="40" t="s">
        <v>35</v>
      </c>
      <c r="I5180" s="24" t="s">
        <v>36</v>
      </c>
      <c r="J5180" s="25" t="s">
        <v>65</v>
      </c>
      <c r="K5180" s="26" t="s">
        <v>38</v>
      </c>
      <c r="L5180" s="72">
        <v>13873.0</v>
      </c>
      <c r="M5180" s="226" t="s">
        <v>16407</v>
      </c>
      <c r="N5180" s="214" t="s">
        <v>16408</v>
      </c>
      <c r="O5180" s="227">
        <v>45916.0</v>
      </c>
      <c r="P5180" s="35" t="s">
        <v>20798</v>
      </c>
      <c r="Q5180" s="13" t="s">
        <v>75</v>
      </c>
      <c r="R5180" s="13" t="s">
        <v>75</v>
      </c>
      <c r="S5180" s="13" t="s">
        <v>73</v>
      </c>
      <c r="T5180" s="44">
        <v>45915.64076717592</v>
      </c>
      <c r="U5180" s="44">
        <v>45915.67964971065</v>
      </c>
      <c r="V5180" s="44">
        <v>45916.37965708334</v>
      </c>
      <c r="W5180" s="11"/>
      <c r="X5180" s="11"/>
      <c r="Y5180" s="45">
        <v>302.0</v>
      </c>
      <c r="Z5180" s="45" t="s">
        <v>20799</v>
      </c>
      <c r="AA5180" s="31"/>
      <c r="AB5180" s="45" t="s">
        <v>20800</v>
      </c>
      <c r="AC5180" s="45"/>
    </row>
    <row r="5181" ht="18.75" customHeight="1">
      <c r="A5181" s="18" t="s">
        <v>20801</v>
      </c>
      <c r="B5181" s="19" t="s">
        <v>9895</v>
      </c>
      <c r="C5181" s="20">
        <v>0.0</v>
      </c>
      <c r="D5181" s="39" t="s">
        <v>20802</v>
      </c>
      <c r="E5181" s="27" t="s">
        <v>3441</v>
      </c>
      <c r="F5181" s="27" t="s">
        <v>48</v>
      </c>
      <c r="G5181" s="18" t="s">
        <v>35</v>
      </c>
      <c r="H5181" s="40" t="s">
        <v>35</v>
      </c>
      <c r="I5181" s="37" t="s">
        <v>36</v>
      </c>
      <c r="J5181" s="25" t="s">
        <v>49</v>
      </c>
      <c r="K5181" s="26" t="s">
        <v>38</v>
      </c>
      <c r="L5181" s="72">
        <v>13874.0</v>
      </c>
      <c r="M5181" s="49" t="s">
        <v>73</v>
      </c>
      <c r="N5181" s="42" t="s">
        <v>17048</v>
      </c>
      <c r="O5181" s="67">
        <v>45916.558469421296</v>
      </c>
      <c r="P5181" s="35" t="s">
        <v>20803</v>
      </c>
      <c r="Q5181" s="13" t="s">
        <v>75</v>
      </c>
      <c r="R5181" s="13" t="s">
        <v>75</v>
      </c>
      <c r="S5181" s="13" t="s">
        <v>73</v>
      </c>
      <c r="T5181" s="44">
        <v>45915.64188265047</v>
      </c>
      <c r="U5181" s="44">
        <v>45915.65201877315</v>
      </c>
      <c r="V5181" s="44">
        <v>45916.37954006944</v>
      </c>
      <c r="W5181" s="11"/>
      <c r="X5181" s="11"/>
      <c r="Y5181" s="45">
        <v>302.0</v>
      </c>
      <c r="Z5181" s="45" t="s">
        <v>20804</v>
      </c>
      <c r="AA5181" s="31"/>
      <c r="AB5181" s="45" t="s">
        <v>20805</v>
      </c>
      <c r="AC5181" s="45"/>
    </row>
    <row r="5182" ht="18.75" customHeight="1">
      <c r="A5182" s="18" t="s">
        <v>20806</v>
      </c>
      <c r="B5182" s="19" t="s">
        <v>9895</v>
      </c>
      <c r="C5182" s="20">
        <v>137.0</v>
      </c>
      <c r="D5182" s="39" t="s">
        <v>20807</v>
      </c>
      <c r="E5182" s="27" t="s">
        <v>85</v>
      </c>
      <c r="F5182" s="27" t="s">
        <v>48</v>
      </c>
      <c r="G5182" s="18" t="s">
        <v>35</v>
      </c>
      <c r="H5182" s="40" t="s">
        <v>35</v>
      </c>
      <c r="I5182" s="37" t="s">
        <v>36</v>
      </c>
      <c r="J5182" s="25" t="s">
        <v>49</v>
      </c>
      <c r="K5182" s="26" t="s">
        <v>38</v>
      </c>
      <c r="L5182" s="72">
        <v>13874.0</v>
      </c>
      <c r="M5182" s="49" t="s">
        <v>73</v>
      </c>
      <c r="N5182" s="42" t="s">
        <v>17048</v>
      </c>
      <c r="O5182" s="67">
        <v>45916.558578067124</v>
      </c>
      <c r="P5182" s="35" t="s">
        <v>20803</v>
      </c>
      <c r="Q5182" s="13" t="s">
        <v>75</v>
      </c>
      <c r="R5182" s="13" t="s">
        <v>75</v>
      </c>
      <c r="S5182" s="13" t="s">
        <v>73</v>
      </c>
      <c r="T5182" s="44">
        <v>45915.64203086805</v>
      </c>
      <c r="U5182" s="44">
        <v>45915.65204197916</v>
      </c>
      <c r="V5182" s="44">
        <v>45916.37730024305</v>
      </c>
      <c r="W5182" s="11"/>
      <c r="X5182" s="11"/>
      <c r="Y5182" s="45">
        <v>302.0</v>
      </c>
      <c r="Z5182" s="45" t="s">
        <v>20808</v>
      </c>
      <c r="AA5182" s="31"/>
      <c r="AB5182" s="45" t="s">
        <v>20809</v>
      </c>
      <c r="AC5182" s="45"/>
    </row>
    <row r="5183" ht="18.75" customHeight="1">
      <c r="A5183" s="142" t="s">
        <v>20810</v>
      </c>
      <c r="B5183" s="19" t="s">
        <v>20811</v>
      </c>
      <c r="C5183" s="20">
        <v>90.0</v>
      </c>
      <c r="D5183" s="39" t="s">
        <v>20812</v>
      </c>
      <c r="E5183" s="27" t="s">
        <v>91</v>
      </c>
      <c r="F5183" s="27" t="s">
        <v>48</v>
      </c>
      <c r="G5183" s="18" t="s">
        <v>35</v>
      </c>
      <c r="H5183" s="40" t="s">
        <v>35</v>
      </c>
      <c r="I5183" s="37" t="s">
        <v>36</v>
      </c>
      <c r="J5183" s="25" t="s">
        <v>518</v>
      </c>
      <c r="K5183" s="26" t="s">
        <v>38</v>
      </c>
      <c r="L5183" s="72">
        <v>13885.0</v>
      </c>
      <c r="M5183" s="49" t="s">
        <v>73</v>
      </c>
      <c r="N5183" s="65" t="s">
        <v>518</v>
      </c>
      <c r="O5183" s="209">
        <v>45918.644959930556</v>
      </c>
      <c r="P5183" s="35" t="s">
        <v>20813</v>
      </c>
      <c r="Q5183" s="13" t="s">
        <v>75</v>
      </c>
      <c r="R5183" s="13" t="s">
        <v>75</v>
      </c>
      <c r="S5183" s="13" t="s">
        <v>73</v>
      </c>
      <c r="T5183" s="44">
        <v>45916.4725893287</v>
      </c>
      <c r="U5183" s="44">
        <v>45916.72338417824</v>
      </c>
      <c r="V5183" s="44">
        <v>45917.47112853009</v>
      </c>
      <c r="W5183" s="11"/>
      <c r="X5183" s="11"/>
      <c r="Y5183" s="45">
        <v>302.0</v>
      </c>
      <c r="Z5183" s="45" t="s">
        <v>20814</v>
      </c>
      <c r="AA5183" s="31"/>
      <c r="AB5183" s="45" t="s">
        <v>20815</v>
      </c>
      <c r="AC5183" s="45"/>
    </row>
    <row r="5184" ht="18.75" customHeight="1">
      <c r="A5184" s="142" t="s">
        <v>20816</v>
      </c>
      <c r="B5184" s="19" t="s">
        <v>3888</v>
      </c>
      <c r="C5184" s="20">
        <v>90.0</v>
      </c>
      <c r="D5184" s="39" t="s">
        <v>20817</v>
      </c>
      <c r="E5184" s="27" t="s">
        <v>91</v>
      </c>
      <c r="F5184" s="27" t="s">
        <v>48</v>
      </c>
      <c r="G5184" s="18" t="s">
        <v>35</v>
      </c>
      <c r="H5184" s="40" t="s">
        <v>35</v>
      </c>
      <c r="I5184" s="37" t="s">
        <v>36</v>
      </c>
      <c r="J5184" s="25" t="s">
        <v>49</v>
      </c>
      <c r="K5184" s="26" t="s">
        <v>2978</v>
      </c>
      <c r="L5184" s="72">
        <v>13889.0</v>
      </c>
      <c r="M5184" s="49" t="s">
        <v>73</v>
      </c>
      <c r="N5184" s="42" t="s">
        <v>18561</v>
      </c>
      <c r="O5184" s="67">
        <v>45917.57900028935</v>
      </c>
      <c r="P5184" s="26" t="s">
        <v>20818</v>
      </c>
      <c r="Q5184" s="13" t="s">
        <v>75</v>
      </c>
      <c r="R5184" s="13" t="s">
        <v>75</v>
      </c>
      <c r="S5184" s="13" t="s">
        <v>73</v>
      </c>
      <c r="T5184" s="44">
        <v>45916.57476229167</v>
      </c>
      <c r="U5184" s="44">
        <v>45916.57499709491</v>
      </c>
      <c r="V5184" s="44">
        <v>45917.47089603009</v>
      </c>
      <c r="W5184" s="11"/>
      <c r="X5184" s="11"/>
      <c r="Y5184" s="45">
        <v>302.0</v>
      </c>
      <c r="Z5184" s="45" t="s">
        <v>20819</v>
      </c>
      <c r="AA5184" s="31"/>
      <c r="AB5184" s="45" t="s">
        <v>20820</v>
      </c>
      <c r="AC5184" s="45"/>
    </row>
    <row r="5185" ht="18.75" customHeight="1">
      <c r="A5185" s="142" t="s">
        <v>20821</v>
      </c>
      <c r="B5185" s="19" t="s">
        <v>17025</v>
      </c>
      <c r="C5185" s="20">
        <v>90.0</v>
      </c>
      <c r="D5185" s="39" t="s">
        <v>20822</v>
      </c>
      <c r="E5185" s="27" t="s">
        <v>91</v>
      </c>
      <c r="F5185" s="27" t="s">
        <v>48</v>
      </c>
      <c r="G5185" s="18" t="s">
        <v>35</v>
      </c>
      <c r="H5185" s="40" t="s">
        <v>35</v>
      </c>
      <c r="I5185" s="37" t="s">
        <v>36</v>
      </c>
      <c r="J5185" s="25" t="s">
        <v>49</v>
      </c>
      <c r="K5185" s="26" t="s">
        <v>38</v>
      </c>
      <c r="L5185" s="72">
        <v>13886.0</v>
      </c>
      <c r="M5185" s="49" t="s">
        <v>73</v>
      </c>
      <c r="N5185" s="42" t="s">
        <v>18561</v>
      </c>
      <c r="O5185" s="67">
        <v>45917.57912226852</v>
      </c>
      <c r="P5185" s="35" t="s">
        <v>15666</v>
      </c>
      <c r="Q5185" s="13" t="s">
        <v>75</v>
      </c>
      <c r="R5185" s="13" t="s">
        <v>75</v>
      </c>
      <c r="S5185" s="13" t="s">
        <v>73</v>
      </c>
      <c r="T5185" s="44">
        <v>45916.47943119213</v>
      </c>
      <c r="U5185" s="44">
        <v>45916.51213229167</v>
      </c>
      <c r="V5185" s="44">
        <v>45917.47089603009</v>
      </c>
      <c r="W5185" s="11"/>
      <c r="X5185" s="11"/>
      <c r="Y5185" s="45">
        <v>302.0</v>
      </c>
      <c r="Z5185" s="45" t="s">
        <v>20823</v>
      </c>
      <c r="AA5185" s="31"/>
      <c r="AB5185" s="45" t="s">
        <v>20824</v>
      </c>
      <c r="AC5185" s="45"/>
    </row>
    <row r="5186" ht="18.75" customHeight="1">
      <c r="A5186" s="142" t="s">
        <v>20825</v>
      </c>
      <c r="B5186" s="19" t="s">
        <v>20826</v>
      </c>
      <c r="C5186" s="20">
        <v>1.0</v>
      </c>
      <c r="D5186" s="39" t="s">
        <v>20827</v>
      </c>
      <c r="E5186" s="27" t="s">
        <v>3395</v>
      </c>
      <c r="F5186" s="27" t="s">
        <v>48</v>
      </c>
      <c r="G5186" s="18" t="s">
        <v>35</v>
      </c>
      <c r="H5186" s="40" t="s">
        <v>35</v>
      </c>
      <c r="I5186" s="37" t="s">
        <v>36</v>
      </c>
      <c r="J5186" s="25" t="s">
        <v>49</v>
      </c>
      <c r="K5186" s="26" t="s">
        <v>4683</v>
      </c>
      <c r="L5186" s="25">
        <v>14221.0</v>
      </c>
      <c r="M5186" s="49" t="s">
        <v>50</v>
      </c>
      <c r="N5186" s="42" t="s">
        <v>9953</v>
      </c>
      <c r="O5186" s="67">
        <v>45950.65367083333</v>
      </c>
      <c r="P5186" s="35" t="s">
        <v>17027</v>
      </c>
      <c r="Q5186" s="13" t="s">
        <v>75</v>
      </c>
      <c r="R5186" s="13" t="s">
        <v>75</v>
      </c>
      <c r="S5186" s="13" t="s">
        <v>73</v>
      </c>
      <c r="T5186" s="44">
        <v>45918.45939607639</v>
      </c>
      <c r="U5186" s="44">
        <v>45919.62389321759</v>
      </c>
      <c r="V5186" s="44">
        <v>45950.54568707176</v>
      </c>
      <c r="W5186" s="11"/>
      <c r="X5186" s="148">
        <v>45962.0</v>
      </c>
      <c r="Y5186" s="45">
        <v>302.0</v>
      </c>
      <c r="Z5186" s="45" t="s">
        <v>20828</v>
      </c>
      <c r="AA5186" s="31"/>
      <c r="AB5186" s="45" t="s">
        <v>20829</v>
      </c>
      <c r="AC5186" s="45"/>
    </row>
    <row r="5187" ht="18.75" customHeight="1">
      <c r="A5187" s="18" t="s">
        <v>20830</v>
      </c>
      <c r="B5187" s="19" t="s">
        <v>147</v>
      </c>
      <c r="C5187" s="20">
        <v>0.0</v>
      </c>
      <c r="D5187" s="39" t="s">
        <v>20831</v>
      </c>
      <c r="E5187" s="27" t="s">
        <v>3441</v>
      </c>
      <c r="F5187" s="27" t="s">
        <v>48</v>
      </c>
      <c r="G5187" s="18" t="s">
        <v>35</v>
      </c>
      <c r="H5187" s="40" t="s">
        <v>35</v>
      </c>
      <c r="I5187" s="37" t="s">
        <v>36</v>
      </c>
      <c r="J5187" s="25" t="s">
        <v>65</v>
      </c>
      <c r="K5187" s="26" t="s">
        <v>38</v>
      </c>
      <c r="L5187" s="72">
        <v>13887.0</v>
      </c>
      <c r="M5187" s="226" t="s">
        <v>16407</v>
      </c>
      <c r="N5187" s="214" t="s">
        <v>16408</v>
      </c>
      <c r="O5187" s="227">
        <v>45917.0</v>
      </c>
      <c r="P5187" s="35" t="s">
        <v>20832</v>
      </c>
      <c r="Q5187" s="13" t="s">
        <v>75</v>
      </c>
      <c r="R5187" s="13" t="s">
        <v>75</v>
      </c>
      <c r="S5187" s="13" t="s">
        <v>73</v>
      </c>
      <c r="T5187" s="44">
        <v>45916.50175140046</v>
      </c>
      <c r="U5187" s="44">
        <v>45916.72641072917</v>
      </c>
      <c r="V5187" s="44">
        <v>45917.476711932875</v>
      </c>
      <c r="W5187" s="11"/>
      <c r="X5187" s="11"/>
      <c r="Y5187" s="45">
        <v>302.0</v>
      </c>
      <c r="Z5187" s="45" t="s">
        <v>20833</v>
      </c>
      <c r="AA5187" s="31"/>
      <c r="AB5187" s="45" t="s">
        <v>20834</v>
      </c>
      <c r="AC5187" s="45"/>
    </row>
    <row r="5188" ht="18.75" customHeight="1">
      <c r="A5188" s="18" t="s">
        <v>20835</v>
      </c>
      <c r="B5188" s="19" t="s">
        <v>147</v>
      </c>
      <c r="C5188" s="20">
        <v>90.0</v>
      </c>
      <c r="D5188" s="39" t="s">
        <v>20836</v>
      </c>
      <c r="E5188" s="27" t="s">
        <v>91</v>
      </c>
      <c r="F5188" s="27" t="s">
        <v>48</v>
      </c>
      <c r="G5188" s="18" t="s">
        <v>35</v>
      </c>
      <c r="H5188" s="40" t="s">
        <v>35</v>
      </c>
      <c r="I5188" s="37" t="s">
        <v>36</v>
      </c>
      <c r="J5188" s="25" t="s">
        <v>65</v>
      </c>
      <c r="K5188" s="26" t="s">
        <v>38</v>
      </c>
      <c r="L5188" s="72">
        <v>13887.0</v>
      </c>
      <c r="M5188" s="226" t="s">
        <v>16407</v>
      </c>
      <c r="N5188" s="214" t="s">
        <v>16408</v>
      </c>
      <c r="O5188" s="227">
        <v>45917.0</v>
      </c>
      <c r="P5188" s="35" t="s">
        <v>20832</v>
      </c>
      <c r="Q5188" s="13" t="s">
        <v>75</v>
      </c>
      <c r="R5188" s="13" t="s">
        <v>75</v>
      </c>
      <c r="S5188" s="13" t="s">
        <v>73</v>
      </c>
      <c r="T5188" s="44">
        <v>45916.50186875</v>
      </c>
      <c r="U5188" s="44">
        <v>45916.7263946412</v>
      </c>
      <c r="V5188" s="44">
        <v>45917.47112853009</v>
      </c>
      <c r="W5188" s="11"/>
      <c r="X5188" s="11"/>
      <c r="Y5188" s="45">
        <v>302.0</v>
      </c>
      <c r="Z5188" s="45" t="s">
        <v>20837</v>
      </c>
      <c r="AA5188" s="31"/>
      <c r="AB5188" s="45" t="s">
        <v>20838</v>
      </c>
      <c r="AC5188" s="45"/>
    </row>
    <row r="5189" ht="18.75" customHeight="1">
      <c r="A5189" s="18" t="s">
        <v>20839</v>
      </c>
      <c r="B5189" s="19" t="s">
        <v>3645</v>
      </c>
      <c r="C5189" s="20">
        <v>137.0</v>
      </c>
      <c r="D5189" s="39" t="s">
        <v>20840</v>
      </c>
      <c r="E5189" s="27" t="s">
        <v>85</v>
      </c>
      <c r="F5189" s="27" t="s">
        <v>48</v>
      </c>
      <c r="G5189" s="18" t="s">
        <v>35</v>
      </c>
      <c r="H5189" s="40" t="s">
        <v>35</v>
      </c>
      <c r="I5189" s="37" t="s">
        <v>36</v>
      </c>
      <c r="J5189" s="25" t="s">
        <v>49</v>
      </c>
      <c r="K5189" s="26" t="s">
        <v>38</v>
      </c>
      <c r="L5189" s="72">
        <v>13909.0</v>
      </c>
      <c r="M5189" s="49" t="s">
        <v>73</v>
      </c>
      <c r="N5189" s="42" t="s">
        <v>17048</v>
      </c>
      <c r="O5189" s="67">
        <v>45919.597808506944</v>
      </c>
      <c r="P5189" s="35" t="s">
        <v>20841</v>
      </c>
      <c r="Q5189" s="13" t="s">
        <v>75</v>
      </c>
      <c r="R5189" s="13" t="s">
        <v>75</v>
      </c>
      <c r="S5189" s="13" t="s">
        <v>73</v>
      </c>
      <c r="T5189" s="44">
        <v>45919.44185949074</v>
      </c>
      <c r="U5189" s="44">
        <v>45919.44196664351</v>
      </c>
      <c r="V5189" s="44">
        <v>45919.49644112268</v>
      </c>
      <c r="W5189" s="11"/>
      <c r="X5189" s="11"/>
      <c r="Y5189" s="45">
        <v>302.0</v>
      </c>
      <c r="Z5189" s="45" t="s">
        <v>20842</v>
      </c>
      <c r="AA5189" s="31"/>
      <c r="AB5189" s="45" t="s">
        <v>20843</v>
      </c>
      <c r="AC5189" s="45"/>
    </row>
    <row r="5190" ht="18.75" customHeight="1">
      <c r="A5190" s="18" t="s">
        <v>20844</v>
      </c>
      <c r="B5190" s="19" t="s">
        <v>3645</v>
      </c>
      <c r="C5190" s="20">
        <v>137.0</v>
      </c>
      <c r="D5190" s="39" t="s">
        <v>20845</v>
      </c>
      <c r="E5190" s="27" t="s">
        <v>85</v>
      </c>
      <c r="F5190" s="27" t="s">
        <v>48</v>
      </c>
      <c r="G5190" s="18" t="s">
        <v>35</v>
      </c>
      <c r="H5190" s="40" t="s">
        <v>35</v>
      </c>
      <c r="I5190" s="37" t="s">
        <v>36</v>
      </c>
      <c r="J5190" s="25" t="s">
        <v>49</v>
      </c>
      <c r="K5190" s="26" t="s">
        <v>38</v>
      </c>
      <c r="L5190" s="72">
        <v>13909.0</v>
      </c>
      <c r="M5190" s="49" t="s">
        <v>73</v>
      </c>
      <c r="N5190" s="42" t="s">
        <v>17048</v>
      </c>
      <c r="O5190" s="67">
        <v>45919.59785222222</v>
      </c>
      <c r="P5190" s="35" t="s">
        <v>20841</v>
      </c>
      <c r="Q5190" s="13" t="s">
        <v>75</v>
      </c>
      <c r="R5190" s="13" t="s">
        <v>75</v>
      </c>
      <c r="S5190" s="13" t="s">
        <v>73</v>
      </c>
      <c r="T5190" s="44">
        <v>45919.44190615741</v>
      </c>
      <c r="U5190" s="44">
        <v>45919.441993506945</v>
      </c>
      <c r="V5190" s="44">
        <v>45919.49644113426</v>
      </c>
      <c r="W5190" s="11"/>
      <c r="X5190" s="11"/>
      <c r="Y5190" s="45">
        <v>302.0</v>
      </c>
      <c r="Z5190" s="45" t="s">
        <v>20846</v>
      </c>
      <c r="AA5190" s="31"/>
      <c r="AB5190" s="45" t="s">
        <v>20847</v>
      </c>
      <c r="AC5190" s="45"/>
    </row>
    <row r="5191" ht="18.75" customHeight="1">
      <c r="A5191" s="18" t="s">
        <v>20848</v>
      </c>
      <c r="B5191" s="19" t="s">
        <v>3645</v>
      </c>
      <c r="C5191" s="20">
        <v>137.0</v>
      </c>
      <c r="D5191" s="39" t="s">
        <v>20849</v>
      </c>
      <c r="E5191" s="27" t="s">
        <v>85</v>
      </c>
      <c r="F5191" s="27" t="s">
        <v>48</v>
      </c>
      <c r="G5191" s="18" t="s">
        <v>35</v>
      </c>
      <c r="H5191" s="40" t="s">
        <v>35</v>
      </c>
      <c r="I5191" s="37" t="s">
        <v>36</v>
      </c>
      <c r="J5191" s="25" t="s">
        <v>49</v>
      </c>
      <c r="K5191" s="26" t="s">
        <v>38</v>
      </c>
      <c r="L5191" s="72">
        <v>13909.0</v>
      </c>
      <c r="M5191" s="49" t="s">
        <v>73</v>
      </c>
      <c r="N5191" s="42" t="s">
        <v>17048</v>
      </c>
      <c r="O5191" s="67">
        <v>45919.59789001157</v>
      </c>
      <c r="P5191" s="35" t="s">
        <v>20841</v>
      </c>
      <c r="Q5191" s="13" t="s">
        <v>75</v>
      </c>
      <c r="R5191" s="13" t="s">
        <v>75</v>
      </c>
      <c r="S5191" s="13" t="s">
        <v>73</v>
      </c>
      <c r="T5191" s="44">
        <v>45919.44195247685</v>
      </c>
      <c r="U5191" s="44">
        <v>45919.44201652778</v>
      </c>
      <c r="V5191" s="44">
        <v>45919.49644113426</v>
      </c>
      <c r="W5191" s="11"/>
      <c r="X5191" s="11"/>
      <c r="Y5191" s="45">
        <v>302.0</v>
      </c>
      <c r="Z5191" s="45" t="s">
        <v>20850</v>
      </c>
      <c r="AA5191" s="31"/>
      <c r="AB5191" s="45" t="s">
        <v>20851</v>
      </c>
      <c r="AC5191" s="45"/>
    </row>
    <row r="5192" ht="18.75" customHeight="1">
      <c r="A5192" s="142" t="s">
        <v>20852</v>
      </c>
      <c r="B5192" s="19" t="s">
        <v>5392</v>
      </c>
      <c r="C5192" s="20">
        <v>90.0</v>
      </c>
      <c r="D5192" s="39" t="s">
        <v>20853</v>
      </c>
      <c r="E5192" s="27" t="s">
        <v>91</v>
      </c>
      <c r="F5192" s="27" t="s">
        <v>48</v>
      </c>
      <c r="G5192" s="18" t="s">
        <v>35</v>
      </c>
      <c r="H5192" s="40" t="s">
        <v>35</v>
      </c>
      <c r="I5192" s="37" t="s">
        <v>36</v>
      </c>
      <c r="J5192" s="25" t="s">
        <v>49</v>
      </c>
      <c r="K5192" s="26" t="s">
        <v>19108</v>
      </c>
      <c r="L5192" s="72">
        <v>13891.0</v>
      </c>
      <c r="M5192" s="49" t="s">
        <v>73</v>
      </c>
      <c r="N5192" s="42" t="s">
        <v>18561</v>
      </c>
      <c r="O5192" s="67">
        <v>45917.57905857639</v>
      </c>
      <c r="P5192" s="26" t="s">
        <v>20854</v>
      </c>
      <c r="Q5192" s="13" t="s">
        <v>75</v>
      </c>
      <c r="R5192" s="13" t="s">
        <v>75</v>
      </c>
      <c r="S5192" s="13" t="s">
        <v>73</v>
      </c>
      <c r="T5192" s="44">
        <v>45916.47260245371</v>
      </c>
      <c r="U5192" s="44">
        <v>45916.60583357639</v>
      </c>
      <c r="V5192" s="44">
        <v>45917.47112851852</v>
      </c>
      <c r="W5192" s="11"/>
      <c r="X5192" s="11"/>
      <c r="Y5192" s="45">
        <v>302.0</v>
      </c>
      <c r="Z5192" s="45" t="s">
        <v>20855</v>
      </c>
      <c r="AA5192" s="31"/>
      <c r="AB5192" s="45" t="s">
        <v>20856</v>
      </c>
      <c r="AC5192" s="45"/>
    </row>
    <row r="5193" ht="18.75" customHeight="1">
      <c r="A5193" s="18" t="s">
        <v>20857</v>
      </c>
      <c r="B5193" s="19" t="s">
        <v>19901</v>
      </c>
      <c r="C5193" s="20">
        <v>27.0</v>
      </c>
      <c r="D5193" s="39" t="s">
        <v>20858</v>
      </c>
      <c r="E5193" s="27" t="s">
        <v>72</v>
      </c>
      <c r="F5193" s="27" t="s">
        <v>48</v>
      </c>
      <c r="G5193" s="18" t="s">
        <v>35</v>
      </c>
      <c r="H5193" s="40" t="s">
        <v>35</v>
      </c>
      <c r="I5193" s="24" t="s">
        <v>36</v>
      </c>
      <c r="J5193" s="25" t="s">
        <v>65</v>
      </c>
      <c r="K5193" s="26" t="s">
        <v>38</v>
      </c>
      <c r="L5193" s="72">
        <v>13877.0</v>
      </c>
      <c r="M5193" s="226" t="s">
        <v>16407</v>
      </c>
      <c r="N5193" s="214" t="s">
        <v>16408</v>
      </c>
      <c r="O5193" s="227">
        <v>45916.0</v>
      </c>
      <c r="P5193" s="35" t="s">
        <v>20859</v>
      </c>
      <c r="Q5193" s="13" t="s">
        <v>75</v>
      </c>
      <c r="R5193" s="13" t="s">
        <v>75</v>
      </c>
      <c r="S5193" s="13" t="s">
        <v>73</v>
      </c>
      <c r="T5193" s="44">
        <v>45916.578704976855</v>
      </c>
      <c r="U5193" s="44">
        <v>45916.57876935185</v>
      </c>
      <c r="V5193" s="44">
        <v>45916.58386452546</v>
      </c>
      <c r="W5193" s="11"/>
      <c r="X5193" s="11"/>
      <c r="Y5193" s="45">
        <v>302.0</v>
      </c>
      <c r="Z5193" s="45" t="s">
        <v>20860</v>
      </c>
      <c r="AA5193" s="31"/>
      <c r="AB5193" s="45" t="s">
        <v>20861</v>
      </c>
      <c r="AC5193" s="45"/>
    </row>
    <row r="5194" ht="18.75" customHeight="1">
      <c r="A5194" s="18" t="s">
        <v>20862</v>
      </c>
      <c r="B5194" s="19" t="s">
        <v>19901</v>
      </c>
      <c r="C5194" s="20">
        <v>27.0</v>
      </c>
      <c r="D5194" s="39" t="s">
        <v>20863</v>
      </c>
      <c r="E5194" s="27" t="s">
        <v>72</v>
      </c>
      <c r="F5194" s="27" t="s">
        <v>48</v>
      </c>
      <c r="G5194" s="18" t="s">
        <v>35</v>
      </c>
      <c r="H5194" s="40" t="s">
        <v>35</v>
      </c>
      <c r="I5194" s="24" t="s">
        <v>36</v>
      </c>
      <c r="J5194" s="25" t="s">
        <v>65</v>
      </c>
      <c r="K5194" s="26" t="s">
        <v>38</v>
      </c>
      <c r="L5194" s="72">
        <v>13877.0</v>
      </c>
      <c r="M5194" s="226" t="s">
        <v>16407</v>
      </c>
      <c r="N5194" s="214" t="s">
        <v>16408</v>
      </c>
      <c r="O5194" s="227">
        <v>45916.0</v>
      </c>
      <c r="P5194" s="35" t="s">
        <v>20859</v>
      </c>
      <c r="Q5194" s="13" t="s">
        <v>75</v>
      </c>
      <c r="R5194" s="13" t="s">
        <v>75</v>
      </c>
      <c r="S5194" s="13" t="s">
        <v>73</v>
      </c>
      <c r="T5194" s="44">
        <v>45916.578754745366</v>
      </c>
      <c r="U5194" s="44">
        <v>45916.578801400465</v>
      </c>
      <c r="V5194" s="44">
        <v>45916.58386453704</v>
      </c>
      <c r="W5194" s="11"/>
      <c r="X5194" s="11"/>
      <c r="Y5194" s="45">
        <v>302.0</v>
      </c>
      <c r="Z5194" s="45" t="s">
        <v>20864</v>
      </c>
      <c r="AA5194" s="31"/>
      <c r="AB5194" s="45" t="s">
        <v>20865</v>
      </c>
      <c r="AC5194" s="45"/>
    </row>
    <row r="5195" ht="18.75" customHeight="1">
      <c r="A5195" s="142" t="s">
        <v>20866</v>
      </c>
      <c r="B5195" s="19" t="s">
        <v>5531</v>
      </c>
      <c r="C5195" s="20">
        <v>137.0</v>
      </c>
      <c r="D5195" s="39" t="s">
        <v>20867</v>
      </c>
      <c r="E5195" s="27" t="s">
        <v>85</v>
      </c>
      <c r="F5195" s="27" t="s">
        <v>48</v>
      </c>
      <c r="G5195" s="18" t="s">
        <v>35</v>
      </c>
      <c r="H5195" s="40" t="s">
        <v>35</v>
      </c>
      <c r="I5195" s="37" t="s">
        <v>36</v>
      </c>
      <c r="J5195" s="25" t="s">
        <v>49</v>
      </c>
      <c r="K5195" s="26" t="s">
        <v>20868</v>
      </c>
      <c r="L5195" s="72">
        <v>13888.0</v>
      </c>
      <c r="M5195" s="49" t="s">
        <v>73</v>
      </c>
      <c r="N5195" s="42" t="s">
        <v>18561</v>
      </c>
      <c r="O5195" s="67">
        <v>45917.579172928235</v>
      </c>
      <c r="P5195" s="26" t="s">
        <v>20869</v>
      </c>
      <c r="Q5195" s="13" t="s">
        <v>75</v>
      </c>
      <c r="R5195" s="13" t="s">
        <v>75</v>
      </c>
      <c r="S5195" s="13" t="s">
        <v>73</v>
      </c>
      <c r="T5195" s="44">
        <v>45916.68499172454</v>
      </c>
      <c r="U5195" s="44">
        <v>45916.72843524306</v>
      </c>
      <c r="V5195" s="44">
        <v>45917.47263225695</v>
      </c>
      <c r="W5195" s="11"/>
      <c r="X5195" s="11"/>
      <c r="Y5195" s="45">
        <v>302.0</v>
      </c>
      <c r="Z5195" s="45" t="s">
        <v>20870</v>
      </c>
      <c r="AA5195" s="31"/>
      <c r="AB5195" s="45" t="s">
        <v>20871</v>
      </c>
      <c r="AC5195" s="45"/>
    </row>
    <row r="5196" ht="18.75" customHeight="1">
      <c r="A5196" s="18" t="s">
        <v>20872</v>
      </c>
      <c r="B5196" s="19" t="s">
        <v>4711</v>
      </c>
      <c r="C5196" s="20">
        <v>90.0</v>
      </c>
      <c r="D5196" s="39" t="s">
        <v>20873</v>
      </c>
      <c r="E5196" s="27" t="s">
        <v>91</v>
      </c>
      <c r="F5196" s="27" t="s">
        <v>48</v>
      </c>
      <c r="G5196" s="18" t="s">
        <v>35</v>
      </c>
      <c r="H5196" s="40" t="s">
        <v>35</v>
      </c>
      <c r="I5196" s="37" t="s">
        <v>36</v>
      </c>
      <c r="J5196" s="25" t="s">
        <v>65</v>
      </c>
      <c r="K5196" s="26" t="s">
        <v>38</v>
      </c>
      <c r="L5196" s="72">
        <v>13918.0</v>
      </c>
      <c r="M5196" s="49" t="s">
        <v>73</v>
      </c>
      <c r="N5196" s="42" t="s">
        <v>20222</v>
      </c>
      <c r="O5196" s="67">
        <v>45919.6650975463</v>
      </c>
      <c r="P5196" s="35" t="s">
        <v>20874</v>
      </c>
      <c r="Q5196" s="13" t="s">
        <v>75</v>
      </c>
      <c r="R5196" s="13" t="s">
        <v>75</v>
      </c>
      <c r="S5196" s="13" t="s">
        <v>73</v>
      </c>
      <c r="T5196" s="44">
        <v>45918.450255902775</v>
      </c>
      <c r="U5196" s="44">
        <v>45918.59573357639</v>
      </c>
      <c r="V5196" s="44">
        <v>45919.42186059028</v>
      </c>
      <c r="W5196" s="11"/>
      <c r="X5196" s="11"/>
      <c r="Y5196" s="45">
        <v>302.0</v>
      </c>
      <c r="Z5196" s="45" t="s">
        <v>20875</v>
      </c>
      <c r="AA5196" s="31"/>
      <c r="AB5196" s="45" t="s">
        <v>20876</v>
      </c>
      <c r="AC5196" s="45"/>
    </row>
    <row r="5197" ht="18.75" customHeight="1">
      <c r="A5197" s="18" t="s">
        <v>20877</v>
      </c>
      <c r="B5197" s="19" t="s">
        <v>4711</v>
      </c>
      <c r="C5197" s="20">
        <v>11.0</v>
      </c>
      <c r="D5197" s="39" t="s">
        <v>20878</v>
      </c>
      <c r="E5197" s="27" t="s">
        <v>112</v>
      </c>
      <c r="F5197" s="27" t="s">
        <v>48</v>
      </c>
      <c r="G5197" s="18" t="s">
        <v>35</v>
      </c>
      <c r="H5197" s="40" t="s">
        <v>35</v>
      </c>
      <c r="I5197" s="37" t="s">
        <v>36</v>
      </c>
      <c r="J5197" s="25" t="s">
        <v>65</v>
      </c>
      <c r="K5197" s="26" t="s">
        <v>38</v>
      </c>
      <c r="L5197" s="72">
        <v>13918.0</v>
      </c>
      <c r="M5197" s="49" t="s">
        <v>73</v>
      </c>
      <c r="N5197" s="42" t="s">
        <v>20222</v>
      </c>
      <c r="O5197" s="67">
        <v>45919.665142847225</v>
      </c>
      <c r="P5197" s="35" t="s">
        <v>20874</v>
      </c>
      <c r="Q5197" s="13" t="s">
        <v>75</v>
      </c>
      <c r="R5197" s="13" t="s">
        <v>75</v>
      </c>
      <c r="S5197" s="13" t="s">
        <v>73</v>
      </c>
      <c r="T5197" s="44">
        <v>45918.45028608796</v>
      </c>
      <c r="U5197" s="44">
        <v>45918.595756863426</v>
      </c>
      <c r="V5197" s="44">
        <v>45919.43071943287</v>
      </c>
      <c r="W5197" s="11"/>
      <c r="X5197" s="11"/>
      <c r="Y5197" s="45">
        <v>302.0</v>
      </c>
      <c r="Z5197" s="45" t="s">
        <v>20879</v>
      </c>
      <c r="AA5197" s="31"/>
      <c r="AB5197" s="45" t="s">
        <v>20880</v>
      </c>
      <c r="AC5197" s="45"/>
    </row>
    <row r="5198" ht="18.75" customHeight="1">
      <c r="A5198" s="142" t="s">
        <v>20881</v>
      </c>
      <c r="B5198" s="19" t="s">
        <v>20882</v>
      </c>
      <c r="C5198" s="20">
        <v>0.0</v>
      </c>
      <c r="D5198" s="39" t="s">
        <v>20883</v>
      </c>
      <c r="E5198" s="27" t="s">
        <v>3441</v>
      </c>
      <c r="F5198" s="27" t="s">
        <v>48</v>
      </c>
      <c r="G5198" s="18" t="s">
        <v>35</v>
      </c>
      <c r="H5198" s="40" t="s">
        <v>35</v>
      </c>
      <c r="I5198" s="37" t="s">
        <v>36</v>
      </c>
      <c r="J5198" s="25" t="s">
        <v>49</v>
      </c>
      <c r="K5198" s="26" t="s">
        <v>11095</v>
      </c>
      <c r="L5198" s="34">
        <v>13902.0</v>
      </c>
      <c r="M5198" s="49" t="s">
        <v>73</v>
      </c>
      <c r="N5198" s="42" t="s">
        <v>17048</v>
      </c>
      <c r="O5198" s="67">
        <v>45919.59762672454</v>
      </c>
      <c r="P5198" s="35" t="s">
        <v>20884</v>
      </c>
      <c r="Q5198" s="13" t="s">
        <v>75</v>
      </c>
      <c r="R5198" s="13" t="s">
        <v>75</v>
      </c>
      <c r="S5198" s="13" t="s">
        <v>73</v>
      </c>
      <c r="T5198" s="44">
        <v>45917.487573425926</v>
      </c>
      <c r="U5198" s="44">
        <v>45918.697187048616</v>
      </c>
      <c r="V5198" s="44">
        <v>45918.41355409722</v>
      </c>
      <c r="W5198" s="11"/>
      <c r="X5198" s="11"/>
      <c r="Y5198" s="45">
        <v>302.0</v>
      </c>
      <c r="Z5198" s="45" t="s">
        <v>20885</v>
      </c>
      <c r="AA5198" s="31"/>
      <c r="AB5198" s="45" t="s">
        <v>20886</v>
      </c>
      <c r="AC5198" s="45"/>
    </row>
    <row r="5199" ht="18.75" customHeight="1">
      <c r="A5199" s="142" t="s">
        <v>20887</v>
      </c>
      <c r="B5199" s="19" t="s">
        <v>20888</v>
      </c>
      <c r="C5199" s="20">
        <v>90.0</v>
      </c>
      <c r="D5199" s="39" t="s">
        <v>20889</v>
      </c>
      <c r="E5199" s="27" t="s">
        <v>91</v>
      </c>
      <c r="F5199" s="27" t="s">
        <v>48</v>
      </c>
      <c r="G5199" s="18" t="s">
        <v>35</v>
      </c>
      <c r="H5199" s="40" t="s">
        <v>35</v>
      </c>
      <c r="I5199" s="24" t="s">
        <v>36</v>
      </c>
      <c r="J5199" s="25" t="s">
        <v>65</v>
      </c>
      <c r="K5199" s="26" t="s">
        <v>38</v>
      </c>
      <c r="L5199" s="34">
        <v>13896.0</v>
      </c>
      <c r="M5199" s="152" t="s">
        <v>16407</v>
      </c>
      <c r="N5199" s="42" t="s">
        <v>16408</v>
      </c>
      <c r="O5199" s="43">
        <v>45918.62195141204</v>
      </c>
      <c r="P5199" s="35" t="s">
        <v>19232</v>
      </c>
      <c r="Q5199" s="13" t="s">
        <v>75</v>
      </c>
      <c r="R5199" s="13" t="s">
        <v>75</v>
      </c>
      <c r="S5199" s="13" t="s">
        <v>73</v>
      </c>
      <c r="T5199" s="44">
        <v>45917.47015890046</v>
      </c>
      <c r="U5199" s="44">
        <v>45917.718791956024</v>
      </c>
      <c r="V5199" s="44">
        <v>45918.414169525466</v>
      </c>
      <c r="W5199" s="11"/>
      <c r="X5199" s="11"/>
      <c r="Y5199" s="45">
        <v>302.0</v>
      </c>
      <c r="Z5199" s="45" t="s">
        <v>20890</v>
      </c>
      <c r="AA5199" s="31"/>
      <c r="AB5199" s="45" t="s">
        <v>20891</v>
      </c>
      <c r="AC5199" s="45"/>
    </row>
    <row r="5200" ht="18.75" customHeight="1">
      <c r="A5200" s="142" t="s">
        <v>20892</v>
      </c>
      <c r="B5200" s="19" t="s">
        <v>16816</v>
      </c>
      <c r="C5200" s="20">
        <v>137.0</v>
      </c>
      <c r="D5200" s="39" t="s">
        <v>20893</v>
      </c>
      <c r="E5200" s="27" t="s">
        <v>85</v>
      </c>
      <c r="F5200" s="27" t="s">
        <v>48</v>
      </c>
      <c r="G5200" s="18" t="s">
        <v>35</v>
      </c>
      <c r="H5200" s="40" t="s">
        <v>35</v>
      </c>
      <c r="I5200" s="37" t="s">
        <v>36</v>
      </c>
      <c r="J5200" s="25" t="s">
        <v>65</v>
      </c>
      <c r="K5200" s="26" t="s">
        <v>38</v>
      </c>
      <c r="L5200" s="25">
        <v>13978.0</v>
      </c>
      <c r="M5200" s="49" t="s">
        <v>50</v>
      </c>
      <c r="N5200" s="42" t="s">
        <v>16408</v>
      </c>
      <c r="O5200" s="67">
        <v>45926.694263680554</v>
      </c>
      <c r="P5200" s="35" t="s">
        <v>20894</v>
      </c>
      <c r="Q5200" s="13" t="s">
        <v>75</v>
      </c>
      <c r="R5200" s="13" t="s">
        <v>75</v>
      </c>
      <c r="S5200" s="13" t="s">
        <v>73</v>
      </c>
      <c r="T5200" s="44">
        <v>45917.405520092594</v>
      </c>
      <c r="U5200" s="44">
        <v>45925.726367627314</v>
      </c>
      <c r="V5200" s="44">
        <v>45926.453826122684</v>
      </c>
      <c r="W5200" s="11"/>
      <c r="X5200" s="11"/>
      <c r="Y5200" s="45">
        <v>302.0</v>
      </c>
      <c r="Z5200" s="45" t="s">
        <v>20895</v>
      </c>
      <c r="AA5200" s="31"/>
      <c r="AB5200" s="45" t="s">
        <v>20896</v>
      </c>
      <c r="AC5200" s="45"/>
    </row>
    <row r="5201" ht="18.75" customHeight="1">
      <c r="A5201" s="142" t="s">
        <v>20897</v>
      </c>
      <c r="B5201" s="19" t="s">
        <v>7885</v>
      </c>
      <c r="C5201" s="20">
        <v>0.0</v>
      </c>
      <c r="D5201" s="39" t="s">
        <v>20898</v>
      </c>
      <c r="E5201" s="27" t="s">
        <v>3441</v>
      </c>
      <c r="F5201" s="27" t="s">
        <v>48</v>
      </c>
      <c r="G5201" s="18" t="s">
        <v>35</v>
      </c>
      <c r="H5201" s="40" t="s">
        <v>35</v>
      </c>
      <c r="I5201" s="37" t="s">
        <v>36</v>
      </c>
      <c r="J5201" s="25" t="s">
        <v>49</v>
      </c>
      <c r="K5201" s="26" t="s">
        <v>38</v>
      </c>
      <c r="L5201" s="34">
        <v>13901.0</v>
      </c>
      <c r="M5201" s="49" t="s">
        <v>73</v>
      </c>
      <c r="N5201" s="42" t="s">
        <v>17048</v>
      </c>
      <c r="O5201" s="67">
        <v>45918.60535813657</v>
      </c>
      <c r="P5201" s="35" t="s">
        <v>15666</v>
      </c>
      <c r="Q5201" s="13" t="s">
        <v>75</v>
      </c>
      <c r="R5201" s="13" t="s">
        <v>75</v>
      </c>
      <c r="S5201" s="13" t="s">
        <v>73</v>
      </c>
      <c r="T5201" s="44">
        <v>45917.40687019676</v>
      </c>
      <c r="U5201" s="44">
        <v>45917.71407810185</v>
      </c>
      <c r="V5201" s="44">
        <v>45918.41355409722</v>
      </c>
      <c r="W5201" s="11"/>
      <c r="X5201" s="11"/>
      <c r="Y5201" s="45">
        <v>302.0</v>
      </c>
      <c r="Z5201" s="45" t="s">
        <v>20899</v>
      </c>
      <c r="AA5201" s="31"/>
      <c r="AB5201" s="45" t="s">
        <v>20900</v>
      </c>
      <c r="AC5201" s="45"/>
    </row>
    <row r="5202" ht="18.75" customHeight="1">
      <c r="A5202" s="142" t="s">
        <v>20901</v>
      </c>
      <c r="B5202" s="19" t="s">
        <v>746</v>
      </c>
      <c r="C5202" s="20">
        <v>34.0</v>
      </c>
      <c r="D5202" s="39" t="s">
        <v>20902</v>
      </c>
      <c r="E5202" s="27" t="s">
        <v>47</v>
      </c>
      <c r="F5202" s="27" t="s">
        <v>48</v>
      </c>
      <c r="G5202" s="18" t="s">
        <v>35</v>
      </c>
      <c r="H5202" s="40" t="s">
        <v>35</v>
      </c>
      <c r="I5202" s="24" t="s">
        <v>36</v>
      </c>
      <c r="J5202" s="25" t="s">
        <v>65</v>
      </c>
      <c r="K5202" s="26" t="s">
        <v>38</v>
      </c>
      <c r="L5202" s="34">
        <v>13897.0</v>
      </c>
      <c r="M5202" s="152" t="s">
        <v>16407</v>
      </c>
      <c r="N5202" s="42" t="s">
        <v>16408</v>
      </c>
      <c r="O5202" s="43">
        <v>45918.62195141204</v>
      </c>
      <c r="P5202" s="35" t="s">
        <v>15829</v>
      </c>
      <c r="Q5202" s="13" t="s">
        <v>75</v>
      </c>
      <c r="R5202" s="13" t="s">
        <v>75</v>
      </c>
      <c r="S5202" s="13" t="s">
        <v>73</v>
      </c>
      <c r="T5202" s="44">
        <v>45917.40811813658</v>
      </c>
      <c r="U5202" s="44">
        <v>45918.45137270833</v>
      </c>
      <c r="V5202" s="44">
        <v>45918.48685313658</v>
      </c>
      <c r="W5202" s="11"/>
      <c r="X5202" s="11"/>
      <c r="Y5202" s="45">
        <v>302.0</v>
      </c>
      <c r="Z5202" s="45" t="s">
        <v>20903</v>
      </c>
      <c r="AA5202" s="31"/>
      <c r="AB5202" s="45" t="s">
        <v>20904</v>
      </c>
      <c r="AC5202" s="45"/>
    </row>
    <row r="5203" ht="18.75" customHeight="1">
      <c r="A5203" s="142" t="s">
        <v>20905</v>
      </c>
      <c r="B5203" s="19" t="s">
        <v>20906</v>
      </c>
      <c r="C5203" s="20">
        <v>11.0</v>
      </c>
      <c r="D5203" s="39" t="s">
        <v>20907</v>
      </c>
      <c r="E5203" s="27" t="s">
        <v>112</v>
      </c>
      <c r="F5203" s="27" t="s">
        <v>48</v>
      </c>
      <c r="G5203" s="18" t="s">
        <v>35</v>
      </c>
      <c r="H5203" s="40" t="s">
        <v>35</v>
      </c>
      <c r="I5203" s="24" t="s">
        <v>36</v>
      </c>
      <c r="J5203" s="25" t="s">
        <v>65</v>
      </c>
      <c r="K5203" s="26" t="s">
        <v>38</v>
      </c>
      <c r="L5203" s="34">
        <v>13898.0</v>
      </c>
      <c r="M5203" s="152" t="s">
        <v>16407</v>
      </c>
      <c r="N5203" s="42" t="s">
        <v>16408</v>
      </c>
      <c r="O5203" s="43">
        <v>45918.62195141204</v>
      </c>
      <c r="P5203" s="35" t="s">
        <v>16915</v>
      </c>
      <c r="Q5203" s="13" t="s">
        <v>75</v>
      </c>
      <c r="R5203" s="13" t="s">
        <v>75</v>
      </c>
      <c r="S5203" s="13" t="s">
        <v>73</v>
      </c>
      <c r="T5203" s="44">
        <v>45917.47166900463</v>
      </c>
      <c r="U5203" s="44">
        <v>45918.46049078704</v>
      </c>
      <c r="V5203" s="44">
        <v>45918.4868531713</v>
      </c>
      <c r="W5203" s="11"/>
      <c r="X5203" s="11"/>
      <c r="Y5203" s="45">
        <v>302.0</v>
      </c>
      <c r="Z5203" s="45" t="s">
        <v>20908</v>
      </c>
      <c r="AA5203" s="31"/>
      <c r="AB5203" s="45" t="s">
        <v>20909</v>
      </c>
      <c r="AC5203" s="45"/>
    </row>
    <row r="5204" ht="18.75" customHeight="1">
      <c r="A5204" s="142" t="s">
        <v>20910</v>
      </c>
      <c r="B5204" s="19" t="s">
        <v>20911</v>
      </c>
      <c r="C5204" s="20">
        <v>27.0</v>
      </c>
      <c r="D5204" s="39" t="s">
        <v>20912</v>
      </c>
      <c r="E5204" s="27" t="s">
        <v>72</v>
      </c>
      <c r="F5204" s="27" t="s">
        <v>48</v>
      </c>
      <c r="G5204" s="18" t="s">
        <v>35</v>
      </c>
      <c r="H5204" s="40" t="s">
        <v>35</v>
      </c>
      <c r="I5204" s="37" t="s">
        <v>36</v>
      </c>
      <c r="J5204" s="25" t="s">
        <v>49</v>
      </c>
      <c r="K5204" s="26" t="s">
        <v>38</v>
      </c>
      <c r="L5204" s="34">
        <v>13903.0</v>
      </c>
      <c r="M5204" s="49" t="s">
        <v>73</v>
      </c>
      <c r="N5204" s="42" t="s">
        <v>17048</v>
      </c>
      <c r="O5204" s="67">
        <v>45918.60542278935</v>
      </c>
      <c r="P5204" s="35" t="s">
        <v>15666</v>
      </c>
      <c r="Q5204" s="13" t="s">
        <v>75</v>
      </c>
      <c r="R5204" s="13" t="s">
        <v>75</v>
      </c>
      <c r="S5204" s="13" t="s">
        <v>73</v>
      </c>
      <c r="T5204" s="44">
        <v>45917.473042673606</v>
      </c>
      <c r="U5204" s="44">
        <v>45917.71843003472</v>
      </c>
      <c r="V5204" s="44">
        <v>45918.42308972222</v>
      </c>
      <c r="W5204" s="11"/>
      <c r="X5204" s="11"/>
      <c r="Y5204" s="45">
        <v>302.0</v>
      </c>
      <c r="Z5204" s="45" t="s">
        <v>20913</v>
      </c>
      <c r="AA5204" s="31"/>
      <c r="AB5204" s="45" t="s">
        <v>20914</v>
      </c>
      <c r="AC5204" s="45"/>
    </row>
    <row r="5205" ht="18.75" customHeight="1">
      <c r="A5205" s="142" t="s">
        <v>20915</v>
      </c>
      <c r="B5205" s="19" t="s">
        <v>18450</v>
      </c>
      <c r="C5205" s="20">
        <v>90.0</v>
      </c>
      <c r="D5205" s="39" t="s">
        <v>20916</v>
      </c>
      <c r="E5205" s="27" t="s">
        <v>91</v>
      </c>
      <c r="F5205" s="27" t="s">
        <v>48</v>
      </c>
      <c r="G5205" s="18" t="s">
        <v>35</v>
      </c>
      <c r="H5205" s="40" t="s">
        <v>35</v>
      </c>
      <c r="I5205" s="37" t="s">
        <v>36</v>
      </c>
      <c r="J5205" s="25" t="s">
        <v>339</v>
      </c>
      <c r="K5205" s="26" t="s">
        <v>38</v>
      </c>
      <c r="L5205" s="72">
        <v>13936.0</v>
      </c>
      <c r="M5205" s="49" t="s">
        <v>50</v>
      </c>
      <c r="N5205" s="42" t="s">
        <v>18452</v>
      </c>
      <c r="O5205" s="67">
        <v>45925.64674585648</v>
      </c>
      <c r="P5205" s="35" t="s">
        <v>20917</v>
      </c>
      <c r="Q5205" s="13" t="s">
        <v>75</v>
      </c>
      <c r="R5205" s="13" t="s">
        <v>75</v>
      </c>
      <c r="S5205" s="13" t="s">
        <v>73</v>
      </c>
      <c r="T5205" s="44">
        <v>45922.48157767361</v>
      </c>
      <c r="U5205" s="44">
        <v>45922.4815959375</v>
      </c>
      <c r="V5205" s="44">
        <v>45922.555247013894</v>
      </c>
      <c r="W5205" s="11"/>
      <c r="X5205" s="11"/>
      <c r="Y5205" s="45">
        <v>302.0</v>
      </c>
      <c r="Z5205" s="45" t="s">
        <v>20918</v>
      </c>
      <c r="AA5205" s="31"/>
      <c r="AB5205" s="45" t="s">
        <v>20919</v>
      </c>
      <c r="AC5205" s="45"/>
    </row>
    <row r="5206" ht="18.75" customHeight="1">
      <c r="A5206" s="142" t="s">
        <v>20920</v>
      </c>
      <c r="B5206" s="19" t="s">
        <v>20921</v>
      </c>
      <c r="C5206" s="20">
        <v>0.0</v>
      </c>
      <c r="D5206" s="39" t="s">
        <v>20922</v>
      </c>
      <c r="E5206" s="27" t="s">
        <v>3441</v>
      </c>
      <c r="F5206" s="27" t="s">
        <v>48</v>
      </c>
      <c r="G5206" s="18" t="s">
        <v>35</v>
      </c>
      <c r="H5206" s="40" t="s">
        <v>35</v>
      </c>
      <c r="I5206" s="24" t="s">
        <v>36</v>
      </c>
      <c r="J5206" s="25" t="s">
        <v>49</v>
      </c>
      <c r="K5206" s="26" t="s">
        <v>38</v>
      </c>
      <c r="L5206" s="72">
        <v>13892.0</v>
      </c>
      <c r="M5206" s="49" t="s">
        <v>73</v>
      </c>
      <c r="N5206" s="42" t="s">
        <v>17048</v>
      </c>
      <c r="O5206" s="67">
        <v>45916.5583934375</v>
      </c>
      <c r="P5206" s="35" t="s">
        <v>20923</v>
      </c>
      <c r="Q5206" s="13" t="s">
        <v>75</v>
      </c>
      <c r="R5206" s="13" t="s">
        <v>75</v>
      </c>
      <c r="S5206" s="13" t="s">
        <v>73</v>
      </c>
      <c r="T5206" s="44">
        <v>45917.504788715276</v>
      </c>
      <c r="U5206" s="44">
        <v>45917.50477223379</v>
      </c>
      <c r="V5206" s="44">
        <v>45917.47679366898</v>
      </c>
      <c r="W5206" s="11"/>
      <c r="X5206" s="11"/>
      <c r="Y5206" s="45">
        <v>302.0</v>
      </c>
      <c r="Z5206" s="45" t="s">
        <v>20924</v>
      </c>
      <c r="AA5206" s="31"/>
      <c r="AB5206" s="45" t="s">
        <v>20925</v>
      </c>
      <c r="AC5206" s="45"/>
    </row>
    <row r="5207" ht="18.75" customHeight="1">
      <c r="A5207" s="142" t="s">
        <v>20926</v>
      </c>
      <c r="B5207" s="19" t="s">
        <v>4681</v>
      </c>
      <c r="C5207" s="20">
        <v>0.0</v>
      </c>
      <c r="D5207" s="179">
        <v>20301.0</v>
      </c>
      <c r="E5207" s="27" t="s">
        <v>18009</v>
      </c>
      <c r="F5207" s="27" t="s">
        <v>48</v>
      </c>
      <c r="G5207" s="18" t="s">
        <v>35</v>
      </c>
      <c r="H5207" s="40" t="s">
        <v>35</v>
      </c>
      <c r="I5207" s="37" t="s">
        <v>36</v>
      </c>
      <c r="J5207" s="25" t="s">
        <v>49</v>
      </c>
      <c r="K5207" s="26" t="s">
        <v>4683</v>
      </c>
      <c r="L5207" s="72">
        <v>13922.0</v>
      </c>
      <c r="M5207" s="49" t="s">
        <v>73</v>
      </c>
      <c r="N5207" s="42" t="s">
        <v>17048</v>
      </c>
      <c r="O5207" s="67">
        <v>45919.59792731481</v>
      </c>
      <c r="P5207" s="35" t="s">
        <v>20927</v>
      </c>
      <c r="Q5207" s="13" t="s">
        <v>75</v>
      </c>
      <c r="R5207" s="13" t="s">
        <v>75</v>
      </c>
      <c r="S5207" s="13" t="s">
        <v>9620</v>
      </c>
      <c r="T5207" s="44">
        <v>45918.63850969907</v>
      </c>
      <c r="U5207" s="44">
        <v>45919.43636917824</v>
      </c>
      <c r="V5207" s="44">
        <v>45919.44140251157</v>
      </c>
      <c r="W5207" s="11"/>
      <c r="X5207" s="11"/>
      <c r="Y5207" s="45">
        <v>302.0</v>
      </c>
      <c r="Z5207" s="45" t="s">
        <v>20928</v>
      </c>
      <c r="AA5207" s="31"/>
      <c r="AB5207" s="45" t="s">
        <v>20929</v>
      </c>
      <c r="AC5207" s="45"/>
    </row>
    <row r="5208" ht="18.75" customHeight="1">
      <c r="A5208" s="142" t="s">
        <v>20930</v>
      </c>
      <c r="B5208" s="19" t="s">
        <v>4147</v>
      </c>
      <c r="C5208" s="20">
        <v>0.0</v>
      </c>
      <c r="D5208" s="179"/>
      <c r="E5208" s="27" t="s">
        <v>3441</v>
      </c>
      <c r="F5208" s="27" t="s">
        <v>48</v>
      </c>
      <c r="G5208" s="18" t="s">
        <v>35</v>
      </c>
      <c r="H5208" s="40" t="s">
        <v>35</v>
      </c>
      <c r="I5208" s="24" t="s">
        <v>18314</v>
      </c>
      <c r="J5208" s="25" t="s">
        <v>49</v>
      </c>
      <c r="K5208" s="26" t="s">
        <v>38</v>
      </c>
      <c r="L5208" s="25"/>
      <c r="M5208" s="49"/>
      <c r="N5208" s="42"/>
      <c r="O5208" s="68"/>
      <c r="P5208" s="35" t="s">
        <v>20931</v>
      </c>
      <c r="Q5208" s="13" t="s">
        <v>75</v>
      </c>
      <c r="R5208" s="13" t="s">
        <v>75</v>
      </c>
      <c r="S5208" s="13"/>
      <c r="T5208" s="44">
        <v>45918.46420447917</v>
      </c>
      <c r="U5208" s="44">
        <v>45929.41567585648</v>
      </c>
      <c r="V5208" s="13"/>
      <c r="W5208" s="11"/>
      <c r="X5208" s="11"/>
      <c r="Y5208" s="45"/>
      <c r="Z5208" s="45"/>
      <c r="AA5208" s="31"/>
      <c r="AB5208" s="45" t="s">
        <v>20932</v>
      </c>
      <c r="AC5208" s="45"/>
    </row>
    <row r="5209" ht="18.75" customHeight="1">
      <c r="A5209" s="142" t="s">
        <v>20933</v>
      </c>
      <c r="B5209" s="19" t="s">
        <v>13993</v>
      </c>
      <c r="C5209" s="20">
        <v>137.0</v>
      </c>
      <c r="D5209" s="39" t="s">
        <v>20934</v>
      </c>
      <c r="E5209" s="27" t="s">
        <v>85</v>
      </c>
      <c r="F5209" s="27" t="s">
        <v>48</v>
      </c>
      <c r="G5209" s="18" t="s">
        <v>35</v>
      </c>
      <c r="H5209" s="40" t="s">
        <v>35</v>
      </c>
      <c r="I5209" s="37" t="s">
        <v>36</v>
      </c>
      <c r="J5209" s="25" t="s">
        <v>49</v>
      </c>
      <c r="K5209" s="26" t="s">
        <v>38</v>
      </c>
      <c r="L5209" s="72">
        <v>13910.0</v>
      </c>
      <c r="M5209" s="49" t="s">
        <v>73</v>
      </c>
      <c r="N5209" s="42" t="s">
        <v>17048</v>
      </c>
      <c r="O5209" s="67">
        <v>45919.59796304398</v>
      </c>
      <c r="P5209" s="35" t="s">
        <v>20935</v>
      </c>
      <c r="Q5209" s="13" t="s">
        <v>75</v>
      </c>
      <c r="R5209" s="13" t="s">
        <v>75</v>
      </c>
      <c r="S5209" s="13" t="s">
        <v>73</v>
      </c>
      <c r="T5209" s="44">
        <v>45918.46627574074</v>
      </c>
      <c r="U5209" s="44">
        <v>45918.5930614699</v>
      </c>
      <c r="V5209" s="44">
        <v>45919.41917685185</v>
      </c>
      <c r="W5209" s="11"/>
      <c r="X5209" s="11"/>
      <c r="Y5209" s="45">
        <v>302.0</v>
      </c>
      <c r="Z5209" s="45" t="s">
        <v>20936</v>
      </c>
      <c r="AA5209" s="31"/>
      <c r="AB5209" s="45" t="s">
        <v>20937</v>
      </c>
      <c r="AC5209" s="45"/>
    </row>
    <row r="5210" ht="18.75" customHeight="1">
      <c r="A5210" s="142" t="s">
        <v>20938</v>
      </c>
      <c r="B5210" s="19" t="s">
        <v>8197</v>
      </c>
      <c r="C5210" s="20">
        <v>90.0</v>
      </c>
      <c r="D5210" s="39" t="s">
        <v>20939</v>
      </c>
      <c r="E5210" s="27" t="s">
        <v>91</v>
      </c>
      <c r="F5210" s="27" t="s">
        <v>48</v>
      </c>
      <c r="G5210" s="18" t="s">
        <v>35</v>
      </c>
      <c r="H5210" s="40" t="s">
        <v>35</v>
      </c>
      <c r="I5210" s="37" t="s">
        <v>36</v>
      </c>
      <c r="J5210" s="25" t="s">
        <v>49</v>
      </c>
      <c r="K5210" s="26" t="s">
        <v>11095</v>
      </c>
      <c r="L5210" s="34">
        <v>13904.0</v>
      </c>
      <c r="M5210" s="49" t="s">
        <v>73</v>
      </c>
      <c r="N5210" s="42" t="s">
        <v>17048</v>
      </c>
      <c r="O5210" s="67">
        <v>45918.60550665509</v>
      </c>
      <c r="P5210" s="35" t="s">
        <v>20940</v>
      </c>
      <c r="Q5210" s="13" t="s">
        <v>75</v>
      </c>
      <c r="R5210" s="13" t="s">
        <v>75</v>
      </c>
      <c r="S5210" s="13" t="s">
        <v>73</v>
      </c>
      <c r="T5210" s="44">
        <v>45918.389465451386</v>
      </c>
      <c r="U5210" s="44">
        <v>45918.45191351852</v>
      </c>
      <c r="V5210" s="44">
        <v>45918.48494113426</v>
      </c>
      <c r="W5210" s="11"/>
      <c r="X5210" s="11"/>
      <c r="Y5210" s="45">
        <v>302.0</v>
      </c>
      <c r="Z5210" s="45" t="s">
        <v>20941</v>
      </c>
      <c r="AA5210" s="31"/>
      <c r="AB5210" s="45" t="s">
        <v>20942</v>
      </c>
      <c r="AC5210" s="45"/>
    </row>
    <row r="5211" ht="18.75" customHeight="1">
      <c r="A5211" s="18" t="s">
        <v>20943</v>
      </c>
      <c r="B5211" s="33" t="s">
        <v>18643</v>
      </c>
      <c r="C5211" s="20">
        <v>0.0</v>
      </c>
      <c r="D5211" s="39" t="s">
        <v>20944</v>
      </c>
      <c r="E5211" s="27" t="s">
        <v>20945</v>
      </c>
      <c r="F5211" s="27"/>
      <c r="G5211" s="18" t="s">
        <v>35</v>
      </c>
      <c r="H5211" s="40" t="s">
        <v>35</v>
      </c>
      <c r="I5211" s="37" t="s">
        <v>36</v>
      </c>
      <c r="J5211" s="25" t="s">
        <v>8585</v>
      </c>
      <c r="K5211" s="26" t="s">
        <v>38</v>
      </c>
      <c r="L5211" s="25">
        <v>14048.0</v>
      </c>
      <c r="M5211" s="49" t="s">
        <v>50</v>
      </c>
      <c r="N5211" s="42" t="s">
        <v>20946</v>
      </c>
      <c r="O5211" s="67">
        <v>45932.59086028935</v>
      </c>
      <c r="P5211" s="26" t="s">
        <v>20947</v>
      </c>
      <c r="Q5211" s="13" t="s">
        <v>75</v>
      </c>
      <c r="R5211" s="13" t="s">
        <v>75</v>
      </c>
      <c r="S5211" s="13" t="s">
        <v>50</v>
      </c>
      <c r="T5211" s="44">
        <v>45930.69957168982</v>
      </c>
      <c r="U5211" s="44">
        <v>45930.70092362269</v>
      </c>
      <c r="V5211" s="44">
        <v>45931.565819560186</v>
      </c>
      <c r="W5211" s="11"/>
      <c r="X5211" s="11"/>
      <c r="Y5211" s="45">
        <v>302.0</v>
      </c>
      <c r="Z5211" s="45" t="s">
        <v>20948</v>
      </c>
      <c r="AA5211" s="31"/>
      <c r="AB5211" s="45" t="s">
        <v>20949</v>
      </c>
      <c r="AC5211" s="45">
        <v>1.0</v>
      </c>
    </row>
    <row r="5212" ht="18.75" customHeight="1">
      <c r="A5212" s="18" t="s">
        <v>20950</v>
      </c>
      <c r="B5212" s="33" t="s">
        <v>18643</v>
      </c>
      <c r="C5212" s="20">
        <v>0.0</v>
      </c>
      <c r="D5212" s="39" t="s">
        <v>20944</v>
      </c>
      <c r="E5212" s="27" t="s">
        <v>20951</v>
      </c>
      <c r="F5212" s="27"/>
      <c r="G5212" s="18" t="s">
        <v>35</v>
      </c>
      <c r="H5212" s="40" t="s">
        <v>35</v>
      </c>
      <c r="I5212" s="37" t="s">
        <v>36</v>
      </c>
      <c r="J5212" s="25" t="s">
        <v>8585</v>
      </c>
      <c r="K5212" s="26" t="s">
        <v>38</v>
      </c>
      <c r="L5212" s="25">
        <v>14048.0</v>
      </c>
      <c r="M5212" s="49" t="s">
        <v>50</v>
      </c>
      <c r="N5212" s="42" t="s">
        <v>20946</v>
      </c>
      <c r="O5212" s="67">
        <v>45932.59093391204</v>
      </c>
      <c r="P5212" s="26" t="s">
        <v>20947</v>
      </c>
      <c r="Q5212" s="13" t="s">
        <v>10240</v>
      </c>
      <c r="R5212" s="13" t="s">
        <v>10240</v>
      </c>
      <c r="S5212" s="13" t="s">
        <v>50</v>
      </c>
      <c r="T5212" s="44">
        <v>45931.42364439815</v>
      </c>
      <c r="U5212" s="44">
        <v>45931.423672881945</v>
      </c>
      <c r="V5212" s="44">
        <v>45931.56582016204</v>
      </c>
      <c r="W5212" s="11"/>
      <c r="X5212" s="11"/>
      <c r="Y5212" s="45">
        <v>302.0</v>
      </c>
      <c r="Z5212" s="45" t="s">
        <v>20952</v>
      </c>
      <c r="AA5212" s="31"/>
      <c r="AB5212" s="45" t="s">
        <v>20953</v>
      </c>
      <c r="AC5212" s="45">
        <v>50.0</v>
      </c>
    </row>
    <row r="5213" ht="18.75" customHeight="1">
      <c r="A5213" s="142" t="s">
        <v>20954</v>
      </c>
      <c r="B5213" s="19" t="s">
        <v>4352</v>
      </c>
      <c r="C5213" s="20">
        <v>11.0</v>
      </c>
      <c r="D5213" s="39" t="s">
        <v>20955</v>
      </c>
      <c r="E5213" s="27" t="s">
        <v>112</v>
      </c>
      <c r="F5213" s="27" t="s">
        <v>48</v>
      </c>
      <c r="G5213" s="18" t="s">
        <v>35</v>
      </c>
      <c r="H5213" s="40" t="s">
        <v>35</v>
      </c>
      <c r="I5213" s="37" t="s">
        <v>36</v>
      </c>
      <c r="J5213" s="25" t="s">
        <v>49</v>
      </c>
      <c r="K5213" s="26" t="s">
        <v>38</v>
      </c>
      <c r="L5213" s="72">
        <v>13911.0</v>
      </c>
      <c r="M5213" s="49" t="s">
        <v>73</v>
      </c>
      <c r="N5213" s="42" t="s">
        <v>17048</v>
      </c>
      <c r="O5213" s="67">
        <v>45919.59799637731</v>
      </c>
      <c r="P5213" s="35" t="s">
        <v>20956</v>
      </c>
      <c r="Q5213" s="13" t="s">
        <v>75</v>
      </c>
      <c r="R5213" s="13" t="s">
        <v>75</v>
      </c>
      <c r="S5213" s="13" t="s">
        <v>73</v>
      </c>
      <c r="T5213" s="44">
        <v>45918.639231469904</v>
      </c>
      <c r="U5213" s="44">
        <v>45918.672710416664</v>
      </c>
      <c r="V5213" s="44">
        <v>45919.43083510417</v>
      </c>
      <c r="W5213" s="11"/>
      <c r="X5213" s="11"/>
      <c r="Y5213" s="45">
        <v>302.0</v>
      </c>
      <c r="Z5213" s="45" t="s">
        <v>20957</v>
      </c>
      <c r="AA5213" s="31"/>
      <c r="AB5213" s="45" t="s">
        <v>20958</v>
      </c>
      <c r="AC5213" s="45"/>
    </row>
    <row r="5214" ht="18.75" customHeight="1">
      <c r="A5214" s="142" t="s">
        <v>20959</v>
      </c>
      <c r="B5214" s="19" t="s">
        <v>9336</v>
      </c>
      <c r="C5214" s="20">
        <v>0.0</v>
      </c>
      <c r="D5214" s="39" t="s">
        <v>20960</v>
      </c>
      <c r="E5214" s="27" t="s">
        <v>3441</v>
      </c>
      <c r="F5214" s="27" t="s">
        <v>48</v>
      </c>
      <c r="G5214" s="18" t="s">
        <v>35</v>
      </c>
      <c r="H5214" s="40" t="s">
        <v>35</v>
      </c>
      <c r="I5214" s="37" t="s">
        <v>36</v>
      </c>
      <c r="J5214" s="25" t="s">
        <v>65</v>
      </c>
      <c r="K5214" s="26" t="s">
        <v>38</v>
      </c>
      <c r="L5214" s="72">
        <v>13926.0</v>
      </c>
      <c r="M5214" s="49" t="s">
        <v>50</v>
      </c>
      <c r="N5214" s="42" t="s">
        <v>16408</v>
      </c>
      <c r="O5214" s="67">
        <v>45922.62709760417</v>
      </c>
      <c r="P5214" s="35" t="s">
        <v>15829</v>
      </c>
      <c r="Q5214" s="13" t="s">
        <v>75</v>
      </c>
      <c r="R5214" s="13" t="s">
        <v>6028</v>
      </c>
      <c r="S5214" s="13" t="s">
        <v>73</v>
      </c>
      <c r="T5214" s="44">
        <v>45918.655214502316</v>
      </c>
      <c r="U5214" s="44">
        <v>45922.412773460645</v>
      </c>
      <c r="V5214" s="44">
        <v>45922.43735013889</v>
      </c>
      <c r="W5214" s="11"/>
      <c r="X5214" s="11"/>
      <c r="Y5214" s="45">
        <v>302.0</v>
      </c>
      <c r="Z5214" s="45" t="s">
        <v>20961</v>
      </c>
      <c r="AA5214" s="31"/>
      <c r="AB5214" s="45" t="s">
        <v>20962</v>
      </c>
      <c r="AC5214" s="45"/>
    </row>
    <row r="5215" ht="18.75" customHeight="1">
      <c r="A5215" s="142" t="s">
        <v>20963</v>
      </c>
      <c r="B5215" s="19" t="s">
        <v>4293</v>
      </c>
      <c r="C5215" s="20">
        <v>11.0</v>
      </c>
      <c r="D5215" s="39" t="s">
        <v>20964</v>
      </c>
      <c r="E5215" s="27" t="s">
        <v>112</v>
      </c>
      <c r="F5215" s="27" t="s">
        <v>48</v>
      </c>
      <c r="G5215" s="18" t="s">
        <v>35</v>
      </c>
      <c r="H5215" s="40" t="s">
        <v>35</v>
      </c>
      <c r="I5215" s="37" t="s">
        <v>36</v>
      </c>
      <c r="J5215" s="25" t="s">
        <v>65</v>
      </c>
      <c r="K5215" s="26" t="s">
        <v>38</v>
      </c>
      <c r="L5215" s="72">
        <v>13919.0</v>
      </c>
      <c r="M5215" s="49" t="s">
        <v>73</v>
      </c>
      <c r="N5215" s="42" t="s">
        <v>20222</v>
      </c>
      <c r="O5215" s="67">
        <v>45919.66519616898</v>
      </c>
      <c r="P5215" s="35" t="s">
        <v>19118</v>
      </c>
      <c r="Q5215" s="13" t="s">
        <v>75</v>
      </c>
      <c r="R5215" s="13" t="s">
        <v>75</v>
      </c>
      <c r="S5215" s="13" t="s">
        <v>73</v>
      </c>
      <c r="T5215" s="44">
        <v>45918.65663856482</v>
      </c>
      <c r="U5215" s="44">
        <v>45918.67506862269</v>
      </c>
      <c r="V5215" s="44">
        <v>45919.50493247685</v>
      </c>
      <c r="W5215" s="11"/>
      <c r="X5215" s="11"/>
      <c r="Y5215" s="45">
        <v>302.0</v>
      </c>
      <c r="Z5215" s="45" t="s">
        <v>20965</v>
      </c>
      <c r="AA5215" s="31"/>
      <c r="AB5215" s="45" t="s">
        <v>20966</v>
      </c>
      <c r="AC5215" s="45"/>
    </row>
    <row r="5216" ht="18.75" customHeight="1">
      <c r="A5216" s="142" t="s">
        <v>20967</v>
      </c>
      <c r="B5216" s="19" t="s">
        <v>4035</v>
      </c>
      <c r="C5216" s="20">
        <v>34.0</v>
      </c>
      <c r="D5216" s="39" t="s">
        <v>20968</v>
      </c>
      <c r="E5216" s="27" t="s">
        <v>47</v>
      </c>
      <c r="F5216" s="27" t="s">
        <v>48</v>
      </c>
      <c r="G5216" s="18" t="s">
        <v>35</v>
      </c>
      <c r="H5216" s="40" t="s">
        <v>35</v>
      </c>
      <c r="I5216" s="37" t="s">
        <v>36</v>
      </c>
      <c r="J5216" s="25" t="s">
        <v>65</v>
      </c>
      <c r="K5216" s="26" t="s">
        <v>38</v>
      </c>
      <c r="L5216" s="72">
        <v>13931.0</v>
      </c>
      <c r="M5216" s="49" t="s">
        <v>50</v>
      </c>
      <c r="N5216" s="42" t="s">
        <v>16408</v>
      </c>
      <c r="O5216" s="67">
        <v>45922.62718452547</v>
      </c>
      <c r="P5216" s="35" t="s">
        <v>15829</v>
      </c>
      <c r="Q5216" s="13" t="s">
        <v>75</v>
      </c>
      <c r="R5216" s="13" t="s">
        <v>75</v>
      </c>
      <c r="S5216" s="13" t="s">
        <v>73</v>
      </c>
      <c r="T5216" s="44">
        <v>45918.65735011574</v>
      </c>
      <c r="U5216" s="44">
        <v>45922.480567499995</v>
      </c>
      <c r="V5216" s="44">
        <v>45922.55059525463</v>
      </c>
      <c r="W5216" s="11"/>
      <c r="X5216" s="11"/>
      <c r="Y5216" s="45">
        <v>302.0</v>
      </c>
      <c r="Z5216" s="45" t="s">
        <v>20969</v>
      </c>
      <c r="AA5216" s="31"/>
      <c r="AB5216" s="45" t="s">
        <v>20970</v>
      </c>
      <c r="AC5216" s="45"/>
    </row>
    <row r="5217" ht="18.75" customHeight="1">
      <c r="A5217" s="142" t="s">
        <v>20971</v>
      </c>
      <c r="B5217" s="19" t="s">
        <v>4352</v>
      </c>
      <c r="C5217" s="20">
        <v>27.0</v>
      </c>
      <c r="D5217" s="39" t="s">
        <v>20972</v>
      </c>
      <c r="E5217" s="27" t="s">
        <v>72</v>
      </c>
      <c r="F5217" s="27" t="s">
        <v>48</v>
      </c>
      <c r="G5217" s="18" t="s">
        <v>35</v>
      </c>
      <c r="H5217" s="40" t="s">
        <v>35</v>
      </c>
      <c r="I5217" s="37" t="s">
        <v>36</v>
      </c>
      <c r="J5217" s="25" t="s">
        <v>49</v>
      </c>
      <c r="K5217" s="26" t="s">
        <v>38</v>
      </c>
      <c r="L5217" s="72">
        <v>13912.0</v>
      </c>
      <c r="M5217" s="49" t="s">
        <v>73</v>
      </c>
      <c r="N5217" s="42" t="s">
        <v>17048</v>
      </c>
      <c r="O5217" s="67">
        <v>45919.598028912034</v>
      </c>
      <c r="P5217" s="35" t="s">
        <v>20973</v>
      </c>
      <c r="Q5217" s="13" t="s">
        <v>75</v>
      </c>
      <c r="R5217" s="13" t="s">
        <v>75</v>
      </c>
      <c r="S5217" s="13" t="s">
        <v>73</v>
      </c>
      <c r="T5217" s="44">
        <v>45918.64028600694</v>
      </c>
      <c r="U5217" s="44">
        <v>45918.67300523148</v>
      </c>
      <c r="V5217" s="44">
        <v>45919.43083510417</v>
      </c>
      <c r="W5217" s="11"/>
      <c r="X5217" s="11"/>
      <c r="Y5217" s="45">
        <v>302.0</v>
      </c>
      <c r="Z5217" s="45" t="s">
        <v>20974</v>
      </c>
      <c r="AA5217" s="31"/>
      <c r="AB5217" s="45" t="s">
        <v>20975</v>
      </c>
      <c r="AC5217" s="45"/>
    </row>
    <row r="5218" ht="18.75" customHeight="1">
      <c r="A5218" s="142" t="s">
        <v>20976</v>
      </c>
      <c r="B5218" s="19" t="s">
        <v>4352</v>
      </c>
      <c r="C5218" s="20">
        <v>90.0</v>
      </c>
      <c r="D5218" s="39" t="s">
        <v>20977</v>
      </c>
      <c r="E5218" s="27" t="s">
        <v>91</v>
      </c>
      <c r="F5218" s="27" t="s">
        <v>48</v>
      </c>
      <c r="G5218" s="18" t="s">
        <v>35</v>
      </c>
      <c r="H5218" s="40" t="s">
        <v>35</v>
      </c>
      <c r="I5218" s="37" t="s">
        <v>36</v>
      </c>
      <c r="J5218" s="25" t="s">
        <v>49</v>
      </c>
      <c r="K5218" s="26" t="s">
        <v>38</v>
      </c>
      <c r="L5218" s="72">
        <v>13913.0</v>
      </c>
      <c r="M5218" s="49" t="s">
        <v>73</v>
      </c>
      <c r="N5218" s="42" t="s">
        <v>17048</v>
      </c>
      <c r="O5218" s="67">
        <v>45919.59807665509</v>
      </c>
      <c r="P5218" s="35" t="s">
        <v>20978</v>
      </c>
      <c r="Q5218" s="13" t="s">
        <v>75</v>
      </c>
      <c r="R5218" s="13" t="s">
        <v>75</v>
      </c>
      <c r="S5218" s="13" t="s">
        <v>73</v>
      </c>
      <c r="T5218" s="44">
        <v>45918.64147716435</v>
      </c>
      <c r="U5218" s="44">
        <v>45918.6734089699</v>
      </c>
      <c r="V5218" s="44">
        <v>45919.42199631945</v>
      </c>
      <c r="W5218" s="11"/>
      <c r="X5218" s="11"/>
      <c r="Y5218" s="45">
        <v>302.0</v>
      </c>
      <c r="Z5218" s="45" t="s">
        <v>20979</v>
      </c>
      <c r="AA5218" s="31"/>
      <c r="AB5218" s="45" t="s">
        <v>20980</v>
      </c>
      <c r="AC5218" s="45"/>
    </row>
    <row r="5219" ht="18.75" customHeight="1">
      <c r="A5219" s="142" t="s">
        <v>20981</v>
      </c>
      <c r="B5219" s="19" t="s">
        <v>4352</v>
      </c>
      <c r="C5219" s="20">
        <v>90.0</v>
      </c>
      <c r="D5219" s="39" t="s">
        <v>20982</v>
      </c>
      <c r="E5219" s="27" t="s">
        <v>91</v>
      </c>
      <c r="F5219" s="27" t="s">
        <v>48</v>
      </c>
      <c r="G5219" s="18" t="s">
        <v>35</v>
      </c>
      <c r="H5219" s="40" t="s">
        <v>35</v>
      </c>
      <c r="I5219" s="37" t="s">
        <v>36</v>
      </c>
      <c r="J5219" s="25" t="s">
        <v>49</v>
      </c>
      <c r="K5219" s="26" t="s">
        <v>38</v>
      </c>
      <c r="L5219" s="72">
        <v>13914.0</v>
      </c>
      <c r="M5219" s="49" t="s">
        <v>73</v>
      </c>
      <c r="N5219" s="42" t="s">
        <v>17048</v>
      </c>
      <c r="O5219" s="67">
        <v>45919.598109467595</v>
      </c>
      <c r="P5219" s="35" t="s">
        <v>20983</v>
      </c>
      <c r="Q5219" s="13" t="s">
        <v>75</v>
      </c>
      <c r="R5219" s="13" t="s">
        <v>75</v>
      </c>
      <c r="S5219" s="13" t="s">
        <v>73</v>
      </c>
      <c r="T5219" s="44">
        <v>45918.64186858796</v>
      </c>
      <c r="U5219" s="44">
        <v>45918.67353706018</v>
      </c>
      <c r="V5219" s="44">
        <v>45919.42199633102</v>
      </c>
      <c r="W5219" s="11"/>
      <c r="X5219" s="11"/>
      <c r="Y5219" s="207">
        <v>302.0</v>
      </c>
      <c r="Z5219" s="45" t="s">
        <v>20984</v>
      </c>
      <c r="AA5219" s="31"/>
      <c r="AB5219" s="45" t="s">
        <v>20985</v>
      </c>
      <c r="AC5219" s="45"/>
    </row>
    <row r="5220" ht="18.75" customHeight="1">
      <c r="A5220" s="142" t="s">
        <v>20986</v>
      </c>
      <c r="B5220" s="19" t="s">
        <v>4352</v>
      </c>
      <c r="C5220" s="20">
        <v>1.0</v>
      </c>
      <c r="D5220" s="39"/>
      <c r="E5220" s="27" t="s">
        <v>3395</v>
      </c>
      <c r="F5220" s="27" t="s">
        <v>48</v>
      </c>
      <c r="G5220" s="18" t="s">
        <v>35</v>
      </c>
      <c r="H5220" s="40" t="s">
        <v>35</v>
      </c>
      <c r="I5220" s="24" t="s">
        <v>18314</v>
      </c>
      <c r="J5220" s="25" t="s">
        <v>49</v>
      </c>
      <c r="K5220" s="26" t="s">
        <v>38</v>
      </c>
      <c r="L5220" s="25"/>
      <c r="M5220" s="49"/>
      <c r="N5220" s="42"/>
      <c r="O5220" s="68"/>
      <c r="P5220" s="35" t="s">
        <v>20987</v>
      </c>
      <c r="Q5220" s="13" t="s">
        <v>75</v>
      </c>
      <c r="R5220" s="13" t="s">
        <v>75</v>
      </c>
      <c r="S5220" s="13" t="s">
        <v>75</v>
      </c>
      <c r="T5220" s="44">
        <v>45918.64384435186</v>
      </c>
      <c r="U5220" s="44">
        <v>45918.67394865741</v>
      </c>
      <c r="V5220" s="13"/>
      <c r="W5220" s="11"/>
      <c r="X5220" s="11"/>
      <c r="Y5220" s="45"/>
      <c r="Z5220" s="45"/>
      <c r="AA5220" s="31"/>
      <c r="AB5220" s="45" t="s">
        <v>20988</v>
      </c>
      <c r="AC5220" s="45"/>
    </row>
    <row r="5221" ht="18.75" customHeight="1">
      <c r="A5221" s="142" t="s">
        <v>20989</v>
      </c>
      <c r="B5221" s="19" t="s">
        <v>5346</v>
      </c>
      <c r="C5221" s="20">
        <v>137.0</v>
      </c>
      <c r="D5221" s="39" t="s">
        <v>20990</v>
      </c>
      <c r="E5221" s="27" t="s">
        <v>85</v>
      </c>
      <c r="F5221" s="27" t="s">
        <v>48</v>
      </c>
      <c r="G5221" s="18" t="s">
        <v>35</v>
      </c>
      <c r="H5221" s="40" t="s">
        <v>35</v>
      </c>
      <c r="I5221" s="37" t="s">
        <v>36</v>
      </c>
      <c r="J5221" s="25" t="s">
        <v>49</v>
      </c>
      <c r="K5221" s="26" t="s">
        <v>38</v>
      </c>
      <c r="L5221" s="25">
        <v>14059.0</v>
      </c>
      <c r="M5221" s="49" t="s">
        <v>50</v>
      </c>
      <c r="N5221" s="42" t="s">
        <v>17048</v>
      </c>
      <c r="O5221" s="67">
        <v>45932.61694552083</v>
      </c>
      <c r="P5221" s="35" t="s">
        <v>20991</v>
      </c>
      <c r="Q5221" s="13" t="s">
        <v>75</v>
      </c>
      <c r="R5221" s="13" t="s">
        <v>75</v>
      </c>
      <c r="S5221" s="13" t="s">
        <v>73</v>
      </c>
      <c r="T5221" s="44">
        <v>45918.66155603009</v>
      </c>
      <c r="U5221" s="44">
        <v>45932.476596099536</v>
      </c>
      <c r="V5221" s="44">
        <v>45932.4802503588</v>
      </c>
      <c r="W5221" s="11"/>
      <c r="X5221" s="11"/>
      <c r="Y5221" s="45">
        <v>302.0</v>
      </c>
      <c r="Z5221" s="45" t="s">
        <v>20992</v>
      </c>
      <c r="AA5221" s="31"/>
      <c r="AB5221" s="45" t="s">
        <v>20993</v>
      </c>
      <c r="AC5221" s="45"/>
    </row>
    <row r="5222" ht="18.75" customHeight="1">
      <c r="A5222" s="18" t="s">
        <v>20994</v>
      </c>
      <c r="B5222" s="19" t="s">
        <v>4293</v>
      </c>
      <c r="C5222" s="20">
        <v>137.0</v>
      </c>
      <c r="D5222" s="39"/>
      <c r="E5222" s="27" t="s">
        <v>85</v>
      </c>
      <c r="F5222" s="27" t="s">
        <v>48</v>
      </c>
      <c r="G5222" s="18" t="s">
        <v>35</v>
      </c>
      <c r="H5222" s="40" t="s">
        <v>35</v>
      </c>
      <c r="I5222" s="37" t="s">
        <v>17277</v>
      </c>
      <c r="J5222" s="25" t="s">
        <v>65</v>
      </c>
      <c r="K5222" s="26" t="s">
        <v>38</v>
      </c>
      <c r="L5222" s="25"/>
      <c r="M5222" s="49"/>
      <c r="N5222" s="42"/>
      <c r="O5222" s="68"/>
      <c r="P5222" s="35" t="s">
        <v>20995</v>
      </c>
      <c r="Q5222" s="13" t="s">
        <v>75</v>
      </c>
      <c r="R5222" s="13"/>
      <c r="S5222" s="13"/>
      <c r="T5222" s="44">
        <v>45918.69509057871</v>
      </c>
      <c r="U5222" s="13"/>
      <c r="V5222" s="13"/>
      <c r="W5222" s="11"/>
      <c r="X5222" s="11"/>
      <c r="Y5222" s="45"/>
      <c r="Z5222" s="45"/>
      <c r="AA5222" s="31"/>
      <c r="AB5222" s="45" t="s">
        <v>20996</v>
      </c>
      <c r="AC5222" s="45"/>
    </row>
    <row r="5223" ht="18.75" customHeight="1">
      <c r="A5223" s="18" t="s">
        <v>20997</v>
      </c>
      <c r="B5223" s="19" t="s">
        <v>4293</v>
      </c>
      <c r="C5223" s="20">
        <v>137.0</v>
      </c>
      <c r="D5223" s="39"/>
      <c r="E5223" s="27" t="s">
        <v>85</v>
      </c>
      <c r="F5223" s="27" t="s">
        <v>48</v>
      </c>
      <c r="G5223" s="18" t="s">
        <v>35</v>
      </c>
      <c r="H5223" s="40" t="s">
        <v>35</v>
      </c>
      <c r="I5223" s="37" t="s">
        <v>17277</v>
      </c>
      <c r="J5223" s="25" t="s">
        <v>65</v>
      </c>
      <c r="K5223" s="26" t="s">
        <v>38</v>
      </c>
      <c r="L5223" s="25"/>
      <c r="M5223" s="49"/>
      <c r="N5223" s="42"/>
      <c r="O5223" s="68"/>
      <c r="P5223" s="35" t="s">
        <v>20995</v>
      </c>
      <c r="Q5223" s="13" t="s">
        <v>75</v>
      </c>
      <c r="R5223" s="13"/>
      <c r="S5223" s="13" t="s">
        <v>75</v>
      </c>
      <c r="T5223" s="44">
        <v>45918.695152025466</v>
      </c>
      <c r="U5223" s="13"/>
      <c r="V5223" s="13"/>
      <c r="W5223" s="11"/>
      <c r="X5223" s="11"/>
      <c r="Y5223" s="45"/>
      <c r="Z5223" s="45"/>
      <c r="AA5223" s="31"/>
      <c r="AB5223" s="45" t="s">
        <v>20998</v>
      </c>
      <c r="AC5223" s="45"/>
    </row>
    <row r="5224" ht="18.75" customHeight="1">
      <c r="A5224" s="18" t="s">
        <v>20999</v>
      </c>
      <c r="B5224" s="19" t="s">
        <v>4293</v>
      </c>
      <c r="C5224" s="20">
        <v>137.0</v>
      </c>
      <c r="D5224" s="39" t="s">
        <v>21000</v>
      </c>
      <c r="E5224" s="27" t="s">
        <v>85</v>
      </c>
      <c r="F5224" s="27" t="s">
        <v>48</v>
      </c>
      <c r="G5224" s="18" t="s">
        <v>35</v>
      </c>
      <c r="H5224" s="40" t="s">
        <v>35</v>
      </c>
      <c r="I5224" s="37" t="s">
        <v>36</v>
      </c>
      <c r="J5224" s="25" t="s">
        <v>65</v>
      </c>
      <c r="K5224" s="26" t="s">
        <v>38</v>
      </c>
      <c r="L5224" s="72">
        <v>13929.0</v>
      </c>
      <c r="M5224" s="49" t="s">
        <v>50</v>
      </c>
      <c r="N5224" s="42" t="s">
        <v>16408</v>
      </c>
      <c r="O5224" s="67">
        <v>45922.627324120374</v>
      </c>
      <c r="P5224" s="35" t="s">
        <v>20995</v>
      </c>
      <c r="Q5224" s="13" t="s">
        <v>75</v>
      </c>
      <c r="R5224" s="13" t="s">
        <v>75</v>
      </c>
      <c r="S5224" s="13" t="s">
        <v>73</v>
      </c>
      <c r="T5224" s="44">
        <v>45922.448531574075</v>
      </c>
      <c r="U5224" s="44">
        <v>45922.448593761575</v>
      </c>
      <c r="V5224" s="44">
        <v>45922.4555959375</v>
      </c>
      <c r="W5224" s="11"/>
      <c r="X5224" s="11"/>
      <c r="Y5224" s="45">
        <v>302.0</v>
      </c>
      <c r="Z5224" s="45" t="s">
        <v>21001</v>
      </c>
      <c r="AA5224" s="31"/>
      <c r="AB5224" s="45" t="s">
        <v>21002</v>
      </c>
      <c r="AC5224" s="45"/>
    </row>
    <row r="5225" ht="18.75" customHeight="1">
      <c r="A5225" s="18" t="s">
        <v>21003</v>
      </c>
      <c r="B5225" s="19" t="s">
        <v>4293</v>
      </c>
      <c r="C5225" s="20">
        <v>137.0</v>
      </c>
      <c r="D5225" s="39" t="s">
        <v>21004</v>
      </c>
      <c r="E5225" s="27" t="s">
        <v>85</v>
      </c>
      <c r="F5225" s="27" t="s">
        <v>48</v>
      </c>
      <c r="G5225" s="18" t="s">
        <v>35</v>
      </c>
      <c r="H5225" s="40" t="s">
        <v>35</v>
      </c>
      <c r="I5225" s="37" t="s">
        <v>36</v>
      </c>
      <c r="J5225" s="25" t="s">
        <v>65</v>
      </c>
      <c r="K5225" s="26" t="s">
        <v>38</v>
      </c>
      <c r="L5225" s="72">
        <v>13929.0</v>
      </c>
      <c r="M5225" s="49" t="s">
        <v>50</v>
      </c>
      <c r="N5225" s="42" t="s">
        <v>16408</v>
      </c>
      <c r="O5225" s="67">
        <v>45922.62741050926</v>
      </c>
      <c r="P5225" s="35" t="s">
        <v>20995</v>
      </c>
      <c r="Q5225" s="13" t="s">
        <v>75</v>
      </c>
      <c r="R5225" s="13" t="s">
        <v>75</v>
      </c>
      <c r="S5225" s="13" t="s">
        <v>73</v>
      </c>
      <c r="T5225" s="44">
        <v>45922.44858225694</v>
      </c>
      <c r="U5225" s="44">
        <v>45922.448623460645</v>
      </c>
      <c r="V5225" s="44">
        <v>45922.455595949075</v>
      </c>
      <c r="W5225" s="11"/>
      <c r="X5225" s="11"/>
      <c r="Y5225" s="45">
        <v>302.0</v>
      </c>
      <c r="Z5225" s="45" t="s">
        <v>21005</v>
      </c>
      <c r="AA5225" s="31"/>
      <c r="AB5225" s="45" t="s">
        <v>21006</v>
      </c>
      <c r="AC5225" s="45"/>
    </row>
    <row r="5226" ht="18.75" customHeight="1">
      <c r="A5226" s="142" t="s">
        <v>21007</v>
      </c>
      <c r="B5226" s="19" t="s">
        <v>11720</v>
      </c>
      <c r="C5226" s="20">
        <v>137.0</v>
      </c>
      <c r="D5226" s="39" t="s">
        <v>21008</v>
      </c>
      <c r="E5226" s="27" t="s">
        <v>85</v>
      </c>
      <c r="F5226" s="27" t="s">
        <v>48</v>
      </c>
      <c r="G5226" s="18" t="s">
        <v>35</v>
      </c>
      <c r="H5226" s="40" t="s">
        <v>35</v>
      </c>
      <c r="I5226" s="37" t="s">
        <v>36</v>
      </c>
      <c r="J5226" s="25" t="s">
        <v>65</v>
      </c>
      <c r="K5226" s="26" t="s">
        <v>38</v>
      </c>
      <c r="L5226" s="72">
        <v>13927.0</v>
      </c>
      <c r="M5226" s="49" t="s">
        <v>50</v>
      </c>
      <c r="N5226" s="42" t="s">
        <v>16408</v>
      </c>
      <c r="O5226" s="67">
        <v>45922.627236678236</v>
      </c>
      <c r="P5226" s="35" t="s">
        <v>21009</v>
      </c>
      <c r="Q5226" s="13" t="s">
        <v>75</v>
      </c>
      <c r="R5226" s="13" t="s">
        <v>75</v>
      </c>
      <c r="S5226" s="13" t="s">
        <v>73</v>
      </c>
      <c r="T5226" s="44">
        <v>45918.696218680554</v>
      </c>
      <c r="U5226" s="44">
        <v>45919.72446841435</v>
      </c>
      <c r="V5226" s="44">
        <v>45922.43728302083</v>
      </c>
      <c r="W5226" s="11"/>
      <c r="X5226" s="11"/>
      <c r="Y5226" s="45">
        <v>302.0</v>
      </c>
      <c r="Z5226" s="45" t="s">
        <v>21010</v>
      </c>
      <c r="AA5226" s="31"/>
      <c r="AB5226" s="45" t="s">
        <v>21011</v>
      </c>
      <c r="AC5226" s="45"/>
    </row>
    <row r="5227" ht="18.75" customHeight="1">
      <c r="A5227" s="142" t="s">
        <v>21012</v>
      </c>
      <c r="B5227" s="19" t="s">
        <v>7868</v>
      </c>
      <c r="C5227" s="20">
        <v>27.0</v>
      </c>
      <c r="D5227" s="39" t="s">
        <v>21013</v>
      </c>
      <c r="E5227" s="27" t="s">
        <v>72</v>
      </c>
      <c r="F5227" s="27" t="s">
        <v>48</v>
      </c>
      <c r="G5227" s="18" t="s">
        <v>35</v>
      </c>
      <c r="H5227" s="40" t="s">
        <v>35</v>
      </c>
      <c r="I5227" s="37" t="s">
        <v>36</v>
      </c>
      <c r="J5227" s="25" t="s">
        <v>65</v>
      </c>
      <c r="K5227" s="26" t="s">
        <v>38</v>
      </c>
      <c r="L5227" s="72">
        <v>13932.0</v>
      </c>
      <c r="M5227" s="49" t="s">
        <v>50</v>
      </c>
      <c r="N5227" s="42" t="s">
        <v>16408</v>
      </c>
      <c r="O5227" s="67">
        <v>45922.627282326386</v>
      </c>
      <c r="P5227" s="35" t="s">
        <v>14372</v>
      </c>
      <c r="Q5227" s="13" t="s">
        <v>75</v>
      </c>
      <c r="R5227" s="13" t="s">
        <v>75</v>
      </c>
      <c r="S5227" s="13" t="s">
        <v>73</v>
      </c>
      <c r="T5227" s="44">
        <v>45918.69692340278</v>
      </c>
      <c r="U5227" s="44">
        <v>45922.47612097222</v>
      </c>
      <c r="V5227" s="44">
        <v>45922.55053072917</v>
      </c>
      <c r="W5227" s="11"/>
      <c r="X5227" s="11"/>
      <c r="Y5227" s="45">
        <v>302.0</v>
      </c>
      <c r="Z5227" s="45" t="s">
        <v>21014</v>
      </c>
      <c r="AA5227" s="31"/>
      <c r="AB5227" s="45" t="s">
        <v>21015</v>
      </c>
      <c r="AC5227" s="45"/>
    </row>
    <row r="5228" ht="18.75" customHeight="1">
      <c r="A5228" s="142" t="s">
        <v>21016</v>
      </c>
      <c r="B5228" s="19" t="s">
        <v>21017</v>
      </c>
      <c r="C5228" s="20">
        <v>0.0</v>
      </c>
      <c r="D5228" s="39"/>
      <c r="E5228" s="27" t="s">
        <v>3834</v>
      </c>
      <c r="F5228" s="27" t="s">
        <v>33</v>
      </c>
      <c r="G5228" s="18" t="s">
        <v>35</v>
      </c>
      <c r="H5228" s="40" t="s">
        <v>35</v>
      </c>
      <c r="I5228" s="37" t="s">
        <v>17277</v>
      </c>
      <c r="J5228" s="25" t="s">
        <v>49</v>
      </c>
      <c r="K5228" s="26" t="s">
        <v>38</v>
      </c>
      <c r="L5228" s="25"/>
      <c r="M5228" s="49"/>
      <c r="N5228" s="42"/>
      <c r="O5228" s="68"/>
      <c r="P5228" s="35" t="s">
        <v>15666</v>
      </c>
      <c r="Q5228" s="13" t="s">
        <v>75</v>
      </c>
      <c r="R5228" s="13"/>
      <c r="S5228" s="13"/>
      <c r="T5228" s="44">
        <v>45919.40990018519</v>
      </c>
      <c r="U5228" s="13"/>
      <c r="V5228" s="13"/>
      <c r="W5228" s="11"/>
      <c r="X5228" s="11"/>
      <c r="Y5228" s="45"/>
      <c r="Z5228" s="45"/>
      <c r="AA5228" s="31"/>
      <c r="AB5228" s="218" t="s">
        <v>21018</v>
      </c>
      <c r="AC5228" s="45"/>
    </row>
    <row r="5229" ht="18.75" customHeight="1">
      <c r="A5229" s="18" t="s">
        <v>21019</v>
      </c>
      <c r="B5229" s="19" t="s">
        <v>21020</v>
      </c>
      <c r="C5229" s="20">
        <v>0.0</v>
      </c>
      <c r="D5229" s="179">
        <v>20318.0</v>
      </c>
      <c r="E5229" s="27" t="s">
        <v>21021</v>
      </c>
      <c r="F5229" s="27" t="s">
        <v>33</v>
      </c>
      <c r="G5229" s="18" t="s">
        <v>34</v>
      </c>
      <c r="H5229" s="40" t="s">
        <v>35</v>
      </c>
      <c r="I5229" s="37" t="s">
        <v>36</v>
      </c>
      <c r="J5229" s="25" t="s">
        <v>49</v>
      </c>
      <c r="K5229" s="26" t="s">
        <v>38</v>
      </c>
      <c r="L5229" s="25">
        <v>13967.0</v>
      </c>
      <c r="M5229" s="49" t="s">
        <v>50</v>
      </c>
      <c r="N5229" s="42" t="s">
        <v>17048</v>
      </c>
      <c r="O5229" s="67">
        <v>45925.599066979164</v>
      </c>
      <c r="P5229" s="35" t="s">
        <v>21022</v>
      </c>
      <c r="Q5229" s="13" t="s">
        <v>75</v>
      </c>
      <c r="R5229" s="13" t="s">
        <v>75</v>
      </c>
      <c r="S5229" s="13" t="s">
        <v>9620</v>
      </c>
      <c r="T5229" s="44">
        <v>45919.41320069444</v>
      </c>
      <c r="U5229" s="44">
        <v>45919.442434212964</v>
      </c>
      <c r="V5229" s="44">
        <v>45924.72859454861</v>
      </c>
      <c r="W5229" s="11"/>
      <c r="X5229" s="11"/>
      <c r="Y5229" s="45">
        <v>302.0</v>
      </c>
      <c r="Z5229" s="45" t="s">
        <v>21023</v>
      </c>
      <c r="AA5229" s="31"/>
      <c r="AB5229" s="45" t="s">
        <v>21024</v>
      </c>
      <c r="AC5229" s="45"/>
    </row>
    <row r="5230" ht="18.75" customHeight="1">
      <c r="A5230" s="18" t="s">
        <v>21025</v>
      </c>
      <c r="B5230" s="19" t="s">
        <v>21020</v>
      </c>
      <c r="C5230" s="20">
        <v>0.0</v>
      </c>
      <c r="D5230" s="220" t="s">
        <v>21026</v>
      </c>
      <c r="E5230" s="27" t="s">
        <v>21021</v>
      </c>
      <c r="F5230" s="27" t="s">
        <v>33</v>
      </c>
      <c r="G5230" s="18" t="s">
        <v>34</v>
      </c>
      <c r="H5230" s="40" t="s">
        <v>35</v>
      </c>
      <c r="I5230" s="37" t="s">
        <v>36</v>
      </c>
      <c r="J5230" s="25" t="s">
        <v>49</v>
      </c>
      <c r="K5230" s="26" t="s">
        <v>38</v>
      </c>
      <c r="L5230" s="25">
        <v>13967.0</v>
      </c>
      <c r="M5230" s="49" t="s">
        <v>50</v>
      </c>
      <c r="N5230" s="42" t="s">
        <v>17048</v>
      </c>
      <c r="O5230" s="67">
        <v>45925.599138668986</v>
      </c>
      <c r="P5230" s="35" t="s">
        <v>21022</v>
      </c>
      <c r="Q5230" s="13" t="s">
        <v>75</v>
      </c>
      <c r="R5230" s="13" t="s">
        <v>75</v>
      </c>
      <c r="S5230" s="13" t="s">
        <v>9620</v>
      </c>
      <c r="T5230" s="44">
        <v>45919.41332565973</v>
      </c>
      <c r="U5230" s="44">
        <v>45919.44247876157</v>
      </c>
      <c r="V5230" s="44">
        <v>45924.63967921297</v>
      </c>
      <c r="W5230" s="11"/>
      <c r="X5230" s="11"/>
      <c r="Y5230" s="45">
        <v>302.0</v>
      </c>
      <c r="Z5230" s="45" t="s">
        <v>21027</v>
      </c>
      <c r="AA5230" s="31"/>
      <c r="AB5230" s="45" t="s">
        <v>21028</v>
      </c>
      <c r="AC5230" s="45"/>
    </row>
    <row r="5231" ht="18.75" customHeight="1">
      <c r="A5231" s="142" t="s">
        <v>21029</v>
      </c>
      <c r="B5231" s="19" t="s">
        <v>21030</v>
      </c>
      <c r="C5231" s="20">
        <v>34.0</v>
      </c>
      <c r="D5231" s="39" t="s">
        <v>21031</v>
      </c>
      <c r="E5231" s="27" t="s">
        <v>47</v>
      </c>
      <c r="F5231" s="27" t="s">
        <v>48</v>
      </c>
      <c r="G5231" s="18" t="s">
        <v>35</v>
      </c>
      <c r="H5231" s="40" t="s">
        <v>35</v>
      </c>
      <c r="I5231" s="37" t="s">
        <v>36</v>
      </c>
      <c r="J5231" s="25" t="s">
        <v>49</v>
      </c>
      <c r="K5231" s="26" t="s">
        <v>38</v>
      </c>
      <c r="L5231" s="72">
        <v>13915.0</v>
      </c>
      <c r="M5231" s="49" t="s">
        <v>73</v>
      </c>
      <c r="N5231" s="42" t="s">
        <v>17048</v>
      </c>
      <c r="O5231" s="67">
        <v>45919.598144143514</v>
      </c>
      <c r="P5231" s="35" t="s">
        <v>15666</v>
      </c>
      <c r="Q5231" s="13" t="s">
        <v>75</v>
      </c>
      <c r="R5231" s="13" t="s">
        <v>75</v>
      </c>
      <c r="S5231" s="13" t="s">
        <v>73</v>
      </c>
      <c r="T5231" s="44">
        <v>45919.44367497685</v>
      </c>
      <c r="U5231" s="44">
        <v>45919.44369048611</v>
      </c>
      <c r="V5231" s="44">
        <v>45919.50547268518</v>
      </c>
      <c r="W5231" s="11"/>
      <c r="X5231" s="11"/>
      <c r="Y5231" s="45">
        <v>302.0</v>
      </c>
      <c r="Z5231" s="45" t="s">
        <v>21032</v>
      </c>
      <c r="AA5231" s="31"/>
      <c r="AB5231" s="45" t="s">
        <v>21033</v>
      </c>
      <c r="AC5231" s="45"/>
    </row>
    <row r="5232" ht="18.75" customHeight="1">
      <c r="A5232" s="18" t="s">
        <v>21034</v>
      </c>
      <c r="B5232" s="19" t="s">
        <v>96</v>
      </c>
      <c r="C5232" s="20">
        <v>0.0</v>
      </c>
      <c r="D5232" s="179"/>
      <c r="E5232" s="27" t="s">
        <v>98</v>
      </c>
      <c r="F5232" s="27" t="s">
        <v>33</v>
      </c>
      <c r="G5232" s="18" t="s">
        <v>34</v>
      </c>
      <c r="H5232" s="40" t="s">
        <v>35</v>
      </c>
      <c r="I5232" s="24" t="s">
        <v>665</v>
      </c>
      <c r="J5232" s="25" t="s">
        <v>49</v>
      </c>
      <c r="K5232" s="26" t="s">
        <v>38</v>
      </c>
      <c r="L5232" s="25">
        <v>13968.0</v>
      </c>
      <c r="M5232" s="49" t="s">
        <v>50</v>
      </c>
      <c r="N5232" s="42" t="s">
        <v>17048</v>
      </c>
      <c r="O5232" s="67">
        <v>45925.59918265046</v>
      </c>
      <c r="P5232" s="35" t="s">
        <v>21035</v>
      </c>
      <c r="Q5232" s="13" t="s">
        <v>75</v>
      </c>
      <c r="R5232" s="13" t="s">
        <v>75</v>
      </c>
      <c r="S5232" s="13" t="s">
        <v>9620</v>
      </c>
      <c r="T5232" s="44">
        <v>45919.42254930556</v>
      </c>
      <c r="U5232" s="44">
        <v>45919.44467040509</v>
      </c>
      <c r="V5232" s="44">
        <v>45923.624049791666</v>
      </c>
      <c r="W5232" s="11"/>
      <c r="X5232" s="11"/>
      <c r="Y5232" s="207">
        <v>302.0</v>
      </c>
      <c r="Z5232" s="45" t="s">
        <v>21036</v>
      </c>
      <c r="AA5232" s="31"/>
      <c r="AB5232" s="45" t="s">
        <v>21037</v>
      </c>
      <c r="AC5232" s="45"/>
    </row>
    <row r="5233" ht="18.75" customHeight="1">
      <c r="A5233" s="18" t="s">
        <v>21038</v>
      </c>
      <c r="B5233" s="19" t="s">
        <v>96</v>
      </c>
      <c r="C5233" s="20">
        <v>0.0</v>
      </c>
      <c r="D5233" s="179"/>
      <c r="E5233" s="27" t="s">
        <v>98</v>
      </c>
      <c r="F5233" s="27" t="s">
        <v>33</v>
      </c>
      <c r="G5233" s="18" t="s">
        <v>34</v>
      </c>
      <c r="H5233" s="40" t="s">
        <v>35</v>
      </c>
      <c r="I5233" s="24" t="s">
        <v>665</v>
      </c>
      <c r="J5233" s="25" t="s">
        <v>49</v>
      </c>
      <c r="K5233" s="26" t="s">
        <v>38</v>
      </c>
      <c r="L5233" s="25">
        <v>13968.0</v>
      </c>
      <c r="M5233" s="49" t="s">
        <v>50</v>
      </c>
      <c r="N5233" s="42" t="s">
        <v>17048</v>
      </c>
      <c r="O5233" s="67">
        <v>45925.59922633102</v>
      </c>
      <c r="P5233" s="35" t="s">
        <v>21039</v>
      </c>
      <c r="Q5233" s="13" t="s">
        <v>75</v>
      </c>
      <c r="R5233" s="13" t="s">
        <v>75</v>
      </c>
      <c r="S5233" s="13" t="s">
        <v>9620</v>
      </c>
      <c r="T5233" s="44">
        <v>45919.42258878472</v>
      </c>
      <c r="U5233" s="44">
        <v>45919.44469388889</v>
      </c>
      <c r="V5233" s="44">
        <v>45924.63965950231</v>
      </c>
      <c r="W5233" s="11"/>
      <c r="X5233" s="11"/>
      <c r="Y5233" s="45">
        <v>302.0</v>
      </c>
      <c r="Z5233" s="45" t="s">
        <v>21040</v>
      </c>
      <c r="AA5233" s="31"/>
      <c r="AB5233" s="45" t="s">
        <v>21041</v>
      </c>
      <c r="AC5233" s="45"/>
    </row>
    <row r="5234" ht="18.75" customHeight="1">
      <c r="A5234" s="18" t="s">
        <v>21042</v>
      </c>
      <c r="B5234" s="19" t="s">
        <v>96</v>
      </c>
      <c r="C5234" s="20">
        <v>0.0</v>
      </c>
      <c r="D5234" s="179"/>
      <c r="E5234" s="27" t="s">
        <v>98</v>
      </c>
      <c r="F5234" s="27" t="s">
        <v>33</v>
      </c>
      <c r="G5234" s="18" t="s">
        <v>34</v>
      </c>
      <c r="H5234" s="40" t="s">
        <v>35</v>
      </c>
      <c r="I5234" s="24" t="s">
        <v>665</v>
      </c>
      <c r="J5234" s="25" t="s">
        <v>49</v>
      </c>
      <c r="K5234" s="26" t="s">
        <v>38</v>
      </c>
      <c r="L5234" s="25">
        <v>13968.0</v>
      </c>
      <c r="M5234" s="49" t="s">
        <v>50</v>
      </c>
      <c r="N5234" s="42" t="s">
        <v>17048</v>
      </c>
      <c r="O5234" s="67">
        <v>45925.59927145833</v>
      </c>
      <c r="P5234" s="35" t="s">
        <v>21043</v>
      </c>
      <c r="Q5234" s="13" t="s">
        <v>75</v>
      </c>
      <c r="R5234" s="13" t="s">
        <v>75</v>
      </c>
      <c r="S5234" s="13" t="s">
        <v>9620</v>
      </c>
      <c r="T5234" s="44">
        <v>45919.42266429398</v>
      </c>
      <c r="U5234" s="44">
        <v>45919.44474361111</v>
      </c>
      <c r="V5234" s="44">
        <v>45924.414008437496</v>
      </c>
      <c r="W5234" s="11"/>
      <c r="X5234" s="11"/>
      <c r="Y5234" s="45">
        <v>302.0</v>
      </c>
      <c r="Z5234" s="45" t="s">
        <v>21044</v>
      </c>
      <c r="AA5234" s="31"/>
      <c r="AB5234" s="45" t="s">
        <v>21045</v>
      </c>
      <c r="AC5234" s="45"/>
    </row>
    <row r="5235" ht="18.75" customHeight="1">
      <c r="A5235" s="18" t="s">
        <v>21046</v>
      </c>
      <c r="B5235" s="19" t="s">
        <v>96</v>
      </c>
      <c r="C5235" s="20">
        <v>0.0</v>
      </c>
      <c r="D5235" s="179"/>
      <c r="E5235" s="27" t="s">
        <v>98</v>
      </c>
      <c r="F5235" s="27" t="s">
        <v>33</v>
      </c>
      <c r="G5235" s="18" t="s">
        <v>34</v>
      </c>
      <c r="H5235" s="40" t="s">
        <v>35</v>
      </c>
      <c r="I5235" s="24" t="s">
        <v>665</v>
      </c>
      <c r="J5235" s="25" t="s">
        <v>49</v>
      </c>
      <c r="K5235" s="26" t="s">
        <v>38</v>
      </c>
      <c r="L5235" s="25">
        <v>13968.0</v>
      </c>
      <c r="M5235" s="49" t="s">
        <v>50</v>
      </c>
      <c r="N5235" s="42" t="s">
        <v>17048</v>
      </c>
      <c r="O5235" s="67">
        <v>45925.59931821759</v>
      </c>
      <c r="P5235" s="35" t="s">
        <v>21047</v>
      </c>
      <c r="Q5235" s="13" t="s">
        <v>75</v>
      </c>
      <c r="R5235" s="13" t="s">
        <v>75</v>
      </c>
      <c r="S5235" s="13" t="s">
        <v>9620</v>
      </c>
      <c r="T5235" s="44">
        <v>45919.4226275</v>
      </c>
      <c r="U5235" s="44">
        <v>45919.44472342593</v>
      </c>
      <c r="V5235" s="44">
        <v>45924.414008437496</v>
      </c>
      <c r="W5235" s="11"/>
      <c r="X5235" s="11"/>
      <c r="Y5235" s="45">
        <v>302.0</v>
      </c>
      <c r="Z5235" s="45" t="s">
        <v>21048</v>
      </c>
      <c r="AA5235" s="31"/>
      <c r="AB5235" s="45" t="s">
        <v>21049</v>
      </c>
      <c r="AC5235" s="45"/>
    </row>
    <row r="5236" ht="18.75" customHeight="1">
      <c r="A5236" s="142" t="s">
        <v>21050</v>
      </c>
      <c r="B5236" s="19" t="s">
        <v>21051</v>
      </c>
      <c r="C5236" s="20">
        <v>34.0</v>
      </c>
      <c r="D5236" s="39"/>
      <c r="E5236" s="27" t="s">
        <v>47</v>
      </c>
      <c r="F5236" s="27" t="s">
        <v>48</v>
      </c>
      <c r="G5236" s="18" t="s">
        <v>35</v>
      </c>
      <c r="H5236" s="40" t="s">
        <v>35</v>
      </c>
      <c r="I5236" s="37" t="s">
        <v>984</v>
      </c>
      <c r="J5236" s="25" t="s">
        <v>49</v>
      </c>
      <c r="K5236" s="26" t="s">
        <v>38</v>
      </c>
      <c r="L5236" s="72">
        <v>-13906.0</v>
      </c>
      <c r="M5236" s="49"/>
      <c r="N5236" s="42"/>
      <c r="O5236" s="68"/>
      <c r="P5236" s="35" t="s">
        <v>21052</v>
      </c>
      <c r="Q5236" s="13" t="s">
        <v>75</v>
      </c>
      <c r="R5236" s="13" t="s">
        <v>75</v>
      </c>
      <c r="S5236" s="13"/>
      <c r="T5236" s="44">
        <v>45919.423487430555</v>
      </c>
      <c r="U5236" s="44">
        <v>45919.4453434375</v>
      </c>
      <c r="V5236" s="13"/>
      <c r="W5236" s="11"/>
      <c r="X5236" s="148">
        <v>46009.0</v>
      </c>
      <c r="Y5236" s="45"/>
      <c r="Z5236" s="45"/>
      <c r="AA5236" s="31"/>
      <c r="AB5236" s="45" t="s">
        <v>21053</v>
      </c>
      <c r="AC5236" s="45"/>
    </row>
    <row r="5237" ht="18.75" customHeight="1">
      <c r="A5237" s="142" t="s">
        <v>21054</v>
      </c>
      <c r="B5237" s="19" t="s">
        <v>4293</v>
      </c>
      <c r="C5237" s="20">
        <v>137.0</v>
      </c>
      <c r="D5237" s="39" t="s">
        <v>21055</v>
      </c>
      <c r="E5237" s="27" t="s">
        <v>85</v>
      </c>
      <c r="F5237" s="27" t="s">
        <v>48</v>
      </c>
      <c r="G5237" s="18" t="s">
        <v>35</v>
      </c>
      <c r="H5237" s="40" t="s">
        <v>35</v>
      </c>
      <c r="I5237" s="37" t="s">
        <v>36</v>
      </c>
      <c r="J5237" s="25" t="s">
        <v>65</v>
      </c>
      <c r="K5237" s="26" t="s">
        <v>38</v>
      </c>
      <c r="L5237" s="72">
        <v>13928.0</v>
      </c>
      <c r="M5237" s="49" t="s">
        <v>50</v>
      </c>
      <c r="N5237" s="42" t="s">
        <v>16408</v>
      </c>
      <c r="O5237" s="67">
        <v>45922.627365636574</v>
      </c>
      <c r="P5237" s="35" t="s">
        <v>21056</v>
      </c>
      <c r="Q5237" s="13" t="s">
        <v>75</v>
      </c>
      <c r="R5237" s="13" t="s">
        <v>75</v>
      </c>
      <c r="S5237" s="13" t="s">
        <v>73</v>
      </c>
      <c r="T5237" s="44">
        <v>45919.58442575231</v>
      </c>
      <c r="U5237" s="44">
        <v>45919.58446565972</v>
      </c>
      <c r="V5237" s="44">
        <v>45922.437180925925</v>
      </c>
      <c r="W5237" s="11"/>
      <c r="X5237" s="11"/>
      <c r="Y5237" s="45">
        <v>302.0</v>
      </c>
      <c r="Z5237" s="45" t="s">
        <v>21057</v>
      </c>
      <c r="AA5237" s="31"/>
      <c r="AB5237" s="45" t="s">
        <v>21058</v>
      </c>
      <c r="AC5237" s="45"/>
    </row>
    <row r="5238" ht="18.75" customHeight="1">
      <c r="A5238" s="18" t="s">
        <v>21059</v>
      </c>
      <c r="B5238" s="19" t="s">
        <v>1192</v>
      </c>
      <c r="C5238" s="20">
        <v>27.0</v>
      </c>
      <c r="D5238" s="39" t="s">
        <v>21060</v>
      </c>
      <c r="E5238" s="27" t="s">
        <v>72</v>
      </c>
      <c r="F5238" s="27" t="s">
        <v>48</v>
      </c>
      <c r="G5238" s="18" t="s">
        <v>35</v>
      </c>
      <c r="H5238" s="40" t="s">
        <v>35</v>
      </c>
      <c r="I5238" s="37" t="s">
        <v>36</v>
      </c>
      <c r="J5238" s="25" t="s">
        <v>65</v>
      </c>
      <c r="K5238" s="26" t="s">
        <v>38</v>
      </c>
      <c r="L5238" s="25">
        <v>13992.0</v>
      </c>
      <c r="M5238" s="49" t="s">
        <v>50</v>
      </c>
      <c r="N5238" s="42" t="s">
        <v>16408</v>
      </c>
      <c r="O5238" s="67">
        <v>45926.69488964121</v>
      </c>
      <c r="P5238" s="35" t="s">
        <v>21061</v>
      </c>
      <c r="Q5238" s="13" t="s">
        <v>75</v>
      </c>
      <c r="R5238" s="13" t="s">
        <v>75</v>
      </c>
      <c r="S5238" s="13" t="s">
        <v>50</v>
      </c>
      <c r="T5238" s="44">
        <v>45926.4513814699</v>
      </c>
      <c r="U5238" s="44">
        <v>45926.45150480324</v>
      </c>
      <c r="V5238" s="44">
        <v>45926.49397627315</v>
      </c>
      <c r="W5238" s="11"/>
      <c r="X5238" s="148">
        <v>45926.0</v>
      </c>
      <c r="Y5238" s="45">
        <v>302.0</v>
      </c>
      <c r="Z5238" s="45" t="s">
        <v>21062</v>
      </c>
      <c r="AA5238" s="31"/>
      <c r="AB5238" s="45" t="s">
        <v>21063</v>
      </c>
      <c r="AC5238" s="45"/>
    </row>
    <row r="5239" ht="18.75" customHeight="1">
      <c r="A5239" s="18" t="s">
        <v>21064</v>
      </c>
      <c r="B5239" s="19" t="s">
        <v>1192</v>
      </c>
      <c r="C5239" s="20">
        <v>27.0</v>
      </c>
      <c r="D5239" s="39" t="s">
        <v>21065</v>
      </c>
      <c r="E5239" s="27" t="s">
        <v>72</v>
      </c>
      <c r="F5239" s="27" t="s">
        <v>48</v>
      </c>
      <c r="G5239" s="18" t="s">
        <v>35</v>
      </c>
      <c r="H5239" s="40" t="s">
        <v>35</v>
      </c>
      <c r="I5239" s="37" t="s">
        <v>36</v>
      </c>
      <c r="J5239" s="25" t="s">
        <v>65</v>
      </c>
      <c r="K5239" s="26" t="s">
        <v>38</v>
      </c>
      <c r="L5239" s="25">
        <v>13992.0</v>
      </c>
      <c r="M5239" s="49" t="s">
        <v>50</v>
      </c>
      <c r="N5239" s="42" t="s">
        <v>16408</v>
      </c>
      <c r="O5239" s="67">
        <v>45926.69494216435</v>
      </c>
      <c r="P5239" s="35" t="s">
        <v>21061</v>
      </c>
      <c r="Q5239" s="13" t="s">
        <v>75</v>
      </c>
      <c r="R5239" s="13" t="s">
        <v>75</v>
      </c>
      <c r="S5239" s="13" t="s">
        <v>50</v>
      </c>
      <c r="T5239" s="44">
        <v>45926.45141846065</v>
      </c>
      <c r="U5239" s="44">
        <v>45926.45157457176</v>
      </c>
      <c r="V5239" s="44">
        <v>45926.49397627315</v>
      </c>
      <c r="W5239" s="11"/>
      <c r="X5239" s="148">
        <v>45926.0</v>
      </c>
      <c r="Y5239" s="45">
        <v>302.0</v>
      </c>
      <c r="Z5239" s="45" t="s">
        <v>21066</v>
      </c>
      <c r="AA5239" s="31"/>
      <c r="AB5239" s="45" t="s">
        <v>21067</v>
      </c>
      <c r="AC5239" s="45"/>
    </row>
    <row r="5240" ht="18.75" customHeight="1">
      <c r="A5240" s="18" t="s">
        <v>21068</v>
      </c>
      <c r="B5240" s="19" t="s">
        <v>1192</v>
      </c>
      <c r="C5240" s="20">
        <v>0.0</v>
      </c>
      <c r="D5240" s="39" t="s">
        <v>21069</v>
      </c>
      <c r="E5240" s="27" t="s">
        <v>3441</v>
      </c>
      <c r="F5240" s="27" t="s">
        <v>48</v>
      </c>
      <c r="G5240" s="18" t="s">
        <v>35</v>
      </c>
      <c r="H5240" s="40" t="s">
        <v>35</v>
      </c>
      <c r="I5240" s="37" t="s">
        <v>36</v>
      </c>
      <c r="J5240" s="25" t="s">
        <v>65</v>
      </c>
      <c r="K5240" s="26" t="s">
        <v>38</v>
      </c>
      <c r="L5240" s="25">
        <v>13992.0</v>
      </c>
      <c r="M5240" s="49" t="s">
        <v>50</v>
      </c>
      <c r="N5240" s="42" t="s">
        <v>16408</v>
      </c>
      <c r="O5240" s="67">
        <v>45926.69498936343</v>
      </c>
      <c r="P5240" s="35" t="s">
        <v>21061</v>
      </c>
      <c r="Q5240" s="13" t="s">
        <v>75</v>
      </c>
      <c r="R5240" s="13" t="s">
        <v>75</v>
      </c>
      <c r="S5240" s="13" t="s">
        <v>50</v>
      </c>
      <c r="T5240" s="44">
        <v>45926.45145609954</v>
      </c>
      <c r="U5240" s="44">
        <v>45926.45159990741</v>
      </c>
      <c r="V5240" s="44">
        <v>45926.49397627315</v>
      </c>
      <c r="W5240" s="11"/>
      <c r="X5240" s="148">
        <v>45926.0</v>
      </c>
      <c r="Y5240" s="45">
        <v>302.0</v>
      </c>
      <c r="Z5240" s="45" t="s">
        <v>21070</v>
      </c>
      <c r="AA5240" s="31"/>
      <c r="AB5240" s="45" t="s">
        <v>21071</v>
      </c>
      <c r="AC5240" s="45"/>
    </row>
    <row r="5241" ht="18.75" customHeight="1">
      <c r="A5241" s="18" t="s">
        <v>21072</v>
      </c>
      <c r="B5241" s="19" t="s">
        <v>1192</v>
      </c>
      <c r="C5241" s="20">
        <v>0.0</v>
      </c>
      <c r="D5241" s="39"/>
      <c r="E5241" s="27" t="s">
        <v>3441</v>
      </c>
      <c r="F5241" s="27" t="s">
        <v>48</v>
      </c>
      <c r="G5241" s="18" t="s">
        <v>35</v>
      </c>
      <c r="H5241" s="40" t="s">
        <v>35</v>
      </c>
      <c r="I5241" s="24" t="s">
        <v>18314</v>
      </c>
      <c r="J5241" s="25" t="s">
        <v>65</v>
      </c>
      <c r="K5241" s="26" t="s">
        <v>38</v>
      </c>
      <c r="L5241" s="25">
        <v>-13976.0</v>
      </c>
      <c r="M5241" s="49"/>
      <c r="N5241" s="42"/>
      <c r="O5241" s="68"/>
      <c r="P5241" s="35" t="s">
        <v>21061</v>
      </c>
      <c r="Q5241" s="13" t="s">
        <v>75</v>
      </c>
      <c r="R5241" s="13" t="s">
        <v>75</v>
      </c>
      <c r="S5241" s="13" t="s">
        <v>73</v>
      </c>
      <c r="T5241" s="44">
        <v>45919.58071555555</v>
      </c>
      <c r="U5241" s="44">
        <v>45926.449632268515</v>
      </c>
      <c r="V5241" s="44">
        <v>45926.448726574075</v>
      </c>
      <c r="W5241" s="11"/>
      <c r="X5241" s="148">
        <v>45926.0</v>
      </c>
      <c r="Y5241" s="45">
        <v>302.0</v>
      </c>
      <c r="Z5241" s="45" t="s">
        <v>21073</v>
      </c>
      <c r="AA5241" s="31"/>
      <c r="AB5241" s="45" t="s">
        <v>21074</v>
      </c>
      <c r="AC5241" s="45"/>
    </row>
    <row r="5242" ht="18.75" customHeight="1">
      <c r="A5242" s="142" t="s">
        <v>21075</v>
      </c>
      <c r="B5242" s="19" t="s">
        <v>96</v>
      </c>
      <c r="C5242" s="20">
        <v>0.0</v>
      </c>
      <c r="D5242" s="220" t="s">
        <v>21076</v>
      </c>
      <c r="E5242" s="27" t="s">
        <v>135</v>
      </c>
      <c r="F5242" s="27" t="s">
        <v>48</v>
      </c>
      <c r="G5242" s="18" t="s">
        <v>35</v>
      </c>
      <c r="H5242" s="40" t="s">
        <v>35</v>
      </c>
      <c r="I5242" s="37" t="s">
        <v>36</v>
      </c>
      <c r="J5242" s="25" t="s">
        <v>49</v>
      </c>
      <c r="K5242" s="26" t="s">
        <v>38</v>
      </c>
      <c r="L5242" s="25">
        <v>13958.0</v>
      </c>
      <c r="M5242" s="49" t="s">
        <v>50</v>
      </c>
      <c r="N5242" s="42" t="s">
        <v>17048</v>
      </c>
      <c r="O5242" s="67">
        <v>45924.60364894676</v>
      </c>
      <c r="P5242" s="35" t="s">
        <v>21077</v>
      </c>
      <c r="Q5242" s="13" t="s">
        <v>75</v>
      </c>
      <c r="R5242" s="13" t="s">
        <v>75</v>
      </c>
      <c r="S5242" s="13" t="s">
        <v>9620</v>
      </c>
      <c r="T5242" s="44">
        <v>45922.44675422454</v>
      </c>
      <c r="U5242" s="44">
        <v>45922.715447916664</v>
      </c>
      <c r="V5242" s="44">
        <v>45923.625093842595</v>
      </c>
      <c r="W5242" s="11"/>
      <c r="X5242" s="11"/>
      <c r="Y5242" s="207">
        <v>302.0</v>
      </c>
      <c r="Z5242" s="45" t="s">
        <v>21078</v>
      </c>
      <c r="AA5242" s="31"/>
      <c r="AB5242" s="45" t="s">
        <v>21079</v>
      </c>
      <c r="AC5242" s="45"/>
    </row>
    <row r="5243" ht="18.75" customHeight="1">
      <c r="A5243" s="142" t="s">
        <v>21080</v>
      </c>
      <c r="B5243" s="19" t="s">
        <v>17819</v>
      </c>
      <c r="C5243" s="20">
        <v>90.0</v>
      </c>
      <c r="D5243" s="39" t="s">
        <v>21081</v>
      </c>
      <c r="E5243" s="27" t="s">
        <v>91</v>
      </c>
      <c r="F5243" s="27" t="s">
        <v>48</v>
      </c>
      <c r="G5243" s="18" t="s">
        <v>35</v>
      </c>
      <c r="H5243" s="40" t="s">
        <v>35</v>
      </c>
      <c r="I5243" s="37" t="s">
        <v>36</v>
      </c>
      <c r="J5243" s="25" t="s">
        <v>92</v>
      </c>
      <c r="K5243" s="26" t="s">
        <v>38</v>
      </c>
      <c r="L5243" s="72">
        <v>13935.0</v>
      </c>
      <c r="M5243" s="49" t="s">
        <v>50</v>
      </c>
      <c r="N5243" s="42" t="s">
        <v>7145</v>
      </c>
      <c r="O5243" s="67">
        <v>45923.38436207176</v>
      </c>
      <c r="P5243" s="26"/>
      <c r="Q5243" s="13" t="s">
        <v>75</v>
      </c>
      <c r="R5243" s="13" t="s">
        <v>75</v>
      </c>
      <c r="S5243" s="13" t="s">
        <v>73</v>
      </c>
      <c r="T5243" s="44">
        <v>45922.448333437496</v>
      </c>
      <c r="U5243" s="44">
        <v>45922.47971164352</v>
      </c>
      <c r="V5243" s="44">
        <v>45922.556408703706</v>
      </c>
      <c r="W5243" s="11"/>
      <c r="X5243" s="11"/>
      <c r="Y5243" s="45">
        <v>302.0</v>
      </c>
      <c r="Z5243" s="45" t="s">
        <v>21082</v>
      </c>
      <c r="AA5243" s="31"/>
      <c r="AB5243" s="45" t="s">
        <v>21083</v>
      </c>
      <c r="AC5243" s="45"/>
    </row>
    <row r="5244" ht="18.75" customHeight="1">
      <c r="A5244" s="142" t="s">
        <v>21084</v>
      </c>
      <c r="B5244" s="19" t="s">
        <v>4941</v>
      </c>
      <c r="C5244" s="20">
        <v>0.0</v>
      </c>
      <c r="D5244" s="39" t="s">
        <v>21085</v>
      </c>
      <c r="E5244" s="27" t="s">
        <v>3441</v>
      </c>
      <c r="F5244" s="27" t="s">
        <v>48</v>
      </c>
      <c r="G5244" s="18" t="s">
        <v>35</v>
      </c>
      <c r="H5244" s="40" t="s">
        <v>35</v>
      </c>
      <c r="I5244" s="37" t="s">
        <v>36</v>
      </c>
      <c r="J5244" s="25" t="s">
        <v>92</v>
      </c>
      <c r="K5244" s="26" t="s">
        <v>38</v>
      </c>
      <c r="L5244" s="72">
        <v>13937.0</v>
      </c>
      <c r="M5244" s="49" t="s">
        <v>50</v>
      </c>
      <c r="N5244" s="42" t="s">
        <v>19238</v>
      </c>
      <c r="O5244" s="67">
        <v>45923.39632564815</v>
      </c>
      <c r="P5244" s="35" t="s">
        <v>21086</v>
      </c>
      <c r="Q5244" s="13" t="s">
        <v>75</v>
      </c>
      <c r="R5244" s="13" t="s">
        <v>75</v>
      </c>
      <c r="S5244" s="13" t="s">
        <v>73</v>
      </c>
      <c r="T5244" s="44">
        <v>45922.44989765046</v>
      </c>
      <c r="U5244" s="44">
        <v>45922.50225292824</v>
      </c>
      <c r="V5244" s="44">
        <v>45923.39159380787</v>
      </c>
      <c r="W5244" s="11"/>
      <c r="X5244" s="11"/>
      <c r="Y5244" s="45">
        <v>302.0</v>
      </c>
      <c r="Z5244" s="45" t="s">
        <v>21087</v>
      </c>
      <c r="AA5244" s="31"/>
      <c r="AB5244" s="45" t="s">
        <v>21088</v>
      </c>
      <c r="AC5244" s="45"/>
    </row>
    <row r="5245" ht="18.75" customHeight="1">
      <c r="A5245" s="18" t="s">
        <v>21089</v>
      </c>
      <c r="B5245" s="19" t="s">
        <v>19643</v>
      </c>
      <c r="C5245" s="20">
        <v>0.0</v>
      </c>
      <c r="D5245" s="179">
        <v>20320.0</v>
      </c>
      <c r="E5245" s="27" t="s">
        <v>13303</v>
      </c>
      <c r="F5245" s="27" t="s">
        <v>48</v>
      </c>
      <c r="G5245" s="18" t="s">
        <v>35</v>
      </c>
      <c r="H5245" s="40" t="s">
        <v>35</v>
      </c>
      <c r="I5245" s="37" t="s">
        <v>36</v>
      </c>
      <c r="J5245" s="25" t="s">
        <v>65</v>
      </c>
      <c r="K5245" s="26" t="s">
        <v>38</v>
      </c>
      <c r="L5245" s="25">
        <v>14012.0</v>
      </c>
      <c r="M5245" s="49" t="s">
        <v>50</v>
      </c>
      <c r="N5245" s="42" t="s">
        <v>16408</v>
      </c>
      <c r="O5245" s="67">
        <v>45930.622500185185</v>
      </c>
      <c r="P5245" s="35" t="s">
        <v>21090</v>
      </c>
      <c r="Q5245" s="13" t="s">
        <v>75</v>
      </c>
      <c r="R5245" s="13" t="s">
        <v>75</v>
      </c>
      <c r="S5245" s="13" t="s">
        <v>9620</v>
      </c>
      <c r="T5245" s="44">
        <v>45922.448132743055</v>
      </c>
      <c r="U5245" s="44">
        <v>45922.673991724536</v>
      </c>
      <c r="V5245" s="44">
        <v>45929.66484003472</v>
      </c>
      <c r="W5245" s="11"/>
      <c r="X5245" s="11"/>
      <c r="Y5245" s="45">
        <v>302.0</v>
      </c>
      <c r="Z5245" s="45" t="s">
        <v>21091</v>
      </c>
      <c r="AA5245" s="31"/>
      <c r="AB5245" s="45" t="s">
        <v>21092</v>
      </c>
      <c r="AC5245" s="45"/>
    </row>
    <row r="5246" ht="18.75" customHeight="1">
      <c r="A5246" s="18" t="s">
        <v>21093</v>
      </c>
      <c r="B5246" s="19" t="s">
        <v>19643</v>
      </c>
      <c r="C5246" s="20">
        <v>0.0</v>
      </c>
      <c r="D5246" s="179">
        <v>20321.0</v>
      </c>
      <c r="E5246" s="27" t="s">
        <v>13303</v>
      </c>
      <c r="F5246" s="27" t="s">
        <v>48</v>
      </c>
      <c r="G5246" s="18" t="s">
        <v>35</v>
      </c>
      <c r="H5246" s="40" t="s">
        <v>35</v>
      </c>
      <c r="I5246" s="37" t="s">
        <v>36</v>
      </c>
      <c r="J5246" s="25" t="s">
        <v>65</v>
      </c>
      <c r="K5246" s="26" t="s">
        <v>38</v>
      </c>
      <c r="L5246" s="25">
        <v>14012.0</v>
      </c>
      <c r="M5246" s="49" t="s">
        <v>50</v>
      </c>
      <c r="N5246" s="42" t="s">
        <v>16408</v>
      </c>
      <c r="O5246" s="67">
        <v>45930.62254884259</v>
      </c>
      <c r="P5246" s="35" t="s">
        <v>21090</v>
      </c>
      <c r="Q5246" s="13" t="s">
        <v>75</v>
      </c>
      <c r="R5246" s="13" t="s">
        <v>75</v>
      </c>
      <c r="S5246" s="13" t="s">
        <v>9620</v>
      </c>
      <c r="T5246" s="44">
        <v>45922.49571204861</v>
      </c>
      <c r="U5246" s="44">
        <v>45922.67405769676</v>
      </c>
      <c r="V5246" s="44">
        <v>45929.664840046295</v>
      </c>
      <c r="W5246" s="11"/>
      <c r="X5246" s="11"/>
      <c r="Y5246" s="45">
        <v>302.0</v>
      </c>
      <c r="Z5246" s="45" t="s">
        <v>21094</v>
      </c>
      <c r="AA5246" s="31"/>
      <c r="AB5246" s="45" t="s">
        <v>21095</v>
      </c>
      <c r="AC5246" s="45"/>
    </row>
    <row r="5247" ht="18.75" customHeight="1">
      <c r="A5247" s="18" t="s">
        <v>21096</v>
      </c>
      <c r="B5247" s="19" t="s">
        <v>21097</v>
      </c>
      <c r="C5247" s="20">
        <v>1.0</v>
      </c>
      <c r="D5247" s="39" t="s">
        <v>21098</v>
      </c>
      <c r="E5247" s="27" t="s">
        <v>3395</v>
      </c>
      <c r="F5247" s="27" t="s">
        <v>48</v>
      </c>
      <c r="G5247" s="18" t="s">
        <v>35</v>
      </c>
      <c r="H5247" s="40" t="s">
        <v>35</v>
      </c>
      <c r="I5247" s="37" t="s">
        <v>36</v>
      </c>
      <c r="J5247" s="25" t="s">
        <v>49</v>
      </c>
      <c r="K5247" s="26" t="s">
        <v>38</v>
      </c>
      <c r="L5247" s="25">
        <v>14228.0</v>
      </c>
      <c r="M5247" s="49" t="s">
        <v>50</v>
      </c>
      <c r="N5247" s="42" t="s">
        <v>17048</v>
      </c>
      <c r="O5247" s="67">
        <v>45951.68367918981</v>
      </c>
      <c r="P5247" s="35" t="s">
        <v>21099</v>
      </c>
      <c r="Q5247" s="13" t="s">
        <v>6028</v>
      </c>
      <c r="R5247" s="13" t="s">
        <v>6028</v>
      </c>
      <c r="S5247" s="13" t="s">
        <v>73</v>
      </c>
      <c r="T5247" s="44">
        <v>45922.450413287035</v>
      </c>
      <c r="U5247" s="44">
        <v>45923.42883520834</v>
      </c>
      <c r="V5247" s="44">
        <v>45951.43416923611</v>
      </c>
      <c r="W5247" s="11"/>
      <c r="X5247" s="148">
        <v>45940.0</v>
      </c>
      <c r="Y5247" s="45">
        <v>302.0</v>
      </c>
      <c r="Z5247" s="45" t="s">
        <v>21100</v>
      </c>
      <c r="AA5247" s="31"/>
      <c r="AB5247" s="45" t="s">
        <v>21101</v>
      </c>
      <c r="AC5247" s="45"/>
    </row>
    <row r="5248" ht="18.75" customHeight="1">
      <c r="A5248" s="18" t="s">
        <v>21102</v>
      </c>
      <c r="B5248" s="19" t="s">
        <v>21097</v>
      </c>
      <c r="C5248" s="20">
        <v>1.0</v>
      </c>
      <c r="D5248" s="39" t="s">
        <v>21103</v>
      </c>
      <c r="E5248" s="27" t="s">
        <v>3395</v>
      </c>
      <c r="F5248" s="27" t="s">
        <v>48</v>
      </c>
      <c r="G5248" s="18" t="s">
        <v>35</v>
      </c>
      <c r="H5248" s="40" t="s">
        <v>35</v>
      </c>
      <c r="I5248" s="37" t="s">
        <v>36</v>
      </c>
      <c r="J5248" s="25" t="s">
        <v>49</v>
      </c>
      <c r="K5248" s="26" t="s">
        <v>38</v>
      </c>
      <c r="L5248" s="25">
        <v>14228.0</v>
      </c>
      <c r="M5248" s="49" t="s">
        <v>50</v>
      </c>
      <c r="N5248" s="42" t="s">
        <v>17048</v>
      </c>
      <c r="O5248" s="67">
        <v>45951.68374511574</v>
      </c>
      <c r="P5248" s="35" t="s">
        <v>21099</v>
      </c>
      <c r="Q5248" s="13" t="s">
        <v>6028</v>
      </c>
      <c r="R5248" s="13" t="s">
        <v>6028</v>
      </c>
      <c r="S5248" s="13" t="s">
        <v>73</v>
      </c>
      <c r="T5248" s="44">
        <v>45922.45046416667</v>
      </c>
      <c r="U5248" s="44">
        <v>45923.42895082176</v>
      </c>
      <c r="V5248" s="44">
        <v>45951.4342305787</v>
      </c>
      <c r="W5248" s="11"/>
      <c r="X5248" s="148">
        <v>45940.0</v>
      </c>
      <c r="Y5248" s="45">
        <v>302.0</v>
      </c>
      <c r="Z5248" s="45" t="s">
        <v>21104</v>
      </c>
      <c r="AA5248" s="31"/>
      <c r="AB5248" s="45" t="s">
        <v>21105</v>
      </c>
      <c r="AC5248" s="45"/>
    </row>
    <row r="5249" ht="18.75" customHeight="1">
      <c r="A5249" s="142" t="s">
        <v>21106</v>
      </c>
      <c r="B5249" s="19" t="s">
        <v>21097</v>
      </c>
      <c r="C5249" s="20">
        <v>137.0</v>
      </c>
      <c r="D5249" s="39" t="s">
        <v>21107</v>
      </c>
      <c r="E5249" s="27" t="s">
        <v>85</v>
      </c>
      <c r="F5249" s="27" t="s">
        <v>48</v>
      </c>
      <c r="G5249" s="18" t="s">
        <v>35</v>
      </c>
      <c r="H5249" s="40" t="s">
        <v>35</v>
      </c>
      <c r="I5249" s="37" t="s">
        <v>36</v>
      </c>
      <c r="J5249" s="25" t="s">
        <v>49</v>
      </c>
      <c r="K5249" s="26" t="s">
        <v>38</v>
      </c>
      <c r="L5249" s="72">
        <v>13944.0</v>
      </c>
      <c r="M5249" s="49" t="s">
        <v>50</v>
      </c>
      <c r="N5249" s="42" t="s">
        <v>17048</v>
      </c>
      <c r="O5249" s="67">
        <v>45923.68197690972</v>
      </c>
      <c r="P5249" s="35" t="s">
        <v>15594</v>
      </c>
      <c r="Q5249" s="13" t="s">
        <v>75</v>
      </c>
      <c r="R5249" s="13" t="s">
        <v>75</v>
      </c>
      <c r="S5249" s="13" t="s">
        <v>73</v>
      </c>
      <c r="T5249" s="44">
        <v>45922.45104105324</v>
      </c>
      <c r="U5249" s="44">
        <v>45923.42150726852</v>
      </c>
      <c r="V5249" s="44">
        <v>45923.43502578704</v>
      </c>
      <c r="W5249" s="11"/>
      <c r="X5249" s="11"/>
      <c r="Y5249" s="45">
        <v>302.0</v>
      </c>
      <c r="Z5249" s="45" t="s">
        <v>21108</v>
      </c>
      <c r="AA5249" s="31"/>
      <c r="AB5249" s="45" t="s">
        <v>21109</v>
      </c>
      <c r="AC5249" s="45"/>
    </row>
    <row r="5250" ht="18.75" customHeight="1">
      <c r="A5250" s="142" t="s">
        <v>21110</v>
      </c>
      <c r="B5250" s="19" t="s">
        <v>21111</v>
      </c>
      <c r="C5250" s="20">
        <v>1.0</v>
      </c>
      <c r="D5250" s="39" t="s">
        <v>21112</v>
      </c>
      <c r="E5250" s="27" t="s">
        <v>3395</v>
      </c>
      <c r="F5250" s="27" t="s">
        <v>48</v>
      </c>
      <c r="G5250" s="18" t="s">
        <v>35</v>
      </c>
      <c r="H5250" s="40" t="s">
        <v>35</v>
      </c>
      <c r="I5250" s="37" t="s">
        <v>36</v>
      </c>
      <c r="J5250" s="25" t="s">
        <v>18078</v>
      </c>
      <c r="K5250" s="26" t="s">
        <v>38</v>
      </c>
      <c r="L5250" s="25">
        <v>14210.0</v>
      </c>
      <c r="M5250" s="49" t="s">
        <v>50</v>
      </c>
      <c r="N5250" s="42" t="s">
        <v>20634</v>
      </c>
      <c r="O5250" s="67">
        <v>45950.69769606482</v>
      </c>
      <c r="P5250" s="35" t="s">
        <v>21113</v>
      </c>
      <c r="Q5250" s="13" t="s">
        <v>75</v>
      </c>
      <c r="R5250" s="13" t="s">
        <v>75</v>
      </c>
      <c r="S5250" s="13" t="s">
        <v>73</v>
      </c>
      <c r="T5250" s="44">
        <v>45922.45163506945</v>
      </c>
      <c r="U5250" s="44">
        <v>45922.49538744213</v>
      </c>
      <c r="V5250" s="44">
        <v>45950.55573288194</v>
      </c>
      <c r="W5250" s="11"/>
      <c r="X5250" s="11"/>
      <c r="Y5250" s="45">
        <v>302.0</v>
      </c>
      <c r="Z5250" s="45" t="s">
        <v>21114</v>
      </c>
      <c r="AA5250" s="31"/>
      <c r="AB5250" s="45" t="s">
        <v>21115</v>
      </c>
      <c r="AC5250" s="45"/>
    </row>
    <row r="5251" ht="18.75" customHeight="1">
      <c r="A5251" s="18" t="s">
        <v>21116</v>
      </c>
      <c r="B5251" s="19" t="s">
        <v>16879</v>
      </c>
      <c r="C5251" s="20">
        <v>137.0</v>
      </c>
      <c r="D5251" s="39" t="s">
        <v>21117</v>
      </c>
      <c r="E5251" s="27" t="s">
        <v>85</v>
      </c>
      <c r="F5251" s="27" t="s">
        <v>48</v>
      </c>
      <c r="G5251" s="18" t="s">
        <v>35</v>
      </c>
      <c r="H5251" s="40" t="s">
        <v>35</v>
      </c>
      <c r="I5251" s="37" t="s">
        <v>36</v>
      </c>
      <c r="J5251" s="25" t="s">
        <v>49</v>
      </c>
      <c r="K5251" s="26" t="s">
        <v>16881</v>
      </c>
      <c r="L5251" s="25">
        <v>14005.0</v>
      </c>
      <c r="M5251" s="49" t="s">
        <v>73</v>
      </c>
      <c r="N5251" s="42" t="s">
        <v>17048</v>
      </c>
      <c r="O5251" s="67">
        <v>45929.71218585648</v>
      </c>
      <c r="P5251" s="35" t="s">
        <v>21118</v>
      </c>
      <c r="Q5251" s="13" t="s">
        <v>75</v>
      </c>
      <c r="R5251" s="13" t="s">
        <v>6028</v>
      </c>
      <c r="S5251" s="13" t="s">
        <v>73</v>
      </c>
      <c r="T5251" s="44">
        <v>45922.453601562505</v>
      </c>
      <c r="U5251" s="44">
        <v>45929.449632777774</v>
      </c>
      <c r="V5251" s="44">
        <v>45929.45607724537</v>
      </c>
      <c r="W5251" s="11"/>
      <c r="X5251" s="11"/>
      <c r="Y5251" s="45">
        <v>302.0</v>
      </c>
      <c r="Z5251" s="45" t="s">
        <v>21119</v>
      </c>
      <c r="AA5251" s="31"/>
      <c r="AB5251" s="45" t="s">
        <v>21120</v>
      </c>
      <c r="AC5251" s="45"/>
    </row>
    <row r="5252" ht="18.75" customHeight="1">
      <c r="A5252" s="18" t="s">
        <v>21121</v>
      </c>
      <c r="B5252" s="19" t="s">
        <v>16879</v>
      </c>
      <c r="C5252" s="20">
        <v>137.0</v>
      </c>
      <c r="D5252" s="39" t="s">
        <v>21122</v>
      </c>
      <c r="E5252" s="27" t="s">
        <v>85</v>
      </c>
      <c r="F5252" s="27" t="s">
        <v>48</v>
      </c>
      <c r="G5252" s="18" t="s">
        <v>35</v>
      </c>
      <c r="H5252" s="40" t="s">
        <v>35</v>
      </c>
      <c r="I5252" s="37" t="s">
        <v>36</v>
      </c>
      <c r="J5252" s="25" t="s">
        <v>49</v>
      </c>
      <c r="K5252" s="26" t="s">
        <v>16881</v>
      </c>
      <c r="L5252" s="25">
        <v>14005.0</v>
      </c>
      <c r="M5252" s="49" t="s">
        <v>73</v>
      </c>
      <c r="N5252" s="42" t="s">
        <v>17048</v>
      </c>
      <c r="O5252" s="67">
        <v>45929.712251481484</v>
      </c>
      <c r="P5252" s="35" t="s">
        <v>21118</v>
      </c>
      <c r="Q5252" s="13" t="s">
        <v>75</v>
      </c>
      <c r="R5252" s="13" t="s">
        <v>6028</v>
      </c>
      <c r="S5252" s="13" t="s">
        <v>73</v>
      </c>
      <c r="T5252" s="44">
        <v>45922.453784467594</v>
      </c>
      <c r="U5252" s="44">
        <v>45929.4496687037</v>
      </c>
      <c r="V5252" s="44">
        <v>45929.456150196755</v>
      </c>
      <c r="W5252" s="11"/>
      <c r="X5252" s="11"/>
      <c r="Y5252" s="45">
        <v>302.0</v>
      </c>
      <c r="Z5252" s="45" t="s">
        <v>21123</v>
      </c>
      <c r="AA5252" s="31"/>
      <c r="AB5252" s="45" t="s">
        <v>21124</v>
      </c>
      <c r="AC5252" s="45"/>
    </row>
    <row r="5253" ht="18.75" customHeight="1">
      <c r="A5253" s="18" t="s">
        <v>21125</v>
      </c>
      <c r="B5253" s="19" t="s">
        <v>16879</v>
      </c>
      <c r="C5253" s="20">
        <v>137.0</v>
      </c>
      <c r="D5253" s="39" t="s">
        <v>21126</v>
      </c>
      <c r="E5253" s="27" t="s">
        <v>85</v>
      </c>
      <c r="F5253" s="27" t="s">
        <v>48</v>
      </c>
      <c r="G5253" s="18" t="s">
        <v>35</v>
      </c>
      <c r="H5253" s="40" t="s">
        <v>35</v>
      </c>
      <c r="I5253" s="37" t="s">
        <v>36</v>
      </c>
      <c r="J5253" s="25" t="s">
        <v>49</v>
      </c>
      <c r="K5253" s="26" t="s">
        <v>16881</v>
      </c>
      <c r="L5253" s="25">
        <v>14005.0</v>
      </c>
      <c r="M5253" s="49" t="s">
        <v>73</v>
      </c>
      <c r="N5253" s="42" t="s">
        <v>17048</v>
      </c>
      <c r="O5253" s="67">
        <v>45929.712325092594</v>
      </c>
      <c r="P5253" s="35" t="s">
        <v>21118</v>
      </c>
      <c r="Q5253" s="13" t="s">
        <v>75</v>
      </c>
      <c r="R5253" s="13" t="s">
        <v>6028</v>
      </c>
      <c r="S5253" s="13" t="s">
        <v>73</v>
      </c>
      <c r="T5253" s="44">
        <v>45922.45383222222</v>
      </c>
      <c r="U5253" s="44">
        <v>45929.44970305555</v>
      </c>
      <c r="V5253" s="44">
        <v>45929.45621232639</v>
      </c>
      <c r="W5253" s="11"/>
      <c r="X5253" s="11"/>
      <c r="Y5253" s="45">
        <v>302.0</v>
      </c>
      <c r="Z5253" s="45" t="s">
        <v>21127</v>
      </c>
      <c r="AA5253" s="31"/>
      <c r="AB5253" s="45" t="s">
        <v>21128</v>
      </c>
      <c r="AC5253" s="45"/>
    </row>
    <row r="5254" ht="18.75" customHeight="1">
      <c r="A5254" s="18" t="s">
        <v>21129</v>
      </c>
      <c r="B5254" s="19" t="s">
        <v>16879</v>
      </c>
      <c r="C5254" s="20">
        <v>137.0</v>
      </c>
      <c r="D5254" s="39" t="s">
        <v>21130</v>
      </c>
      <c r="E5254" s="27" t="s">
        <v>85</v>
      </c>
      <c r="F5254" s="27" t="s">
        <v>48</v>
      </c>
      <c r="G5254" s="18" t="s">
        <v>35</v>
      </c>
      <c r="H5254" s="40" t="s">
        <v>35</v>
      </c>
      <c r="I5254" s="37" t="s">
        <v>36</v>
      </c>
      <c r="J5254" s="25" t="s">
        <v>49</v>
      </c>
      <c r="K5254" s="26" t="s">
        <v>16881</v>
      </c>
      <c r="L5254" s="25">
        <v>14005.0</v>
      </c>
      <c r="M5254" s="49" t="s">
        <v>73</v>
      </c>
      <c r="N5254" s="42" t="s">
        <v>17048</v>
      </c>
      <c r="O5254" s="67">
        <v>45929.71264237269</v>
      </c>
      <c r="P5254" s="35" t="s">
        <v>21118</v>
      </c>
      <c r="Q5254" s="13" t="s">
        <v>75</v>
      </c>
      <c r="R5254" s="13" t="s">
        <v>6028</v>
      </c>
      <c r="S5254" s="13" t="s">
        <v>73</v>
      </c>
      <c r="T5254" s="44">
        <v>45922.49552766204</v>
      </c>
      <c r="U5254" s="44">
        <v>45929.449740543976</v>
      </c>
      <c r="V5254" s="44">
        <v>45929.45629980324</v>
      </c>
      <c r="W5254" s="11"/>
      <c r="X5254" s="11"/>
      <c r="Y5254" s="45">
        <v>302.0</v>
      </c>
      <c r="Z5254" s="45" t="s">
        <v>21131</v>
      </c>
      <c r="AA5254" s="31"/>
      <c r="AB5254" s="45" t="s">
        <v>21132</v>
      </c>
      <c r="AC5254" s="45"/>
    </row>
    <row r="5255" ht="18.75" customHeight="1">
      <c r="A5255" s="18" t="s">
        <v>21133</v>
      </c>
      <c r="B5255" s="19" t="s">
        <v>16879</v>
      </c>
      <c r="C5255" s="20">
        <v>137.0</v>
      </c>
      <c r="D5255" s="39" t="s">
        <v>21134</v>
      </c>
      <c r="E5255" s="27" t="s">
        <v>85</v>
      </c>
      <c r="F5255" s="27" t="s">
        <v>48</v>
      </c>
      <c r="G5255" s="18" t="s">
        <v>35</v>
      </c>
      <c r="H5255" s="40" t="s">
        <v>35</v>
      </c>
      <c r="I5255" s="37" t="s">
        <v>36</v>
      </c>
      <c r="J5255" s="25" t="s">
        <v>49</v>
      </c>
      <c r="K5255" s="26" t="s">
        <v>16881</v>
      </c>
      <c r="L5255" s="72">
        <v>14005.0</v>
      </c>
      <c r="M5255" s="49" t="s">
        <v>73</v>
      </c>
      <c r="N5255" s="42" t="s">
        <v>17048</v>
      </c>
      <c r="O5255" s="67">
        <v>45929.7126950463</v>
      </c>
      <c r="P5255" s="35" t="s">
        <v>21118</v>
      </c>
      <c r="Q5255" s="13" t="s">
        <v>75</v>
      </c>
      <c r="R5255" s="13" t="s">
        <v>6028</v>
      </c>
      <c r="S5255" s="13" t="s">
        <v>73</v>
      </c>
      <c r="T5255" s="44">
        <v>45922.4539375</v>
      </c>
      <c r="U5255" s="44">
        <v>45929.4499612963</v>
      </c>
      <c r="V5255" s="44">
        <v>45929.45810224537</v>
      </c>
      <c r="W5255" s="11"/>
      <c r="X5255" s="11"/>
      <c r="Y5255" s="45">
        <v>302.0</v>
      </c>
      <c r="Z5255" s="45" t="s">
        <v>21135</v>
      </c>
      <c r="AA5255" s="31"/>
      <c r="AB5255" s="45" t="s">
        <v>21136</v>
      </c>
      <c r="AC5255" s="45"/>
    </row>
    <row r="5256" ht="18.75" customHeight="1">
      <c r="A5256" s="18" t="s">
        <v>21137</v>
      </c>
      <c r="B5256" s="19" t="s">
        <v>16879</v>
      </c>
      <c r="C5256" s="20">
        <v>137.0</v>
      </c>
      <c r="D5256" s="39" t="s">
        <v>21138</v>
      </c>
      <c r="E5256" s="27" t="s">
        <v>85</v>
      </c>
      <c r="F5256" s="27" t="s">
        <v>48</v>
      </c>
      <c r="G5256" s="18" t="s">
        <v>35</v>
      </c>
      <c r="H5256" s="40" t="s">
        <v>35</v>
      </c>
      <c r="I5256" s="37" t="s">
        <v>36</v>
      </c>
      <c r="J5256" s="25" t="s">
        <v>49</v>
      </c>
      <c r="K5256" s="26" t="s">
        <v>16881</v>
      </c>
      <c r="L5256" s="72">
        <v>14005.0</v>
      </c>
      <c r="M5256" s="49" t="s">
        <v>73</v>
      </c>
      <c r="N5256" s="42" t="s">
        <v>17048</v>
      </c>
      <c r="O5256" s="67">
        <v>45929.71274668982</v>
      </c>
      <c r="P5256" s="35" t="s">
        <v>21118</v>
      </c>
      <c r="Q5256" s="13" t="s">
        <v>75</v>
      </c>
      <c r="R5256" s="13" t="s">
        <v>6028</v>
      </c>
      <c r="S5256" s="13" t="s">
        <v>73</v>
      </c>
      <c r="T5256" s="44">
        <v>45922.45398802083</v>
      </c>
      <c r="U5256" s="44">
        <v>45929.45007694444</v>
      </c>
      <c r="V5256" s="44">
        <v>45929.458176064814</v>
      </c>
      <c r="W5256" s="11"/>
      <c r="X5256" s="11"/>
      <c r="Y5256" s="45">
        <v>302.0</v>
      </c>
      <c r="Z5256" s="45" t="s">
        <v>21139</v>
      </c>
      <c r="AA5256" s="31"/>
      <c r="AB5256" s="45" t="s">
        <v>21140</v>
      </c>
      <c r="AC5256" s="45"/>
    </row>
    <row r="5257" ht="18.75" customHeight="1">
      <c r="A5257" s="18" t="s">
        <v>21141</v>
      </c>
      <c r="B5257" s="19" t="s">
        <v>21142</v>
      </c>
      <c r="C5257" s="20">
        <v>90.0</v>
      </c>
      <c r="D5257" s="39" t="s">
        <v>21143</v>
      </c>
      <c r="E5257" s="27" t="s">
        <v>91</v>
      </c>
      <c r="F5257" s="27" t="s">
        <v>48</v>
      </c>
      <c r="G5257" s="18" t="s">
        <v>35</v>
      </c>
      <c r="H5257" s="40" t="s">
        <v>35</v>
      </c>
      <c r="I5257" s="37" t="s">
        <v>36</v>
      </c>
      <c r="J5257" s="25" t="s">
        <v>49</v>
      </c>
      <c r="K5257" s="26" t="s">
        <v>1184</v>
      </c>
      <c r="L5257" s="72">
        <v>13933.0</v>
      </c>
      <c r="M5257" s="49" t="s">
        <v>50</v>
      </c>
      <c r="N5257" s="42" t="s">
        <v>17048</v>
      </c>
      <c r="O5257" s="67">
        <v>45922.627775625</v>
      </c>
      <c r="P5257" s="35" t="s">
        <v>21144</v>
      </c>
      <c r="Q5257" s="13" t="s">
        <v>75</v>
      </c>
      <c r="R5257" s="13" t="s">
        <v>75</v>
      </c>
      <c r="S5257" s="13" t="s">
        <v>73</v>
      </c>
      <c r="T5257" s="44">
        <v>45922.45618503472</v>
      </c>
      <c r="U5257" s="44">
        <v>45922.488600069446</v>
      </c>
      <c r="V5257" s="44">
        <v>45922.5531075926</v>
      </c>
      <c r="W5257" s="11"/>
      <c r="X5257" s="11"/>
      <c r="Y5257" s="45">
        <v>302.0</v>
      </c>
      <c r="Z5257" s="45" t="s">
        <v>21145</v>
      </c>
      <c r="AA5257" s="31"/>
      <c r="AB5257" s="45" t="s">
        <v>21146</v>
      </c>
      <c r="AC5257" s="45"/>
    </row>
    <row r="5258" ht="18.75" customHeight="1">
      <c r="A5258" s="18" t="s">
        <v>21147</v>
      </c>
      <c r="B5258" s="19" t="s">
        <v>21142</v>
      </c>
      <c r="C5258" s="20">
        <v>90.0</v>
      </c>
      <c r="D5258" s="39" t="s">
        <v>21148</v>
      </c>
      <c r="E5258" s="27" t="s">
        <v>91</v>
      </c>
      <c r="F5258" s="27" t="s">
        <v>48</v>
      </c>
      <c r="G5258" s="18" t="s">
        <v>35</v>
      </c>
      <c r="H5258" s="40" t="s">
        <v>35</v>
      </c>
      <c r="I5258" s="37" t="s">
        <v>36</v>
      </c>
      <c r="J5258" s="25" t="s">
        <v>49</v>
      </c>
      <c r="K5258" s="26" t="s">
        <v>1184</v>
      </c>
      <c r="L5258" s="72">
        <v>13933.0</v>
      </c>
      <c r="M5258" s="49" t="s">
        <v>50</v>
      </c>
      <c r="N5258" s="42" t="s">
        <v>17048</v>
      </c>
      <c r="O5258" s="67">
        <v>45922.62782612268</v>
      </c>
      <c r="P5258" s="35" t="s">
        <v>21144</v>
      </c>
      <c r="Q5258" s="13" t="s">
        <v>75</v>
      </c>
      <c r="R5258" s="13" t="s">
        <v>75</v>
      </c>
      <c r="S5258" s="13" t="s">
        <v>73</v>
      </c>
      <c r="T5258" s="44">
        <v>45922.45630851852</v>
      </c>
      <c r="U5258" s="44">
        <v>45922.48868108796</v>
      </c>
      <c r="V5258" s="44">
        <v>45922.55316304398</v>
      </c>
      <c r="W5258" s="11"/>
      <c r="X5258" s="11"/>
      <c r="Y5258" s="45">
        <v>302.0</v>
      </c>
      <c r="Z5258" s="45" t="s">
        <v>21149</v>
      </c>
      <c r="AA5258" s="31"/>
      <c r="AB5258" s="45" t="s">
        <v>21150</v>
      </c>
      <c r="AC5258" s="45"/>
    </row>
    <row r="5259" ht="18.75" customHeight="1">
      <c r="A5259" s="142" t="s">
        <v>21151</v>
      </c>
      <c r="B5259" s="19" t="s">
        <v>4293</v>
      </c>
      <c r="C5259" s="20">
        <v>137.0</v>
      </c>
      <c r="D5259" s="39" t="s">
        <v>21152</v>
      </c>
      <c r="E5259" s="27" t="s">
        <v>85</v>
      </c>
      <c r="F5259" s="27" t="s">
        <v>48</v>
      </c>
      <c r="G5259" s="18" t="s">
        <v>35</v>
      </c>
      <c r="H5259" s="40" t="s">
        <v>35</v>
      </c>
      <c r="I5259" s="37" t="s">
        <v>36</v>
      </c>
      <c r="J5259" s="25" t="s">
        <v>65</v>
      </c>
      <c r="K5259" s="26" t="s">
        <v>38</v>
      </c>
      <c r="L5259" s="72">
        <v>13934.0</v>
      </c>
      <c r="M5259" s="49" t="s">
        <v>50</v>
      </c>
      <c r="N5259" s="42" t="s">
        <v>16408</v>
      </c>
      <c r="O5259" s="67">
        <v>45922.62745570602</v>
      </c>
      <c r="P5259" s="35" t="s">
        <v>21153</v>
      </c>
      <c r="Q5259" s="13" t="s">
        <v>75</v>
      </c>
      <c r="R5259" s="13" t="s">
        <v>75</v>
      </c>
      <c r="S5259" s="13" t="s">
        <v>73</v>
      </c>
      <c r="T5259" s="44">
        <v>45922.45486305555</v>
      </c>
      <c r="U5259" s="44">
        <v>45922.5007162963</v>
      </c>
      <c r="V5259" s="44">
        <v>45922.54752548611</v>
      </c>
      <c r="W5259" s="11"/>
      <c r="X5259" s="11"/>
      <c r="Y5259" s="45">
        <v>302.0</v>
      </c>
      <c r="Z5259" s="45" t="s">
        <v>21154</v>
      </c>
      <c r="AA5259" s="31"/>
      <c r="AB5259" s="45" t="s">
        <v>21155</v>
      </c>
      <c r="AC5259" s="45"/>
    </row>
    <row r="5260" ht="18.75" customHeight="1">
      <c r="A5260" s="142" t="s">
        <v>21156</v>
      </c>
      <c r="B5260" s="19" t="s">
        <v>7703</v>
      </c>
      <c r="C5260" s="20">
        <v>90.0</v>
      </c>
      <c r="D5260" s="39" t="s">
        <v>21157</v>
      </c>
      <c r="E5260" s="27" t="s">
        <v>91</v>
      </c>
      <c r="F5260" s="27" t="s">
        <v>48</v>
      </c>
      <c r="G5260" s="18" t="s">
        <v>35</v>
      </c>
      <c r="H5260" s="40" t="s">
        <v>35</v>
      </c>
      <c r="I5260" s="37" t="s">
        <v>36</v>
      </c>
      <c r="J5260" s="25" t="s">
        <v>65</v>
      </c>
      <c r="K5260" s="26" t="s">
        <v>38</v>
      </c>
      <c r="L5260" s="25">
        <v>13970.0</v>
      </c>
      <c r="M5260" s="49" t="s">
        <v>50</v>
      </c>
      <c r="N5260" s="42" t="s">
        <v>16408</v>
      </c>
      <c r="O5260" s="67">
        <v>45925.64641386574</v>
      </c>
      <c r="P5260" s="35" t="s">
        <v>21158</v>
      </c>
      <c r="Q5260" s="13" t="s">
        <v>75</v>
      </c>
      <c r="R5260" s="13" t="s">
        <v>75</v>
      </c>
      <c r="S5260" s="13" t="s">
        <v>73</v>
      </c>
      <c r="T5260" s="44">
        <v>45922.46270842593</v>
      </c>
      <c r="U5260" s="44">
        <v>45925.407933333336</v>
      </c>
      <c r="V5260" s="44">
        <v>45925.464206840275</v>
      </c>
      <c r="W5260" s="11"/>
      <c r="X5260" s="11"/>
      <c r="Y5260" s="45">
        <v>302.0</v>
      </c>
      <c r="Z5260" s="45" t="s">
        <v>21159</v>
      </c>
      <c r="AA5260" s="31"/>
      <c r="AB5260" s="45" t="s">
        <v>21160</v>
      </c>
      <c r="AC5260" s="45"/>
    </row>
    <row r="5261" ht="18.75" customHeight="1">
      <c r="A5261" s="142" t="s">
        <v>21161</v>
      </c>
      <c r="B5261" s="19" t="s">
        <v>96</v>
      </c>
      <c r="C5261" s="20">
        <v>0.0</v>
      </c>
      <c r="D5261" s="179">
        <v>20330.0</v>
      </c>
      <c r="E5261" s="27" t="s">
        <v>17089</v>
      </c>
      <c r="F5261" s="27" t="s">
        <v>48</v>
      </c>
      <c r="G5261" s="18" t="s">
        <v>34</v>
      </c>
      <c r="H5261" s="40" t="s">
        <v>35</v>
      </c>
      <c r="I5261" s="37" t="s">
        <v>36</v>
      </c>
      <c r="J5261" s="25" t="s">
        <v>49</v>
      </c>
      <c r="K5261" s="26" t="s">
        <v>38</v>
      </c>
      <c r="L5261" s="25">
        <v>14190.0</v>
      </c>
      <c r="M5261" s="49" t="s">
        <v>50</v>
      </c>
      <c r="N5261" s="42" t="s">
        <v>9953</v>
      </c>
      <c r="O5261" s="67">
        <v>45950.65371261574</v>
      </c>
      <c r="P5261" s="35" t="s">
        <v>21162</v>
      </c>
      <c r="Q5261" s="13" t="s">
        <v>75</v>
      </c>
      <c r="R5261" s="13" t="s">
        <v>75</v>
      </c>
      <c r="S5261" s="13" t="s">
        <v>9620</v>
      </c>
      <c r="T5261" s="44">
        <v>45922.460714050925</v>
      </c>
      <c r="U5261" s="44">
        <v>45922.484390983795</v>
      </c>
      <c r="V5261" s="44">
        <v>45946.72033123842</v>
      </c>
      <c r="W5261" s="11"/>
      <c r="X5261" s="11"/>
      <c r="Y5261" s="45">
        <v>302.0</v>
      </c>
      <c r="Z5261" s="45" t="s">
        <v>21163</v>
      </c>
      <c r="AA5261" s="31"/>
      <c r="AB5261" s="45" t="s">
        <v>21164</v>
      </c>
      <c r="AC5261" s="45"/>
    </row>
    <row r="5262" ht="18.75" customHeight="1">
      <c r="A5262" s="142" t="s">
        <v>21165</v>
      </c>
      <c r="B5262" s="19" t="s">
        <v>96</v>
      </c>
      <c r="C5262" s="20">
        <v>0.0</v>
      </c>
      <c r="D5262" s="178" t="s">
        <v>21166</v>
      </c>
      <c r="E5262" s="27" t="s">
        <v>98</v>
      </c>
      <c r="F5262" s="27" t="s">
        <v>33</v>
      </c>
      <c r="G5262" s="18" t="s">
        <v>34</v>
      </c>
      <c r="H5262" s="40" t="s">
        <v>35</v>
      </c>
      <c r="I5262" s="37" t="s">
        <v>36</v>
      </c>
      <c r="J5262" s="25" t="s">
        <v>49</v>
      </c>
      <c r="K5262" s="26" t="s">
        <v>38</v>
      </c>
      <c r="L5262" s="25">
        <v>13979.0</v>
      </c>
      <c r="M5262" s="49" t="s">
        <v>50</v>
      </c>
      <c r="N5262" s="42" t="s">
        <v>17048</v>
      </c>
      <c r="O5262" s="67">
        <v>45926.593240069444</v>
      </c>
      <c r="P5262" s="35" t="s">
        <v>21167</v>
      </c>
      <c r="Q5262" s="13" t="s">
        <v>75</v>
      </c>
      <c r="R5262" s="13" t="s">
        <v>75</v>
      </c>
      <c r="S5262" s="13" t="s">
        <v>9620</v>
      </c>
      <c r="T5262" s="44">
        <v>45922.46619770833</v>
      </c>
      <c r="U5262" s="44">
        <v>45922.58347729167</v>
      </c>
      <c r="V5262" s="44">
        <v>45925.53895054398</v>
      </c>
      <c r="W5262" s="11"/>
      <c r="X5262" s="11"/>
      <c r="Y5262" s="45">
        <v>302.0</v>
      </c>
      <c r="Z5262" s="45" t="s">
        <v>21168</v>
      </c>
      <c r="AA5262" s="31"/>
      <c r="AB5262" s="45" t="s">
        <v>21169</v>
      </c>
      <c r="AC5262" s="45"/>
    </row>
    <row r="5263" ht="18.75" customHeight="1">
      <c r="A5263" s="142" t="s">
        <v>21170</v>
      </c>
      <c r="B5263" s="19" t="s">
        <v>5674</v>
      </c>
      <c r="C5263" s="20">
        <v>137.0</v>
      </c>
      <c r="D5263" s="39" t="s">
        <v>21171</v>
      </c>
      <c r="E5263" s="27" t="s">
        <v>85</v>
      </c>
      <c r="F5263" s="27" t="s">
        <v>48</v>
      </c>
      <c r="G5263" s="18" t="s">
        <v>35</v>
      </c>
      <c r="H5263" s="40" t="s">
        <v>35</v>
      </c>
      <c r="I5263" s="37" t="s">
        <v>36</v>
      </c>
      <c r="J5263" s="25" t="s">
        <v>65</v>
      </c>
      <c r="K5263" s="26" t="s">
        <v>38</v>
      </c>
      <c r="L5263" s="72">
        <v>13948.0</v>
      </c>
      <c r="M5263" s="49" t="s">
        <v>50</v>
      </c>
      <c r="N5263" s="42" t="s">
        <v>16408</v>
      </c>
      <c r="O5263" s="67">
        <v>45923.68131613426</v>
      </c>
      <c r="P5263" s="35" t="s">
        <v>21172</v>
      </c>
      <c r="Q5263" s="13" t="s">
        <v>75</v>
      </c>
      <c r="R5263" s="13" t="s">
        <v>75</v>
      </c>
      <c r="S5263" s="13" t="s">
        <v>73</v>
      </c>
      <c r="T5263" s="44">
        <v>45922.56760667824</v>
      </c>
      <c r="U5263" s="44">
        <v>45922.64139849537</v>
      </c>
      <c r="V5263" s="44">
        <v>45923.40840565972</v>
      </c>
      <c r="W5263" s="11"/>
      <c r="X5263" s="11"/>
      <c r="Y5263" s="45">
        <v>302.0</v>
      </c>
      <c r="Z5263" s="45" t="s">
        <v>21173</v>
      </c>
      <c r="AA5263" s="31"/>
      <c r="AB5263" s="45" t="s">
        <v>21174</v>
      </c>
      <c r="AC5263" s="45"/>
    </row>
    <row r="5264" ht="18.75" customHeight="1">
      <c r="A5264" s="142" t="s">
        <v>21175</v>
      </c>
      <c r="B5264" s="19" t="s">
        <v>4941</v>
      </c>
      <c r="C5264" s="20">
        <v>0.0</v>
      </c>
      <c r="D5264" s="39" t="s">
        <v>21176</v>
      </c>
      <c r="E5264" s="27" t="s">
        <v>3441</v>
      </c>
      <c r="F5264" s="27" t="s">
        <v>48</v>
      </c>
      <c r="G5264" s="18" t="s">
        <v>35</v>
      </c>
      <c r="H5264" s="40" t="s">
        <v>35</v>
      </c>
      <c r="I5264" s="37" t="s">
        <v>36</v>
      </c>
      <c r="J5264" s="25" t="s">
        <v>92</v>
      </c>
      <c r="K5264" s="26" t="s">
        <v>38</v>
      </c>
      <c r="L5264" s="72">
        <v>13938.0</v>
      </c>
      <c r="M5264" s="49" t="s">
        <v>50</v>
      </c>
      <c r="N5264" s="42" t="s">
        <v>19238</v>
      </c>
      <c r="O5264" s="67">
        <v>45923.3963971412</v>
      </c>
      <c r="P5264" s="35" t="s">
        <v>21177</v>
      </c>
      <c r="Q5264" s="13" t="s">
        <v>75</v>
      </c>
      <c r="R5264" s="13" t="s">
        <v>75</v>
      </c>
      <c r="S5264" s="13" t="s">
        <v>73</v>
      </c>
      <c r="T5264" s="44">
        <v>45923.38822886574</v>
      </c>
      <c r="U5264" s="44">
        <v>45923.38824024306</v>
      </c>
      <c r="V5264" s="44">
        <v>45923.39169070602</v>
      </c>
      <c r="W5264" s="11"/>
      <c r="X5264" s="11"/>
      <c r="Y5264" s="45">
        <v>302.0</v>
      </c>
      <c r="Z5264" s="45" t="s">
        <v>21178</v>
      </c>
      <c r="AA5264" s="31"/>
      <c r="AB5264" s="45" t="s">
        <v>21179</v>
      </c>
      <c r="AC5264" s="45"/>
    </row>
    <row r="5265" ht="18.75" customHeight="1">
      <c r="A5265" s="142" t="s">
        <v>21180</v>
      </c>
      <c r="B5265" s="19" t="s">
        <v>18090</v>
      </c>
      <c r="C5265" s="20">
        <v>137.0</v>
      </c>
      <c r="D5265" s="39" t="s">
        <v>21181</v>
      </c>
      <c r="E5265" s="27" t="s">
        <v>85</v>
      </c>
      <c r="F5265" s="27" t="s">
        <v>48</v>
      </c>
      <c r="G5265" s="18" t="s">
        <v>35</v>
      </c>
      <c r="H5265" s="40" t="s">
        <v>35</v>
      </c>
      <c r="I5265" s="37" t="s">
        <v>36</v>
      </c>
      <c r="J5265" s="25" t="s">
        <v>65</v>
      </c>
      <c r="K5265" s="26" t="s">
        <v>38</v>
      </c>
      <c r="L5265" s="72">
        <v>13949.0</v>
      </c>
      <c r="M5265" s="49" t="s">
        <v>50</v>
      </c>
      <c r="N5265" s="42" t="s">
        <v>16408</v>
      </c>
      <c r="O5265" s="67">
        <v>45923.681495428245</v>
      </c>
      <c r="P5265" s="35" t="s">
        <v>21182</v>
      </c>
      <c r="Q5265" s="13" t="s">
        <v>75</v>
      </c>
      <c r="R5265" s="13" t="s">
        <v>75</v>
      </c>
      <c r="S5265" s="13" t="s">
        <v>73</v>
      </c>
      <c r="T5265" s="44">
        <v>45922.570271585646</v>
      </c>
      <c r="U5265" s="44">
        <v>45922.63660109954</v>
      </c>
      <c r="V5265" s="44">
        <v>45923.40827644676</v>
      </c>
      <c r="W5265" s="11"/>
      <c r="X5265" s="11"/>
      <c r="Y5265" s="45">
        <v>302.0</v>
      </c>
      <c r="Z5265" s="45" t="s">
        <v>21183</v>
      </c>
      <c r="AA5265" s="31"/>
      <c r="AB5265" s="45" t="s">
        <v>21184</v>
      </c>
      <c r="AC5265" s="45"/>
    </row>
    <row r="5266" ht="18.75" customHeight="1">
      <c r="A5266" s="142" t="s">
        <v>21185</v>
      </c>
      <c r="B5266" s="19" t="s">
        <v>4035</v>
      </c>
      <c r="C5266" s="20">
        <v>137.0</v>
      </c>
      <c r="D5266" s="39" t="s">
        <v>21186</v>
      </c>
      <c r="E5266" s="27" t="s">
        <v>85</v>
      </c>
      <c r="F5266" s="27" t="s">
        <v>48</v>
      </c>
      <c r="G5266" s="18" t="s">
        <v>35</v>
      </c>
      <c r="H5266" s="40" t="s">
        <v>35</v>
      </c>
      <c r="I5266" s="37" t="s">
        <v>36</v>
      </c>
      <c r="J5266" s="25" t="s">
        <v>65</v>
      </c>
      <c r="K5266" s="26" t="s">
        <v>38</v>
      </c>
      <c r="L5266" s="72">
        <v>13950.0</v>
      </c>
      <c r="M5266" s="49" t="s">
        <v>50</v>
      </c>
      <c r="N5266" s="42" t="s">
        <v>16408</v>
      </c>
      <c r="O5266" s="67">
        <v>45923.68154609954</v>
      </c>
      <c r="P5266" s="35" t="s">
        <v>15829</v>
      </c>
      <c r="Q5266" s="13" t="s">
        <v>75</v>
      </c>
      <c r="R5266" s="13" t="s">
        <v>75</v>
      </c>
      <c r="S5266" s="13" t="s">
        <v>73</v>
      </c>
      <c r="T5266" s="44">
        <v>45922.571682615744</v>
      </c>
      <c r="U5266" s="44">
        <v>45922.63702603009</v>
      </c>
      <c r="V5266" s="44">
        <v>45923.408335555556</v>
      </c>
      <c r="W5266" s="11"/>
      <c r="X5266" s="11"/>
      <c r="Y5266" s="45">
        <v>302.0</v>
      </c>
      <c r="Z5266" s="45" t="s">
        <v>21187</v>
      </c>
      <c r="AA5266" s="31"/>
      <c r="AB5266" s="45" t="s">
        <v>21188</v>
      </c>
      <c r="AC5266" s="45"/>
    </row>
    <row r="5267" ht="18.75" customHeight="1">
      <c r="A5267" s="142" t="s">
        <v>21189</v>
      </c>
      <c r="B5267" s="19" t="s">
        <v>20491</v>
      </c>
      <c r="C5267" s="20">
        <v>137.0</v>
      </c>
      <c r="D5267" s="39" t="s">
        <v>21190</v>
      </c>
      <c r="E5267" s="27" t="s">
        <v>85</v>
      </c>
      <c r="F5267" s="27" t="s">
        <v>48</v>
      </c>
      <c r="G5267" s="18" t="s">
        <v>35</v>
      </c>
      <c r="H5267" s="40" t="s">
        <v>35</v>
      </c>
      <c r="I5267" s="37" t="s">
        <v>36</v>
      </c>
      <c r="J5267" s="25" t="s">
        <v>49</v>
      </c>
      <c r="K5267" s="26" t="s">
        <v>38</v>
      </c>
      <c r="L5267" s="72">
        <v>13945.0</v>
      </c>
      <c r="M5267" s="49" t="s">
        <v>50</v>
      </c>
      <c r="N5267" s="42" t="s">
        <v>17048</v>
      </c>
      <c r="O5267" s="67">
        <v>45923.68202497685</v>
      </c>
      <c r="P5267" s="35" t="s">
        <v>14372</v>
      </c>
      <c r="Q5267" s="13" t="s">
        <v>75</v>
      </c>
      <c r="R5267" s="13" t="s">
        <v>75</v>
      </c>
      <c r="S5267" s="13" t="s">
        <v>73</v>
      </c>
      <c r="T5267" s="44">
        <v>45922.57264068287</v>
      </c>
      <c r="U5267" s="44">
        <v>45922.588248078704</v>
      </c>
      <c r="V5267" s="44">
        <v>45923.43497002315</v>
      </c>
      <c r="W5267" s="11"/>
      <c r="X5267" s="11"/>
      <c r="Y5267" s="45">
        <v>302.0</v>
      </c>
      <c r="Z5267" s="45" t="s">
        <v>21191</v>
      </c>
      <c r="AA5267" s="31"/>
      <c r="AB5267" s="45" t="s">
        <v>21192</v>
      </c>
      <c r="AC5267" s="45"/>
    </row>
    <row r="5268" ht="18.75" customHeight="1">
      <c r="A5268" s="142" t="s">
        <v>21193</v>
      </c>
      <c r="B5268" s="19" t="s">
        <v>9674</v>
      </c>
      <c r="C5268" s="20">
        <v>0.0</v>
      </c>
      <c r="D5268" s="39" t="s">
        <v>21194</v>
      </c>
      <c r="E5268" s="27" t="s">
        <v>3441</v>
      </c>
      <c r="F5268" s="27" t="s">
        <v>48</v>
      </c>
      <c r="G5268" s="18" t="s">
        <v>35</v>
      </c>
      <c r="H5268" s="40" t="s">
        <v>35</v>
      </c>
      <c r="I5268" s="37" t="s">
        <v>36</v>
      </c>
      <c r="J5268" s="25" t="s">
        <v>49</v>
      </c>
      <c r="K5268" s="26" t="s">
        <v>38</v>
      </c>
      <c r="L5268" s="72">
        <v>13946.0</v>
      </c>
      <c r="M5268" s="49" t="s">
        <v>50</v>
      </c>
      <c r="N5268" s="42" t="s">
        <v>17048</v>
      </c>
      <c r="O5268" s="67">
        <v>45923.68215165509</v>
      </c>
      <c r="P5268" s="35" t="s">
        <v>15666</v>
      </c>
      <c r="Q5268" s="13" t="s">
        <v>75</v>
      </c>
      <c r="R5268" s="13" t="s">
        <v>75</v>
      </c>
      <c r="S5268" s="13" t="s">
        <v>73</v>
      </c>
      <c r="T5268" s="44">
        <v>45922.57566290509</v>
      </c>
      <c r="U5268" s="44">
        <v>45922.644794328706</v>
      </c>
      <c r="V5268" s="44">
        <v>45923.434903333335</v>
      </c>
      <c r="W5268" s="11"/>
      <c r="X5268" s="11"/>
      <c r="Y5268" s="45">
        <v>302.0</v>
      </c>
      <c r="Z5268" s="45" t="s">
        <v>21195</v>
      </c>
      <c r="AA5268" s="31"/>
      <c r="AB5268" s="45" t="s">
        <v>21196</v>
      </c>
      <c r="AC5268" s="45"/>
    </row>
    <row r="5269" ht="18.75" customHeight="1">
      <c r="A5269" s="142" t="s">
        <v>21197</v>
      </c>
      <c r="B5269" s="19" t="s">
        <v>9399</v>
      </c>
      <c r="C5269" s="20">
        <v>137.0</v>
      </c>
      <c r="D5269" s="39" t="s">
        <v>21198</v>
      </c>
      <c r="E5269" s="27" t="s">
        <v>85</v>
      </c>
      <c r="F5269" s="27" t="s">
        <v>48</v>
      </c>
      <c r="G5269" s="18" t="s">
        <v>35</v>
      </c>
      <c r="H5269" s="40" t="s">
        <v>35</v>
      </c>
      <c r="I5269" s="37" t="s">
        <v>36</v>
      </c>
      <c r="J5269" s="25" t="s">
        <v>65</v>
      </c>
      <c r="K5269" s="26" t="s">
        <v>38</v>
      </c>
      <c r="L5269" s="25">
        <v>13954.0</v>
      </c>
      <c r="M5269" s="49" t="s">
        <v>50</v>
      </c>
      <c r="N5269" s="42" t="s">
        <v>16408</v>
      </c>
      <c r="O5269" s="67">
        <v>45923.681591643515</v>
      </c>
      <c r="P5269" s="35" t="s">
        <v>21199</v>
      </c>
      <c r="Q5269" s="13" t="s">
        <v>75</v>
      </c>
      <c r="R5269" s="13" t="s">
        <v>75</v>
      </c>
      <c r="S5269" s="13" t="s">
        <v>73</v>
      </c>
      <c r="T5269" s="44">
        <v>45922.57907543982</v>
      </c>
      <c r="U5269" s="44">
        <v>45923.560170613426</v>
      </c>
      <c r="V5269" s="44">
        <v>45923.57796097222</v>
      </c>
      <c r="W5269" s="11"/>
      <c r="X5269" s="11"/>
      <c r="Y5269" s="45">
        <v>302.0</v>
      </c>
      <c r="Z5269" s="45" t="s">
        <v>21200</v>
      </c>
      <c r="AA5269" s="31"/>
      <c r="AB5269" s="45" t="s">
        <v>21201</v>
      </c>
      <c r="AC5269" s="45"/>
    </row>
    <row r="5270" ht="18.75" customHeight="1">
      <c r="A5270" s="142" t="s">
        <v>21202</v>
      </c>
      <c r="B5270" s="19" t="s">
        <v>4901</v>
      </c>
      <c r="C5270" s="20">
        <v>34.0</v>
      </c>
      <c r="D5270" s="39"/>
      <c r="E5270" s="27" t="s">
        <v>47</v>
      </c>
      <c r="F5270" s="27" t="s">
        <v>48</v>
      </c>
      <c r="G5270" s="18" t="s">
        <v>35</v>
      </c>
      <c r="H5270" s="40" t="s">
        <v>35</v>
      </c>
      <c r="I5270" s="37" t="s">
        <v>17277</v>
      </c>
      <c r="J5270" s="25" t="s">
        <v>49</v>
      </c>
      <c r="K5270" s="26" t="s">
        <v>11095</v>
      </c>
      <c r="L5270" s="25"/>
      <c r="M5270" s="49"/>
      <c r="N5270" s="42"/>
      <c r="O5270" s="68"/>
      <c r="P5270" s="35" t="s">
        <v>15666</v>
      </c>
      <c r="Q5270" s="13" t="s">
        <v>75</v>
      </c>
      <c r="R5270" s="13"/>
      <c r="S5270" s="13"/>
      <c r="T5270" s="44">
        <v>45922.58102486111</v>
      </c>
      <c r="U5270" s="13"/>
      <c r="V5270" s="13"/>
      <c r="W5270" s="11"/>
      <c r="X5270" s="11"/>
      <c r="Y5270" s="45"/>
      <c r="Z5270" s="45"/>
      <c r="AA5270" s="31"/>
      <c r="AB5270" s="45" t="s">
        <v>21203</v>
      </c>
      <c r="AC5270" s="45"/>
    </row>
    <row r="5271" ht="18.75" customHeight="1">
      <c r="A5271" s="142" t="s">
        <v>21204</v>
      </c>
      <c r="B5271" s="19" t="s">
        <v>19415</v>
      </c>
      <c r="C5271" s="20">
        <v>0.0</v>
      </c>
      <c r="D5271" s="39" t="s">
        <v>21205</v>
      </c>
      <c r="E5271" s="27" t="s">
        <v>3441</v>
      </c>
      <c r="F5271" s="27" t="s">
        <v>48</v>
      </c>
      <c r="G5271" s="18" t="s">
        <v>35</v>
      </c>
      <c r="H5271" s="40" t="s">
        <v>35</v>
      </c>
      <c r="I5271" s="37" t="s">
        <v>36</v>
      </c>
      <c r="J5271" s="25" t="s">
        <v>21206</v>
      </c>
      <c r="K5271" s="26" t="s">
        <v>38</v>
      </c>
      <c r="L5271" s="25">
        <v>13964.0</v>
      </c>
      <c r="M5271" s="49" t="s">
        <v>15811</v>
      </c>
      <c r="N5271" s="42"/>
      <c r="O5271" s="67">
        <v>45924.628695949075</v>
      </c>
      <c r="P5271" s="35" t="s">
        <v>21207</v>
      </c>
      <c r="Q5271" s="13" t="s">
        <v>75</v>
      </c>
      <c r="R5271" s="13" t="s">
        <v>75</v>
      </c>
      <c r="S5271" s="13" t="s">
        <v>75</v>
      </c>
      <c r="T5271" s="44">
        <v>45923.39529721065</v>
      </c>
      <c r="U5271" s="44">
        <v>45924.628695949075</v>
      </c>
      <c r="V5271" s="44">
        <v>45924.628695949075</v>
      </c>
      <c r="W5271" s="11"/>
      <c r="X5271" s="11"/>
      <c r="Y5271" s="45"/>
      <c r="Z5271" s="45"/>
      <c r="AA5271" s="31"/>
      <c r="AB5271" s="45" t="s">
        <v>21208</v>
      </c>
      <c r="AC5271" s="45"/>
    </row>
    <row r="5272" ht="18.75" customHeight="1">
      <c r="A5272" s="142" t="s">
        <v>21209</v>
      </c>
      <c r="B5272" s="19" t="s">
        <v>16563</v>
      </c>
      <c r="C5272" s="20">
        <v>137.0</v>
      </c>
      <c r="D5272" s="39" t="s">
        <v>21210</v>
      </c>
      <c r="E5272" s="27" t="s">
        <v>85</v>
      </c>
      <c r="F5272" s="27" t="s">
        <v>48</v>
      </c>
      <c r="G5272" s="18" t="s">
        <v>35</v>
      </c>
      <c r="H5272" s="40" t="s">
        <v>35</v>
      </c>
      <c r="I5272" s="37" t="s">
        <v>36</v>
      </c>
      <c r="J5272" s="25" t="s">
        <v>65</v>
      </c>
      <c r="K5272" s="26" t="s">
        <v>38</v>
      </c>
      <c r="L5272" s="72">
        <v>13951.0</v>
      </c>
      <c r="M5272" s="49" t="s">
        <v>50</v>
      </c>
      <c r="N5272" s="42" t="s">
        <v>16408</v>
      </c>
      <c r="O5272" s="67">
        <v>45923.68163802083</v>
      </c>
      <c r="P5272" s="35" t="s">
        <v>15829</v>
      </c>
      <c r="Q5272" s="13" t="s">
        <v>75</v>
      </c>
      <c r="R5272" s="13" t="s">
        <v>75</v>
      </c>
      <c r="S5272" s="13" t="s">
        <v>73</v>
      </c>
      <c r="T5272" s="44">
        <v>45922.67871960648</v>
      </c>
      <c r="U5272" s="44">
        <v>45922.687123194446</v>
      </c>
      <c r="V5272" s="44">
        <v>45923.408466134264</v>
      </c>
      <c r="W5272" s="11"/>
      <c r="X5272" s="11"/>
      <c r="Y5272" s="45">
        <v>302.0</v>
      </c>
      <c r="Z5272" s="45" t="s">
        <v>21211</v>
      </c>
      <c r="AA5272" s="31"/>
      <c r="AB5272" s="45" t="s">
        <v>21212</v>
      </c>
      <c r="AC5272" s="45"/>
    </row>
    <row r="5273" ht="18.75" customHeight="1">
      <c r="A5273" s="142" t="s">
        <v>21213</v>
      </c>
      <c r="B5273" s="19" t="s">
        <v>4472</v>
      </c>
      <c r="C5273" s="20">
        <v>0.0</v>
      </c>
      <c r="D5273" s="179">
        <v>20323.0</v>
      </c>
      <c r="E5273" s="27" t="s">
        <v>268</v>
      </c>
      <c r="F5273" s="27" t="s">
        <v>33</v>
      </c>
      <c r="G5273" s="18" t="s">
        <v>35</v>
      </c>
      <c r="H5273" s="40" t="s">
        <v>35</v>
      </c>
      <c r="I5273" s="37" t="s">
        <v>36</v>
      </c>
      <c r="J5273" s="25" t="s">
        <v>49</v>
      </c>
      <c r="K5273" s="26" t="s">
        <v>38</v>
      </c>
      <c r="L5273" s="25">
        <v>13980.0</v>
      </c>
      <c r="M5273" s="49" t="s">
        <v>50</v>
      </c>
      <c r="N5273" s="42" t="s">
        <v>17048</v>
      </c>
      <c r="O5273" s="67">
        <v>45926.59330028935</v>
      </c>
      <c r="P5273" s="35" t="s">
        <v>21214</v>
      </c>
      <c r="Q5273" s="13" t="s">
        <v>75</v>
      </c>
      <c r="R5273" s="13" t="s">
        <v>6028</v>
      </c>
      <c r="S5273" s="13" t="s">
        <v>9620</v>
      </c>
      <c r="T5273" s="44">
        <v>45923.672490509256</v>
      </c>
      <c r="U5273" s="44">
        <v>45923.67333856481</v>
      </c>
      <c r="V5273" s="44">
        <v>45925.60006149305</v>
      </c>
      <c r="W5273" s="11"/>
      <c r="X5273" s="11"/>
      <c r="Y5273" s="45">
        <v>302.0</v>
      </c>
      <c r="Z5273" s="45" t="s">
        <v>21215</v>
      </c>
      <c r="AA5273" s="31"/>
      <c r="AB5273" s="45" t="s">
        <v>21216</v>
      </c>
      <c r="AC5273" s="45"/>
    </row>
    <row r="5274" ht="18.75" customHeight="1">
      <c r="A5274" s="142" t="s">
        <v>21217</v>
      </c>
      <c r="B5274" s="19" t="s">
        <v>8666</v>
      </c>
      <c r="C5274" s="20">
        <v>137.0</v>
      </c>
      <c r="D5274" s="39" t="s">
        <v>21218</v>
      </c>
      <c r="E5274" s="27" t="s">
        <v>85</v>
      </c>
      <c r="F5274" s="27" t="s">
        <v>48</v>
      </c>
      <c r="G5274" s="18" t="s">
        <v>35</v>
      </c>
      <c r="H5274" s="40" t="s">
        <v>35</v>
      </c>
      <c r="I5274" s="37" t="s">
        <v>36</v>
      </c>
      <c r="J5274" s="25" t="s">
        <v>49</v>
      </c>
      <c r="K5274" s="26" t="s">
        <v>38</v>
      </c>
      <c r="L5274" s="25">
        <v>14029.0</v>
      </c>
      <c r="M5274" s="49" t="s">
        <v>50</v>
      </c>
      <c r="N5274" s="42" t="s">
        <v>17048</v>
      </c>
      <c r="O5274" s="67">
        <v>45931.6599515625</v>
      </c>
      <c r="P5274" s="35" t="s">
        <v>21219</v>
      </c>
      <c r="Q5274" s="13" t="s">
        <v>75</v>
      </c>
      <c r="R5274" s="13" t="s">
        <v>75</v>
      </c>
      <c r="S5274" s="13" t="s">
        <v>73</v>
      </c>
      <c r="T5274" s="44">
        <v>45923.7122790162</v>
      </c>
      <c r="U5274" s="44">
        <v>45930.630388668986</v>
      </c>
      <c r="V5274" s="44">
        <v>45931.37891825232</v>
      </c>
      <c r="W5274" s="11"/>
      <c r="X5274" s="11"/>
      <c r="Y5274" s="45">
        <v>302.0</v>
      </c>
      <c r="Z5274" s="45" t="s">
        <v>21220</v>
      </c>
      <c r="AA5274" s="31"/>
      <c r="AB5274" s="45" t="s">
        <v>21221</v>
      </c>
      <c r="AC5274" s="45"/>
    </row>
    <row r="5275" ht="18.75" customHeight="1">
      <c r="A5275" s="142" t="s">
        <v>21222</v>
      </c>
      <c r="B5275" s="19" t="s">
        <v>17258</v>
      </c>
      <c r="C5275" s="20">
        <v>0.0</v>
      </c>
      <c r="D5275" s="39" t="s">
        <v>21223</v>
      </c>
      <c r="E5275" s="27" t="s">
        <v>3441</v>
      </c>
      <c r="F5275" s="27" t="s">
        <v>48</v>
      </c>
      <c r="G5275" s="18" t="s">
        <v>35</v>
      </c>
      <c r="H5275" s="40" t="s">
        <v>35</v>
      </c>
      <c r="I5275" s="37" t="s">
        <v>36</v>
      </c>
      <c r="J5275" s="25" t="s">
        <v>49</v>
      </c>
      <c r="K5275" s="26" t="s">
        <v>9027</v>
      </c>
      <c r="L5275" s="25">
        <v>13953.0</v>
      </c>
      <c r="M5275" s="49" t="s">
        <v>50</v>
      </c>
      <c r="N5275" s="42" t="s">
        <v>17048</v>
      </c>
      <c r="O5275" s="67">
        <v>45923.68888888889</v>
      </c>
      <c r="P5275" s="35" t="s">
        <v>21224</v>
      </c>
      <c r="Q5275" s="13" t="s">
        <v>75</v>
      </c>
      <c r="R5275" s="13" t="s">
        <v>75</v>
      </c>
      <c r="S5275" s="13" t="s">
        <v>73</v>
      </c>
      <c r="T5275" s="44">
        <v>45923.4828553125</v>
      </c>
      <c r="U5275" s="44">
        <v>45923.48961226852</v>
      </c>
      <c r="V5275" s="44">
        <v>45923.55013256945</v>
      </c>
      <c r="W5275" s="11"/>
      <c r="X5275" s="11"/>
      <c r="Y5275" s="45">
        <v>302.0</v>
      </c>
      <c r="Z5275" s="45" t="s">
        <v>21225</v>
      </c>
      <c r="AA5275" s="31"/>
      <c r="AB5275" s="45" t="s">
        <v>21226</v>
      </c>
      <c r="AC5275" s="45"/>
    </row>
    <row r="5276" ht="18.75" customHeight="1">
      <c r="A5276" s="18" t="s">
        <v>21227</v>
      </c>
      <c r="B5276" s="19" t="s">
        <v>21111</v>
      </c>
      <c r="C5276" s="20">
        <v>90.0</v>
      </c>
      <c r="D5276" s="39" t="s">
        <v>21228</v>
      </c>
      <c r="E5276" s="27" t="s">
        <v>91</v>
      </c>
      <c r="F5276" s="27" t="s">
        <v>48</v>
      </c>
      <c r="G5276" s="18" t="s">
        <v>35</v>
      </c>
      <c r="H5276" s="40" t="s">
        <v>35</v>
      </c>
      <c r="I5276" s="37" t="s">
        <v>36</v>
      </c>
      <c r="J5276" s="25" t="s">
        <v>18078</v>
      </c>
      <c r="K5276" s="26" t="s">
        <v>38</v>
      </c>
      <c r="L5276" s="25">
        <v>13955.0</v>
      </c>
      <c r="M5276" s="49" t="s">
        <v>50</v>
      </c>
      <c r="N5276" s="42" t="s">
        <v>20634</v>
      </c>
      <c r="O5276" s="67">
        <v>45924.655160925926</v>
      </c>
      <c r="P5276" s="35" t="s">
        <v>21229</v>
      </c>
      <c r="Q5276" s="13" t="s">
        <v>75</v>
      </c>
      <c r="R5276" s="13" t="s">
        <v>75</v>
      </c>
      <c r="S5276" s="13" t="s">
        <v>73</v>
      </c>
      <c r="T5276" s="44">
        <v>45923.57167931713</v>
      </c>
      <c r="U5276" s="44">
        <v>45923.616620671295</v>
      </c>
      <c r="V5276" s="44">
        <v>45924.378533888885</v>
      </c>
      <c r="W5276" s="11"/>
      <c r="X5276" s="11"/>
      <c r="Y5276" s="45">
        <v>302.0</v>
      </c>
      <c r="Z5276" s="45" t="s">
        <v>21230</v>
      </c>
      <c r="AA5276" s="31"/>
      <c r="AB5276" s="45" t="s">
        <v>21231</v>
      </c>
      <c r="AC5276" s="45"/>
    </row>
    <row r="5277" ht="18.75" customHeight="1">
      <c r="A5277" s="18" t="s">
        <v>21232</v>
      </c>
      <c r="B5277" s="19" t="s">
        <v>21111</v>
      </c>
      <c r="C5277" s="20">
        <v>137.0</v>
      </c>
      <c r="D5277" s="39" t="s">
        <v>21233</v>
      </c>
      <c r="E5277" s="27" t="s">
        <v>85</v>
      </c>
      <c r="F5277" s="27" t="s">
        <v>48</v>
      </c>
      <c r="G5277" s="18" t="s">
        <v>35</v>
      </c>
      <c r="H5277" s="40" t="s">
        <v>35</v>
      </c>
      <c r="I5277" s="37" t="s">
        <v>36</v>
      </c>
      <c r="J5277" s="25" t="s">
        <v>18078</v>
      </c>
      <c r="K5277" s="26" t="s">
        <v>38</v>
      </c>
      <c r="L5277" s="25">
        <v>13955.0</v>
      </c>
      <c r="M5277" s="49" t="s">
        <v>50</v>
      </c>
      <c r="N5277" s="42" t="s">
        <v>20634</v>
      </c>
      <c r="O5277" s="67">
        <v>45924.65522861111</v>
      </c>
      <c r="P5277" s="35" t="s">
        <v>21229</v>
      </c>
      <c r="Q5277" s="13" t="s">
        <v>75</v>
      </c>
      <c r="R5277" s="13" t="s">
        <v>75</v>
      </c>
      <c r="S5277" s="13" t="s">
        <v>73</v>
      </c>
      <c r="T5277" s="44">
        <v>45923.57194016204</v>
      </c>
      <c r="U5277" s="44">
        <v>45923.616654224534</v>
      </c>
      <c r="V5277" s="44">
        <v>45924.37859949074</v>
      </c>
      <c r="W5277" s="11"/>
      <c r="X5277" s="11"/>
      <c r="Y5277" s="45">
        <v>302.0</v>
      </c>
      <c r="Z5277" s="45" t="s">
        <v>21234</v>
      </c>
      <c r="AA5277" s="31"/>
      <c r="AB5277" s="45" t="s">
        <v>21235</v>
      </c>
      <c r="AC5277" s="45"/>
    </row>
    <row r="5278" ht="18.75" customHeight="1">
      <c r="A5278" s="18" t="s">
        <v>21236</v>
      </c>
      <c r="B5278" s="19" t="s">
        <v>21237</v>
      </c>
      <c r="C5278" s="20">
        <v>0.0</v>
      </c>
      <c r="D5278" s="39" t="s">
        <v>21238</v>
      </c>
      <c r="E5278" s="27" t="s">
        <v>3441</v>
      </c>
      <c r="F5278" s="27" t="s">
        <v>48</v>
      </c>
      <c r="G5278" s="18" t="s">
        <v>35</v>
      </c>
      <c r="H5278" s="40" t="s">
        <v>35</v>
      </c>
      <c r="I5278" s="37" t="s">
        <v>36</v>
      </c>
      <c r="J5278" s="25" t="s">
        <v>1170</v>
      </c>
      <c r="K5278" s="26" t="s">
        <v>38</v>
      </c>
      <c r="L5278" s="25">
        <v>13974.0</v>
      </c>
      <c r="M5278" s="49" t="s">
        <v>15811</v>
      </c>
      <c r="N5278" s="42"/>
      <c r="O5278" s="67">
        <v>45925.65592953704</v>
      </c>
      <c r="P5278" s="35" t="s">
        <v>21239</v>
      </c>
      <c r="Q5278" s="13" t="s">
        <v>75</v>
      </c>
      <c r="R5278" s="13" t="s">
        <v>75</v>
      </c>
      <c r="S5278" s="13" t="s">
        <v>75</v>
      </c>
      <c r="T5278" s="44">
        <v>45923.59377574074</v>
      </c>
      <c r="U5278" s="44">
        <v>45925.65592953704</v>
      </c>
      <c r="V5278" s="44">
        <v>45925.65592953704</v>
      </c>
      <c r="W5278" s="11"/>
      <c r="X5278" s="11"/>
      <c r="Y5278" s="45"/>
      <c r="Z5278" s="45"/>
      <c r="AA5278" s="31"/>
      <c r="AB5278" s="45" t="s">
        <v>21240</v>
      </c>
      <c r="AC5278" s="45"/>
    </row>
    <row r="5279" ht="18.75" customHeight="1">
      <c r="A5279" s="18" t="s">
        <v>21241</v>
      </c>
      <c r="B5279" s="19" t="s">
        <v>21237</v>
      </c>
      <c r="C5279" s="20">
        <v>0.0</v>
      </c>
      <c r="D5279" s="39" t="s">
        <v>21242</v>
      </c>
      <c r="E5279" s="27" t="s">
        <v>3441</v>
      </c>
      <c r="F5279" s="27" t="s">
        <v>48</v>
      </c>
      <c r="G5279" s="18" t="s">
        <v>35</v>
      </c>
      <c r="H5279" s="40" t="s">
        <v>35</v>
      </c>
      <c r="I5279" s="37" t="s">
        <v>36</v>
      </c>
      <c r="J5279" s="25" t="s">
        <v>1170</v>
      </c>
      <c r="K5279" s="26" t="s">
        <v>38</v>
      </c>
      <c r="L5279" s="25">
        <v>13974.0</v>
      </c>
      <c r="M5279" s="49" t="s">
        <v>15811</v>
      </c>
      <c r="N5279" s="42"/>
      <c r="O5279" s="67">
        <v>45925.655986446756</v>
      </c>
      <c r="P5279" s="35" t="s">
        <v>21239</v>
      </c>
      <c r="Q5279" s="13" t="s">
        <v>75</v>
      </c>
      <c r="R5279" s="13" t="s">
        <v>75</v>
      </c>
      <c r="S5279" s="13" t="s">
        <v>75</v>
      </c>
      <c r="T5279" s="44">
        <v>45923.59386521991</v>
      </c>
      <c r="U5279" s="44">
        <v>45925.655986446756</v>
      </c>
      <c r="V5279" s="44">
        <v>45925.655986446756</v>
      </c>
      <c r="W5279" s="11"/>
      <c r="X5279" s="11"/>
      <c r="Y5279" s="45"/>
      <c r="Z5279" s="45"/>
      <c r="AA5279" s="31"/>
      <c r="AB5279" s="45" t="s">
        <v>21243</v>
      </c>
      <c r="AC5279" s="45"/>
    </row>
    <row r="5280" ht="18.75" customHeight="1">
      <c r="A5280" s="18" t="s">
        <v>21244</v>
      </c>
      <c r="B5280" s="19" t="s">
        <v>21237</v>
      </c>
      <c r="C5280" s="20">
        <v>137.0</v>
      </c>
      <c r="D5280" s="39" t="s">
        <v>21245</v>
      </c>
      <c r="E5280" s="27" t="s">
        <v>85</v>
      </c>
      <c r="F5280" s="27" t="s">
        <v>48</v>
      </c>
      <c r="G5280" s="18" t="s">
        <v>35</v>
      </c>
      <c r="H5280" s="40" t="s">
        <v>35</v>
      </c>
      <c r="I5280" s="37" t="s">
        <v>36</v>
      </c>
      <c r="J5280" s="25" t="s">
        <v>1170</v>
      </c>
      <c r="K5280" s="26" t="s">
        <v>38</v>
      </c>
      <c r="L5280" s="25">
        <v>13974.0</v>
      </c>
      <c r="M5280" s="49" t="s">
        <v>15811</v>
      </c>
      <c r="N5280" s="42"/>
      <c r="O5280" s="67">
        <v>45925.65604282408</v>
      </c>
      <c r="P5280" s="35" t="s">
        <v>21239</v>
      </c>
      <c r="Q5280" s="13" t="s">
        <v>75</v>
      </c>
      <c r="R5280" s="13" t="s">
        <v>75</v>
      </c>
      <c r="S5280" s="13" t="s">
        <v>75</v>
      </c>
      <c r="T5280" s="44">
        <v>45923.59406240741</v>
      </c>
      <c r="U5280" s="44">
        <v>45925.65604282408</v>
      </c>
      <c r="V5280" s="44">
        <v>45925.65604282408</v>
      </c>
      <c r="W5280" s="11"/>
      <c r="X5280" s="11"/>
      <c r="Y5280" s="45"/>
      <c r="Z5280" s="45"/>
      <c r="AA5280" s="31"/>
      <c r="AB5280" s="45" t="s">
        <v>21246</v>
      </c>
      <c r="AC5280" s="45"/>
    </row>
    <row r="5281" ht="18.75" customHeight="1">
      <c r="A5281" s="18" t="s">
        <v>21247</v>
      </c>
      <c r="B5281" s="19" t="s">
        <v>21237</v>
      </c>
      <c r="C5281" s="20">
        <v>137.0</v>
      </c>
      <c r="D5281" s="39" t="s">
        <v>21248</v>
      </c>
      <c r="E5281" s="27" t="s">
        <v>85</v>
      </c>
      <c r="F5281" s="27" t="s">
        <v>48</v>
      </c>
      <c r="G5281" s="18" t="s">
        <v>35</v>
      </c>
      <c r="H5281" s="40" t="s">
        <v>35</v>
      </c>
      <c r="I5281" s="37" t="s">
        <v>36</v>
      </c>
      <c r="J5281" s="25" t="s">
        <v>1170</v>
      </c>
      <c r="K5281" s="26" t="s">
        <v>38</v>
      </c>
      <c r="L5281" s="25">
        <v>13974.0</v>
      </c>
      <c r="M5281" s="49" t="s">
        <v>15811</v>
      </c>
      <c r="N5281" s="42"/>
      <c r="O5281" s="67">
        <v>45925.656087650466</v>
      </c>
      <c r="P5281" s="35" t="s">
        <v>21239</v>
      </c>
      <c r="Q5281" s="13" t="s">
        <v>75</v>
      </c>
      <c r="R5281" s="13" t="s">
        <v>75</v>
      </c>
      <c r="S5281" s="13" t="s">
        <v>75</v>
      </c>
      <c r="T5281" s="44">
        <v>45923.59420248843</v>
      </c>
      <c r="U5281" s="44">
        <v>45925.656087650466</v>
      </c>
      <c r="V5281" s="44">
        <v>45925.656087650466</v>
      </c>
      <c r="W5281" s="11"/>
      <c r="X5281" s="11"/>
      <c r="Y5281" s="45"/>
      <c r="Z5281" s="45"/>
      <c r="AA5281" s="31"/>
      <c r="AB5281" s="45" t="s">
        <v>21249</v>
      </c>
      <c r="AC5281" s="45"/>
    </row>
    <row r="5282" ht="18.75" customHeight="1">
      <c r="A5282" s="18" t="s">
        <v>21250</v>
      </c>
      <c r="B5282" s="19" t="s">
        <v>21237</v>
      </c>
      <c r="C5282" s="20">
        <v>1.0</v>
      </c>
      <c r="D5282" s="39" t="s">
        <v>21251</v>
      </c>
      <c r="E5282" s="27" t="s">
        <v>3395</v>
      </c>
      <c r="F5282" s="27" t="s">
        <v>48</v>
      </c>
      <c r="G5282" s="18" t="s">
        <v>35</v>
      </c>
      <c r="H5282" s="40" t="s">
        <v>35</v>
      </c>
      <c r="I5282" s="37" t="s">
        <v>36</v>
      </c>
      <c r="J5282" s="25" t="s">
        <v>49</v>
      </c>
      <c r="K5282" s="26" t="s">
        <v>38</v>
      </c>
      <c r="L5282" s="25">
        <v>14208.0</v>
      </c>
      <c r="M5282" s="49" t="s">
        <v>50</v>
      </c>
      <c r="N5282" s="42" t="s">
        <v>9953</v>
      </c>
      <c r="O5282" s="67">
        <v>45950.653751550926</v>
      </c>
      <c r="P5282" s="35" t="s">
        <v>21252</v>
      </c>
      <c r="Q5282" s="13" t="s">
        <v>6028</v>
      </c>
      <c r="R5282" s="13" t="s">
        <v>6028</v>
      </c>
      <c r="S5282" s="13" t="s">
        <v>73</v>
      </c>
      <c r="T5282" s="44">
        <v>45923.60200493055</v>
      </c>
      <c r="U5282" s="44">
        <v>45925.63030282407</v>
      </c>
      <c r="V5282" s="44">
        <v>45950.54574148148</v>
      </c>
      <c r="W5282" s="11"/>
      <c r="X5282" s="148">
        <v>45940.0</v>
      </c>
      <c r="Y5282" s="45">
        <v>302.0</v>
      </c>
      <c r="Z5282" s="45" t="s">
        <v>21253</v>
      </c>
      <c r="AA5282" s="31"/>
      <c r="AB5282" s="45" t="s">
        <v>21254</v>
      </c>
      <c r="AC5282" s="45"/>
    </row>
    <row r="5283" ht="18.75" customHeight="1">
      <c r="A5283" s="18" t="s">
        <v>21255</v>
      </c>
      <c r="B5283" s="19" t="s">
        <v>21237</v>
      </c>
      <c r="C5283" s="20">
        <v>1.0</v>
      </c>
      <c r="D5283" s="39" t="s">
        <v>21256</v>
      </c>
      <c r="E5283" s="27" t="s">
        <v>3395</v>
      </c>
      <c r="F5283" s="27" t="s">
        <v>48</v>
      </c>
      <c r="G5283" s="18" t="s">
        <v>35</v>
      </c>
      <c r="H5283" s="40" t="s">
        <v>35</v>
      </c>
      <c r="I5283" s="37" t="s">
        <v>36</v>
      </c>
      <c r="J5283" s="25" t="s">
        <v>49</v>
      </c>
      <c r="K5283" s="26" t="s">
        <v>38</v>
      </c>
      <c r="L5283" s="25">
        <v>14208.0</v>
      </c>
      <c r="M5283" s="49" t="s">
        <v>50</v>
      </c>
      <c r="N5283" s="42" t="s">
        <v>9953</v>
      </c>
      <c r="O5283" s="67">
        <v>45950.65379321759</v>
      </c>
      <c r="P5283" s="35" t="s">
        <v>21252</v>
      </c>
      <c r="Q5283" s="13" t="s">
        <v>6028</v>
      </c>
      <c r="R5283" s="13" t="s">
        <v>6028</v>
      </c>
      <c r="S5283" s="13" t="s">
        <v>73</v>
      </c>
      <c r="T5283" s="44">
        <v>45923.6021724537</v>
      </c>
      <c r="U5283" s="44">
        <v>45925.630440567125</v>
      </c>
      <c r="V5283" s="44">
        <v>45950.54581505787</v>
      </c>
      <c r="W5283" s="11"/>
      <c r="X5283" s="148">
        <v>45940.0</v>
      </c>
      <c r="Y5283" s="45">
        <v>302.0</v>
      </c>
      <c r="Z5283" s="45" t="s">
        <v>21257</v>
      </c>
      <c r="AA5283" s="31"/>
      <c r="AB5283" s="45" t="s">
        <v>21258</v>
      </c>
      <c r="AC5283" s="45"/>
    </row>
    <row r="5284" ht="18.75" customHeight="1">
      <c r="A5284" s="142" t="s">
        <v>21259</v>
      </c>
      <c r="B5284" s="19" t="s">
        <v>5313</v>
      </c>
      <c r="C5284" s="20">
        <v>0.0</v>
      </c>
      <c r="D5284" s="39" t="s">
        <v>21260</v>
      </c>
      <c r="E5284" s="27" t="s">
        <v>3441</v>
      </c>
      <c r="F5284" s="27" t="s">
        <v>48</v>
      </c>
      <c r="G5284" s="18" t="s">
        <v>35</v>
      </c>
      <c r="H5284" s="40" t="s">
        <v>35</v>
      </c>
      <c r="I5284" s="37" t="s">
        <v>36</v>
      </c>
      <c r="J5284" s="25" t="s">
        <v>65</v>
      </c>
      <c r="K5284" s="26" t="s">
        <v>38</v>
      </c>
      <c r="L5284" s="25">
        <v>13956.0</v>
      </c>
      <c r="M5284" s="49" t="s">
        <v>50</v>
      </c>
      <c r="N5284" s="42" t="s">
        <v>16408</v>
      </c>
      <c r="O5284" s="67">
        <v>45924.621098125004</v>
      </c>
      <c r="P5284" s="35" t="s">
        <v>21261</v>
      </c>
      <c r="Q5284" s="13" t="s">
        <v>75</v>
      </c>
      <c r="R5284" s="13" t="s">
        <v>75</v>
      </c>
      <c r="S5284" s="13" t="s">
        <v>73</v>
      </c>
      <c r="T5284" s="44">
        <v>45923.61086630787</v>
      </c>
      <c r="U5284" s="44">
        <v>45923.71437782407</v>
      </c>
      <c r="V5284" s="44">
        <v>45924.38096292824</v>
      </c>
      <c r="W5284" s="11"/>
      <c r="X5284" s="11"/>
      <c r="Y5284" s="45">
        <v>302.0</v>
      </c>
      <c r="Z5284" s="45" t="s">
        <v>21262</v>
      </c>
      <c r="AA5284" s="31"/>
      <c r="AB5284" s="45" t="s">
        <v>21263</v>
      </c>
      <c r="AC5284" s="45"/>
    </row>
    <row r="5285" ht="18.75" customHeight="1">
      <c r="A5285" s="142" t="s">
        <v>21264</v>
      </c>
      <c r="B5285" s="19" t="s">
        <v>5346</v>
      </c>
      <c r="C5285" s="20">
        <v>137.0</v>
      </c>
      <c r="D5285" s="39" t="s">
        <v>21265</v>
      </c>
      <c r="E5285" s="27" t="s">
        <v>85</v>
      </c>
      <c r="F5285" s="27" t="s">
        <v>48</v>
      </c>
      <c r="G5285" s="18" t="s">
        <v>35</v>
      </c>
      <c r="H5285" s="40" t="s">
        <v>35</v>
      </c>
      <c r="I5285" s="37" t="s">
        <v>36</v>
      </c>
      <c r="J5285" s="25" t="s">
        <v>49</v>
      </c>
      <c r="K5285" s="26" t="s">
        <v>38</v>
      </c>
      <c r="L5285" s="25">
        <v>13957.0</v>
      </c>
      <c r="M5285" s="49" t="s">
        <v>50</v>
      </c>
      <c r="N5285" s="42" t="s">
        <v>17048</v>
      </c>
      <c r="O5285" s="67">
        <v>45924.60372103009</v>
      </c>
      <c r="P5285" s="35" t="s">
        <v>15594</v>
      </c>
      <c r="Q5285" s="13" t="s">
        <v>75</v>
      </c>
      <c r="R5285" s="13" t="s">
        <v>75</v>
      </c>
      <c r="S5285" s="13" t="s">
        <v>73</v>
      </c>
      <c r="T5285" s="44">
        <v>45923.61284902778</v>
      </c>
      <c r="U5285" s="44">
        <v>45923.713522743055</v>
      </c>
      <c r="V5285" s="44">
        <v>45924.381034826394</v>
      </c>
      <c r="W5285" s="11"/>
      <c r="X5285" s="11"/>
      <c r="Y5285" s="45">
        <v>302.0</v>
      </c>
      <c r="Z5285" s="45" t="s">
        <v>21266</v>
      </c>
      <c r="AA5285" s="31"/>
      <c r="AB5285" s="45" t="s">
        <v>21267</v>
      </c>
      <c r="AC5285" s="45"/>
    </row>
    <row r="5286" ht="18.75" customHeight="1">
      <c r="A5286" s="18" t="s">
        <v>21268</v>
      </c>
      <c r="B5286" s="19" t="s">
        <v>1299</v>
      </c>
      <c r="C5286" s="20">
        <v>34.0</v>
      </c>
      <c r="D5286" s="39" t="s">
        <v>21269</v>
      </c>
      <c r="E5286" s="27" t="s">
        <v>47</v>
      </c>
      <c r="F5286" s="27" t="s">
        <v>48</v>
      </c>
      <c r="G5286" s="18" t="s">
        <v>35</v>
      </c>
      <c r="H5286" s="40" t="s">
        <v>35</v>
      </c>
      <c r="I5286" s="37" t="s">
        <v>36</v>
      </c>
      <c r="J5286" s="25" t="s">
        <v>92</v>
      </c>
      <c r="K5286" s="26" t="s">
        <v>38</v>
      </c>
      <c r="L5286" s="25">
        <v>13960.0</v>
      </c>
      <c r="M5286" s="49" t="s">
        <v>50</v>
      </c>
      <c r="N5286" s="42" t="s">
        <v>4767</v>
      </c>
      <c r="O5286" s="67">
        <v>45926.408871377316</v>
      </c>
      <c r="P5286" s="35" t="s">
        <v>19588</v>
      </c>
      <c r="Q5286" s="13" t="s">
        <v>75</v>
      </c>
      <c r="R5286" s="13" t="s">
        <v>75</v>
      </c>
      <c r="S5286" s="13" t="s">
        <v>73</v>
      </c>
      <c r="T5286" s="44">
        <v>45923.54683547454</v>
      </c>
      <c r="U5286" s="44">
        <v>45924.40219393518</v>
      </c>
      <c r="V5286" s="44">
        <v>45924.41185290509</v>
      </c>
      <c r="W5286" s="11"/>
      <c r="X5286" s="11"/>
      <c r="Y5286" s="207">
        <v>302.0</v>
      </c>
      <c r="Z5286" s="45" t="s">
        <v>21270</v>
      </c>
      <c r="AA5286" s="31"/>
      <c r="AB5286" s="45" t="s">
        <v>21271</v>
      </c>
      <c r="AC5286" s="45"/>
    </row>
    <row r="5287" ht="18.75" customHeight="1">
      <c r="A5287" s="18" t="s">
        <v>21272</v>
      </c>
      <c r="B5287" s="19" t="s">
        <v>1299</v>
      </c>
      <c r="C5287" s="20">
        <v>34.0</v>
      </c>
      <c r="D5287" s="39" t="s">
        <v>21273</v>
      </c>
      <c r="E5287" s="27" t="s">
        <v>47</v>
      </c>
      <c r="F5287" s="27" t="s">
        <v>48</v>
      </c>
      <c r="G5287" s="18" t="s">
        <v>35</v>
      </c>
      <c r="H5287" s="40" t="s">
        <v>35</v>
      </c>
      <c r="I5287" s="37" t="s">
        <v>36</v>
      </c>
      <c r="J5287" s="25" t="s">
        <v>92</v>
      </c>
      <c r="K5287" s="26" t="s">
        <v>38</v>
      </c>
      <c r="L5287" s="25">
        <v>13960.0</v>
      </c>
      <c r="M5287" s="49" t="s">
        <v>50</v>
      </c>
      <c r="N5287" s="42" t="s">
        <v>4767</v>
      </c>
      <c r="O5287" s="67">
        <v>45926.40894516204</v>
      </c>
      <c r="P5287" s="35" t="s">
        <v>19588</v>
      </c>
      <c r="Q5287" s="13" t="s">
        <v>75</v>
      </c>
      <c r="R5287" s="13" t="s">
        <v>75</v>
      </c>
      <c r="S5287" s="13" t="s">
        <v>73</v>
      </c>
      <c r="T5287" s="44">
        <v>45923.548286122685</v>
      </c>
      <c r="U5287" s="44">
        <v>45924.40224358796</v>
      </c>
      <c r="V5287" s="44">
        <v>45924.41191780093</v>
      </c>
      <c r="W5287" s="11"/>
      <c r="X5287" s="11"/>
      <c r="Y5287" s="45">
        <v>302.0</v>
      </c>
      <c r="Z5287" s="45" t="s">
        <v>21274</v>
      </c>
      <c r="AA5287" s="31"/>
      <c r="AB5287" s="45" t="s">
        <v>21275</v>
      </c>
      <c r="AC5287" s="45"/>
    </row>
    <row r="5288" ht="18.75" customHeight="1">
      <c r="A5288" s="18" t="s">
        <v>21276</v>
      </c>
      <c r="B5288" s="19" t="s">
        <v>1299</v>
      </c>
      <c r="C5288" s="20">
        <v>11.0</v>
      </c>
      <c r="D5288" s="39" t="s">
        <v>21277</v>
      </c>
      <c r="E5288" s="27" t="s">
        <v>112</v>
      </c>
      <c r="F5288" s="27" t="s">
        <v>48</v>
      </c>
      <c r="G5288" s="18" t="s">
        <v>35</v>
      </c>
      <c r="H5288" s="40" t="s">
        <v>35</v>
      </c>
      <c r="I5288" s="37" t="s">
        <v>36</v>
      </c>
      <c r="J5288" s="25" t="s">
        <v>92</v>
      </c>
      <c r="K5288" s="26" t="s">
        <v>38</v>
      </c>
      <c r="L5288" s="25">
        <v>13960.0</v>
      </c>
      <c r="M5288" s="49" t="s">
        <v>50</v>
      </c>
      <c r="N5288" s="42" t="s">
        <v>4767</v>
      </c>
      <c r="O5288" s="67">
        <v>45926.4090222338</v>
      </c>
      <c r="P5288" s="35" t="s">
        <v>19588</v>
      </c>
      <c r="Q5288" s="13" t="s">
        <v>75</v>
      </c>
      <c r="R5288" s="13" t="s">
        <v>75</v>
      </c>
      <c r="S5288" s="13" t="s">
        <v>73</v>
      </c>
      <c r="T5288" s="44">
        <v>45923.54871333334</v>
      </c>
      <c r="U5288" s="44">
        <v>45924.40228327546</v>
      </c>
      <c r="V5288" s="44">
        <v>45924.41197747685</v>
      </c>
      <c r="W5288" s="11"/>
      <c r="X5288" s="11"/>
      <c r="Y5288" s="207">
        <v>302.0</v>
      </c>
      <c r="Z5288" s="45" t="s">
        <v>21278</v>
      </c>
      <c r="AA5288" s="31"/>
      <c r="AB5288" s="45" t="s">
        <v>21279</v>
      </c>
      <c r="AC5288" s="45"/>
    </row>
    <row r="5289" ht="18.75" customHeight="1">
      <c r="A5289" s="142" t="s">
        <v>21280</v>
      </c>
      <c r="B5289" s="19" t="s">
        <v>12692</v>
      </c>
      <c r="C5289" s="20">
        <v>0.0</v>
      </c>
      <c r="D5289" s="220" t="s">
        <v>21281</v>
      </c>
      <c r="E5289" s="27" t="s">
        <v>135</v>
      </c>
      <c r="F5289" s="27" t="s">
        <v>48</v>
      </c>
      <c r="G5289" s="18" t="s">
        <v>35</v>
      </c>
      <c r="H5289" s="40" t="s">
        <v>35</v>
      </c>
      <c r="I5289" s="37" t="s">
        <v>36</v>
      </c>
      <c r="J5289" s="25" t="s">
        <v>92</v>
      </c>
      <c r="K5289" s="26" t="s">
        <v>38</v>
      </c>
      <c r="L5289" s="25">
        <v>13961.0</v>
      </c>
      <c r="M5289" s="49" t="s">
        <v>50</v>
      </c>
      <c r="N5289" s="42" t="s">
        <v>21282</v>
      </c>
      <c r="O5289" s="67">
        <v>45924.661459780094</v>
      </c>
      <c r="P5289" s="35" t="s">
        <v>21283</v>
      </c>
      <c r="Q5289" s="13" t="s">
        <v>75</v>
      </c>
      <c r="R5289" s="13" t="s">
        <v>75</v>
      </c>
      <c r="S5289" s="13" t="s">
        <v>73</v>
      </c>
      <c r="T5289" s="44">
        <v>45923.55683037037</v>
      </c>
      <c r="U5289" s="44">
        <v>45924.404338368055</v>
      </c>
      <c r="V5289" s="44">
        <v>45924.40675947917</v>
      </c>
      <c r="W5289" s="11"/>
      <c r="X5289" s="11"/>
      <c r="Y5289" s="45">
        <v>302.0</v>
      </c>
      <c r="Z5289" s="45" t="s">
        <v>21284</v>
      </c>
      <c r="AA5289" s="31"/>
      <c r="AB5289" s="218" t="s">
        <v>21285</v>
      </c>
      <c r="AC5289" s="45"/>
    </row>
    <row r="5290" ht="18.75" customHeight="1">
      <c r="A5290" s="142" t="s">
        <v>21286</v>
      </c>
      <c r="B5290" s="19" t="s">
        <v>21287</v>
      </c>
      <c r="C5290" s="20">
        <v>0.0</v>
      </c>
      <c r="D5290" s="179">
        <v>20050.0</v>
      </c>
      <c r="E5290" s="27" t="s">
        <v>2089</v>
      </c>
      <c r="F5290" s="27" t="s">
        <v>33</v>
      </c>
      <c r="G5290" s="18" t="s">
        <v>35</v>
      </c>
      <c r="H5290" s="40" t="s">
        <v>35</v>
      </c>
      <c r="I5290" s="37" t="s">
        <v>36</v>
      </c>
      <c r="J5290" s="25" t="s">
        <v>65</v>
      </c>
      <c r="K5290" s="26" t="s">
        <v>38</v>
      </c>
      <c r="L5290" s="25">
        <v>13999.0</v>
      </c>
      <c r="M5290" s="49" t="s">
        <v>50</v>
      </c>
      <c r="N5290" s="42" t="s">
        <v>16408</v>
      </c>
      <c r="O5290" s="67">
        <v>45929.62952686343</v>
      </c>
      <c r="P5290" s="35" t="s">
        <v>21288</v>
      </c>
      <c r="Q5290" s="13" t="s">
        <v>75</v>
      </c>
      <c r="R5290" s="13" t="s">
        <v>75</v>
      </c>
      <c r="S5290" s="13" t="s">
        <v>9620</v>
      </c>
      <c r="T5290" s="44">
        <v>45923.55515876158</v>
      </c>
      <c r="U5290" s="44">
        <v>45923.58990644676</v>
      </c>
      <c r="V5290" s="44">
        <v>45923.62486037037</v>
      </c>
      <c r="W5290" s="11"/>
      <c r="X5290" s="11"/>
      <c r="Y5290" s="45">
        <v>302.0</v>
      </c>
      <c r="Z5290" s="45" t="s">
        <v>21289</v>
      </c>
      <c r="AA5290" s="31"/>
      <c r="AB5290" s="45" t="s">
        <v>21290</v>
      </c>
      <c r="AC5290" s="45"/>
    </row>
    <row r="5291" ht="18.75" customHeight="1">
      <c r="A5291" s="142" t="s">
        <v>21291</v>
      </c>
      <c r="B5291" s="19" t="s">
        <v>21292</v>
      </c>
      <c r="C5291" s="20">
        <v>1.0</v>
      </c>
      <c r="D5291" s="39" t="s">
        <v>21293</v>
      </c>
      <c r="E5291" s="27" t="s">
        <v>3395</v>
      </c>
      <c r="F5291" s="27" t="s">
        <v>48</v>
      </c>
      <c r="G5291" s="18" t="s">
        <v>35</v>
      </c>
      <c r="H5291" s="40" t="s">
        <v>35</v>
      </c>
      <c r="I5291" s="37" t="s">
        <v>36</v>
      </c>
      <c r="J5291" s="25" t="s">
        <v>65</v>
      </c>
      <c r="K5291" s="26" t="s">
        <v>38</v>
      </c>
      <c r="L5291" s="25">
        <v>14212.0</v>
      </c>
      <c r="M5291" s="49" t="s">
        <v>50</v>
      </c>
      <c r="N5291" s="42" t="s">
        <v>16408</v>
      </c>
      <c r="O5291" s="67">
        <v>45950.6525233912</v>
      </c>
      <c r="P5291" s="35" t="s">
        <v>21294</v>
      </c>
      <c r="Q5291" s="13" t="s">
        <v>75</v>
      </c>
      <c r="R5291" s="13" t="s">
        <v>75</v>
      </c>
      <c r="S5291" s="13" t="s">
        <v>73</v>
      </c>
      <c r="T5291" s="44">
        <v>45923.618897928245</v>
      </c>
      <c r="U5291" s="44">
        <v>45923.715155868056</v>
      </c>
      <c r="V5291" s="44">
        <v>45950.55207077546</v>
      </c>
      <c r="W5291" s="11"/>
      <c r="X5291" s="11"/>
      <c r="Y5291" s="45"/>
      <c r="Z5291" s="45"/>
      <c r="AA5291" s="31"/>
      <c r="AB5291" s="45" t="s">
        <v>21295</v>
      </c>
      <c r="AC5291" s="45"/>
    </row>
    <row r="5292" ht="18.75" customHeight="1">
      <c r="A5292" s="142" t="s">
        <v>21296</v>
      </c>
      <c r="B5292" s="19" t="s">
        <v>5180</v>
      </c>
      <c r="C5292" s="20">
        <v>137.0</v>
      </c>
      <c r="D5292" s="39" t="s">
        <v>21297</v>
      </c>
      <c r="E5292" s="27" t="s">
        <v>85</v>
      </c>
      <c r="F5292" s="27" t="s">
        <v>48</v>
      </c>
      <c r="G5292" s="18" t="s">
        <v>35</v>
      </c>
      <c r="H5292" s="40" t="s">
        <v>35</v>
      </c>
      <c r="I5292" s="37" t="s">
        <v>36</v>
      </c>
      <c r="J5292" s="25" t="s">
        <v>18078</v>
      </c>
      <c r="K5292" s="26" t="s">
        <v>38</v>
      </c>
      <c r="L5292" s="25">
        <v>13962.0</v>
      </c>
      <c r="M5292" s="49" t="s">
        <v>50</v>
      </c>
      <c r="N5292" s="42" t="s">
        <v>20634</v>
      </c>
      <c r="O5292" s="67">
        <v>45924.655302025465</v>
      </c>
      <c r="P5292" s="35" t="s">
        <v>21298</v>
      </c>
      <c r="Q5292" s="13" t="s">
        <v>75</v>
      </c>
      <c r="R5292" s="13" t="s">
        <v>75</v>
      </c>
      <c r="S5292" s="13" t="s">
        <v>73</v>
      </c>
      <c r="T5292" s="44">
        <v>45924.4160819213</v>
      </c>
      <c r="U5292" s="44">
        <v>45924.4303199537</v>
      </c>
      <c r="V5292" s="44">
        <v>45924.43935586806</v>
      </c>
      <c r="W5292" s="11"/>
      <c r="X5292" s="11"/>
      <c r="Y5292" s="207">
        <v>302.0</v>
      </c>
      <c r="Z5292" s="45" t="s">
        <v>21299</v>
      </c>
      <c r="AA5292" s="31"/>
      <c r="AB5292" s="45" t="s">
        <v>21300</v>
      </c>
      <c r="AC5292" s="45"/>
    </row>
    <row r="5293" ht="18.75" customHeight="1">
      <c r="A5293" s="142" t="s">
        <v>21301</v>
      </c>
      <c r="B5293" s="19" t="s">
        <v>8666</v>
      </c>
      <c r="C5293" s="20">
        <v>1.0</v>
      </c>
      <c r="D5293" s="39" t="s">
        <v>21302</v>
      </c>
      <c r="E5293" s="27" t="s">
        <v>3395</v>
      </c>
      <c r="F5293" s="27" t="s">
        <v>48</v>
      </c>
      <c r="G5293" s="18" t="s">
        <v>35</v>
      </c>
      <c r="H5293" s="40" t="s">
        <v>35</v>
      </c>
      <c r="I5293" s="37" t="s">
        <v>36</v>
      </c>
      <c r="J5293" s="25" t="s">
        <v>49</v>
      </c>
      <c r="K5293" s="26" t="s">
        <v>38</v>
      </c>
      <c r="L5293" s="25">
        <v>14211.0</v>
      </c>
      <c r="M5293" s="49" t="s">
        <v>50</v>
      </c>
      <c r="N5293" s="42" t="s">
        <v>9953</v>
      </c>
      <c r="O5293" s="67">
        <v>45950.6538422338</v>
      </c>
      <c r="P5293" s="35" t="s">
        <v>21303</v>
      </c>
      <c r="Q5293" s="13" t="s">
        <v>75</v>
      </c>
      <c r="R5293" s="13" t="s">
        <v>75</v>
      </c>
      <c r="S5293" s="13" t="s">
        <v>73</v>
      </c>
      <c r="T5293" s="44">
        <v>45924.41872729167</v>
      </c>
      <c r="U5293" s="44">
        <v>45944.64999482639</v>
      </c>
      <c r="V5293" s="44">
        <v>45950.545998761576</v>
      </c>
      <c r="W5293" s="11"/>
      <c r="X5293" s="11"/>
      <c r="Y5293" s="45">
        <v>302.0</v>
      </c>
      <c r="Z5293" s="45" t="s">
        <v>21304</v>
      </c>
      <c r="AA5293" s="31"/>
      <c r="AB5293" s="45" t="s">
        <v>21305</v>
      </c>
      <c r="AC5293" s="45"/>
    </row>
    <row r="5294" ht="18.75" customHeight="1">
      <c r="A5294" s="142" t="s">
        <v>21306</v>
      </c>
      <c r="B5294" s="19" t="s">
        <v>17819</v>
      </c>
      <c r="C5294" s="20">
        <v>27.0</v>
      </c>
      <c r="D5294" s="39" t="s">
        <v>21307</v>
      </c>
      <c r="E5294" s="27" t="s">
        <v>72</v>
      </c>
      <c r="F5294" s="27" t="s">
        <v>48</v>
      </c>
      <c r="G5294" s="18" t="s">
        <v>35</v>
      </c>
      <c r="H5294" s="40" t="s">
        <v>35</v>
      </c>
      <c r="I5294" s="37" t="s">
        <v>36</v>
      </c>
      <c r="J5294" s="25" t="s">
        <v>92</v>
      </c>
      <c r="K5294" s="26" t="s">
        <v>38</v>
      </c>
      <c r="L5294" s="25">
        <v>13963.0</v>
      </c>
      <c r="M5294" s="49" t="s">
        <v>50</v>
      </c>
      <c r="N5294" s="42" t="s">
        <v>7145</v>
      </c>
      <c r="O5294" s="67">
        <v>45926.5611112037</v>
      </c>
      <c r="P5294" s="26" t="s">
        <v>6028</v>
      </c>
      <c r="Q5294" s="13" t="s">
        <v>75</v>
      </c>
      <c r="R5294" s="13" t="s">
        <v>75</v>
      </c>
      <c r="S5294" s="13" t="s">
        <v>73</v>
      </c>
      <c r="T5294" s="13"/>
      <c r="U5294" s="44">
        <v>45924.5528821412</v>
      </c>
      <c r="V5294" s="44">
        <v>45924.56601689815</v>
      </c>
      <c r="W5294" s="11"/>
      <c r="X5294" s="11"/>
      <c r="Y5294" s="45">
        <v>302.0</v>
      </c>
      <c r="Z5294" s="45" t="s">
        <v>21308</v>
      </c>
      <c r="AA5294" s="31"/>
      <c r="AB5294" s="45" t="s">
        <v>21309</v>
      </c>
      <c r="AC5294" s="45"/>
    </row>
    <row r="5295" ht="18.75" customHeight="1">
      <c r="A5295" s="18" t="s">
        <v>21310</v>
      </c>
      <c r="B5295" s="19" t="s">
        <v>10563</v>
      </c>
      <c r="C5295" s="20">
        <v>0.0</v>
      </c>
      <c r="D5295" s="179">
        <v>20242.0</v>
      </c>
      <c r="E5295" s="27" t="s">
        <v>295</v>
      </c>
      <c r="F5295" s="27" t="s">
        <v>33</v>
      </c>
      <c r="G5295" s="18" t="s">
        <v>35</v>
      </c>
      <c r="H5295" s="40" t="s">
        <v>35</v>
      </c>
      <c r="I5295" s="37" t="s">
        <v>36</v>
      </c>
      <c r="J5295" s="25" t="s">
        <v>49</v>
      </c>
      <c r="K5295" s="26" t="s">
        <v>38</v>
      </c>
      <c r="L5295" s="25">
        <v>13981.0</v>
      </c>
      <c r="M5295" s="49" t="s">
        <v>50</v>
      </c>
      <c r="N5295" s="42" t="s">
        <v>17048</v>
      </c>
      <c r="O5295" s="67">
        <v>45926.59334409722</v>
      </c>
      <c r="P5295" s="35" t="s">
        <v>15594</v>
      </c>
      <c r="Q5295" s="13" t="s">
        <v>75</v>
      </c>
      <c r="R5295" s="13" t="s">
        <v>75</v>
      </c>
      <c r="S5295" s="13" t="s">
        <v>9620</v>
      </c>
      <c r="T5295" s="44">
        <v>45924.703985520835</v>
      </c>
      <c r="U5295" s="44">
        <v>45925.40928186342</v>
      </c>
      <c r="V5295" s="44">
        <v>45925.60006149305</v>
      </c>
      <c r="W5295" s="11"/>
      <c r="X5295" s="11"/>
      <c r="Y5295" s="45">
        <v>302.0</v>
      </c>
      <c r="Z5295" s="45" t="s">
        <v>21311</v>
      </c>
      <c r="AA5295" s="31"/>
      <c r="AB5295" s="45" t="s">
        <v>21312</v>
      </c>
      <c r="AC5295" s="45"/>
    </row>
    <row r="5296" ht="18.75" customHeight="1">
      <c r="A5296" s="18" t="s">
        <v>21313</v>
      </c>
      <c r="B5296" s="19" t="s">
        <v>10563</v>
      </c>
      <c r="C5296" s="20">
        <v>0.0</v>
      </c>
      <c r="D5296" s="228" t="s">
        <v>21314</v>
      </c>
      <c r="E5296" s="27" t="s">
        <v>3441</v>
      </c>
      <c r="F5296" s="27" t="s">
        <v>48</v>
      </c>
      <c r="G5296" s="18" t="s">
        <v>35</v>
      </c>
      <c r="H5296" s="40" t="s">
        <v>35</v>
      </c>
      <c r="I5296" s="37" t="s">
        <v>36</v>
      </c>
      <c r="J5296" s="25" t="s">
        <v>49</v>
      </c>
      <c r="K5296" s="26" t="s">
        <v>38</v>
      </c>
      <c r="L5296" s="25">
        <v>13981.0</v>
      </c>
      <c r="M5296" s="49" t="s">
        <v>50</v>
      </c>
      <c r="N5296" s="42" t="s">
        <v>17048</v>
      </c>
      <c r="O5296" s="67">
        <v>45926.59338508102</v>
      </c>
      <c r="P5296" s="35" t="s">
        <v>15594</v>
      </c>
      <c r="Q5296" s="13" t="s">
        <v>75</v>
      </c>
      <c r="R5296" s="13" t="s">
        <v>75</v>
      </c>
      <c r="S5296" s="13" t="s">
        <v>73</v>
      </c>
      <c r="T5296" s="44">
        <v>45924.704773101854</v>
      </c>
      <c r="U5296" s="44">
        <v>45925.40931673611</v>
      </c>
      <c r="V5296" s="44">
        <v>45925.45544118056</v>
      </c>
      <c r="W5296" s="11"/>
      <c r="X5296" s="11"/>
      <c r="Y5296" s="45">
        <v>302.0</v>
      </c>
      <c r="Z5296" s="45" t="s">
        <v>21315</v>
      </c>
      <c r="AA5296" s="31"/>
      <c r="AB5296" s="45" t="s">
        <v>21316</v>
      </c>
      <c r="AC5296" s="45"/>
    </row>
    <row r="5297" ht="18.75" customHeight="1">
      <c r="A5297" s="142" t="s">
        <v>21317</v>
      </c>
      <c r="B5297" s="19" t="s">
        <v>11376</v>
      </c>
      <c r="C5297" s="20">
        <v>27.0</v>
      </c>
      <c r="D5297" s="39" t="s">
        <v>21318</v>
      </c>
      <c r="E5297" s="27" t="s">
        <v>72</v>
      </c>
      <c r="F5297" s="27" t="s">
        <v>48</v>
      </c>
      <c r="G5297" s="18" t="s">
        <v>35</v>
      </c>
      <c r="H5297" s="40" t="s">
        <v>35</v>
      </c>
      <c r="I5297" s="37" t="s">
        <v>36</v>
      </c>
      <c r="J5297" s="25" t="s">
        <v>65</v>
      </c>
      <c r="K5297" s="26" t="s">
        <v>38</v>
      </c>
      <c r="L5297" s="25">
        <v>13971.0</v>
      </c>
      <c r="M5297" s="49" t="s">
        <v>50</v>
      </c>
      <c r="N5297" s="42" t="s">
        <v>16408</v>
      </c>
      <c r="O5297" s="67">
        <v>45925.646476215275</v>
      </c>
      <c r="P5297" s="35" t="s">
        <v>15829</v>
      </c>
      <c r="Q5297" s="13" t="s">
        <v>75</v>
      </c>
      <c r="R5297" s="13" t="s">
        <v>75</v>
      </c>
      <c r="S5297" s="13" t="s">
        <v>73</v>
      </c>
      <c r="T5297" s="44">
        <v>45924.70090077547</v>
      </c>
      <c r="U5297" s="44">
        <v>45925.40673025463</v>
      </c>
      <c r="V5297" s="44">
        <v>45925.46415195602</v>
      </c>
      <c r="W5297" s="11"/>
      <c r="X5297" s="11"/>
      <c r="Y5297" s="45">
        <v>302.0</v>
      </c>
      <c r="Z5297" s="45" t="s">
        <v>21319</v>
      </c>
      <c r="AA5297" s="31"/>
      <c r="AB5297" s="218" t="s">
        <v>21320</v>
      </c>
      <c r="AC5297" s="45"/>
    </row>
    <row r="5298" ht="18.75" customHeight="1">
      <c r="A5298" s="18" t="s">
        <v>21321</v>
      </c>
      <c r="B5298" s="19" t="s">
        <v>8933</v>
      </c>
      <c r="C5298" s="20">
        <v>34.0</v>
      </c>
      <c r="D5298" s="39" t="s">
        <v>21322</v>
      </c>
      <c r="E5298" s="27" t="s">
        <v>47</v>
      </c>
      <c r="F5298" s="27" t="s">
        <v>48</v>
      </c>
      <c r="G5298" s="18" t="s">
        <v>35</v>
      </c>
      <c r="H5298" s="40" t="s">
        <v>35</v>
      </c>
      <c r="I5298" s="37" t="s">
        <v>36</v>
      </c>
      <c r="J5298" s="25" t="s">
        <v>65</v>
      </c>
      <c r="K5298" s="26" t="s">
        <v>38</v>
      </c>
      <c r="L5298" s="25">
        <v>13982.0</v>
      </c>
      <c r="M5298" s="49" t="s">
        <v>50</v>
      </c>
      <c r="N5298" s="42" t="s">
        <v>16408</v>
      </c>
      <c r="O5298" s="67">
        <v>45926.69503761574</v>
      </c>
      <c r="P5298" s="35" t="s">
        <v>15829</v>
      </c>
      <c r="Q5298" s="13" t="s">
        <v>75</v>
      </c>
      <c r="R5298" s="13" t="s">
        <v>75</v>
      </c>
      <c r="S5298" s="13" t="s">
        <v>73</v>
      </c>
      <c r="T5298" s="44">
        <v>45924.68174806713</v>
      </c>
      <c r="U5298" s="44">
        <v>45925.66076643519</v>
      </c>
      <c r="V5298" s="44">
        <v>45926.45356978009</v>
      </c>
      <c r="W5298" s="11"/>
      <c r="X5298" s="11"/>
      <c r="Y5298" s="45">
        <v>302.0</v>
      </c>
      <c r="Z5298" s="45" t="s">
        <v>21323</v>
      </c>
      <c r="AA5298" s="31"/>
      <c r="AB5298" s="45" t="s">
        <v>21324</v>
      </c>
      <c r="AC5298" s="45"/>
    </row>
    <row r="5299" ht="18.75" customHeight="1">
      <c r="A5299" s="18" t="s">
        <v>21325</v>
      </c>
      <c r="B5299" s="19" t="s">
        <v>8933</v>
      </c>
      <c r="C5299" s="20">
        <v>34.0</v>
      </c>
      <c r="D5299" s="39" t="s">
        <v>21326</v>
      </c>
      <c r="E5299" s="27" t="s">
        <v>47</v>
      </c>
      <c r="F5299" s="27" t="s">
        <v>48</v>
      </c>
      <c r="G5299" s="18" t="s">
        <v>35</v>
      </c>
      <c r="H5299" s="40" t="s">
        <v>35</v>
      </c>
      <c r="I5299" s="37" t="s">
        <v>36</v>
      </c>
      <c r="J5299" s="25" t="s">
        <v>65</v>
      </c>
      <c r="K5299" s="26" t="s">
        <v>38</v>
      </c>
      <c r="L5299" s="25">
        <v>13982.0</v>
      </c>
      <c r="M5299" s="49" t="s">
        <v>50</v>
      </c>
      <c r="N5299" s="42" t="s">
        <v>16408</v>
      </c>
      <c r="O5299" s="67">
        <v>45926.695095104165</v>
      </c>
      <c r="P5299" s="35" t="s">
        <v>15829</v>
      </c>
      <c r="Q5299" s="13" t="s">
        <v>75</v>
      </c>
      <c r="R5299" s="13" t="s">
        <v>75</v>
      </c>
      <c r="S5299" s="13" t="s">
        <v>73</v>
      </c>
      <c r="T5299" s="44">
        <v>45924.68169457176</v>
      </c>
      <c r="U5299" s="44">
        <v>45925.660793958334</v>
      </c>
      <c r="V5299" s="44">
        <v>45926.45363833333</v>
      </c>
      <c r="W5299" s="11"/>
      <c r="X5299" s="11"/>
      <c r="Y5299" s="45">
        <v>302.0</v>
      </c>
      <c r="Z5299" s="45" t="s">
        <v>21327</v>
      </c>
      <c r="AA5299" s="31"/>
      <c r="AB5299" s="45" t="s">
        <v>21328</v>
      </c>
      <c r="AC5299" s="45"/>
    </row>
    <row r="5300" ht="18.75" customHeight="1">
      <c r="A5300" s="142" t="s">
        <v>21329</v>
      </c>
      <c r="B5300" s="19" t="s">
        <v>1428</v>
      </c>
      <c r="C5300" s="20">
        <v>90.0</v>
      </c>
      <c r="D5300" s="39" t="s">
        <v>21330</v>
      </c>
      <c r="E5300" s="27" t="s">
        <v>91</v>
      </c>
      <c r="F5300" s="27" t="s">
        <v>48</v>
      </c>
      <c r="G5300" s="18" t="s">
        <v>35</v>
      </c>
      <c r="H5300" s="40" t="s">
        <v>35</v>
      </c>
      <c r="I5300" s="37" t="s">
        <v>36</v>
      </c>
      <c r="J5300" s="25" t="s">
        <v>49</v>
      </c>
      <c r="K5300" s="26" t="s">
        <v>1430</v>
      </c>
      <c r="L5300" s="25">
        <v>13972.0</v>
      </c>
      <c r="M5300" s="49" t="s">
        <v>50</v>
      </c>
      <c r="N5300" s="42" t="s">
        <v>17048</v>
      </c>
      <c r="O5300" s="67">
        <v>45925.59936075231</v>
      </c>
      <c r="P5300" s="35" t="s">
        <v>21331</v>
      </c>
      <c r="Q5300" s="13" t="s">
        <v>75</v>
      </c>
      <c r="R5300" s="13" t="s">
        <v>75</v>
      </c>
      <c r="S5300" s="13" t="s">
        <v>73</v>
      </c>
      <c r="T5300" s="44">
        <v>45924.71009032408</v>
      </c>
      <c r="U5300" s="44">
        <v>45925.40876821759</v>
      </c>
      <c r="V5300" s="44">
        <v>45925.45550837963</v>
      </c>
      <c r="W5300" s="11"/>
      <c r="X5300" s="11"/>
      <c r="Y5300" s="45">
        <v>302.0</v>
      </c>
      <c r="Z5300" s="45" t="s">
        <v>21332</v>
      </c>
      <c r="AA5300" s="31"/>
      <c r="AB5300" s="45" t="s">
        <v>21333</v>
      </c>
      <c r="AC5300" s="45"/>
    </row>
    <row r="5301" ht="18.75" customHeight="1">
      <c r="A5301" s="18" t="s">
        <v>21334</v>
      </c>
      <c r="B5301" s="19" t="s">
        <v>7885</v>
      </c>
      <c r="C5301" s="20">
        <v>90.0</v>
      </c>
      <c r="D5301" s="39" t="s">
        <v>21335</v>
      </c>
      <c r="E5301" s="27" t="s">
        <v>91</v>
      </c>
      <c r="F5301" s="27" t="s">
        <v>48</v>
      </c>
      <c r="G5301" s="18" t="s">
        <v>35</v>
      </c>
      <c r="H5301" s="40" t="s">
        <v>35</v>
      </c>
      <c r="I5301" s="37" t="s">
        <v>36</v>
      </c>
      <c r="J5301" s="25" t="s">
        <v>92</v>
      </c>
      <c r="K5301" s="26" t="s">
        <v>38</v>
      </c>
      <c r="L5301" s="25">
        <v>13965.0</v>
      </c>
      <c r="M5301" s="49" t="s">
        <v>15811</v>
      </c>
      <c r="N5301" s="42"/>
      <c r="O5301" s="67">
        <v>45924.701862939815</v>
      </c>
      <c r="P5301" s="35" t="s">
        <v>17486</v>
      </c>
      <c r="Q5301" s="13" t="s">
        <v>75</v>
      </c>
      <c r="R5301" s="13" t="s">
        <v>75</v>
      </c>
      <c r="S5301" s="13" t="s">
        <v>75</v>
      </c>
      <c r="T5301" s="44">
        <v>45924.68519120371</v>
      </c>
      <c r="U5301" s="44">
        <v>45924.701862939815</v>
      </c>
      <c r="V5301" s="44">
        <v>45924.701862939815</v>
      </c>
      <c r="W5301" s="11"/>
      <c r="X5301" s="11"/>
      <c r="Y5301" s="45"/>
      <c r="Z5301" s="45"/>
      <c r="AA5301" s="31"/>
      <c r="AB5301" s="45" t="s">
        <v>21336</v>
      </c>
      <c r="AC5301" s="45"/>
    </row>
    <row r="5302" ht="18.75" customHeight="1">
      <c r="A5302" s="18" t="s">
        <v>21337</v>
      </c>
      <c r="B5302" s="19" t="s">
        <v>7885</v>
      </c>
      <c r="C5302" s="20">
        <v>90.0</v>
      </c>
      <c r="D5302" s="39" t="s">
        <v>21338</v>
      </c>
      <c r="E5302" s="27" t="s">
        <v>91</v>
      </c>
      <c r="F5302" s="27" t="s">
        <v>48</v>
      </c>
      <c r="G5302" s="18" t="s">
        <v>35</v>
      </c>
      <c r="H5302" s="40" t="s">
        <v>35</v>
      </c>
      <c r="I5302" s="37" t="s">
        <v>36</v>
      </c>
      <c r="J5302" s="25" t="s">
        <v>92</v>
      </c>
      <c r="K5302" s="26" t="s">
        <v>38</v>
      </c>
      <c r="L5302" s="25">
        <v>13965.0</v>
      </c>
      <c r="M5302" s="49" t="s">
        <v>15811</v>
      </c>
      <c r="N5302" s="42"/>
      <c r="O5302" s="67">
        <v>45924.70191841435</v>
      </c>
      <c r="P5302" s="35" t="s">
        <v>17486</v>
      </c>
      <c r="Q5302" s="13" t="s">
        <v>75</v>
      </c>
      <c r="R5302" s="13" t="s">
        <v>75</v>
      </c>
      <c r="S5302" s="13" t="s">
        <v>75</v>
      </c>
      <c r="T5302" s="44">
        <v>45924.685238645834</v>
      </c>
      <c r="U5302" s="44">
        <v>45924.70191841435</v>
      </c>
      <c r="V5302" s="44">
        <v>45924.70191841435</v>
      </c>
      <c r="W5302" s="11"/>
      <c r="X5302" s="11"/>
      <c r="Y5302" s="45"/>
      <c r="Z5302" s="45"/>
      <c r="AA5302" s="31"/>
      <c r="AB5302" s="45" t="s">
        <v>21339</v>
      </c>
      <c r="AC5302" s="45"/>
    </row>
    <row r="5303" ht="18.75" customHeight="1">
      <c r="A5303" s="142" t="s">
        <v>21340</v>
      </c>
      <c r="B5303" s="229" t="s">
        <v>14522</v>
      </c>
      <c r="C5303" s="20">
        <v>90.0</v>
      </c>
      <c r="D5303" s="39" t="s">
        <v>21341</v>
      </c>
      <c r="E5303" s="27" t="s">
        <v>91</v>
      </c>
      <c r="F5303" s="27" t="s">
        <v>48</v>
      </c>
      <c r="G5303" s="18" t="s">
        <v>35</v>
      </c>
      <c r="H5303" s="40" t="s">
        <v>35</v>
      </c>
      <c r="I5303" s="37" t="s">
        <v>36</v>
      </c>
      <c r="J5303" s="25" t="s">
        <v>65</v>
      </c>
      <c r="K5303" s="26" t="s">
        <v>38</v>
      </c>
      <c r="L5303" s="25">
        <v>13973.0</v>
      </c>
      <c r="M5303" s="49" t="s">
        <v>50</v>
      </c>
      <c r="N5303" s="42" t="s">
        <v>16408</v>
      </c>
      <c r="O5303" s="67">
        <v>45925.646598611114</v>
      </c>
      <c r="P5303" s="35" t="s">
        <v>15829</v>
      </c>
      <c r="Q5303" s="13" t="s">
        <v>75</v>
      </c>
      <c r="R5303" s="13" t="s">
        <v>75</v>
      </c>
      <c r="S5303" s="13" t="s">
        <v>73</v>
      </c>
      <c r="T5303" s="44">
        <v>45924.71246953704</v>
      </c>
      <c r="U5303" s="44">
        <v>45925.40630271991</v>
      </c>
      <c r="V5303" s="44">
        <v>45925.464095567135</v>
      </c>
      <c r="W5303" s="11"/>
      <c r="X5303" s="11"/>
      <c r="Y5303" s="45">
        <v>302.0</v>
      </c>
      <c r="Z5303" s="45" t="s">
        <v>21342</v>
      </c>
      <c r="AA5303" s="31"/>
      <c r="AB5303" s="45" t="s">
        <v>21343</v>
      </c>
      <c r="AC5303" s="45"/>
    </row>
    <row r="5304" ht="18.75" customHeight="1">
      <c r="A5304" s="18" t="s">
        <v>21344</v>
      </c>
      <c r="B5304" s="33" t="s">
        <v>4313</v>
      </c>
      <c r="C5304" s="20">
        <v>34.0</v>
      </c>
      <c r="D5304" s="39" t="s">
        <v>21345</v>
      </c>
      <c r="E5304" s="27" t="s">
        <v>47</v>
      </c>
      <c r="F5304" s="27" t="s">
        <v>48</v>
      </c>
      <c r="G5304" s="18" t="s">
        <v>35</v>
      </c>
      <c r="H5304" s="40" t="s">
        <v>35</v>
      </c>
      <c r="I5304" s="37" t="s">
        <v>36</v>
      </c>
      <c r="J5304" s="25" t="s">
        <v>92</v>
      </c>
      <c r="K5304" s="26" t="s">
        <v>38</v>
      </c>
      <c r="L5304" s="25">
        <v>14013.0</v>
      </c>
      <c r="M5304" s="49" t="s">
        <v>50</v>
      </c>
      <c r="N5304" s="42" t="s">
        <v>10176</v>
      </c>
      <c r="O5304" s="67">
        <v>45930.62235715278</v>
      </c>
      <c r="P5304" s="35" t="s">
        <v>21346</v>
      </c>
      <c r="Q5304" s="13" t="s">
        <v>75</v>
      </c>
      <c r="R5304" s="13" t="s">
        <v>6028</v>
      </c>
      <c r="S5304" s="13" t="s">
        <v>73</v>
      </c>
      <c r="T5304" s="44">
        <v>45925.434693310184</v>
      </c>
      <c r="U5304" s="44">
        <v>45929.64371942129</v>
      </c>
      <c r="V5304" s="44">
        <v>45930.44810033565</v>
      </c>
      <c r="W5304" s="11"/>
      <c r="X5304" s="11"/>
      <c r="Y5304" s="45">
        <v>302.0</v>
      </c>
      <c r="Z5304" s="45" t="s">
        <v>21347</v>
      </c>
      <c r="AA5304" s="31"/>
      <c r="AB5304" s="45" t="s">
        <v>21348</v>
      </c>
      <c r="AC5304" s="45"/>
    </row>
    <row r="5305" ht="18.75" customHeight="1">
      <c r="A5305" s="18" t="s">
        <v>21349</v>
      </c>
      <c r="B5305" s="33" t="s">
        <v>4313</v>
      </c>
      <c r="C5305" s="20">
        <v>34.0</v>
      </c>
      <c r="D5305" s="39" t="s">
        <v>21350</v>
      </c>
      <c r="E5305" s="27" t="s">
        <v>47</v>
      </c>
      <c r="F5305" s="27" t="s">
        <v>48</v>
      </c>
      <c r="G5305" s="18" t="s">
        <v>35</v>
      </c>
      <c r="H5305" s="40" t="s">
        <v>35</v>
      </c>
      <c r="I5305" s="37" t="s">
        <v>36</v>
      </c>
      <c r="J5305" s="25" t="s">
        <v>92</v>
      </c>
      <c r="K5305" s="26" t="s">
        <v>38</v>
      </c>
      <c r="L5305" s="25">
        <v>14013.0</v>
      </c>
      <c r="M5305" s="49" t="s">
        <v>50</v>
      </c>
      <c r="N5305" s="42" t="s">
        <v>10176</v>
      </c>
      <c r="O5305" s="67">
        <v>45930.62228873842</v>
      </c>
      <c r="P5305" s="35" t="s">
        <v>21346</v>
      </c>
      <c r="Q5305" s="13" t="s">
        <v>75</v>
      </c>
      <c r="R5305" s="13" t="s">
        <v>6028</v>
      </c>
      <c r="S5305" s="13" t="s">
        <v>73</v>
      </c>
      <c r="T5305" s="44">
        <v>45925.47572289352</v>
      </c>
      <c r="U5305" s="44">
        <v>45929.6437977662</v>
      </c>
      <c r="V5305" s="44">
        <v>45930.44804657408</v>
      </c>
      <c r="W5305" s="11"/>
      <c r="X5305" s="11"/>
      <c r="Y5305" s="45">
        <v>302.0</v>
      </c>
      <c r="Z5305" s="45" t="s">
        <v>21351</v>
      </c>
      <c r="AA5305" s="31"/>
      <c r="AB5305" s="45" t="s">
        <v>21352</v>
      </c>
      <c r="AC5305" s="45"/>
    </row>
    <row r="5306" ht="18.75" customHeight="1">
      <c r="A5306" s="142" t="s">
        <v>21353</v>
      </c>
      <c r="B5306" s="33" t="s">
        <v>19230</v>
      </c>
      <c r="C5306" s="20">
        <v>90.0</v>
      </c>
      <c r="D5306" s="39" t="s">
        <v>21354</v>
      </c>
      <c r="E5306" s="27" t="s">
        <v>91</v>
      </c>
      <c r="F5306" s="27" t="s">
        <v>48</v>
      </c>
      <c r="G5306" s="18" t="s">
        <v>35</v>
      </c>
      <c r="H5306" s="40" t="s">
        <v>35</v>
      </c>
      <c r="I5306" s="37" t="s">
        <v>36</v>
      </c>
      <c r="J5306" s="25" t="s">
        <v>18078</v>
      </c>
      <c r="K5306" s="26" t="s">
        <v>38</v>
      </c>
      <c r="L5306" s="25">
        <v>13983.0</v>
      </c>
      <c r="M5306" s="49" t="s">
        <v>50</v>
      </c>
      <c r="N5306" s="42" t="s">
        <v>20640</v>
      </c>
      <c r="O5306" s="67">
        <v>45926.62623248843</v>
      </c>
      <c r="P5306" s="35" t="s">
        <v>21355</v>
      </c>
      <c r="Q5306" s="13" t="s">
        <v>75</v>
      </c>
      <c r="R5306" s="13" t="s">
        <v>75</v>
      </c>
      <c r="S5306" s="13" t="s">
        <v>73</v>
      </c>
      <c r="T5306" s="44">
        <v>45925.47841736111</v>
      </c>
      <c r="U5306" s="44">
        <v>45926.43331662037</v>
      </c>
      <c r="V5306" s="44">
        <v>45926.45788642361</v>
      </c>
      <c r="W5306" s="11"/>
      <c r="X5306" s="11"/>
      <c r="Y5306" s="45">
        <v>302.0</v>
      </c>
      <c r="Z5306" s="45" t="s">
        <v>21356</v>
      </c>
      <c r="AA5306" s="31"/>
      <c r="AB5306" s="45" t="s">
        <v>21357</v>
      </c>
      <c r="AC5306" s="45"/>
    </row>
    <row r="5307" ht="18.75" customHeight="1">
      <c r="A5307" s="142" t="s">
        <v>21358</v>
      </c>
      <c r="B5307" s="33" t="s">
        <v>21359</v>
      </c>
      <c r="C5307" s="20">
        <v>137.0</v>
      </c>
      <c r="D5307" s="39" t="s">
        <v>21360</v>
      </c>
      <c r="E5307" s="27" t="s">
        <v>85</v>
      </c>
      <c r="F5307" s="27" t="s">
        <v>48</v>
      </c>
      <c r="G5307" s="18" t="s">
        <v>35</v>
      </c>
      <c r="H5307" s="40" t="s">
        <v>35</v>
      </c>
      <c r="I5307" s="37" t="s">
        <v>36</v>
      </c>
      <c r="J5307" s="25" t="s">
        <v>18078</v>
      </c>
      <c r="K5307" s="26" t="s">
        <v>38</v>
      </c>
      <c r="L5307" s="25">
        <v>13986.0</v>
      </c>
      <c r="M5307" s="49" t="s">
        <v>50</v>
      </c>
      <c r="N5307" s="42" t="s">
        <v>18079</v>
      </c>
      <c r="O5307" s="67">
        <v>45929.65360340278</v>
      </c>
      <c r="P5307" s="35" t="s">
        <v>14372</v>
      </c>
      <c r="Q5307" s="13" t="s">
        <v>75</v>
      </c>
      <c r="R5307" s="13" t="s">
        <v>75</v>
      </c>
      <c r="S5307" s="13" t="s">
        <v>50</v>
      </c>
      <c r="T5307" s="44">
        <v>45929.44243113426</v>
      </c>
      <c r="U5307" s="44">
        <v>45929.44244171296</v>
      </c>
      <c r="V5307" s="44">
        <v>45929.44607248843</v>
      </c>
      <c r="W5307" s="11"/>
      <c r="X5307" s="11"/>
      <c r="Y5307" s="45">
        <v>302.0</v>
      </c>
      <c r="Z5307" s="45" t="s">
        <v>21361</v>
      </c>
      <c r="AA5307" s="31"/>
      <c r="AB5307" s="45" t="s">
        <v>21362</v>
      </c>
      <c r="AC5307" s="45"/>
    </row>
    <row r="5308" ht="18.75" customHeight="1">
      <c r="A5308" s="142" t="s">
        <v>21363</v>
      </c>
      <c r="B5308" s="33" t="s">
        <v>21364</v>
      </c>
      <c r="C5308" s="20">
        <v>0.0</v>
      </c>
      <c r="D5308" s="210" t="s">
        <v>21365</v>
      </c>
      <c r="E5308" s="27" t="s">
        <v>713</v>
      </c>
      <c r="F5308" s="27" t="s">
        <v>33</v>
      </c>
      <c r="G5308" s="18" t="s">
        <v>35</v>
      </c>
      <c r="H5308" s="40" t="s">
        <v>35</v>
      </c>
      <c r="I5308" s="37" t="s">
        <v>36</v>
      </c>
      <c r="J5308" s="25" t="s">
        <v>18078</v>
      </c>
      <c r="K5308" s="26" t="s">
        <v>38</v>
      </c>
      <c r="L5308" s="25">
        <v>14058.0</v>
      </c>
      <c r="M5308" s="49" t="s">
        <v>73</v>
      </c>
      <c r="N5308" s="42" t="s">
        <v>21366</v>
      </c>
      <c r="O5308" s="67">
        <v>45932.67910553241</v>
      </c>
      <c r="P5308" s="35" t="s">
        <v>21367</v>
      </c>
      <c r="Q5308" s="13" t="s">
        <v>75</v>
      </c>
      <c r="R5308" s="13" t="s">
        <v>75</v>
      </c>
      <c r="S5308" s="13" t="s">
        <v>9620</v>
      </c>
      <c r="T5308" s="44">
        <v>45925.4771730787</v>
      </c>
      <c r="U5308" s="44">
        <v>45931.440447002315</v>
      </c>
      <c r="V5308" s="44">
        <v>45931.45506418981</v>
      </c>
      <c r="W5308" s="11"/>
      <c r="X5308" s="11"/>
      <c r="Y5308" s="45">
        <v>302.0</v>
      </c>
      <c r="Z5308" s="45" t="s">
        <v>21368</v>
      </c>
      <c r="AA5308" s="31"/>
      <c r="AB5308" s="45" t="s">
        <v>21369</v>
      </c>
      <c r="AC5308" s="45"/>
    </row>
    <row r="5309" ht="18.75" customHeight="1">
      <c r="A5309" s="18" t="s">
        <v>21370</v>
      </c>
      <c r="B5309" s="33" t="s">
        <v>147</v>
      </c>
      <c r="C5309" s="20">
        <v>0.0</v>
      </c>
      <c r="D5309" s="39" t="s">
        <v>21371</v>
      </c>
      <c r="E5309" s="27" t="s">
        <v>3441</v>
      </c>
      <c r="F5309" s="27" t="s">
        <v>48</v>
      </c>
      <c r="G5309" s="18" t="s">
        <v>35</v>
      </c>
      <c r="H5309" s="40" t="s">
        <v>35</v>
      </c>
      <c r="I5309" s="37" t="s">
        <v>36</v>
      </c>
      <c r="J5309" s="25" t="s">
        <v>65</v>
      </c>
      <c r="K5309" s="26" t="s">
        <v>38</v>
      </c>
      <c r="L5309" s="25">
        <v>13993.0</v>
      </c>
      <c r="M5309" s="230" t="s">
        <v>50</v>
      </c>
      <c r="N5309" s="42" t="s">
        <v>16408</v>
      </c>
      <c r="O5309" s="67">
        <v>45926.694827581014</v>
      </c>
      <c r="P5309" s="35" t="s">
        <v>21372</v>
      </c>
      <c r="Q5309" s="13" t="s">
        <v>75</v>
      </c>
      <c r="R5309" s="13" t="s">
        <v>75</v>
      </c>
      <c r="S5309" s="13" t="s">
        <v>50</v>
      </c>
      <c r="T5309" s="44">
        <v>45925.481576875</v>
      </c>
      <c r="U5309" s="44">
        <v>45926.45982076389</v>
      </c>
      <c r="V5309" s="44">
        <v>45926.49397627315</v>
      </c>
      <c r="W5309" s="11"/>
      <c r="X5309" s="148">
        <v>45926.0</v>
      </c>
      <c r="Y5309" s="45">
        <v>302.0</v>
      </c>
      <c r="Z5309" s="45" t="s">
        <v>21373</v>
      </c>
      <c r="AA5309" s="31"/>
      <c r="AB5309" s="45" t="s">
        <v>21374</v>
      </c>
      <c r="AC5309" s="45"/>
    </row>
    <row r="5310" ht="18.75" customHeight="1">
      <c r="A5310" s="18" t="s">
        <v>21375</v>
      </c>
      <c r="B5310" s="33" t="s">
        <v>147</v>
      </c>
      <c r="C5310" s="20">
        <v>0.0</v>
      </c>
      <c r="D5310" s="178" t="s">
        <v>21376</v>
      </c>
      <c r="E5310" s="27" t="s">
        <v>3441</v>
      </c>
      <c r="F5310" s="27" t="s">
        <v>48</v>
      </c>
      <c r="G5310" s="18" t="s">
        <v>35</v>
      </c>
      <c r="H5310" s="40" t="s">
        <v>35</v>
      </c>
      <c r="I5310" s="37" t="s">
        <v>36</v>
      </c>
      <c r="J5310" s="25" t="s">
        <v>65</v>
      </c>
      <c r="K5310" s="26" t="s">
        <v>38</v>
      </c>
      <c r="L5310" s="25">
        <v>13993.0</v>
      </c>
      <c r="M5310" s="49" t="s">
        <v>50</v>
      </c>
      <c r="N5310" s="42" t="s">
        <v>16408</v>
      </c>
      <c r="O5310" s="67">
        <v>45926.69478153935</v>
      </c>
      <c r="P5310" s="35" t="s">
        <v>21372</v>
      </c>
      <c r="Q5310" s="13" t="s">
        <v>75</v>
      </c>
      <c r="R5310" s="13" t="s">
        <v>75</v>
      </c>
      <c r="S5310" s="13" t="s">
        <v>50</v>
      </c>
      <c r="T5310" s="44">
        <v>45926.48083756944</v>
      </c>
      <c r="U5310" s="44">
        <v>45926.4809990625</v>
      </c>
      <c r="V5310" s="44">
        <v>45926.49397627315</v>
      </c>
      <c r="W5310" s="11"/>
      <c r="X5310" s="148">
        <v>45926.0</v>
      </c>
      <c r="Y5310" s="45">
        <v>302.0</v>
      </c>
      <c r="Z5310" s="45" t="s">
        <v>21377</v>
      </c>
      <c r="AA5310" s="31"/>
      <c r="AB5310" s="45" t="s">
        <v>21378</v>
      </c>
      <c r="AC5310" s="45"/>
    </row>
    <row r="5311" ht="18.75" customHeight="1">
      <c r="A5311" s="18" t="s">
        <v>21379</v>
      </c>
      <c r="B5311" s="33" t="s">
        <v>147</v>
      </c>
      <c r="C5311" s="20">
        <v>0.0</v>
      </c>
      <c r="D5311" s="39"/>
      <c r="E5311" s="27" t="s">
        <v>3441</v>
      </c>
      <c r="F5311" s="27" t="s">
        <v>48</v>
      </c>
      <c r="G5311" s="18" t="s">
        <v>35</v>
      </c>
      <c r="H5311" s="40" t="s">
        <v>35</v>
      </c>
      <c r="I5311" s="24" t="s">
        <v>18314</v>
      </c>
      <c r="J5311" s="25" t="s">
        <v>65</v>
      </c>
      <c r="K5311" s="26" t="s">
        <v>38</v>
      </c>
      <c r="L5311" s="72">
        <v>-13985.0</v>
      </c>
      <c r="M5311" s="49"/>
      <c r="N5311" s="42"/>
      <c r="O5311" s="68"/>
      <c r="P5311" s="35" t="s">
        <v>21372</v>
      </c>
      <c r="Q5311" s="13" t="s">
        <v>75</v>
      </c>
      <c r="R5311" s="13" t="s">
        <v>75</v>
      </c>
      <c r="S5311" s="13" t="s">
        <v>75</v>
      </c>
      <c r="T5311" s="44">
        <v>45925.481678125</v>
      </c>
      <c r="U5311" s="44">
        <v>45926.459959050924</v>
      </c>
      <c r="V5311" s="13"/>
      <c r="W5311" s="11"/>
      <c r="X5311" s="148">
        <v>45926.0</v>
      </c>
      <c r="Y5311" s="45"/>
      <c r="Z5311" s="45"/>
      <c r="AA5311" s="31"/>
      <c r="AB5311" s="45" t="s">
        <v>21380</v>
      </c>
      <c r="AC5311" s="45"/>
    </row>
    <row r="5312" ht="18.75" customHeight="1">
      <c r="A5312" s="18" t="s">
        <v>21381</v>
      </c>
      <c r="B5312" s="33" t="s">
        <v>9895</v>
      </c>
      <c r="C5312" s="20">
        <v>0.0</v>
      </c>
      <c r="D5312" s="39" t="s">
        <v>21382</v>
      </c>
      <c r="E5312" s="27" t="s">
        <v>3441</v>
      </c>
      <c r="F5312" s="27" t="s">
        <v>48</v>
      </c>
      <c r="G5312" s="18" t="s">
        <v>35</v>
      </c>
      <c r="H5312" s="40" t="s">
        <v>35</v>
      </c>
      <c r="I5312" s="37" t="s">
        <v>36</v>
      </c>
      <c r="J5312" s="25" t="s">
        <v>49</v>
      </c>
      <c r="K5312" s="26" t="s">
        <v>38</v>
      </c>
      <c r="L5312" s="25">
        <v>13987.0</v>
      </c>
      <c r="M5312" s="49" t="s">
        <v>50</v>
      </c>
      <c r="N5312" s="42" t="s">
        <v>17048</v>
      </c>
      <c r="O5312" s="67">
        <v>45926.59342680556</v>
      </c>
      <c r="P5312" s="35" t="s">
        <v>15594</v>
      </c>
      <c r="Q5312" s="13" t="s">
        <v>75</v>
      </c>
      <c r="R5312" s="13" t="s">
        <v>75</v>
      </c>
      <c r="S5312" s="13" t="s">
        <v>73</v>
      </c>
      <c r="T5312" s="44">
        <v>45925.482900393516</v>
      </c>
      <c r="U5312" s="44">
        <v>45925.579377256945</v>
      </c>
      <c r="V5312" s="44">
        <v>45926.43008951389</v>
      </c>
      <c r="W5312" s="11"/>
      <c r="X5312" s="11"/>
      <c r="Y5312" s="207">
        <v>302.0</v>
      </c>
      <c r="Z5312" s="45" t="s">
        <v>21383</v>
      </c>
      <c r="AA5312" s="31"/>
      <c r="AB5312" s="45" t="s">
        <v>21384</v>
      </c>
      <c r="AC5312" s="45"/>
    </row>
    <row r="5313" ht="18.75" customHeight="1">
      <c r="A5313" s="18" t="s">
        <v>21385</v>
      </c>
      <c r="B5313" s="33" t="s">
        <v>9895</v>
      </c>
      <c r="C5313" s="20">
        <v>27.0</v>
      </c>
      <c r="D5313" s="39" t="s">
        <v>21386</v>
      </c>
      <c r="E5313" s="27" t="s">
        <v>72</v>
      </c>
      <c r="F5313" s="27" t="s">
        <v>48</v>
      </c>
      <c r="G5313" s="18" t="s">
        <v>35</v>
      </c>
      <c r="H5313" s="40" t="s">
        <v>35</v>
      </c>
      <c r="I5313" s="37" t="s">
        <v>36</v>
      </c>
      <c r="J5313" s="25" t="s">
        <v>49</v>
      </c>
      <c r="K5313" s="26" t="s">
        <v>38</v>
      </c>
      <c r="L5313" s="25">
        <v>13987.0</v>
      </c>
      <c r="M5313" s="49" t="s">
        <v>50</v>
      </c>
      <c r="N5313" s="42" t="s">
        <v>17048</v>
      </c>
      <c r="O5313" s="67">
        <v>45926.59349939815</v>
      </c>
      <c r="P5313" s="35" t="s">
        <v>15594</v>
      </c>
      <c r="Q5313" s="13" t="s">
        <v>75</v>
      </c>
      <c r="R5313" s="13" t="s">
        <v>75</v>
      </c>
      <c r="S5313" s="13" t="s">
        <v>73</v>
      </c>
      <c r="T5313" s="44">
        <v>45925.48301729167</v>
      </c>
      <c r="U5313" s="44">
        <v>45925.57935164352</v>
      </c>
      <c r="V5313" s="44">
        <v>45926.430027916664</v>
      </c>
      <c r="W5313" s="11"/>
      <c r="X5313" s="11"/>
      <c r="Y5313" s="207">
        <v>302.0</v>
      </c>
      <c r="Z5313" s="45" t="s">
        <v>21387</v>
      </c>
      <c r="AA5313" s="31"/>
      <c r="AB5313" s="45" t="s">
        <v>21388</v>
      </c>
      <c r="AC5313" s="45"/>
    </row>
    <row r="5314" ht="18.75" customHeight="1">
      <c r="A5314" s="18" t="s">
        <v>21389</v>
      </c>
      <c r="B5314" s="33" t="s">
        <v>4293</v>
      </c>
      <c r="C5314" s="20">
        <v>90.0</v>
      </c>
      <c r="D5314" s="39" t="s">
        <v>21390</v>
      </c>
      <c r="E5314" s="27" t="s">
        <v>91</v>
      </c>
      <c r="F5314" s="27" t="s">
        <v>48</v>
      </c>
      <c r="G5314" s="18" t="s">
        <v>35</v>
      </c>
      <c r="H5314" s="40" t="s">
        <v>35</v>
      </c>
      <c r="I5314" s="37" t="s">
        <v>36</v>
      </c>
      <c r="J5314" s="25" t="s">
        <v>18078</v>
      </c>
      <c r="K5314" s="26" t="s">
        <v>38</v>
      </c>
      <c r="L5314" s="25">
        <v>13989.0</v>
      </c>
      <c r="M5314" s="49" t="s">
        <v>50</v>
      </c>
      <c r="N5314" s="42" t="s">
        <v>20640</v>
      </c>
      <c r="O5314" s="67">
        <v>45926.6260499537</v>
      </c>
      <c r="P5314" s="35" t="s">
        <v>21298</v>
      </c>
      <c r="Q5314" s="13" t="s">
        <v>75</v>
      </c>
      <c r="R5314" s="13" t="s">
        <v>75</v>
      </c>
      <c r="S5314" s="13" t="s">
        <v>73</v>
      </c>
      <c r="T5314" s="44">
        <v>45925.48384371528</v>
      </c>
      <c r="U5314" s="44">
        <v>45925.62717704861</v>
      </c>
      <c r="V5314" s="44">
        <v>45926.457700810184</v>
      </c>
      <c r="W5314" s="11"/>
      <c r="X5314" s="11"/>
      <c r="Y5314" s="45">
        <v>302.0</v>
      </c>
      <c r="Z5314" s="45" t="s">
        <v>21391</v>
      </c>
      <c r="AA5314" s="31"/>
      <c r="AB5314" s="45" t="s">
        <v>21392</v>
      </c>
      <c r="AC5314" s="45"/>
    </row>
    <row r="5315" ht="18.75" customHeight="1">
      <c r="A5315" s="18" t="s">
        <v>21393</v>
      </c>
      <c r="B5315" s="33" t="s">
        <v>4293</v>
      </c>
      <c r="C5315" s="20">
        <v>90.0</v>
      </c>
      <c r="D5315" s="39" t="s">
        <v>21394</v>
      </c>
      <c r="E5315" s="27" t="s">
        <v>91</v>
      </c>
      <c r="F5315" s="27" t="s">
        <v>48</v>
      </c>
      <c r="G5315" s="18" t="s">
        <v>35</v>
      </c>
      <c r="H5315" s="40" t="s">
        <v>35</v>
      </c>
      <c r="I5315" s="37" t="s">
        <v>36</v>
      </c>
      <c r="J5315" s="25" t="s">
        <v>18078</v>
      </c>
      <c r="K5315" s="26" t="s">
        <v>38</v>
      </c>
      <c r="L5315" s="25">
        <v>13989.0</v>
      </c>
      <c r="M5315" s="49" t="s">
        <v>50</v>
      </c>
      <c r="N5315" s="42" t="s">
        <v>20640</v>
      </c>
      <c r="O5315" s="67">
        <v>45926.62613243055</v>
      </c>
      <c r="P5315" s="35" t="s">
        <v>21298</v>
      </c>
      <c r="Q5315" s="13" t="s">
        <v>75</v>
      </c>
      <c r="R5315" s="13" t="s">
        <v>75</v>
      </c>
      <c r="S5315" s="13" t="s">
        <v>73</v>
      </c>
      <c r="T5315" s="44">
        <v>45925.48392396991</v>
      </c>
      <c r="U5315" s="44">
        <v>45925.62719783565</v>
      </c>
      <c r="V5315" s="44">
        <v>45926.45776665509</v>
      </c>
      <c r="W5315" s="11"/>
      <c r="X5315" s="11"/>
      <c r="Y5315" s="45">
        <v>302.0</v>
      </c>
      <c r="Z5315" s="45" t="s">
        <v>21395</v>
      </c>
      <c r="AA5315" s="31"/>
      <c r="AB5315" s="45" t="s">
        <v>21396</v>
      </c>
      <c r="AC5315" s="45"/>
    </row>
    <row r="5316" ht="18.75" customHeight="1">
      <c r="A5316" s="142" t="s">
        <v>21397</v>
      </c>
      <c r="B5316" s="33" t="s">
        <v>20245</v>
      </c>
      <c r="C5316" s="20">
        <v>137.0</v>
      </c>
      <c r="D5316" s="39" t="s">
        <v>21398</v>
      </c>
      <c r="E5316" s="27" t="s">
        <v>85</v>
      </c>
      <c r="F5316" s="27" t="s">
        <v>48</v>
      </c>
      <c r="G5316" s="18" t="s">
        <v>35</v>
      </c>
      <c r="H5316" s="40" t="s">
        <v>35</v>
      </c>
      <c r="I5316" s="37" t="s">
        <v>36</v>
      </c>
      <c r="J5316" s="25" t="s">
        <v>49</v>
      </c>
      <c r="K5316" s="26" t="s">
        <v>21399</v>
      </c>
      <c r="L5316" s="25">
        <v>13990.0</v>
      </c>
      <c r="M5316" s="49" t="s">
        <v>50</v>
      </c>
      <c r="N5316" s="42" t="s">
        <v>17048</v>
      </c>
      <c r="O5316" s="67">
        <v>45926.5935421412</v>
      </c>
      <c r="P5316" s="35" t="s">
        <v>21400</v>
      </c>
      <c r="Q5316" s="13" t="s">
        <v>75</v>
      </c>
      <c r="R5316" s="13" t="s">
        <v>75</v>
      </c>
      <c r="S5316" s="13" t="s">
        <v>73</v>
      </c>
      <c r="T5316" s="44">
        <v>45925.482901932875</v>
      </c>
      <c r="U5316" s="44">
        <v>45925.49348662037</v>
      </c>
      <c r="V5316" s="44">
        <v>45926.42995938657</v>
      </c>
      <c r="W5316" s="11"/>
      <c r="X5316" s="11"/>
      <c r="Y5316" s="207">
        <v>302.0</v>
      </c>
      <c r="Z5316" s="45" t="s">
        <v>21401</v>
      </c>
      <c r="AA5316" s="31"/>
      <c r="AB5316" s="45" t="s">
        <v>21402</v>
      </c>
      <c r="AC5316" s="45"/>
    </row>
    <row r="5317" ht="18.75" customHeight="1">
      <c r="A5317" s="18" t="s">
        <v>21403</v>
      </c>
      <c r="B5317" s="33" t="s">
        <v>21097</v>
      </c>
      <c r="C5317" s="20">
        <v>1.0</v>
      </c>
      <c r="D5317" s="39"/>
      <c r="E5317" s="27" t="s">
        <v>3395</v>
      </c>
      <c r="F5317" s="27" t="s">
        <v>48</v>
      </c>
      <c r="G5317" s="18" t="s">
        <v>35</v>
      </c>
      <c r="H5317" s="40" t="s">
        <v>35</v>
      </c>
      <c r="I5317" s="37" t="s">
        <v>17277</v>
      </c>
      <c r="J5317" s="25" t="s">
        <v>49</v>
      </c>
      <c r="K5317" s="26" t="s">
        <v>38</v>
      </c>
      <c r="L5317" s="25"/>
      <c r="M5317" s="49"/>
      <c r="N5317" s="42"/>
      <c r="O5317" s="68"/>
      <c r="P5317" s="35" t="s">
        <v>21404</v>
      </c>
      <c r="Q5317" s="13" t="s">
        <v>75</v>
      </c>
      <c r="R5317" s="13"/>
      <c r="S5317" s="13"/>
      <c r="T5317" s="44">
        <v>45925.49170932871</v>
      </c>
      <c r="U5317" s="13"/>
      <c r="V5317" s="13"/>
      <c r="W5317" s="11"/>
      <c r="X5317" s="11"/>
      <c r="Y5317" s="45"/>
      <c r="Z5317" s="45"/>
      <c r="AA5317" s="31"/>
      <c r="AB5317" s="45" t="s">
        <v>21405</v>
      </c>
      <c r="AC5317" s="45"/>
    </row>
    <row r="5318" ht="18.75" customHeight="1">
      <c r="A5318" s="18" t="s">
        <v>21406</v>
      </c>
      <c r="B5318" s="33" t="s">
        <v>21097</v>
      </c>
      <c r="C5318" s="20">
        <v>1.0</v>
      </c>
      <c r="D5318" s="39"/>
      <c r="E5318" s="27" t="s">
        <v>3395</v>
      </c>
      <c r="F5318" s="27" t="s">
        <v>48</v>
      </c>
      <c r="G5318" s="18" t="s">
        <v>35</v>
      </c>
      <c r="H5318" s="40" t="s">
        <v>35</v>
      </c>
      <c r="I5318" s="37" t="s">
        <v>17277</v>
      </c>
      <c r="J5318" s="25" t="s">
        <v>49</v>
      </c>
      <c r="K5318" s="26" t="s">
        <v>38</v>
      </c>
      <c r="L5318" s="25"/>
      <c r="M5318" s="49"/>
      <c r="N5318" s="42"/>
      <c r="O5318" s="68"/>
      <c r="P5318" s="35" t="s">
        <v>21404</v>
      </c>
      <c r="Q5318" s="13" t="s">
        <v>75</v>
      </c>
      <c r="R5318" s="13"/>
      <c r="S5318" s="13" t="s">
        <v>75</v>
      </c>
      <c r="T5318" s="44">
        <v>45925.49166141204</v>
      </c>
      <c r="U5318" s="13"/>
      <c r="V5318" s="13"/>
      <c r="W5318" s="11"/>
      <c r="X5318" s="11"/>
      <c r="Y5318" s="45"/>
      <c r="Z5318" s="45"/>
      <c r="AA5318" s="31"/>
      <c r="AB5318" s="45" t="s">
        <v>21407</v>
      </c>
      <c r="AC5318" s="45"/>
    </row>
    <row r="5319" ht="18.75" customHeight="1">
      <c r="A5319" s="142" t="s">
        <v>21408</v>
      </c>
      <c r="B5319" s="33" t="s">
        <v>21409</v>
      </c>
      <c r="C5319" s="20">
        <v>90.0</v>
      </c>
      <c r="D5319" s="39" t="s">
        <v>21410</v>
      </c>
      <c r="E5319" s="27" t="s">
        <v>91</v>
      </c>
      <c r="F5319" s="27" t="s">
        <v>48</v>
      </c>
      <c r="G5319" s="18" t="s">
        <v>35</v>
      </c>
      <c r="H5319" s="40" t="s">
        <v>35</v>
      </c>
      <c r="I5319" s="37" t="s">
        <v>36</v>
      </c>
      <c r="J5319" s="25" t="s">
        <v>65</v>
      </c>
      <c r="K5319" s="26" t="s">
        <v>38</v>
      </c>
      <c r="L5319" s="25">
        <v>13995.0</v>
      </c>
      <c r="M5319" s="49" t="s">
        <v>50</v>
      </c>
      <c r="N5319" s="42" t="s">
        <v>16408</v>
      </c>
      <c r="O5319" s="67">
        <v>45926.694725995374</v>
      </c>
      <c r="P5319" s="35" t="s">
        <v>15829</v>
      </c>
      <c r="Q5319" s="13" t="s">
        <v>75</v>
      </c>
      <c r="R5319" s="13" t="s">
        <v>75</v>
      </c>
      <c r="S5319" s="13" t="s">
        <v>73</v>
      </c>
      <c r="T5319" s="44">
        <v>45925.575622627315</v>
      </c>
      <c r="U5319" s="44">
        <v>45926.55595083333</v>
      </c>
      <c r="V5319" s="44">
        <v>45926.5604990162</v>
      </c>
      <c r="W5319" s="11"/>
      <c r="X5319" s="11"/>
      <c r="Y5319" s="45">
        <v>302.0</v>
      </c>
      <c r="Z5319" s="45" t="s">
        <v>21411</v>
      </c>
      <c r="AA5319" s="31"/>
      <c r="AB5319" s="45" t="s">
        <v>21412</v>
      </c>
      <c r="AC5319" s="45"/>
    </row>
    <row r="5320" ht="18.75" customHeight="1">
      <c r="A5320" s="18" t="s">
        <v>21413</v>
      </c>
      <c r="B5320" s="33" t="s">
        <v>10563</v>
      </c>
      <c r="C5320" s="20">
        <v>2.0</v>
      </c>
      <c r="D5320" s="179">
        <v>20182.0</v>
      </c>
      <c r="E5320" s="27" t="s">
        <v>14519</v>
      </c>
      <c r="F5320" s="27" t="s">
        <v>48</v>
      </c>
      <c r="G5320" s="18" t="s">
        <v>35</v>
      </c>
      <c r="H5320" s="40" t="s">
        <v>35</v>
      </c>
      <c r="I5320" s="37" t="s">
        <v>36</v>
      </c>
      <c r="J5320" s="25" t="s">
        <v>49</v>
      </c>
      <c r="K5320" s="26" t="s">
        <v>38</v>
      </c>
      <c r="L5320" s="25">
        <v>14065.0</v>
      </c>
      <c r="M5320" s="49" t="s">
        <v>50</v>
      </c>
      <c r="N5320" s="42" t="s">
        <v>17048</v>
      </c>
      <c r="O5320" s="67">
        <v>45933.66287672454</v>
      </c>
      <c r="P5320" s="35" t="s">
        <v>21414</v>
      </c>
      <c r="Q5320" s="13" t="s">
        <v>75</v>
      </c>
      <c r="R5320" s="13" t="s">
        <v>6028</v>
      </c>
      <c r="S5320" s="13" t="s">
        <v>9620</v>
      </c>
      <c r="T5320" s="44">
        <v>45926.398241400464</v>
      </c>
      <c r="U5320" s="44">
        <v>45929.40343266204</v>
      </c>
      <c r="V5320" s="44">
        <v>45929.44428321759</v>
      </c>
      <c r="W5320" s="11"/>
      <c r="X5320" s="11"/>
      <c r="Y5320" s="45">
        <v>302.0</v>
      </c>
      <c r="Z5320" s="45" t="s">
        <v>21415</v>
      </c>
      <c r="AA5320" s="31"/>
      <c r="AB5320" s="45" t="s">
        <v>21416</v>
      </c>
      <c r="AC5320" s="45"/>
    </row>
    <row r="5321" ht="18.75" customHeight="1">
      <c r="A5321" s="18" t="s">
        <v>21417</v>
      </c>
      <c r="B5321" s="33" t="s">
        <v>10563</v>
      </c>
      <c r="C5321" s="20">
        <v>0.0</v>
      </c>
      <c r="D5321" s="179">
        <v>20327.0</v>
      </c>
      <c r="E5321" s="27" t="s">
        <v>13781</v>
      </c>
      <c r="F5321" s="27" t="s">
        <v>48</v>
      </c>
      <c r="G5321" s="18" t="s">
        <v>35</v>
      </c>
      <c r="H5321" s="40" t="s">
        <v>35</v>
      </c>
      <c r="I5321" s="37" t="s">
        <v>36</v>
      </c>
      <c r="J5321" s="25" t="s">
        <v>49</v>
      </c>
      <c r="K5321" s="26" t="s">
        <v>38</v>
      </c>
      <c r="L5321" s="25">
        <v>14065.0</v>
      </c>
      <c r="M5321" s="49" t="s">
        <v>50</v>
      </c>
      <c r="N5321" s="42" t="s">
        <v>17048</v>
      </c>
      <c r="O5321" s="67">
        <v>45933.66277231481</v>
      </c>
      <c r="P5321" s="35" t="s">
        <v>21414</v>
      </c>
      <c r="Q5321" s="13" t="s">
        <v>75</v>
      </c>
      <c r="R5321" s="13" t="s">
        <v>6028</v>
      </c>
      <c r="S5321" s="13" t="s">
        <v>9620</v>
      </c>
      <c r="T5321" s="44">
        <v>45926.39896958333</v>
      </c>
      <c r="U5321" s="44">
        <v>45929.40347775463</v>
      </c>
      <c r="V5321" s="44">
        <v>45932.42784363426</v>
      </c>
      <c r="W5321" s="11"/>
      <c r="X5321" s="11"/>
      <c r="Y5321" s="45">
        <v>302.0</v>
      </c>
      <c r="Z5321" s="45" t="s">
        <v>21418</v>
      </c>
      <c r="AA5321" s="31"/>
      <c r="AB5321" s="45" t="s">
        <v>21419</v>
      </c>
      <c r="AC5321" s="45"/>
    </row>
    <row r="5322" ht="18.75" customHeight="1">
      <c r="A5322" s="18" t="s">
        <v>21420</v>
      </c>
      <c r="B5322" s="33" t="s">
        <v>19901</v>
      </c>
      <c r="C5322" s="20">
        <v>27.0</v>
      </c>
      <c r="D5322" s="39" t="s">
        <v>21421</v>
      </c>
      <c r="E5322" s="27" t="s">
        <v>72</v>
      </c>
      <c r="F5322" s="27" t="s">
        <v>48</v>
      </c>
      <c r="G5322" s="18" t="s">
        <v>35</v>
      </c>
      <c r="H5322" s="40" t="s">
        <v>35</v>
      </c>
      <c r="I5322" s="37" t="s">
        <v>36</v>
      </c>
      <c r="J5322" s="25" t="s">
        <v>65</v>
      </c>
      <c r="K5322" s="26" t="s">
        <v>38</v>
      </c>
      <c r="L5322" s="25">
        <v>13988.0</v>
      </c>
      <c r="M5322" s="49" t="s">
        <v>50</v>
      </c>
      <c r="N5322" s="42" t="s">
        <v>16408</v>
      </c>
      <c r="O5322" s="67">
        <v>45926.69468193287</v>
      </c>
      <c r="P5322" s="35" t="s">
        <v>21422</v>
      </c>
      <c r="Q5322" s="13" t="s">
        <v>75</v>
      </c>
      <c r="R5322" s="13" t="s">
        <v>75</v>
      </c>
      <c r="S5322" s="13" t="s">
        <v>73</v>
      </c>
      <c r="T5322" s="44">
        <v>45926.399550277776</v>
      </c>
      <c r="U5322" s="44">
        <v>45926.42448236111</v>
      </c>
      <c r="V5322" s="44">
        <v>45926.43617927084</v>
      </c>
      <c r="W5322" s="11"/>
      <c r="X5322" s="11"/>
      <c r="Y5322" s="45">
        <v>302.0</v>
      </c>
      <c r="Z5322" s="45" t="s">
        <v>21423</v>
      </c>
      <c r="AA5322" s="31"/>
      <c r="AB5322" s="45" t="s">
        <v>21424</v>
      </c>
      <c r="AC5322" s="45"/>
    </row>
    <row r="5323" ht="18.75" customHeight="1">
      <c r="A5323" s="18" t="s">
        <v>21425</v>
      </c>
      <c r="B5323" s="33" t="s">
        <v>19901</v>
      </c>
      <c r="C5323" s="20">
        <v>27.0</v>
      </c>
      <c r="D5323" s="39" t="s">
        <v>21426</v>
      </c>
      <c r="E5323" s="27" t="s">
        <v>72</v>
      </c>
      <c r="F5323" s="27" t="s">
        <v>48</v>
      </c>
      <c r="G5323" s="18" t="s">
        <v>35</v>
      </c>
      <c r="H5323" s="40" t="s">
        <v>35</v>
      </c>
      <c r="I5323" s="37" t="s">
        <v>36</v>
      </c>
      <c r="J5323" s="25" t="s">
        <v>65</v>
      </c>
      <c r="K5323" s="26" t="s">
        <v>38</v>
      </c>
      <c r="L5323" s="25">
        <v>13988.0</v>
      </c>
      <c r="M5323" s="49" t="s">
        <v>50</v>
      </c>
      <c r="N5323" s="42" t="s">
        <v>16408</v>
      </c>
      <c r="O5323" s="67">
        <v>45926.69462863426</v>
      </c>
      <c r="P5323" s="35" t="s">
        <v>21422</v>
      </c>
      <c r="Q5323" s="13" t="s">
        <v>75</v>
      </c>
      <c r="R5323" s="13" t="s">
        <v>75</v>
      </c>
      <c r="S5323" s="13" t="s">
        <v>73</v>
      </c>
      <c r="T5323" s="44">
        <v>45926.40022996528</v>
      </c>
      <c r="U5323" s="44">
        <v>45926.424520775465</v>
      </c>
      <c r="V5323" s="44">
        <v>45926.43625388889</v>
      </c>
      <c r="W5323" s="11"/>
      <c r="X5323" s="11"/>
      <c r="Y5323" s="45">
        <v>302.0</v>
      </c>
      <c r="Z5323" s="45" t="s">
        <v>21427</v>
      </c>
      <c r="AA5323" s="31"/>
      <c r="AB5323" s="45" t="s">
        <v>21428</v>
      </c>
      <c r="AC5323" s="45"/>
    </row>
    <row r="5324" ht="18.75" customHeight="1">
      <c r="A5324" s="18" t="s">
        <v>21429</v>
      </c>
      <c r="B5324" s="33" t="s">
        <v>19901</v>
      </c>
      <c r="C5324" s="20">
        <v>90.0</v>
      </c>
      <c r="D5324" s="39" t="s">
        <v>21430</v>
      </c>
      <c r="E5324" s="27" t="s">
        <v>91</v>
      </c>
      <c r="F5324" s="27" t="s">
        <v>48</v>
      </c>
      <c r="G5324" s="18" t="s">
        <v>35</v>
      </c>
      <c r="H5324" s="40" t="s">
        <v>35</v>
      </c>
      <c r="I5324" s="37" t="s">
        <v>36</v>
      </c>
      <c r="J5324" s="25" t="s">
        <v>65</v>
      </c>
      <c r="K5324" s="26" t="s">
        <v>38</v>
      </c>
      <c r="L5324" s="25">
        <v>13988.0</v>
      </c>
      <c r="M5324" s="49" t="s">
        <v>50</v>
      </c>
      <c r="N5324" s="42" t="s">
        <v>16408</v>
      </c>
      <c r="O5324" s="67">
        <v>45926.69454027778</v>
      </c>
      <c r="P5324" s="35" t="s">
        <v>21422</v>
      </c>
      <c r="Q5324" s="13" t="s">
        <v>75</v>
      </c>
      <c r="R5324" s="13" t="s">
        <v>75</v>
      </c>
      <c r="S5324" s="13" t="s">
        <v>73</v>
      </c>
      <c r="T5324" s="44">
        <v>45926.39995027777</v>
      </c>
      <c r="U5324" s="44">
        <v>45926.42455789352</v>
      </c>
      <c r="V5324" s="44">
        <v>45926.438265578705</v>
      </c>
      <c r="W5324" s="11"/>
      <c r="X5324" s="11"/>
      <c r="Y5324" s="45">
        <v>302.0</v>
      </c>
      <c r="Z5324" s="45" t="s">
        <v>21431</v>
      </c>
      <c r="AA5324" s="31"/>
      <c r="AB5324" s="45" t="s">
        <v>21432</v>
      </c>
      <c r="AC5324" s="45"/>
    </row>
    <row r="5325" ht="18.75" customHeight="1">
      <c r="A5325" s="142" t="s">
        <v>21433</v>
      </c>
      <c r="B5325" s="33" t="s">
        <v>3289</v>
      </c>
      <c r="C5325" s="20">
        <v>11.0</v>
      </c>
      <c r="D5325" s="39" t="s">
        <v>21434</v>
      </c>
      <c r="E5325" s="27" t="s">
        <v>112</v>
      </c>
      <c r="F5325" s="27" t="s">
        <v>48</v>
      </c>
      <c r="G5325" s="18" t="s">
        <v>35</v>
      </c>
      <c r="H5325" s="40" t="s">
        <v>35</v>
      </c>
      <c r="I5325" s="37" t="s">
        <v>36</v>
      </c>
      <c r="J5325" s="25" t="s">
        <v>92</v>
      </c>
      <c r="K5325" s="26" t="s">
        <v>38</v>
      </c>
      <c r="L5325" s="25">
        <v>14003.0</v>
      </c>
      <c r="M5325" s="49" t="s">
        <v>73</v>
      </c>
      <c r="N5325" s="42" t="s">
        <v>16512</v>
      </c>
      <c r="O5325" s="67">
        <v>45929.68846527778</v>
      </c>
      <c r="P5325" s="35" t="s">
        <v>21435</v>
      </c>
      <c r="Q5325" s="13" t="s">
        <v>75</v>
      </c>
      <c r="R5325" s="13" t="s">
        <v>6028</v>
      </c>
      <c r="S5325" s="13" t="s">
        <v>73</v>
      </c>
      <c r="T5325" s="44">
        <v>45926.400739212964</v>
      </c>
      <c r="U5325" s="44">
        <v>45929.40528543982</v>
      </c>
      <c r="V5325" s="44">
        <v>45929.411787199075</v>
      </c>
      <c r="W5325" s="11"/>
      <c r="X5325" s="11"/>
      <c r="Y5325" s="45">
        <v>302.0</v>
      </c>
      <c r="Z5325" s="45" t="s">
        <v>21436</v>
      </c>
      <c r="AA5325" s="31"/>
      <c r="AB5325" s="45" t="s">
        <v>21437</v>
      </c>
      <c r="AC5325" s="45"/>
    </row>
    <row r="5326" ht="18.75" customHeight="1">
      <c r="A5326" s="142" t="s">
        <v>21438</v>
      </c>
      <c r="B5326" s="33" t="s">
        <v>4215</v>
      </c>
      <c r="C5326" s="20">
        <v>90.0</v>
      </c>
      <c r="D5326" s="39" t="s">
        <v>21439</v>
      </c>
      <c r="E5326" s="27" t="s">
        <v>91</v>
      </c>
      <c r="F5326" s="27" t="s">
        <v>48</v>
      </c>
      <c r="G5326" s="18" t="s">
        <v>35</v>
      </c>
      <c r="H5326" s="40" t="s">
        <v>35</v>
      </c>
      <c r="I5326" s="37" t="s">
        <v>36</v>
      </c>
      <c r="J5326" s="25" t="s">
        <v>65</v>
      </c>
      <c r="K5326" s="26" t="s">
        <v>38</v>
      </c>
      <c r="L5326" s="25">
        <v>13991.0</v>
      </c>
      <c r="M5326" s="49" t="s">
        <v>50</v>
      </c>
      <c r="N5326" s="42" t="s">
        <v>16408</v>
      </c>
      <c r="O5326" s="67">
        <v>45926.69438743056</v>
      </c>
      <c r="P5326" s="26" t="s">
        <v>21440</v>
      </c>
      <c r="Q5326" s="13" t="s">
        <v>75</v>
      </c>
      <c r="R5326" s="13" t="s">
        <v>75</v>
      </c>
      <c r="S5326" s="13" t="s">
        <v>73</v>
      </c>
      <c r="T5326" s="44">
        <v>45926.405358206015</v>
      </c>
      <c r="U5326" s="44">
        <v>45926.415061481486</v>
      </c>
      <c r="V5326" s="44">
        <v>45926.43818949074</v>
      </c>
      <c r="W5326" s="11"/>
      <c r="X5326" s="11"/>
      <c r="Y5326" s="45">
        <v>302.0</v>
      </c>
      <c r="Z5326" s="45" t="s">
        <v>21441</v>
      </c>
      <c r="AA5326" s="31"/>
      <c r="AB5326" s="45" t="s">
        <v>21442</v>
      </c>
      <c r="AC5326" s="45"/>
    </row>
    <row r="5327" ht="18.75" customHeight="1">
      <c r="A5327" s="18" t="s">
        <v>21443</v>
      </c>
      <c r="B5327" s="33" t="s">
        <v>4313</v>
      </c>
      <c r="C5327" s="20">
        <v>0.0</v>
      </c>
      <c r="D5327" s="39"/>
      <c r="E5327" s="27" t="s">
        <v>12486</v>
      </c>
      <c r="F5327" s="27" t="s">
        <v>11504</v>
      </c>
      <c r="G5327" s="18" t="s">
        <v>35</v>
      </c>
      <c r="H5327" s="40" t="s">
        <v>35</v>
      </c>
      <c r="I5327" s="37" t="s">
        <v>36</v>
      </c>
      <c r="J5327" s="25" t="s">
        <v>92</v>
      </c>
      <c r="K5327" s="26" t="s">
        <v>38</v>
      </c>
      <c r="L5327" s="25">
        <v>13998.0</v>
      </c>
      <c r="M5327" s="49" t="s">
        <v>50</v>
      </c>
      <c r="N5327" s="42" t="s">
        <v>10176</v>
      </c>
      <c r="O5327" s="67">
        <v>45926.6154487037</v>
      </c>
      <c r="P5327" s="35" t="s">
        <v>21444</v>
      </c>
      <c r="Q5327" s="13" t="s">
        <v>75</v>
      </c>
      <c r="R5327" s="13" t="s">
        <v>75</v>
      </c>
      <c r="S5327" s="13" t="s">
        <v>50</v>
      </c>
      <c r="T5327" s="44">
        <v>45926.40718141204</v>
      </c>
      <c r="U5327" s="44">
        <v>45926.559094490745</v>
      </c>
      <c r="V5327" s="44">
        <v>45926.58045412037</v>
      </c>
      <c r="W5327" s="11"/>
      <c r="X5327" s="11"/>
      <c r="Y5327" s="45">
        <v>302.0</v>
      </c>
      <c r="Z5327" s="45" t="s">
        <v>21445</v>
      </c>
      <c r="AA5327" s="31"/>
      <c r="AB5327" s="45" t="s">
        <v>21446</v>
      </c>
      <c r="AC5327" s="45"/>
    </row>
    <row r="5328" ht="18.75" customHeight="1">
      <c r="A5328" s="18" t="s">
        <v>21447</v>
      </c>
      <c r="B5328" s="33" t="s">
        <v>4313</v>
      </c>
      <c r="C5328" s="20">
        <v>0.0</v>
      </c>
      <c r="D5328" s="39"/>
      <c r="E5328" s="27" t="s">
        <v>12486</v>
      </c>
      <c r="F5328" s="27" t="s">
        <v>11504</v>
      </c>
      <c r="G5328" s="18" t="s">
        <v>35</v>
      </c>
      <c r="H5328" s="40" t="s">
        <v>35</v>
      </c>
      <c r="I5328" s="37" t="s">
        <v>36</v>
      </c>
      <c r="J5328" s="25" t="s">
        <v>92</v>
      </c>
      <c r="K5328" s="26" t="s">
        <v>38</v>
      </c>
      <c r="L5328" s="25">
        <v>13998.0</v>
      </c>
      <c r="M5328" s="49" t="s">
        <v>50</v>
      </c>
      <c r="N5328" s="42" t="s">
        <v>10176</v>
      </c>
      <c r="O5328" s="67">
        <v>45926.61560686343</v>
      </c>
      <c r="P5328" s="35" t="s">
        <v>21444</v>
      </c>
      <c r="Q5328" s="13" t="s">
        <v>75</v>
      </c>
      <c r="R5328" s="13" t="s">
        <v>75</v>
      </c>
      <c r="S5328" s="13" t="s">
        <v>50</v>
      </c>
      <c r="T5328" s="44">
        <v>45926.40759391204</v>
      </c>
      <c r="U5328" s="44">
        <v>45926.5591347338</v>
      </c>
      <c r="V5328" s="44">
        <v>45926.58045412037</v>
      </c>
      <c r="W5328" s="11"/>
      <c r="X5328" s="11"/>
      <c r="Y5328" s="45">
        <v>302.0</v>
      </c>
      <c r="Z5328" s="45" t="s">
        <v>21448</v>
      </c>
      <c r="AA5328" s="31"/>
      <c r="AB5328" s="45" t="s">
        <v>21449</v>
      </c>
      <c r="AC5328" s="45"/>
    </row>
    <row r="5329" ht="18.75" customHeight="1">
      <c r="A5329" s="142" t="s">
        <v>21450</v>
      </c>
      <c r="B5329" s="33" t="s">
        <v>115</v>
      </c>
      <c r="C5329" s="20">
        <v>1.0</v>
      </c>
      <c r="D5329" s="220" t="s">
        <v>21451</v>
      </c>
      <c r="E5329" s="222" t="s">
        <v>11712</v>
      </c>
      <c r="F5329" s="27" t="s">
        <v>48</v>
      </c>
      <c r="G5329" s="18" t="s">
        <v>35</v>
      </c>
      <c r="H5329" s="40" t="s">
        <v>35</v>
      </c>
      <c r="I5329" s="37" t="s">
        <v>36</v>
      </c>
      <c r="J5329" s="25" t="s">
        <v>92</v>
      </c>
      <c r="K5329" s="26" t="s">
        <v>38</v>
      </c>
      <c r="L5329" s="25">
        <v>13997.0</v>
      </c>
      <c r="M5329" s="49" t="s">
        <v>50</v>
      </c>
      <c r="N5329" s="42" t="s">
        <v>10176</v>
      </c>
      <c r="O5329" s="67">
        <v>45926.61553274306</v>
      </c>
      <c r="P5329" s="35" t="s">
        <v>21452</v>
      </c>
      <c r="Q5329" s="13" t="s">
        <v>75</v>
      </c>
      <c r="R5329" s="13" t="s">
        <v>75</v>
      </c>
      <c r="S5329" s="13" t="s">
        <v>9620</v>
      </c>
      <c r="T5329" s="44">
        <v>45926.5740282176</v>
      </c>
      <c r="U5329" s="44">
        <v>45926.574052881944</v>
      </c>
      <c r="V5329" s="44">
        <v>45926.57891946759</v>
      </c>
      <c r="W5329" s="11"/>
      <c r="X5329" s="11"/>
      <c r="Y5329" s="45">
        <v>302.0</v>
      </c>
      <c r="Z5329" s="45" t="s">
        <v>21453</v>
      </c>
      <c r="AA5329" s="31"/>
      <c r="AB5329" s="45" t="s">
        <v>21454</v>
      </c>
      <c r="AC5329" s="45"/>
    </row>
    <row r="5330" ht="18.75" customHeight="1">
      <c r="A5330" s="142" t="s">
        <v>21455</v>
      </c>
      <c r="B5330" s="33" t="s">
        <v>9359</v>
      </c>
      <c r="C5330" s="20">
        <v>0.0</v>
      </c>
      <c r="D5330" s="179">
        <v>20288.0</v>
      </c>
      <c r="E5330" s="27" t="s">
        <v>135</v>
      </c>
      <c r="F5330" s="27" t="s">
        <v>48</v>
      </c>
      <c r="G5330" s="18" t="s">
        <v>35</v>
      </c>
      <c r="H5330" s="40" t="s">
        <v>35</v>
      </c>
      <c r="I5330" s="37" t="s">
        <v>36</v>
      </c>
      <c r="J5330" s="25" t="s">
        <v>49</v>
      </c>
      <c r="K5330" s="26" t="s">
        <v>518</v>
      </c>
      <c r="L5330" s="25">
        <v>14021.0</v>
      </c>
      <c r="M5330" s="49" t="s">
        <v>50</v>
      </c>
      <c r="N5330" s="42" t="s">
        <v>17048</v>
      </c>
      <c r="O5330" s="67">
        <v>45930.606551840276</v>
      </c>
      <c r="P5330" s="35" t="s">
        <v>21456</v>
      </c>
      <c r="Q5330" s="13" t="s">
        <v>75</v>
      </c>
      <c r="R5330" s="13" t="s">
        <v>75</v>
      </c>
      <c r="S5330" s="13" t="s">
        <v>9620</v>
      </c>
      <c r="T5330" s="44">
        <v>45926.39060377315</v>
      </c>
      <c r="U5330" s="44">
        <v>45929.403466006945</v>
      </c>
      <c r="V5330" s="44">
        <v>45929.44428322917</v>
      </c>
      <c r="W5330" s="11"/>
      <c r="X5330" s="11"/>
      <c r="Y5330" s="45">
        <v>302.0</v>
      </c>
      <c r="Z5330" s="45" t="s">
        <v>21457</v>
      </c>
      <c r="AA5330" s="31"/>
      <c r="AB5330" s="45" t="s">
        <v>21458</v>
      </c>
      <c r="AC5330" s="45"/>
    </row>
    <row r="5331" ht="18.75" customHeight="1">
      <c r="A5331" s="142" t="s">
        <v>21459</v>
      </c>
      <c r="B5331" s="33" t="s">
        <v>4035</v>
      </c>
      <c r="C5331" s="20">
        <v>90.0</v>
      </c>
      <c r="D5331" s="39" t="s">
        <v>21460</v>
      </c>
      <c r="E5331" s="27" t="s">
        <v>91</v>
      </c>
      <c r="F5331" s="27" t="s">
        <v>48</v>
      </c>
      <c r="G5331" s="18" t="s">
        <v>35</v>
      </c>
      <c r="H5331" s="40" t="s">
        <v>35</v>
      </c>
      <c r="I5331" s="37" t="s">
        <v>36</v>
      </c>
      <c r="J5331" s="25" t="s">
        <v>65</v>
      </c>
      <c r="K5331" s="26" t="s">
        <v>38</v>
      </c>
      <c r="L5331" s="25">
        <v>14113.0</v>
      </c>
      <c r="M5331" s="49" t="s">
        <v>50</v>
      </c>
      <c r="N5331" s="42" t="s">
        <v>16408</v>
      </c>
      <c r="O5331" s="67">
        <v>45939.64027777778</v>
      </c>
      <c r="P5331" s="35" t="s">
        <v>15829</v>
      </c>
      <c r="Q5331" s="13" t="s">
        <v>75</v>
      </c>
      <c r="R5331" s="13" t="s">
        <v>75</v>
      </c>
      <c r="S5331" s="13" t="s">
        <v>73</v>
      </c>
      <c r="T5331" s="44">
        <v>45926.39527962963</v>
      </c>
      <c r="U5331" s="44">
        <v>45939.360552349535</v>
      </c>
      <c r="V5331" s="44">
        <v>45939.43484717593</v>
      </c>
      <c r="W5331" s="11"/>
      <c r="X5331" s="11"/>
      <c r="Y5331" s="45">
        <v>302.0</v>
      </c>
      <c r="Z5331" s="45" t="s">
        <v>21461</v>
      </c>
      <c r="AA5331" s="31"/>
      <c r="AB5331" s="45" t="s">
        <v>21462</v>
      </c>
      <c r="AC5331" s="45"/>
    </row>
    <row r="5332" ht="18.75" customHeight="1">
      <c r="A5332" s="142" t="s">
        <v>21463</v>
      </c>
      <c r="B5332" s="33" t="s">
        <v>7703</v>
      </c>
      <c r="C5332" s="20">
        <v>137.0</v>
      </c>
      <c r="D5332" s="39" t="s">
        <v>21464</v>
      </c>
      <c r="E5332" s="27" t="s">
        <v>85</v>
      </c>
      <c r="F5332" s="27" t="s">
        <v>48</v>
      </c>
      <c r="G5332" s="18" t="s">
        <v>35</v>
      </c>
      <c r="H5332" s="40" t="s">
        <v>35</v>
      </c>
      <c r="I5332" s="37" t="s">
        <v>36</v>
      </c>
      <c r="J5332" s="25" t="s">
        <v>65</v>
      </c>
      <c r="K5332" s="26" t="s">
        <v>38</v>
      </c>
      <c r="L5332" s="25">
        <v>13996.0</v>
      </c>
      <c r="M5332" s="49" t="s">
        <v>50</v>
      </c>
      <c r="N5332" s="42" t="s">
        <v>16408</v>
      </c>
      <c r="O5332" s="67">
        <v>45926.69433438657</v>
      </c>
      <c r="P5332" s="35" t="s">
        <v>21465</v>
      </c>
      <c r="Q5332" s="13" t="s">
        <v>75</v>
      </c>
      <c r="R5332" s="13" t="s">
        <v>75</v>
      </c>
      <c r="S5332" s="13" t="s">
        <v>73</v>
      </c>
      <c r="T5332" s="44">
        <v>45926.40920462963</v>
      </c>
      <c r="U5332" s="44">
        <v>45926.54723939815</v>
      </c>
      <c r="V5332" s="44">
        <v>45926.560400243055</v>
      </c>
      <c r="W5332" s="11"/>
      <c r="X5332" s="11"/>
      <c r="Y5332" s="45">
        <v>302.0</v>
      </c>
      <c r="Z5332" s="45" t="s">
        <v>21466</v>
      </c>
      <c r="AA5332" s="31"/>
      <c r="AB5332" s="45" t="s">
        <v>21467</v>
      </c>
      <c r="AC5332" s="45"/>
    </row>
    <row r="5333" ht="18.75" customHeight="1">
      <c r="A5333" s="18" t="s">
        <v>21468</v>
      </c>
      <c r="B5333" s="33" t="s">
        <v>3645</v>
      </c>
      <c r="C5333" s="20">
        <v>34.0</v>
      </c>
      <c r="D5333" s="39" t="s">
        <v>21469</v>
      </c>
      <c r="E5333" s="27" t="s">
        <v>47</v>
      </c>
      <c r="F5333" s="27" t="s">
        <v>48</v>
      </c>
      <c r="G5333" s="18" t="s">
        <v>35</v>
      </c>
      <c r="H5333" s="40" t="s">
        <v>35</v>
      </c>
      <c r="I5333" s="37" t="s">
        <v>36</v>
      </c>
      <c r="J5333" s="25" t="s">
        <v>49</v>
      </c>
      <c r="K5333" s="26" t="s">
        <v>38</v>
      </c>
      <c r="L5333" s="25">
        <v>14014.0</v>
      </c>
      <c r="M5333" s="49" t="s">
        <v>50</v>
      </c>
      <c r="N5333" s="42" t="s">
        <v>17048</v>
      </c>
      <c r="O5333" s="67">
        <v>45930.60649229167</v>
      </c>
      <c r="P5333" s="35" t="s">
        <v>21470</v>
      </c>
      <c r="Q5333" s="13" t="s">
        <v>75</v>
      </c>
      <c r="R5333" s="13" t="s">
        <v>75</v>
      </c>
      <c r="S5333" s="13" t="s">
        <v>73</v>
      </c>
      <c r="T5333" s="44">
        <v>45926.396201365744</v>
      </c>
      <c r="U5333" s="44">
        <v>45930.43370818287</v>
      </c>
      <c r="V5333" s="44">
        <v>45930.438256423615</v>
      </c>
      <c r="W5333" s="11"/>
      <c r="X5333" s="11"/>
      <c r="Y5333" s="45">
        <v>302.0</v>
      </c>
      <c r="Z5333" s="45" t="s">
        <v>21471</v>
      </c>
      <c r="AA5333" s="31"/>
      <c r="AB5333" s="45" t="s">
        <v>21472</v>
      </c>
      <c r="AC5333" s="45"/>
    </row>
    <row r="5334" ht="18.75" customHeight="1">
      <c r="A5334" s="18" t="s">
        <v>21473</v>
      </c>
      <c r="B5334" s="33" t="s">
        <v>3645</v>
      </c>
      <c r="C5334" s="20">
        <v>34.0</v>
      </c>
      <c r="D5334" s="39" t="s">
        <v>21474</v>
      </c>
      <c r="E5334" s="27" t="s">
        <v>47</v>
      </c>
      <c r="F5334" s="27" t="s">
        <v>48</v>
      </c>
      <c r="G5334" s="18" t="s">
        <v>35</v>
      </c>
      <c r="H5334" s="40" t="s">
        <v>35</v>
      </c>
      <c r="I5334" s="37" t="s">
        <v>36</v>
      </c>
      <c r="J5334" s="25" t="s">
        <v>49</v>
      </c>
      <c r="K5334" s="26" t="s">
        <v>38</v>
      </c>
      <c r="L5334" s="25">
        <v>14014.0</v>
      </c>
      <c r="M5334" s="49" t="s">
        <v>50</v>
      </c>
      <c r="N5334" s="42" t="s">
        <v>17048</v>
      </c>
      <c r="O5334" s="67">
        <v>45930.606444861114</v>
      </c>
      <c r="P5334" s="35" t="s">
        <v>21470</v>
      </c>
      <c r="Q5334" s="13" t="s">
        <v>75</v>
      </c>
      <c r="R5334" s="13" t="s">
        <v>75</v>
      </c>
      <c r="S5334" s="13" t="s">
        <v>73</v>
      </c>
      <c r="T5334" s="44">
        <v>45926.396265347226</v>
      </c>
      <c r="U5334" s="44">
        <v>45930.43372998842</v>
      </c>
      <c r="V5334" s="44">
        <v>45930.438333391205</v>
      </c>
      <c r="W5334" s="11"/>
      <c r="X5334" s="11"/>
      <c r="Y5334" s="45">
        <v>302.0</v>
      </c>
      <c r="Z5334" s="45" t="s">
        <v>21475</v>
      </c>
      <c r="AA5334" s="31"/>
      <c r="AB5334" s="45" t="s">
        <v>21476</v>
      </c>
      <c r="AC5334" s="45"/>
    </row>
    <row r="5335" ht="18.75" customHeight="1">
      <c r="A5335" s="18" t="s">
        <v>21477</v>
      </c>
      <c r="B5335" s="33" t="s">
        <v>5586</v>
      </c>
      <c r="C5335" s="20">
        <v>90.0</v>
      </c>
      <c r="D5335" s="39" t="s">
        <v>21478</v>
      </c>
      <c r="E5335" s="27" t="s">
        <v>91</v>
      </c>
      <c r="F5335" s="27" t="s">
        <v>48</v>
      </c>
      <c r="G5335" s="18" t="s">
        <v>35</v>
      </c>
      <c r="H5335" s="40" t="s">
        <v>35</v>
      </c>
      <c r="I5335" s="37" t="s">
        <v>36</v>
      </c>
      <c r="J5335" s="25" t="s">
        <v>49</v>
      </c>
      <c r="K5335" s="26" t="s">
        <v>12982</v>
      </c>
      <c r="L5335" s="25">
        <v>13994.0</v>
      </c>
      <c r="M5335" s="49" t="s">
        <v>50</v>
      </c>
      <c r="N5335" s="42" t="s">
        <v>17048</v>
      </c>
      <c r="O5335" s="67">
        <v>45926.593588310185</v>
      </c>
      <c r="P5335" s="35" t="s">
        <v>21479</v>
      </c>
      <c r="Q5335" s="13" t="s">
        <v>75</v>
      </c>
      <c r="R5335" s="13" t="s">
        <v>75</v>
      </c>
      <c r="S5335" s="13" t="s">
        <v>73</v>
      </c>
      <c r="T5335" s="44">
        <v>45926.39817153935</v>
      </c>
      <c r="U5335" s="44">
        <v>45926.555255706015</v>
      </c>
      <c r="V5335" s="44">
        <v>45926.56059724537</v>
      </c>
      <c r="W5335" s="11"/>
      <c r="X5335" s="11"/>
      <c r="Y5335" s="45">
        <v>302.0</v>
      </c>
      <c r="Z5335" s="45" t="s">
        <v>21480</v>
      </c>
      <c r="AA5335" s="31"/>
      <c r="AB5335" s="45" t="s">
        <v>21481</v>
      </c>
      <c r="AC5335" s="45"/>
    </row>
    <row r="5336" ht="18.75" customHeight="1">
      <c r="A5336" s="18" t="s">
        <v>21482</v>
      </c>
      <c r="B5336" s="33" t="s">
        <v>5586</v>
      </c>
      <c r="C5336" s="20">
        <v>90.0</v>
      </c>
      <c r="D5336" s="39" t="s">
        <v>21483</v>
      </c>
      <c r="E5336" s="27" t="s">
        <v>91</v>
      </c>
      <c r="F5336" s="27" t="s">
        <v>48</v>
      </c>
      <c r="G5336" s="18" t="s">
        <v>35</v>
      </c>
      <c r="H5336" s="40" t="s">
        <v>35</v>
      </c>
      <c r="I5336" s="37" t="s">
        <v>36</v>
      </c>
      <c r="J5336" s="25" t="s">
        <v>49</v>
      </c>
      <c r="K5336" s="26" t="s">
        <v>12982</v>
      </c>
      <c r="L5336" s="25">
        <v>13994.0</v>
      </c>
      <c r="M5336" s="49" t="s">
        <v>50</v>
      </c>
      <c r="N5336" s="42" t="s">
        <v>17048</v>
      </c>
      <c r="O5336" s="67">
        <v>45926.59363940972</v>
      </c>
      <c r="P5336" s="35" t="s">
        <v>21479</v>
      </c>
      <c r="Q5336" s="13" t="s">
        <v>75</v>
      </c>
      <c r="R5336" s="13" t="s">
        <v>75</v>
      </c>
      <c r="S5336" s="13" t="s">
        <v>73</v>
      </c>
      <c r="T5336" s="44">
        <v>45926.39824377315</v>
      </c>
      <c r="U5336" s="44">
        <v>45926.55528267361</v>
      </c>
      <c r="V5336" s="44">
        <v>45926.560662268515</v>
      </c>
      <c r="W5336" s="11"/>
      <c r="X5336" s="11"/>
      <c r="Y5336" s="45">
        <v>302.0</v>
      </c>
      <c r="Z5336" s="45" t="s">
        <v>21484</v>
      </c>
      <c r="AA5336" s="31"/>
      <c r="AB5336" s="45" t="s">
        <v>21485</v>
      </c>
      <c r="AC5336" s="45"/>
    </row>
    <row r="5337" ht="18.75" customHeight="1">
      <c r="A5337" s="142" t="s">
        <v>21486</v>
      </c>
      <c r="B5337" s="33" t="s">
        <v>18643</v>
      </c>
      <c r="C5337" s="20">
        <v>137.0</v>
      </c>
      <c r="D5337" s="39" t="s">
        <v>21487</v>
      </c>
      <c r="E5337" s="27" t="s">
        <v>85</v>
      </c>
      <c r="F5337" s="27" t="s">
        <v>48</v>
      </c>
      <c r="G5337" s="18" t="s">
        <v>35</v>
      </c>
      <c r="H5337" s="40" t="s">
        <v>35</v>
      </c>
      <c r="I5337" s="37" t="s">
        <v>36</v>
      </c>
      <c r="J5337" s="25" t="s">
        <v>65</v>
      </c>
      <c r="K5337" s="26" t="s">
        <v>38</v>
      </c>
      <c r="L5337" s="25">
        <v>14015.0</v>
      </c>
      <c r="M5337" s="49" t="s">
        <v>50</v>
      </c>
      <c r="N5337" s="42" t="s">
        <v>16408</v>
      </c>
      <c r="O5337" s="67">
        <v>45930.62286740741</v>
      </c>
      <c r="P5337" s="35" t="s">
        <v>21488</v>
      </c>
      <c r="Q5337" s="13" t="s">
        <v>75</v>
      </c>
      <c r="R5337" s="13" t="s">
        <v>75</v>
      </c>
      <c r="S5337" s="13" t="s">
        <v>73</v>
      </c>
      <c r="T5337" s="44">
        <v>45929.70208290509</v>
      </c>
      <c r="U5337" s="44">
        <v>45929.702131875005</v>
      </c>
      <c r="V5337" s="44">
        <v>45930.44402815972</v>
      </c>
      <c r="W5337" s="11"/>
      <c r="X5337" s="11"/>
      <c r="Y5337" s="45">
        <v>302.0</v>
      </c>
      <c r="Z5337" s="45" t="s">
        <v>21489</v>
      </c>
      <c r="AA5337" s="31"/>
      <c r="AB5337" s="45" t="s">
        <v>21490</v>
      </c>
      <c r="AC5337" s="45"/>
    </row>
    <row r="5338" ht="18.75" customHeight="1">
      <c r="A5338" s="142" t="s">
        <v>21491</v>
      </c>
      <c r="B5338" s="33" t="s">
        <v>5341</v>
      </c>
      <c r="C5338" s="20">
        <v>0.0</v>
      </c>
      <c r="D5338" s="179">
        <v>20287.0</v>
      </c>
      <c r="E5338" s="27" t="s">
        <v>135</v>
      </c>
      <c r="F5338" s="27" t="s">
        <v>48</v>
      </c>
      <c r="G5338" s="18" t="s">
        <v>35</v>
      </c>
      <c r="H5338" s="40" t="s">
        <v>35</v>
      </c>
      <c r="I5338" s="37" t="s">
        <v>36</v>
      </c>
      <c r="J5338" s="25" t="s">
        <v>65</v>
      </c>
      <c r="K5338" s="26" t="s">
        <v>38</v>
      </c>
      <c r="L5338" s="25">
        <v>14000.0</v>
      </c>
      <c r="M5338" s="49" t="s">
        <v>50</v>
      </c>
      <c r="N5338" s="42" t="s">
        <v>16408</v>
      </c>
      <c r="O5338" s="67">
        <v>45929.629587627314</v>
      </c>
      <c r="P5338" s="35" t="s">
        <v>15829</v>
      </c>
      <c r="Q5338" s="13" t="s">
        <v>75</v>
      </c>
      <c r="R5338" s="13" t="s">
        <v>75</v>
      </c>
      <c r="S5338" s="13" t="s">
        <v>9620</v>
      </c>
      <c r="T5338" s="44">
        <v>45926.632133287036</v>
      </c>
      <c r="U5338" s="44">
        <v>45926.67317310185</v>
      </c>
      <c r="V5338" s="44">
        <v>45926.70057752315</v>
      </c>
      <c r="W5338" s="11"/>
      <c r="X5338" s="11"/>
      <c r="Y5338" s="45">
        <v>302.0</v>
      </c>
      <c r="Z5338" s="45" t="s">
        <v>21492</v>
      </c>
      <c r="AA5338" s="31"/>
      <c r="AB5338" s="45" t="s">
        <v>21493</v>
      </c>
      <c r="AC5338" s="45"/>
    </row>
    <row r="5339" ht="18.75" customHeight="1">
      <c r="A5339" s="142" t="s">
        <v>21494</v>
      </c>
      <c r="B5339" s="33" t="s">
        <v>8757</v>
      </c>
      <c r="C5339" s="20">
        <v>11.0</v>
      </c>
      <c r="D5339" s="39" t="s">
        <v>21495</v>
      </c>
      <c r="E5339" s="27" t="s">
        <v>112</v>
      </c>
      <c r="F5339" s="27" t="s">
        <v>48</v>
      </c>
      <c r="G5339" s="18" t="s">
        <v>35</v>
      </c>
      <c r="H5339" s="40" t="s">
        <v>35</v>
      </c>
      <c r="I5339" s="37" t="s">
        <v>36</v>
      </c>
      <c r="J5339" s="25" t="s">
        <v>65</v>
      </c>
      <c r="K5339" s="26" t="s">
        <v>38</v>
      </c>
      <c r="L5339" s="25">
        <v>14001.0</v>
      </c>
      <c r="M5339" s="49" t="s">
        <v>50</v>
      </c>
      <c r="N5339" s="42" t="s">
        <v>16408</v>
      </c>
      <c r="O5339" s="67">
        <v>45929.629648263886</v>
      </c>
      <c r="P5339" s="35" t="s">
        <v>15829</v>
      </c>
      <c r="Q5339" s="13" t="s">
        <v>75</v>
      </c>
      <c r="R5339" s="13" t="s">
        <v>75</v>
      </c>
      <c r="S5339" s="13" t="s">
        <v>73</v>
      </c>
      <c r="T5339" s="44">
        <v>45926.633426134256</v>
      </c>
      <c r="U5339" s="44">
        <v>45926.672909375004</v>
      </c>
      <c r="V5339" s="44">
        <v>45929.38723628472</v>
      </c>
      <c r="W5339" s="11"/>
      <c r="X5339" s="11"/>
      <c r="Y5339" s="45">
        <v>302.0</v>
      </c>
      <c r="Z5339" s="45" t="s">
        <v>21496</v>
      </c>
      <c r="AA5339" s="31"/>
      <c r="AB5339" s="45" t="s">
        <v>21497</v>
      </c>
      <c r="AC5339" s="45"/>
    </row>
    <row r="5340" ht="18.75" customHeight="1">
      <c r="A5340" s="142" t="s">
        <v>21498</v>
      </c>
      <c r="B5340" s="33" t="s">
        <v>21499</v>
      </c>
      <c r="C5340" s="20">
        <v>0.0</v>
      </c>
      <c r="D5340" s="179">
        <v>20352.0</v>
      </c>
      <c r="E5340" s="27" t="s">
        <v>16479</v>
      </c>
      <c r="F5340" s="27" t="s">
        <v>48</v>
      </c>
      <c r="G5340" s="18" t="s">
        <v>35</v>
      </c>
      <c r="H5340" s="40" t="s">
        <v>35</v>
      </c>
      <c r="I5340" s="37" t="s">
        <v>36</v>
      </c>
      <c r="J5340" s="25" t="s">
        <v>49</v>
      </c>
      <c r="K5340" s="26" t="s">
        <v>21500</v>
      </c>
      <c r="L5340" s="25">
        <v>14172.0</v>
      </c>
      <c r="M5340" s="49" t="s">
        <v>50</v>
      </c>
      <c r="N5340" s="42" t="s">
        <v>21501</v>
      </c>
      <c r="O5340" s="67">
        <v>45946.624870810185</v>
      </c>
      <c r="P5340" s="35" t="s">
        <v>21502</v>
      </c>
      <c r="Q5340" s="13" t="s">
        <v>67</v>
      </c>
      <c r="R5340" s="13" t="s">
        <v>67</v>
      </c>
      <c r="S5340" s="13" t="s">
        <v>9620</v>
      </c>
      <c r="T5340" s="44">
        <v>45938.59947087963</v>
      </c>
      <c r="U5340" s="44">
        <v>45938.599524097226</v>
      </c>
      <c r="V5340" s="44">
        <v>45944.70650292824</v>
      </c>
      <c r="W5340" s="11"/>
      <c r="X5340" s="11"/>
      <c r="Y5340" s="207">
        <v>302.0</v>
      </c>
      <c r="Z5340" s="45" t="s">
        <v>21503</v>
      </c>
      <c r="AA5340" s="31"/>
      <c r="AB5340" s="45" t="s">
        <v>21504</v>
      </c>
      <c r="AC5340" s="45"/>
    </row>
    <row r="5341" ht="18.75" customHeight="1">
      <c r="A5341" s="18" t="s">
        <v>21505</v>
      </c>
      <c r="B5341" s="33" t="s">
        <v>13433</v>
      </c>
      <c r="C5341" s="20">
        <v>137.0</v>
      </c>
      <c r="D5341" s="39" t="s">
        <v>21506</v>
      </c>
      <c r="E5341" s="27" t="s">
        <v>85</v>
      </c>
      <c r="F5341" s="27" t="s">
        <v>48</v>
      </c>
      <c r="G5341" s="18" t="s">
        <v>35</v>
      </c>
      <c r="H5341" s="40" t="s">
        <v>35</v>
      </c>
      <c r="I5341" s="37" t="s">
        <v>36</v>
      </c>
      <c r="J5341" s="25" t="s">
        <v>18527</v>
      </c>
      <c r="K5341" s="26" t="s">
        <v>38</v>
      </c>
      <c r="L5341" s="25">
        <v>14006.0</v>
      </c>
      <c r="M5341" s="49" t="s">
        <v>73</v>
      </c>
      <c r="N5341" s="42" t="s">
        <v>21507</v>
      </c>
      <c r="O5341" s="67">
        <v>45929.709048993056</v>
      </c>
      <c r="P5341" s="35" t="s">
        <v>21508</v>
      </c>
      <c r="Q5341" s="13" t="s">
        <v>6028</v>
      </c>
      <c r="R5341" s="13" t="s">
        <v>6028</v>
      </c>
      <c r="S5341" s="13" t="s">
        <v>73</v>
      </c>
      <c r="T5341" s="44">
        <v>45929.4559459375</v>
      </c>
      <c r="U5341" s="44">
        <v>45929.456469375</v>
      </c>
      <c r="V5341" s="44">
        <v>45929.46956704861</v>
      </c>
      <c r="W5341" s="11"/>
      <c r="X5341" s="11"/>
      <c r="Y5341" s="207">
        <v>302.0</v>
      </c>
      <c r="Z5341" s="45" t="s">
        <v>21509</v>
      </c>
      <c r="AA5341" s="31"/>
      <c r="AB5341" s="45" t="s">
        <v>21510</v>
      </c>
      <c r="AC5341" s="45"/>
    </row>
    <row r="5342" ht="18.75" customHeight="1">
      <c r="A5342" s="18" t="s">
        <v>21511</v>
      </c>
      <c r="B5342" s="33" t="s">
        <v>13433</v>
      </c>
      <c r="C5342" s="20">
        <v>137.0</v>
      </c>
      <c r="D5342" s="39" t="s">
        <v>21512</v>
      </c>
      <c r="E5342" s="27" t="s">
        <v>85</v>
      </c>
      <c r="F5342" s="27" t="s">
        <v>48</v>
      </c>
      <c r="G5342" s="18" t="s">
        <v>35</v>
      </c>
      <c r="H5342" s="40" t="s">
        <v>35</v>
      </c>
      <c r="I5342" s="37" t="s">
        <v>36</v>
      </c>
      <c r="J5342" s="25" t="s">
        <v>18527</v>
      </c>
      <c r="K5342" s="26" t="s">
        <v>38</v>
      </c>
      <c r="L5342" s="25">
        <v>14006.0</v>
      </c>
      <c r="M5342" s="49" t="s">
        <v>73</v>
      </c>
      <c r="N5342" s="42" t="s">
        <v>21507</v>
      </c>
      <c r="O5342" s="67">
        <v>45929.709112349534</v>
      </c>
      <c r="P5342" s="35" t="s">
        <v>21508</v>
      </c>
      <c r="Q5342" s="13" t="s">
        <v>6028</v>
      </c>
      <c r="R5342" s="13" t="s">
        <v>6028</v>
      </c>
      <c r="S5342" s="13" t="s">
        <v>73</v>
      </c>
      <c r="T5342" s="44">
        <v>45929.456095925925</v>
      </c>
      <c r="U5342" s="44">
        <v>45929.45650922453</v>
      </c>
      <c r="V5342" s="44">
        <v>45929.46962387732</v>
      </c>
      <c r="W5342" s="11"/>
      <c r="X5342" s="11"/>
      <c r="Y5342" s="207">
        <v>302.0</v>
      </c>
      <c r="Z5342" s="45" t="s">
        <v>21513</v>
      </c>
      <c r="AA5342" s="31"/>
      <c r="AB5342" s="45" t="s">
        <v>21514</v>
      </c>
      <c r="AC5342" s="45"/>
    </row>
    <row r="5343" ht="18.75" customHeight="1">
      <c r="A5343" s="18" t="s">
        <v>21515</v>
      </c>
      <c r="B5343" s="33" t="s">
        <v>13433</v>
      </c>
      <c r="C5343" s="20">
        <v>137.0</v>
      </c>
      <c r="D5343" s="39" t="s">
        <v>21516</v>
      </c>
      <c r="E5343" s="27" t="s">
        <v>85</v>
      </c>
      <c r="F5343" s="27" t="s">
        <v>48</v>
      </c>
      <c r="G5343" s="18" t="s">
        <v>35</v>
      </c>
      <c r="H5343" s="40" t="s">
        <v>35</v>
      </c>
      <c r="I5343" s="37" t="s">
        <v>36</v>
      </c>
      <c r="J5343" s="25" t="s">
        <v>18527</v>
      </c>
      <c r="K5343" s="26" t="s">
        <v>38</v>
      </c>
      <c r="L5343" s="25">
        <v>14006.0</v>
      </c>
      <c r="M5343" s="49" t="s">
        <v>73</v>
      </c>
      <c r="N5343" s="42" t="s">
        <v>21507</v>
      </c>
      <c r="O5343" s="67">
        <v>45929.70917096065</v>
      </c>
      <c r="P5343" s="35" t="s">
        <v>21508</v>
      </c>
      <c r="Q5343" s="13" t="s">
        <v>6028</v>
      </c>
      <c r="R5343" s="13" t="s">
        <v>6028</v>
      </c>
      <c r="S5343" s="13" t="s">
        <v>73</v>
      </c>
      <c r="T5343" s="44">
        <v>45929.45621207176</v>
      </c>
      <c r="U5343" s="44">
        <v>45929.45654296296</v>
      </c>
      <c r="V5343" s="44">
        <v>45929.46968175926</v>
      </c>
      <c r="W5343" s="11"/>
      <c r="X5343" s="11"/>
      <c r="Y5343" s="207">
        <v>302.0</v>
      </c>
      <c r="Z5343" s="45" t="s">
        <v>21517</v>
      </c>
      <c r="AA5343" s="31"/>
      <c r="AB5343" s="45" t="s">
        <v>21518</v>
      </c>
      <c r="AC5343" s="45"/>
    </row>
    <row r="5344" ht="18.75" customHeight="1">
      <c r="A5344" s="18" t="s">
        <v>21519</v>
      </c>
      <c r="B5344" s="33" t="s">
        <v>13433</v>
      </c>
      <c r="C5344" s="20">
        <v>137.0</v>
      </c>
      <c r="D5344" s="39" t="s">
        <v>21520</v>
      </c>
      <c r="E5344" s="27" t="s">
        <v>85</v>
      </c>
      <c r="F5344" s="27" t="s">
        <v>48</v>
      </c>
      <c r="G5344" s="18" t="s">
        <v>35</v>
      </c>
      <c r="H5344" s="40" t="s">
        <v>35</v>
      </c>
      <c r="I5344" s="37" t="s">
        <v>36</v>
      </c>
      <c r="J5344" s="25" t="s">
        <v>18527</v>
      </c>
      <c r="K5344" s="26" t="s">
        <v>38</v>
      </c>
      <c r="L5344" s="25">
        <v>14006.0</v>
      </c>
      <c r="M5344" s="49" t="s">
        <v>73</v>
      </c>
      <c r="N5344" s="42" t="s">
        <v>21507</v>
      </c>
      <c r="O5344" s="67">
        <v>45929.70922362269</v>
      </c>
      <c r="P5344" s="35" t="s">
        <v>21508</v>
      </c>
      <c r="Q5344" s="13" t="s">
        <v>6028</v>
      </c>
      <c r="R5344" s="13" t="s">
        <v>6028</v>
      </c>
      <c r="S5344" s="13" t="s">
        <v>73</v>
      </c>
      <c r="T5344" s="44">
        <v>45929.45627190972</v>
      </c>
      <c r="U5344" s="44">
        <v>45929.45658146991</v>
      </c>
      <c r="V5344" s="44">
        <v>45929.46973762731</v>
      </c>
      <c r="W5344" s="11"/>
      <c r="X5344" s="11"/>
      <c r="Y5344" s="207">
        <v>302.0</v>
      </c>
      <c r="Z5344" s="45" t="s">
        <v>21521</v>
      </c>
      <c r="AA5344" s="31"/>
      <c r="AB5344" s="45" t="s">
        <v>21522</v>
      </c>
      <c r="AC5344" s="45"/>
    </row>
    <row r="5345" ht="18.75" customHeight="1">
      <c r="A5345" s="18" t="s">
        <v>21523</v>
      </c>
      <c r="B5345" s="33" t="s">
        <v>13433</v>
      </c>
      <c r="C5345" s="20">
        <v>137.0</v>
      </c>
      <c r="D5345" s="39" t="s">
        <v>21524</v>
      </c>
      <c r="E5345" s="27" t="s">
        <v>85</v>
      </c>
      <c r="F5345" s="27" t="s">
        <v>48</v>
      </c>
      <c r="G5345" s="18" t="s">
        <v>35</v>
      </c>
      <c r="H5345" s="40" t="s">
        <v>35</v>
      </c>
      <c r="I5345" s="37" t="s">
        <v>36</v>
      </c>
      <c r="J5345" s="25" t="s">
        <v>18527</v>
      </c>
      <c r="K5345" s="26" t="s">
        <v>38</v>
      </c>
      <c r="L5345" s="25">
        <v>14006.0</v>
      </c>
      <c r="M5345" s="49" t="s">
        <v>73</v>
      </c>
      <c r="N5345" s="42" t="s">
        <v>21507</v>
      </c>
      <c r="O5345" s="67">
        <v>45929.70930777778</v>
      </c>
      <c r="P5345" s="35" t="s">
        <v>21508</v>
      </c>
      <c r="Q5345" s="13" t="s">
        <v>6028</v>
      </c>
      <c r="R5345" s="13" t="s">
        <v>6028</v>
      </c>
      <c r="S5345" s="13" t="s">
        <v>73</v>
      </c>
      <c r="T5345" s="44">
        <v>45929.45633822917</v>
      </c>
      <c r="U5345" s="44">
        <v>45929.45662395834</v>
      </c>
      <c r="V5345" s="44">
        <v>45929.469805381945</v>
      </c>
      <c r="W5345" s="11"/>
      <c r="X5345" s="11"/>
      <c r="Y5345" s="207">
        <v>302.0</v>
      </c>
      <c r="Z5345" s="45" t="s">
        <v>21525</v>
      </c>
      <c r="AA5345" s="31"/>
      <c r="AB5345" s="45" t="s">
        <v>21526</v>
      </c>
      <c r="AC5345" s="45"/>
    </row>
    <row r="5346" ht="18.75" customHeight="1">
      <c r="A5346" s="18" t="s">
        <v>21527</v>
      </c>
      <c r="B5346" s="33" t="s">
        <v>13433</v>
      </c>
      <c r="C5346" s="20">
        <v>137.0</v>
      </c>
      <c r="D5346" s="39" t="s">
        <v>21528</v>
      </c>
      <c r="E5346" s="27" t="s">
        <v>85</v>
      </c>
      <c r="F5346" s="27" t="s">
        <v>48</v>
      </c>
      <c r="G5346" s="18" t="s">
        <v>35</v>
      </c>
      <c r="H5346" s="40" t="s">
        <v>35</v>
      </c>
      <c r="I5346" s="37" t="s">
        <v>36</v>
      </c>
      <c r="J5346" s="25" t="s">
        <v>18527</v>
      </c>
      <c r="K5346" s="26" t="s">
        <v>38</v>
      </c>
      <c r="L5346" s="25">
        <v>14006.0</v>
      </c>
      <c r="M5346" s="49" t="s">
        <v>73</v>
      </c>
      <c r="N5346" s="42" t="s">
        <v>21507</v>
      </c>
      <c r="O5346" s="67">
        <v>45929.70936833334</v>
      </c>
      <c r="P5346" s="35" t="s">
        <v>21508</v>
      </c>
      <c r="Q5346" s="13" t="s">
        <v>6028</v>
      </c>
      <c r="R5346" s="13" t="s">
        <v>6028</v>
      </c>
      <c r="S5346" s="13" t="s">
        <v>73</v>
      </c>
      <c r="T5346" s="44">
        <v>45929.45642181713</v>
      </c>
      <c r="U5346" s="44">
        <v>45929.45665854166</v>
      </c>
      <c r="V5346" s="44">
        <v>45929.46987585648</v>
      </c>
      <c r="W5346" s="11"/>
      <c r="X5346" s="11"/>
      <c r="Y5346" s="207">
        <v>302.0</v>
      </c>
      <c r="Z5346" s="45" t="s">
        <v>21529</v>
      </c>
      <c r="AA5346" s="31"/>
      <c r="AB5346" s="45" t="s">
        <v>21530</v>
      </c>
      <c r="AC5346" s="45"/>
    </row>
    <row r="5347" ht="18.75" customHeight="1">
      <c r="A5347" s="18" t="s">
        <v>21531</v>
      </c>
      <c r="B5347" s="33" t="s">
        <v>21532</v>
      </c>
      <c r="C5347" s="20">
        <v>0.0</v>
      </c>
      <c r="D5347" s="179">
        <v>20075.0</v>
      </c>
      <c r="E5347" s="27" t="s">
        <v>882</v>
      </c>
      <c r="F5347" s="27" t="s">
        <v>33</v>
      </c>
      <c r="G5347" s="18" t="s">
        <v>35</v>
      </c>
      <c r="H5347" s="40" t="s">
        <v>35</v>
      </c>
      <c r="I5347" s="37" t="s">
        <v>36</v>
      </c>
      <c r="J5347" s="25" t="s">
        <v>49</v>
      </c>
      <c r="K5347" s="26" t="s">
        <v>38</v>
      </c>
      <c r="L5347" s="25">
        <v>14144.0</v>
      </c>
      <c r="M5347" s="49" t="s">
        <v>50</v>
      </c>
      <c r="N5347" s="42" t="s">
        <v>17048</v>
      </c>
      <c r="O5347" s="67">
        <v>45944.60969106482</v>
      </c>
      <c r="P5347" s="35" t="s">
        <v>21533</v>
      </c>
      <c r="Q5347" s="13" t="s">
        <v>75</v>
      </c>
      <c r="R5347" s="13" t="s">
        <v>75</v>
      </c>
      <c r="S5347" s="13" t="s">
        <v>9620</v>
      </c>
      <c r="T5347" s="44">
        <v>45926.66044096065</v>
      </c>
      <c r="U5347" s="44">
        <v>45939.39491278935</v>
      </c>
      <c r="V5347" s="44">
        <v>45939.546292280094</v>
      </c>
      <c r="W5347" s="11"/>
      <c r="X5347" s="11"/>
      <c r="Y5347" s="45">
        <v>302.0</v>
      </c>
      <c r="Z5347" s="45" t="s">
        <v>21534</v>
      </c>
      <c r="AA5347" s="31"/>
      <c r="AB5347" s="45" t="s">
        <v>21535</v>
      </c>
      <c r="AC5347" s="45"/>
    </row>
    <row r="5348" ht="18.75" customHeight="1">
      <c r="A5348" s="18" t="s">
        <v>21536</v>
      </c>
      <c r="B5348" s="33" t="s">
        <v>21532</v>
      </c>
      <c r="C5348" s="20">
        <v>0.0</v>
      </c>
      <c r="D5348" s="179">
        <v>20236.0</v>
      </c>
      <c r="E5348" s="27" t="s">
        <v>882</v>
      </c>
      <c r="F5348" s="27" t="s">
        <v>33</v>
      </c>
      <c r="G5348" s="18" t="s">
        <v>35</v>
      </c>
      <c r="H5348" s="40" t="s">
        <v>35</v>
      </c>
      <c r="I5348" s="37" t="s">
        <v>36</v>
      </c>
      <c r="J5348" s="25" t="s">
        <v>49</v>
      </c>
      <c r="K5348" s="26" t="s">
        <v>38</v>
      </c>
      <c r="L5348" s="25">
        <v>14144.0</v>
      </c>
      <c r="M5348" s="49" t="s">
        <v>50</v>
      </c>
      <c r="N5348" s="42" t="s">
        <v>17048</v>
      </c>
      <c r="O5348" s="67">
        <v>45944.609637256945</v>
      </c>
      <c r="P5348" s="35" t="s">
        <v>21533</v>
      </c>
      <c r="Q5348" s="13" t="s">
        <v>75</v>
      </c>
      <c r="R5348" s="13" t="s">
        <v>75</v>
      </c>
      <c r="S5348" s="13" t="s">
        <v>9620</v>
      </c>
      <c r="T5348" s="44">
        <v>45926.66050084491</v>
      </c>
      <c r="U5348" s="44">
        <v>45939.39504631945</v>
      </c>
      <c r="V5348" s="44">
        <v>45939.54629229166</v>
      </c>
      <c r="W5348" s="11"/>
      <c r="X5348" s="11"/>
      <c r="Y5348" s="45">
        <v>302.0</v>
      </c>
      <c r="Z5348" s="45" t="s">
        <v>21537</v>
      </c>
      <c r="AA5348" s="31"/>
      <c r="AB5348" s="45" t="s">
        <v>21538</v>
      </c>
      <c r="AC5348" s="45"/>
    </row>
    <row r="5349" ht="18.75" customHeight="1">
      <c r="A5349" s="18" t="s">
        <v>21539</v>
      </c>
      <c r="B5349" s="33" t="s">
        <v>21532</v>
      </c>
      <c r="C5349" s="20">
        <v>0.0</v>
      </c>
      <c r="D5349" s="179">
        <v>20076.0</v>
      </c>
      <c r="E5349" s="27" t="s">
        <v>882</v>
      </c>
      <c r="F5349" s="27" t="s">
        <v>33</v>
      </c>
      <c r="G5349" s="18" t="s">
        <v>35</v>
      </c>
      <c r="H5349" s="40" t="s">
        <v>35</v>
      </c>
      <c r="I5349" s="37" t="s">
        <v>36</v>
      </c>
      <c r="J5349" s="25" t="s">
        <v>49</v>
      </c>
      <c r="K5349" s="26" t="s">
        <v>38</v>
      </c>
      <c r="L5349" s="25">
        <v>14144.0</v>
      </c>
      <c r="M5349" s="49" t="s">
        <v>50</v>
      </c>
      <c r="N5349" s="42" t="s">
        <v>17048</v>
      </c>
      <c r="O5349" s="67">
        <v>45944.609593113426</v>
      </c>
      <c r="P5349" s="35" t="s">
        <v>21533</v>
      </c>
      <c r="Q5349" s="13" t="s">
        <v>75</v>
      </c>
      <c r="R5349" s="13" t="s">
        <v>75</v>
      </c>
      <c r="S5349" s="13" t="s">
        <v>9620</v>
      </c>
      <c r="T5349" s="44">
        <v>45926.66054680556</v>
      </c>
      <c r="U5349" s="44">
        <v>45939.39496491898</v>
      </c>
      <c r="V5349" s="44">
        <v>45939.54629229166</v>
      </c>
      <c r="W5349" s="11"/>
      <c r="X5349" s="11"/>
      <c r="Y5349" s="45">
        <v>302.0</v>
      </c>
      <c r="Z5349" s="45" t="s">
        <v>21540</v>
      </c>
      <c r="AA5349" s="31"/>
      <c r="AB5349" s="45" t="s">
        <v>21541</v>
      </c>
      <c r="AC5349" s="45"/>
    </row>
    <row r="5350" ht="18.75" customHeight="1">
      <c r="A5350" s="142" t="s">
        <v>21542</v>
      </c>
      <c r="B5350" s="33" t="s">
        <v>8666</v>
      </c>
      <c r="C5350" s="20">
        <v>0.0</v>
      </c>
      <c r="D5350" s="39"/>
      <c r="E5350" s="27" t="s">
        <v>3441</v>
      </c>
      <c r="F5350" s="27" t="s">
        <v>48</v>
      </c>
      <c r="G5350" s="18" t="s">
        <v>35</v>
      </c>
      <c r="H5350" s="40" t="s">
        <v>35</v>
      </c>
      <c r="I5350" s="37" t="s">
        <v>18314</v>
      </c>
      <c r="J5350" s="25" t="s">
        <v>49</v>
      </c>
      <c r="K5350" s="26" t="s">
        <v>38</v>
      </c>
      <c r="L5350" s="25"/>
      <c r="M5350" s="49"/>
      <c r="N5350" s="42"/>
      <c r="O5350" s="68"/>
      <c r="P5350" s="35" t="s">
        <v>21543</v>
      </c>
      <c r="Q5350" s="13" t="s">
        <v>75</v>
      </c>
      <c r="R5350" s="13" t="s">
        <v>75</v>
      </c>
      <c r="S5350" s="13"/>
      <c r="T5350" s="44">
        <v>45926.66115702546</v>
      </c>
      <c r="U5350" s="44">
        <v>45944.650187673615</v>
      </c>
      <c r="V5350" s="13"/>
      <c r="W5350" s="11"/>
      <c r="X5350" s="11"/>
      <c r="Y5350" s="45"/>
      <c r="Z5350" s="45"/>
      <c r="AA5350" s="31"/>
      <c r="AB5350" s="45" t="s">
        <v>21544</v>
      </c>
      <c r="AC5350" s="45"/>
    </row>
    <row r="5351" ht="18.75" customHeight="1">
      <c r="A5351" s="142" t="s">
        <v>21545</v>
      </c>
      <c r="B5351" s="33" t="s">
        <v>21020</v>
      </c>
      <c r="C5351" s="20">
        <v>0.0</v>
      </c>
      <c r="D5351" s="179">
        <v>20152.0</v>
      </c>
      <c r="E5351" s="27" t="s">
        <v>453</v>
      </c>
      <c r="F5351" s="27" t="s">
        <v>244</v>
      </c>
      <c r="G5351" s="18" t="s">
        <v>35</v>
      </c>
      <c r="H5351" s="40" t="s">
        <v>35</v>
      </c>
      <c r="I5351" s="37" t="s">
        <v>36</v>
      </c>
      <c r="J5351" s="25" t="s">
        <v>49</v>
      </c>
      <c r="K5351" s="26" t="s">
        <v>38</v>
      </c>
      <c r="L5351" s="25">
        <v>14016.0</v>
      </c>
      <c r="M5351" s="49" t="s">
        <v>50</v>
      </c>
      <c r="N5351" s="42" t="s">
        <v>17048</v>
      </c>
      <c r="O5351" s="67">
        <v>45930.606398993055</v>
      </c>
      <c r="P5351" s="35" t="s">
        <v>15666</v>
      </c>
      <c r="Q5351" s="13" t="s">
        <v>75</v>
      </c>
      <c r="R5351" s="13" t="s">
        <v>75</v>
      </c>
      <c r="S5351" s="13" t="s">
        <v>9620</v>
      </c>
      <c r="T5351" s="44">
        <v>45926.66218626157</v>
      </c>
      <c r="U5351" s="44">
        <v>45929.41469585648</v>
      </c>
      <c r="V5351" s="44">
        <v>45929.44428324074</v>
      </c>
      <c r="W5351" s="11"/>
      <c r="X5351" s="11"/>
      <c r="Y5351" s="45">
        <v>302.0</v>
      </c>
      <c r="Z5351" s="45" t="s">
        <v>21546</v>
      </c>
      <c r="AA5351" s="31"/>
      <c r="AB5351" s="45" t="s">
        <v>21547</v>
      </c>
      <c r="AC5351" s="45"/>
    </row>
    <row r="5352" ht="18.75" customHeight="1">
      <c r="A5352" s="18" t="s">
        <v>21548</v>
      </c>
      <c r="B5352" s="33" t="s">
        <v>20651</v>
      </c>
      <c r="C5352" s="20">
        <v>137.0</v>
      </c>
      <c r="D5352" s="39"/>
      <c r="E5352" s="27" t="s">
        <v>85</v>
      </c>
      <c r="F5352" s="27" t="s">
        <v>48</v>
      </c>
      <c r="G5352" s="18" t="s">
        <v>35</v>
      </c>
      <c r="H5352" s="40" t="s">
        <v>35</v>
      </c>
      <c r="I5352" s="37" t="s">
        <v>17277</v>
      </c>
      <c r="J5352" s="25" t="s">
        <v>65</v>
      </c>
      <c r="K5352" s="26" t="s">
        <v>38</v>
      </c>
      <c r="L5352" s="25"/>
      <c r="M5352" s="49"/>
      <c r="N5352" s="42"/>
      <c r="O5352" s="68"/>
      <c r="P5352" s="35" t="s">
        <v>14372</v>
      </c>
      <c r="Q5352" s="13" t="s">
        <v>6028</v>
      </c>
      <c r="R5352" s="13"/>
      <c r="S5352" s="13"/>
      <c r="T5352" s="44">
        <v>45926.66243081019</v>
      </c>
      <c r="U5352" s="13"/>
      <c r="V5352" s="13"/>
      <c r="W5352" s="11"/>
      <c r="X5352" s="11"/>
      <c r="Y5352" s="45"/>
      <c r="Z5352" s="45"/>
      <c r="AA5352" s="31"/>
      <c r="AB5352" s="45" t="s">
        <v>21549</v>
      </c>
      <c r="AC5352" s="45"/>
    </row>
    <row r="5353" ht="18.75" customHeight="1">
      <c r="A5353" s="18" t="s">
        <v>21550</v>
      </c>
      <c r="B5353" s="33" t="s">
        <v>20651</v>
      </c>
      <c r="C5353" s="20">
        <v>137.0</v>
      </c>
      <c r="D5353" s="39"/>
      <c r="E5353" s="27" t="s">
        <v>85</v>
      </c>
      <c r="F5353" s="27" t="s">
        <v>48</v>
      </c>
      <c r="G5353" s="18" t="s">
        <v>35</v>
      </c>
      <c r="H5353" s="40" t="s">
        <v>35</v>
      </c>
      <c r="I5353" s="37" t="s">
        <v>17277</v>
      </c>
      <c r="J5353" s="25" t="s">
        <v>65</v>
      </c>
      <c r="K5353" s="26" t="s">
        <v>38</v>
      </c>
      <c r="L5353" s="25"/>
      <c r="M5353" s="49"/>
      <c r="N5353" s="42"/>
      <c r="O5353" s="68"/>
      <c r="P5353" s="35" t="s">
        <v>14372</v>
      </c>
      <c r="Q5353" s="13" t="s">
        <v>6028</v>
      </c>
      <c r="R5353" s="13"/>
      <c r="S5353" s="13" t="s">
        <v>6028</v>
      </c>
      <c r="T5353" s="44">
        <v>45926.66515981482</v>
      </c>
      <c r="U5353" s="13"/>
      <c r="V5353" s="13"/>
      <c r="W5353" s="11"/>
      <c r="X5353" s="11"/>
      <c r="Y5353" s="45"/>
      <c r="Z5353" s="45"/>
      <c r="AA5353" s="31"/>
      <c r="AB5353" s="45" t="s">
        <v>21551</v>
      </c>
      <c r="AC5353" s="45"/>
    </row>
    <row r="5354" ht="18.75" customHeight="1">
      <c r="A5354" s="142" t="s">
        <v>21552</v>
      </c>
      <c r="B5354" s="33" t="s">
        <v>4450</v>
      </c>
      <c r="C5354" s="20">
        <v>0.0</v>
      </c>
      <c r="D5354" s="179">
        <v>20337.0</v>
      </c>
      <c r="E5354" s="27" t="s">
        <v>13303</v>
      </c>
      <c r="F5354" s="27" t="s">
        <v>48</v>
      </c>
      <c r="G5354" s="18" t="s">
        <v>35</v>
      </c>
      <c r="H5354" s="40" t="s">
        <v>35</v>
      </c>
      <c r="I5354" s="37" t="s">
        <v>36</v>
      </c>
      <c r="J5354" s="25" t="s">
        <v>420</v>
      </c>
      <c r="K5354" s="26" t="s">
        <v>38</v>
      </c>
      <c r="L5354" s="25">
        <v>14081.0</v>
      </c>
      <c r="M5354" s="49" t="s">
        <v>50</v>
      </c>
      <c r="N5354" s="42" t="s">
        <v>14288</v>
      </c>
      <c r="O5354" s="67">
        <v>45937.66616155092</v>
      </c>
      <c r="P5354" s="35" t="s">
        <v>21553</v>
      </c>
      <c r="Q5354" s="13" t="s">
        <v>6028</v>
      </c>
      <c r="R5354" s="13" t="s">
        <v>6028</v>
      </c>
      <c r="S5354" s="13" t="s">
        <v>9620</v>
      </c>
      <c r="T5354" s="44">
        <v>45929.414123379625</v>
      </c>
      <c r="U5354" s="44">
        <v>45929.42970782408</v>
      </c>
      <c r="V5354" s="44">
        <v>45936.718256168984</v>
      </c>
      <c r="W5354" s="11"/>
      <c r="X5354" s="11"/>
      <c r="Y5354" s="45">
        <v>302.0</v>
      </c>
      <c r="Z5354" s="45" t="s">
        <v>21554</v>
      </c>
      <c r="AA5354" s="31"/>
      <c r="AB5354" s="45" t="s">
        <v>21555</v>
      </c>
      <c r="AC5354" s="45"/>
    </row>
    <row r="5355" ht="18.75" customHeight="1">
      <c r="A5355" s="142" t="s">
        <v>21556</v>
      </c>
      <c r="B5355" s="33" t="s">
        <v>4215</v>
      </c>
      <c r="C5355" s="20">
        <v>90.0</v>
      </c>
      <c r="D5355" s="39" t="s">
        <v>21557</v>
      </c>
      <c r="E5355" s="27" t="s">
        <v>91</v>
      </c>
      <c r="F5355" s="27" t="s">
        <v>48</v>
      </c>
      <c r="G5355" s="18" t="s">
        <v>35</v>
      </c>
      <c r="H5355" s="40" t="s">
        <v>35</v>
      </c>
      <c r="I5355" s="37" t="s">
        <v>36</v>
      </c>
      <c r="J5355" s="25" t="s">
        <v>420</v>
      </c>
      <c r="K5355" s="26" t="s">
        <v>38</v>
      </c>
      <c r="L5355" s="25">
        <v>14004.0</v>
      </c>
      <c r="M5355" s="49" t="s">
        <v>50</v>
      </c>
      <c r="N5355" s="42" t="s">
        <v>14288</v>
      </c>
      <c r="O5355" s="67">
        <v>45929.60374630787</v>
      </c>
      <c r="P5355" s="35" t="s">
        <v>16642</v>
      </c>
      <c r="Q5355" s="13" t="s">
        <v>6028</v>
      </c>
      <c r="R5355" s="13" t="s">
        <v>6028</v>
      </c>
      <c r="S5355" s="13" t="s">
        <v>73</v>
      </c>
      <c r="T5355" s="44">
        <v>45929.41630195602</v>
      </c>
      <c r="U5355" s="44">
        <v>45929.429359525464</v>
      </c>
      <c r="V5355" s="44">
        <v>45929.43760726852</v>
      </c>
      <c r="W5355" s="11"/>
      <c r="X5355" s="11"/>
      <c r="Y5355" s="45">
        <v>302.0</v>
      </c>
      <c r="Z5355" s="45" t="s">
        <v>21558</v>
      </c>
      <c r="AA5355" s="31"/>
      <c r="AB5355" s="45" t="s">
        <v>21559</v>
      </c>
      <c r="AC5355" s="45"/>
    </row>
    <row r="5356" ht="18.75" customHeight="1">
      <c r="A5356" s="142" t="s">
        <v>21560</v>
      </c>
      <c r="B5356" s="33" t="s">
        <v>21561</v>
      </c>
      <c r="C5356" s="20">
        <v>0.0</v>
      </c>
      <c r="D5356" s="179">
        <v>20224.0</v>
      </c>
      <c r="E5356" s="27" t="s">
        <v>165</v>
      </c>
      <c r="F5356" s="27" t="s">
        <v>33</v>
      </c>
      <c r="G5356" s="18" t="s">
        <v>35</v>
      </c>
      <c r="H5356" s="40" t="s">
        <v>35</v>
      </c>
      <c r="I5356" s="37" t="s">
        <v>36</v>
      </c>
      <c r="J5356" s="25" t="s">
        <v>49</v>
      </c>
      <c r="K5356" s="26" t="s">
        <v>38</v>
      </c>
      <c r="L5356" s="25">
        <v>14017.0</v>
      </c>
      <c r="M5356" s="49" t="s">
        <v>50</v>
      </c>
      <c r="N5356" s="42" t="s">
        <v>17048</v>
      </c>
      <c r="O5356" s="67">
        <v>45930.60634636574</v>
      </c>
      <c r="P5356" s="35" t="s">
        <v>21562</v>
      </c>
      <c r="Q5356" s="13" t="s">
        <v>6028</v>
      </c>
      <c r="R5356" s="13" t="s">
        <v>6028</v>
      </c>
      <c r="S5356" s="13" t="s">
        <v>9620</v>
      </c>
      <c r="T5356" s="44">
        <v>45929.435113680556</v>
      </c>
      <c r="U5356" s="44">
        <v>45929.446605000005</v>
      </c>
      <c r="V5356" s="44">
        <v>45929.45007076389</v>
      </c>
      <c r="W5356" s="11"/>
      <c r="X5356" s="11"/>
      <c r="Y5356" s="45">
        <v>302.0</v>
      </c>
      <c r="Z5356" s="45" t="s">
        <v>21563</v>
      </c>
      <c r="AA5356" s="31"/>
      <c r="AB5356" s="45" t="s">
        <v>21564</v>
      </c>
      <c r="AC5356" s="45"/>
    </row>
    <row r="5357" ht="18.75" customHeight="1">
      <c r="A5357" s="142" t="s">
        <v>21565</v>
      </c>
      <c r="B5357" s="33" t="s">
        <v>4941</v>
      </c>
      <c r="C5357" s="20">
        <v>137.0</v>
      </c>
      <c r="D5357" s="39" t="s">
        <v>21566</v>
      </c>
      <c r="E5357" s="27" t="s">
        <v>85</v>
      </c>
      <c r="F5357" s="27" t="s">
        <v>48</v>
      </c>
      <c r="G5357" s="18" t="s">
        <v>35</v>
      </c>
      <c r="H5357" s="40" t="s">
        <v>35</v>
      </c>
      <c r="I5357" s="37" t="s">
        <v>36</v>
      </c>
      <c r="J5357" s="25" t="s">
        <v>92</v>
      </c>
      <c r="K5357" s="26" t="s">
        <v>38</v>
      </c>
      <c r="L5357" s="25">
        <v>14010.0</v>
      </c>
      <c r="M5357" s="49" t="s">
        <v>50</v>
      </c>
      <c r="N5357" s="42" t="s">
        <v>20423</v>
      </c>
      <c r="O5357" s="67">
        <v>45929.66350481482</v>
      </c>
      <c r="P5357" s="35" t="s">
        <v>21567</v>
      </c>
      <c r="Q5357" s="13" t="s">
        <v>75</v>
      </c>
      <c r="R5357" s="13" t="s">
        <v>75</v>
      </c>
      <c r="S5357" s="13" t="s">
        <v>73</v>
      </c>
      <c r="T5357" s="44">
        <v>45929.46644231481</v>
      </c>
      <c r="U5357" s="44">
        <v>45929.46645591436</v>
      </c>
      <c r="V5357" s="44">
        <v>45929.56306292824</v>
      </c>
      <c r="W5357" s="11"/>
      <c r="X5357" s="11"/>
      <c r="Y5357" s="45">
        <v>302.0</v>
      </c>
      <c r="Z5357" s="45" t="s">
        <v>21568</v>
      </c>
      <c r="AA5357" s="31"/>
      <c r="AB5357" s="45" t="s">
        <v>21569</v>
      </c>
      <c r="AC5357" s="45"/>
    </row>
    <row r="5358" ht="18.75" customHeight="1">
      <c r="A5358" s="18" t="s">
        <v>21570</v>
      </c>
      <c r="B5358" s="33" t="s">
        <v>20651</v>
      </c>
      <c r="C5358" s="20">
        <v>137.0</v>
      </c>
      <c r="D5358" s="39" t="s">
        <v>21571</v>
      </c>
      <c r="E5358" s="27" t="s">
        <v>85</v>
      </c>
      <c r="F5358" s="27" t="s">
        <v>48</v>
      </c>
      <c r="G5358" s="18" t="s">
        <v>35</v>
      </c>
      <c r="H5358" s="40" t="s">
        <v>35</v>
      </c>
      <c r="I5358" s="37" t="s">
        <v>36</v>
      </c>
      <c r="J5358" s="25" t="s">
        <v>49</v>
      </c>
      <c r="K5358" s="26" t="s">
        <v>38</v>
      </c>
      <c r="L5358" s="25">
        <v>14034.0</v>
      </c>
      <c r="M5358" s="49" t="s">
        <v>50</v>
      </c>
      <c r="N5358" s="42" t="s">
        <v>17048</v>
      </c>
      <c r="O5358" s="67">
        <v>45931.6598355787</v>
      </c>
      <c r="P5358" s="35" t="s">
        <v>14372</v>
      </c>
      <c r="Q5358" s="13" t="s">
        <v>6028</v>
      </c>
      <c r="R5358" s="13" t="s">
        <v>6028</v>
      </c>
      <c r="S5358" s="13" t="s">
        <v>73</v>
      </c>
      <c r="T5358" s="44">
        <v>45929.463109282406</v>
      </c>
      <c r="U5358" s="44">
        <v>45930.709255740745</v>
      </c>
      <c r="V5358" s="44">
        <v>45931.4036875</v>
      </c>
      <c r="W5358" s="11"/>
      <c r="X5358" s="11"/>
      <c r="Y5358" s="45">
        <v>302.0</v>
      </c>
      <c r="Z5358" s="45" t="s">
        <v>21572</v>
      </c>
      <c r="AA5358" s="31"/>
      <c r="AB5358" s="45" t="s">
        <v>21573</v>
      </c>
      <c r="AC5358" s="45"/>
    </row>
    <row r="5359" ht="18.75" customHeight="1">
      <c r="A5359" s="18" t="s">
        <v>21574</v>
      </c>
      <c r="B5359" s="33" t="s">
        <v>20651</v>
      </c>
      <c r="C5359" s="20">
        <v>137.0</v>
      </c>
      <c r="D5359" s="39" t="s">
        <v>21575</v>
      </c>
      <c r="E5359" s="27" t="s">
        <v>85</v>
      </c>
      <c r="F5359" s="27" t="s">
        <v>48</v>
      </c>
      <c r="G5359" s="18" t="s">
        <v>35</v>
      </c>
      <c r="H5359" s="40" t="s">
        <v>35</v>
      </c>
      <c r="I5359" s="37" t="s">
        <v>36</v>
      </c>
      <c r="J5359" s="25" t="s">
        <v>49</v>
      </c>
      <c r="K5359" s="26" t="s">
        <v>38</v>
      </c>
      <c r="L5359" s="25">
        <v>14034.0</v>
      </c>
      <c r="M5359" s="49" t="s">
        <v>50</v>
      </c>
      <c r="N5359" s="42" t="s">
        <v>17048</v>
      </c>
      <c r="O5359" s="67">
        <v>45931.65989972222</v>
      </c>
      <c r="P5359" s="35" t="s">
        <v>14372</v>
      </c>
      <c r="Q5359" s="13"/>
      <c r="R5359" s="13" t="s">
        <v>6028</v>
      </c>
      <c r="S5359" s="13" t="s">
        <v>73</v>
      </c>
      <c r="T5359" s="44">
        <v>45929.46321181713</v>
      </c>
      <c r="U5359" s="44">
        <v>45930.7092258912</v>
      </c>
      <c r="V5359" s="44">
        <v>45931.403174085644</v>
      </c>
      <c r="W5359" s="11"/>
      <c r="X5359" s="11"/>
      <c r="Y5359" s="45">
        <v>302.0</v>
      </c>
      <c r="Z5359" s="45" t="s">
        <v>21576</v>
      </c>
      <c r="AA5359" s="31"/>
      <c r="AB5359" s="45" t="s">
        <v>21577</v>
      </c>
      <c r="AC5359" s="45"/>
    </row>
    <row r="5360" ht="18.75" customHeight="1">
      <c r="A5360" s="18" t="s">
        <v>21578</v>
      </c>
      <c r="B5360" s="33" t="s">
        <v>858</v>
      </c>
      <c r="C5360" s="20">
        <v>0.0</v>
      </c>
      <c r="D5360" s="39"/>
      <c r="E5360" s="27" t="s">
        <v>3441</v>
      </c>
      <c r="F5360" s="27" t="s">
        <v>48</v>
      </c>
      <c r="G5360" s="18" t="s">
        <v>35</v>
      </c>
      <c r="H5360" s="40" t="s">
        <v>35</v>
      </c>
      <c r="I5360" s="24" t="s">
        <v>18314</v>
      </c>
      <c r="J5360" s="25" t="s">
        <v>420</v>
      </c>
      <c r="K5360" s="26" t="s">
        <v>38</v>
      </c>
      <c r="L5360" s="25"/>
      <c r="M5360" s="49"/>
      <c r="N5360" s="42"/>
      <c r="O5360" s="68"/>
      <c r="P5360" s="35" t="s">
        <v>21579</v>
      </c>
      <c r="Q5360" s="13" t="s">
        <v>6028</v>
      </c>
      <c r="R5360" s="13" t="s">
        <v>6028</v>
      </c>
      <c r="S5360" s="13"/>
      <c r="T5360" s="44">
        <v>45929.46545832176</v>
      </c>
      <c r="U5360" s="44">
        <v>45929.486116712964</v>
      </c>
      <c r="V5360" s="13"/>
      <c r="W5360" s="11"/>
      <c r="X5360" s="11"/>
      <c r="Y5360" s="45"/>
      <c r="Z5360" s="45"/>
      <c r="AA5360" s="31"/>
      <c r="AB5360" s="45" t="s">
        <v>21580</v>
      </c>
      <c r="AC5360" s="45"/>
    </row>
    <row r="5361" ht="18.75" customHeight="1">
      <c r="A5361" s="18" t="s">
        <v>21581</v>
      </c>
      <c r="B5361" s="33" t="s">
        <v>858</v>
      </c>
      <c r="C5361" s="20">
        <v>0.0</v>
      </c>
      <c r="D5361" s="39"/>
      <c r="E5361" s="27" t="s">
        <v>3441</v>
      </c>
      <c r="F5361" s="27" t="s">
        <v>48</v>
      </c>
      <c r="G5361" s="18" t="s">
        <v>35</v>
      </c>
      <c r="H5361" s="40" t="s">
        <v>35</v>
      </c>
      <c r="I5361" s="24" t="s">
        <v>18314</v>
      </c>
      <c r="J5361" s="25" t="s">
        <v>420</v>
      </c>
      <c r="K5361" s="26" t="s">
        <v>38</v>
      </c>
      <c r="L5361" s="25"/>
      <c r="M5361" s="49"/>
      <c r="N5361" s="42"/>
      <c r="O5361" s="68"/>
      <c r="P5361" s="35" t="s">
        <v>21579</v>
      </c>
      <c r="Q5361" s="13" t="s">
        <v>6028</v>
      </c>
      <c r="R5361" s="13" t="s">
        <v>6028</v>
      </c>
      <c r="S5361" s="13" t="s">
        <v>6028</v>
      </c>
      <c r="T5361" s="44">
        <v>45929.4660371412</v>
      </c>
      <c r="U5361" s="44">
        <v>45929.486153391204</v>
      </c>
      <c r="V5361" s="13"/>
      <c r="W5361" s="11"/>
      <c r="X5361" s="11"/>
      <c r="Y5361" s="45"/>
      <c r="Z5361" s="45"/>
      <c r="AA5361" s="31"/>
      <c r="AB5361" s="45" t="s">
        <v>21582</v>
      </c>
      <c r="AC5361" s="45"/>
    </row>
    <row r="5362" ht="18.75" customHeight="1">
      <c r="A5362" s="18" t="s">
        <v>21583</v>
      </c>
      <c r="B5362" s="33" t="s">
        <v>858</v>
      </c>
      <c r="C5362" s="20">
        <v>1.0</v>
      </c>
      <c r="D5362" s="39" t="s">
        <v>21584</v>
      </c>
      <c r="E5362" s="27" t="s">
        <v>3395</v>
      </c>
      <c r="F5362" s="27" t="s">
        <v>48</v>
      </c>
      <c r="G5362" s="18" t="s">
        <v>35</v>
      </c>
      <c r="H5362" s="40" t="s">
        <v>35</v>
      </c>
      <c r="I5362" s="37" t="s">
        <v>36</v>
      </c>
      <c r="J5362" s="25" t="s">
        <v>420</v>
      </c>
      <c r="K5362" s="26" t="s">
        <v>38</v>
      </c>
      <c r="L5362" s="25">
        <v>14213.0</v>
      </c>
      <c r="M5362" s="49" t="s">
        <v>50</v>
      </c>
      <c r="N5362" s="42" t="s">
        <v>14288</v>
      </c>
      <c r="O5362" s="67">
        <v>45950.66322809028</v>
      </c>
      <c r="P5362" s="35" t="s">
        <v>21585</v>
      </c>
      <c r="Q5362" s="13" t="s">
        <v>6028</v>
      </c>
      <c r="R5362" s="13" t="s">
        <v>6028</v>
      </c>
      <c r="S5362" s="13" t="s">
        <v>73</v>
      </c>
      <c r="T5362" s="44">
        <v>45929.471418182875</v>
      </c>
      <c r="U5362" s="44">
        <v>45929.49205335648</v>
      </c>
      <c r="V5362" s="44">
        <v>45950.56040878472</v>
      </c>
      <c r="W5362" s="11"/>
      <c r="X5362" s="11"/>
      <c r="Y5362" s="45">
        <v>302.0</v>
      </c>
      <c r="Z5362" s="45" t="s">
        <v>21586</v>
      </c>
      <c r="AA5362" s="31"/>
      <c r="AB5362" s="45" t="s">
        <v>21587</v>
      </c>
      <c r="AC5362" s="45"/>
    </row>
    <row r="5363" ht="18.75" customHeight="1">
      <c r="A5363" s="18" t="s">
        <v>21588</v>
      </c>
      <c r="B5363" s="33" t="s">
        <v>858</v>
      </c>
      <c r="C5363" s="20">
        <v>1.0</v>
      </c>
      <c r="D5363" s="39" t="s">
        <v>21589</v>
      </c>
      <c r="E5363" s="27" t="s">
        <v>3395</v>
      </c>
      <c r="F5363" s="27" t="s">
        <v>48</v>
      </c>
      <c r="G5363" s="18" t="s">
        <v>35</v>
      </c>
      <c r="H5363" s="40" t="s">
        <v>35</v>
      </c>
      <c r="I5363" s="37" t="s">
        <v>36</v>
      </c>
      <c r="J5363" s="25" t="s">
        <v>420</v>
      </c>
      <c r="K5363" s="26" t="s">
        <v>38</v>
      </c>
      <c r="L5363" s="25">
        <v>14213.0</v>
      </c>
      <c r="M5363" s="49" t="s">
        <v>50</v>
      </c>
      <c r="N5363" s="42" t="s">
        <v>14288</v>
      </c>
      <c r="O5363" s="67">
        <v>45950.66328961805</v>
      </c>
      <c r="P5363" s="35" t="s">
        <v>21585</v>
      </c>
      <c r="Q5363" s="13" t="s">
        <v>6028</v>
      </c>
      <c r="R5363" s="13" t="s">
        <v>6028</v>
      </c>
      <c r="S5363" s="13" t="s">
        <v>73</v>
      </c>
      <c r="T5363" s="44">
        <v>45929.47173104167</v>
      </c>
      <c r="U5363" s="44">
        <v>45929.49211739583</v>
      </c>
      <c r="V5363" s="44">
        <v>45950.560530092596</v>
      </c>
      <c r="W5363" s="11"/>
      <c r="X5363" s="11"/>
      <c r="Y5363" s="45">
        <v>302.0</v>
      </c>
      <c r="Z5363" s="45" t="s">
        <v>21590</v>
      </c>
      <c r="AA5363" s="31"/>
      <c r="AB5363" s="45" t="s">
        <v>21591</v>
      </c>
      <c r="AC5363" s="45"/>
    </row>
    <row r="5364" ht="18.75" customHeight="1">
      <c r="A5364" s="142" t="s">
        <v>21592</v>
      </c>
      <c r="B5364" s="33" t="s">
        <v>4901</v>
      </c>
      <c r="C5364" s="20">
        <v>34.0</v>
      </c>
      <c r="D5364" s="39" t="s">
        <v>21593</v>
      </c>
      <c r="E5364" s="27" t="s">
        <v>47</v>
      </c>
      <c r="F5364" s="27" t="s">
        <v>48</v>
      </c>
      <c r="G5364" s="18" t="s">
        <v>35</v>
      </c>
      <c r="H5364" s="40" t="s">
        <v>35</v>
      </c>
      <c r="I5364" s="37" t="s">
        <v>36</v>
      </c>
      <c r="J5364" s="25" t="s">
        <v>49</v>
      </c>
      <c r="K5364" s="26" t="s">
        <v>9830</v>
      </c>
      <c r="L5364" s="25">
        <v>14007.0</v>
      </c>
      <c r="M5364" s="49" t="s">
        <v>73</v>
      </c>
      <c r="N5364" s="42" t="s">
        <v>17048</v>
      </c>
      <c r="O5364" s="67">
        <v>45929.71286511574</v>
      </c>
      <c r="P5364" s="35" t="s">
        <v>14372</v>
      </c>
      <c r="Q5364" s="13" t="s">
        <v>6028</v>
      </c>
      <c r="R5364" s="13" t="s">
        <v>6028</v>
      </c>
      <c r="S5364" s="13" t="s">
        <v>73</v>
      </c>
      <c r="T5364" s="44">
        <v>45929.4741203125</v>
      </c>
      <c r="U5364" s="44">
        <v>45929.48332241898</v>
      </c>
      <c r="V5364" s="44">
        <v>45929.494660833334</v>
      </c>
      <c r="W5364" s="11"/>
      <c r="X5364" s="11"/>
      <c r="Y5364" s="45">
        <v>302.0</v>
      </c>
      <c r="Z5364" s="45" t="s">
        <v>21594</v>
      </c>
      <c r="AA5364" s="31"/>
      <c r="AB5364" s="45" t="s">
        <v>21595</v>
      </c>
      <c r="AC5364" s="45"/>
    </row>
    <row r="5365" ht="18.75" customHeight="1">
      <c r="A5365" s="18" t="s">
        <v>21596</v>
      </c>
      <c r="B5365" s="33" t="s">
        <v>451</v>
      </c>
      <c r="C5365" s="20">
        <v>0.0</v>
      </c>
      <c r="D5365" s="220" t="s">
        <v>21597</v>
      </c>
      <c r="E5365" s="27" t="s">
        <v>453</v>
      </c>
      <c r="F5365" s="27" t="s">
        <v>244</v>
      </c>
      <c r="G5365" s="18" t="s">
        <v>35</v>
      </c>
      <c r="H5365" s="40" t="s">
        <v>35</v>
      </c>
      <c r="I5365" s="37" t="s">
        <v>36</v>
      </c>
      <c r="J5365" s="25" t="s">
        <v>49</v>
      </c>
      <c r="K5365" s="26" t="s">
        <v>38</v>
      </c>
      <c r="L5365" s="25">
        <v>14064.0</v>
      </c>
      <c r="M5365" s="49" t="s">
        <v>50</v>
      </c>
      <c r="N5365" s="42" t="s">
        <v>17048</v>
      </c>
      <c r="O5365" s="67">
        <v>45933.66270864583</v>
      </c>
      <c r="P5365" s="35" t="s">
        <v>21598</v>
      </c>
      <c r="Q5365" s="13" t="s">
        <v>6028</v>
      </c>
      <c r="R5365" s="13" t="s">
        <v>6028</v>
      </c>
      <c r="S5365" s="13" t="s">
        <v>9620</v>
      </c>
      <c r="T5365" s="44">
        <v>45929.47662282408</v>
      </c>
      <c r="U5365" s="44">
        <v>45929.64877413194</v>
      </c>
      <c r="V5365" s="44">
        <v>45929.6678433912</v>
      </c>
      <c r="W5365" s="11"/>
      <c r="X5365" s="11"/>
      <c r="Y5365" s="45">
        <v>302.0</v>
      </c>
      <c r="Z5365" s="45" t="s">
        <v>21599</v>
      </c>
      <c r="AA5365" s="31"/>
      <c r="AB5365" s="45" t="s">
        <v>21600</v>
      </c>
      <c r="AC5365" s="45"/>
    </row>
    <row r="5366" ht="18.75" customHeight="1">
      <c r="A5366" s="18" t="s">
        <v>21601</v>
      </c>
      <c r="B5366" s="33" t="s">
        <v>451</v>
      </c>
      <c r="C5366" s="20">
        <v>0.0</v>
      </c>
      <c r="D5366" s="220" t="s">
        <v>21602</v>
      </c>
      <c r="E5366" s="27" t="s">
        <v>453</v>
      </c>
      <c r="F5366" s="27" t="s">
        <v>244</v>
      </c>
      <c r="G5366" s="18" t="s">
        <v>35</v>
      </c>
      <c r="H5366" s="40" t="s">
        <v>35</v>
      </c>
      <c r="I5366" s="37" t="s">
        <v>36</v>
      </c>
      <c r="J5366" s="25" t="s">
        <v>49</v>
      </c>
      <c r="K5366" s="26" t="s">
        <v>38</v>
      </c>
      <c r="L5366" s="25">
        <v>14064.0</v>
      </c>
      <c r="M5366" s="49" t="s">
        <v>50</v>
      </c>
      <c r="N5366" s="42" t="s">
        <v>17048</v>
      </c>
      <c r="O5366" s="67">
        <v>45933.66261997685</v>
      </c>
      <c r="P5366" s="35" t="s">
        <v>21598</v>
      </c>
      <c r="Q5366" s="13"/>
      <c r="R5366" s="13" t="s">
        <v>6028</v>
      </c>
      <c r="S5366" s="13" t="s">
        <v>9620</v>
      </c>
      <c r="T5366" s="44">
        <v>45929.47674077546</v>
      </c>
      <c r="U5366" s="44">
        <v>45929.648845648146</v>
      </c>
      <c r="V5366" s="44">
        <v>45929.6678433912</v>
      </c>
      <c r="W5366" s="11"/>
      <c r="X5366" s="11"/>
      <c r="Y5366" s="45">
        <v>302.0</v>
      </c>
      <c r="Z5366" s="45" t="s">
        <v>21603</v>
      </c>
      <c r="AA5366" s="31"/>
      <c r="AB5366" s="45" t="s">
        <v>21604</v>
      </c>
      <c r="AC5366" s="45"/>
    </row>
    <row r="5367" ht="18.75" customHeight="1">
      <c r="A5367" s="18" t="s">
        <v>21605</v>
      </c>
      <c r="B5367" s="33" t="s">
        <v>451</v>
      </c>
      <c r="C5367" s="20">
        <v>0.0</v>
      </c>
      <c r="D5367" s="220" t="s">
        <v>21606</v>
      </c>
      <c r="E5367" s="27" t="s">
        <v>532</v>
      </c>
      <c r="F5367" s="27" t="s">
        <v>244</v>
      </c>
      <c r="G5367" s="18" t="s">
        <v>35</v>
      </c>
      <c r="H5367" s="40" t="s">
        <v>35</v>
      </c>
      <c r="I5367" s="37" t="s">
        <v>36</v>
      </c>
      <c r="J5367" s="25" t="s">
        <v>49</v>
      </c>
      <c r="K5367" s="26" t="s">
        <v>38</v>
      </c>
      <c r="L5367" s="25">
        <v>14064.0</v>
      </c>
      <c r="M5367" s="49" t="s">
        <v>50</v>
      </c>
      <c r="N5367" s="42" t="s">
        <v>17048</v>
      </c>
      <c r="O5367" s="67">
        <v>45933.66266509259</v>
      </c>
      <c r="P5367" s="35" t="s">
        <v>21598</v>
      </c>
      <c r="Q5367" s="13" t="s">
        <v>6028</v>
      </c>
      <c r="R5367" s="13" t="s">
        <v>6028</v>
      </c>
      <c r="S5367" s="13" t="s">
        <v>9620</v>
      </c>
      <c r="T5367" s="44">
        <v>45929.47764268519</v>
      </c>
      <c r="U5367" s="44">
        <v>45929.648813645836</v>
      </c>
      <c r="V5367" s="44">
        <v>45933.33346204861</v>
      </c>
      <c r="W5367" s="11"/>
      <c r="X5367" s="11"/>
      <c r="Y5367" s="45">
        <v>302.0</v>
      </c>
      <c r="Z5367" s="45" t="s">
        <v>21607</v>
      </c>
      <c r="AA5367" s="31"/>
      <c r="AB5367" s="45" t="s">
        <v>21608</v>
      </c>
      <c r="AC5367" s="45"/>
    </row>
    <row r="5368" ht="18.75" customHeight="1">
      <c r="A5368" s="18" t="s">
        <v>21609</v>
      </c>
      <c r="B5368" s="33" t="s">
        <v>451</v>
      </c>
      <c r="C5368" s="20">
        <v>90.0</v>
      </c>
      <c r="D5368" s="39" t="s">
        <v>21610</v>
      </c>
      <c r="E5368" s="27" t="s">
        <v>91</v>
      </c>
      <c r="F5368" s="27" t="s">
        <v>48</v>
      </c>
      <c r="G5368" s="18" t="s">
        <v>35</v>
      </c>
      <c r="H5368" s="40" t="s">
        <v>35</v>
      </c>
      <c r="I5368" s="37" t="s">
        <v>36</v>
      </c>
      <c r="J5368" s="25" t="s">
        <v>49</v>
      </c>
      <c r="K5368" s="26" t="s">
        <v>38</v>
      </c>
      <c r="L5368" s="25">
        <v>14064.0</v>
      </c>
      <c r="M5368" s="49" t="s">
        <v>50</v>
      </c>
      <c r="N5368" s="42" t="s">
        <v>17048</v>
      </c>
      <c r="O5368" s="67">
        <v>45933.662575891205</v>
      </c>
      <c r="P5368" s="35" t="s">
        <v>21598</v>
      </c>
      <c r="Q5368" s="13" t="s">
        <v>6028</v>
      </c>
      <c r="R5368" s="13" t="s">
        <v>6028</v>
      </c>
      <c r="S5368" s="13" t="s">
        <v>73</v>
      </c>
      <c r="T5368" s="44">
        <v>45929.47789106482</v>
      </c>
      <c r="U5368" s="44">
        <v>45929.64889329861</v>
      </c>
      <c r="V5368" s="44">
        <v>45930.442095763894</v>
      </c>
      <c r="W5368" s="11"/>
      <c r="X5368" s="11"/>
      <c r="Y5368" s="45">
        <v>302.0</v>
      </c>
      <c r="Z5368" s="45" t="s">
        <v>21611</v>
      </c>
      <c r="AA5368" s="31"/>
      <c r="AB5368" s="45" t="s">
        <v>21612</v>
      </c>
      <c r="AC5368" s="45"/>
    </row>
    <row r="5369" ht="18.75" customHeight="1">
      <c r="A5369" s="18" t="s">
        <v>21613</v>
      </c>
      <c r="B5369" s="33" t="s">
        <v>451</v>
      </c>
      <c r="C5369" s="20">
        <v>90.0</v>
      </c>
      <c r="D5369" s="39" t="s">
        <v>21614</v>
      </c>
      <c r="E5369" s="27" t="s">
        <v>91</v>
      </c>
      <c r="F5369" s="27" t="s">
        <v>48</v>
      </c>
      <c r="G5369" s="18" t="s">
        <v>35</v>
      </c>
      <c r="H5369" s="40" t="s">
        <v>35</v>
      </c>
      <c r="I5369" s="37" t="s">
        <v>36</v>
      </c>
      <c r="J5369" s="25" t="s">
        <v>49</v>
      </c>
      <c r="K5369" s="26" t="s">
        <v>38</v>
      </c>
      <c r="L5369" s="25">
        <v>14064.0</v>
      </c>
      <c r="M5369" s="49" t="s">
        <v>50</v>
      </c>
      <c r="N5369" s="42" t="s">
        <v>17048</v>
      </c>
      <c r="O5369" s="67">
        <v>45933.66252799769</v>
      </c>
      <c r="P5369" s="35" t="s">
        <v>21598</v>
      </c>
      <c r="Q5369" s="13"/>
      <c r="R5369" s="13" t="s">
        <v>6028</v>
      </c>
      <c r="S5369" s="13" t="s">
        <v>73</v>
      </c>
      <c r="T5369" s="44">
        <v>45929.477337442135</v>
      </c>
      <c r="U5369" s="44">
        <v>45929.648941782405</v>
      </c>
      <c r="V5369" s="44">
        <v>45930.44209577546</v>
      </c>
      <c r="W5369" s="11"/>
      <c r="X5369" s="11"/>
      <c r="Y5369" s="45">
        <v>302.0</v>
      </c>
      <c r="Z5369" s="45" t="s">
        <v>21615</v>
      </c>
      <c r="AA5369" s="31"/>
      <c r="AB5369" s="45" t="s">
        <v>21616</v>
      </c>
      <c r="AC5369" s="45"/>
    </row>
    <row r="5370" ht="18.75" customHeight="1">
      <c r="A5370" s="142" t="s">
        <v>21617</v>
      </c>
      <c r="B5370" s="33" t="s">
        <v>21020</v>
      </c>
      <c r="C5370" s="20">
        <v>0.0</v>
      </c>
      <c r="D5370" s="220" t="s">
        <v>21618</v>
      </c>
      <c r="E5370" s="27" t="s">
        <v>731</v>
      </c>
      <c r="F5370" s="27" t="s">
        <v>33</v>
      </c>
      <c r="G5370" s="18" t="s">
        <v>35</v>
      </c>
      <c r="H5370" s="40" t="s">
        <v>35</v>
      </c>
      <c r="I5370" s="37" t="s">
        <v>36</v>
      </c>
      <c r="J5370" s="25" t="s">
        <v>49</v>
      </c>
      <c r="K5370" s="26" t="s">
        <v>38</v>
      </c>
      <c r="L5370" s="25">
        <v>14074.0</v>
      </c>
      <c r="M5370" s="49" t="s">
        <v>73</v>
      </c>
      <c r="N5370" s="42" t="s">
        <v>17048</v>
      </c>
      <c r="O5370" s="67">
        <v>45936.708095671296</v>
      </c>
      <c r="P5370" s="35" t="s">
        <v>14372</v>
      </c>
      <c r="Q5370" s="13" t="s">
        <v>75</v>
      </c>
      <c r="R5370" s="13" t="s">
        <v>75</v>
      </c>
      <c r="S5370" s="13" t="s">
        <v>9620</v>
      </c>
      <c r="T5370" s="44">
        <v>45929.50502509259</v>
      </c>
      <c r="U5370" s="44">
        <v>45929.657345555555</v>
      </c>
      <c r="V5370" s="44">
        <v>45933.37632660879</v>
      </c>
      <c r="W5370" s="11"/>
      <c r="X5370" s="11"/>
      <c r="Y5370" s="45">
        <v>302.0</v>
      </c>
      <c r="Z5370" s="45" t="s">
        <v>21619</v>
      </c>
      <c r="AA5370" s="31"/>
      <c r="AB5370" s="45" t="s">
        <v>21620</v>
      </c>
      <c r="AC5370" s="45"/>
    </row>
    <row r="5371" ht="18.75" customHeight="1">
      <c r="A5371" s="142" t="s">
        <v>21621</v>
      </c>
      <c r="B5371" s="33" t="s">
        <v>4090</v>
      </c>
      <c r="C5371" s="20">
        <v>137.0</v>
      </c>
      <c r="D5371" s="39" t="s">
        <v>21622</v>
      </c>
      <c r="E5371" s="27" t="s">
        <v>85</v>
      </c>
      <c r="F5371" s="27" t="s">
        <v>48</v>
      </c>
      <c r="G5371" s="18" t="s">
        <v>35</v>
      </c>
      <c r="H5371" s="40" t="s">
        <v>35</v>
      </c>
      <c r="I5371" s="37" t="s">
        <v>36</v>
      </c>
      <c r="J5371" s="25" t="s">
        <v>49</v>
      </c>
      <c r="K5371" s="26" t="s">
        <v>38</v>
      </c>
      <c r="L5371" s="25">
        <v>14018.0</v>
      </c>
      <c r="M5371" s="49" t="s">
        <v>50</v>
      </c>
      <c r="N5371" s="42" t="s">
        <v>17048</v>
      </c>
      <c r="O5371" s="67">
        <v>45930.60621075232</v>
      </c>
      <c r="P5371" s="35" t="s">
        <v>15666</v>
      </c>
      <c r="Q5371" s="13" t="s">
        <v>75</v>
      </c>
      <c r="R5371" s="13" t="s">
        <v>75</v>
      </c>
      <c r="S5371" s="13" t="s">
        <v>73</v>
      </c>
      <c r="T5371" s="44">
        <v>45929.50682461806</v>
      </c>
      <c r="U5371" s="44">
        <v>45930.44586085648</v>
      </c>
      <c r="V5371" s="44">
        <v>45930.450087708334</v>
      </c>
      <c r="W5371" s="11"/>
      <c r="X5371" s="11"/>
      <c r="Y5371" s="45">
        <v>302.0</v>
      </c>
      <c r="Z5371" s="45" t="s">
        <v>21623</v>
      </c>
      <c r="AA5371" s="31"/>
      <c r="AB5371" s="45" t="s">
        <v>21624</v>
      </c>
      <c r="AC5371" s="45"/>
    </row>
    <row r="5372" ht="18.75" customHeight="1">
      <c r="A5372" s="18" t="s">
        <v>21625</v>
      </c>
      <c r="B5372" s="33" t="s">
        <v>9101</v>
      </c>
      <c r="C5372" s="20">
        <v>137.0</v>
      </c>
      <c r="D5372" s="39" t="s">
        <v>21626</v>
      </c>
      <c r="E5372" s="27" t="s">
        <v>85</v>
      </c>
      <c r="F5372" s="27" t="s">
        <v>48</v>
      </c>
      <c r="G5372" s="18" t="s">
        <v>35</v>
      </c>
      <c r="H5372" s="40" t="s">
        <v>35</v>
      </c>
      <c r="I5372" s="37" t="s">
        <v>36</v>
      </c>
      <c r="J5372" s="25" t="s">
        <v>65</v>
      </c>
      <c r="K5372" s="26" t="s">
        <v>38</v>
      </c>
      <c r="L5372" s="25">
        <v>14022.0</v>
      </c>
      <c r="M5372" s="49" t="s">
        <v>50</v>
      </c>
      <c r="N5372" s="42" t="s">
        <v>16408</v>
      </c>
      <c r="O5372" s="67">
        <v>45930.62277957176</v>
      </c>
      <c r="P5372" s="35" t="s">
        <v>21627</v>
      </c>
      <c r="Q5372" s="13" t="s">
        <v>75</v>
      </c>
      <c r="R5372" s="13" t="s">
        <v>75</v>
      </c>
      <c r="S5372" s="13" t="s">
        <v>73</v>
      </c>
      <c r="T5372" s="44">
        <v>45929.663434999995</v>
      </c>
      <c r="U5372" s="44">
        <v>45930.545496527775</v>
      </c>
      <c r="V5372" s="44">
        <v>45930.558263032406</v>
      </c>
      <c r="W5372" s="11"/>
      <c r="X5372" s="11"/>
      <c r="Y5372" s="45">
        <v>302.0</v>
      </c>
      <c r="Z5372" s="45" t="s">
        <v>21628</v>
      </c>
      <c r="AA5372" s="31"/>
      <c r="AB5372" s="45" t="s">
        <v>21629</v>
      </c>
      <c r="AC5372" s="45"/>
    </row>
    <row r="5373" ht="18.75" customHeight="1">
      <c r="A5373" s="18" t="s">
        <v>21630</v>
      </c>
      <c r="B5373" s="33" t="s">
        <v>9101</v>
      </c>
      <c r="C5373" s="20">
        <v>90.0</v>
      </c>
      <c r="D5373" s="39" t="s">
        <v>21631</v>
      </c>
      <c r="E5373" s="27" t="s">
        <v>91</v>
      </c>
      <c r="F5373" s="27" t="s">
        <v>48</v>
      </c>
      <c r="G5373" s="18" t="s">
        <v>35</v>
      </c>
      <c r="H5373" s="40" t="s">
        <v>35</v>
      </c>
      <c r="I5373" s="37" t="s">
        <v>36</v>
      </c>
      <c r="J5373" s="25" t="s">
        <v>65</v>
      </c>
      <c r="K5373" s="26" t="s">
        <v>38</v>
      </c>
      <c r="L5373" s="25">
        <v>14022.0</v>
      </c>
      <c r="M5373" s="49" t="s">
        <v>50</v>
      </c>
      <c r="N5373" s="42" t="s">
        <v>16408</v>
      </c>
      <c r="O5373" s="67">
        <v>45930.62259501158</v>
      </c>
      <c r="P5373" s="35" t="s">
        <v>21627</v>
      </c>
      <c r="Q5373" s="13" t="s">
        <v>75</v>
      </c>
      <c r="R5373" s="13" t="s">
        <v>75</v>
      </c>
      <c r="S5373" s="13" t="s">
        <v>73</v>
      </c>
      <c r="T5373" s="44">
        <v>45929.66338288195</v>
      </c>
      <c r="U5373" s="44">
        <v>45930.54547923611</v>
      </c>
      <c r="V5373" s="44">
        <v>45930.55826302084</v>
      </c>
      <c r="W5373" s="11"/>
      <c r="X5373" s="11"/>
      <c r="Y5373" s="45">
        <v>302.0</v>
      </c>
      <c r="Z5373" s="45" t="s">
        <v>21632</v>
      </c>
      <c r="AA5373" s="31"/>
      <c r="AB5373" s="45" t="s">
        <v>21633</v>
      </c>
      <c r="AC5373" s="45"/>
    </row>
    <row r="5374" ht="18.75" customHeight="1">
      <c r="A5374" s="18" t="s">
        <v>21634</v>
      </c>
      <c r="B5374" s="33" t="s">
        <v>9101</v>
      </c>
      <c r="C5374" s="20">
        <v>137.0</v>
      </c>
      <c r="D5374" s="39" t="s">
        <v>21635</v>
      </c>
      <c r="E5374" s="27" t="s">
        <v>85</v>
      </c>
      <c r="F5374" s="27" t="s">
        <v>48</v>
      </c>
      <c r="G5374" s="18" t="s">
        <v>35</v>
      </c>
      <c r="H5374" s="40" t="s">
        <v>35</v>
      </c>
      <c r="I5374" s="37" t="s">
        <v>36</v>
      </c>
      <c r="J5374" s="25" t="s">
        <v>65</v>
      </c>
      <c r="K5374" s="26" t="s">
        <v>38</v>
      </c>
      <c r="L5374" s="25">
        <v>14022.0</v>
      </c>
      <c r="M5374" s="49" t="s">
        <v>50</v>
      </c>
      <c r="N5374" s="42" t="s">
        <v>16408</v>
      </c>
      <c r="O5374" s="67">
        <v>45930.62282478009</v>
      </c>
      <c r="P5374" s="35" t="s">
        <v>21627</v>
      </c>
      <c r="Q5374" s="13" t="s">
        <v>75</v>
      </c>
      <c r="R5374" s="13" t="s">
        <v>75</v>
      </c>
      <c r="S5374" s="13" t="s">
        <v>73</v>
      </c>
      <c r="T5374" s="44">
        <v>45929.66349077546</v>
      </c>
      <c r="U5374" s="44">
        <v>45930.54551405093</v>
      </c>
      <c r="V5374" s="44">
        <v>45930.55826304398</v>
      </c>
      <c r="W5374" s="11"/>
      <c r="X5374" s="11"/>
      <c r="Y5374" s="45">
        <v>302.0</v>
      </c>
      <c r="Z5374" s="45" t="s">
        <v>21636</v>
      </c>
      <c r="AA5374" s="31"/>
      <c r="AB5374" s="45" t="s">
        <v>21637</v>
      </c>
      <c r="AC5374" s="45"/>
    </row>
    <row r="5375" ht="18.75" customHeight="1">
      <c r="A5375" s="142" t="s">
        <v>21638</v>
      </c>
      <c r="B5375" s="33" t="s">
        <v>13993</v>
      </c>
      <c r="C5375" s="20">
        <v>90.0</v>
      </c>
      <c r="D5375" s="39" t="s">
        <v>21639</v>
      </c>
      <c r="E5375" s="27" t="s">
        <v>91</v>
      </c>
      <c r="F5375" s="27" t="s">
        <v>48</v>
      </c>
      <c r="G5375" s="18" t="s">
        <v>35</v>
      </c>
      <c r="H5375" s="40" t="s">
        <v>35</v>
      </c>
      <c r="I5375" s="37" t="s">
        <v>36</v>
      </c>
      <c r="J5375" s="25" t="s">
        <v>49</v>
      </c>
      <c r="K5375" s="26" t="s">
        <v>38</v>
      </c>
      <c r="L5375" s="25">
        <v>14019.0</v>
      </c>
      <c r="M5375" s="49" t="s">
        <v>50</v>
      </c>
      <c r="N5375" s="42" t="s">
        <v>17048</v>
      </c>
      <c r="O5375" s="67">
        <v>45930.60616358796</v>
      </c>
      <c r="P5375" s="35" t="s">
        <v>21640</v>
      </c>
      <c r="Q5375" s="13" t="s">
        <v>75</v>
      </c>
      <c r="R5375" s="13" t="s">
        <v>75</v>
      </c>
      <c r="S5375" s="13" t="s">
        <v>73</v>
      </c>
      <c r="T5375" s="44">
        <v>45929.66797943287</v>
      </c>
      <c r="U5375" s="44">
        <v>45930.39752666667</v>
      </c>
      <c r="V5375" s="44">
        <v>45930.442237152776</v>
      </c>
      <c r="W5375" s="11"/>
      <c r="X5375" s="11"/>
      <c r="Y5375" s="45">
        <v>302.0</v>
      </c>
      <c r="Z5375" s="45" t="s">
        <v>21641</v>
      </c>
      <c r="AA5375" s="31"/>
      <c r="AB5375" s="45" t="s">
        <v>21642</v>
      </c>
      <c r="AC5375" s="45"/>
    </row>
    <row r="5376" ht="18.75" customHeight="1">
      <c r="A5376" s="142" t="s">
        <v>21643</v>
      </c>
      <c r="B5376" s="33" t="s">
        <v>19608</v>
      </c>
      <c r="C5376" s="20">
        <v>137.0</v>
      </c>
      <c r="D5376" s="39" t="s">
        <v>21644</v>
      </c>
      <c r="E5376" s="27" t="s">
        <v>85</v>
      </c>
      <c r="F5376" s="27" t="s">
        <v>48</v>
      </c>
      <c r="G5376" s="18" t="s">
        <v>35</v>
      </c>
      <c r="H5376" s="40" t="s">
        <v>35</v>
      </c>
      <c r="I5376" s="37" t="s">
        <v>36</v>
      </c>
      <c r="J5376" s="25" t="s">
        <v>49</v>
      </c>
      <c r="K5376" s="26" t="s">
        <v>38</v>
      </c>
      <c r="L5376" s="25">
        <v>14050.0</v>
      </c>
      <c r="M5376" s="49" t="s">
        <v>50</v>
      </c>
      <c r="N5376" s="42" t="s">
        <v>17048</v>
      </c>
      <c r="O5376" s="67">
        <v>45931.65978219907</v>
      </c>
      <c r="P5376" s="35" t="s">
        <v>21645</v>
      </c>
      <c r="Q5376" s="13" t="s">
        <v>67</v>
      </c>
      <c r="R5376" s="13" t="s">
        <v>67</v>
      </c>
      <c r="S5376" s="13" t="s">
        <v>50</v>
      </c>
      <c r="T5376" s="44">
        <v>45931.62115825231</v>
      </c>
      <c r="U5376" s="44">
        <v>45931.62119534722</v>
      </c>
      <c r="V5376" s="44">
        <v>45931.621486759264</v>
      </c>
      <c r="W5376" s="11"/>
      <c r="X5376" s="11"/>
      <c r="Y5376" s="45">
        <v>302.0</v>
      </c>
      <c r="Z5376" s="45" t="s">
        <v>21646</v>
      </c>
      <c r="AA5376" s="31"/>
      <c r="AB5376" s="45" t="s">
        <v>21647</v>
      </c>
      <c r="AC5376" s="45"/>
    </row>
    <row r="5377" ht="18.75" customHeight="1">
      <c r="A5377" s="142" t="s">
        <v>21648</v>
      </c>
      <c r="B5377" s="33" t="s">
        <v>7490</v>
      </c>
      <c r="C5377" s="20">
        <v>137.0</v>
      </c>
      <c r="D5377" s="39" t="s">
        <v>21649</v>
      </c>
      <c r="E5377" s="27" t="s">
        <v>85</v>
      </c>
      <c r="F5377" s="27" t="s">
        <v>48</v>
      </c>
      <c r="G5377" s="18" t="s">
        <v>35</v>
      </c>
      <c r="H5377" s="40" t="s">
        <v>35</v>
      </c>
      <c r="I5377" s="37" t="s">
        <v>36</v>
      </c>
      <c r="J5377" s="25" t="s">
        <v>92</v>
      </c>
      <c r="K5377" s="26" t="s">
        <v>38</v>
      </c>
      <c r="L5377" s="25">
        <v>14020.0</v>
      </c>
      <c r="M5377" s="49" t="s">
        <v>50</v>
      </c>
      <c r="N5377" s="42" t="s">
        <v>6840</v>
      </c>
      <c r="O5377" s="67">
        <v>45938.62868721064</v>
      </c>
      <c r="P5377" s="35" t="s">
        <v>21650</v>
      </c>
      <c r="Q5377" s="13" t="s">
        <v>6028</v>
      </c>
      <c r="R5377" s="13" t="s">
        <v>6028</v>
      </c>
      <c r="S5377" s="13" t="s">
        <v>73</v>
      </c>
      <c r="T5377" s="44">
        <v>45930.38930513889</v>
      </c>
      <c r="U5377" s="44">
        <v>45930.4092728588</v>
      </c>
      <c r="V5377" s="44">
        <v>45930.4452780787</v>
      </c>
      <c r="W5377" s="11"/>
      <c r="X5377" s="11"/>
      <c r="Y5377" s="45">
        <v>302.0</v>
      </c>
      <c r="Z5377" s="45" t="s">
        <v>21651</v>
      </c>
      <c r="AA5377" s="31"/>
      <c r="AB5377" s="45" t="s">
        <v>21652</v>
      </c>
      <c r="AC5377" s="45"/>
    </row>
    <row r="5378" ht="18.75" customHeight="1">
      <c r="A5378" s="142" t="s">
        <v>21653</v>
      </c>
      <c r="B5378" s="33" t="s">
        <v>18643</v>
      </c>
      <c r="C5378" s="20">
        <v>90.0</v>
      </c>
      <c r="D5378" s="39" t="s">
        <v>21654</v>
      </c>
      <c r="E5378" s="27" t="s">
        <v>91</v>
      </c>
      <c r="F5378" s="27" t="s">
        <v>48</v>
      </c>
      <c r="G5378" s="18" t="s">
        <v>35</v>
      </c>
      <c r="H5378" s="40" t="s">
        <v>35</v>
      </c>
      <c r="I5378" s="37" t="s">
        <v>36</v>
      </c>
      <c r="J5378" s="25" t="s">
        <v>18078</v>
      </c>
      <c r="K5378" s="26" t="s">
        <v>38</v>
      </c>
      <c r="L5378" s="25">
        <v>14031.0</v>
      </c>
      <c r="M5378" s="49" t="s">
        <v>50</v>
      </c>
      <c r="N5378" s="42" t="s">
        <v>20640</v>
      </c>
      <c r="O5378" s="67">
        <v>45931.61655021991</v>
      </c>
      <c r="P5378" s="35" t="s">
        <v>21655</v>
      </c>
      <c r="Q5378" s="13" t="s">
        <v>6028</v>
      </c>
      <c r="R5378" s="13" t="s">
        <v>6028</v>
      </c>
      <c r="S5378" s="13" t="s">
        <v>73</v>
      </c>
      <c r="T5378" s="44">
        <v>45930.7087277199</v>
      </c>
      <c r="U5378" s="44">
        <v>45930.708756238426</v>
      </c>
      <c r="V5378" s="44">
        <v>45931.412569374996</v>
      </c>
      <c r="W5378" s="11"/>
      <c r="X5378" s="11"/>
      <c r="Y5378" s="45">
        <v>302.0</v>
      </c>
      <c r="Z5378" s="45" t="s">
        <v>21656</v>
      </c>
      <c r="AA5378" s="31"/>
      <c r="AB5378" s="45" t="s">
        <v>21657</v>
      </c>
      <c r="AC5378" s="45"/>
    </row>
    <row r="5379" ht="18.75" customHeight="1">
      <c r="A5379" s="142" t="s">
        <v>21658</v>
      </c>
      <c r="B5379" s="33" t="s">
        <v>19415</v>
      </c>
      <c r="C5379" s="20">
        <v>0.0</v>
      </c>
      <c r="D5379" s="39"/>
      <c r="E5379" s="27" t="s">
        <v>3441</v>
      </c>
      <c r="F5379" s="27" t="s">
        <v>48</v>
      </c>
      <c r="G5379" s="18" t="s">
        <v>35</v>
      </c>
      <c r="H5379" s="40" t="s">
        <v>35</v>
      </c>
      <c r="I5379" s="37" t="s">
        <v>17277</v>
      </c>
      <c r="J5379" s="25" t="s">
        <v>21206</v>
      </c>
      <c r="K5379" s="26" t="s">
        <v>38</v>
      </c>
      <c r="L5379" s="25"/>
      <c r="M5379" s="49"/>
      <c r="N5379" s="42"/>
      <c r="O5379" s="68"/>
      <c r="P5379" s="35" t="s">
        <v>21207</v>
      </c>
      <c r="Q5379" s="13" t="s">
        <v>75</v>
      </c>
      <c r="R5379" s="13" t="s">
        <v>75</v>
      </c>
      <c r="S5379" s="13"/>
      <c r="T5379" s="44">
        <v>45930.45529945602</v>
      </c>
      <c r="U5379" s="13"/>
      <c r="V5379" s="13"/>
      <c r="W5379" s="11"/>
      <c r="X5379" s="11"/>
      <c r="Y5379" s="45"/>
      <c r="Z5379" s="45"/>
      <c r="AA5379" s="31"/>
      <c r="AB5379" s="45" t="s">
        <v>21659</v>
      </c>
      <c r="AC5379" s="45"/>
    </row>
    <row r="5380" ht="18.75" customHeight="1">
      <c r="A5380" s="142" t="s">
        <v>21660</v>
      </c>
      <c r="B5380" s="33" t="s">
        <v>16578</v>
      </c>
      <c r="C5380" s="20">
        <v>137.0</v>
      </c>
      <c r="D5380" s="39" t="s">
        <v>21661</v>
      </c>
      <c r="E5380" s="27" t="s">
        <v>85</v>
      </c>
      <c r="F5380" s="27" t="s">
        <v>48</v>
      </c>
      <c r="G5380" s="18" t="s">
        <v>35</v>
      </c>
      <c r="H5380" s="40" t="s">
        <v>35</v>
      </c>
      <c r="I5380" s="37" t="s">
        <v>36</v>
      </c>
      <c r="J5380" s="25" t="s">
        <v>65</v>
      </c>
      <c r="K5380" s="26" t="s">
        <v>38</v>
      </c>
      <c r="L5380" s="25">
        <v>14033.0</v>
      </c>
      <c r="M5380" s="49" t="s">
        <v>50</v>
      </c>
      <c r="N5380" s="42" t="s">
        <v>16408</v>
      </c>
      <c r="O5380" s="67">
        <v>45931.661518333334</v>
      </c>
      <c r="P5380" s="35" t="s">
        <v>14372</v>
      </c>
      <c r="Q5380" s="13" t="s">
        <v>6028</v>
      </c>
      <c r="R5380" s="13" t="s">
        <v>6028</v>
      </c>
      <c r="S5380" s="13" t="s">
        <v>73</v>
      </c>
      <c r="T5380" s="44">
        <v>45930.408384421295</v>
      </c>
      <c r="U5380" s="44">
        <v>45930.62077245371</v>
      </c>
      <c r="V5380" s="44">
        <v>45931.40266552083</v>
      </c>
      <c r="W5380" s="11"/>
      <c r="X5380" s="11"/>
      <c r="Y5380" s="45">
        <v>302.0</v>
      </c>
      <c r="Z5380" s="45" t="s">
        <v>21662</v>
      </c>
      <c r="AA5380" s="31"/>
      <c r="AB5380" s="45" t="s">
        <v>21663</v>
      </c>
      <c r="AC5380" s="45"/>
    </row>
    <row r="5381" ht="18.75" customHeight="1">
      <c r="A5381" s="18" t="s">
        <v>21664</v>
      </c>
      <c r="B5381" s="33" t="s">
        <v>725</v>
      </c>
      <c r="C5381" s="20">
        <v>90.0</v>
      </c>
      <c r="D5381" s="39" t="s">
        <v>21665</v>
      </c>
      <c r="E5381" s="27" t="s">
        <v>91</v>
      </c>
      <c r="F5381" s="27" t="s">
        <v>48</v>
      </c>
      <c r="G5381" s="18" t="s">
        <v>35</v>
      </c>
      <c r="H5381" s="40" t="s">
        <v>35</v>
      </c>
      <c r="I5381" s="37" t="s">
        <v>36</v>
      </c>
      <c r="J5381" s="25" t="s">
        <v>49</v>
      </c>
      <c r="K5381" s="26" t="s">
        <v>38</v>
      </c>
      <c r="L5381" s="25">
        <v>14095.0</v>
      </c>
      <c r="M5381" s="49" t="s">
        <v>50</v>
      </c>
      <c r="N5381" s="42" t="s">
        <v>17048</v>
      </c>
      <c r="O5381" s="67">
        <v>45938.612437013886</v>
      </c>
      <c r="P5381" s="35" t="s">
        <v>21666</v>
      </c>
      <c r="Q5381" s="13" t="s">
        <v>75</v>
      </c>
      <c r="R5381" s="13" t="s">
        <v>75</v>
      </c>
      <c r="S5381" s="13" t="s">
        <v>73</v>
      </c>
      <c r="T5381" s="44">
        <v>45930.46309902778</v>
      </c>
      <c r="U5381" s="44">
        <v>45937.66479430556</v>
      </c>
      <c r="V5381" s="44">
        <v>45938.42855549768</v>
      </c>
      <c r="W5381" s="11"/>
      <c r="X5381" s="11"/>
      <c r="Y5381" s="45">
        <v>302.0</v>
      </c>
      <c r="Z5381" s="45" t="s">
        <v>21667</v>
      </c>
      <c r="AA5381" s="31"/>
      <c r="AB5381" s="45" t="s">
        <v>21668</v>
      </c>
      <c r="AC5381" s="45"/>
    </row>
    <row r="5382" ht="18.75" customHeight="1">
      <c r="A5382" s="18" t="s">
        <v>21669</v>
      </c>
      <c r="B5382" s="33" t="s">
        <v>725</v>
      </c>
      <c r="C5382" s="20">
        <v>1.0</v>
      </c>
      <c r="D5382" s="179">
        <v>20246.0</v>
      </c>
      <c r="E5382" s="27" t="s">
        <v>11712</v>
      </c>
      <c r="F5382" s="27" t="s">
        <v>48</v>
      </c>
      <c r="G5382" s="18" t="s">
        <v>35</v>
      </c>
      <c r="H5382" s="40" t="s">
        <v>35</v>
      </c>
      <c r="I5382" s="37" t="s">
        <v>36</v>
      </c>
      <c r="J5382" s="25" t="s">
        <v>49</v>
      </c>
      <c r="K5382" s="26" t="s">
        <v>38</v>
      </c>
      <c r="L5382" s="25">
        <v>14095.0</v>
      </c>
      <c r="M5382" s="49" t="s">
        <v>50</v>
      </c>
      <c r="N5382" s="42" t="s">
        <v>17048</v>
      </c>
      <c r="O5382" s="67">
        <v>45938.612483969904</v>
      </c>
      <c r="P5382" s="35" t="s">
        <v>21666</v>
      </c>
      <c r="Q5382" s="13" t="s">
        <v>75</v>
      </c>
      <c r="R5382" s="13" t="s">
        <v>75</v>
      </c>
      <c r="S5382" s="13" t="s">
        <v>9620</v>
      </c>
      <c r="T5382" s="44">
        <v>45930.463408923606</v>
      </c>
      <c r="U5382" s="44">
        <v>45937.66482189815</v>
      </c>
      <c r="V5382" s="44">
        <v>45937.7449787963</v>
      </c>
      <c r="W5382" s="11"/>
      <c r="X5382" s="11"/>
      <c r="Y5382" s="45">
        <v>302.0</v>
      </c>
      <c r="Z5382" s="45" t="s">
        <v>21670</v>
      </c>
      <c r="AA5382" s="31"/>
      <c r="AB5382" s="45" t="s">
        <v>21671</v>
      </c>
      <c r="AC5382" s="45"/>
    </row>
    <row r="5383" ht="18.75" customHeight="1">
      <c r="A5383" s="142" t="s">
        <v>21672</v>
      </c>
      <c r="B5383" s="33" t="s">
        <v>3762</v>
      </c>
      <c r="C5383" s="20">
        <v>137.0</v>
      </c>
      <c r="D5383" s="39"/>
      <c r="E5383" s="27" t="s">
        <v>85</v>
      </c>
      <c r="F5383" s="27" t="s">
        <v>48</v>
      </c>
      <c r="G5383" s="18" t="s">
        <v>35</v>
      </c>
      <c r="H5383" s="40" t="s">
        <v>35</v>
      </c>
      <c r="I5383" s="37" t="s">
        <v>17277</v>
      </c>
      <c r="J5383" s="25" t="s">
        <v>18078</v>
      </c>
      <c r="K5383" s="26" t="s">
        <v>38</v>
      </c>
      <c r="L5383" s="25"/>
      <c r="M5383" s="49"/>
      <c r="N5383" s="42"/>
      <c r="O5383" s="68"/>
      <c r="P5383" s="35" t="s">
        <v>21298</v>
      </c>
      <c r="Q5383" s="13" t="s">
        <v>75</v>
      </c>
      <c r="R5383" s="13" t="s">
        <v>75</v>
      </c>
      <c r="S5383" s="13"/>
      <c r="T5383" s="44">
        <v>45930.46385752315</v>
      </c>
      <c r="U5383" s="13"/>
      <c r="V5383" s="13"/>
      <c r="W5383" s="11"/>
      <c r="X5383" s="11"/>
      <c r="Y5383" s="45"/>
      <c r="Z5383" s="45"/>
      <c r="AA5383" s="31"/>
      <c r="AB5383" s="45" t="s">
        <v>21673</v>
      </c>
      <c r="AC5383" s="45"/>
    </row>
    <row r="5384" ht="18.75" customHeight="1">
      <c r="A5384" s="142" t="s">
        <v>21674</v>
      </c>
      <c r="B5384" s="33" t="s">
        <v>21409</v>
      </c>
      <c r="C5384" s="20">
        <v>90.0</v>
      </c>
      <c r="D5384" s="231"/>
      <c r="E5384" s="27" t="s">
        <v>91</v>
      </c>
      <c r="F5384" s="27" t="s">
        <v>48</v>
      </c>
      <c r="G5384" s="18" t="s">
        <v>35</v>
      </c>
      <c r="H5384" s="40" t="s">
        <v>35</v>
      </c>
      <c r="I5384" s="37" t="s">
        <v>36</v>
      </c>
      <c r="J5384" s="25" t="s">
        <v>65</v>
      </c>
      <c r="K5384" s="26" t="s">
        <v>38</v>
      </c>
      <c r="L5384" s="25">
        <v>14024.0</v>
      </c>
      <c r="M5384" s="49" t="s">
        <v>50</v>
      </c>
      <c r="N5384" s="42" t="s">
        <v>16408</v>
      </c>
      <c r="O5384" s="67">
        <v>45930.62290741898</v>
      </c>
      <c r="P5384" s="35" t="s">
        <v>15829</v>
      </c>
      <c r="Q5384" s="13" t="s">
        <v>6028</v>
      </c>
      <c r="R5384" s="13" t="s">
        <v>6028</v>
      </c>
      <c r="S5384" s="13" t="s">
        <v>50</v>
      </c>
      <c r="T5384" s="44">
        <v>45930.589411319444</v>
      </c>
      <c r="U5384" s="44">
        <v>45930.589434027774</v>
      </c>
      <c r="V5384" s="44">
        <v>45930.60808696759</v>
      </c>
      <c r="W5384" s="11"/>
      <c r="X5384" s="11"/>
      <c r="Y5384" s="207">
        <v>302.0</v>
      </c>
      <c r="Z5384" s="45" t="s">
        <v>21675</v>
      </c>
      <c r="AA5384" s="31"/>
      <c r="AB5384" s="45" t="s">
        <v>21676</v>
      </c>
      <c r="AC5384" s="45"/>
    </row>
    <row r="5385" ht="18.75" customHeight="1">
      <c r="A5385" s="18" t="s">
        <v>21677</v>
      </c>
      <c r="B5385" s="33" t="s">
        <v>2104</v>
      </c>
      <c r="C5385" s="20">
        <v>0.0</v>
      </c>
      <c r="D5385" s="179">
        <v>20155.0</v>
      </c>
      <c r="E5385" s="27" t="s">
        <v>453</v>
      </c>
      <c r="F5385" s="27" t="s">
        <v>244</v>
      </c>
      <c r="G5385" s="18" t="s">
        <v>35</v>
      </c>
      <c r="H5385" s="40" t="s">
        <v>35</v>
      </c>
      <c r="I5385" s="37" t="s">
        <v>36</v>
      </c>
      <c r="J5385" s="25" t="s">
        <v>49</v>
      </c>
      <c r="K5385" s="26" t="s">
        <v>38</v>
      </c>
      <c r="L5385" s="25">
        <v>14107.0</v>
      </c>
      <c r="M5385" s="49" t="s">
        <v>50</v>
      </c>
      <c r="N5385" s="42" t="s">
        <v>17048</v>
      </c>
      <c r="O5385" s="67">
        <v>45940.34820494213</v>
      </c>
      <c r="P5385" s="35" t="s">
        <v>21678</v>
      </c>
      <c r="Q5385" s="13" t="s">
        <v>75</v>
      </c>
      <c r="R5385" s="13" t="s">
        <v>75</v>
      </c>
      <c r="S5385" s="13" t="s">
        <v>9620</v>
      </c>
      <c r="T5385" s="44">
        <v>45930.49494642361</v>
      </c>
      <c r="U5385" s="44">
        <v>45932.62129109954</v>
      </c>
      <c r="V5385" s="44">
        <v>45932.63584729166</v>
      </c>
      <c r="W5385" s="11"/>
      <c r="X5385" s="11"/>
      <c r="Y5385" s="45">
        <v>302.0</v>
      </c>
      <c r="Z5385" s="45" t="s">
        <v>21679</v>
      </c>
      <c r="AA5385" s="31"/>
      <c r="AB5385" s="45" t="s">
        <v>21680</v>
      </c>
      <c r="AC5385" s="45"/>
    </row>
    <row r="5386" ht="18.75" customHeight="1">
      <c r="A5386" s="18" t="s">
        <v>21681</v>
      </c>
      <c r="B5386" s="33" t="s">
        <v>2104</v>
      </c>
      <c r="C5386" s="20">
        <v>0.0</v>
      </c>
      <c r="D5386" s="179">
        <v>20342.0</v>
      </c>
      <c r="E5386" s="27" t="s">
        <v>408</v>
      </c>
      <c r="F5386" s="27" t="s">
        <v>33</v>
      </c>
      <c r="G5386" s="18" t="s">
        <v>35</v>
      </c>
      <c r="H5386" s="40" t="s">
        <v>35</v>
      </c>
      <c r="I5386" s="37" t="s">
        <v>36</v>
      </c>
      <c r="J5386" s="25" t="s">
        <v>49</v>
      </c>
      <c r="K5386" s="26" t="s">
        <v>38</v>
      </c>
      <c r="L5386" s="25">
        <v>14107.0</v>
      </c>
      <c r="M5386" s="49" t="s">
        <v>50</v>
      </c>
      <c r="N5386" s="42" t="s">
        <v>17048</v>
      </c>
      <c r="O5386" s="67">
        <v>45939.68125</v>
      </c>
      <c r="P5386" s="35" t="s">
        <v>21678</v>
      </c>
      <c r="Q5386" s="13" t="s">
        <v>75</v>
      </c>
      <c r="R5386" s="13" t="s">
        <v>75</v>
      </c>
      <c r="S5386" s="13" t="s">
        <v>9620</v>
      </c>
      <c r="T5386" s="44">
        <v>45930.49510050926</v>
      </c>
      <c r="U5386" s="44">
        <v>45932.62127046296</v>
      </c>
      <c r="V5386" s="44">
        <v>45938.48123318287</v>
      </c>
      <c r="W5386" s="11"/>
      <c r="X5386" s="11"/>
      <c r="Y5386" s="45">
        <v>302.0</v>
      </c>
      <c r="Z5386" s="45" t="s">
        <v>21682</v>
      </c>
      <c r="AA5386" s="31"/>
      <c r="AB5386" s="45" t="s">
        <v>21683</v>
      </c>
      <c r="AC5386" s="45"/>
    </row>
    <row r="5387" ht="18.75" customHeight="1">
      <c r="A5387" s="142" t="s">
        <v>21684</v>
      </c>
      <c r="B5387" s="33" t="s">
        <v>147</v>
      </c>
      <c r="C5387" s="20">
        <v>137.0</v>
      </c>
      <c r="D5387" s="39" t="s">
        <v>21685</v>
      </c>
      <c r="E5387" s="27" t="s">
        <v>85</v>
      </c>
      <c r="F5387" s="27" t="s">
        <v>48</v>
      </c>
      <c r="G5387" s="18" t="s">
        <v>35</v>
      </c>
      <c r="H5387" s="40" t="s">
        <v>35</v>
      </c>
      <c r="I5387" s="37" t="s">
        <v>36</v>
      </c>
      <c r="J5387" s="25" t="s">
        <v>65</v>
      </c>
      <c r="K5387" s="26" t="s">
        <v>38</v>
      </c>
      <c r="L5387" s="25">
        <v>14035.0</v>
      </c>
      <c r="M5387" s="49" t="s">
        <v>50</v>
      </c>
      <c r="N5387" s="42" t="s">
        <v>16408</v>
      </c>
      <c r="O5387" s="67">
        <v>45931.66147600695</v>
      </c>
      <c r="P5387" s="35" t="s">
        <v>15829</v>
      </c>
      <c r="Q5387" s="13" t="s">
        <v>75</v>
      </c>
      <c r="R5387" s="13" t="s">
        <v>6028</v>
      </c>
      <c r="S5387" s="13" t="s">
        <v>73</v>
      </c>
      <c r="T5387" s="44">
        <v>45930.49561975694</v>
      </c>
      <c r="U5387" s="44">
        <v>45930.64472295139</v>
      </c>
      <c r="V5387" s="44">
        <v>45931.40283068287</v>
      </c>
      <c r="W5387" s="11"/>
      <c r="X5387" s="11"/>
      <c r="Y5387" s="45">
        <v>302.0</v>
      </c>
      <c r="Z5387" s="45" t="s">
        <v>21686</v>
      </c>
      <c r="AA5387" s="31"/>
      <c r="AB5387" s="45" t="s">
        <v>21687</v>
      </c>
      <c r="AC5387" s="45"/>
    </row>
    <row r="5388" ht="18.75" customHeight="1">
      <c r="A5388" s="142" t="s">
        <v>21688</v>
      </c>
      <c r="B5388" s="33" t="s">
        <v>5507</v>
      </c>
      <c r="C5388" s="20">
        <v>34.0</v>
      </c>
      <c r="D5388" s="39" t="s">
        <v>21689</v>
      </c>
      <c r="E5388" s="27" t="s">
        <v>47</v>
      </c>
      <c r="F5388" s="27" t="s">
        <v>48</v>
      </c>
      <c r="G5388" s="18" t="s">
        <v>35</v>
      </c>
      <c r="H5388" s="40" t="s">
        <v>35</v>
      </c>
      <c r="I5388" s="37" t="s">
        <v>36</v>
      </c>
      <c r="J5388" s="25" t="s">
        <v>49</v>
      </c>
      <c r="K5388" s="26" t="s">
        <v>38</v>
      </c>
      <c r="L5388" s="25">
        <v>14023.0</v>
      </c>
      <c r="M5388" s="49" t="s">
        <v>50</v>
      </c>
      <c r="N5388" s="42" t="s">
        <v>17048</v>
      </c>
      <c r="O5388" s="67">
        <v>45930.606108796295</v>
      </c>
      <c r="P5388" s="35" t="s">
        <v>15666</v>
      </c>
      <c r="Q5388" s="13" t="s">
        <v>75</v>
      </c>
      <c r="R5388" s="13" t="s">
        <v>6028</v>
      </c>
      <c r="S5388" s="13" t="s">
        <v>73</v>
      </c>
      <c r="T5388" s="44">
        <v>45930.496778437504</v>
      </c>
      <c r="U5388" s="44">
        <v>45930.5682827662</v>
      </c>
      <c r="V5388" s="44">
        <v>45930.585847685186</v>
      </c>
      <c r="W5388" s="11"/>
      <c r="X5388" s="11"/>
      <c r="Y5388" s="207">
        <v>302.0</v>
      </c>
      <c r="Z5388" s="45" t="s">
        <v>21690</v>
      </c>
      <c r="AA5388" s="31"/>
      <c r="AB5388" s="45" t="s">
        <v>21691</v>
      </c>
      <c r="AC5388" s="45"/>
    </row>
    <row r="5389" ht="18.75" customHeight="1">
      <c r="A5389" s="18" t="s">
        <v>21692</v>
      </c>
      <c r="B5389" s="33" t="s">
        <v>9049</v>
      </c>
      <c r="C5389" s="20">
        <v>0.0</v>
      </c>
      <c r="D5389" s="179">
        <v>20343.0</v>
      </c>
      <c r="E5389" s="27" t="s">
        <v>8868</v>
      </c>
      <c r="F5389" s="27" t="s">
        <v>48</v>
      </c>
      <c r="G5389" s="18" t="s">
        <v>35</v>
      </c>
      <c r="H5389" s="40" t="s">
        <v>35</v>
      </c>
      <c r="I5389" s="37" t="s">
        <v>36</v>
      </c>
      <c r="J5389" s="25" t="s">
        <v>49</v>
      </c>
      <c r="K5389" s="26" t="s">
        <v>38</v>
      </c>
      <c r="L5389" s="25">
        <v>14239.0</v>
      </c>
      <c r="M5389" s="49" t="s">
        <v>50</v>
      </c>
      <c r="N5389" s="42" t="s">
        <v>17048</v>
      </c>
      <c r="O5389" s="67">
        <v>45951.68379966435</v>
      </c>
      <c r="P5389" s="35" t="s">
        <v>21693</v>
      </c>
      <c r="Q5389" s="13" t="s">
        <v>67</v>
      </c>
      <c r="R5389" s="13" t="s">
        <v>67</v>
      </c>
      <c r="S5389" s="13" t="s">
        <v>9620</v>
      </c>
      <c r="T5389" s="44">
        <v>45933.368583668984</v>
      </c>
      <c r="U5389" s="44">
        <v>45933.36869304398</v>
      </c>
      <c r="V5389" s="44">
        <v>45943.744890138885</v>
      </c>
      <c r="W5389" s="11"/>
      <c r="X5389" s="11"/>
      <c r="Y5389" s="45">
        <v>302.0</v>
      </c>
      <c r="Z5389" s="45" t="s">
        <v>21694</v>
      </c>
      <c r="AA5389" s="31"/>
      <c r="AB5389" s="45" t="s">
        <v>21695</v>
      </c>
      <c r="AC5389" s="45"/>
    </row>
    <row r="5390" ht="18.75" customHeight="1">
      <c r="A5390" s="18" t="s">
        <v>21696</v>
      </c>
      <c r="B5390" s="33" t="s">
        <v>9049</v>
      </c>
      <c r="C5390" s="20">
        <v>0.0</v>
      </c>
      <c r="D5390" s="220" t="s">
        <v>21697</v>
      </c>
      <c r="E5390" s="27" t="s">
        <v>8868</v>
      </c>
      <c r="F5390" s="27" t="s">
        <v>48</v>
      </c>
      <c r="G5390" s="18" t="s">
        <v>35</v>
      </c>
      <c r="H5390" s="40" t="s">
        <v>35</v>
      </c>
      <c r="I5390" s="37" t="s">
        <v>36</v>
      </c>
      <c r="J5390" s="25" t="s">
        <v>49</v>
      </c>
      <c r="K5390" s="26" t="s">
        <v>38</v>
      </c>
      <c r="L5390" s="25">
        <v>14239.0</v>
      </c>
      <c r="M5390" s="49" t="s">
        <v>50</v>
      </c>
      <c r="N5390" s="42" t="s">
        <v>17048</v>
      </c>
      <c r="O5390" s="67">
        <v>45951.68384533565</v>
      </c>
      <c r="P5390" s="35" t="s">
        <v>21693</v>
      </c>
      <c r="Q5390" s="13" t="s">
        <v>67</v>
      </c>
      <c r="R5390" s="13" t="s">
        <v>67</v>
      </c>
      <c r="S5390" s="13" t="s">
        <v>9620</v>
      </c>
      <c r="T5390" s="44">
        <v>45933.36851049769</v>
      </c>
      <c r="U5390" s="44">
        <v>45933.36872716435</v>
      </c>
      <c r="V5390" s="44">
        <v>45951.410202037034</v>
      </c>
      <c r="W5390" s="11"/>
      <c r="X5390" s="11"/>
      <c r="Y5390" s="45">
        <v>302.0</v>
      </c>
      <c r="Z5390" s="45" t="s">
        <v>21698</v>
      </c>
      <c r="AA5390" s="31"/>
      <c r="AB5390" s="45" t="s">
        <v>21699</v>
      </c>
      <c r="AC5390" s="45"/>
    </row>
    <row r="5391" ht="18.75" customHeight="1">
      <c r="A5391" s="18" t="s">
        <v>21700</v>
      </c>
      <c r="B5391" s="33" t="s">
        <v>9049</v>
      </c>
      <c r="C5391" s="20">
        <v>0.0</v>
      </c>
      <c r="D5391" s="179">
        <v>20345.0</v>
      </c>
      <c r="E5391" s="27" t="s">
        <v>8868</v>
      </c>
      <c r="F5391" s="27" t="s">
        <v>48</v>
      </c>
      <c r="G5391" s="18" t="s">
        <v>35</v>
      </c>
      <c r="H5391" s="40" t="s">
        <v>35</v>
      </c>
      <c r="I5391" s="37" t="s">
        <v>36</v>
      </c>
      <c r="J5391" s="25" t="s">
        <v>49</v>
      </c>
      <c r="K5391" s="26" t="s">
        <v>38</v>
      </c>
      <c r="L5391" s="25">
        <v>14239.0</v>
      </c>
      <c r="M5391" s="49" t="s">
        <v>50</v>
      </c>
      <c r="N5391" s="42" t="s">
        <v>17048</v>
      </c>
      <c r="O5391" s="67">
        <v>45951.683892800924</v>
      </c>
      <c r="P5391" s="35" t="s">
        <v>21693</v>
      </c>
      <c r="Q5391" s="13" t="s">
        <v>67</v>
      </c>
      <c r="R5391" s="13" t="s">
        <v>67</v>
      </c>
      <c r="S5391" s="13" t="s">
        <v>9620</v>
      </c>
      <c r="T5391" s="44">
        <v>45933.36865379629</v>
      </c>
      <c r="U5391" s="44">
        <v>45933.368757476856</v>
      </c>
      <c r="V5391" s="44">
        <v>45939.62970096065</v>
      </c>
      <c r="W5391" s="11"/>
      <c r="X5391" s="11"/>
      <c r="Y5391" s="45">
        <v>302.0</v>
      </c>
      <c r="Z5391" s="45" t="s">
        <v>21701</v>
      </c>
      <c r="AA5391" s="31"/>
      <c r="AB5391" s="45" t="s">
        <v>21702</v>
      </c>
      <c r="AC5391" s="45"/>
    </row>
    <row r="5392" ht="18.75" customHeight="1">
      <c r="A5392" s="18" t="s">
        <v>21703</v>
      </c>
      <c r="B5392" s="33" t="s">
        <v>147</v>
      </c>
      <c r="C5392" s="20">
        <v>137.0</v>
      </c>
      <c r="D5392" s="39" t="s">
        <v>21704</v>
      </c>
      <c r="E5392" s="27" t="s">
        <v>85</v>
      </c>
      <c r="F5392" s="27" t="s">
        <v>48</v>
      </c>
      <c r="G5392" s="18" t="s">
        <v>35</v>
      </c>
      <c r="H5392" s="40" t="s">
        <v>35</v>
      </c>
      <c r="I5392" s="37" t="s">
        <v>36</v>
      </c>
      <c r="J5392" s="25" t="s">
        <v>65</v>
      </c>
      <c r="K5392" s="26" t="s">
        <v>38</v>
      </c>
      <c r="L5392" s="25">
        <v>14036.0</v>
      </c>
      <c r="M5392" s="49" t="s">
        <v>50</v>
      </c>
      <c r="N5392" s="42" t="s">
        <v>16408</v>
      </c>
      <c r="O5392" s="67">
        <v>45931.6614272338</v>
      </c>
      <c r="P5392" s="35" t="s">
        <v>15829</v>
      </c>
      <c r="Q5392" s="13" t="s">
        <v>75</v>
      </c>
      <c r="R5392" s="13" t="s">
        <v>6028</v>
      </c>
      <c r="S5392" s="13" t="s">
        <v>73</v>
      </c>
      <c r="T5392" s="44">
        <v>45930.49836755787</v>
      </c>
      <c r="U5392" s="44">
        <v>45930.64521618056</v>
      </c>
      <c r="V5392" s="44">
        <v>45931.40287532407</v>
      </c>
      <c r="W5392" s="11"/>
      <c r="X5392" s="11"/>
      <c r="Y5392" s="45">
        <v>302.0</v>
      </c>
      <c r="Z5392" s="45" t="s">
        <v>21705</v>
      </c>
      <c r="AA5392" s="31"/>
      <c r="AB5392" s="45" t="s">
        <v>21706</v>
      </c>
      <c r="AC5392" s="45"/>
    </row>
    <row r="5393" ht="18.75" customHeight="1">
      <c r="A5393" s="18" t="s">
        <v>21707</v>
      </c>
      <c r="B5393" s="33" t="s">
        <v>147</v>
      </c>
      <c r="C5393" s="20">
        <v>137.0</v>
      </c>
      <c r="D5393" s="39" t="s">
        <v>21708</v>
      </c>
      <c r="E5393" s="27" t="s">
        <v>85</v>
      </c>
      <c r="F5393" s="27" t="s">
        <v>48</v>
      </c>
      <c r="G5393" s="18" t="s">
        <v>35</v>
      </c>
      <c r="H5393" s="40" t="s">
        <v>35</v>
      </c>
      <c r="I5393" s="37" t="s">
        <v>36</v>
      </c>
      <c r="J5393" s="25" t="s">
        <v>65</v>
      </c>
      <c r="K5393" s="26" t="s">
        <v>38</v>
      </c>
      <c r="L5393" s="25">
        <v>14036.0</v>
      </c>
      <c r="M5393" s="49" t="s">
        <v>50</v>
      </c>
      <c r="N5393" s="42" t="s">
        <v>16408</v>
      </c>
      <c r="O5393" s="67">
        <v>45931.66138310185</v>
      </c>
      <c r="P5393" s="35" t="s">
        <v>15829</v>
      </c>
      <c r="Q5393" s="13" t="s">
        <v>75</v>
      </c>
      <c r="R5393" s="13" t="s">
        <v>6028</v>
      </c>
      <c r="S5393" s="13" t="s">
        <v>73</v>
      </c>
      <c r="T5393" s="44">
        <v>45930.49845130787</v>
      </c>
      <c r="U5393" s="44">
        <v>45930.64525263889</v>
      </c>
      <c r="V5393" s="44">
        <v>45931.403020937505</v>
      </c>
      <c r="W5393" s="11"/>
      <c r="X5393" s="11"/>
      <c r="Y5393" s="45">
        <v>302.0</v>
      </c>
      <c r="Z5393" s="45" t="s">
        <v>21709</v>
      </c>
      <c r="AA5393" s="31"/>
      <c r="AB5393" s="45" t="s">
        <v>21710</v>
      </c>
      <c r="AC5393" s="45"/>
    </row>
    <row r="5394" ht="18.75" customHeight="1">
      <c r="A5394" s="18" t="s">
        <v>21711</v>
      </c>
      <c r="B5394" s="33" t="s">
        <v>3645</v>
      </c>
      <c r="C5394" s="20">
        <v>1.0</v>
      </c>
      <c r="D5394" s="39"/>
      <c r="E5394" s="27" t="s">
        <v>3395</v>
      </c>
      <c r="F5394" s="27" t="s">
        <v>48</v>
      </c>
      <c r="G5394" s="18" t="s">
        <v>35</v>
      </c>
      <c r="H5394" s="40" t="s">
        <v>35</v>
      </c>
      <c r="I5394" s="37" t="s">
        <v>18314</v>
      </c>
      <c r="J5394" s="25" t="s">
        <v>49</v>
      </c>
      <c r="K5394" s="26" t="s">
        <v>38</v>
      </c>
      <c r="L5394" s="25"/>
      <c r="M5394" s="49"/>
      <c r="N5394" s="42"/>
      <c r="O5394" s="68"/>
      <c r="P5394" s="35" t="s">
        <v>21712</v>
      </c>
      <c r="Q5394" s="13" t="s">
        <v>75</v>
      </c>
      <c r="R5394" s="13" t="s">
        <v>6028</v>
      </c>
      <c r="S5394" s="13"/>
      <c r="T5394" s="44">
        <v>45930.49938039352</v>
      </c>
      <c r="U5394" s="44">
        <v>45930.562060729164</v>
      </c>
      <c r="V5394" s="13"/>
      <c r="W5394" s="11"/>
      <c r="X5394" s="11"/>
      <c r="Y5394" s="45"/>
      <c r="Z5394" s="45"/>
      <c r="AA5394" s="31"/>
      <c r="AB5394" s="45" t="s">
        <v>21713</v>
      </c>
      <c r="AC5394" s="45"/>
    </row>
    <row r="5395" ht="18.75" customHeight="1">
      <c r="A5395" s="18" t="s">
        <v>21714</v>
      </c>
      <c r="B5395" s="33" t="s">
        <v>3645</v>
      </c>
      <c r="C5395" s="20">
        <v>1.0</v>
      </c>
      <c r="D5395" s="39"/>
      <c r="E5395" s="27" t="s">
        <v>3395</v>
      </c>
      <c r="F5395" s="27" t="s">
        <v>48</v>
      </c>
      <c r="G5395" s="18" t="s">
        <v>35</v>
      </c>
      <c r="H5395" s="40" t="s">
        <v>35</v>
      </c>
      <c r="I5395" s="37" t="s">
        <v>18314</v>
      </c>
      <c r="J5395" s="25" t="s">
        <v>49</v>
      </c>
      <c r="K5395" s="26" t="s">
        <v>38</v>
      </c>
      <c r="L5395" s="25"/>
      <c r="M5395" s="49"/>
      <c r="N5395" s="42"/>
      <c r="O5395" s="68"/>
      <c r="P5395" s="35" t="s">
        <v>21712</v>
      </c>
      <c r="Q5395" s="13" t="s">
        <v>75</v>
      </c>
      <c r="R5395" s="13" t="s">
        <v>6028</v>
      </c>
      <c r="S5395" s="13" t="s">
        <v>75</v>
      </c>
      <c r="T5395" s="44">
        <v>45930.499433958335</v>
      </c>
      <c r="U5395" s="44">
        <v>45930.562031678244</v>
      </c>
      <c r="V5395" s="13"/>
      <c r="W5395" s="11"/>
      <c r="X5395" s="11"/>
      <c r="Y5395" s="45"/>
      <c r="Z5395" s="45"/>
      <c r="AA5395" s="31"/>
      <c r="AB5395" s="45" t="s">
        <v>21715</v>
      </c>
      <c r="AC5395" s="45"/>
    </row>
    <row r="5396" ht="18.75" customHeight="1">
      <c r="A5396" s="142" t="s">
        <v>21716</v>
      </c>
      <c r="B5396" s="33" t="s">
        <v>11733</v>
      </c>
      <c r="C5396" s="20">
        <v>0.0</v>
      </c>
      <c r="D5396" s="39"/>
      <c r="E5396" s="27" t="s">
        <v>3441</v>
      </c>
      <c r="F5396" s="27" t="s">
        <v>48</v>
      </c>
      <c r="G5396" s="18" t="s">
        <v>35</v>
      </c>
      <c r="H5396" s="40" t="s">
        <v>35</v>
      </c>
      <c r="I5396" s="37" t="s">
        <v>18314</v>
      </c>
      <c r="J5396" s="25" t="s">
        <v>49</v>
      </c>
      <c r="K5396" s="26" t="s">
        <v>38</v>
      </c>
      <c r="L5396" s="25"/>
      <c r="M5396" s="49"/>
      <c r="N5396" s="42"/>
      <c r="O5396" s="68"/>
      <c r="P5396" s="35" t="s">
        <v>21717</v>
      </c>
      <c r="Q5396" s="13" t="s">
        <v>6028</v>
      </c>
      <c r="R5396" s="13" t="s">
        <v>6028</v>
      </c>
      <c r="S5396" s="13"/>
      <c r="T5396" s="44">
        <v>45930.48937631944</v>
      </c>
      <c r="U5396" s="44">
        <v>45930.49467210648</v>
      </c>
      <c r="V5396" s="13"/>
      <c r="W5396" s="11"/>
      <c r="X5396" s="11"/>
      <c r="Y5396" s="45"/>
      <c r="Z5396" s="45"/>
      <c r="AA5396" s="31"/>
      <c r="AB5396" s="45" t="s">
        <v>21718</v>
      </c>
      <c r="AC5396" s="45"/>
    </row>
    <row r="5397" ht="18.75" customHeight="1">
      <c r="A5397" s="18" t="s">
        <v>21719</v>
      </c>
      <c r="B5397" s="33" t="s">
        <v>110</v>
      </c>
      <c r="C5397" s="20">
        <v>137.0</v>
      </c>
      <c r="D5397" s="39" t="s">
        <v>21720</v>
      </c>
      <c r="E5397" s="27" t="s">
        <v>85</v>
      </c>
      <c r="F5397" s="27" t="s">
        <v>48</v>
      </c>
      <c r="G5397" s="18" t="s">
        <v>35</v>
      </c>
      <c r="H5397" s="40" t="s">
        <v>35</v>
      </c>
      <c r="I5397" s="37" t="s">
        <v>36</v>
      </c>
      <c r="J5397" s="25" t="s">
        <v>65</v>
      </c>
      <c r="K5397" s="26" t="s">
        <v>38</v>
      </c>
      <c r="L5397" s="25">
        <v>14125.0</v>
      </c>
      <c r="M5397" s="49" t="s">
        <v>50</v>
      </c>
      <c r="N5397" s="42" t="s">
        <v>16408</v>
      </c>
      <c r="O5397" s="67">
        <v>45940.64752711805</v>
      </c>
      <c r="P5397" s="35" t="s">
        <v>15829</v>
      </c>
      <c r="Q5397" s="13" t="s">
        <v>75</v>
      </c>
      <c r="R5397" s="13" t="s">
        <v>75</v>
      </c>
      <c r="S5397" s="13" t="s">
        <v>73</v>
      </c>
      <c r="T5397" s="44">
        <v>45930.50183304398</v>
      </c>
      <c r="U5397" s="44">
        <v>45939.70875520833</v>
      </c>
      <c r="V5397" s="44">
        <v>45940.418248842594</v>
      </c>
      <c r="W5397" s="11"/>
      <c r="X5397" s="11"/>
      <c r="Y5397" s="45">
        <v>302.0</v>
      </c>
      <c r="Z5397" s="45" t="s">
        <v>21721</v>
      </c>
      <c r="AA5397" s="31"/>
      <c r="AB5397" s="45" t="s">
        <v>21722</v>
      </c>
      <c r="AC5397" s="45"/>
    </row>
    <row r="5398" ht="18.75" customHeight="1">
      <c r="A5398" s="18" t="s">
        <v>21723</v>
      </c>
      <c r="B5398" s="33" t="s">
        <v>110</v>
      </c>
      <c r="C5398" s="20">
        <v>137.0</v>
      </c>
      <c r="D5398" s="39" t="s">
        <v>21724</v>
      </c>
      <c r="E5398" s="27" t="s">
        <v>85</v>
      </c>
      <c r="F5398" s="27" t="s">
        <v>48</v>
      </c>
      <c r="G5398" s="18" t="s">
        <v>35</v>
      </c>
      <c r="H5398" s="40" t="s">
        <v>35</v>
      </c>
      <c r="I5398" s="37" t="s">
        <v>36</v>
      </c>
      <c r="J5398" s="25" t="s">
        <v>65</v>
      </c>
      <c r="K5398" s="26" t="s">
        <v>38</v>
      </c>
      <c r="L5398" s="25">
        <v>14125.0</v>
      </c>
      <c r="M5398" s="49" t="s">
        <v>50</v>
      </c>
      <c r="N5398" s="42" t="s">
        <v>16408</v>
      </c>
      <c r="O5398" s="67">
        <v>45940.6474130787</v>
      </c>
      <c r="P5398" s="35" t="s">
        <v>15829</v>
      </c>
      <c r="Q5398" s="13" t="s">
        <v>75</v>
      </c>
      <c r="R5398" s="13" t="s">
        <v>75</v>
      </c>
      <c r="S5398" s="13" t="s">
        <v>73</v>
      </c>
      <c r="T5398" s="44">
        <v>45930.50197510417</v>
      </c>
      <c r="U5398" s="44">
        <v>45939.70863552083</v>
      </c>
      <c r="V5398" s="44">
        <v>45940.41824881945</v>
      </c>
      <c r="W5398" s="11"/>
      <c r="X5398" s="11"/>
      <c r="Y5398" s="45">
        <v>302.0</v>
      </c>
      <c r="Z5398" s="45" t="s">
        <v>21725</v>
      </c>
      <c r="AA5398" s="31"/>
      <c r="AB5398" s="45" t="s">
        <v>21726</v>
      </c>
      <c r="AC5398" s="45"/>
    </row>
    <row r="5399" ht="18.75" customHeight="1">
      <c r="A5399" s="18" t="s">
        <v>21727</v>
      </c>
      <c r="B5399" s="33" t="s">
        <v>110</v>
      </c>
      <c r="C5399" s="20">
        <v>90.0</v>
      </c>
      <c r="D5399" s="39" t="s">
        <v>21728</v>
      </c>
      <c r="E5399" s="27" t="s">
        <v>91</v>
      </c>
      <c r="F5399" s="27" t="s">
        <v>48</v>
      </c>
      <c r="G5399" s="18" t="s">
        <v>35</v>
      </c>
      <c r="H5399" s="40" t="s">
        <v>35</v>
      </c>
      <c r="I5399" s="37" t="s">
        <v>36</v>
      </c>
      <c r="J5399" s="25" t="s">
        <v>65</v>
      </c>
      <c r="K5399" s="26" t="s">
        <v>38</v>
      </c>
      <c r="L5399" s="25">
        <v>14125.0</v>
      </c>
      <c r="M5399" s="49" t="s">
        <v>50</v>
      </c>
      <c r="N5399" s="42" t="s">
        <v>16408</v>
      </c>
      <c r="O5399" s="67">
        <v>45940.64759008102</v>
      </c>
      <c r="P5399" s="35" t="s">
        <v>15829</v>
      </c>
      <c r="Q5399" s="13" t="s">
        <v>75</v>
      </c>
      <c r="R5399" s="13" t="s">
        <v>75</v>
      </c>
      <c r="S5399" s="13" t="s">
        <v>73</v>
      </c>
      <c r="T5399" s="44">
        <v>45930.50219292824</v>
      </c>
      <c r="U5399" s="44">
        <v>45939.70870746528</v>
      </c>
      <c r="V5399" s="44">
        <v>45940.41824883102</v>
      </c>
      <c r="W5399" s="11"/>
      <c r="X5399" s="11"/>
      <c r="Y5399" s="45">
        <v>302.0</v>
      </c>
      <c r="Z5399" s="45" t="s">
        <v>21729</v>
      </c>
      <c r="AA5399" s="31"/>
      <c r="AB5399" s="45" t="s">
        <v>21730</v>
      </c>
      <c r="AC5399" s="45"/>
    </row>
    <row r="5400" ht="18.75" customHeight="1">
      <c r="A5400" s="18" t="s">
        <v>21731</v>
      </c>
      <c r="B5400" s="33" t="s">
        <v>110</v>
      </c>
      <c r="C5400" s="20">
        <v>1.0</v>
      </c>
      <c r="D5400" s="39"/>
      <c r="E5400" s="27" t="s">
        <v>3395</v>
      </c>
      <c r="F5400" s="27" t="s">
        <v>48</v>
      </c>
      <c r="G5400" s="18" t="s">
        <v>35</v>
      </c>
      <c r="H5400" s="40" t="s">
        <v>35</v>
      </c>
      <c r="I5400" s="37" t="s">
        <v>18314</v>
      </c>
      <c r="J5400" s="25" t="s">
        <v>65</v>
      </c>
      <c r="K5400" s="26" t="s">
        <v>38</v>
      </c>
      <c r="L5400" s="25"/>
      <c r="M5400" s="49"/>
      <c r="N5400" s="42"/>
      <c r="O5400" s="68"/>
      <c r="P5400" s="35" t="s">
        <v>21732</v>
      </c>
      <c r="Q5400" s="13" t="s">
        <v>75</v>
      </c>
      <c r="R5400" s="13" t="s">
        <v>6028</v>
      </c>
      <c r="S5400" s="13"/>
      <c r="T5400" s="44">
        <v>45930.5030762963</v>
      </c>
      <c r="U5400" s="44">
        <v>45930.643074328706</v>
      </c>
      <c r="V5400" s="13"/>
      <c r="W5400" s="11"/>
      <c r="X5400" s="11"/>
      <c r="Y5400" s="45"/>
      <c r="Z5400" s="45"/>
      <c r="AA5400" s="31"/>
      <c r="AB5400" s="45" t="s">
        <v>21733</v>
      </c>
      <c r="AC5400" s="45"/>
    </row>
    <row r="5401" ht="18.75" customHeight="1">
      <c r="A5401" s="18" t="s">
        <v>21734</v>
      </c>
      <c r="B5401" s="33" t="s">
        <v>110</v>
      </c>
      <c r="C5401" s="20">
        <v>1.0</v>
      </c>
      <c r="D5401" s="39"/>
      <c r="E5401" s="27" t="s">
        <v>3395</v>
      </c>
      <c r="F5401" s="27" t="s">
        <v>48</v>
      </c>
      <c r="G5401" s="18" t="s">
        <v>35</v>
      </c>
      <c r="H5401" s="40" t="s">
        <v>35</v>
      </c>
      <c r="I5401" s="37" t="s">
        <v>18314</v>
      </c>
      <c r="J5401" s="25" t="s">
        <v>65</v>
      </c>
      <c r="K5401" s="26" t="s">
        <v>38</v>
      </c>
      <c r="L5401" s="25"/>
      <c r="M5401" s="49"/>
      <c r="N5401" s="42"/>
      <c r="O5401" s="68"/>
      <c r="P5401" s="35" t="s">
        <v>21732</v>
      </c>
      <c r="Q5401" s="13" t="s">
        <v>75</v>
      </c>
      <c r="R5401" s="13" t="s">
        <v>6028</v>
      </c>
      <c r="S5401" s="13" t="s">
        <v>75</v>
      </c>
      <c r="T5401" s="44">
        <v>45930.50312760417</v>
      </c>
      <c r="U5401" s="44">
        <v>45930.64302386574</v>
      </c>
      <c r="V5401" s="13"/>
      <c r="W5401" s="11"/>
      <c r="X5401" s="11"/>
      <c r="Y5401" s="45"/>
      <c r="Z5401" s="45"/>
      <c r="AA5401" s="31"/>
      <c r="AB5401" s="45" t="s">
        <v>21735</v>
      </c>
      <c r="AC5401" s="45"/>
    </row>
    <row r="5402" ht="18.75" customHeight="1">
      <c r="A5402" s="18" t="s">
        <v>21736</v>
      </c>
      <c r="B5402" s="33" t="s">
        <v>89</v>
      </c>
      <c r="C5402" s="20">
        <v>137.0</v>
      </c>
      <c r="D5402" s="39" t="s">
        <v>21737</v>
      </c>
      <c r="E5402" s="27" t="s">
        <v>85</v>
      </c>
      <c r="F5402" s="27" t="s">
        <v>48</v>
      </c>
      <c r="G5402" s="18" t="s">
        <v>35</v>
      </c>
      <c r="H5402" s="40" t="s">
        <v>35</v>
      </c>
      <c r="I5402" s="37" t="s">
        <v>36</v>
      </c>
      <c r="J5402" s="25" t="s">
        <v>65</v>
      </c>
      <c r="K5402" s="26" t="s">
        <v>38</v>
      </c>
      <c r="L5402" s="25">
        <v>14042.0</v>
      </c>
      <c r="M5402" s="49" t="s">
        <v>50</v>
      </c>
      <c r="N5402" s="42" t="s">
        <v>16408</v>
      </c>
      <c r="O5402" s="67">
        <v>45931.661340011575</v>
      </c>
      <c r="P5402" s="35" t="s">
        <v>21738</v>
      </c>
      <c r="Q5402" s="13" t="s">
        <v>75</v>
      </c>
      <c r="R5402" s="13" t="s">
        <v>75</v>
      </c>
      <c r="S5402" s="13" t="s">
        <v>73</v>
      </c>
      <c r="T5402" s="44">
        <v>45931.40872209491</v>
      </c>
      <c r="U5402" s="44">
        <v>45931.40882483796</v>
      </c>
      <c r="V5402" s="44">
        <v>45931.41108439815</v>
      </c>
      <c r="W5402" s="11"/>
      <c r="X5402" s="148">
        <v>45931.0</v>
      </c>
      <c r="Y5402" s="45">
        <v>302.0</v>
      </c>
      <c r="Z5402" s="45" t="s">
        <v>21739</v>
      </c>
      <c r="AA5402" s="31"/>
      <c r="AB5402" s="45" t="s">
        <v>21740</v>
      </c>
      <c r="AC5402" s="45"/>
    </row>
    <row r="5403" ht="18.75" customHeight="1">
      <c r="A5403" s="18" t="s">
        <v>21741</v>
      </c>
      <c r="B5403" s="33" t="s">
        <v>89</v>
      </c>
      <c r="C5403" s="20">
        <v>137.0</v>
      </c>
      <c r="D5403" s="39" t="s">
        <v>21742</v>
      </c>
      <c r="E5403" s="27" t="s">
        <v>85</v>
      </c>
      <c r="F5403" s="27" t="s">
        <v>48</v>
      </c>
      <c r="G5403" s="18" t="s">
        <v>35</v>
      </c>
      <c r="H5403" s="40" t="s">
        <v>35</v>
      </c>
      <c r="I5403" s="37" t="s">
        <v>36</v>
      </c>
      <c r="J5403" s="25" t="s">
        <v>65</v>
      </c>
      <c r="K5403" s="26" t="s">
        <v>38</v>
      </c>
      <c r="L5403" s="25">
        <v>14042.0</v>
      </c>
      <c r="M5403" s="49" t="s">
        <v>50</v>
      </c>
      <c r="N5403" s="42" t="s">
        <v>16408</v>
      </c>
      <c r="O5403" s="67">
        <v>45931.661260810186</v>
      </c>
      <c r="P5403" s="35" t="s">
        <v>21738</v>
      </c>
      <c r="Q5403" s="13" t="s">
        <v>75</v>
      </c>
      <c r="R5403" s="13" t="s">
        <v>75</v>
      </c>
      <c r="S5403" s="13" t="s">
        <v>73</v>
      </c>
      <c r="T5403" s="44">
        <v>45931.408785520834</v>
      </c>
      <c r="U5403" s="44">
        <v>45931.40889019676</v>
      </c>
      <c r="V5403" s="44">
        <v>45931.41108439815</v>
      </c>
      <c r="W5403" s="11"/>
      <c r="X5403" s="148">
        <v>45931.0</v>
      </c>
      <c r="Y5403" s="45">
        <v>302.0</v>
      </c>
      <c r="Z5403" s="45" t="s">
        <v>21743</v>
      </c>
      <c r="AA5403" s="31"/>
      <c r="AB5403" s="45" t="s">
        <v>21744</v>
      </c>
      <c r="AC5403" s="45"/>
    </row>
    <row r="5404" ht="18.75" customHeight="1">
      <c r="A5404" s="18" t="s">
        <v>21745</v>
      </c>
      <c r="B5404" s="33" t="s">
        <v>89</v>
      </c>
      <c r="C5404" s="20">
        <v>137.0</v>
      </c>
      <c r="D5404" s="39" t="s">
        <v>21746</v>
      </c>
      <c r="E5404" s="27" t="s">
        <v>85</v>
      </c>
      <c r="F5404" s="27" t="s">
        <v>48</v>
      </c>
      <c r="G5404" s="18" t="s">
        <v>35</v>
      </c>
      <c r="H5404" s="40" t="s">
        <v>35</v>
      </c>
      <c r="I5404" s="37" t="s">
        <v>36</v>
      </c>
      <c r="J5404" s="25" t="s">
        <v>65</v>
      </c>
      <c r="K5404" s="26" t="s">
        <v>38</v>
      </c>
      <c r="L5404" s="25">
        <v>14042.0</v>
      </c>
      <c r="M5404" s="49" t="s">
        <v>50</v>
      </c>
      <c r="N5404" s="42" t="s">
        <v>16408</v>
      </c>
      <c r="O5404" s="67">
        <v>45931.66130008102</v>
      </c>
      <c r="P5404" s="35" t="s">
        <v>21738</v>
      </c>
      <c r="Q5404" s="13" t="s">
        <v>75</v>
      </c>
      <c r="R5404" s="13" t="s">
        <v>75</v>
      </c>
      <c r="S5404" s="13" t="s">
        <v>73</v>
      </c>
      <c r="T5404" s="44">
        <v>45931.40875431713</v>
      </c>
      <c r="U5404" s="44">
        <v>45931.40887731481</v>
      </c>
      <c r="V5404" s="44">
        <v>45931.41108439815</v>
      </c>
      <c r="W5404" s="11"/>
      <c r="X5404" s="148">
        <v>45931.0</v>
      </c>
      <c r="Y5404" s="45">
        <v>302.0</v>
      </c>
      <c r="Z5404" s="45" t="s">
        <v>21747</v>
      </c>
      <c r="AA5404" s="31"/>
      <c r="AB5404" s="45" t="s">
        <v>21748</v>
      </c>
      <c r="AC5404" s="45"/>
    </row>
    <row r="5405" ht="18.75" customHeight="1">
      <c r="A5405" s="32" t="s">
        <v>21749</v>
      </c>
      <c r="B5405" s="33" t="s">
        <v>89</v>
      </c>
      <c r="C5405" s="20">
        <v>0.0</v>
      </c>
      <c r="D5405" s="39"/>
      <c r="E5405" s="27" t="s">
        <v>3441</v>
      </c>
      <c r="F5405" s="27" t="s">
        <v>48</v>
      </c>
      <c r="G5405" s="18" t="s">
        <v>35</v>
      </c>
      <c r="H5405" s="40" t="s">
        <v>35</v>
      </c>
      <c r="I5405" s="37" t="s">
        <v>984</v>
      </c>
      <c r="J5405" s="25" t="s">
        <v>65</v>
      </c>
      <c r="K5405" s="26" t="s">
        <v>38</v>
      </c>
      <c r="L5405" s="25">
        <v>-14207.0</v>
      </c>
      <c r="M5405" s="49"/>
      <c r="N5405" s="42"/>
      <c r="O5405" s="68"/>
      <c r="P5405" s="35" t="s">
        <v>21738</v>
      </c>
      <c r="Q5405" s="13" t="s">
        <v>75</v>
      </c>
      <c r="R5405" s="13" t="s">
        <v>75</v>
      </c>
      <c r="S5405" s="13" t="s">
        <v>6028</v>
      </c>
      <c r="T5405" s="44">
        <v>45930.60777449074</v>
      </c>
      <c r="U5405" s="44">
        <v>45931.40737261574</v>
      </c>
      <c r="V5405" s="13"/>
      <c r="W5405" s="11"/>
      <c r="X5405" s="148">
        <v>45931.0</v>
      </c>
      <c r="Y5405" s="45"/>
      <c r="Z5405" s="45"/>
      <c r="AA5405" s="31"/>
      <c r="AB5405" s="45" t="s">
        <v>21750</v>
      </c>
      <c r="AC5405" s="45"/>
    </row>
    <row r="5406" ht="18.75" customHeight="1">
      <c r="A5406" s="142" t="s">
        <v>21751</v>
      </c>
      <c r="B5406" s="33" t="s">
        <v>17465</v>
      </c>
      <c r="C5406" s="20">
        <v>11.0</v>
      </c>
      <c r="D5406" s="39" t="s">
        <v>21752</v>
      </c>
      <c r="E5406" s="27" t="s">
        <v>112</v>
      </c>
      <c r="F5406" s="27" t="s">
        <v>48</v>
      </c>
      <c r="G5406" s="18" t="s">
        <v>35</v>
      </c>
      <c r="H5406" s="40" t="s">
        <v>35</v>
      </c>
      <c r="I5406" s="37" t="s">
        <v>36</v>
      </c>
      <c r="J5406" s="25" t="s">
        <v>65</v>
      </c>
      <c r="K5406" s="26" t="s">
        <v>38</v>
      </c>
      <c r="L5406" s="25">
        <v>14037.0</v>
      </c>
      <c r="M5406" s="49" t="s">
        <v>50</v>
      </c>
      <c r="N5406" s="42" t="s">
        <v>16408</v>
      </c>
      <c r="O5406" s="67">
        <v>45931.661216967594</v>
      </c>
      <c r="P5406" s="35" t="s">
        <v>21753</v>
      </c>
      <c r="Q5406" s="13" t="s">
        <v>6028</v>
      </c>
      <c r="R5406" s="13" t="s">
        <v>6028</v>
      </c>
      <c r="S5406" s="13" t="s">
        <v>73</v>
      </c>
      <c r="T5406" s="44">
        <v>45930.71131796297</v>
      </c>
      <c r="U5406" s="44">
        <v>45930.71147780093</v>
      </c>
      <c r="V5406" s="44">
        <v>45931.40926627315</v>
      </c>
      <c r="W5406" s="11"/>
      <c r="X5406" s="11"/>
      <c r="Y5406" s="45">
        <v>302.0</v>
      </c>
      <c r="Z5406" s="45" t="s">
        <v>21754</v>
      </c>
      <c r="AA5406" s="31"/>
      <c r="AB5406" s="45" t="s">
        <v>21755</v>
      </c>
      <c r="AC5406" s="45"/>
    </row>
    <row r="5407" ht="18.75" customHeight="1">
      <c r="A5407" s="18" t="s">
        <v>21756</v>
      </c>
      <c r="B5407" s="33" t="s">
        <v>4885</v>
      </c>
      <c r="C5407" s="20">
        <v>0.0</v>
      </c>
      <c r="D5407" s="39" t="s">
        <v>21757</v>
      </c>
      <c r="E5407" s="27" t="s">
        <v>4430</v>
      </c>
      <c r="F5407" s="27" t="s">
        <v>48</v>
      </c>
      <c r="G5407" s="18" t="s">
        <v>35</v>
      </c>
      <c r="H5407" s="40" t="s">
        <v>35</v>
      </c>
      <c r="I5407" s="37" t="s">
        <v>18148</v>
      </c>
      <c r="J5407" s="25" t="s">
        <v>92</v>
      </c>
      <c r="K5407" s="26" t="s">
        <v>38</v>
      </c>
      <c r="L5407" s="25">
        <v>14039.0</v>
      </c>
      <c r="M5407" s="49"/>
      <c r="N5407" s="42"/>
      <c r="O5407" s="68"/>
      <c r="P5407" s="35" t="s">
        <v>21758</v>
      </c>
      <c r="Q5407" s="13" t="s">
        <v>6028</v>
      </c>
      <c r="R5407" s="13" t="s">
        <v>6028</v>
      </c>
      <c r="S5407" s="13" t="s">
        <v>73</v>
      </c>
      <c r="T5407" s="44">
        <v>45930.62953222222</v>
      </c>
      <c r="U5407" s="44">
        <v>45930.71073037037</v>
      </c>
      <c r="V5407" s="44">
        <v>45931.42501789352</v>
      </c>
      <c r="W5407" s="11"/>
      <c r="X5407" s="11"/>
      <c r="Y5407" s="45">
        <v>302.0</v>
      </c>
      <c r="Z5407" s="45" t="s">
        <v>21759</v>
      </c>
      <c r="AA5407" s="31"/>
      <c r="AB5407" s="45" t="s">
        <v>21760</v>
      </c>
      <c r="AC5407" s="45"/>
    </row>
    <row r="5408" ht="18.75" customHeight="1">
      <c r="A5408" s="18" t="s">
        <v>21761</v>
      </c>
      <c r="B5408" s="33" t="s">
        <v>4885</v>
      </c>
      <c r="C5408" s="20">
        <v>0.0</v>
      </c>
      <c r="D5408" s="39" t="s">
        <v>21762</v>
      </c>
      <c r="E5408" s="27" t="s">
        <v>4430</v>
      </c>
      <c r="F5408" s="27" t="s">
        <v>48</v>
      </c>
      <c r="G5408" s="18" t="s">
        <v>35</v>
      </c>
      <c r="H5408" s="40" t="s">
        <v>35</v>
      </c>
      <c r="I5408" s="37" t="s">
        <v>18148</v>
      </c>
      <c r="J5408" s="25" t="s">
        <v>92</v>
      </c>
      <c r="K5408" s="26" t="s">
        <v>38</v>
      </c>
      <c r="L5408" s="25">
        <v>14039.0</v>
      </c>
      <c r="M5408" s="49"/>
      <c r="N5408" s="42"/>
      <c r="O5408" s="68"/>
      <c r="P5408" s="35" t="s">
        <v>21758</v>
      </c>
      <c r="Q5408" s="13"/>
      <c r="R5408" s="13" t="s">
        <v>6028</v>
      </c>
      <c r="S5408" s="13" t="s">
        <v>73</v>
      </c>
      <c r="T5408" s="44">
        <v>45930.62967278935</v>
      </c>
      <c r="U5408" s="44">
        <v>45930.71078974537</v>
      </c>
      <c r="V5408" s="44">
        <v>45931.42501792824</v>
      </c>
      <c r="W5408" s="11"/>
      <c r="X5408" s="11"/>
      <c r="Y5408" s="45">
        <v>302.0</v>
      </c>
      <c r="Z5408" s="45" t="s">
        <v>21763</v>
      </c>
      <c r="AA5408" s="31"/>
      <c r="AB5408" s="45" t="s">
        <v>21764</v>
      </c>
      <c r="AC5408" s="45"/>
    </row>
    <row r="5409" ht="18.75" customHeight="1">
      <c r="A5409" s="18" t="s">
        <v>21765</v>
      </c>
      <c r="B5409" s="33" t="s">
        <v>4885</v>
      </c>
      <c r="C5409" s="20">
        <v>27.0</v>
      </c>
      <c r="D5409" s="39" t="s">
        <v>21766</v>
      </c>
      <c r="E5409" s="27" t="s">
        <v>72</v>
      </c>
      <c r="F5409" s="27" t="s">
        <v>48</v>
      </c>
      <c r="G5409" s="18" t="s">
        <v>35</v>
      </c>
      <c r="H5409" s="40" t="s">
        <v>35</v>
      </c>
      <c r="I5409" s="37" t="s">
        <v>18148</v>
      </c>
      <c r="J5409" s="25" t="s">
        <v>92</v>
      </c>
      <c r="K5409" s="26" t="s">
        <v>38</v>
      </c>
      <c r="L5409" s="25">
        <v>14039.0</v>
      </c>
      <c r="M5409" s="49"/>
      <c r="N5409" s="42"/>
      <c r="O5409" s="68"/>
      <c r="P5409" s="35" t="s">
        <v>21758</v>
      </c>
      <c r="Q5409" s="13" t="s">
        <v>6028</v>
      </c>
      <c r="R5409" s="13" t="s">
        <v>6028</v>
      </c>
      <c r="S5409" s="13" t="s">
        <v>50</v>
      </c>
      <c r="T5409" s="44">
        <v>45930.63012631945</v>
      </c>
      <c r="U5409" s="44">
        <v>45930.71075993056</v>
      </c>
      <c r="V5409" s="44">
        <v>45931.44716269676</v>
      </c>
      <c r="W5409" s="11"/>
      <c r="X5409" s="11"/>
      <c r="Y5409" s="45">
        <v>302.0</v>
      </c>
      <c r="Z5409" s="45" t="s">
        <v>21767</v>
      </c>
      <c r="AA5409" s="31"/>
      <c r="AB5409" s="45" t="s">
        <v>21768</v>
      </c>
      <c r="AC5409" s="45"/>
    </row>
    <row r="5410" ht="18.75" customHeight="1">
      <c r="A5410" s="18" t="s">
        <v>21769</v>
      </c>
      <c r="B5410" s="33" t="s">
        <v>4885</v>
      </c>
      <c r="C5410" s="20">
        <v>90.0</v>
      </c>
      <c r="D5410" s="39" t="s">
        <v>21770</v>
      </c>
      <c r="E5410" s="27" t="s">
        <v>91</v>
      </c>
      <c r="F5410" s="27" t="s">
        <v>48</v>
      </c>
      <c r="G5410" s="18" t="s">
        <v>35</v>
      </c>
      <c r="H5410" s="40" t="s">
        <v>35</v>
      </c>
      <c r="I5410" s="37" t="s">
        <v>18148</v>
      </c>
      <c r="J5410" s="25" t="s">
        <v>92</v>
      </c>
      <c r="K5410" s="26" t="s">
        <v>38</v>
      </c>
      <c r="L5410" s="25">
        <v>14039.0</v>
      </c>
      <c r="M5410" s="49"/>
      <c r="N5410" s="42"/>
      <c r="O5410" s="68"/>
      <c r="P5410" s="35" t="s">
        <v>21758</v>
      </c>
      <c r="Q5410" s="13" t="s">
        <v>6028</v>
      </c>
      <c r="R5410" s="13" t="s">
        <v>6028</v>
      </c>
      <c r="S5410" s="13" t="s">
        <v>73</v>
      </c>
      <c r="T5410" s="44">
        <v>45930.63067288195</v>
      </c>
      <c r="U5410" s="44">
        <v>45930.71082057871</v>
      </c>
      <c r="V5410" s="44">
        <v>45931.4221878588</v>
      </c>
      <c r="W5410" s="11"/>
      <c r="X5410" s="11"/>
      <c r="Y5410" s="45">
        <v>302.0</v>
      </c>
      <c r="Z5410" s="45" t="s">
        <v>21771</v>
      </c>
      <c r="AA5410" s="31"/>
      <c r="AB5410" s="45" t="s">
        <v>21772</v>
      </c>
      <c r="AC5410" s="45"/>
    </row>
    <row r="5411" ht="18.75" customHeight="1">
      <c r="A5411" s="18" t="s">
        <v>21773</v>
      </c>
      <c r="B5411" s="33" t="s">
        <v>4885</v>
      </c>
      <c r="C5411" s="20">
        <v>90.0</v>
      </c>
      <c r="D5411" s="39" t="s">
        <v>21774</v>
      </c>
      <c r="E5411" s="27" t="s">
        <v>91</v>
      </c>
      <c r="F5411" s="27" t="s">
        <v>48</v>
      </c>
      <c r="G5411" s="18" t="s">
        <v>35</v>
      </c>
      <c r="H5411" s="40" t="s">
        <v>35</v>
      </c>
      <c r="I5411" s="37" t="s">
        <v>18148</v>
      </c>
      <c r="J5411" s="25" t="s">
        <v>92</v>
      </c>
      <c r="K5411" s="26" t="s">
        <v>38</v>
      </c>
      <c r="L5411" s="25">
        <v>14039.0</v>
      </c>
      <c r="M5411" s="49"/>
      <c r="N5411" s="42"/>
      <c r="O5411" s="68"/>
      <c r="P5411" s="35" t="s">
        <v>21758</v>
      </c>
      <c r="Q5411" s="13" t="s">
        <v>6028</v>
      </c>
      <c r="R5411" s="13" t="s">
        <v>6028</v>
      </c>
      <c r="S5411" s="13" t="s">
        <v>73</v>
      </c>
      <c r="T5411" s="44">
        <v>45930.63077106481</v>
      </c>
      <c r="U5411" s="44">
        <v>45930.7108450463</v>
      </c>
      <c r="V5411" s="44">
        <v>45931.42218787037</v>
      </c>
      <c r="W5411" s="11"/>
      <c r="X5411" s="11"/>
      <c r="Y5411" s="45">
        <v>302.0</v>
      </c>
      <c r="Z5411" s="45" t="s">
        <v>21775</v>
      </c>
      <c r="AA5411" s="31"/>
      <c r="AB5411" s="45" t="s">
        <v>21776</v>
      </c>
      <c r="AC5411" s="45"/>
    </row>
    <row r="5412" ht="18.75" customHeight="1">
      <c r="A5412" s="18" t="s">
        <v>21777</v>
      </c>
      <c r="B5412" s="33" t="s">
        <v>4885</v>
      </c>
      <c r="C5412" s="20">
        <v>90.0</v>
      </c>
      <c r="D5412" s="39" t="s">
        <v>21778</v>
      </c>
      <c r="E5412" s="27" t="s">
        <v>91</v>
      </c>
      <c r="F5412" s="27" t="s">
        <v>48</v>
      </c>
      <c r="G5412" s="18" t="s">
        <v>35</v>
      </c>
      <c r="H5412" s="40" t="s">
        <v>35</v>
      </c>
      <c r="I5412" s="37" t="s">
        <v>18148</v>
      </c>
      <c r="J5412" s="25" t="s">
        <v>92</v>
      </c>
      <c r="K5412" s="26" t="s">
        <v>38</v>
      </c>
      <c r="L5412" s="25">
        <v>14039.0</v>
      </c>
      <c r="M5412" s="49"/>
      <c r="N5412" s="42"/>
      <c r="O5412" s="68"/>
      <c r="P5412" s="35" t="s">
        <v>21758</v>
      </c>
      <c r="Q5412" s="13" t="s">
        <v>6028</v>
      </c>
      <c r="R5412" s="13" t="s">
        <v>6028</v>
      </c>
      <c r="S5412" s="13" t="s">
        <v>73</v>
      </c>
      <c r="T5412" s="44">
        <v>45930.63211101852</v>
      </c>
      <c r="U5412" s="44">
        <v>45930.71087383102</v>
      </c>
      <c r="V5412" s="44">
        <v>45931.422187881944</v>
      </c>
      <c r="W5412" s="11"/>
      <c r="X5412" s="11"/>
      <c r="Y5412" s="45">
        <v>302.0</v>
      </c>
      <c r="Z5412" s="45" t="s">
        <v>21779</v>
      </c>
      <c r="AA5412" s="31"/>
      <c r="AB5412" s="45" t="s">
        <v>21780</v>
      </c>
      <c r="AC5412" s="45"/>
    </row>
    <row r="5413" ht="18.75" customHeight="1">
      <c r="A5413" s="18" t="s">
        <v>21781</v>
      </c>
      <c r="B5413" s="33" t="s">
        <v>746</v>
      </c>
      <c r="C5413" s="20">
        <v>90.0</v>
      </c>
      <c r="D5413" s="39" t="s">
        <v>21782</v>
      </c>
      <c r="E5413" s="27" t="s">
        <v>91</v>
      </c>
      <c r="F5413" s="27" t="s">
        <v>48</v>
      </c>
      <c r="G5413" s="18" t="s">
        <v>35</v>
      </c>
      <c r="H5413" s="40" t="s">
        <v>35</v>
      </c>
      <c r="I5413" s="37" t="s">
        <v>36</v>
      </c>
      <c r="J5413" s="25" t="s">
        <v>65</v>
      </c>
      <c r="K5413" s="26" t="s">
        <v>38</v>
      </c>
      <c r="L5413" s="25">
        <v>14038.0</v>
      </c>
      <c r="M5413" s="49" t="s">
        <v>50</v>
      </c>
      <c r="N5413" s="42" t="s">
        <v>16408</v>
      </c>
      <c r="O5413" s="67">
        <v>45931.66117144676</v>
      </c>
      <c r="P5413" s="35" t="s">
        <v>15829</v>
      </c>
      <c r="Q5413" s="13" t="s">
        <v>6028</v>
      </c>
      <c r="R5413" s="13" t="s">
        <v>6028</v>
      </c>
      <c r="S5413" s="13" t="s">
        <v>73</v>
      </c>
      <c r="T5413" s="44">
        <v>45930.63793961806</v>
      </c>
      <c r="U5413" s="44">
        <v>45930.65854870371</v>
      </c>
      <c r="V5413" s="44">
        <v>45931.406035821754</v>
      </c>
      <c r="W5413" s="11"/>
      <c r="X5413" s="11"/>
      <c r="Y5413" s="45">
        <v>302.0</v>
      </c>
      <c r="Z5413" s="45" t="s">
        <v>21783</v>
      </c>
      <c r="AA5413" s="31"/>
      <c r="AB5413" s="45" t="s">
        <v>21784</v>
      </c>
      <c r="AC5413" s="45"/>
    </row>
    <row r="5414" ht="18.75" customHeight="1">
      <c r="A5414" s="18" t="s">
        <v>21785</v>
      </c>
      <c r="B5414" s="33" t="s">
        <v>746</v>
      </c>
      <c r="C5414" s="20">
        <v>90.0</v>
      </c>
      <c r="D5414" s="39" t="s">
        <v>21786</v>
      </c>
      <c r="E5414" s="27" t="s">
        <v>91</v>
      </c>
      <c r="F5414" s="27" t="s">
        <v>48</v>
      </c>
      <c r="G5414" s="18" t="s">
        <v>35</v>
      </c>
      <c r="H5414" s="40" t="s">
        <v>35</v>
      </c>
      <c r="I5414" s="37" t="s">
        <v>36</v>
      </c>
      <c r="J5414" s="25" t="s">
        <v>65</v>
      </c>
      <c r="K5414" s="26" t="s">
        <v>38</v>
      </c>
      <c r="L5414" s="25">
        <v>14038.0</v>
      </c>
      <c r="M5414" s="49" t="s">
        <v>50</v>
      </c>
      <c r="N5414" s="42" t="s">
        <v>16408</v>
      </c>
      <c r="O5414" s="67">
        <v>45931.66112157407</v>
      </c>
      <c r="P5414" s="35" t="s">
        <v>15829</v>
      </c>
      <c r="Q5414" s="13" t="s">
        <v>6028</v>
      </c>
      <c r="R5414" s="13" t="s">
        <v>6028</v>
      </c>
      <c r="S5414" s="13" t="s">
        <v>50</v>
      </c>
      <c r="T5414" s="44">
        <v>45930.638389375</v>
      </c>
      <c r="U5414" s="44">
        <v>45930.658587199076</v>
      </c>
      <c r="V5414" s="44">
        <v>45931.65923019676</v>
      </c>
      <c r="W5414" s="11"/>
      <c r="X5414" s="11"/>
      <c r="Y5414" s="207">
        <v>302.0</v>
      </c>
      <c r="Z5414" s="45" t="s">
        <v>21787</v>
      </c>
      <c r="AA5414" s="31"/>
      <c r="AB5414" s="45" t="s">
        <v>21788</v>
      </c>
      <c r="AC5414" s="45"/>
    </row>
    <row r="5415" ht="18.75" customHeight="1">
      <c r="A5415" s="18" t="s">
        <v>21789</v>
      </c>
      <c r="B5415" s="33" t="s">
        <v>1759</v>
      </c>
      <c r="C5415" s="20">
        <v>0.0</v>
      </c>
      <c r="D5415" s="179">
        <v>20289.0</v>
      </c>
      <c r="E5415" s="27" t="s">
        <v>135</v>
      </c>
      <c r="F5415" s="27" t="s">
        <v>48</v>
      </c>
      <c r="G5415" s="18" t="s">
        <v>35</v>
      </c>
      <c r="H5415" s="40" t="s">
        <v>35</v>
      </c>
      <c r="I5415" s="37" t="s">
        <v>36</v>
      </c>
      <c r="J5415" s="25" t="s">
        <v>49</v>
      </c>
      <c r="K5415" s="26" t="s">
        <v>518</v>
      </c>
      <c r="L5415" s="25">
        <v>14119.0</v>
      </c>
      <c r="M5415" s="49" t="s">
        <v>50</v>
      </c>
      <c r="N5415" s="42" t="s">
        <v>17048</v>
      </c>
      <c r="O5415" s="67">
        <v>45940.56477013889</v>
      </c>
      <c r="P5415" s="35" t="s">
        <v>21790</v>
      </c>
      <c r="Q5415" s="13" t="s">
        <v>75</v>
      </c>
      <c r="R5415" s="13" t="s">
        <v>75</v>
      </c>
      <c r="S5415" s="13" t="s">
        <v>9620</v>
      </c>
      <c r="T5415" s="44">
        <v>45931.67871978009</v>
      </c>
      <c r="U5415" s="44">
        <v>45931.68727730324</v>
      </c>
      <c r="V5415" s="44">
        <v>45931.68807822917</v>
      </c>
      <c r="W5415" s="11"/>
      <c r="X5415" s="11"/>
      <c r="Y5415" s="45">
        <v>302.0</v>
      </c>
      <c r="Z5415" s="45" t="s">
        <v>21791</v>
      </c>
      <c r="AA5415" s="31"/>
      <c r="AB5415" s="45" t="s">
        <v>21792</v>
      </c>
      <c r="AC5415" s="45"/>
    </row>
    <row r="5416" ht="18.75" customHeight="1">
      <c r="A5416" s="18" t="s">
        <v>21793</v>
      </c>
      <c r="B5416" s="33" t="s">
        <v>1759</v>
      </c>
      <c r="C5416" s="20">
        <v>0.0</v>
      </c>
      <c r="D5416" s="179">
        <v>20292.0</v>
      </c>
      <c r="E5416" s="27" t="s">
        <v>135</v>
      </c>
      <c r="F5416" s="27" t="s">
        <v>48</v>
      </c>
      <c r="G5416" s="18" t="s">
        <v>35</v>
      </c>
      <c r="H5416" s="40" t="s">
        <v>35</v>
      </c>
      <c r="I5416" s="37" t="s">
        <v>36</v>
      </c>
      <c r="J5416" s="25" t="s">
        <v>49</v>
      </c>
      <c r="K5416" s="26" t="s">
        <v>518</v>
      </c>
      <c r="L5416" s="25">
        <v>14119.0</v>
      </c>
      <c r="M5416" s="49" t="s">
        <v>50</v>
      </c>
      <c r="N5416" s="42" t="s">
        <v>17048</v>
      </c>
      <c r="O5416" s="67">
        <v>45940.56501255787</v>
      </c>
      <c r="P5416" s="35" t="s">
        <v>21790</v>
      </c>
      <c r="Q5416" s="13" t="s">
        <v>75</v>
      </c>
      <c r="R5416" s="13" t="s">
        <v>75</v>
      </c>
      <c r="S5416" s="13" t="s">
        <v>9620</v>
      </c>
      <c r="T5416" s="44">
        <v>45931.57079219907</v>
      </c>
      <c r="U5416" s="44">
        <v>45931.68729644676</v>
      </c>
      <c r="V5416" s="44">
        <v>45931.68807824074</v>
      </c>
      <c r="W5416" s="11"/>
      <c r="X5416" s="11"/>
      <c r="Y5416" s="45">
        <v>302.0</v>
      </c>
      <c r="Z5416" s="45" t="s">
        <v>21794</v>
      </c>
      <c r="AA5416" s="31"/>
      <c r="AB5416" s="45" t="s">
        <v>21795</v>
      </c>
      <c r="AC5416" s="45"/>
    </row>
    <row r="5417" ht="18.75" customHeight="1">
      <c r="A5417" s="18" t="s">
        <v>21796</v>
      </c>
      <c r="B5417" s="33" t="s">
        <v>1759</v>
      </c>
      <c r="C5417" s="20">
        <v>0.0</v>
      </c>
      <c r="D5417" s="179">
        <v>20293.0</v>
      </c>
      <c r="E5417" s="27" t="s">
        <v>135</v>
      </c>
      <c r="F5417" s="27" t="s">
        <v>48</v>
      </c>
      <c r="G5417" s="18" t="s">
        <v>35</v>
      </c>
      <c r="H5417" s="40" t="s">
        <v>35</v>
      </c>
      <c r="I5417" s="37" t="s">
        <v>36</v>
      </c>
      <c r="J5417" s="25" t="s">
        <v>49</v>
      </c>
      <c r="K5417" s="26" t="s">
        <v>518</v>
      </c>
      <c r="L5417" s="25">
        <v>14119.0</v>
      </c>
      <c r="M5417" s="49" t="s">
        <v>50</v>
      </c>
      <c r="N5417" s="42" t="s">
        <v>17048</v>
      </c>
      <c r="O5417" s="67">
        <v>45940.56496719907</v>
      </c>
      <c r="P5417" s="35" t="s">
        <v>21790</v>
      </c>
      <c r="Q5417" s="13" t="s">
        <v>75</v>
      </c>
      <c r="R5417" s="13" t="s">
        <v>75</v>
      </c>
      <c r="S5417" s="13" t="s">
        <v>9620</v>
      </c>
      <c r="T5417" s="44">
        <v>45931.678747858794</v>
      </c>
      <c r="U5417" s="44">
        <v>45931.68732280092</v>
      </c>
      <c r="V5417" s="44">
        <v>45931.68807824074</v>
      </c>
      <c r="W5417" s="11"/>
      <c r="X5417" s="11"/>
      <c r="Y5417" s="45">
        <v>302.0</v>
      </c>
      <c r="Z5417" s="45" t="s">
        <v>21797</v>
      </c>
      <c r="AA5417" s="31"/>
      <c r="AB5417" s="45" t="s">
        <v>21798</v>
      </c>
      <c r="AC5417" s="45"/>
    </row>
    <row r="5418" ht="18.75" customHeight="1">
      <c r="A5418" s="18" t="s">
        <v>21799</v>
      </c>
      <c r="B5418" s="33" t="s">
        <v>1759</v>
      </c>
      <c r="C5418" s="20">
        <v>1.0</v>
      </c>
      <c r="D5418" s="39" t="s">
        <v>21800</v>
      </c>
      <c r="E5418" s="27" t="s">
        <v>3395</v>
      </c>
      <c r="F5418" s="27" t="s">
        <v>48</v>
      </c>
      <c r="G5418" s="18" t="s">
        <v>35</v>
      </c>
      <c r="H5418" s="40" t="s">
        <v>35</v>
      </c>
      <c r="I5418" s="37" t="s">
        <v>36</v>
      </c>
      <c r="J5418" s="25" t="s">
        <v>49</v>
      </c>
      <c r="K5418" s="26" t="s">
        <v>518</v>
      </c>
      <c r="L5418" s="25">
        <v>14216.0</v>
      </c>
      <c r="M5418" s="49" t="s">
        <v>50</v>
      </c>
      <c r="N5418" s="42" t="s">
        <v>9953</v>
      </c>
      <c r="O5418" s="67">
        <v>45950.65391876157</v>
      </c>
      <c r="P5418" s="35" t="s">
        <v>21801</v>
      </c>
      <c r="Q5418" s="13" t="s">
        <v>75</v>
      </c>
      <c r="R5418" s="13" t="s">
        <v>75</v>
      </c>
      <c r="S5418" s="13" t="s">
        <v>73</v>
      </c>
      <c r="T5418" s="44">
        <v>45931.67864521991</v>
      </c>
      <c r="U5418" s="44">
        <v>45950.45322206018</v>
      </c>
      <c r="V5418" s="44">
        <v>45950.546610081015</v>
      </c>
      <c r="W5418" s="11"/>
      <c r="X5418" s="11"/>
      <c r="Y5418" s="45">
        <v>302.0</v>
      </c>
      <c r="Z5418" s="45" t="s">
        <v>21802</v>
      </c>
      <c r="AA5418" s="31"/>
      <c r="AB5418" s="45" t="s">
        <v>21803</v>
      </c>
      <c r="AC5418" s="45"/>
    </row>
    <row r="5419" ht="18.75" customHeight="1">
      <c r="A5419" s="18" t="s">
        <v>21804</v>
      </c>
      <c r="B5419" s="33" t="s">
        <v>1759</v>
      </c>
      <c r="C5419" s="20">
        <v>1.0</v>
      </c>
      <c r="D5419" s="39" t="s">
        <v>21805</v>
      </c>
      <c r="E5419" s="27" t="s">
        <v>3395</v>
      </c>
      <c r="F5419" s="27" t="s">
        <v>48</v>
      </c>
      <c r="G5419" s="18" t="s">
        <v>35</v>
      </c>
      <c r="H5419" s="40" t="s">
        <v>35</v>
      </c>
      <c r="I5419" s="37" t="s">
        <v>36</v>
      </c>
      <c r="J5419" s="25" t="s">
        <v>49</v>
      </c>
      <c r="K5419" s="26" t="s">
        <v>518</v>
      </c>
      <c r="L5419" s="25">
        <v>14216.0</v>
      </c>
      <c r="M5419" s="49" t="s">
        <v>50</v>
      </c>
      <c r="N5419" s="42" t="s">
        <v>9953</v>
      </c>
      <c r="O5419" s="67">
        <v>45950.653963379635</v>
      </c>
      <c r="P5419" s="35" t="s">
        <v>21801</v>
      </c>
      <c r="Q5419" s="13" t="s">
        <v>75</v>
      </c>
      <c r="R5419" s="13" t="s">
        <v>75</v>
      </c>
      <c r="S5419" s="13" t="s">
        <v>73</v>
      </c>
      <c r="T5419" s="44">
        <v>45931.678691423615</v>
      </c>
      <c r="U5419" s="44">
        <v>45950.453337812505</v>
      </c>
      <c r="V5419" s="44">
        <v>45950.546713194446</v>
      </c>
      <c r="W5419" s="11"/>
      <c r="X5419" s="11"/>
      <c r="Y5419" s="45">
        <v>302.0</v>
      </c>
      <c r="Z5419" s="45" t="s">
        <v>21806</v>
      </c>
      <c r="AA5419" s="31"/>
      <c r="AB5419" s="45" t="s">
        <v>21807</v>
      </c>
      <c r="AC5419" s="45"/>
    </row>
    <row r="5420" ht="18.75" customHeight="1">
      <c r="A5420" s="18" t="s">
        <v>21808</v>
      </c>
      <c r="B5420" s="33" t="s">
        <v>1759</v>
      </c>
      <c r="C5420" s="20">
        <v>137.0</v>
      </c>
      <c r="D5420" s="39" t="s">
        <v>21809</v>
      </c>
      <c r="E5420" s="27" t="s">
        <v>85</v>
      </c>
      <c r="F5420" s="27" t="s">
        <v>48</v>
      </c>
      <c r="G5420" s="18" t="s">
        <v>35</v>
      </c>
      <c r="H5420" s="40" t="s">
        <v>35</v>
      </c>
      <c r="I5420" s="37" t="s">
        <v>36</v>
      </c>
      <c r="J5420" s="25" t="s">
        <v>49</v>
      </c>
      <c r="K5420" s="26" t="s">
        <v>518</v>
      </c>
      <c r="L5420" s="25">
        <v>14152.0</v>
      </c>
      <c r="M5420" s="49" t="s">
        <v>50</v>
      </c>
      <c r="N5420" s="42" t="s">
        <v>18561</v>
      </c>
      <c r="O5420" s="67">
        <v>45945.61333234954</v>
      </c>
      <c r="P5420" s="35" t="s">
        <v>21810</v>
      </c>
      <c r="Q5420" s="13" t="s">
        <v>75</v>
      </c>
      <c r="R5420" s="13" t="s">
        <v>75</v>
      </c>
      <c r="S5420" s="13" t="s">
        <v>73</v>
      </c>
      <c r="T5420" s="44">
        <v>45944.592269479166</v>
      </c>
      <c r="U5420" s="44">
        <v>45944.5922909375</v>
      </c>
      <c r="V5420" s="44">
        <v>45945.422502511574</v>
      </c>
      <c r="W5420" s="11"/>
      <c r="X5420" s="11"/>
      <c r="Y5420" s="45">
        <v>302.0</v>
      </c>
      <c r="Z5420" s="45" t="s">
        <v>21811</v>
      </c>
      <c r="AA5420" s="31"/>
      <c r="AB5420" s="45" t="s">
        <v>21812</v>
      </c>
      <c r="AC5420" s="45"/>
    </row>
    <row r="5421" ht="18.75" customHeight="1">
      <c r="A5421" s="18" t="s">
        <v>21813</v>
      </c>
      <c r="B5421" s="33" t="s">
        <v>1759</v>
      </c>
      <c r="C5421" s="20">
        <v>137.0</v>
      </c>
      <c r="D5421" s="39" t="s">
        <v>21814</v>
      </c>
      <c r="E5421" s="27" t="s">
        <v>85</v>
      </c>
      <c r="F5421" s="27" t="s">
        <v>48</v>
      </c>
      <c r="G5421" s="18" t="s">
        <v>35</v>
      </c>
      <c r="H5421" s="40" t="s">
        <v>35</v>
      </c>
      <c r="I5421" s="37" t="s">
        <v>36</v>
      </c>
      <c r="J5421" s="25" t="s">
        <v>49</v>
      </c>
      <c r="K5421" s="26" t="s">
        <v>518</v>
      </c>
      <c r="L5421" s="25">
        <v>14152.0</v>
      </c>
      <c r="M5421" s="49" t="s">
        <v>50</v>
      </c>
      <c r="N5421" s="42" t="s">
        <v>18561</v>
      </c>
      <c r="O5421" s="67">
        <v>45945.61327652777</v>
      </c>
      <c r="P5421" s="35" t="s">
        <v>21815</v>
      </c>
      <c r="Q5421" s="13" t="s">
        <v>75</v>
      </c>
      <c r="R5421" s="13" t="s">
        <v>75</v>
      </c>
      <c r="S5421" s="13" t="s">
        <v>73</v>
      </c>
      <c r="T5421" s="44">
        <v>45944.59236231481</v>
      </c>
      <c r="U5421" s="44">
        <v>45944.59237953703</v>
      </c>
      <c r="V5421" s="44">
        <v>45945.42444376157</v>
      </c>
      <c r="W5421" s="11"/>
      <c r="X5421" s="11"/>
      <c r="Y5421" s="45">
        <v>302.0</v>
      </c>
      <c r="Z5421" s="45" t="s">
        <v>21816</v>
      </c>
      <c r="AA5421" s="31"/>
      <c r="AB5421" s="45" t="s">
        <v>21817</v>
      </c>
      <c r="AC5421" s="45"/>
    </row>
    <row r="5422" ht="18.75" customHeight="1">
      <c r="A5422" s="18" t="s">
        <v>21818</v>
      </c>
      <c r="B5422" s="33" t="s">
        <v>7868</v>
      </c>
      <c r="C5422" s="20">
        <v>137.0</v>
      </c>
      <c r="D5422" s="39"/>
      <c r="E5422" s="27" t="s">
        <v>85</v>
      </c>
      <c r="F5422" s="27" t="s">
        <v>48</v>
      </c>
      <c r="G5422" s="18" t="s">
        <v>35</v>
      </c>
      <c r="H5422" s="40" t="s">
        <v>35</v>
      </c>
      <c r="I5422" s="24" t="s">
        <v>665</v>
      </c>
      <c r="J5422" s="25" t="s">
        <v>18078</v>
      </c>
      <c r="K5422" s="26" t="s">
        <v>38</v>
      </c>
      <c r="L5422" s="25">
        <v>14032.0</v>
      </c>
      <c r="M5422" s="49" t="s">
        <v>50</v>
      </c>
      <c r="N5422" s="42" t="s">
        <v>20640</v>
      </c>
      <c r="O5422" s="67">
        <v>45931.616476759256</v>
      </c>
      <c r="P5422" s="232" t="s">
        <v>21819</v>
      </c>
      <c r="Q5422" s="13" t="s">
        <v>6028</v>
      </c>
      <c r="R5422" s="13" t="s">
        <v>6028</v>
      </c>
      <c r="S5422" s="13" t="s">
        <v>73</v>
      </c>
      <c r="T5422" s="44">
        <v>45930.69904953704</v>
      </c>
      <c r="U5422" s="44">
        <v>45931.43452729167</v>
      </c>
      <c r="V5422" s="44">
        <v>45931.43992841435</v>
      </c>
      <c r="W5422" s="11"/>
      <c r="X5422" s="11"/>
      <c r="Y5422" s="45">
        <v>302.0</v>
      </c>
      <c r="Z5422" s="45" t="s">
        <v>21820</v>
      </c>
      <c r="AA5422" s="31"/>
      <c r="AB5422" s="45" t="s">
        <v>21821</v>
      </c>
      <c r="AC5422" s="45"/>
    </row>
    <row r="5423" ht="18.75" customHeight="1">
      <c r="A5423" s="18" t="s">
        <v>21822</v>
      </c>
      <c r="B5423" s="33" t="s">
        <v>7868</v>
      </c>
      <c r="C5423" s="20">
        <v>137.0</v>
      </c>
      <c r="D5423" s="39"/>
      <c r="E5423" s="27" t="s">
        <v>85</v>
      </c>
      <c r="F5423" s="27" t="s">
        <v>48</v>
      </c>
      <c r="G5423" s="18" t="s">
        <v>35</v>
      </c>
      <c r="H5423" s="40" t="s">
        <v>35</v>
      </c>
      <c r="I5423" s="24" t="s">
        <v>665</v>
      </c>
      <c r="J5423" s="25" t="s">
        <v>18078</v>
      </c>
      <c r="K5423" s="26" t="s">
        <v>38</v>
      </c>
      <c r="L5423" s="25">
        <v>14032.0</v>
      </c>
      <c r="M5423" s="49" t="s">
        <v>50</v>
      </c>
      <c r="N5423" s="42" t="s">
        <v>20640</v>
      </c>
      <c r="O5423" s="67">
        <v>45931.616395624995</v>
      </c>
      <c r="P5423" s="232" t="s">
        <v>21823</v>
      </c>
      <c r="Q5423" s="13" t="s">
        <v>6028</v>
      </c>
      <c r="R5423" s="13" t="s">
        <v>6028</v>
      </c>
      <c r="S5423" s="13" t="s">
        <v>73</v>
      </c>
      <c r="T5423" s="44">
        <v>45930.699305752314</v>
      </c>
      <c r="U5423" s="44">
        <v>45931.43456541667</v>
      </c>
      <c r="V5423" s="44">
        <v>45931.43992842593</v>
      </c>
      <c r="W5423" s="11"/>
      <c r="X5423" s="11"/>
      <c r="Y5423" s="45">
        <v>302.0</v>
      </c>
      <c r="Z5423" s="45" t="s">
        <v>21824</v>
      </c>
      <c r="AA5423" s="31"/>
      <c r="AB5423" s="45" t="s">
        <v>21825</v>
      </c>
      <c r="AC5423" s="45"/>
    </row>
    <row r="5424" ht="18.75" customHeight="1">
      <c r="A5424" s="18" t="s">
        <v>21826</v>
      </c>
      <c r="B5424" s="33" t="s">
        <v>96</v>
      </c>
      <c r="C5424" s="20">
        <v>0.0</v>
      </c>
      <c r="D5424" s="179">
        <v>20338.0</v>
      </c>
      <c r="E5424" s="27" t="s">
        <v>882</v>
      </c>
      <c r="F5424" s="27" t="s">
        <v>33</v>
      </c>
      <c r="G5424" s="18" t="s">
        <v>34</v>
      </c>
      <c r="H5424" s="40" t="s">
        <v>980</v>
      </c>
      <c r="I5424" s="37" t="s">
        <v>36</v>
      </c>
      <c r="J5424" s="25" t="s">
        <v>49</v>
      </c>
      <c r="K5424" s="26" t="s">
        <v>38</v>
      </c>
      <c r="L5424" s="72">
        <v>14084.0</v>
      </c>
      <c r="M5424" s="49" t="s">
        <v>50</v>
      </c>
      <c r="N5424" s="42" t="s">
        <v>17048</v>
      </c>
      <c r="O5424" s="67">
        <v>45938.61253109954</v>
      </c>
      <c r="P5424" s="35" t="s">
        <v>21827</v>
      </c>
      <c r="Q5424" s="13" t="s">
        <v>6028</v>
      </c>
      <c r="R5424" s="13" t="s">
        <v>6028</v>
      </c>
      <c r="S5424" s="13" t="s">
        <v>9620</v>
      </c>
      <c r="T5424" s="44">
        <v>45930.70220730324</v>
      </c>
      <c r="U5424" s="44">
        <v>45930.719152453705</v>
      </c>
      <c r="V5424" s="44">
        <v>45936.76096373843</v>
      </c>
      <c r="W5424" s="11"/>
      <c r="X5424" s="11"/>
      <c r="Y5424" s="45">
        <v>302.0</v>
      </c>
      <c r="Z5424" s="45" t="s">
        <v>21828</v>
      </c>
      <c r="AA5424" s="31"/>
      <c r="AB5424" s="45" t="s">
        <v>21829</v>
      </c>
      <c r="AC5424" s="45"/>
    </row>
    <row r="5425" ht="18.75" customHeight="1">
      <c r="A5425" s="18" t="s">
        <v>21830</v>
      </c>
      <c r="B5425" s="33" t="s">
        <v>96</v>
      </c>
      <c r="C5425" s="20">
        <v>0.0</v>
      </c>
      <c r="D5425" s="179">
        <v>20340.0</v>
      </c>
      <c r="E5425" s="27" t="s">
        <v>882</v>
      </c>
      <c r="F5425" s="27" t="s">
        <v>33</v>
      </c>
      <c r="G5425" s="18" t="s">
        <v>34</v>
      </c>
      <c r="H5425" s="40" t="s">
        <v>980</v>
      </c>
      <c r="I5425" s="37" t="s">
        <v>36</v>
      </c>
      <c r="J5425" s="25" t="s">
        <v>49</v>
      </c>
      <c r="K5425" s="26" t="s">
        <v>38</v>
      </c>
      <c r="L5425" s="72">
        <v>14084.0</v>
      </c>
      <c r="M5425" s="49" t="s">
        <v>50</v>
      </c>
      <c r="N5425" s="42" t="s">
        <v>17048</v>
      </c>
      <c r="O5425" s="67">
        <v>45938.61262601852</v>
      </c>
      <c r="P5425" s="35" t="s">
        <v>21827</v>
      </c>
      <c r="Q5425" s="13" t="s">
        <v>6028</v>
      </c>
      <c r="R5425" s="13" t="s">
        <v>6028</v>
      </c>
      <c r="S5425" s="13" t="s">
        <v>9620</v>
      </c>
      <c r="T5425" s="44">
        <v>45930.70301283565</v>
      </c>
      <c r="U5425" s="44">
        <v>45930.719231875</v>
      </c>
      <c r="V5425" s="44">
        <v>45936.6268352662</v>
      </c>
      <c r="W5425" s="11"/>
      <c r="X5425" s="11"/>
      <c r="Y5425" s="45">
        <v>302.0</v>
      </c>
      <c r="Z5425" s="45" t="s">
        <v>21831</v>
      </c>
      <c r="AA5425" s="31"/>
      <c r="AB5425" s="45" t="s">
        <v>21832</v>
      </c>
      <c r="AC5425" s="45"/>
    </row>
    <row r="5426" ht="18.75" customHeight="1">
      <c r="A5426" s="18" t="s">
        <v>21833</v>
      </c>
      <c r="B5426" s="33" t="s">
        <v>96</v>
      </c>
      <c r="C5426" s="20">
        <v>0.0</v>
      </c>
      <c r="D5426" s="220" t="s">
        <v>21834</v>
      </c>
      <c r="E5426" s="27" t="s">
        <v>882</v>
      </c>
      <c r="F5426" s="27" t="s">
        <v>33</v>
      </c>
      <c r="G5426" s="18" t="s">
        <v>34</v>
      </c>
      <c r="H5426" s="40" t="s">
        <v>980</v>
      </c>
      <c r="I5426" s="37" t="s">
        <v>36</v>
      </c>
      <c r="J5426" s="25" t="s">
        <v>49</v>
      </c>
      <c r="K5426" s="26" t="s">
        <v>38</v>
      </c>
      <c r="L5426" s="72">
        <v>14084.0</v>
      </c>
      <c r="M5426" s="49" t="s">
        <v>50</v>
      </c>
      <c r="N5426" s="42" t="s">
        <v>17048</v>
      </c>
      <c r="O5426" s="67">
        <v>45938.61267202546</v>
      </c>
      <c r="P5426" s="35" t="s">
        <v>21827</v>
      </c>
      <c r="Q5426" s="13" t="s">
        <v>6028</v>
      </c>
      <c r="R5426" s="13" t="s">
        <v>6028</v>
      </c>
      <c r="S5426" s="13" t="s">
        <v>9620</v>
      </c>
      <c r="T5426" s="44">
        <v>45930.70242824074</v>
      </c>
      <c r="U5426" s="44">
        <v>45930.71924722222</v>
      </c>
      <c r="V5426" s="44">
        <v>45937.462663935185</v>
      </c>
      <c r="W5426" s="11"/>
      <c r="X5426" s="11"/>
      <c r="Y5426" s="45">
        <v>302.0</v>
      </c>
      <c r="Z5426" s="45" t="s">
        <v>21835</v>
      </c>
      <c r="AA5426" s="31"/>
      <c r="AB5426" s="45" t="s">
        <v>21836</v>
      </c>
      <c r="AC5426" s="45"/>
    </row>
    <row r="5427" ht="18.75" customHeight="1">
      <c r="A5427" s="18" t="s">
        <v>21837</v>
      </c>
      <c r="B5427" s="33" t="s">
        <v>96</v>
      </c>
      <c r="C5427" s="20">
        <v>0.0</v>
      </c>
      <c r="D5427" s="220" t="s">
        <v>21838</v>
      </c>
      <c r="E5427" s="27" t="s">
        <v>882</v>
      </c>
      <c r="F5427" s="27" t="s">
        <v>33</v>
      </c>
      <c r="G5427" s="18" t="s">
        <v>34</v>
      </c>
      <c r="H5427" s="40" t="s">
        <v>980</v>
      </c>
      <c r="I5427" s="37" t="s">
        <v>36</v>
      </c>
      <c r="J5427" s="25" t="s">
        <v>49</v>
      </c>
      <c r="K5427" s="26" t="s">
        <v>38</v>
      </c>
      <c r="L5427" s="72">
        <v>14084.0</v>
      </c>
      <c r="M5427" s="49" t="s">
        <v>50</v>
      </c>
      <c r="N5427" s="42" t="s">
        <v>17048</v>
      </c>
      <c r="O5427" s="67">
        <v>45938.612580057874</v>
      </c>
      <c r="P5427" s="35" t="s">
        <v>21827</v>
      </c>
      <c r="Q5427" s="13" t="s">
        <v>6028</v>
      </c>
      <c r="R5427" s="13" t="s">
        <v>6028</v>
      </c>
      <c r="S5427" s="13" t="s">
        <v>9620</v>
      </c>
      <c r="T5427" s="44">
        <v>45930.702488298615</v>
      </c>
      <c r="U5427" s="44">
        <v>45930.71919379629</v>
      </c>
      <c r="V5427" s="44">
        <v>45937.55635079861</v>
      </c>
      <c r="W5427" s="11"/>
      <c r="X5427" s="11"/>
      <c r="Y5427" s="45">
        <v>302.0</v>
      </c>
      <c r="Z5427" s="45" t="s">
        <v>21839</v>
      </c>
      <c r="AA5427" s="31"/>
      <c r="AB5427" s="45" t="s">
        <v>21840</v>
      </c>
      <c r="AC5427" s="45"/>
    </row>
    <row r="5428" ht="18.75" customHeight="1">
      <c r="A5428" s="18" t="s">
        <v>21841</v>
      </c>
      <c r="B5428" s="33" t="s">
        <v>3289</v>
      </c>
      <c r="C5428" s="20">
        <v>137.0</v>
      </c>
      <c r="D5428" s="39" t="s">
        <v>21842</v>
      </c>
      <c r="E5428" s="27" t="s">
        <v>85</v>
      </c>
      <c r="F5428" s="27" t="s">
        <v>48</v>
      </c>
      <c r="G5428" s="18" t="s">
        <v>35</v>
      </c>
      <c r="H5428" s="40" t="s">
        <v>35</v>
      </c>
      <c r="I5428" s="37" t="s">
        <v>36</v>
      </c>
      <c r="J5428" s="25" t="s">
        <v>92</v>
      </c>
      <c r="K5428" s="26" t="s">
        <v>38</v>
      </c>
      <c r="L5428" s="25">
        <v>14043.0</v>
      </c>
      <c r="M5428" s="49" t="s">
        <v>50</v>
      </c>
      <c r="N5428" s="42" t="s">
        <v>14029</v>
      </c>
      <c r="O5428" s="67">
        <v>45943.64140846065</v>
      </c>
      <c r="P5428" s="35" t="s">
        <v>21843</v>
      </c>
      <c r="Q5428" s="13" t="s">
        <v>6028</v>
      </c>
      <c r="R5428" s="13" t="s">
        <v>6028</v>
      </c>
      <c r="S5428" s="13" t="s">
        <v>73</v>
      </c>
      <c r="T5428" s="44">
        <v>45930.70490201389</v>
      </c>
      <c r="U5428" s="44">
        <v>45930.71244880787</v>
      </c>
      <c r="V5428" s="44">
        <v>45931.41653070602</v>
      </c>
      <c r="W5428" s="11"/>
      <c r="X5428" s="11"/>
      <c r="Y5428" s="45">
        <v>302.0</v>
      </c>
      <c r="Z5428" s="45" t="s">
        <v>21844</v>
      </c>
      <c r="AA5428" s="31"/>
      <c r="AB5428" s="45" t="s">
        <v>21845</v>
      </c>
      <c r="AC5428" s="45"/>
    </row>
    <row r="5429" ht="18.75" customHeight="1">
      <c r="A5429" s="18" t="s">
        <v>21846</v>
      </c>
      <c r="B5429" s="33" t="s">
        <v>3289</v>
      </c>
      <c r="C5429" s="20">
        <v>137.0</v>
      </c>
      <c r="D5429" s="39" t="s">
        <v>21847</v>
      </c>
      <c r="E5429" s="27" t="s">
        <v>85</v>
      </c>
      <c r="F5429" s="27" t="s">
        <v>48</v>
      </c>
      <c r="G5429" s="18" t="s">
        <v>35</v>
      </c>
      <c r="H5429" s="40" t="s">
        <v>35</v>
      </c>
      <c r="I5429" s="37" t="s">
        <v>36</v>
      </c>
      <c r="J5429" s="25" t="s">
        <v>92</v>
      </c>
      <c r="K5429" s="26" t="s">
        <v>38</v>
      </c>
      <c r="L5429" s="25">
        <v>14043.0</v>
      </c>
      <c r="M5429" s="49" t="s">
        <v>50</v>
      </c>
      <c r="N5429" s="42" t="s">
        <v>14029</v>
      </c>
      <c r="O5429" s="67">
        <v>45943.64153100694</v>
      </c>
      <c r="P5429" s="35" t="s">
        <v>21843</v>
      </c>
      <c r="Q5429" s="13" t="s">
        <v>6028</v>
      </c>
      <c r="R5429" s="13" t="s">
        <v>6028</v>
      </c>
      <c r="S5429" s="13" t="s">
        <v>73</v>
      </c>
      <c r="T5429" s="44">
        <v>45930.70503268519</v>
      </c>
      <c r="U5429" s="44">
        <v>45930.71241508102</v>
      </c>
      <c r="V5429" s="44">
        <v>45931.41653070602</v>
      </c>
      <c r="W5429" s="11"/>
      <c r="X5429" s="11"/>
      <c r="Y5429" s="45">
        <v>302.0</v>
      </c>
      <c r="Z5429" s="45" t="s">
        <v>21848</v>
      </c>
      <c r="AA5429" s="31"/>
      <c r="AB5429" s="45" t="s">
        <v>21849</v>
      </c>
      <c r="AC5429" s="45"/>
    </row>
    <row r="5430" ht="18.75" customHeight="1">
      <c r="A5430" s="18" t="s">
        <v>21850</v>
      </c>
      <c r="B5430" s="33" t="s">
        <v>3289</v>
      </c>
      <c r="C5430" s="20">
        <v>137.0</v>
      </c>
      <c r="D5430" s="39" t="s">
        <v>21851</v>
      </c>
      <c r="E5430" s="27" t="s">
        <v>85</v>
      </c>
      <c r="F5430" s="27" t="s">
        <v>48</v>
      </c>
      <c r="G5430" s="18" t="s">
        <v>35</v>
      </c>
      <c r="H5430" s="40" t="s">
        <v>35</v>
      </c>
      <c r="I5430" s="37" t="s">
        <v>36</v>
      </c>
      <c r="J5430" s="25" t="s">
        <v>92</v>
      </c>
      <c r="K5430" s="26" t="s">
        <v>38</v>
      </c>
      <c r="L5430" s="25">
        <v>14043.0</v>
      </c>
      <c r="M5430" s="49" t="s">
        <v>50</v>
      </c>
      <c r="N5430" s="42" t="s">
        <v>14029</v>
      </c>
      <c r="O5430" s="67">
        <v>45943.641578587965</v>
      </c>
      <c r="P5430" s="35" t="s">
        <v>21843</v>
      </c>
      <c r="Q5430" s="13" t="s">
        <v>6028</v>
      </c>
      <c r="R5430" s="13" t="s">
        <v>6028</v>
      </c>
      <c r="S5430" s="13" t="s">
        <v>73</v>
      </c>
      <c r="T5430" s="44">
        <v>45930.70509769676</v>
      </c>
      <c r="U5430" s="44">
        <v>45930.71252696759</v>
      </c>
      <c r="V5430" s="44">
        <v>45931.41649133102</v>
      </c>
      <c r="W5430" s="11"/>
      <c r="X5430" s="11"/>
      <c r="Y5430" s="45">
        <v>302.0</v>
      </c>
      <c r="Z5430" s="45" t="s">
        <v>21852</v>
      </c>
      <c r="AA5430" s="31"/>
      <c r="AB5430" s="45" t="s">
        <v>21853</v>
      </c>
      <c r="AC5430" s="45"/>
    </row>
    <row r="5431" ht="18.75" customHeight="1">
      <c r="A5431" s="142" t="s">
        <v>21854</v>
      </c>
      <c r="B5431" s="33" t="s">
        <v>3289</v>
      </c>
      <c r="C5431" s="20">
        <v>11.0</v>
      </c>
      <c r="D5431" s="39" t="s">
        <v>21855</v>
      </c>
      <c r="E5431" s="27" t="s">
        <v>112</v>
      </c>
      <c r="F5431" s="27" t="s">
        <v>48</v>
      </c>
      <c r="G5431" s="18" t="s">
        <v>35</v>
      </c>
      <c r="H5431" s="40" t="s">
        <v>35</v>
      </c>
      <c r="I5431" s="37" t="s">
        <v>36</v>
      </c>
      <c r="J5431" s="25" t="s">
        <v>92</v>
      </c>
      <c r="K5431" s="26" t="s">
        <v>38</v>
      </c>
      <c r="L5431" s="25">
        <v>14044.0</v>
      </c>
      <c r="M5431" s="49" t="s">
        <v>50</v>
      </c>
      <c r="N5431" s="42" t="s">
        <v>14029</v>
      </c>
      <c r="O5431" s="67">
        <v>45943.641621585644</v>
      </c>
      <c r="P5431" s="35" t="s">
        <v>21856</v>
      </c>
      <c r="Q5431" s="13" t="s">
        <v>6028</v>
      </c>
      <c r="R5431" s="13" t="s">
        <v>10240</v>
      </c>
      <c r="S5431" s="13" t="s">
        <v>50</v>
      </c>
      <c r="T5431" s="44">
        <v>45930.70700300926</v>
      </c>
      <c r="U5431" s="44">
        <v>45930.71861984953</v>
      </c>
      <c r="V5431" s="44">
        <v>45931.44137048611</v>
      </c>
      <c r="W5431" s="11"/>
      <c r="X5431" s="11"/>
      <c r="Y5431" s="45">
        <v>302.0</v>
      </c>
      <c r="Z5431" s="45" t="s">
        <v>21857</v>
      </c>
      <c r="AA5431" s="31"/>
      <c r="AB5431" s="45" t="s">
        <v>21858</v>
      </c>
      <c r="AC5431" s="45"/>
    </row>
    <row r="5432" ht="18.75" customHeight="1">
      <c r="A5432" s="142" t="s">
        <v>21859</v>
      </c>
      <c r="B5432" s="33" t="s">
        <v>4711</v>
      </c>
      <c r="C5432" s="20">
        <v>1.0</v>
      </c>
      <c r="D5432" s="39" t="s">
        <v>21860</v>
      </c>
      <c r="E5432" s="27" t="s">
        <v>3395</v>
      </c>
      <c r="F5432" s="27" t="s">
        <v>48</v>
      </c>
      <c r="G5432" s="18" t="s">
        <v>35</v>
      </c>
      <c r="H5432" s="40" t="s">
        <v>35</v>
      </c>
      <c r="I5432" s="37" t="s">
        <v>36</v>
      </c>
      <c r="J5432" s="25" t="s">
        <v>65</v>
      </c>
      <c r="K5432" s="26" t="s">
        <v>38</v>
      </c>
      <c r="L5432" s="25">
        <v>14225.0</v>
      </c>
      <c r="M5432" s="49" t="s">
        <v>50</v>
      </c>
      <c r="N5432" s="42" t="s">
        <v>16408</v>
      </c>
      <c r="O5432" s="67">
        <v>45951.65903861111</v>
      </c>
      <c r="P5432" s="35" t="s">
        <v>15829</v>
      </c>
      <c r="Q5432" s="13" t="s">
        <v>6028</v>
      </c>
      <c r="R5432" s="13" t="s">
        <v>75</v>
      </c>
      <c r="S5432" s="13" t="s">
        <v>73</v>
      </c>
      <c r="T5432" s="44">
        <v>45930.71476844908</v>
      </c>
      <c r="U5432" s="44">
        <v>45938.44610796296</v>
      </c>
      <c r="V5432" s="44">
        <v>45950.5521491088</v>
      </c>
      <c r="W5432" s="11"/>
      <c r="X5432" s="11"/>
      <c r="Y5432" s="45"/>
      <c r="Z5432" s="45"/>
      <c r="AA5432" s="31"/>
      <c r="AB5432" s="45" t="s">
        <v>21861</v>
      </c>
      <c r="AC5432" s="45"/>
    </row>
    <row r="5433" ht="18.75" customHeight="1">
      <c r="A5433" s="142" t="s">
        <v>21862</v>
      </c>
      <c r="B5433" s="33" t="s">
        <v>3289</v>
      </c>
      <c r="C5433" s="20">
        <v>137.0</v>
      </c>
      <c r="D5433" s="39" t="s">
        <v>21863</v>
      </c>
      <c r="E5433" s="27" t="s">
        <v>85</v>
      </c>
      <c r="F5433" s="27" t="s">
        <v>48</v>
      </c>
      <c r="G5433" s="18" t="s">
        <v>35</v>
      </c>
      <c r="H5433" s="40" t="s">
        <v>35</v>
      </c>
      <c r="I5433" s="37" t="s">
        <v>36</v>
      </c>
      <c r="J5433" s="25" t="s">
        <v>92</v>
      </c>
      <c r="K5433" s="26" t="s">
        <v>38</v>
      </c>
      <c r="L5433" s="25">
        <v>14045.0</v>
      </c>
      <c r="M5433" s="49" t="s">
        <v>50</v>
      </c>
      <c r="N5433" s="42" t="s">
        <v>14029</v>
      </c>
      <c r="O5433" s="67">
        <v>45943.64148115741</v>
      </c>
      <c r="P5433" s="35" t="s">
        <v>21864</v>
      </c>
      <c r="Q5433" s="13" t="s">
        <v>6028</v>
      </c>
      <c r="R5433" s="13" t="s">
        <v>6028</v>
      </c>
      <c r="S5433" s="13" t="s">
        <v>73</v>
      </c>
      <c r="T5433" s="44">
        <v>45930.7270449537</v>
      </c>
      <c r="U5433" s="44">
        <v>45930.72714</v>
      </c>
      <c r="V5433" s="44">
        <v>45931.416491435186</v>
      </c>
      <c r="W5433" s="11"/>
      <c r="X5433" s="11"/>
      <c r="Y5433" s="45">
        <v>302.0</v>
      </c>
      <c r="Z5433" s="45" t="s">
        <v>21865</v>
      </c>
      <c r="AA5433" s="31"/>
      <c r="AB5433" s="45" t="s">
        <v>21866</v>
      </c>
      <c r="AC5433" s="45"/>
    </row>
    <row r="5434" ht="18.75" customHeight="1">
      <c r="A5434" s="142" t="s">
        <v>21867</v>
      </c>
      <c r="B5434" s="33" t="s">
        <v>21292</v>
      </c>
      <c r="C5434" s="20">
        <v>1.0</v>
      </c>
      <c r="D5434" s="39"/>
      <c r="E5434" s="27" t="s">
        <v>3395</v>
      </c>
      <c r="F5434" s="27" t="s">
        <v>48</v>
      </c>
      <c r="G5434" s="18" t="s">
        <v>35</v>
      </c>
      <c r="H5434" s="40" t="s">
        <v>35</v>
      </c>
      <c r="I5434" s="37" t="s">
        <v>984</v>
      </c>
      <c r="J5434" s="25" t="s">
        <v>65</v>
      </c>
      <c r="K5434" s="26" t="s">
        <v>38</v>
      </c>
      <c r="L5434" s="25">
        <v>-14062.0</v>
      </c>
      <c r="M5434" s="49"/>
      <c r="N5434" s="42"/>
      <c r="O5434" s="68"/>
      <c r="P5434" s="35" t="s">
        <v>21868</v>
      </c>
      <c r="Q5434" s="13" t="s">
        <v>75</v>
      </c>
      <c r="R5434" s="13" t="s">
        <v>75</v>
      </c>
      <c r="S5434" s="13"/>
      <c r="T5434" s="44">
        <v>45930.71688384259</v>
      </c>
      <c r="U5434" s="44">
        <v>45932.67720222222</v>
      </c>
      <c r="V5434" s="13"/>
      <c r="W5434" s="11"/>
      <c r="X5434" s="148">
        <v>45971.0</v>
      </c>
      <c r="Y5434" s="45"/>
      <c r="Z5434" s="45"/>
      <c r="AA5434" s="31"/>
      <c r="AB5434" s="45" t="s">
        <v>21869</v>
      </c>
      <c r="AC5434" s="45"/>
    </row>
    <row r="5435" ht="18.75" customHeight="1">
      <c r="A5435" s="142" t="s">
        <v>21870</v>
      </c>
      <c r="B5435" s="33" t="s">
        <v>9909</v>
      </c>
      <c r="C5435" s="20">
        <v>90.0</v>
      </c>
      <c r="D5435" s="39" t="s">
        <v>21871</v>
      </c>
      <c r="E5435" s="27" t="s">
        <v>91</v>
      </c>
      <c r="F5435" s="27" t="s">
        <v>48</v>
      </c>
      <c r="G5435" s="18" t="s">
        <v>35</v>
      </c>
      <c r="H5435" s="40" t="s">
        <v>35</v>
      </c>
      <c r="I5435" s="37" t="s">
        <v>36</v>
      </c>
      <c r="J5435" s="25" t="s">
        <v>65</v>
      </c>
      <c r="K5435" s="26" t="s">
        <v>38</v>
      </c>
      <c r="L5435" s="25">
        <v>14040.0</v>
      </c>
      <c r="M5435" s="49" t="s">
        <v>50</v>
      </c>
      <c r="N5435" s="42" t="s">
        <v>16408</v>
      </c>
      <c r="O5435" s="67">
        <v>45932.6452662963</v>
      </c>
      <c r="P5435" s="26" t="s">
        <v>21872</v>
      </c>
      <c r="Q5435" s="13" t="s">
        <v>6028</v>
      </c>
      <c r="R5435" s="13" t="s">
        <v>6028</v>
      </c>
      <c r="S5435" s="13" t="s">
        <v>73</v>
      </c>
      <c r="T5435" s="44">
        <v>45931.441339756944</v>
      </c>
      <c r="U5435" s="44">
        <v>45931.47280761574</v>
      </c>
      <c r="V5435" s="44">
        <v>45931.48681267361</v>
      </c>
      <c r="W5435" s="11"/>
      <c r="X5435" s="11"/>
      <c r="Y5435" s="207">
        <v>302.0</v>
      </c>
      <c r="Z5435" s="45" t="s">
        <v>21873</v>
      </c>
      <c r="AA5435" s="31"/>
      <c r="AB5435" s="45" t="s">
        <v>21874</v>
      </c>
      <c r="AC5435" s="45"/>
    </row>
    <row r="5436" ht="18.75" customHeight="1">
      <c r="A5436" s="142" t="s">
        <v>21875</v>
      </c>
      <c r="B5436" s="33" t="s">
        <v>8666</v>
      </c>
      <c r="C5436" s="20">
        <v>1.0</v>
      </c>
      <c r="D5436" s="39"/>
      <c r="E5436" s="27" t="s">
        <v>3395</v>
      </c>
      <c r="F5436" s="27" t="s">
        <v>48</v>
      </c>
      <c r="G5436" s="18" t="s">
        <v>35</v>
      </c>
      <c r="H5436" s="40" t="s">
        <v>35</v>
      </c>
      <c r="I5436" s="37" t="s">
        <v>17277</v>
      </c>
      <c r="J5436" s="25" t="s">
        <v>49</v>
      </c>
      <c r="K5436" s="26" t="s">
        <v>38</v>
      </c>
      <c r="L5436" s="25"/>
      <c r="M5436" s="49"/>
      <c r="N5436" s="42"/>
      <c r="O5436" s="68"/>
      <c r="P5436" s="35" t="s">
        <v>21876</v>
      </c>
      <c r="Q5436" s="13" t="s">
        <v>75</v>
      </c>
      <c r="R5436" s="13" t="s">
        <v>75</v>
      </c>
      <c r="S5436" s="13"/>
      <c r="T5436" s="44">
        <v>45931.4580666088</v>
      </c>
      <c r="U5436" s="13"/>
      <c r="V5436" s="13"/>
      <c r="W5436" s="11"/>
      <c r="X5436" s="11"/>
      <c r="Y5436" s="45"/>
      <c r="Z5436" s="45"/>
      <c r="AA5436" s="31"/>
      <c r="AB5436" s="45" t="s">
        <v>21877</v>
      </c>
      <c r="AC5436" s="45"/>
    </row>
    <row r="5437" ht="18.75" customHeight="1">
      <c r="A5437" s="142" t="s">
        <v>21878</v>
      </c>
      <c r="B5437" s="33" t="s">
        <v>21879</v>
      </c>
      <c r="C5437" s="20">
        <v>11.0</v>
      </c>
      <c r="D5437" s="39" t="s">
        <v>21880</v>
      </c>
      <c r="E5437" s="27" t="s">
        <v>112</v>
      </c>
      <c r="F5437" s="27" t="s">
        <v>48</v>
      </c>
      <c r="G5437" s="18" t="s">
        <v>35</v>
      </c>
      <c r="H5437" s="40" t="s">
        <v>35</v>
      </c>
      <c r="I5437" s="37" t="s">
        <v>36</v>
      </c>
      <c r="J5437" s="25" t="s">
        <v>49</v>
      </c>
      <c r="K5437" s="26" t="s">
        <v>21881</v>
      </c>
      <c r="L5437" s="25">
        <v>14046.0</v>
      </c>
      <c r="M5437" s="49" t="s">
        <v>50</v>
      </c>
      <c r="N5437" s="42" t="s">
        <v>17048</v>
      </c>
      <c r="O5437" s="67">
        <v>45931.65973</v>
      </c>
      <c r="P5437" s="35" t="s">
        <v>21882</v>
      </c>
      <c r="Q5437" s="13" t="s">
        <v>6028</v>
      </c>
      <c r="R5437" s="13" t="s">
        <v>67</v>
      </c>
      <c r="S5437" s="13" t="s">
        <v>73</v>
      </c>
      <c r="T5437" s="44">
        <v>45931.44482635417</v>
      </c>
      <c r="U5437" s="44">
        <v>45931.55506991898</v>
      </c>
      <c r="V5437" s="44">
        <v>45931.57488128472</v>
      </c>
      <c r="W5437" s="11"/>
      <c r="X5437" s="11"/>
      <c r="Y5437" s="45">
        <v>302.0</v>
      </c>
      <c r="Z5437" s="45" t="s">
        <v>21883</v>
      </c>
      <c r="AA5437" s="31"/>
      <c r="AB5437" s="45" t="s">
        <v>21884</v>
      </c>
      <c r="AC5437" s="45"/>
    </row>
    <row r="5438" ht="18.75" customHeight="1">
      <c r="A5438" s="18" t="s">
        <v>21885</v>
      </c>
      <c r="B5438" s="33" t="s">
        <v>11116</v>
      </c>
      <c r="C5438" s="20">
        <v>137.0</v>
      </c>
      <c r="D5438" s="39" t="s">
        <v>21886</v>
      </c>
      <c r="E5438" s="27" t="s">
        <v>85</v>
      </c>
      <c r="F5438" s="27" t="s">
        <v>48</v>
      </c>
      <c r="G5438" s="18" t="s">
        <v>35</v>
      </c>
      <c r="H5438" s="40" t="s">
        <v>35</v>
      </c>
      <c r="I5438" s="37" t="s">
        <v>36</v>
      </c>
      <c r="J5438" s="25" t="s">
        <v>49</v>
      </c>
      <c r="K5438" s="26" t="s">
        <v>21399</v>
      </c>
      <c r="L5438" s="25">
        <v>14041.0</v>
      </c>
      <c r="M5438" s="49" t="s">
        <v>50</v>
      </c>
      <c r="N5438" s="42" t="s">
        <v>17048</v>
      </c>
      <c r="O5438" s="67">
        <v>45931.65966481481</v>
      </c>
      <c r="P5438" s="26"/>
      <c r="Q5438" s="13" t="s">
        <v>6028</v>
      </c>
      <c r="R5438" s="13" t="s">
        <v>6028</v>
      </c>
      <c r="S5438" s="13" t="s">
        <v>50</v>
      </c>
      <c r="T5438" s="44">
        <v>45931.447687893524</v>
      </c>
      <c r="U5438" s="44">
        <v>45931.48844247685</v>
      </c>
      <c r="V5438" s="44">
        <v>45931.50008034722</v>
      </c>
      <c r="W5438" s="11"/>
      <c r="X5438" s="11"/>
      <c r="Y5438" s="45">
        <v>302.0</v>
      </c>
      <c r="Z5438" s="45" t="s">
        <v>21887</v>
      </c>
      <c r="AA5438" s="31"/>
      <c r="AB5438" s="45" t="s">
        <v>21888</v>
      </c>
      <c r="AC5438" s="45"/>
    </row>
    <row r="5439" ht="18.75" customHeight="1">
      <c r="A5439" s="18" t="s">
        <v>21889</v>
      </c>
      <c r="B5439" s="33" t="s">
        <v>11116</v>
      </c>
      <c r="C5439" s="20">
        <v>90.0</v>
      </c>
      <c r="D5439" s="39" t="s">
        <v>21890</v>
      </c>
      <c r="E5439" s="27" t="s">
        <v>91</v>
      </c>
      <c r="F5439" s="27" t="s">
        <v>48</v>
      </c>
      <c r="G5439" s="18" t="s">
        <v>35</v>
      </c>
      <c r="H5439" s="40" t="s">
        <v>35</v>
      </c>
      <c r="I5439" s="37" t="s">
        <v>36</v>
      </c>
      <c r="J5439" s="25" t="s">
        <v>49</v>
      </c>
      <c r="K5439" s="26" t="s">
        <v>21399</v>
      </c>
      <c r="L5439" s="25">
        <v>14041.0</v>
      </c>
      <c r="M5439" s="49" t="s">
        <v>50</v>
      </c>
      <c r="N5439" s="42" t="s">
        <v>17048</v>
      </c>
      <c r="O5439" s="67">
        <v>45931.659597881946</v>
      </c>
      <c r="P5439" s="35" t="s">
        <v>21891</v>
      </c>
      <c r="Q5439" s="13" t="s">
        <v>6028</v>
      </c>
      <c r="R5439" s="13" t="s">
        <v>6028</v>
      </c>
      <c r="S5439" s="13" t="s">
        <v>73</v>
      </c>
      <c r="T5439" s="44">
        <v>45931.48830243056</v>
      </c>
      <c r="U5439" s="44">
        <v>45931.4884791088</v>
      </c>
      <c r="V5439" s="44">
        <v>45931.50000884259</v>
      </c>
      <c r="W5439" s="11"/>
      <c r="X5439" s="11"/>
      <c r="Y5439" s="45">
        <v>302.0</v>
      </c>
      <c r="Z5439" s="45" t="s">
        <v>21892</v>
      </c>
      <c r="AA5439" s="31"/>
      <c r="AB5439" s="45" t="s">
        <v>21893</v>
      </c>
      <c r="AC5439" s="45"/>
    </row>
    <row r="5440" ht="18.75" customHeight="1">
      <c r="A5440" s="18" t="s">
        <v>21894</v>
      </c>
      <c r="B5440" s="33" t="s">
        <v>4941</v>
      </c>
      <c r="C5440" s="20">
        <v>137.0</v>
      </c>
      <c r="D5440" s="39" t="s">
        <v>21895</v>
      </c>
      <c r="E5440" s="27" t="s">
        <v>85</v>
      </c>
      <c r="F5440" s="27" t="s">
        <v>48</v>
      </c>
      <c r="G5440" s="18" t="s">
        <v>35</v>
      </c>
      <c r="H5440" s="40" t="s">
        <v>35</v>
      </c>
      <c r="I5440" s="37" t="s">
        <v>36</v>
      </c>
      <c r="J5440" s="25" t="s">
        <v>92</v>
      </c>
      <c r="K5440" s="26" t="s">
        <v>38</v>
      </c>
      <c r="L5440" s="25">
        <v>14049.0</v>
      </c>
      <c r="M5440" s="49" t="s">
        <v>50</v>
      </c>
      <c r="N5440" s="42" t="s">
        <v>19238</v>
      </c>
      <c r="O5440" s="67">
        <v>45950.649365150464</v>
      </c>
      <c r="P5440" s="35" t="s">
        <v>21896</v>
      </c>
      <c r="Q5440" s="13" t="s">
        <v>75</v>
      </c>
      <c r="R5440" s="13" t="s">
        <v>75</v>
      </c>
      <c r="S5440" s="13" t="s">
        <v>73</v>
      </c>
      <c r="T5440" s="44">
        <v>45931.46730696759</v>
      </c>
      <c r="U5440" s="44">
        <v>45931.60330121528</v>
      </c>
      <c r="V5440" s="44">
        <v>45931.61179038194</v>
      </c>
      <c r="W5440" s="11"/>
      <c r="X5440" s="11"/>
      <c r="Y5440" s="45">
        <v>302.0</v>
      </c>
      <c r="Z5440" s="45" t="s">
        <v>21897</v>
      </c>
      <c r="AA5440" s="31"/>
      <c r="AB5440" s="45" t="s">
        <v>21898</v>
      </c>
      <c r="AC5440" s="45"/>
    </row>
    <row r="5441" ht="18.75" customHeight="1">
      <c r="A5441" s="18" t="s">
        <v>21899</v>
      </c>
      <c r="B5441" s="33" t="s">
        <v>4941</v>
      </c>
      <c r="C5441" s="20">
        <v>137.0</v>
      </c>
      <c r="D5441" s="39" t="s">
        <v>21900</v>
      </c>
      <c r="E5441" s="27" t="s">
        <v>85</v>
      </c>
      <c r="F5441" s="27" t="s">
        <v>48</v>
      </c>
      <c r="G5441" s="18" t="s">
        <v>35</v>
      </c>
      <c r="H5441" s="40" t="s">
        <v>35</v>
      </c>
      <c r="I5441" s="37" t="s">
        <v>36</v>
      </c>
      <c r="J5441" s="25" t="s">
        <v>92</v>
      </c>
      <c r="K5441" s="26" t="s">
        <v>38</v>
      </c>
      <c r="L5441" s="25">
        <v>14049.0</v>
      </c>
      <c r="M5441" s="49" t="s">
        <v>50</v>
      </c>
      <c r="N5441" s="42" t="s">
        <v>19238</v>
      </c>
      <c r="O5441" s="67">
        <v>45950.6495231713</v>
      </c>
      <c r="P5441" s="35" t="s">
        <v>21896</v>
      </c>
      <c r="Q5441" s="13" t="s">
        <v>75</v>
      </c>
      <c r="R5441" s="13" t="s">
        <v>75</v>
      </c>
      <c r="S5441" s="13" t="s">
        <v>73</v>
      </c>
      <c r="T5441" s="44">
        <v>45931.467351875</v>
      </c>
      <c r="U5441" s="44">
        <v>45931.60332891204</v>
      </c>
      <c r="V5441" s="44">
        <v>45931.61179039352</v>
      </c>
      <c r="W5441" s="11"/>
      <c r="X5441" s="11"/>
      <c r="Y5441" s="45">
        <v>302.0</v>
      </c>
      <c r="Z5441" s="45" t="s">
        <v>21901</v>
      </c>
      <c r="AA5441" s="31"/>
      <c r="AB5441" s="45" t="s">
        <v>21902</v>
      </c>
      <c r="AC5441" s="45"/>
    </row>
    <row r="5442" ht="18.75" customHeight="1">
      <c r="A5442" s="18" t="s">
        <v>21903</v>
      </c>
      <c r="B5442" s="33" t="s">
        <v>4941</v>
      </c>
      <c r="C5442" s="20">
        <v>137.0</v>
      </c>
      <c r="D5442" s="39" t="s">
        <v>21904</v>
      </c>
      <c r="E5442" s="27" t="s">
        <v>85</v>
      </c>
      <c r="F5442" s="27" t="s">
        <v>48</v>
      </c>
      <c r="G5442" s="18" t="s">
        <v>35</v>
      </c>
      <c r="H5442" s="40" t="s">
        <v>35</v>
      </c>
      <c r="I5442" s="37" t="s">
        <v>36</v>
      </c>
      <c r="J5442" s="25" t="s">
        <v>92</v>
      </c>
      <c r="K5442" s="26" t="s">
        <v>38</v>
      </c>
      <c r="L5442" s="25">
        <v>14049.0</v>
      </c>
      <c r="M5442" s="49" t="s">
        <v>50</v>
      </c>
      <c r="N5442" s="42" t="s">
        <v>19238</v>
      </c>
      <c r="O5442" s="67">
        <v>45950.649444270835</v>
      </c>
      <c r="P5442" s="35" t="s">
        <v>21896</v>
      </c>
      <c r="Q5442" s="13" t="s">
        <v>75</v>
      </c>
      <c r="R5442" s="13" t="s">
        <v>75</v>
      </c>
      <c r="S5442" s="13" t="s">
        <v>73</v>
      </c>
      <c r="T5442" s="44">
        <v>45931.46741138889</v>
      </c>
      <c r="U5442" s="44">
        <v>45931.60335276621</v>
      </c>
      <c r="V5442" s="44">
        <v>45931.61179040509</v>
      </c>
      <c r="W5442" s="11"/>
      <c r="X5442" s="11"/>
      <c r="Y5442" s="45">
        <v>302.0</v>
      </c>
      <c r="Z5442" s="45" t="s">
        <v>21905</v>
      </c>
      <c r="AA5442" s="31"/>
      <c r="AB5442" s="45" t="s">
        <v>21906</v>
      </c>
      <c r="AC5442" s="45"/>
    </row>
    <row r="5443" ht="18.75" customHeight="1">
      <c r="A5443" s="18" t="s">
        <v>21907</v>
      </c>
      <c r="B5443" s="33" t="s">
        <v>18904</v>
      </c>
      <c r="C5443" s="20">
        <v>137.0</v>
      </c>
      <c r="D5443" s="39" t="s">
        <v>21908</v>
      </c>
      <c r="E5443" s="27" t="s">
        <v>85</v>
      </c>
      <c r="F5443" s="27" t="s">
        <v>48</v>
      </c>
      <c r="G5443" s="18" t="s">
        <v>35</v>
      </c>
      <c r="H5443" s="40" t="s">
        <v>35</v>
      </c>
      <c r="I5443" s="37" t="s">
        <v>36</v>
      </c>
      <c r="J5443" s="25" t="s">
        <v>65</v>
      </c>
      <c r="K5443" s="26" t="s">
        <v>38</v>
      </c>
      <c r="L5443" s="25">
        <v>14053.0</v>
      </c>
      <c r="M5443" s="49" t="s">
        <v>50</v>
      </c>
      <c r="N5443" s="42" t="s">
        <v>16408</v>
      </c>
      <c r="O5443" s="67">
        <v>45932.645188229166</v>
      </c>
      <c r="P5443" s="35" t="s">
        <v>21909</v>
      </c>
      <c r="Q5443" s="13" t="s">
        <v>75</v>
      </c>
      <c r="R5443" s="13" t="s">
        <v>75</v>
      </c>
      <c r="S5443" s="13" t="s">
        <v>73</v>
      </c>
      <c r="T5443" s="44">
        <v>45931.47092349537</v>
      </c>
      <c r="U5443" s="44">
        <v>45932.3993987963</v>
      </c>
      <c r="V5443" s="44">
        <v>45932.4257305787</v>
      </c>
      <c r="W5443" s="11"/>
      <c r="X5443" s="11"/>
      <c r="Y5443" s="45">
        <v>302.0</v>
      </c>
      <c r="Z5443" s="45" t="s">
        <v>21910</v>
      </c>
      <c r="AA5443" s="31"/>
      <c r="AB5443" s="45" t="s">
        <v>21911</v>
      </c>
      <c r="AC5443" s="45"/>
    </row>
    <row r="5444" ht="18.75" customHeight="1">
      <c r="A5444" s="18" t="s">
        <v>21912</v>
      </c>
      <c r="B5444" s="33" t="s">
        <v>18904</v>
      </c>
      <c r="C5444" s="20">
        <v>137.0</v>
      </c>
      <c r="D5444" s="39" t="s">
        <v>21913</v>
      </c>
      <c r="E5444" s="27" t="s">
        <v>85</v>
      </c>
      <c r="F5444" s="27" t="s">
        <v>48</v>
      </c>
      <c r="G5444" s="18" t="s">
        <v>35</v>
      </c>
      <c r="H5444" s="40" t="s">
        <v>35</v>
      </c>
      <c r="I5444" s="37" t="s">
        <v>36</v>
      </c>
      <c r="J5444" s="25" t="s">
        <v>65</v>
      </c>
      <c r="K5444" s="26" t="s">
        <v>38</v>
      </c>
      <c r="L5444" s="25">
        <v>14053.0</v>
      </c>
      <c r="M5444" s="49" t="s">
        <v>50</v>
      </c>
      <c r="N5444" s="42" t="s">
        <v>16408</v>
      </c>
      <c r="O5444" s="67">
        <v>45932.64504861111</v>
      </c>
      <c r="P5444" s="35" t="s">
        <v>21909</v>
      </c>
      <c r="Q5444" s="13" t="s">
        <v>75</v>
      </c>
      <c r="R5444" s="13" t="s">
        <v>75</v>
      </c>
      <c r="S5444" s="13" t="s">
        <v>73</v>
      </c>
      <c r="T5444" s="44">
        <v>45931.47102711805</v>
      </c>
      <c r="U5444" s="44">
        <v>45932.399448993056</v>
      </c>
      <c r="V5444" s="44">
        <v>45932.42573059028</v>
      </c>
      <c r="W5444" s="11"/>
      <c r="X5444" s="11"/>
      <c r="Y5444" s="45">
        <v>302.0</v>
      </c>
      <c r="Z5444" s="45" t="s">
        <v>21914</v>
      </c>
      <c r="AA5444" s="31"/>
      <c r="AB5444" s="45" t="s">
        <v>21915</v>
      </c>
      <c r="AC5444" s="45"/>
    </row>
    <row r="5445" ht="18.75" customHeight="1">
      <c r="A5445" s="18" t="s">
        <v>21916</v>
      </c>
      <c r="B5445" s="33" t="s">
        <v>18904</v>
      </c>
      <c r="C5445" s="20">
        <v>137.0</v>
      </c>
      <c r="D5445" s="39" t="s">
        <v>21917</v>
      </c>
      <c r="E5445" s="27" t="s">
        <v>85</v>
      </c>
      <c r="F5445" s="27" t="s">
        <v>48</v>
      </c>
      <c r="G5445" s="18" t="s">
        <v>35</v>
      </c>
      <c r="H5445" s="40" t="s">
        <v>35</v>
      </c>
      <c r="I5445" s="37" t="s">
        <v>36</v>
      </c>
      <c r="J5445" s="25" t="s">
        <v>65</v>
      </c>
      <c r="K5445" s="26" t="s">
        <v>38</v>
      </c>
      <c r="L5445" s="25">
        <v>14053.0</v>
      </c>
      <c r="M5445" s="49" t="s">
        <v>50</v>
      </c>
      <c r="N5445" s="42" t="s">
        <v>16408</v>
      </c>
      <c r="O5445" s="67">
        <v>45932.64511121528</v>
      </c>
      <c r="P5445" s="35" t="s">
        <v>21909</v>
      </c>
      <c r="Q5445" s="13" t="s">
        <v>75</v>
      </c>
      <c r="R5445" s="13" t="s">
        <v>75</v>
      </c>
      <c r="S5445" s="13" t="s">
        <v>73</v>
      </c>
      <c r="T5445" s="44">
        <v>45931.471080347226</v>
      </c>
      <c r="U5445" s="44">
        <v>45932.399425717595</v>
      </c>
      <c r="V5445" s="44">
        <v>45932.4257305787</v>
      </c>
      <c r="W5445" s="11"/>
      <c r="X5445" s="11"/>
      <c r="Y5445" s="45">
        <v>302.0</v>
      </c>
      <c r="Z5445" s="45" t="s">
        <v>21918</v>
      </c>
      <c r="AA5445" s="31"/>
      <c r="AB5445" s="45" t="s">
        <v>21919</v>
      </c>
      <c r="AC5445" s="45"/>
    </row>
    <row r="5446" ht="18.75" customHeight="1">
      <c r="A5446" s="142" t="s">
        <v>21920</v>
      </c>
      <c r="B5446" s="33" t="s">
        <v>16822</v>
      </c>
      <c r="C5446" s="20">
        <v>34.0</v>
      </c>
      <c r="D5446" s="39" t="s">
        <v>21921</v>
      </c>
      <c r="E5446" s="27" t="s">
        <v>47</v>
      </c>
      <c r="F5446" s="27" t="s">
        <v>48</v>
      </c>
      <c r="G5446" s="18" t="s">
        <v>35</v>
      </c>
      <c r="H5446" s="40" t="s">
        <v>35</v>
      </c>
      <c r="I5446" s="37" t="s">
        <v>36</v>
      </c>
      <c r="J5446" s="25" t="s">
        <v>49</v>
      </c>
      <c r="K5446" s="26" t="s">
        <v>38</v>
      </c>
      <c r="L5446" s="25">
        <v>14047.0</v>
      </c>
      <c r="M5446" s="49" t="s">
        <v>50</v>
      </c>
      <c r="N5446" s="42" t="s">
        <v>17048</v>
      </c>
      <c r="O5446" s="67">
        <v>45931.659539953704</v>
      </c>
      <c r="P5446" s="35" t="s">
        <v>15666</v>
      </c>
      <c r="Q5446" s="13" t="s">
        <v>75</v>
      </c>
      <c r="R5446" s="13" t="s">
        <v>75</v>
      </c>
      <c r="S5446" s="13" t="s">
        <v>73</v>
      </c>
      <c r="T5446" s="44">
        <v>45931.47213229167</v>
      </c>
      <c r="U5446" s="44">
        <v>45931.56273657407</v>
      </c>
      <c r="V5446" s="44">
        <v>45931.57454123843</v>
      </c>
      <c r="W5446" s="11"/>
      <c r="X5446" s="11"/>
      <c r="Y5446" s="45">
        <v>302.0</v>
      </c>
      <c r="Z5446" s="45" t="s">
        <v>21922</v>
      </c>
      <c r="AA5446" s="31"/>
      <c r="AB5446" s="45" t="s">
        <v>21923</v>
      </c>
      <c r="AC5446" s="45"/>
    </row>
    <row r="5447" ht="18.75" customHeight="1">
      <c r="A5447" s="18" t="s">
        <v>21924</v>
      </c>
      <c r="B5447" s="33" t="s">
        <v>7945</v>
      </c>
      <c r="C5447" s="20">
        <v>11.0</v>
      </c>
      <c r="D5447" s="39" t="s">
        <v>21925</v>
      </c>
      <c r="E5447" s="27" t="s">
        <v>112</v>
      </c>
      <c r="F5447" s="27" t="s">
        <v>48</v>
      </c>
      <c r="G5447" s="18" t="s">
        <v>35</v>
      </c>
      <c r="H5447" s="40" t="s">
        <v>35</v>
      </c>
      <c r="I5447" s="37" t="s">
        <v>36</v>
      </c>
      <c r="J5447" s="25" t="s">
        <v>49</v>
      </c>
      <c r="K5447" s="26" t="s">
        <v>21926</v>
      </c>
      <c r="L5447" s="25">
        <v>14206.0</v>
      </c>
      <c r="M5447" s="49" t="s">
        <v>50</v>
      </c>
      <c r="N5447" s="42" t="s">
        <v>9953</v>
      </c>
      <c r="O5447" s="67">
        <v>45950.654916562504</v>
      </c>
      <c r="P5447" s="35" t="s">
        <v>21927</v>
      </c>
      <c r="Q5447" s="13" t="s">
        <v>67</v>
      </c>
      <c r="R5447" s="13" t="s">
        <v>67</v>
      </c>
      <c r="S5447" s="13" t="s">
        <v>73</v>
      </c>
      <c r="T5447" s="44">
        <v>45931.457544687495</v>
      </c>
      <c r="U5447" s="44">
        <v>45943.704454328705</v>
      </c>
      <c r="V5447" s="44">
        <v>45950.45819149306</v>
      </c>
      <c r="W5447" s="11"/>
      <c r="X5447" s="11"/>
      <c r="Y5447" s="45">
        <v>302.0</v>
      </c>
      <c r="Z5447" s="45" t="s">
        <v>21928</v>
      </c>
      <c r="AA5447" s="31"/>
      <c r="AB5447" s="45" t="s">
        <v>21929</v>
      </c>
      <c r="AC5447" s="45"/>
    </row>
    <row r="5448" ht="18.75" customHeight="1">
      <c r="A5448" s="18" t="s">
        <v>21930</v>
      </c>
      <c r="B5448" s="33" t="s">
        <v>7945</v>
      </c>
      <c r="C5448" s="20">
        <v>11.0</v>
      </c>
      <c r="D5448" s="39" t="s">
        <v>21931</v>
      </c>
      <c r="E5448" s="27" t="s">
        <v>112</v>
      </c>
      <c r="F5448" s="27" t="s">
        <v>48</v>
      </c>
      <c r="G5448" s="18" t="s">
        <v>35</v>
      </c>
      <c r="H5448" s="40" t="s">
        <v>35</v>
      </c>
      <c r="I5448" s="37" t="s">
        <v>36</v>
      </c>
      <c r="J5448" s="25" t="s">
        <v>49</v>
      </c>
      <c r="K5448" s="26" t="s">
        <v>21926</v>
      </c>
      <c r="L5448" s="25">
        <v>14206.0</v>
      </c>
      <c r="M5448" s="49" t="s">
        <v>50</v>
      </c>
      <c r="N5448" s="42" t="s">
        <v>9953</v>
      </c>
      <c r="O5448" s="67">
        <v>45950.65482211806</v>
      </c>
      <c r="P5448" s="35" t="s">
        <v>21927</v>
      </c>
      <c r="Q5448" s="13" t="s">
        <v>67</v>
      </c>
      <c r="R5448" s="13" t="s">
        <v>67</v>
      </c>
      <c r="S5448" s="13" t="s">
        <v>73</v>
      </c>
      <c r="T5448" s="44">
        <v>45931.459974513884</v>
      </c>
      <c r="U5448" s="44">
        <v>45943.70452572917</v>
      </c>
      <c r="V5448" s="44">
        <v>45950.45809878472</v>
      </c>
      <c r="W5448" s="11"/>
      <c r="X5448" s="11"/>
      <c r="Y5448" s="45">
        <v>302.0</v>
      </c>
      <c r="Z5448" s="45" t="s">
        <v>21932</v>
      </c>
      <c r="AA5448" s="31"/>
      <c r="AB5448" s="45" t="s">
        <v>21933</v>
      </c>
      <c r="AC5448" s="45"/>
    </row>
    <row r="5449" ht="18.75" customHeight="1">
      <c r="A5449" s="18" t="s">
        <v>21934</v>
      </c>
      <c r="B5449" s="33" t="s">
        <v>7945</v>
      </c>
      <c r="C5449" s="20">
        <v>11.0</v>
      </c>
      <c r="D5449" s="39" t="s">
        <v>21935</v>
      </c>
      <c r="E5449" s="27" t="s">
        <v>112</v>
      </c>
      <c r="F5449" s="27" t="s">
        <v>48</v>
      </c>
      <c r="G5449" s="18" t="s">
        <v>35</v>
      </c>
      <c r="H5449" s="40" t="s">
        <v>35</v>
      </c>
      <c r="I5449" s="37" t="s">
        <v>36</v>
      </c>
      <c r="J5449" s="25" t="s">
        <v>49</v>
      </c>
      <c r="K5449" s="26" t="s">
        <v>21926</v>
      </c>
      <c r="L5449" s="25">
        <v>14206.0</v>
      </c>
      <c r="M5449" s="49" t="s">
        <v>50</v>
      </c>
      <c r="N5449" s="42" t="s">
        <v>9953</v>
      </c>
      <c r="O5449" s="67">
        <v>45950.65478118055</v>
      </c>
      <c r="P5449" s="35" t="s">
        <v>21927</v>
      </c>
      <c r="Q5449" s="13" t="s">
        <v>67</v>
      </c>
      <c r="R5449" s="13" t="s">
        <v>67</v>
      </c>
      <c r="S5449" s="13" t="s">
        <v>73</v>
      </c>
      <c r="T5449" s="44">
        <v>45931.45963949074</v>
      </c>
      <c r="U5449" s="44">
        <v>45943.70453402778</v>
      </c>
      <c r="V5449" s="44">
        <v>45950.45798032408</v>
      </c>
      <c r="W5449" s="11"/>
      <c r="X5449" s="11"/>
      <c r="Y5449" s="45">
        <v>302.0</v>
      </c>
      <c r="Z5449" s="45" t="s">
        <v>21936</v>
      </c>
      <c r="AA5449" s="31"/>
      <c r="AB5449" s="45" t="s">
        <v>21937</v>
      </c>
      <c r="AC5449" s="45"/>
    </row>
    <row r="5450" ht="18.75" customHeight="1">
      <c r="A5450" s="32" t="s">
        <v>21938</v>
      </c>
      <c r="B5450" s="33" t="s">
        <v>7945</v>
      </c>
      <c r="C5450" s="20">
        <v>11.0</v>
      </c>
      <c r="D5450" s="39" t="s">
        <v>21939</v>
      </c>
      <c r="E5450" s="27" t="s">
        <v>112</v>
      </c>
      <c r="F5450" s="27" t="s">
        <v>48</v>
      </c>
      <c r="G5450" s="18" t="s">
        <v>35</v>
      </c>
      <c r="H5450" s="40" t="s">
        <v>35</v>
      </c>
      <c r="I5450" s="37" t="s">
        <v>36</v>
      </c>
      <c r="J5450" s="25" t="s">
        <v>49</v>
      </c>
      <c r="K5450" s="26" t="s">
        <v>21926</v>
      </c>
      <c r="L5450" s="25">
        <v>14206.0</v>
      </c>
      <c r="M5450" s="49" t="s">
        <v>50</v>
      </c>
      <c r="N5450" s="42" t="s">
        <v>9953</v>
      </c>
      <c r="O5450" s="67">
        <v>45950.65473375</v>
      </c>
      <c r="P5450" s="35" t="s">
        <v>21927</v>
      </c>
      <c r="Q5450" s="13" t="s">
        <v>67</v>
      </c>
      <c r="R5450" s="13" t="s">
        <v>67</v>
      </c>
      <c r="S5450" s="13" t="s">
        <v>73</v>
      </c>
      <c r="T5450" s="44">
        <v>45931.457544687495</v>
      </c>
      <c r="U5450" s="44">
        <v>45943.70454740741</v>
      </c>
      <c r="V5450" s="44">
        <v>45950.457859710645</v>
      </c>
      <c r="W5450" s="11"/>
      <c r="X5450" s="11"/>
      <c r="Y5450" s="45">
        <v>302.0</v>
      </c>
      <c r="Z5450" s="45" t="s">
        <v>21940</v>
      </c>
      <c r="AA5450" s="31"/>
      <c r="AB5450" s="45" t="s">
        <v>21941</v>
      </c>
      <c r="AC5450" s="45"/>
    </row>
    <row r="5451" ht="18.75" customHeight="1">
      <c r="A5451" s="18" t="s">
        <v>21942</v>
      </c>
      <c r="B5451" s="33" t="s">
        <v>7945</v>
      </c>
      <c r="C5451" s="20">
        <v>137.0</v>
      </c>
      <c r="D5451" s="39" t="s">
        <v>21943</v>
      </c>
      <c r="E5451" s="27" t="s">
        <v>85</v>
      </c>
      <c r="F5451" s="27" t="s">
        <v>48</v>
      </c>
      <c r="G5451" s="18" t="s">
        <v>35</v>
      </c>
      <c r="H5451" s="40" t="s">
        <v>35</v>
      </c>
      <c r="I5451" s="37" t="s">
        <v>36</v>
      </c>
      <c r="J5451" s="25" t="s">
        <v>49</v>
      </c>
      <c r="K5451" s="26" t="s">
        <v>21926</v>
      </c>
      <c r="L5451" s="25">
        <v>14206.0</v>
      </c>
      <c r="M5451" s="49" t="s">
        <v>50</v>
      </c>
      <c r="N5451" s="42" t="s">
        <v>9953</v>
      </c>
      <c r="O5451" s="67">
        <v>45950.65468972222</v>
      </c>
      <c r="P5451" s="26" t="s">
        <v>21944</v>
      </c>
      <c r="Q5451" s="13" t="s">
        <v>67</v>
      </c>
      <c r="R5451" s="13" t="s">
        <v>67</v>
      </c>
      <c r="S5451" s="13" t="s">
        <v>73</v>
      </c>
      <c r="T5451" s="44">
        <v>45931.45835429398</v>
      </c>
      <c r="U5451" s="44">
        <v>45943.70445167824</v>
      </c>
      <c r="V5451" s="44">
        <v>45950.49589189814</v>
      </c>
      <c r="W5451" s="11"/>
      <c r="X5451" s="11"/>
      <c r="Y5451" s="45">
        <v>302.0</v>
      </c>
      <c r="Z5451" s="45" t="s">
        <v>21945</v>
      </c>
      <c r="AA5451" s="31"/>
      <c r="AB5451" s="45" t="s">
        <v>21946</v>
      </c>
      <c r="AC5451" s="45"/>
    </row>
    <row r="5452" ht="18.75" customHeight="1">
      <c r="A5452" s="142" t="s">
        <v>21947</v>
      </c>
      <c r="B5452" s="33" t="s">
        <v>21948</v>
      </c>
      <c r="C5452" s="20">
        <v>137.0</v>
      </c>
      <c r="D5452" s="39" t="s">
        <v>21949</v>
      </c>
      <c r="E5452" s="27" t="s">
        <v>85</v>
      </c>
      <c r="F5452" s="27" t="s">
        <v>48</v>
      </c>
      <c r="G5452" s="18" t="s">
        <v>35</v>
      </c>
      <c r="H5452" s="40" t="s">
        <v>35</v>
      </c>
      <c r="I5452" s="37" t="s">
        <v>36</v>
      </c>
      <c r="J5452" s="25" t="s">
        <v>49</v>
      </c>
      <c r="K5452" s="26" t="s">
        <v>21950</v>
      </c>
      <c r="L5452" s="25">
        <v>14051.0</v>
      </c>
      <c r="M5452" s="49" t="s">
        <v>50</v>
      </c>
      <c r="N5452" s="42" t="s">
        <v>17048</v>
      </c>
      <c r="O5452" s="67">
        <v>45931.68194444444</v>
      </c>
      <c r="P5452" s="35" t="s">
        <v>21951</v>
      </c>
      <c r="Q5452" s="13" t="s">
        <v>67</v>
      </c>
      <c r="R5452" s="13" t="s">
        <v>67</v>
      </c>
      <c r="S5452" s="13" t="s">
        <v>73</v>
      </c>
      <c r="T5452" s="44">
        <v>45931.610206620375</v>
      </c>
      <c r="U5452" s="44">
        <v>45931.62026989584</v>
      </c>
      <c r="V5452" s="44">
        <v>45931.62688628472</v>
      </c>
      <c r="W5452" s="11"/>
      <c r="X5452" s="11"/>
      <c r="Y5452" s="45">
        <v>302.0</v>
      </c>
      <c r="Z5452" s="45" t="s">
        <v>21952</v>
      </c>
      <c r="AA5452" s="31"/>
      <c r="AB5452" s="45" t="s">
        <v>21953</v>
      </c>
      <c r="AC5452" s="45"/>
    </row>
    <row r="5453" ht="18.75" customHeight="1">
      <c r="A5453" s="142" t="s">
        <v>21954</v>
      </c>
      <c r="B5453" s="33" t="s">
        <v>19230</v>
      </c>
      <c r="C5453" s="20">
        <v>137.0</v>
      </c>
      <c r="D5453" s="39" t="s">
        <v>21955</v>
      </c>
      <c r="E5453" s="27" t="s">
        <v>85</v>
      </c>
      <c r="F5453" s="27" t="s">
        <v>48</v>
      </c>
      <c r="G5453" s="18" t="s">
        <v>35</v>
      </c>
      <c r="H5453" s="40" t="s">
        <v>35</v>
      </c>
      <c r="I5453" s="37" t="s">
        <v>36</v>
      </c>
      <c r="J5453" s="25" t="s">
        <v>65</v>
      </c>
      <c r="K5453" s="26" t="s">
        <v>38</v>
      </c>
      <c r="L5453" s="25">
        <v>14054.0</v>
      </c>
      <c r="M5453" s="49" t="s">
        <v>50</v>
      </c>
      <c r="N5453" s="42" t="s">
        <v>16408</v>
      </c>
      <c r="O5453" s="67">
        <v>45932.64495649305</v>
      </c>
      <c r="P5453" s="35" t="s">
        <v>14372</v>
      </c>
      <c r="Q5453" s="13" t="s">
        <v>75</v>
      </c>
      <c r="R5453" s="13" t="s">
        <v>75</v>
      </c>
      <c r="S5453" s="13" t="s">
        <v>73</v>
      </c>
      <c r="T5453" s="44">
        <v>45931.47444327547</v>
      </c>
      <c r="U5453" s="44">
        <v>45932.40314962963</v>
      </c>
      <c r="V5453" s="44">
        <v>45932.42573059028</v>
      </c>
      <c r="W5453" s="11"/>
      <c r="X5453" s="11"/>
      <c r="Y5453" s="45">
        <v>302.0</v>
      </c>
      <c r="Z5453" s="45" t="s">
        <v>21956</v>
      </c>
      <c r="AA5453" s="31"/>
      <c r="AB5453" s="45" t="s">
        <v>21957</v>
      </c>
      <c r="AC5453" s="45"/>
    </row>
    <row r="5454" ht="18.75" customHeight="1">
      <c r="A5454" s="18" t="s">
        <v>21958</v>
      </c>
      <c r="B5454" s="33" t="s">
        <v>21959</v>
      </c>
      <c r="C5454" s="20">
        <v>0.0</v>
      </c>
      <c r="D5454" s="39"/>
      <c r="E5454" s="27" t="s">
        <v>3441</v>
      </c>
      <c r="F5454" s="27" t="s">
        <v>48</v>
      </c>
      <c r="G5454" s="18" t="s">
        <v>35</v>
      </c>
      <c r="H5454" s="40" t="s">
        <v>35</v>
      </c>
      <c r="I5454" s="37" t="s">
        <v>17277</v>
      </c>
      <c r="J5454" s="25" t="s">
        <v>65</v>
      </c>
      <c r="K5454" s="26" t="s">
        <v>38</v>
      </c>
      <c r="L5454" s="25"/>
      <c r="M5454" s="49"/>
      <c r="N5454" s="42"/>
      <c r="O5454" s="68"/>
      <c r="P5454" s="35" t="s">
        <v>21960</v>
      </c>
      <c r="Q5454" s="13" t="s">
        <v>75</v>
      </c>
      <c r="R5454" s="13" t="s">
        <v>75</v>
      </c>
      <c r="S5454" s="13"/>
      <c r="T5454" s="44">
        <v>45931.47515041666</v>
      </c>
      <c r="U5454" s="13"/>
      <c r="V5454" s="13"/>
      <c r="W5454" s="11"/>
      <c r="X5454" s="11"/>
      <c r="Y5454" s="45"/>
      <c r="Z5454" s="45"/>
      <c r="AA5454" s="31"/>
      <c r="AB5454" s="45" t="s">
        <v>21961</v>
      </c>
      <c r="AC5454" s="45"/>
    </row>
    <row r="5455" ht="18.75" customHeight="1">
      <c r="A5455" s="18" t="s">
        <v>21962</v>
      </c>
      <c r="B5455" s="33" t="s">
        <v>21959</v>
      </c>
      <c r="C5455" s="20">
        <v>137.0</v>
      </c>
      <c r="D5455" s="39"/>
      <c r="E5455" s="27" t="s">
        <v>85</v>
      </c>
      <c r="F5455" s="27" t="s">
        <v>48</v>
      </c>
      <c r="G5455" s="18" t="s">
        <v>35</v>
      </c>
      <c r="H5455" s="40" t="s">
        <v>35</v>
      </c>
      <c r="I5455" s="37" t="s">
        <v>17277</v>
      </c>
      <c r="J5455" s="25" t="s">
        <v>65</v>
      </c>
      <c r="K5455" s="26" t="s">
        <v>38</v>
      </c>
      <c r="L5455" s="25"/>
      <c r="M5455" s="49"/>
      <c r="N5455" s="42"/>
      <c r="O5455" s="68"/>
      <c r="P5455" s="35" t="s">
        <v>21960</v>
      </c>
      <c r="Q5455" s="13" t="s">
        <v>75</v>
      </c>
      <c r="R5455" s="13" t="s">
        <v>75</v>
      </c>
      <c r="S5455" s="13" t="s">
        <v>75</v>
      </c>
      <c r="T5455" s="44">
        <v>45931.475364756945</v>
      </c>
      <c r="U5455" s="13"/>
      <c r="V5455" s="13"/>
      <c r="W5455" s="11"/>
      <c r="X5455" s="11"/>
      <c r="Y5455" s="45"/>
      <c r="Z5455" s="45"/>
      <c r="AA5455" s="31"/>
      <c r="AB5455" s="45" t="s">
        <v>21963</v>
      </c>
      <c r="AC5455" s="45"/>
    </row>
    <row r="5456" ht="18.75" customHeight="1">
      <c r="A5456" s="18" t="s">
        <v>21964</v>
      </c>
      <c r="B5456" s="33" t="s">
        <v>7780</v>
      </c>
      <c r="C5456" s="20">
        <v>137.0</v>
      </c>
      <c r="D5456" s="39" t="s">
        <v>21965</v>
      </c>
      <c r="E5456" s="27" t="s">
        <v>85</v>
      </c>
      <c r="F5456" s="27" t="s">
        <v>48</v>
      </c>
      <c r="G5456" s="18" t="s">
        <v>35</v>
      </c>
      <c r="H5456" s="40" t="s">
        <v>35</v>
      </c>
      <c r="I5456" s="37" t="s">
        <v>36</v>
      </c>
      <c r="J5456" s="25" t="s">
        <v>65</v>
      </c>
      <c r="K5456" s="26" t="s">
        <v>38</v>
      </c>
      <c r="L5456" s="25">
        <v>14096.0</v>
      </c>
      <c r="M5456" s="49" t="s">
        <v>50</v>
      </c>
      <c r="N5456" s="42" t="s">
        <v>16408</v>
      </c>
      <c r="O5456" s="67">
        <v>45938.628784733795</v>
      </c>
      <c r="P5456" s="35" t="s">
        <v>21966</v>
      </c>
      <c r="Q5456" s="13" t="s">
        <v>75</v>
      </c>
      <c r="R5456" s="13" t="s">
        <v>75</v>
      </c>
      <c r="S5456" s="13" t="s">
        <v>73</v>
      </c>
      <c r="T5456" s="44">
        <v>45931.489836747685</v>
      </c>
      <c r="U5456" s="44">
        <v>45938.46567481481</v>
      </c>
      <c r="V5456" s="44">
        <v>45938.48853449074</v>
      </c>
      <c r="W5456" s="11"/>
      <c r="X5456" s="11"/>
      <c r="Y5456" s="207">
        <v>302.0</v>
      </c>
      <c r="Z5456" s="45" t="s">
        <v>21967</v>
      </c>
      <c r="AA5456" s="31"/>
      <c r="AB5456" s="45" t="s">
        <v>21968</v>
      </c>
      <c r="AC5456" s="45"/>
    </row>
    <row r="5457" ht="18.75" customHeight="1">
      <c r="A5457" s="18" t="s">
        <v>21969</v>
      </c>
      <c r="B5457" s="33" t="s">
        <v>7780</v>
      </c>
      <c r="C5457" s="20">
        <v>137.0</v>
      </c>
      <c r="D5457" s="39" t="s">
        <v>21819</v>
      </c>
      <c r="E5457" s="27" t="s">
        <v>85</v>
      </c>
      <c r="F5457" s="27" t="s">
        <v>48</v>
      </c>
      <c r="G5457" s="18" t="s">
        <v>35</v>
      </c>
      <c r="H5457" s="40" t="s">
        <v>35</v>
      </c>
      <c r="I5457" s="37" t="s">
        <v>36</v>
      </c>
      <c r="J5457" s="25" t="s">
        <v>65</v>
      </c>
      <c r="K5457" s="26" t="s">
        <v>38</v>
      </c>
      <c r="L5457" s="25">
        <v>14096.0</v>
      </c>
      <c r="M5457" s="49" t="s">
        <v>50</v>
      </c>
      <c r="N5457" s="42" t="s">
        <v>16408</v>
      </c>
      <c r="O5457" s="67">
        <v>45938.62926768519</v>
      </c>
      <c r="P5457" s="35" t="s">
        <v>21966</v>
      </c>
      <c r="Q5457" s="13" t="s">
        <v>75</v>
      </c>
      <c r="R5457" s="13" t="s">
        <v>75</v>
      </c>
      <c r="S5457" s="13" t="s">
        <v>73</v>
      </c>
      <c r="T5457" s="44">
        <v>45931.490589988425</v>
      </c>
      <c r="U5457" s="44">
        <v>45938.46569859954</v>
      </c>
      <c r="V5457" s="44">
        <v>45938.488534502314</v>
      </c>
      <c r="W5457" s="11"/>
      <c r="X5457" s="11"/>
      <c r="Y5457" s="207">
        <v>302.0</v>
      </c>
      <c r="Z5457" s="45" t="s">
        <v>21970</v>
      </c>
      <c r="AA5457" s="31"/>
      <c r="AB5457" s="45" t="s">
        <v>21971</v>
      </c>
      <c r="AC5457" s="45"/>
    </row>
    <row r="5458" ht="18.75" customHeight="1">
      <c r="A5458" s="18" t="s">
        <v>21972</v>
      </c>
      <c r="B5458" s="33" t="s">
        <v>7780</v>
      </c>
      <c r="C5458" s="20">
        <v>137.0</v>
      </c>
      <c r="D5458" s="39" t="s">
        <v>21973</v>
      </c>
      <c r="E5458" s="27" t="s">
        <v>85</v>
      </c>
      <c r="F5458" s="27" t="s">
        <v>48</v>
      </c>
      <c r="G5458" s="18" t="s">
        <v>35</v>
      </c>
      <c r="H5458" s="40" t="s">
        <v>35</v>
      </c>
      <c r="I5458" s="37" t="s">
        <v>36</v>
      </c>
      <c r="J5458" s="25" t="s">
        <v>65</v>
      </c>
      <c r="K5458" s="26" t="s">
        <v>38</v>
      </c>
      <c r="L5458" s="25">
        <v>14096.0</v>
      </c>
      <c r="M5458" s="49" t="s">
        <v>50</v>
      </c>
      <c r="N5458" s="42" t="s">
        <v>16408</v>
      </c>
      <c r="O5458" s="67">
        <v>45938.629121550926</v>
      </c>
      <c r="P5458" s="35" t="s">
        <v>21966</v>
      </c>
      <c r="Q5458" s="13" t="s">
        <v>75</v>
      </c>
      <c r="R5458" s="13" t="s">
        <v>75</v>
      </c>
      <c r="S5458" s="13" t="s">
        <v>73</v>
      </c>
      <c r="T5458" s="44">
        <v>45931.490053738424</v>
      </c>
      <c r="U5458" s="44">
        <v>45938.46572309028</v>
      </c>
      <c r="V5458" s="44">
        <v>45938.48978991898</v>
      </c>
      <c r="W5458" s="11"/>
      <c r="X5458" s="11"/>
      <c r="Y5458" s="45">
        <v>302.0</v>
      </c>
      <c r="Z5458" s="45" t="s">
        <v>21974</v>
      </c>
      <c r="AA5458" s="31"/>
      <c r="AB5458" s="45" t="s">
        <v>21975</v>
      </c>
      <c r="AC5458" s="45"/>
    </row>
    <row r="5459" ht="18.75" customHeight="1">
      <c r="A5459" s="18" t="s">
        <v>21976</v>
      </c>
      <c r="B5459" s="33" t="s">
        <v>7780</v>
      </c>
      <c r="C5459" s="20">
        <v>137.0</v>
      </c>
      <c r="D5459" s="39" t="s">
        <v>21977</v>
      </c>
      <c r="E5459" s="27" t="s">
        <v>85</v>
      </c>
      <c r="F5459" s="27" t="s">
        <v>48</v>
      </c>
      <c r="G5459" s="18" t="s">
        <v>35</v>
      </c>
      <c r="H5459" s="40" t="s">
        <v>35</v>
      </c>
      <c r="I5459" s="37" t="s">
        <v>36</v>
      </c>
      <c r="J5459" s="25" t="s">
        <v>65</v>
      </c>
      <c r="K5459" s="26" t="s">
        <v>38</v>
      </c>
      <c r="L5459" s="25">
        <v>14096.0</v>
      </c>
      <c r="M5459" s="49" t="s">
        <v>50</v>
      </c>
      <c r="N5459" s="42" t="s">
        <v>16408</v>
      </c>
      <c r="O5459" s="67">
        <v>45938.62907568287</v>
      </c>
      <c r="P5459" s="35" t="s">
        <v>21966</v>
      </c>
      <c r="Q5459" s="13" t="s">
        <v>75</v>
      </c>
      <c r="R5459" s="13" t="s">
        <v>75</v>
      </c>
      <c r="S5459" s="13" t="s">
        <v>73</v>
      </c>
      <c r="T5459" s="44">
        <v>45931.490650277774</v>
      </c>
      <c r="U5459" s="44">
        <v>45938.465741631946</v>
      </c>
      <c r="V5459" s="44">
        <v>45938.489839699076</v>
      </c>
      <c r="W5459" s="11"/>
      <c r="X5459" s="11"/>
      <c r="Y5459" s="45">
        <v>302.0</v>
      </c>
      <c r="Z5459" s="45" t="s">
        <v>21978</v>
      </c>
      <c r="AA5459" s="31"/>
      <c r="AB5459" s="45" t="s">
        <v>21979</v>
      </c>
      <c r="AC5459" s="45"/>
    </row>
    <row r="5460" ht="18.75" customHeight="1">
      <c r="A5460" s="18" t="s">
        <v>21980</v>
      </c>
      <c r="B5460" s="33" t="s">
        <v>7780</v>
      </c>
      <c r="C5460" s="20">
        <v>90.0</v>
      </c>
      <c r="D5460" s="39" t="s">
        <v>21981</v>
      </c>
      <c r="E5460" s="27" t="s">
        <v>91</v>
      </c>
      <c r="F5460" s="27" t="s">
        <v>48</v>
      </c>
      <c r="G5460" s="18" t="s">
        <v>35</v>
      </c>
      <c r="H5460" s="40" t="s">
        <v>35</v>
      </c>
      <c r="I5460" s="37" t="s">
        <v>36</v>
      </c>
      <c r="J5460" s="25" t="s">
        <v>65</v>
      </c>
      <c r="K5460" s="26" t="s">
        <v>38</v>
      </c>
      <c r="L5460" s="25">
        <v>14096.0</v>
      </c>
      <c r="M5460" s="49" t="s">
        <v>50</v>
      </c>
      <c r="N5460" s="42" t="s">
        <v>16408</v>
      </c>
      <c r="O5460" s="67">
        <v>45938.62903196759</v>
      </c>
      <c r="P5460" s="35" t="s">
        <v>21966</v>
      </c>
      <c r="Q5460" s="13" t="s">
        <v>75</v>
      </c>
      <c r="R5460" s="13" t="s">
        <v>75</v>
      </c>
      <c r="S5460" s="13" t="s">
        <v>73</v>
      </c>
      <c r="T5460" s="44">
        <v>45931.490781099536</v>
      </c>
      <c r="U5460" s="44">
        <v>45938.465760335646</v>
      </c>
      <c r="V5460" s="44">
        <v>45938.48862809028</v>
      </c>
      <c r="W5460" s="11"/>
      <c r="X5460" s="11"/>
      <c r="Y5460" s="45">
        <v>302.0</v>
      </c>
      <c r="Z5460" s="45" t="s">
        <v>21982</v>
      </c>
      <c r="AA5460" s="31"/>
      <c r="AB5460" s="45" t="s">
        <v>21983</v>
      </c>
      <c r="AC5460" s="45"/>
    </row>
    <row r="5461" ht="18.75" customHeight="1">
      <c r="A5461" s="142" t="s">
        <v>21984</v>
      </c>
      <c r="B5461" s="33" t="s">
        <v>21985</v>
      </c>
      <c r="C5461" s="20">
        <v>1.0</v>
      </c>
      <c r="D5461" s="39"/>
      <c r="E5461" s="27" t="s">
        <v>3395</v>
      </c>
      <c r="F5461" s="27" t="s">
        <v>48</v>
      </c>
      <c r="G5461" s="18" t="s">
        <v>35</v>
      </c>
      <c r="H5461" s="40" t="s">
        <v>35</v>
      </c>
      <c r="I5461" s="37" t="s">
        <v>18314</v>
      </c>
      <c r="J5461" s="25" t="s">
        <v>65</v>
      </c>
      <c r="K5461" s="26" t="s">
        <v>38</v>
      </c>
      <c r="L5461" s="25"/>
      <c r="M5461" s="49"/>
      <c r="N5461" s="42"/>
      <c r="O5461" s="68"/>
      <c r="P5461" s="35" t="s">
        <v>21986</v>
      </c>
      <c r="Q5461" s="13" t="s">
        <v>75</v>
      </c>
      <c r="R5461" s="13" t="s">
        <v>75</v>
      </c>
      <c r="S5461" s="13"/>
      <c r="T5461" s="44">
        <v>45931.49232252315</v>
      </c>
      <c r="U5461" s="44">
        <v>45936.58946178241</v>
      </c>
      <c r="V5461" s="13"/>
      <c r="W5461" s="11"/>
      <c r="X5461" s="11"/>
      <c r="Y5461" s="45"/>
      <c r="Z5461" s="45"/>
      <c r="AA5461" s="31"/>
      <c r="AB5461" s="45" t="s">
        <v>21987</v>
      </c>
      <c r="AC5461" s="45"/>
    </row>
    <row r="5462" ht="18.75" customHeight="1">
      <c r="A5462" s="32" t="s">
        <v>21988</v>
      </c>
      <c r="B5462" s="19" t="s">
        <v>21989</v>
      </c>
      <c r="C5462" s="20">
        <v>1.0</v>
      </c>
      <c r="D5462" s="39" t="s">
        <v>21990</v>
      </c>
      <c r="E5462" s="27" t="s">
        <v>3395</v>
      </c>
      <c r="F5462" s="27" t="s">
        <v>48</v>
      </c>
      <c r="G5462" s="18" t="s">
        <v>35</v>
      </c>
      <c r="H5462" s="40" t="s">
        <v>35</v>
      </c>
      <c r="I5462" s="37" t="s">
        <v>36</v>
      </c>
      <c r="J5462" s="25" t="s">
        <v>49</v>
      </c>
      <c r="K5462" s="26" t="s">
        <v>1184</v>
      </c>
      <c r="L5462" s="34">
        <v>14028.0</v>
      </c>
      <c r="M5462" s="49" t="s">
        <v>73</v>
      </c>
      <c r="N5462" s="42" t="s">
        <v>17048</v>
      </c>
      <c r="O5462" s="67">
        <v>45929.71207303241</v>
      </c>
      <c r="P5462" s="35" t="s">
        <v>21991</v>
      </c>
      <c r="Q5462" s="13" t="s">
        <v>75</v>
      </c>
      <c r="R5462" s="13" t="s">
        <v>75</v>
      </c>
      <c r="S5462" s="13" t="s">
        <v>73</v>
      </c>
      <c r="T5462" s="44">
        <v>45929.487801006944</v>
      </c>
      <c r="U5462" s="44">
        <v>45929.48847162037</v>
      </c>
      <c r="V5462" s="44">
        <v>45929.56118167824</v>
      </c>
      <c r="W5462" s="11"/>
      <c r="X5462" s="11"/>
      <c r="Y5462" s="45">
        <v>302.0</v>
      </c>
      <c r="Z5462" s="45" t="s">
        <v>21992</v>
      </c>
      <c r="AA5462" s="31"/>
      <c r="AB5462" s="45" t="s">
        <v>21993</v>
      </c>
      <c r="AC5462" s="45"/>
    </row>
    <row r="5463" ht="18.75" customHeight="1">
      <c r="A5463" s="32" t="s">
        <v>21994</v>
      </c>
      <c r="B5463" s="19" t="s">
        <v>21989</v>
      </c>
      <c r="C5463" s="20">
        <v>1.0</v>
      </c>
      <c r="D5463" s="39" t="s">
        <v>21995</v>
      </c>
      <c r="E5463" s="27" t="s">
        <v>3395</v>
      </c>
      <c r="F5463" s="27" t="s">
        <v>48</v>
      </c>
      <c r="G5463" s="18" t="s">
        <v>35</v>
      </c>
      <c r="H5463" s="40" t="s">
        <v>35</v>
      </c>
      <c r="I5463" s="37" t="s">
        <v>36</v>
      </c>
      <c r="J5463" s="25" t="s">
        <v>49</v>
      </c>
      <c r="K5463" s="26" t="s">
        <v>1184</v>
      </c>
      <c r="L5463" s="34">
        <v>14028.0</v>
      </c>
      <c r="M5463" s="49" t="s">
        <v>73</v>
      </c>
      <c r="N5463" s="42" t="s">
        <v>17048</v>
      </c>
      <c r="O5463" s="67">
        <v>45929.71213219907</v>
      </c>
      <c r="P5463" s="35" t="s">
        <v>21991</v>
      </c>
      <c r="Q5463" s="13" t="s">
        <v>75</v>
      </c>
      <c r="R5463" s="13" t="s">
        <v>75</v>
      </c>
      <c r="S5463" s="13" t="s">
        <v>73</v>
      </c>
      <c r="T5463" s="44">
        <v>45929.48776740741</v>
      </c>
      <c r="U5463" s="44">
        <v>45929.488497349535</v>
      </c>
      <c r="V5463" s="44">
        <v>45929.56128296297</v>
      </c>
      <c r="W5463" s="11"/>
      <c r="X5463" s="11"/>
      <c r="Y5463" s="45">
        <v>302.0</v>
      </c>
      <c r="Z5463" s="45" t="s">
        <v>21996</v>
      </c>
      <c r="AA5463" s="31"/>
      <c r="AB5463" s="45" t="s">
        <v>21997</v>
      </c>
      <c r="AC5463" s="45"/>
    </row>
    <row r="5464" ht="18.75" customHeight="1">
      <c r="A5464" s="142" t="s">
        <v>21998</v>
      </c>
      <c r="B5464" s="33" t="s">
        <v>3645</v>
      </c>
      <c r="C5464" s="20">
        <v>137.0</v>
      </c>
      <c r="D5464" s="39" t="s">
        <v>21999</v>
      </c>
      <c r="E5464" s="27" t="s">
        <v>85</v>
      </c>
      <c r="F5464" s="27" t="s">
        <v>48</v>
      </c>
      <c r="G5464" s="18" t="s">
        <v>35</v>
      </c>
      <c r="H5464" s="40" t="s">
        <v>35</v>
      </c>
      <c r="I5464" s="37" t="s">
        <v>36</v>
      </c>
      <c r="J5464" s="25" t="s">
        <v>49</v>
      </c>
      <c r="K5464" s="26" t="s">
        <v>38</v>
      </c>
      <c r="L5464" s="25">
        <v>14055.0</v>
      </c>
      <c r="M5464" s="49" t="s">
        <v>50</v>
      </c>
      <c r="N5464" s="42" t="s">
        <v>17048</v>
      </c>
      <c r="O5464" s="67">
        <v>45932.61689106481</v>
      </c>
      <c r="P5464" s="35" t="s">
        <v>22000</v>
      </c>
      <c r="Q5464" s="13" t="s">
        <v>75</v>
      </c>
      <c r="R5464" s="13" t="s">
        <v>75</v>
      </c>
      <c r="S5464" s="13" t="s">
        <v>73</v>
      </c>
      <c r="T5464" s="44">
        <v>45931.58812478009</v>
      </c>
      <c r="U5464" s="44">
        <v>45932.40573726852</v>
      </c>
      <c r="V5464" s="44">
        <v>45932.43192216435</v>
      </c>
      <c r="W5464" s="11"/>
      <c r="X5464" s="11"/>
      <c r="Y5464" s="45">
        <v>302.0</v>
      </c>
      <c r="Z5464" s="45" t="s">
        <v>22001</v>
      </c>
      <c r="AA5464" s="31"/>
      <c r="AB5464" s="45" t="s">
        <v>22002</v>
      </c>
      <c r="AC5464" s="45"/>
    </row>
    <row r="5465" ht="18.75" customHeight="1">
      <c r="A5465" s="18" t="s">
        <v>22003</v>
      </c>
      <c r="B5465" s="33" t="s">
        <v>3645</v>
      </c>
      <c r="C5465" s="20">
        <v>34.0</v>
      </c>
      <c r="D5465" s="39" t="s">
        <v>22004</v>
      </c>
      <c r="E5465" s="27" t="s">
        <v>47</v>
      </c>
      <c r="F5465" s="27" t="s">
        <v>48</v>
      </c>
      <c r="G5465" s="18" t="s">
        <v>35</v>
      </c>
      <c r="H5465" s="40" t="s">
        <v>35</v>
      </c>
      <c r="I5465" s="37" t="s">
        <v>36</v>
      </c>
      <c r="J5465" s="25" t="s">
        <v>49</v>
      </c>
      <c r="K5465" s="26" t="s">
        <v>38</v>
      </c>
      <c r="L5465" s="25">
        <v>14056.0</v>
      </c>
      <c r="M5465" s="49" t="s">
        <v>50</v>
      </c>
      <c r="N5465" s="42" t="s">
        <v>17048</v>
      </c>
      <c r="O5465" s="67">
        <v>45932.61673819444</v>
      </c>
      <c r="P5465" s="35" t="s">
        <v>22005</v>
      </c>
      <c r="Q5465" s="13" t="s">
        <v>75</v>
      </c>
      <c r="R5465" s="13" t="s">
        <v>75</v>
      </c>
      <c r="S5465" s="13" t="s">
        <v>73</v>
      </c>
      <c r="T5465" s="44">
        <v>45931.58928186343</v>
      </c>
      <c r="U5465" s="44">
        <v>45932.40521225694</v>
      </c>
      <c r="V5465" s="44">
        <v>45932.43034261574</v>
      </c>
      <c r="W5465" s="11"/>
      <c r="X5465" s="11"/>
      <c r="Y5465" s="45">
        <v>302.0</v>
      </c>
      <c r="Z5465" s="45" t="s">
        <v>22006</v>
      </c>
      <c r="AA5465" s="31"/>
      <c r="AB5465" s="45" t="s">
        <v>22007</v>
      </c>
      <c r="AC5465" s="45"/>
    </row>
    <row r="5466" ht="18.75" customHeight="1">
      <c r="A5466" s="18" t="s">
        <v>22008</v>
      </c>
      <c r="B5466" s="33" t="s">
        <v>3645</v>
      </c>
      <c r="C5466" s="20">
        <v>34.0</v>
      </c>
      <c r="D5466" s="39" t="s">
        <v>22009</v>
      </c>
      <c r="E5466" s="27" t="s">
        <v>47</v>
      </c>
      <c r="F5466" s="27" t="s">
        <v>48</v>
      </c>
      <c r="G5466" s="18" t="s">
        <v>35</v>
      </c>
      <c r="H5466" s="40" t="s">
        <v>35</v>
      </c>
      <c r="I5466" s="37" t="s">
        <v>36</v>
      </c>
      <c r="J5466" s="25" t="s">
        <v>49</v>
      </c>
      <c r="K5466" s="26" t="s">
        <v>38</v>
      </c>
      <c r="L5466" s="25">
        <v>14056.0</v>
      </c>
      <c r="M5466" s="49" t="s">
        <v>50</v>
      </c>
      <c r="N5466" s="42" t="s">
        <v>17048</v>
      </c>
      <c r="O5466" s="67">
        <v>45932.61679113426</v>
      </c>
      <c r="P5466" s="35" t="s">
        <v>22005</v>
      </c>
      <c r="Q5466" s="13" t="s">
        <v>75</v>
      </c>
      <c r="R5466" s="13" t="s">
        <v>75</v>
      </c>
      <c r="S5466" s="13" t="s">
        <v>73</v>
      </c>
      <c r="T5466" s="44">
        <v>45931.63782587963</v>
      </c>
      <c r="U5466" s="44">
        <v>45932.405187118056</v>
      </c>
      <c r="V5466" s="44">
        <v>45932.43029625</v>
      </c>
      <c r="W5466" s="11"/>
      <c r="X5466" s="11"/>
      <c r="Y5466" s="45">
        <v>302.0</v>
      </c>
      <c r="Z5466" s="45" t="s">
        <v>22010</v>
      </c>
      <c r="AA5466" s="31"/>
      <c r="AB5466" s="45" t="s">
        <v>22011</v>
      </c>
      <c r="AC5466" s="45"/>
    </row>
    <row r="5467" ht="18.75" customHeight="1">
      <c r="A5467" s="18" t="s">
        <v>22012</v>
      </c>
      <c r="B5467" s="33" t="s">
        <v>3645</v>
      </c>
      <c r="C5467" s="20">
        <v>34.0</v>
      </c>
      <c r="D5467" s="39" t="s">
        <v>22013</v>
      </c>
      <c r="E5467" s="27" t="s">
        <v>47</v>
      </c>
      <c r="F5467" s="27" t="s">
        <v>48</v>
      </c>
      <c r="G5467" s="18" t="s">
        <v>35</v>
      </c>
      <c r="H5467" s="40" t="s">
        <v>35</v>
      </c>
      <c r="I5467" s="37" t="s">
        <v>36</v>
      </c>
      <c r="J5467" s="25" t="s">
        <v>49</v>
      </c>
      <c r="K5467" s="26" t="s">
        <v>38</v>
      </c>
      <c r="L5467" s="25">
        <v>14056.0</v>
      </c>
      <c r="M5467" s="49" t="s">
        <v>50</v>
      </c>
      <c r="N5467" s="42" t="s">
        <v>17048</v>
      </c>
      <c r="O5467" s="67">
        <v>45932.61684202546</v>
      </c>
      <c r="P5467" s="35" t="s">
        <v>22005</v>
      </c>
      <c r="Q5467" s="13" t="s">
        <v>75</v>
      </c>
      <c r="R5467" s="13" t="s">
        <v>75</v>
      </c>
      <c r="S5467" s="13" t="s">
        <v>73</v>
      </c>
      <c r="T5467" s="44">
        <v>45931.58943412037</v>
      </c>
      <c r="U5467" s="44">
        <v>45932.40515987268</v>
      </c>
      <c r="V5467" s="44">
        <v>45932.430251990736</v>
      </c>
      <c r="W5467" s="11"/>
      <c r="X5467" s="11"/>
      <c r="Y5467" s="45">
        <v>302.0</v>
      </c>
      <c r="Z5467" s="45" t="s">
        <v>22014</v>
      </c>
      <c r="AA5467" s="31"/>
      <c r="AB5467" s="45" t="s">
        <v>22015</v>
      </c>
      <c r="AC5467" s="45"/>
    </row>
    <row r="5468" ht="18.75" customHeight="1">
      <c r="A5468" s="18" t="s">
        <v>22016</v>
      </c>
      <c r="B5468" s="33" t="s">
        <v>3645</v>
      </c>
      <c r="C5468" s="20">
        <v>137.0</v>
      </c>
      <c r="D5468" s="39" t="s">
        <v>22017</v>
      </c>
      <c r="E5468" s="27" t="s">
        <v>85</v>
      </c>
      <c r="F5468" s="27" t="s">
        <v>48</v>
      </c>
      <c r="G5468" s="18" t="s">
        <v>35</v>
      </c>
      <c r="H5468" s="40" t="s">
        <v>35</v>
      </c>
      <c r="I5468" s="37" t="s">
        <v>36</v>
      </c>
      <c r="J5468" s="25" t="s">
        <v>49</v>
      </c>
      <c r="K5468" s="26" t="s">
        <v>38</v>
      </c>
      <c r="L5468" s="25">
        <v>14056.0</v>
      </c>
      <c r="M5468" s="49" t="s">
        <v>50</v>
      </c>
      <c r="N5468" s="42" t="s">
        <v>17048</v>
      </c>
      <c r="O5468" s="67">
        <v>45932.61663386574</v>
      </c>
      <c r="P5468" s="35" t="s">
        <v>22005</v>
      </c>
      <c r="Q5468" s="13" t="s">
        <v>75</v>
      </c>
      <c r="R5468" s="13" t="s">
        <v>75</v>
      </c>
      <c r="S5468" s="13" t="s">
        <v>73</v>
      </c>
      <c r="T5468" s="44">
        <v>45931.58955657408</v>
      </c>
      <c r="U5468" s="44">
        <v>45932.405269780094</v>
      </c>
      <c r="V5468" s="44">
        <v>45932.43184938657</v>
      </c>
      <c r="W5468" s="11"/>
      <c r="X5468" s="11"/>
      <c r="Y5468" s="45">
        <v>302.0</v>
      </c>
      <c r="Z5468" s="45" t="s">
        <v>22018</v>
      </c>
      <c r="AA5468" s="31"/>
      <c r="AB5468" s="45" t="s">
        <v>22019</v>
      </c>
      <c r="AC5468" s="45"/>
    </row>
    <row r="5469" ht="18.75" customHeight="1">
      <c r="A5469" s="18" t="s">
        <v>22020</v>
      </c>
      <c r="B5469" s="33" t="s">
        <v>3645</v>
      </c>
      <c r="C5469" s="20">
        <v>137.0</v>
      </c>
      <c r="D5469" s="39" t="s">
        <v>22021</v>
      </c>
      <c r="E5469" s="27" t="s">
        <v>85</v>
      </c>
      <c r="F5469" s="27" t="s">
        <v>48</v>
      </c>
      <c r="G5469" s="18" t="s">
        <v>35</v>
      </c>
      <c r="H5469" s="40" t="s">
        <v>35</v>
      </c>
      <c r="I5469" s="37" t="s">
        <v>36</v>
      </c>
      <c r="J5469" s="25" t="s">
        <v>49</v>
      </c>
      <c r="K5469" s="26" t="s">
        <v>38</v>
      </c>
      <c r="L5469" s="25">
        <v>14056.0</v>
      </c>
      <c r="M5469" s="49" t="s">
        <v>50</v>
      </c>
      <c r="N5469" s="42" t="s">
        <v>17048</v>
      </c>
      <c r="O5469" s="67">
        <v>45932.616684444445</v>
      </c>
      <c r="P5469" s="35" t="s">
        <v>22005</v>
      </c>
      <c r="Q5469" s="13" t="s">
        <v>75</v>
      </c>
      <c r="R5469" s="13" t="s">
        <v>75</v>
      </c>
      <c r="S5469" s="13" t="s">
        <v>73</v>
      </c>
      <c r="T5469" s="44">
        <v>45931.58967789352</v>
      </c>
      <c r="U5469" s="44">
        <v>45932.40523376157</v>
      </c>
      <c r="V5469" s="44">
        <v>45932.43040482639</v>
      </c>
      <c r="W5469" s="11"/>
      <c r="X5469" s="11"/>
      <c r="Y5469" s="45">
        <v>302.0</v>
      </c>
      <c r="Z5469" s="45" t="s">
        <v>22022</v>
      </c>
      <c r="AA5469" s="31"/>
      <c r="AB5469" s="45" t="s">
        <v>22023</v>
      </c>
      <c r="AC5469" s="45"/>
    </row>
    <row r="5470" ht="18.75" customHeight="1">
      <c r="A5470" s="142" t="s">
        <v>22024</v>
      </c>
      <c r="B5470" s="33" t="s">
        <v>4450</v>
      </c>
      <c r="C5470" s="20">
        <v>137.0</v>
      </c>
      <c r="D5470" s="39"/>
      <c r="E5470" s="27" t="s">
        <v>85</v>
      </c>
      <c r="F5470" s="27" t="s">
        <v>48</v>
      </c>
      <c r="G5470" s="18" t="s">
        <v>35</v>
      </c>
      <c r="H5470" s="40" t="s">
        <v>35</v>
      </c>
      <c r="I5470" s="37" t="s">
        <v>20664</v>
      </c>
      <c r="J5470" s="25" t="s">
        <v>420</v>
      </c>
      <c r="K5470" s="26" t="s">
        <v>38</v>
      </c>
      <c r="L5470" s="25"/>
      <c r="M5470" s="49"/>
      <c r="N5470" s="42"/>
      <c r="O5470" s="68"/>
      <c r="P5470" s="35" t="s">
        <v>22025</v>
      </c>
      <c r="Q5470" s="13" t="s">
        <v>67</v>
      </c>
      <c r="R5470" s="13" t="s">
        <v>67</v>
      </c>
      <c r="S5470" s="13"/>
      <c r="T5470" s="44">
        <v>45931.65867958333</v>
      </c>
      <c r="U5470" s="13"/>
      <c r="V5470" s="13"/>
      <c r="W5470" s="11"/>
      <c r="X5470" s="11"/>
      <c r="Y5470" s="45"/>
      <c r="Z5470" s="45"/>
      <c r="AA5470" s="31"/>
      <c r="AB5470" s="45" t="s">
        <v>22026</v>
      </c>
      <c r="AC5470" s="45"/>
    </row>
    <row r="5471" ht="18.75" customHeight="1">
      <c r="A5471" s="142" t="s">
        <v>22027</v>
      </c>
      <c r="B5471" s="33" t="s">
        <v>22028</v>
      </c>
      <c r="C5471" s="20">
        <v>11.0</v>
      </c>
      <c r="D5471" s="39" t="s">
        <v>22029</v>
      </c>
      <c r="E5471" s="27" t="s">
        <v>112</v>
      </c>
      <c r="F5471" s="27" t="s">
        <v>48</v>
      </c>
      <c r="G5471" s="18" t="s">
        <v>35</v>
      </c>
      <c r="H5471" s="40" t="s">
        <v>35</v>
      </c>
      <c r="I5471" s="37" t="s">
        <v>36</v>
      </c>
      <c r="J5471" s="25" t="s">
        <v>49</v>
      </c>
      <c r="K5471" s="26" t="s">
        <v>38</v>
      </c>
      <c r="L5471" s="25">
        <v>14198.0</v>
      </c>
      <c r="M5471" s="49" t="s">
        <v>50</v>
      </c>
      <c r="N5471" s="42" t="s">
        <v>9953</v>
      </c>
      <c r="O5471" s="67">
        <v>45950.65463203704</v>
      </c>
      <c r="P5471" s="35" t="s">
        <v>22030</v>
      </c>
      <c r="Q5471" s="13" t="s">
        <v>75</v>
      </c>
      <c r="R5471" s="13" t="s">
        <v>75</v>
      </c>
      <c r="S5471" s="13" t="s">
        <v>73</v>
      </c>
      <c r="T5471" s="44">
        <v>45932.41642030093</v>
      </c>
      <c r="U5471" s="44">
        <v>45944.62962840278</v>
      </c>
      <c r="V5471" s="44">
        <v>45950.46647622685</v>
      </c>
      <c r="W5471" s="11"/>
      <c r="X5471" s="11"/>
      <c r="Y5471" s="45">
        <v>302.0</v>
      </c>
      <c r="Z5471" s="45" t="s">
        <v>22031</v>
      </c>
      <c r="AA5471" s="31"/>
      <c r="AB5471" s="45" t="s">
        <v>22032</v>
      </c>
      <c r="AC5471" s="45"/>
    </row>
    <row r="5472" ht="18.75" customHeight="1">
      <c r="A5472" s="142" t="s">
        <v>22033</v>
      </c>
      <c r="B5472" s="33" t="s">
        <v>2209</v>
      </c>
      <c r="C5472" s="20">
        <v>34.0</v>
      </c>
      <c r="D5472" s="39" t="s">
        <v>22034</v>
      </c>
      <c r="E5472" s="27" t="s">
        <v>47</v>
      </c>
      <c r="F5472" s="27" t="s">
        <v>48</v>
      </c>
      <c r="G5472" s="18" t="s">
        <v>35</v>
      </c>
      <c r="H5472" s="40" t="s">
        <v>35</v>
      </c>
      <c r="I5472" s="37" t="s">
        <v>36</v>
      </c>
      <c r="J5472" s="25" t="s">
        <v>420</v>
      </c>
      <c r="K5472" s="26" t="s">
        <v>38</v>
      </c>
      <c r="L5472" s="25">
        <v>14057.0</v>
      </c>
      <c r="M5472" s="49" t="s">
        <v>50</v>
      </c>
      <c r="N5472" s="42" t="s">
        <v>14288</v>
      </c>
      <c r="O5472" s="67">
        <v>45933.468016307874</v>
      </c>
      <c r="P5472" s="35" t="s">
        <v>22035</v>
      </c>
      <c r="Q5472" s="13" t="s">
        <v>67</v>
      </c>
      <c r="R5472" s="13" t="s">
        <v>67</v>
      </c>
      <c r="S5472" s="13" t="s">
        <v>73</v>
      </c>
      <c r="T5472" s="44">
        <v>45932.442902511575</v>
      </c>
      <c r="U5472" s="44">
        <v>45932.469050300926</v>
      </c>
      <c r="V5472" s="44">
        <v>45932.480173703705</v>
      </c>
      <c r="W5472" s="11"/>
      <c r="X5472" s="11"/>
      <c r="Y5472" s="45">
        <v>302.0</v>
      </c>
      <c r="Z5472" s="45" t="s">
        <v>22036</v>
      </c>
      <c r="AA5472" s="31"/>
      <c r="AB5472" s="45" t="s">
        <v>22037</v>
      </c>
      <c r="AC5472" s="45"/>
    </row>
    <row r="5473" ht="18.75" customHeight="1">
      <c r="A5473" s="142" t="s">
        <v>22038</v>
      </c>
      <c r="B5473" s="33" t="s">
        <v>11366</v>
      </c>
      <c r="C5473" s="20">
        <v>34.0</v>
      </c>
      <c r="D5473" s="39" t="s">
        <v>22039</v>
      </c>
      <c r="E5473" s="27" t="s">
        <v>47</v>
      </c>
      <c r="F5473" s="27" t="s">
        <v>48</v>
      </c>
      <c r="G5473" s="18" t="s">
        <v>35</v>
      </c>
      <c r="H5473" s="40" t="s">
        <v>35</v>
      </c>
      <c r="I5473" s="37" t="s">
        <v>36</v>
      </c>
      <c r="J5473" s="25" t="s">
        <v>65</v>
      </c>
      <c r="K5473" s="26" t="s">
        <v>38</v>
      </c>
      <c r="L5473" s="25">
        <v>14114.0</v>
      </c>
      <c r="M5473" s="49" t="s">
        <v>50</v>
      </c>
      <c r="N5473" s="42" t="s">
        <v>16408</v>
      </c>
      <c r="O5473" s="67">
        <v>45939.64027777778</v>
      </c>
      <c r="P5473" s="35" t="s">
        <v>14372</v>
      </c>
      <c r="Q5473" s="13" t="s">
        <v>75</v>
      </c>
      <c r="R5473" s="13" t="s">
        <v>75</v>
      </c>
      <c r="S5473" s="13" t="s">
        <v>73</v>
      </c>
      <c r="T5473" s="44">
        <v>45932.60028971065</v>
      </c>
      <c r="U5473" s="44">
        <v>45938.704287025466</v>
      </c>
      <c r="V5473" s="44">
        <v>45939.4347634838</v>
      </c>
      <c r="W5473" s="11"/>
      <c r="X5473" s="11"/>
      <c r="Y5473" s="45">
        <v>302.0</v>
      </c>
      <c r="Z5473" s="45" t="s">
        <v>22040</v>
      </c>
      <c r="AA5473" s="31"/>
      <c r="AB5473" s="45" t="s">
        <v>22041</v>
      </c>
      <c r="AC5473" s="45"/>
    </row>
    <row r="5474" ht="18.75" customHeight="1">
      <c r="A5474" s="142" t="s">
        <v>22042</v>
      </c>
      <c r="B5474" s="33" t="s">
        <v>12133</v>
      </c>
      <c r="C5474" s="20">
        <v>1.0</v>
      </c>
      <c r="D5474" s="39"/>
      <c r="E5474" s="27" t="s">
        <v>3395</v>
      </c>
      <c r="F5474" s="27" t="s">
        <v>48</v>
      </c>
      <c r="G5474" s="18" t="s">
        <v>35</v>
      </c>
      <c r="H5474" s="40" t="s">
        <v>35</v>
      </c>
      <c r="I5474" s="37" t="s">
        <v>17277</v>
      </c>
      <c r="J5474" s="25" t="s">
        <v>65</v>
      </c>
      <c r="K5474" s="26" t="s">
        <v>38</v>
      </c>
      <c r="L5474" s="25"/>
      <c r="M5474" s="49"/>
      <c r="N5474" s="42"/>
      <c r="O5474" s="68"/>
      <c r="P5474" s="35" t="s">
        <v>22043</v>
      </c>
      <c r="Q5474" s="13" t="s">
        <v>75</v>
      </c>
      <c r="R5474" s="13" t="s">
        <v>75</v>
      </c>
      <c r="S5474" s="13"/>
      <c r="T5474" s="44">
        <v>45932.60118167824</v>
      </c>
      <c r="U5474" s="13"/>
      <c r="V5474" s="13"/>
      <c r="W5474" s="11"/>
      <c r="X5474" s="11"/>
      <c r="Y5474" s="45"/>
      <c r="Z5474" s="45"/>
      <c r="AA5474" s="31"/>
      <c r="AB5474" s="45" t="s">
        <v>22044</v>
      </c>
      <c r="AC5474" s="45"/>
    </row>
    <row r="5475" ht="18.75" customHeight="1">
      <c r="A5475" s="18" t="s">
        <v>22045</v>
      </c>
      <c r="B5475" s="33" t="s">
        <v>3888</v>
      </c>
      <c r="C5475" s="20">
        <v>0.0</v>
      </c>
      <c r="D5475" s="39"/>
      <c r="E5475" s="27" t="s">
        <v>3441</v>
      </c>
      <c r="F5475" s="27" t="s">
        <v>48</v>
      </c>
      <c r="G5475" s="18" t="s">
        <v>35</v>
      </c>
      <c r="H5475" s="40" t="s">
        <v>35</v>
      </c>
      <c r="I5475" s="37" t="s">
        <v>18314</v>
      </c>
      <c r="J5475" s="25" t="s">
        <v>49</v>
      </c>
      <c r="K5475" s="26" t="s">
        <v>22046</v>
      </c>
      <c r="L5475" s="25"/>
      <c r="M5475" s="49"/>
      <c r="N5475" s="42"/>
      <c r="O5475" s="68"/>
      <c r="P5475" s="35" t="s">
        <v>22047</v>
      </c>
      <c r="Q5475" s="13" t="s">
        <v>67</v>
      </c>
      <c r="R5475" s="13" t="s">
        <v>67</v>
      </c>
      <c r="S5475" s="13"/>
      <c r="T5475" s="44">
        <v>45932.461415196754</v>
      </c>
      <c r="U5475" s="44">
        <v>45932.59276413194</v>
      </c>
      <c r="V5475" s="13"/>
      <c r="W5475" s="11"/>
      <c r="X5475" s="11"/>
      <c r="Y5475" s="45"/>
      <c r="Z5475" s="45"/>
      <c r="AA5475" s="31"/>
      <c r="AB5475" s="45" t="s">
        <v>22048</v>
      </c>
      <c r="AC5475" s="45"/>
    </row>
    <row r="5476" ht="18.75" customHeight="1">
      <c r="A5476" s="18" t="s">
        <v>22049</v>
      </c>
      <c r="B5476" s="33" t="s">
        <v>3888</v>
      </c>
      <c r="C5476" s="20">
        <v>137.0</v>
      </c>
      <c r="D5476" s="39" t="s">
        <v>22050</v>
      </c>
      <c r="E5476" s="27" t="s">
        <v>85</v>
      </c>
      <c r="F5476" s="27" t="s">
        <v>48</v>
      </c>
      <c r="G5476" s="18" t="s">
        <v>35</v>
      </c>
      <c r="H5476" s="40" t="s">
        <v>35</v>
      </c>
      <c r="I5476" s="37" t="s">
        <v>36</v>
      </c>
      <c r="J5476" s="25" t="s">
        <v>49</v>
      </c>
      <c r="K5476" s="26" t="s">
        <v>22046</v>
      </c>
      <c r="L5476" s="25">
        <v>14066.0</v>
      </c>
      <c r="M5476" s="49" t="s">
        <v>50</v>
      </c>
      <c r="N5476" s="42" t="s">
        <v>17048</v>
      </c>
      <c r="O5476" s="67">
        <v>45933.66248295139</v>
      </c>
      <c r="P5476" s="35" t="s">
        <v>22047</v>
      </c>
      <c r="Q5476" s="13" t="s">
        <v>67</v>
      </c>
      <c r="R5476" s="13" t="s">
        <v>67</v>
      </c>
      <c r="S5476" s="13" t="s">
        <v>73</v>
      </c>
      <c r="T5476" s="44">
        <v>45932.46171525463</v>
      </c>
      <c r="U5476" s="44">
        <v>45932.59285644676</v>
      </c>
      <c r="V5476" s="44">
        <v>45933.45445478009</v>
      </c>
      <c r="W5476" s="11"/>
      <c r="X5476" s="11"/>
      <c r="Y5476" s="45">
        <v>302.0</v>
      </c>
      <c r="Z5476" s="45" t="s">
        <v>22051</v>
      </c>
      <c r="AA5476" s="31"/>
      <c r="AB5476" s="45" t="s">
        <v>22052</v>
      </c>
      <c r="AC5476" s="45"/>
    </row>
    <row r="5477" ht="18.75" customHeight="1">
      <c r="A5477" s="142" t="s">
        <v>22053</v>
      </c>
      <c r="B5477" s="33" t="s">
        <v>21409</v>
      </c>
      <c r="C5477" s="20">
        <v>90.0</v>
      </c>
      <c r="D5477" s="39" t="s">
        <v>22054</v>
      </c>
      <c r="E5477" s="27" t="s">
        <v>91</v>
      </c>
      <c r="F5477" s="27" t="s">
        <v>48</v>
      </c>
      <c r="G5477" s="18" t="s">
        <v>35</v>
      </c>
      <c r="H5477" s="40" t="s">
        <v>35</v>
      </c>
      <c r="I5477" s="37" t="s">
        <v>36</v>
      </c>
      <c r="J5477" s="25" t="s">
        <v>65</v>
      </c>
      <c r="K5477" s="26" t="s">
        <v>38</v>
      </c>
      <c r="L5477" s="25">
        <v>14069.0</v>
      </c>
      <c r="M5477" s="49" t="s">
        <v>50</v>
      </c>
      <c r="N5477" s="42" t="s">
        <v>16408</v>
      </c>
      <c r="O5477" s="67">
        <v>45933.621456168985</v>
      </c>
      <c r="P5477" s="35" t="s">
        <v>15829</v>
      </c>
      <c r="Q5477" s="13" t="s">
        <v>75</v>
      </c>
      <c r="R5477" s="13" t="s">
        <v>75</v>
      </c>
      <c r="S5477" s="13" t="s">
        <v>73</v>
      </c>
      <c r="T5477" s="44">
        <v>45932.602773391205</v>
      </c>
      <c r="U5477" s="44">
        <v>45932.65164697917</v>
      </c>
      <c r="V5477" s="44">
        <v>45933.454964131946</v>
      </c>
      <c r="W5477" s="11"/>
      <c r="X5477" s="11"/>
      <c r="Y5477" s="45">
        <v>302.0</v>
      </c>
      <c r="Z5477" s="45" t="s">
        <v>22055</v>
      </c>
      <c r="AA5477" s="31"/>
      <c r="AB5477" s="45" t="s">
        <v>22056</v>
      </c>
      <c r="AC5477" s="45"/>
    </row>
    <row r="5478" ht="18.75" customHeight="1">
      <c r="A5478" s="142" t="s">
        <v>22057</v>
      </c>
      <c r="B5478" s="33" t="s">
        <v>8426</v>
      </c>
      <c r="C5478" s="20">
        <v>0.0</v>
      </c>
      <c r="D5478" s="179">
        <v>20346.0</v>
      </c>
      <c r="E5478" s="27" t="s">
        <v>32</v>
      </c>
      <c r="F5478" s="27" t="s">
        <v>33</v>
      </c>
      <c r="G5478" s="18" t="s">
        <v>35</v>
      </c>
      <c r="H5478" s="40" t="s">
        <v>35</v>
      </c>
      <c r="I5478" s="37" t="s">
        <v>36</v>
      </c>
      <c r="J5478" s="25" t="s">
        <v>49</v>
      </c>
      <c r="K5478" s="26" t="s">
        <v>38</v>
      </c>
      <c r="L5478" s="25">
        <v>14151.0</v>
      </c>
      <c r="M5478" s="49" t="s">
        <v>50</v>
      </c>
      <c r="N5478" s="42" t="s">
        <v>18561</v>
      </c>
      <c r="O5478" s="67">
        <v>45945.61323142362</v>
      </c>
      <c r="P5478" s="35" t="s">
        <v>22058</v>
      </c>
      <c r="Q5478" s="13" t="s">
        <v>75</v>
      </c>
      <c r="R5478" s="13" t="s">
        <v>75</v>
      </c>
      <c r="S5478" s="13" t="s">
        <v>9620</v>
      </c>
      <c r="T5478" s="44">
        <v>45933.3844740162</v>
      </c>
      <c r="U5478" s="44">
        <v>45933.4213475</v>
      </c>
      <c r="V5478" s="44">
        <v>45940.48133912037</v>
      </c>
      <c r="W5478" s="11"/>
      <c r="X5478" s="11"/>
      <c r="Y5478" s="45">
        <v>302.0</v>
      </c>
      <c r="Z5478" s="45" t="s">
        <v>22059</v>
      </c>
      <c r="AA5478" s="31"/>
      <c r="AB5478" s="45" t="s">
        <v>22060</v>
      </c>
      <c r="AC5478" s="45"/>
    </row>
    <row r="5479" ht="18.75" customHeight="1">
      <c r="A5479" s="142" t="s">
        <v>22061</v>
      </c>
      <c r="B5479" s="33" t="s">
        <v>22062</v>
      </c>
      <c r="C5479" s="20">
        <v>33.0</v>
      </c>
      <c r="D5479" s="39" t="s">
        <v>22063</v>
      </c>
      <c r="E5479" s="27" t="s">
        <v>6133</v>
      </c>
      <c r="F5479" s="27" t="s">
        <v>48</v>
      </c>
      <c r="G5479" s="18" t="s">
        <v>35</v>
      </c>
      <c r="H5479" s="40" t="s">
        <v>35</v>
      </c>
      <c r="I5479" s="37" t="s">
        <v>36</v>
      </c>
      <c r="J5479" s="25" t="s">
        <v>49</v>
      </c>
      <c r="K5479" s="26" t="s">
        <v>16881</v>
      </c>
      <c r="L5479" s="25">
        <v>14085.0</v>
      </c>
      <c r="M5479" s="49" t="s">
        <v>50</v>
      </c>
      <c r="N5479" s="42" t="s">
        <v>17048</v>
      </c>
      <c r="O5479" s="67">
        <v>45938.61272005787</v>
      </c>
      <c r="P5479" s="35" t="s">
        <v>22064</v>
      </c>
      <c r="Q5479" s="13" t="s">
        <v>67</v>
      </c>
      <c r="R5479" s="13" t="s">
        <v>67</v>
      </c>
      <c r="S5479" s="13" t="s">
        <v>73</v>
      </c>
      <c r="T5479" s="44">
        <v>45932.68791368055</v>
      </c>
      <c r="U5479" s="44">
        <v>45937.70672045139</v>
      </c>
      <c r="V5479" s="44">
        <v>45938.424118483796</v>
      </c>
      <c r="W5479" s="11"/>
      <c r="X5479" s="11"/>
      <c r="Y5479" s="45">
        <v>302.0</v>
      </c>
      <c r="Z5479" s="45" t="s">
        <v>22065</v>
      </c>
      <c r="AA5479" s="31"/>
      <c r="AB5479" s="45" t="s">
        <v>22066</v>
      </c>
      <c r="AC5479" s="45"/>
    </row>
    <row r="5480" ht="18.75" customHeight="1">
      <c r="A5480" s="142" t="s">
        <v>22067</v>
      </c>
      <c r="B5480" s="33" t="s">
        <v>14075</v>
      </c>
      <c r="C5480" s="20">
        <v>34.0</v>
      </c>
      <c r="D5480" s="39" t="s">
        <v>22068</v>
      </c>
      <c r="E5480" s="27" t="s">
        <v>47</v>
      </c>
      <c r="F5480" s="27" t="s">
        <v>48</v>
      </c>
      <c r="G5480" s="18" t="s">
        <v>35</v>
      </c>
      <c r="H5480" s="40" t="s">
        <v>35</v>
      </c>
      <c r="I5480" s="37" t="s">
        <v>36</v>
      </c>
      <c r="J5480" s="25" t="s">
        <v>49</v>
      </c>
      <c r="K5480" s="26" t="s">
        <v>38</v>
      </c>
      <c r="L5480" s="25">
        <v>14067.0</v>
      </c>
      <c r="M5480" s="49" t="s">
        <v>50</v>
      </c>
      <c r="N5480" s="42" t="s">
        <v>17048</v>
      </c>
      <c r="O5480" s="67">
        <v>45933.66243645833</v>
      </c>
      <c r="P5480" s="35" t="s">
        <v>15666</v>
      </c>
      <c r="Q5480" s="13" t="s">
        <v>75</v>
      </c>
      <c r="R5480" s="13" t="s">
        <v>75</v>
      </c>
      <c r="S5480" s="13" t="s">
        <v>73</v>
      </c>
      <c r="T5480" s="44">
        <v>45933.420891180554</v>
      </c>
      <c r="U5480" s="44">
        <v>45933.42093201389</v>
      </c>
      <c r="V5480" s="44">
        <v>45933.454507939816</v>
      </c>
      <c r="W5480" s="11"/>
      <c r="X5480" s="11"/>
      <c r="Y5480" s="45">
        <v>302.0</v>
      </c>
      <c r="Z5480" s="45" t="s">
        <v>22069</v>
      </c>
      <c r="AA5480" s="31"/>
      <c r="AB5480" s="45" t="s">
        <v>22070</v>
      </c>
      <c r="AC5480" s="45"/>
    </row>
    <row r="5481" ht="18.75" customHeight="1">
      <c r="A5481" s="142" t="s">
        <v>22071</v>
      </c>
      <c r="B5481" s="33" t="s">
        <v>17819</v>
      </c>
      <c r="C5481" s="20">
        <v>27.0</v>
      </c>
      <c r="D5481" s="39" t="s">
        <v>22072</v>
      </c>
      <c r="E5481" s="27" t="s">
        <v>72</v>
      </c>
      <c r="F5481" s="27" t="s">
        <v>48</v>
      </c>
      <c r="G5481" s="18" t="s">
        <v>35</v>
      </c>
      <c r="H5481" s="40" t="s">
        <v>35</v>
      </c>
      <c r="I5481" s="37" t="s">
        <v>36</v>
      </c>
      <c r="J5481" s="25" t="s">
        <v>92</v>
      </c>
      <c r="K5481" s="26" t="s">
        <v>38</v>
      </c>
      <c r="L5481" s="25">
        <v>14068.0</v>
      </c>
      <c r="M5481" s="49" t="s">
        <v>50</v>
      </c>
      <c r="N5481" s="42" t="s">
        <v>7145</v>
      </c>
      <c r="O5481" s="67">
        <v>45936.336805555555</v>
      </c>
      <c r="P5481" s="26" t="s">
        <v>22073</v>
      </c>
      <c r="Q5481" s="13" t="s">
        <v>75</v>
      </c>
      <c r="R5481" s="13" t="s">
        <v>75</v>
      </c>
      <c r="S5481" s="13" t="s">
        <v>73</v>
      </c>
      <c r="T5481" s="44">
        <v>45933.375183321754</v>
      </c>
      <c r="U5481" s="44">
        <v>45933.37638861111</v>
      </c>
      <c r="V5481" s="44">
        <v>45933.456483807866</v>
      </c>
      <c r="W5481" s="11"/>
      <c r="X5481" s="11"/>
      <c r="Y5481" s="45">
        <v>302.0</v>
      </c>
      <c r="Z5481" s="45" t="s">
        <v>22074</v>
      </c>
      <c r="AA5481" s="31"/>
      <c r="AB5481" s="45" t="s">
        <v>22075</v>
      </c>
      <c r="AC5481" s="45"/>
    </row>
    <row r="5482" ht="18.75" customHeight="1">
      <c r="A5482" s="142" t="s">
        <v>22076</v>
      </c>
      <c r="B5482" s="33" t="s">
        <v>17025</v>
      </c>
      <c r="C5482" s="20">
        <v>90.0</v>
      </c>
      <c r="D5482" s="39" t="s">
        <v>22077</v>
      </c>
      <c r="E5482" s="27" t="s">
        <v>91</v>
      </c>
      <c r="F5482" s="27" t="s">
        <v>48</v>
      </c>
      <c r="G5482" s="18" t="s">
        <v>35</v>
      </c>
      <c r="H5482" s="40" t="s">
        <v>35</v>
      </c>
      <c r="I5482" s="37" t="s">
        <v>36</v>
      </c>
      <c r="J5482" s="25" t="s">
        <v>49</v>
      </c>
      <c r="K5482" s="26" t="s">
        <v>38</v>
      </c>
      <c r="L5482" s="25">
        <v>14075.0</v>
      </c>
      <c r="M5482" s="49" t="s">
        <v>73</v>
      </c>
      <c r="N5482" s="42" t="s">
        <v>17048</v>
      </c>
      <c r="O5482" s="67">
        <v>45936.70883553241</v>
      </c>
      <c r="P5482" s="35" t="s">
        <v>15594</v>
      </c>
      <c r="Q5482" s="13" t="s">
        <v>75</v>
      </c>
      <c r="R5482" s="13" t="s">
        <v>75</v>
      </c>
      <c r="S5482" s="13" t="s">
        <v>73</v>
      </c>
      <c r="T5482" s="44">
        <v>45936.4701394213</v>
      </c>
      <c r="U5482" s="44">
        <v>45936.470245115735</v>
      </c>
      <c r="V5482" s="44">
        <v>45936.47531185186</v>
      </c>
      <c r="W5482" s="11"/>
      <c r="X5482" s="11"/>
      <c r="Y5482" s="45">
        <v>302.0</v>
      </c>
      <c r="Z5482" s="45" t="s">
        <v>22078</v>
      </c>
      <c r="AA5482" s="31"/>
      <c r="AB5482" s="45" t="s">
        <v>22079</v>
      </c>
      <c r="AC5482" s="45"/>
    </row>
    <row r="5483" ht="18.75" customHeight="1">
      <c r="A5483" s="142" t="s">
        <v>22080</v>
      </c>
      <c r="B5483" s="33" t="s">
        <v>3289</v>
      </c>
      <c r="C5483" s="20">
        <v>11.0</v>
      </c>
      <c r="D5483" s="39" t="s">
        <v>22081</v>
      </c>
      <c r="E5483" s="27" t="s">
        <v>112</v>
      </c>
      <c r="F5483" s="27" t="s">
        <v>48</v>
      </c>
      <c r="G5483" s="18" t="s">
        <v>35</v>
      </c>
      <c r="H5483" s="40" t="s">
        <v>35</v>
      </c>
      <c r="I5483" s="37" t="s">
        <v>36</v>
      </c>
      <c r="J5483" s="25" t="s">
        <v>92</v>
      </c>
      <c r="K5483" s="26" t="s">
        <v>38</v>
      </c>
      <c r="L5483" s="25">
        <v>14078.0</v>
      </c>
      <c r="M5483" s="49" t="s">
        <v>50</v>
      </c>
      <c r="N5483" s="42" t="s">
        <v>4362</v>
      </c>
      <c r="O5483" s="67">
        <v>45943.641274699075</v>
      </c>
      <c r="P5483" s="35" t="s">
        <v>22082</v>
      </c>
      <c r="Q5483" s="13" t="s">
        <v>67</v>
      </c>
      <c r="R5483" s="13" t="s">
        <v>67</v>
      </c>
      <c r="S5483" s="13" t="s">
        <v>73</v>
      </c>
      <c r="T5483" s="44">
        <v>45936.4365159838</v>
      </c>
      <c r="U5483" s="44">
        <v>45936.64857611111</v>
      </c>
      <c r="V5483" s="44">
        <v>45937.43086331019</v>
      </c>
      <c r="W5483" s="11"/>
      <c r="X5483" s="11"/>
      <c r="Y5483" s="45">
        <v>302.0</v>
      </c>
      <c r="Z5483" s="45" t="s">
        <v>22083</v>
      </c>
      <c r="AA5483" s="31"/>
      <c r="AB5483" s="45" t="s">
        <v>22084</v>
      </c>
      <c r="AC5483" s="45"/>
    </row>
    <row r="5484" ht="18.75" customHeight="1">
      <c r="A5484" s="142" t="s">
        <v>22085</v>
      </c>
      <c r="B5484" s="33" t="s">
        <v>7703</v>
      </c>
      <c r="C5484" s="20">
        <v>90.0</v>
      </c>
      <c r="D5484" s="39" t="s">
        <v>22086</v>
      </c>
      <c r="E5484" s="27" t="s">
        <v>91</v>
      </c>
      <c r="F5484" s="27" t="s">
        <v>48</v>
      </c>
      <c r="G5484" s="18" t="s">
        <v>35</v>
      </c>
      <c r="H5484" s="40" t="s">
        <v>35</v>
      </c>
      <c r="I5484" s="37" t="s">
        <v>36</v>
      </c>
      <c r="J5484" s="25" t="s">
        <v>65</v>
      </c>
      <c r="K5484" s="26" t="s">
        <v>38</v>
      </c>
      <c r="L5484" s="25">
        <v>14086.0</v>
      </c>
      <c r="M5484" s="49" t="s">
        <v>50</v>
      </c>
      <c r="N5484" s="42" t="s">
        <v>16408</v>
      </c>
      <c r="O5484" s="67">
        <v>45938.62898689815</v>
      </c>
      <c r="P5484" s="35" t="s">
        <v>22087</v>
      </c>
      <c r="Q5484" s="13" t="s">
        <v>67</v>
      </c>
      <c r="R5484" s="13" t="s">
        <v>67</v>
      </c>
      <c r="S5484" s="13" t="s">
        <v>73</v>
      </c>
      <c r="T5484" s="44">
        <v>45936.43787087963</v>
      </c>
      <c r="U5484" s="44">
        <v>45937.680948113426</v>
      </c>
      <c r="V5484" s="44">
        <v>45938.42993704861</v>
      </c>
      <c r="W5484" s="11"/>
      <c r="X5484" s="11"/>
      <c r="Y5484" s="45">
        <v>200.0</v>
      </c>
      <c r="Z5484" s="45" t="s">
        <v>22088</v>
      </c>
      <c r="AA5484" s="31"/>
      <c r="AB5484" s="218" t="s">
        <v>22089</v>
      </c>
      <c r="AC5484" s="45"/>
    </row>
    <row r="5485" ht="18.75" customHeight="1">
      <c r="A5485" s="18" t="s">
        <v>22090</v>
      </c>
      <c r="B5485" s="33" t="s">
        <v>880</v>
      </c>
      <c r="C5485" s="20">
        <v>90.0</v>
      </c>
      <c r="D5485" s="39"/>
      <c r="E5485" s="27" t="s">
        <v>91</v>
      </c>
      <c r="F5485" s="27" t="s">
        <v>48</v>
      </c>
      <c r="G5485" s="18" t="s">
        <v>35</v>
      </c>
      <c r="H5485" s="40" t="s">
        <v>35</v>
      </c>
      <c r="I5485" s="37" t="s">
        <v>17277</v>
      </c>
      <c r="J5485" s="25" t="s">
        <v>65</v>
      </c>
      <c r="K5485" s="26" t="s">
        <v>38</v>
      </c>
      <c r="L5485" s="25"/>
      <c r="M5485" s="49"/>
      <c r="N5485" s="42"/>
      <c r="O5485" s="68"/>
      <c r="P5485" s="35" t="s">
        <v>15829</v>
      </c>
      <c r="Q5485" s="13" t="s">
        <v>75</v>
      </c>
      <c r="R5485" s="13" t="s">
        <v>75</v>
      </c>
      <c r="S5485" s="13"/>
      <c r="T5485" s="44">
        <v>45936.43430331019</v>
      </c>
      <c r="U5485" s="13"/>
      <c r="V5485" s="13"/>
      <c r="W5485" s="11"/>
      <c r="X5485" s="11"/>
      <c r="Y5485" s="45"/>
      <c r="Z5485" s="45"/>
      <c r="AA5485" s="31"/>
      <c r="AB5485" s="45" t="s">
        <v>22091</v>
      </c>
      <c r="AC5485" s="45"/>
    </row>
    <row r="5486" ht="18.75" customHeight="1">
      <c r="A5486" s="18" t="s">
        <v>22092</v>
      </c>
      <c r="B5486" s="33" t="s">
        <v>880</v>
      </c>
      <c r="C5486" s="20">
        <v>90.0</v>
      </c>
      <c r="D5486" s="39"/>
      <c r="E5486" s="27" t="s">
        <v>91</v>
      </c>
      <c r="F5486" s="27" t="s">
        <v>48</v>
      </c>
      <c r="G5486" s="18" t="s">
        <v>35</v>
      </c>
      <c r="H5486" s="40" t="s">
        <v>35</v>
      </c>
      <c r="I5486" s="37" t="s">
        <v>17277</v>
      </c>
      <c r="J5486" s="25" t="s">
        <v>65</v>
      </c>
      <c r="K5486" s="26" t="s">
        <v>38</v>
      </c>
      <c r="L5486" s="25"/>
      <c r="M5486" s="49"/>
      <c r="N5486" s="42"/>
      <c r="O5486" s="68"/>
      <c r="P5486" s="35" t="s">
        <v>15829</v>
      </c>
      <c r="Q5486" s="13" t="s">
        <v>75</v>
      </c>
      <c r="R5486" s="13" t="s">
        <v>75</v>
      </c>
      <c r="S5486" s="13" t="s">
        <v>75</v>
      </c>
      <c r="T5486" s="44">
        <v>45936.43435127314</v>
      </c>
      <c r="U5486" s="13"/>
      <c r="V5486" s="13"/>
      <c r="W5486" s="11"/>
      <c r="X5486" s="11"/>
      <c r="Y5486" s="45"/>
      <c r="Z5486" s="45"/>
      <c r="AA5486" s="31"/>
      <c r="AB5486" s="45" t="s">
        <v>22093</v>
      </c>
      <c r="AC5486" s="45"/>
    </row>
    <row r="5487" ht="18.75" customHeight="1">
      <c r="A5487" s="18" t="s">
        <v>22094</v>
      </c>
      <c r="B5487" s="33" t="s">
        <v>2138</v>
      </c>
      <c r="C5487" s="20">
        <v>0.0</v>
      </c>
      <c r="D5487" s="39"/>
      <c r="E5487" s="27" t="s">
        <v>3441</v>
      </c>
      <c r="F5487" s="27" t="s">
        <v>48</v>
      </c>
      <c r="G5487" s="18" t="s">
        <v>35</v>
      </c>
      <c r="H5487" s="40" t="s">
        <v>35</v>
      </c>
      <c r="I5487" s="37" t="s">
        <v>18314</v>
      </c>
      <c r="J5487" s="25" t="s">
        <v>65</v>
      </c>
      <c r="K5487" s="26" t="s">
        <v>38</v>
      </c>
      <c r="L5487" s="25">
        <v>-14104.0</v>
      </c>
      <c r="M5487" s="49"/>
      <c r="N5487" s="42"/>
      <c r="O5487" s="68"/>
      <c r="P5487" s="35" t="s">
        <v>22095</v>
      </c>
      <c r="Q5487" s="13" t="s">
        <v>75</v>
      </c>
      <c r="R5487" s="13" t="s">
        <v>75</v>
      </c>
      <c r="S5487" s="13"/>
      <c r="T5487" s="44">
        <v>45936.443251273144</v>
      </c>
      <c r="U5487" s="44">
        <v>45938.58940636574</v>
      </c>
      <c r="V5487" s="13"/>
      <c r="W5487" s="11"/>
      <c r="X5487" s="148">
        <v>45945.0</v>
      </c>
      <c r="Y5487" s="45"/>
      <c r="Z5487" s="45"/>
      <c r="AA5487" s="31"/>
      <c r="AB5487" s="45" t="s">
        <v>22096</v>
      </c>
      <c r="AC5487" s="45"/>
    </row>
    <row r="5488" ht="18.75" customHeight="1">
      <c r="A5488" s="18" t="s">
        <v>22097</v>
      </c>
      <c r="B5488" s="33" t="s">
        <v>2138</v>
      </c>
      <c r="C5488" s="20">
        <v>0.0</v>
      </c>
      <c r="D5488" s="39"/>
      <c r="E5488" s="27" t="s">
        <v>3441</v>
      </c>
      <c r="F5488" s="27" t="s">
        <v>48</v>
      </c>
      <c r="G5488" s="18" t="s">
        <v>35</v>
      </c>
      <c r="H5488" s="40" t="s">
        <v>35</v>
      </c>
      <c r="I5488" s="37" t="s">
        <v>18314</v>
      </c>
      <c r="J5488" s="25" t="s">
        <v>65</v>
      </c>
      <c r="K5488" s="26" t="s">
        <v>38</v>
      </c>
      <c r="L5488" s="25">
        <v>-14104.0</v>
      </c>
      <c r="M5488" s="49"/>
      <c r="N5488" s="42"/>
      <c r="O5488" s="68"/>
      <c r="P5488" s="35" t="s">
        <v>22095</v>
      </c>
      <c r="Q5488" s="13" t="s">
        <v>75</v>
      </c>
      <c r="R5488" s="13" t="s">
        <v>75</v>
      </c>
      <c r="S5488" s="13" t="s">
        <v>75</v>
      </c>
      <c r="T5488" s="44">
        <v>45936.44336152778</v>
      </c>
      <c r="U5488" s="44">
        <v>45938.589440763884</v>
      </c>
      <c r="V5488" s="13"/>
      <c r="W5488" s="11"/>
      <c r="X5488" s="148">
        <v>45945.0</v>
      </c>
      <c r="Y5488" s="45"/>
      <c r="Z5488" s="45"/>
      <c r="AA5488" s="31"/>
      <c r="AB5488" s="45" t="s">
        <v>22098</v>
      </c>
      <c r="AC5488" s="45"/>
    </row>
    <row r="5489" ht="18.75" customHeight="1">
      <c r="A5489" s="142" t="s">
        <v>22099</v>
      </c>
      <c r="B5489" s="33" t="s">
        <v>7868</v>
      </c>
      <c r="C5489" s="20">
        <v>34.0</v>
      </c>
      <c r="D5489" s="39" t="s">
        <v>22100</v>
      </c>
      <c r="E5489" s="27" t="s">
        <v>47</v>
      </c>
      <c r="F5489" s="27" t="s">
        <v>48</v>
      </c>
      <c r="G5489" s="18" t="s">
        <v>35</v>
      </c>
      <c r="H5489" s="40" t="s">
        <v>35</v>
      </c>
      <c r="I5489" s="37" t="s">
        <v>36</v>
      </c>
      <c r="J5489" s="25" t="s">
        <v>65</v>
      </c>
      <c r="K5489" s="26" t="s">
        <v>38</v>
      </c>
      <c r="L5489" s="25">
        <v>14097.0</v>
      </c>
      <c r="M5489" s="49" t="s">
        <v>50</v>
      </c>
      <c r="N5489" s="42" t="s">
        <v>16408</v>
      </c>
      <c r="O5489" s="67">
        <v>45938.6289415162</v>
      </c>
      <c r="P5489" s="35" t="s">
        <v>15829</v>
      </c>
      <c r="Q5489" s="13" t="s">
        <v>75</v>
      </c>
      <c r="R5489" s="13" t="s">
        <v>75</v>
      </c>
      <c r="S5489" s="13" t="s">
        <v>73</v>
      </c>
      <c r="T5489" s="44">
        <v>45936.44449675926</v>
      </c>
      <c r="U5489" s="44">
        <v>45938.47612733796</v>
      </c>
      <c r="V5489" s="44">
        <v>45938.49353204861</v>
      </c>
      <c r="W5489" s="11"/>
      <c r="X5489" s="11"/>
      <c r="Y5489" s="45">
        <v>302.0</v>
      </c>
      <c r="Z5489" s="45" t="s">
        <v>22101</v>
      </c>
      <c r="AA5489" s="31"/>
      <c r="AB5489" s="45" t="s">
        <v>22102</v>
      </c>
      <c r="AC5489" s="45"/>
    </row>
    <row r="5490" ht="18.75" customHeight="1">
      <c r="A5490" s="142" t="s">
        <v>22103</v>
      </c>
      <c r="B5490" s="33" t="s">
        <v>9895</v>
      </c>
      <c r="C5490" s="20">
        <v>0.0</v>
      </c>
      <c r="D5490" s="39"/>
      <c r="E5490" s="27" t="s">
        <v>3441</v>
      </c>
      <c r="F5490" s="27" t="s">
        <v>48</v>
      </c>
      <c r="G5490" s="18" t="s">
        <v>35</v>
      </c>
      <c r="H5490" s="40" t="s">
        <v>35</v>
      </c>
      <c r="I5490" s="37" t="s">
        <v>18314</v>
      </c>
      <c r="J5490" s="25" t="s">
        <v>49</v>
      </c>
      <c r="K5490" s="26" t="s">
        <v>38</v>
      </c>
      <c r="L5490" s="25">
        <v>-14103.0</v>
      </c>
      <c r="M5490" s="49"/>
      <c r="N5490" s="42"/>
      <c r="O5490" s="68"/>
      <c r="P5490" s="35" t="s">
        <v>15594</v>
      </c>
      <c r="Q5490" s="13" t="s">
        <v>75</v>
      </c>
      <c r="R5490" s="13" t="s">
        <v>75</v>
      </c>
      <c r="S5490" s="13"/>
      <c r="T5490" s="44">
        <v>45936.446350370374</v>
      </c>
      <c r="U5490" s="44">
        <v>45938.58600953704</v>
      </c>
      <c r="V5490" s="13"/>
      <c r="W5490" s="11"/>
      <c r="X5490" s="148">
        <v>45945.0</v>
      </c>
      <c r="Y5490" s="45"/>
      <c r="Z5490" s="45"/>
      <c r="AA5490" s="31"/>
      <c r="AB5490" s="45" t="s">
        <v>22104</v>
      </c>
      <c r="AC5490" s="45"/>
    </row>
    <row r="5491" ht="18.75" customHeight="1">
      <c r="A5491" s="142" t="s">
        <v>22105</v>
      </c>
      <c r="B5491" s="33" t="s">
        <v>4352</v>
      </c>
      <c r="C5491" s="20">
        <v>90.0</v>
      </c>
      <c r="D5491" s="39" t="s">
        <v>22106</v>
      </c>
      <c r="E5491" s="27" t="s">
        <v>91</v>
      </c>
      <c r="F5491" s="27" t="s">
        <v>48</v>
      </c>
      <c r="G5491" s="18" t="s">
        <v>35</v>
      </c>
      <c r="H5491" s="40" t="s">
        <v>35</v>
      </c>
      <c r="I5491" s="37" t="s">
        <v>36</v>
      </c>
      <c r="J5491" s="25" t="s">
        <v>49</v>
      </c>
      <c r="K5491" s="26" t="s">
        <v>38</v>
      </c>
      <c r="L5491" s="25">
        <v>14153.0</v>
      </c>
      <c r="M5491" s="49" t="s">
        <v>50</v>
      </c>
      <c r="N5491" s="42" t="s">
        <v>18561</v>
      </c>
      <c r="O5491" s="67">
        <v>45945.61318707176</v>
      </c>
      <c r="P5491" s="35" t="s">
        <v>22107</v>
      </c>
      <c r="Q5491" s="13" t="s">
        <v>75</v>
      </c>
      <c r="R5491" s="13" t="s">
        <v>75</v>
      </c>
      <c r="S5491" s="13" t="s">
        <v>73</v>
      </c>
      <c r="T5491" s="44">
        <v>45936.44761200232</v>
      </c>
      <c r="U5491" s="44">
        <v>45944.70986150463</v>
      </c>
      <c r="V5491" s="44">
        <v>45945.42439726852</v>
      </c>
      <c r="W5491" s="11"/>
      <c r="X5491" s="11"/>
      <c r="Y5491" s="45">
        <v>302.0</v>
      </c>
      <c r="Z5491" s="45" t="s">
        <v>22108</v>
      </c>
      <c r="AA5491" s="31"/>
      <c r="AB5491" s="45" t="s">
        <v>22109</v>
      </c>
      <c r="AC5491" s="45"/>
    </row>
    <row r="5492" ht="18.75" customHeight="1">
      <c r="A5492" s="18" t="s">
        <v>22110</v>
      </c>
      <c r="B5492" s="33" t="s">
        <v>4352</v>
      </c>
      <c r="C5492" s="20">
        <v>11.0</v>
      </c>
      <c r="D5492" s="39" t="s">
        <v>22111</v>
      </c>
      <c r="E5492" s="27" t="s">
        <v>112</v>
      </c>
      <c r="F5492" s="27" t="s">
        <v>48</v>
      </c>
      <c r="G5492" s="18" t="s">
        <v>35</v>
      </c>
      <c r="H5492" s="40" t="s">
        <v>35</v>
      </c>
      <c r="I5492" s="37" t="s">
        <v>36</v>
      </c>
      <c r="J5492" s="25" t="s">
        <v>49</v>
      </c>
      <c r="K5492" s="26" t="s">
        <v>38</v>
      </c>
      <c r="L5492" s="25">
        <v>14076.0</v>
      </c>
      <c r="M5492" s="49" t="s">
        <v>73</v>
      </c>
      <c r="N5492" s="42" t="s">
        <v>17048</v>
      </c>
      <c r="O5492" s="67">
        <v>45936.70828554398</v>
      </c>
      <c r="P5492" s="35" t="s">
        <v>22112</v>
      </c>
      <c r="Q5492" s="13" t="s">
        <v>75</v>
      </c>
      <c r="R5492" s="13" t="s">
        <v>75</v>
      </c>
      <c r="S5492" s="13" t="s">
        <v>73</v>
      </c>
      <c r="T5492" s="44">
        <v>45936.4482378588</v>
      </c>
      <c r="U5492" s="44">
        <v>45936.564552627315</v>
      </c>
      <c r="V5492" s="44">
        <v>45936.59252958333</v>
      </c>
      <c r="W5492" s="11"/>
      <c r="X5492" s="11"/>
      <c r="Y5492" s="45">
        <v>302.0</v>
      </c>
      <c r="Z5492" s="45" t="s">
        <v>22113</v>
      </c>
      <c r="AA5492" s="31"/>
      <c r="AB5492" s="45" t="s">
        <v>22114</v>
      </c>
      <c r="AC5492" s="45"/>
    </row>
    <row r="5493" ht="18.75" customHeight="1">
      <c r="A5493" s="18" t="s">
        <v>22115</v>
      </c>
      <c r="B5493" s="33" t="s">
        <v>4352</v>
      </c>
      <c r="C5493" s="20">
        <v>11.0</v>
      </c>
      <c r="D5493" s="39" t="s">
        <v>22116</v>
      </c>
      <c r="E5493" s="27" t="s">
        <v>112</v>
      </c>
      <c r="F5493" s="27" t="s">
        <v>48</v>
      </c>
      <c r="G5493" s="18" t="s">
        <v>35</v>
      </c>
      <c r="H5493" s="40" t="s">
        <v>35</v>
      </c>
      <c r="I5493" s="37" t="s">
        <v>36</v>
      </c>
      <c r="J5493" s="25" t="s">
        <v>49</v>
      </c>
      <c r="K5493" s="26" t="s">
        <v>38</v>
      </c>
      <c r="L5493" s="25">
        <v>14076.0</v>
      </c>
      <c r="M5493" s="49" t="s">
        <v>73</v>
      </c>
      <c r="N5493" s="42" t="s">
        <v>17048</v>
      </c>
      <c r="O5493" s="67">
        <v>45936.70843465278</v>
      </c>
      <c r="P5493" s="35" t="s">
        <v>22112</v>
      </c>
      <c r="Q5493" s="13" t="s">
        <v>75</v>
      </c>
      <c r="R5493" s="13" t="s">
        <v>75</v>
      </c>
      <c r="S5493" s="13" t="s">
        <v>73</v>
      </c>
      <c r="T5493" s="44">
        <v>45936.44831006945</v>
      </c>
      <c r="U5493" s="44">
        <v>45936.56459821759</v>
      </c>
      <c r="V5493" s="44">
        <v>45936.59252959491</v>
      </c>
      <c r="W5493" s="11"/>
      <c r="X5493" s="11"/>
      <c r="Y5493" s="45">
        <v>302.0</v>
      </c>
      <c r="Z5493" s="45" t="s">
        <v>22117</v>
      </c>
      <c r="AA5493" s="31"/>
      <c r="AB5493" s="45" t="s">
        <v>22118</v>
      </c>
      <c r="AC5493" s="45"/>
    </row>
    <row r="5494" ht="18.75" customHeight="1">
      <c r="A5494" s="142" t="s">
        <v>22119</v>
      </c>
      <c r="B5494" s="33" t="s">
        <v>4352</v>
      </c>
      <c r="C5494" s="20">
        <v>11.0</v>
      </c>
      <c r="D5494" s="39" t="s">
        <v>22120</v>
      </c>
      <c r="E5494" s="27" t="s">
        <v>112</v>
      </c>
      <c r="F5494" s="27" t="s">
        <v>48</v>
      </c>
      <c r="G5494" s="18" t="s">
        <v>35</v>
      </c>
      <c r="H5494" s="40" t="s">
        <v>35</v>
      </c>
      <c r="I5494" s="37" t="s">
        <v>36</v>
      </c>
      <c r="J5494" s="25" t="s">
        <v>49</v>
      </c>
      <c r="K5494" s="26" t="s">
        <v>38</v>
      </c>
      <c r="L5494" s="25">
        <v>14077.0</v>
      </c>
      <c r="M5494" s="49" t="s">
        <v>73</v>
      </c>
      <c r="N5494" s="42" t="s">
        <v>17048</v>
      </c>
      <c r="O5494" s="67">
        <v>45936.708626168984</v>
      </c>
      <c r="P5494" s="35" t="s">
        <v>22121</v>
      </c>
      <c r="Q5494" s="13" t="s">
        <v>75</v>
      </c>
      <c r="R5494" s="13" t="s">
        <v>75</v>
      </c>
      <c r="S5494" s="13" t="s">
        <v>50</v>
      </c>
      <c r="T5494" s="44">
        <v>45936.598685150464</v>
      </c>
      <c r="U5494" s="44">
        <v>45936.59871021991</v>
      </c>
      <c r="V5494" s="44">
        <v>45936.598997407404</v>
      </c>
      <c r="W5494" s="11"/>
      <c r="X5494" s="11"/>
      <c r="Y5494" s="45">
        <v>302.0</v>
      </c>
      <c r="Z5494" s="45" t="s">
        <v>22122</v>
      </c>
      <c r="AA5494" s="31"/>
      <c r="AB5494" s="45" t="s">
        <v>22123</v>
      </c>
      <c r="AC5494" s="45"/>
    </row>
    <row r="5495" ht="18.75" customHeight="1">
      <c r="A5495" s="142" t="s">
        <v>22124</v>
      </c>
      <c r="B5495" s="33" t="s">
        <v>4352</v>
      </c>
      <c r="C5495" s="20">
        <v>11.0</v>
      </c>
      <c r="D5495" s="39" t="s">
        <v>22125</v>
      </c>
      <c r="E5495" s="27" t="s">
        <v>112</v>
      </c>
      <c r="F5495" s="27" t="s">
        <v>48</v>
      </c>
      <c r="G5495" s="18" t="s">
        <v>35</v>
      </c>
      <c r="H5495" s="40" t="s">
        <v>35</v>
      </c>
      <c r="I5495" s="37" t="s">
        <v>36</v>
      </c>
      <c r="J5495" s="25" t="s">
        <v>49</v>
      </c>
      <c r="K5495" s="26" t="s">
        <v>38</v>
      </c>
      <c r="L5495" s="25">
        <v>14193.0</v>
      </c>
      <c r="M5495" s="49" t="s">
        <v>50</v>
      </c>
      <c r="N5495" s="42" t="s">
        <v>9953</v>
      </c>
      <c r="O5495" s="67">
        <v>45950.654593796295</v>
      </c>
      <c r="P5495" s="35" t="s">
        <v>22126</v>
      </c>
      <c r="Q5495" s="13" t="s">
        <v>75</v>
      </c>
      <c r="R5495" s="13" t="s">
        <v>75</v>
      </c>
      <c r="S5495" s="13" t="s">
        <v>73</v>
      </c>
      <c r="T5495" s="44">
        <v>45936.45131420139</v>
      </c>
      <c r="U5495" s="44">
        <v>45936.589294606485</v>
      </c>
      <c r="V5495" s="44">
        <v>45950.46392180555</v>
      </c>
      <c r="W5495" s="11"/>
      <c r="X5495" s="11"/>
      <c r="Y5495" s="45">
        <v>302.0</v>
      </c>
      <c r="Z5495" s="45" t="s">
        <v>22127</v>
      </c>
      <c r="AA5495" s="31"/>
      <c r="AB5495" s="45" t="s">
        <v>22128</v>
      </c>
      <c r="AC5495" s="45"/>
    </row>
    <row r="5496" ht="18.75" customHeight="1">
      <c r="A5496" s="142" t="s">
        <v>22129</v>
      </c>
      <c r="B5496" s="33" t="s">
        <v>4352</v>
      </c>
      <c r="C5496" s="20">
        <v>11.0</v>
      </c>
      <c r="D5496" s="39" t="s">
        <v>22130</v>
      </c>
      <c r="E5496" s="27" t="s">
        <v>112</v>
      </c>
      <c r="F5496" s="27" t="s">
        <v>48</v>
      </c>
      <c r="G5496" s="18" t="s">
        <v>35</v>
      </c>
      <c r="H5496" s="40" t="s">
        <v>35</v>
      </c>
      <c r="I5496" s="37" t="s">
        <v>36</v>
      </c>
      <c r="J5496" s="25" t="s">
        <v>49</v>
      </c>
      <c r="K5496" s="26" t="s">
        <v>38</v>
      </c>
      <c r="L5496" s="25">
        <v>14194.0</v>
      </c>
      <c r="M5496" s="49" t="s">
        <v>50</v>
      </c>
      <c r="N5496" s="42" t="s">
        <v>9953</v>
      </c>
      <c r="O5496" s="67">
        <v>45950.65455337963</v>
      </c>
      <c r="P5496" s="35" t="s">
        <v>22131</v>
      </c>
      <c r="Q5496" s="13" t="s">
        <v>75</v>
      </c>
      <c r="R5496" s="13" t="s">
        <v>75</v>
      </c>
      <c r="S5496" s="13" t="s">
        <v>73</v>
      </c>
      <c r="T5496" s="44">
        <v>45936.451630497686</v>
      </c>
      <c r="U5496" s="44">
        <v>45936.58921983796</v>
      </c>
      <c r="V5496" s="44">
        <v>45950.46384778935</v>
      </c>
      <c r="W5496" s="11"/>
      <c r="X5496" s="11"/>
      <c r="Y5496" s="45">
        <v>302.0</v>
      </c>
      <c r="Z5496" s="45" t="s">
        <v>22132</v>
      </c>
      <c r="AA5496" s="31"/>
      <c r="AB5496" s="45" t="s">
        <v>22133</v>
      </c>
      <c r="AC5496" s="45"/>
    </row>
    <row r="5497" ht="18.75" customHeight="1">
      <c r="A5497" s="142" t="s">
        <v>22134</v>
      </c>
      <c r="B5497" s="33" t="s">
        <v>4352</v>
      </c>
      <c r="C5497" s="20">
        <v>11.0</v>
      </c>
      <c r="D5497" s="39" t="s">
        <v>22135</v>
      </c>
      <c r="E5497" s="27" t="s">
        <v>112</v>
      </c>
      <c r="F5497" s="27" t="s">
        <v>48</v>
      </c>
      <c r="G5497" s="18" t="s">
        <v>35</v>
      </c>
      <c r="H5497" s="40" t="s">
        <v>35</v>
      </c>
      <c r="I5497" s="37" t="s">
        <v>36</v>
      </c>
      <c r="J5497" s="25" t="s">
        <v>49</v>
      </c>
      <c r="K5497" s="26" t="s">
        <v>38</v>
      </c>
      <c r="L5497" s="25">
        <v>14195.0</v>
      </c>
      <c r="M5497" s="49" t="s">
        <v>50</v>
      </c>
      <c r="N5497" s="42" t="s">
        <v>9953</v>
      </c>
      <c r="O5497" s="67">
        <v>45950.654511851855</v>
      </c>
      <c r="P5497" s="35" t="s">
        <v>22136</v>
      </c>
      <c r="Q5497" s="13" t="s">
        <v>75</v>
      </c>
      <c r="R5497" s="13" t="s">
        <v>75</v>
      </c>
      <c r="S5497" s="13" t="s">
        <v>73</v>
      </c>
      <c r="T5497" s="44">
        <v>45936.451938576385</v>
      </c>
      <c r="U5497" s="44">
        <v>45936.58919966435</v>
      </c>
      <c r="V5497" s="44">
        <v>45950.46378835649</v>
      </c>
      <c r="W5497" s="11"/>
      <c r="X5497" s="11"/>
      <c r="Y5497" s="45">
        <v>302.0</v>
      </c>
      <c r="Z5497" s="45" t="s">
        <v>22137</v>
      </c>
      <c r="AA5497" s="31"/>
      <c r="AB5497" s="45" t="s">
        <v>22138</v>
      </c>
      <c r="AC5497" s="45"/>
    </row>
    <row r="5498" ht="18.75" customHeight="1">
      <c r="A5498" s="142" t="s">
        <v>22139</v>
      </c>
      <c r="B5498" s="33" t="s">
        <v>746</v>
      </c>
      <c r="C5498" s="20">
        <v>11.0</v>
      </c>
      <c r="D5498" s="39" t="s">
        <v>22140</v>
      </c>
      <c r="E5498" s="27" t="s">
        <v>112</v>
      </c>
      <c r="F5498" s="27" t="s">
        <v>48</v>
      </c>
      <c r="G5498" s="18" t="s">
        <v>35</v>
      </c>
      <c r="H5498" s="40" t="s">
        <v>35</v>
      </c>
      <c r="I5498" s="37" t="s">
        <v>36</v>
      </c>
      <c r="J5498" s="25" t="s">
        <v>65</v>
      </c>
      <c r="K5498" s="26" t="s">
        <v>38</v>
      </c>
      <c r="L5498" s="25">
        <v>14098.0</v>
      </c>
      <c r="M5498" s="49" t="s">
        <v>50</v>
      </c>
      <c r="N5498" s="42" t="s">
        <v>16408</v>
      </c>
      <c r="O5498" s="67">
        <v>45938.62889719907</v>
      </c>
      <c r="P5498" s="35" t="s">
        <v>22141</v>
      </c>
      <c r="Q5498" s="13" t="s">
        <v>75</v>
      </c>
      <c r="R5498" s="13" t="s">
        <v>75</v>
      </c>
      <c r="S5498" s="13" t="s">
        <v>73</v>
      </c>
      <c r="T5498" s="44">
        <v>45936.45250696759</v>
      </c>
      <c r="U5498" s="44">
        <v>45938.47661981481</v>
      </c>
      <c r="V5498" s="44">
        <v>45938.493581863426</v>
      </c>
      <c r="W5498" s="11"/>
      <c r="X5498" s="11"/>
      <c r="Y5498" s="45">
        <v>302.0</v>
      </c>
      <c r="Z5498" s="45" t="s">
        <v>22142</v>
      </c>
      <c r="AA5498" s="31"/>
      <c r="AB5498" s="45" t="s">
        <v>22143</v>
      </c>
      <c r="AC5498" s="45"/>
    </row>
    <row r="5499" ht="18.75" customHeight="1">
      <c r="A5499" s="18" t="s">
        <v>22144</v>
      </c>
      <c r="B5499" s="33" t="s">
        <v>22145</v>
      </c>
      <c r="C5499" s="20">
        <v>11.0</v>
      </c>
      <c r="D5499" s="39" t="s">
        <v>22146</v>
      </c>
      <c r="E5499" s="27" t="s">
        <v>112</v>
      </c>
      <c r="F5499" s="27" t="s">
        <v>48</v>
      </c>
      <c r="G5499" s="18" t="s">
        <v>35</v>
      </c>
      <c r="H5499" s="40" t="s">
        <v>35</v>
      </c>
      <c r="I5499" s="37" t="s">
        <v>36</v>
      </c>
      <c r="J5499" s="25" t="s">
        <v>49</v>
      </c>
      <c r="K5499" s="26" t="s">
        <v>16899</v>
      </c>
      <c r="L5499" s="25">
        <v>14220.0</v>
      </c>
      <c r="M5499" s="49" t="s">
        <v>50</v>
      </c>
      <c r="N5499" s="42" t="s">
        <v>9953</v>
      </c>
      <c r="O5499" s="67">
        <v>45950.654443506945</v>
      </c>
      <c r="P5499" s="35" t="s">
        <v>22147</v>
      </c>
      <c r="Q5499" s="13" t="s">
        <v>75</v>
      </c>
      <c r="R5499" s="13" t="s">
        <v>67</v>
      </c>
      <c r="S5499" s="13" t="s">
        <v>73</v>
      </c>
      <c r="T5499" s="44">
        <v>45936.486143807866</v>
      </c>
      <c r="U5499" s="44">
        <v>45950.41934974537</v>
      </c>
      <c r="V5499" s="44">
        <v>45950.6000975</v>
      </c>
      <c r="W5499" s="11"/>
      <c r="X5499" s="148">
        <v>45939.0</v>
      </c>
      <c r="Y5499" s="45">
        <v>302.0</v>
      </c>
      <c r="Z5499" s="45" t="s">
        <v>22148</v>
      </c>
      <c r="AA5499" s="31"/>
      <c r="AB5499" s="45" t="s">
        <v>22149</v>
      </c>
      <c r="AC5499" s="45"/>
    </row>
    <row r="5500" ht="18.75" customHeight="1">
      <c r="A5500" s="18" t="s">
        <v>22150</v>
      </c>
      <c r="B5500" s="33" t="s">
        <v>22145</v>
      </c>
      <c r="C5500" s="20">
        <v>33.0</v>
      </c>
      <c r="D5500" s="39" t="s">
        <v>22151</v>
      </c>
      <c r="E5500" s="27" t="s">
        <v>6133</v>
      </c>
      <c r="F5500" s="27" t="s">
        <v>48</v>
      </c>
      <c r="G5500" s="18" t="s">
        <v>35</v>
      </c>
      <c r="H5500" s="40" t="s">
        <v>35</v>
      </c>
      <c r="I5500" s="37" t="s">
        <v>36</v>
      </c>
      <c r="J5500" s="25" t="s">
        <v>49</v>
      </c>
      <c r="K5500" s="26" t="s">
        <v>16899</v>
      </c>
      <c r="L5500" s="25">
        <v>14117.0</v>
      </c>
      <c r="M5500" s="49" t="s">
        <v>50</v>
      </c>
      <c r="N5500" s="42" t="s">
        <v>17048</v>
      </c>
      <c r="O5500" s="67">
        <v>45939.68125</v>
      </c>
      <c r="P5500" s="35" t="s">
        <v>22147</v>
      </c>
      <c r="Q5500" s="13" t="s">
        <v>75</v>
      </c>
      <c r="R5500" s="13" t="s">
        <v>75</v>
      </c>
      <c r="S5500" s="13" t="s">
        <v>50</v>
      </c>
      <c r="T5500" s="44">
        <v>45936.48683085648</v>
      </c>
      <c r="U5500" s="44">
        <v>45939.468520925926</v>
      </c>
      <c r="V5500" s="44">
        <v>45939.46918971065</v>
      </c>
      <c r="W5500" s="11"/>
      <c r="X5500" s="148">
        <v>45939.0</v>
      </c>
      <c r="Y5500" s="45">
        <v>302.0</v>
      </c>
      <c r="Z5500" s="45" t="s">
        <v>22152</v>
      </c>
      <c r="AA5500" s="31"/>
      <c r="AB5500" s="45" t="s">
        <v>22153</v>
      </c>
      <c r="AC5500" s="45"/>
    </row>
    <row r="5501" ht="18.75" customHeight="1">
      <c r="A5501" s="18" t="s">
        <v>22154</v>
      </c>
      <c r="B5501" s="33" t="s">
        <v>22145</v>
      </c>
      <c r="C5501" s="20">
        <v>34.0</v>
      </c>
      <c r="D5501" s="39" t="s">
        <v>22155</v>
      </c>
      <c r="E5501" s="27" t="s">
        <v>47</v>
      </c>
      <c r="F5501" s="27" t="s">
        <v>48</v>
      </c>
      <c r="G5501" s="18" t="s">
        <v>35</v>
      </c>
      <c r="H5501" s="40" t="s">
        <v>35</v>
      </c>
      <c r="I5501" s="37" t="s">
        <v>36</v>
      </c>
      <c r="J5501" s="25" t="s">
        <v>49</v>
      </c>
      <c r="K5501" s="26" t="s">
        <v>16899</v>
      </c>
      <c r="L5501" s="25">
        <v>14117.0</v>
      </c>
      <c r="M5501" s="49" t="s">
        <v>50</v>
      </c>
      <c r="N5501" s="42" t="s">
        <v>17048</v>
      </c>
      <c r="O5501" s="67">
        <v>45939.680555555555</v>
      </c>
      <c r="P5501" s="35" t="s">
        <v>22147</v>
      </c>
      <c r="Q5501" s="13" t="s">
        <v>75</v>
      </c>
      <c r="R5501" s="13" t="s">
        <v>75</v>
      </c>
      <c r="S5501" s="13" t="s">
        <v>50</v>
      </c>
      <c r="T5501" s="44">
        <v>45936.48697288195</v>
      </c>
      <c r="U5501" s="44">
        <v>45939.46843782408</v>
      </c>
      <c r="V5501" s="44">
        <v>45939.4691896875</v>
      </c>
      <c r="W5501" s="11"/>
      <c r="X5501" s="148">
        <v>45939.0</v>
      </c>
      <c r="Y5501" s="45">
        <v>302.0</v>
      </c>
      <c r="Z5501" s="45" t="s">
        <v>22156</v>
      </c>
      <c r="AA5501" s="31"/>
      <c r="AB5501" s="45" t="s">
        <v>22157</v>
      </c>
      <c r="AC5501" s="45"/>
    </row>
    <row r="5502" ht="18.75" customHeight="1">
      <c r="A5502" s="142" t="s">
        <v>22158</v>
      </c>
      <c r="B5502" s="33" t="s">
        <v>6393</v>
      </c>
      <c r="C5502" s="20">
        <v>90.0</v>
      </c>
      <c r="D5502" s="39" t="s">
        <v>22159</v>
      </c>
      <c r="E5502" s="27" t="s">
        <v>91</v>
      </c>
      <c r="F5502" s="27" t="s">
        <v>48</v>
      </c>
      <c r="G5502" s="18" t="s">
        <v>35</v>
      </c>
      <c r="H5502" s="40" t="s">
        <v>35</v>
      </c>
      <c r="I5502" s="37" t="s">
        <v>36</v>
      </c>
      <c r="J5502" s="25" t="s">
        <v>49</v>
      </c>
      <c r="K5502" s="26" t="s">
        <v>1506</v>
      </c>
      <c r="L5502" s="25">
        <v>14079.0</v>
      </c>
      <c r="M5502" s="49" t="s">
        <v>50</v>
      </c>
      <c r="N5502" s="42" t="s">
        <v>17048</v>
      </c>
      <c r="O5502" s="67">
        <v>45937.62254027778</v>
      </c>
      <c r="P5502" s="35" t="s">
        <v>15666</v>
      </c>
      <c r="Q5502" s="13" t="s">
        <v>67</v>
      </c>
      <c r="R5502" s="13" t="s">
        <v>67</v>
      </c>
      <c r="S5502" s="13" t="s">
        <v>73</v>
      </c>
      <c r="T5502" s="44">
        <v>45936.49262978009</v>
      </c>
      <c r="U5502" s="44">
        <v>45936.621935856485</v>
      </c>
      <c r="V5502" s="44">
        <v>45937.429590960644</v>
      </c>
      <c r="W5502" s="11"/>
      <c r="X5502" s="11"/>
      <c r="Y5502" s="45">
        <v>302.0</v>
      </c>
      <c r="Z5502" s="45" t="s">
        <v>22160</v>
      </c>
      <c r="AA5502" s="31"/>
      <c r="AB5502" s="45" t="s">
        <v>22161</v>
      </c>
      <c r="AC5502" s="45"/>
    </row>
    <row r="5503" ht="18.75" customHeight="1">
      <c r="A5503" s="142" t="s">
        <v>22162</v>
      </c>
      <c r="B5503" s="33" t="s">
        <v>2209</v>
      </c>
      <c r="C5503" s="20">
        <v>0.0</v>
      </c>
      <c r="D5503" s="39"/>
      <c r="E5503" s="27" t="s">
        <v>3441</v>
      </c>
      <c r="F5503" s="27" t="s">
        <v>48</v>
      </c>
      <c r="G5503" s="18" t="s">
        <v>35</v>
      </c>
      <c r="H5503" s="40" t="s">
        <v>35</v>
      </c>
      <c r="I5503" s="37" t="s">
        <v>18314</v>
      </c>
      <c r="J5503" s="25" t="s">
        <v>65</v>
      </c>
      <c r="K5503" s="26" t="s">
        <v>38</v>
      </c>
      <c r="L5503" s="25"/>
      <c r="M5503" s="49"/>
      <c r="N5503" s="42"/>
      <c r="O5503" s="68"/>
      <c r="P5503" s="35" t="s">
        <v>22163</v>
      </c>
      <c r="Q5503" s="13" t="s">
        <v>67</v>
      </c>
      <c r="R5503" s="13" t="s">
        <v>67</v>
      </c>
      <c r="S5503" s="13"/>
      <c r="T5503" s="44">
        <v>45936.49147547454</v>
      </c>
      <c r="U5503" s="44">
        <v>45936.64788060186</v>
      </c>
      <c r="V5503" s="13"/>
      <c r="W5503" s="11"/>
      <c r="X5503" s="11"/>
      <c r="Y5503" s="45"/>
      <c r="Z5503" s="45"/>
      <c r="AA5503" s="31"/>
      <c r="AB5503" s="45" t="s">
        <v>22164</v>
      </c>
      <c r="AC5503" s="45"/>
    </row>
    <row r="5504" ht="18.75" customHeight="1">
      <c r="A5504" s="142" t="s">
        <v>22165</v>
      </c>
      <c r="B5504" s="33" t="s">
        <v>22166</v>
      </c>
      <c r="C5504" s="20">
        <v>90.0</v>
      </c>
      <c r="D5504" s="39" t="s">
        <v>22167</v>
      </c>
      <c r="E5504" s="27" t="s">
        <v>91</v>
      </c>
      <c r="F5504" s="27" t="s">
        <v>48</v>
      </c>
      <c r="G5504" s="18" t="s">
        <v>35</v>
      </c>
      <c r="H5504" s="40" t="s">
        <v>35</v>
      </c>
      <c r="I5504" s="37" t="s">
        <v>36</v>
      </c>
      <c r="J5504" s="25" t="s">
        <v>518</v>
      </c>
      <c r="K5504" s="26" t="s">
        <v>38</v>
      </c>
      <c r="L5504" s="25">
        <v>14080.0</v>
      </c>
      <c r="M5504" s="49" t="s">
        <v>50</v>
      </c>
      <c r="N5504" s="42" t="s">
        <v>20646</v>
      </c>
      <c r="O5504" s="67">
        <v>45937.666266631946</v>
      </c>
      <c r="P5504" s="35" t="s">
        <v>22168</v>
      </c>
      <c r="Q5504" s="13" t="s">
        <v>67</v>
      </c>
      <c r="R5504" s="13" t="s">
        <v>67</v>
      </c>
      <c r="S5504" s="13" t="s">
        <v>73</v>
      </c>
      <c r="T5504" s="44">
        <v>45936.4943249537</v>
      </c>
      <c r="U5504" s="44">
        <v>45937.40840612269</v>
      </c>
      <c r="V5504" s="44">
        <v>45937.42967008102</v>
      </c>
      <c r="W5504" s="11"/>
      <c r="X5504" s="11"/>
      <c r="Y5504" s="45">
        <v>302.0</v>
      </c>
      <c r="Z5504" s="45" t="s">
        <v>22169</v>
      </c>
      <c r="AA5504" s="31"/>
      <c r="AB5504" s="45" t="s">
        <v>22170</v>
      </c>
      <c r="AC5504" s="45"/>
    </row>
    <row r="5505" ht="18.75" customHeight="1">
      <c r="A5505" s="18" t="s">
        <v>22171</v>
      </c>
      <c r="B5505" s="33" t="s">
        <v>22145</v>
      </c>
      <c r="C5505" s="20">
        <v>0.0</v>
      </c>
      <c r="D5505" s="179">
        <v>20350.0</v>
      </c>
      <c r="E5505" s="27" t="s">
        <v>22172</v>
      </c>
      <c r="F5505" s="27" t="s">
        <v>48</v>
      </c>
      <c r="G5505" s="18" t="s">
        <v>35</v>
      </c>
      <c r="H5505" s="40" t="s">
        <v>35</v>
      </c>
      <c r="I5505" s="37" t="s">
        <v>36</v>
      </c>
      <c r="J5505" s="25" t="s">
        <v>49</v>
      </c>
      <c r="K5505" s="26" t="s">
        <v>16899</v>
      </c>
      <c r="L5505" s="25">
        <v>14145.0</v>
      </c>
      <c r="M5505" s="49" t="s">
        <v>50</v>
      </c>
      <c r="N5505" s="42" t="s">
        <v>17048</v>
      </c>
      <c r="O5505" s="67">
        <v>45944.60954538194</v>
      </c>
      <c r="P5505" s="35" t="s">
        <v>22173</v>
      </c>
      <c r="Q5505" s="13" t="s">
        <v>67</v>
      </c>
      <c r="R5505" s="13" t="s">
        <v>67</v>
      </c>
      <c r="S5505" s="13" t="s">
        <v>9620</v>
      </c>
      <c r="T5505" s="44">
        <v>45936.50170146991</v>
      </c>
      <c r="U5505" s="44">
        <v>45938.4106678588</v>
      </c>
      <c r="V5505" s="44">
        <v>45943.744890138885</v>
      </c>
      <c r="W5505" s="11"/>
      <c r="X5505" s="11"/>
      <c r="Y5505" s="45">
        <v>302.0</v>
      </c>
      <c r="Z5505" s="45" t="s">
        <v>22174</v>
      </c>
      <c r="AA5505" s="31"/>
      <c r="AB5505" s="45" t="s">
        <v>22175</v>
      </c>
      <c r="AC5505" s="45"/>
    </row>
    <row r="5506" ht="18.75" customHeight="1">
      <c r="A5506" s="18" t="s">
        <v>22176</v>
      </c>
      <c r="B5506" s="33" t="s">
        <v>22145</v>
      </c>
      <c r="C5506" s="20">
        <v>0.0</v>
      </c>
      <c r="D5506" s="179">
        <v>20349.0</v>
      </c>
      <c r="E5506" s="27" t="s">
        <v>22172</v>
      </c>
      <c r="F5506" s="27" t="s">
        <v>48</v>
      </c>
      <c r="G5506" s="18" t="s">
        <v>35</v>
      </c>
      <c r="H5506" s="40" t="s">
        <v>35</v>
      </c>
      <c r="I5506" s="37" t="s">
        <v>36</v>
      </c>
      <c r="J5506" s="25" t="s">
        <v>49</v>
      </c>
      <c r="K5506" s="26" t="s">
        <v>16899</v>
      </c>
      <c r="L5506" s="25">
        <v>14145.0</v>
      </c>
      <c r="M5506" s="49" t="s">
        <v>50</v>
      </c>
      <c r="N5506" s="42" t="s">
        <v>17048</v>
      </c>
      <c r="O5506" s="67">
        <v>45944.60949642361</v>
      </c>
      <c r="P5506" s="35" t="s">
        <v>22173</v>
      </c>
      <c r="Q5506" s="13" t="s">
        <v>67</v>
      </c>
      <c r="R5506" s="13" t="s">
        <v>67</v>
      </c>
      <c r="S5506" s="13" t="s">
        <v>9620</v>
      </c>
      <c r="T5506" s="44">
        <v>45936.50169828704</v>
      </c>
      <c r="U5506" s="44">
        <v>45938.4107062963</v>
      </c>
      <c r="V5506" s="44">
        <v>45943.744890138885</v>
      </c>
      <c r="W5506" s="11"/>
      <c r="X5506" s="11"/>
      <c r="Y5506" s="45">
        <v>302.0</v>
      </c>
      <c r="Z5506" s="45" t="s">
        <v>22177</v>
      </c>
      <c r="AA5506" s="31"/>
      <c r="AB5506" s="45" t="s">
        <v>22178</v>
      </c>
      <c r="AC5506" s="45"/>
    </row>
    <row r="5507" ht="18.75" customHeight="1">
      <c r="A5507" s="18" t="s">
        <v>22179</v>
      </c>
      <c r="B5507" s="33" t="s">
        <v>22145</v>
      </c>
      <c r="C5507" s="20">
        <v>0.0</v>
      </c>
      <c r="D5507" s="179">
        <v>20348.0</v>
      </c>
      <c r="E5507" s="27" t="s">
        <v>22172</v>
      </c>
      <c r="F5507" s="27" t="s">
        <v>48</v>
      </c>
      <c r="G5507" s="18" t="s">
        <v>35</v>
      </c>
      <c r="H5507" s="40" t="s">
        <v>35</v>
      </c>
      <c r="I5507" s="37" t="s">
        <v>36</v>
      </c>
      <c r="J5507" s="25" t="s">
        <v>49</v>
      </c>
      <c r="K5507" s="26" t="s">
        <v>16899</v>
      </c>
      <c r="L5507" s="25">
        <v>14145.0</v>
      </c>
      <c r="M5507" s="49" t="s">
        <v>50</v>
      </c>
      <c r="N5507" s="42" t="s">
        <v>17048</v>
      </c>
      <c r="O5507" s="67">
        <v>45944.60944357639</v>
      </c>
      <c r="P5507" s="35" t="s">
        <v>22173</v>
      </c>
      <c r="Q5507" s="13" t="s">
        <v>67</v>
      </c>
      <c r="R5507" s="13" t="s">
        <v>67</v>
      </c>
      <c r="S5507" s="13" t="s">
        <v>9620</v>
      </c>
      <c r="T5507" s="44">
        <v>45936.50174710648</v>
      </c>
      <c r="U5507" s="44">
        <v>45938.41074453703</v>
      </c>
      <c r="V5507" s="44">
        <v>45943.744928518514</v>
      </c>
      <c r="W5507" s="11"/>
      <c r="X5507" s="11"/>
      <c r="Y5507" s="45">
        <v>302.0</v>
      </c>
      <c r="Z5507" s="45" t="s">
        <v>22180</v>
      </c>
      <c r="AA5507" s="31"/>
      <c r="AB5507" s="45" t="s">
        <v>22181</v>
      </c>
      <c r="AC5507" s="45"/>
    </row>
    <row r="5508" ht="18.75" customHeight="1">
      <c r="A5508" s="18" t="s">
        <v>22182</v>
      </c>
      <c r="B5508" s="33" t="s">
        <v>22183</v>
      </c>
      <c r="C5508" s="20">
        <v>0.0</v>
      </c>
      <c r="D5508" s="39"/>
      <c r="E5508" s="27" t="s">
        <v>3441</v>
      </c>
      <c r="F5508" s="27" t="s">
        <v>48</v>
      </c>
      <c r="G5508" s="18" t="s">
        <v>35</v>
      </c>
      <c r="H5508" s="40" t="s">
        <v>35</v>
      </c>
      <c r="I5508" s="37" t="s">
        <v>18314</v>
      </c>
      <c r="J5508" s="25" t="s">
        <v>18078</v>
      </c>
      <c r="K5508" s="26" t="s">
        <v>38</v>
      </c>
      <c r="L5508" s="25">
        <v>-14189.0</v>
      </c>
      <c r="M5508" s="49"/>
      <c r="N5508" s="42"/>
      <c r="O5508" s="68"/>
      <c r="P5508" s="35" t="s">
        <v>22184</v>
      </c>
      <c r="Q5508" s="13" t="s">
        <v>75</v>
      </c>
      <c r="R5508" s="13" t="s">
        <v>75</v>
      </c>
      <c r="S5508" s="13"/>
      <c r="T5508" s="44">
        <v>45937.420452164355</v>
      </c>
      <c r="U5508" s="44">
        <v>45947.665871122685</v>
      </c>
      <c r="V5508" s="13"/>
      <c r="W5508" s="11"/>
      <c r="X5508" s="148">
        <v>45947.0</v>
      </c>
      <c r="Y5508" s="45"/>
      <c r="Z5508" s="45"/>
      <c r="AA5508" s="31"/>
      <c r="AB5508" s="45" t="s">
        <v>22185</v>
      </c>
      <c r="AC5508" s="45"/>
    </row>
    <row r="5509" ht="18.75" customHeight="1">
      <c r="A5509" s="18" t="s">
        <v>22186</v>
      </c>
      <c r="B5509" s="33" t="s">
        <v>22183</v>
      </c>
      <c r="C5509" s="20">
        <v>137.0</v>
      </c>
      <c r="D5509" s="39" t="s">
        <v>22187</v>
      </c>
      <c r="E5509" s="27" t="s">
        <v>85</v>
      </c>
      <c r="F5509" s="27" t="s">
        <v>48</v>
      </c>
      <c r="G5509" s="18" t="s">
        <v>35</v>
      </c>
      <c r="H5509" s="40" t="s">
        <v>35</v>
      </c>
      <c r="I5509" s="37" t="s">
        <v>36</v>
      </c>
      <c r="J5509" s="25" t="s">
        <v>18078</v>
      </c>
      <c r="K5509" s="26" t="s">
        <v>38</v>
      </c>
      <c r="L5509" s="25">
        <v>14204.0</v>
      </c>
      <c r="M5509" s="49" t="s">
        <v>50</v>
      </c>
      <c r="N5509" s="42" t="s">
        <v>20634</v>
      </c>
      <c r="O5509" s="67">
        <v>45950.69762457176</v>
      </c>
      <c r="P5509" s="35" t="s">
        <v>22184</v>
      </c>
      <c r="Q5509" s="13" t="s">
        <v>75</v>
      </c>
      <c r="R5509" s="13" t="s">
        <v>75</v>
      </c>
      <c r="S5509" s="13" t="s">
        <v>73</v>
      </c>
      <c r="T5509" s="44">
        <v>45950.48440398148</v>
      </c>
      <c r="U5509" s="44">
        <v>45950.48443125</v>
      </c>
      <c r="V5509" s="44">
        <v>45950.496061134254</v>
      </c>
      <c r="W5509" s="11"/>
      <c r="X5509" s="148">
        <v>45947.0</v>
      </c>
      <c r="Y5509" s="45">
        <v>302.0</v>
      </c>
      <c r="Z5509" s="45" t="s">
        <v>22188</v>
      </c>
      <c r="AA5509" s="31"/>
      <c r="AB5509" s="45" t="s">
        <v>22189</v>
      </c>
      <c r="AC5509" s="45"/>
    </row>
    <row r="5510" ht="18.75" customHeight="1">
      <c r="A5510" s="142" t="s">
        <v>22190</v>
      </c>
      <c r="B5510" s="33" t="s">
        <v>22191</v>
      </c>
      <c r="C5510" s="20">
        <v>90.0</v>
      </c>
      <c r="D5510" s="39" t="s">
        <v>22192</v>
      </c>
      <c r="E5510" s="27" t="s">
        <v>91</v>
      </c>
      <c r="F5510" s="27" t="s">
        <v>48</v>
      </c>
      <c r="G5510" s="18" t="s">
        <v>35</v>
      </c>
      <c r="H5510" s="40" t="s">
        <v>35</v>
      </c>
      <c r="I5510" s="37" t="s">
        <v>36</v>
      </c>
      <c r="J5510" s="25" t="s">
        <v>49</v>
      </c>
      <c r="K5510" s="26" t="s">
        <v>38</v>
      </c>
      <c r="L5510" s="25">
        <v>14087.0</v>
      </c>
      <c r="M5510" s="49" t="s">
        <v>50</v>
      </c>
      <c r="N5510" s="42" t="s">
        <v>17048</v>
      </c>
      <c r="O5510" s="67">
        <v>45938.61276399306</v>
      </c>
      <c r="P5510" s="35" t="s">
        <v>22193</v>
      </c>
      <c r="Q5510" s="13" t="s">
        <v>75</v>
      </c>
      <c r="R5510" s="13" t="s">
        <v>75</v>
      </c>
      <c r="S5510" s="13" t="s">
        <v>73</v>
      </c>
      <c r="T5510" s="44">
        <v>45937.64969324074</v>
      </c>
      <c r="U5510" s="44">
        <v>45937.65677996528</v>
      </c>
      <c r="V5510" s="44">
        <v>45938.42855548611</v>
      </c>
      <c r="W5510" s="11"/>
      <c r="X5510" s="11"/>
      <c r="Y5510" s="45">
        <v>302.0</v>
      </c>
      <c r="Z5510" s="45" t="s">
        <v>22194</v>
      </c>
      <c r="AA5510" s="31"/>
      <c r="AB5510" s="45" t="s">
        <v>22195</v>
      </c>
      <c r="AC5510" s="45"/>
    </row>
    <row r="5511" ht="18.75" customHeight="1">
      <c r="A5511" s="142" t="s">
        <v>22196</v>
      </c>
      <c r="B5511" s="33" t="s">
        <v>45</v>
      </c>
      <c r="C5511" s="20">
        <v>137.0</v>
      </c>
      <c r="D5511" s="39" t="s">
        <v>21823</v>
      </c>
      <c r="E5511" s="27" t="s">
        <v>85</v>
      </c>
      <c r="F5511" s="27" t="s">
        <v>48</v>
      </c>
      <c r="G5511" s="18" t="s">
        <v>35</v>
      </c>
      <c r="H5511" s="40" t="s">
        <v>35</v>
      </c>
      <c r="I5511" s="37" t="s">
        <v>36</v>
      </c>
      <c r="J5511" s="25" t="s">
        <v>65</v>
      </c>
      <c r="K5511" s="26" t="s">
        <v>38</v>
      </c>
      <c r="L5511" s="25">
        <v>14099.0</v>
      </c>
      <c r="M5511" s="49" t="s">
        <v>50</v>
      </c>
      <c r="N5511" s="42" t="s">
        <v>16408</v>
      </c>
      <c r="O5511" s="67">
        <v>45938.62885275463</v>
      </c>
      <c r="P5511" s="35" t="s">
        <v>22197</v>
      </c>
      <c r="Q5511" s="13" t="s">
        <v>75</v>
      </c>
      <c r="R5511" s="13" t="s">
        <v>75</v>
      </c>
      <c r="S5511" s="13" t="s">
        <v>73</v>
      </c>
      <c r="T5511" s="44">
        <v>45937.424781608795</v>
      </c>
      <c r="U5511" s="44">
        <v>45938.4438221875</v>
      </c>
      <c r="V5511" s="44">
        <v>45938.48853447917</v>
      </c>
      <c r="W5511" s="11"/>
      <c r="X5511" s="11"/>
      <c r="Y5511" s="45">
        <v>302.0</v>
      </c>
      <c r="Z5511" s="45" t="s">
        <v>22198</v>
      </c>
      <c r="AA5511" s="31"/>
      <c r="AB5511" s="45" t="s">
        <v>22199</v>
      </c>
      <c r="AC5511" s="45"/>
    </row>
    <row r="5512" ht="18.75" customHeight="1">
      <c r="A5512" s="18" t="s">
        <v>22200</v>
      </c>
      <c r="B5512" s="33" t="s">
        <v>5507</v>
      </c>
      <c r="C5512" s="20">
        <v>34.0</v>
      </c>
      <c r="D5512" s="39" t="s">
        <v>22201</v>
      </c>
      <c r="E5512" s="27" t="s">
        <v>47</v>
      </c>
      <c r="F5512" s="27" t="s">
        <v>48</v>
      </c>
      <c r="G5512" s="18" t="s">
        <v>35</v>
      </c>
      <c r="H5512" s="40" t="s">
        <v>35</v>
      </c>
      <c r="I5512" s="37" t="s">
        <v>36</v>
      </c>
      <c r="J5512" s="25" t="s">
        <v>49</v>
      </c>
      <c r="K5512" s="26" t="s">
        <v>38</v>
      </c>
      <c r="L5512" s="25">
        <v>14100.0</v>
      </c>
      <c r="M5512" s="49" t="s">
        <v>50</v>
      </c>
      <c r="N5512" s="42" t="s">
        <v>17048</v>
      </c>
      <c r="O5512" s="67">
        <v>45938.612898252315</v>
      </c>
      <c r="P5512" s="35" t="s">
        <v>15666</v>
      </c>
      <c r="Q5512" s="13" t="s">
        <v>75</v>
      </c>
      <c r="R5512" s="13" t="s">
        <v>75</v>
      </c>
      <c r="S5512" s="13" t="s">
        <v>73</v>
      </c>
      <c r="T5512" s="44">
        <v>45937.42785107639</v>
      </c>
      <c r="U5512" s="44">
        <v>45938.444366180556</v>
      </c>
      <c r="V5512" s="44">
        <v>45938.48545479166</v>
      </c>
      <c r="W5512" s="11"/>
      <c r="X5512" s="11"/>
      <c r="Y5512" s="45">
        <v>302.0</v>
      </c>
      <c r="Z5512" s="45" t="s">
        <v>22202</v>
      </c>
      <c r="AA5512" s="31"/>
      <c r="AB5512" s="45" t="s">
        <v>22203</v>
      </c>
      <c r="AC5512" s="45"/>
    </row>
    <row r="5513" ht="18.75" customHeight="1">
      <c r="A5513" s="18" t="s">
        <v>22204</v>
      </c>
      <c r="B5513" s="33" t="s">
        <v>5507</v>
      </c>
      <c r="C5513" s="20">
        <v>34.0</v>
      </c>
      <c r="D5513" s="39" t="s">
        <v>22205</v>
      </c>
      <c r="E5513" s="27" t="s">
        <v>47</v>
      </c>
      <c r="F5513" s="27" t="s">
        <v>48</v>
      </c>
      <c r="G5513" s="18" t="s">
        <v>35</v>
      </c>
      <c r="H5513" s="40" t="s">
        <v>35</v>
      </c>
      <c r="I5513" s="37" t="s">
        <v>36</v>
      </c>
      <c r="J5513" s="25" t="s">
        <v>49</v>
      </c>
      <c r="K5513" s="26" t="s">
        <v>38</v>
      </c>
      <c r="L5513" s="25">
        <v>14100.0</v>
      </c>
      <c r="M5513" s="49" t="s">
        <v>50</v>
      </c>
      <c r="N5513" s="42" t="s">
        <v>17048</v>
      </c>
      <c r="O5513" s="67">
        <v>45938.613097800924</v>
      </c>
      <c r="P5513" s="35" t="s">
        <v>15666</v>
      </c>
      <c r="Q5513" s="13" t="s">
        <v>75</v>
      </c>
      <c r="R5513" s="13" t="s">
        <v>75</v>
      </c>
      <c r="S5513" s="13" t="s">
        <v>73</v>
      </c>
      <c r="T5513" s="44">
        <v>45937.42790255787</v>
      </c>
      <c r="U5513" s="44">
        <v>45938.444433888886</v>
      </c>
      <c r="V5513" s="44">
        <v>45938.485454803245</v>
      </c>
      <c r="W5513" s="11"/>
      <c r="X5513" s="11"/>
      <c r="Y5513" s="45">
        <v>302.0</v>
      </c>
      <c r="Z5513" s="45" t="s">
        <v>22206</v>
      </c>
      <c r="AA5513" s="31"/>
      <c r="AB5513" s="45" t="s">
        <v>22207</v>
      </c>
      <c r="AC5513" s="45"/>
    </row>
    <row r="5514" ht="18.75" customHeight="1">
      <c r="A5514" s="142" t="s">
        <v>22208</v>
      </c>
      <c r="B5514" s="33" t="s">
        <v>5277</v>
      </c>
      <c r="C5514" s="20">
        <v>2.0</v>
      </c>
      <c r="D5514" s="220" t="s">
        <v>22209</v>
      </c>
      <c r="E5514" s="22" t="s">
        <v>14519</v>
      </c>
      <c r="F5514" s="27" t="s">
        <v>48</v>
      </c>
      <c r="G5514" s="18" t="s">
        <v>35</v>
      </c>
      <c r="H5514" s="40" t="s">
        <v>35</v>
      </c>
      <c r="I5514" s="37" t="s">
        <v>36</v>
      </c>
      <c r="J5514" s="25" t="s">
        <v>65</v>
      </c>
      <c r="K5514" s="26" t="s">
        <v>38</v>
      </c>
      <c r="L5514" s="25">
        <v>14122.0</v>
      </c>
      <c r="M5514" s="49" t="s">
        <v>50</v>
      </c>
      <c r="N5514" s="42" t="s">
        <v>16408</v>
      </c>
      <c r="O5514" s="67">
        <v>45940.64765327546</v>
      </c>
      <c r="P5514" s="35" t="s">
        <v>22210</v>
      </c>
      <c r="Q5514" s="13" t="s">
        <v>75</v>
      </c>
      <c r="R5514" s="13" t="s">
        <v>75</v>
      </c>
      <c r="S5514" s="13" t="s">
        <v>9620</v>
      </c>
      <c r="T5514" s="44">
        <v>45938.455839386574</v>
      </c>
      <c r="U5514" s="44">
        <v>45938.461775648146</v>
      </c>
      <c r="V5514" s="44">
        <v>45939.6297009838</v>
      </c>
      <c r="W5514" s="11"/>
      <c r="X5514" s="11"/>
      <c r="Y5514" s="45">
        <v>302.0</v>
      </c>
      <c r="Z5514" s="45" t="s">
        <v>22211</v>
      </c>
      <c r="AA5514" s="31"/>
      <c r="AB5514" s="45" t="s">
        <v>22212</v>
      </c>
      <c r="AC5514" s="45">
        <v>1.0</v>
      </c>
    </row>
    <row r="5515" ht="18.75" customHeight="1">
      <c r="A5515" s="142" t="s">
        <v>22213</v>
      </c>
      <c r="B5515" s="33" t="s">
        <v>19608</v>
      </c>
      <c r="C5515" s="20">
        <v>11.0</v>
      </c>
      <c r="D5515" s="39" t="s">
        <v>22214</v>
      </c>
      <c r="E5515" s="27" t="s">
        <v>112</v>
      </c>
      <c r="F5515" s="27" t="s">
        <v>48</v>
      </c>
      <c r="G5515" s="18" t="s">
        <v>35</v>
      </c>
      <c r="H5515" s="40" t="s">
        <v>35</v>
      </c>
      <c r="I5515" s="37" t="s">
        <v>36</v>
      </c>
      <c r="J5515" s="25" t="s">
        <v>49</v>
      </c>
      <c r="K5515" s="26" t="s">
        <v>19685</v>
      </c>
      <c r="L5515" s="25">
        <v>14088.0</v>
      </c>
      <c r="M5515" s="49" t="s">
        <v>50</v>
      </c>
      <c r="N5515" s="42" t="s">
        <v>17048</v>
      </c>
      <c r="O5515" s="67">
        <v>45938.61305329861</v>
      </c>
      <c r="P5515" s="35" t="s">
        <v>22215</v>
      </c>
      <c r="Q5515" s="13" t="s">
        <v>75</v>
      </c>
      <c r="R5515" s="13" t="s">
        <v>75</v>
      </c>
      <c r="S5515" s="13" t="s">
        <v>73</v>
      </c>
      <c r="T5515" s="44">
        <v>45937.64250834491</v>
      </c>
      <c r="U5515" s="44">
        <v>45937.64252704861</v>
      </c>
      <c r="V5515" s="44">
        <v>45938.42238203704</v>
      </c>
      <c r="W5515" s="11"/>
      <c r="X5515" s="11"/>
      <c r="Y5515" s="45">
        <v>302.0</v>
      </c>
      <c r="Z5515" s="45" t="s">
        <v>22216</v>
      </c>
      <c r="AA5515" s="31"/>
      <c r="AB5515" s="45" t="s">
        <v>22217</v>
      </c>
      <c r="AC5515" s="45"/>
    </row>
    <row r="5516" ht="18.75" customHeight="1">
      <c r="A5516" s="142" t="s">
        <v>22218</v>
      </c>
      <c r="B5516" s="33" t="s">
        <v>5586</v>
      </c>
      <c r="C5516" s="20">
        <v>90.0</v>
      </c>
      <c r="D5516" s="39" t="s">
        <v>22219</v>
      </c>
      <c r="E5516" s="27" t="s">
        <v>91</v>
      </c>
      <c r="F5516" s="27" t="s">
        <v>48</v>
      </c>
      <c r="G5516" s="18" t="s">
        <v>35</v>
      </c>
      <c r="H5516" s="40" t="s">
        <v>35</v>
      </c>
      <c r="I5516" s="37" t="s">
        <v>36</v>
      </c>
      <c r="J5516" s="25" t="s">
        <v>49</v>
      </c>
      <c r="K5516" s="26" t="s">
        <v>16905</v>
      </c>
      <c r="L5516" s="25">
        <v>14162.0</v>
      </c>
      <c r="M5516" s="49" t="s">
        <v>50</v>
      </c>
      <c r="N5516" s="42" t="s">
        <v>18561</v>
      </c>
      <c r="O5516" s="67">
        <v>45945.61314461805</v>
      </c>
      <c r="P5516" s="35" t="s">
        <v>22220</v>
      </c>
      <c r="Q5516" s="13" t="s">
        <v>75</v>
      </c>
      <c r="R5516" s="13" t="s">
        <v>75</v>
      </c>
      <c r="S5516" s="13" t="s">
        <v>73</v>
      </c>
      <c r="T5516" s="44">
        <v>45937.44000144676</v>
      </c>
      <c r="U5516" s="44">
        <v>45945.50127994213</v>
      </c>
      <c r="V5516" s="44">
        <v>45945.54642103009</v>
      </c>
      <c r="W5516" s="11"/>
      <c r="X5516" s="11"/>
      <c r="Y5516" s="45">
        <v>302.0</v>
      </c>
      <c r="Z5516" s="45" t="s">
        <v>22221</v>
      </c>
      <c r="AA5516" s="31"/>
      <c r="AB5516" s="45" t="s">
        <v>22222</v>
      </c>
      <c r="AC5516" s="45"/>
    </row>
    <row r="5517" ht="18.75" customHeight="1">
      <c r="A5517" s="142" t="s">
        <v>22223</v>
      </c>
      <c r="B5517" s="33" t="s">
        <v>7490</v>
      </c>
      <c r="C5517" s="20">
        <v>34.0</v>
      </c>
      <c r="D5517" s="39" t="s">
        <v>22224</v>
      </c>
      <c r="E5517" s="27" t="s">
        <v>47</v>
      </c>
      <c r="F5517" s="27" t="s">
        <v>48</v>
      </c>
      <c r="G5517" s="18" t="s">
        <v>35</v>
      </c>
      <c r="H5517" s="40" t="s">
        <v>35</v>
      </c>
      <c r="I5517" s="37" t="s">
        <v>36</v>
      </c>
      <c r="J5517" s="25" t="s">
        <v>92</v>
      </c>
      <c r="K5517" s="26" t="s">
        <v>38</v>
      </c>
      <c r="L5517" s="25">
        <v>14089.0</v>
      </c>
      <c r="M5517" s="49" t="s">
        <v>50</v>
      </c>
      <c r="N5517" s="42" t="s">
        <v>6840</v>
      </c>
      <c r="O5517" s="67">
        <v>45938.628615497684</v>
      </c>
      <c r="P5517" s="35" t="s">
        <v>22225</v>
      </c>
      <c r="Q5517" s="13" t="s">
        <v>75</v>
      </c>
      <c r="R5517" s="13" t="s">
        <v>67</v>
      </c>
      <c r="S5517" s="13" t="s">
        <v>73</v>
      </c>
      <c r="T5517" s="44">
        <v>45937.44199755787</v>
      </c>
      <c r="U5517" s="44">
        <v>45938.39921408565</v>
      </c>
      <c r="V5517" s="44">
        <v>45938.43589627315</v>
      </c>
      <c r="W5517" s="11"/>
      <c r="X5517" s="11"/>
      <c r="Y5517" s="45">
        <v>302.0</v>
      </c>
      <c r="Z5517" s="45" t="s">
        <v>22226</v>
      </c>
      <c r="AA5517" s="31"/>
      <c r="AB5517" s="45" t="s">
        <v>22227</v>
      </c>
      <c r="AC5517" s="45"/>
    </row>
    <row r="5518" ht="18.75" customHeight="1">
      <c r="A5518" s="142" t="s">
        <v>22228</v>
      </c>
      <c r="B5518" s="33" t="s">
        <v>4450</v>
      </c>
      <c r="C5518" s="20">
        <v>0.0</v>
      </c>
      <c r="D5518" s="39"/>
      <c r="E5518" s="27" t="s">
        <v>3441</v>
      </c>
      <c r="F5518" s="27" t="s">
        <v>48</v>
      </c>
      <c r="G5518" s="18" t="s">
        <v>35</v>
      </c>
      <c r="H5518" s="40" t="s">
        <v>35</v>
      </c>
      <c r="I5518" s="37" t="s">
        <v>17277</v>
      </c>
      <c r="J5518" s="25" t="s">
        <v>420</v>
      </c>
      <c r="K5518" s="26" t="s">
        <v>38</v>
      </c>
      <c r="L5518" s="25"/>
      <c r="M5518" s="49"/>
      <c r="N5518" s="42"/>
      <c r="O5518" s="68"/>
      <c r="P5518" s="35" t="s">
        <v>22229</v>
      </c>
      <c r="Q5518" s="13" t="s">
        <v>67</v>
      </c>
      <c r="R5518" s="13" t="s">
        <v>67</v>
      </c>
      <c r="S5518" s="13"/>
      <c r="T5518" s="44">
        <v>45937.44091493056</v>
      </c>
      <c r="U5518" s="13"/>
      <c r="V5518" s="13"/>
      <c r="W5518" s="11"/>
      <c r="X5518" s="11"/>
      <c r="Y5518" s="45"/>
      <c r="Z5518" s="45"/>
      <c r="AA5518" s="31"/>
      <c r="AB5518" s="45" t="s">
        <v>22230</v>
      </c>
      <c r="AC5518" s="45"/>
    </row>
    <row r="5519" ht="18.75" customHeight="1">
      <c r="A5519" s="142" t="s">
        <v>22231</v>
      </c>
      <c r="B5519" s="33" t="s">
        <v>19374</v>
      </c>
      <c r="C5519" s="20">
        <v>90.0</v>
      </c>
      <c r="D5519" s="39" t="s">
        <v>22232</v>
      </c>
      <c r="E5519" s="27" t="s">
        <v>91</v>
      </c>
      <c r="F5519" s="27" t="s">
        <v>48</v>
      </c>
      <c r="G5519" s="18" t="s">
        <v>35</v>
      </c>
      <c r="H5519" s="40" t="s">
        <v>35</v>
      </c>
      <c r="I5519" s="37" t="s">
        <v>36</v>
      </c>
      <c r="J5519" s="25" t="s">
        <v>92</v>
      </c>
      <c r="K5519" s="26" t="s">
        <v>38</v>
      </c>
      <c r="L5519" s="25">
        <v>14090.0</v>
      </c>
      <c r="M5519" s="49" t="s">
        <v>50</v>
      </c>
      <c r="N5519" s="42" t="s">
        <v>22233</v>
      </c>
      <c r="O5519" s="67">
        <v>45940.63395959491</v>
      </c>
      <c r="P5519" s="26"/>
      <c r="Q5519" s="13" t="s">
        <v>67</v>
      </c>
      <c r="R5519" s="13" t="s">
        <v>67</v>
      </c>
      <c r="S5519" s="13" t="s">
        <v>73</v>
      </c>
      <c r="T5519" s="44">
        <v>45937.44254841435</v>
      </c>
      <c r="U5519" s="44">
        <v>45938.408964918985</v>
      </c>
      <c r="V5519" s="44">
        <v>45938.43326144676</v>
      </c>
      <c r="W5519" s="11"/>
      <c r="X5519" s="11"/>
      <c r="Y5519" s="45">
        <v>302.0</v>
      </c>
      <c r="Z5519" s="45" t="s">
        <v>22234</v>
      </c>
      <c r="AA5519" s="31"/>
      <c r="AB5519" s="45" t="s">
        <v>22235</v>
      </c>
      <c r="AC5519" s="45"/>
    </row>
    <row r="5520" ht="18.75" customHeight="1">
      <c r="A5520" s="18" t="s">
        <v>22236</v>
      </c>
      <c r="B5520" s="33" t="s">
        <v>4313</v>
      </c>
      <c r="C5520" s="20">
        <v>0.0</v>
      </c>
      <c r="D5520" s="39" t="s">
        <v>20944</v>
      </c>
      <c r="E5520" s="27" t="s">
        <v>11503</v>
      </c>
      <c r="F5520" s="27" t="s">
        <v>11504</v>
      </c>
      <c r="G5520" s="18" t="s">
        <v>35</v>
      </c>
      <c r="H5520" s="40" t="s">
        <v>35</v>
      </c>
      <c r="I5520" s="37" t="s">
        <v>36</v>
      </c>
      <c r="J5520" s="25" t="s">
        <v>92</v>
      </c>
      <c r="K5520" s="26" t="s">
        <v>38</v>
      </c>
      <c r="L5520" s="25">
        <v>14109.0</v>
      </c>
      <c r="M5520" s="49" t="s">
        <v>50</v>
      </c>
      <c r="N5520" s="42" t="s">
        <v>10176</v>
      </c>
      <c r="O5520" s="67">
        <v>45940.60750834491</v>
      </c>
      <c r="P5520" s="35" t="s">
        <v>17486</v>
      </c>
      <c r="Q5520" s="13" t="s">
        <v>67</v>
      </c>
      <c r="R5520" s="13" t="s">
        <v>67</v>
      </c>
      <c r="S5520" s="13" t="s">
        <v>73</v>
      </c>
      <c r="T5520" s="44">
        <v>45938.49382246527</v>
      </c>
      <c r="U5520" s="44">
        <v>45939.40868665509</v>
      </c>
      <c r="V5520" s="44">
        <v>45939.448192118056</v>
      </c>
      <c r="W5520" s="11"/>
      <c r="X5520" s="11"/>
      <c r="Y5520" s="45">
        <v>302.0</v>
      </c>
      <c r="Z5520" s="45" t="s">
        <v>22237</v>
      </c>
      <c r="AA5520" s="31"/>
      <c r="AB5520" s="45" t="s">
        <v>22238</v>
      </c>
      <c r="AC5520" s="45"/>
    </row>
    <row r="5521" ht="18.75" customHeight="1">
      <c r="A5521" s="18" t="s">
        <v>22239</v>
      </c>
      <c r="B5521" s="33" t="s">
        <v>4313</v>
      </c>
      <c r="C5521" s="20">
        <v>0.0</v>
      </c>
      <c r="D5521" s="39" t="s">
        <v>20944</v>
      </c>
      <c r="E5521" s="27" t="s">
        <v>11503</v>
      </c>
      <c r="F5521" s="27" t="s">
        <v>11504</v>
      </c>
      <c r="G5521" s="18" t="s">
        <v>35</v>
      </c>
      <c r="H5521" s="40" t="s">
        <v>35</v>
      </c>
      <c r="I5521" s="37" t="s">
        <v>36</v>
      </c>
      <c r="J5521" s="25" t="s">
        <v>92</v>
      </c>
      <c r="K5521" s="26" t="s">
        <v>38</v>
      </c>
      <c r="L5521" s="25">
        <v>14109.0</v>
      </c>
      <c r="M5521" s="49" t="s">
        <v>50</v>
      </c>
      <c r="N5521" s="42" t="s">
        <v>10176</v>
      </c>
      <c r="O5521" s="67">
        <v>45940.60756164352</v>
      </c>
      <c r="P5521" s="35" t="s">
        <v>17486</v>
      </c>
      <c r="Q5521" s="13" t="s">
        <v>67</v>
      </c>
      <c r="R5521" s="13" t="s">
        <v>67</v>
      </c>
      <c r="S5521" s="13" t="s">
        <v>73</v>
      </c>
      <c r="T5521" s="44">
        <v>45938.4940447338</v>
      </c>
      <c r="U5521" s="44">
        <v>45939.40872157407</v>
      </c>
      <c r="V5521" s="44">
        <v>45939.448192118056</v>
      </c>
      <c r="W5521" s="11"/>
      <c r="X5521" s="11"/>
      <c r="Y5521" s="45">
        <v>302.0</v>
      </c>
      <c r="Z5521" s="45" t="s">
        <v>22240</v>
      </c>
      <c r="AA5521" s="31"/>
      <c r="AB5521" s="45" t="s">
        <v>22241</v>
      </c>
      <c r="AC5521" s="45"/>
    </row>
    <row r="5522" ht="18.75" customHeight="1">
      <c r="A5522" s="18" t="s">
        <v>22242</v>
      </c>
      <c r="B5522" s="33" t="s">
        <v>4313</v>
      </c>
      <c r="C5522" s="20">
        <v>0.0</v>
      </c>
      <c r="D5522" s="39" t="s">
        <v>20944</v>
      </c>
      <c r="E5522" s="27" t="s">
        <v>11503</v>
      </c>
      <c r="F5522" s="27" t="s">
        <v>11504</v>
      </c>
      <c r="G5522" s="18" t="s">
        <v>35</v>
      </c>
      <c r="H5522" s="40" t="s">
        <v>35</v>
      </c>
      <c r="I5522" s="37" t="s">
        <v>36</v>
      </c>
      <c r="J5522" s="25" t="s">
        <v>92</v>
      </c>
      <c r="K5522" s="26" t="s">
        <v>38</v>
      </c>
      <c r="L5522" s="25">
        <v>14109.0</v>
      </c>
      <c r="M5522" s="49" t="s">
        <v>50</v>
      </c>
      <c r="N5522" s="42" t="s">
        <v>10176</v>
      </c>
      <c r="O5522" s="67">
        <v>45940.6076090625</v>
      </c>
      <c r="P5522" s="35" t="s">
        <v>17486</v>
      </c>
      <c r="Q5522" s="13" t="s">
        <v>67</v>
      </c>
      <c r="R5522" s="13" t="s">
        <v>67</v>
      </c>
      <c r="S5522" s="13" t="s">
        <v>73</v>
      </c>
      <c r="T5522" s="44">
        <v>45938.4940894676</v>
      </c>
      <c r="U5522" s="44">
        <v>45939.40882359954</v>
      </c>
      <c r="V5522" s="44">
        <v>45939.448192129625</v>
      </c>
      <c r="W5522" s="11"/>
      <c r="X5522" s="11"/>
      <c r="Y5522" s="45">
        <v>302.0</v>
      </c>
      <c r="Z5522" s="45" t="s">
        <v>22243</v>
      </c>
      <c r="AA5522" s="31"/>
      <c r="AB5522" s="45" t="s">
        <v>22244</v>
      </c>
      <c r="AC5522" s="45"/>
    </row>
    <row r="5523" ht="18.75" customHeight="1">
      <c r="A5523" s="18" t="s">
        <v>22245</v>
      </c>
      <c r="B5523" s="33" t="s">
        <v>4313</v>
      </c>
      <c r="C5523" s="20">
        <v>0.0</v>
      </c>
      <c r="D5523" s="39" t="s">
        <v>20944</v>
      </c>
      <c r="E5523" s="27" t="s">
        <v>11503</v>
      </c>
      <c r="F5523" s="27" t="s">
        <v>11504</v>
      </c>
      <c r="G5523" s="18" t="s">
        <v>35</v>
      </c>
      <c r="H5523" s="40" t="s">
        <v>35</v>
      </c>
      <c r="I5523" s="37" t="s">
        <v>36</v>
      </c>
      <c r="J5523" s="25" t="s">
        <v>92</v>
      </c>
      <c r="K5523" s="26" t="s">
        <v>38</v>
      </c>
      <c r="L5523" s="25">
        <v>14109.0</v>
      </c>
      <c r="M5523" s="49" t="s">
        <v>50</v>
      </c>
      <c r="N5523" s="42" t="s">
        <v>10176</v>
      </c>
      <c r="O5523" s="67">
        <v>45940.60771486111</v>
      </c>
      <c r="P5523" s="35" t="s">
        <v>17486</v>
      </c>
      <c r="Q5523" s="13" t="s">
        <v>67</v>
      </c>
      <c r="R5523" s="13" t="s">
        <v>67</v>
      </c>
      <c r="S5523" s="13" t="s">
        <v>73</v>
      </c>
      <c r="T5523" s="44">
        <v>45938.494139120376</v>
      </c>
      <c r="U5523" s="44">
        <v>45939.408868252314</v>
      </c>
      <c r="V5523" s="44">
        <v>45939.44842357639</v>
      </c>
      <c r="W5523" s="11"/>
      <c r="X5523" s="11"/>
      <c r="Y5523" s="45">
        <v>302.0</v>
      </c>
      <c r="Z5523" s="45" t="s">
        <v>22246</v>
      </c>
      <c r="AA5523" s="31"/>
      <c r="AB5523" s="45" t="s">
        <v>22247</v>
      </c>
      <c r="AC5523" s="45"/>
    </row>
    <row r="5524" ht="18.75" customHeight="1">
      <c r="A5524" s="18" t="s">
        <v>22248</v>
      </c>
      <c r="B5524" s="33" t="s">
        <v>4313</v>
      </c>
      <c r="C5524" s="20">
        <v>0.0</v>
      </c>
      <c r="D5524" s="39" t="s">
        <v>20944</v>
      </c>
      <c r="E5524" s="27" t="s">
        <v>11503</v>
      </c>
      <c r="F5524" s="27" t="s">
        <v>11504</v>
      </c>
      <c r="G5524" s="18" t="s">
        <v>35</v>
      </c>
      <c r="H5524" s="40" t="s">
        <v>35</v>
      </c>
      <c r="I5524" s="37" t="s">
        <v>36</v>
      </c>
      <c r="J5524" s="25" t="s">
        <v>92</v>
      </c>
      <c r="K5524" s="26" t="s">
        <v>38</v>
      </c>
      <c r="L5524" s="25">
        <v>14109.0</v>
      </c>
      <c r="M5524" s="49" t="s">
        <v>50</v>
      </c>
      <c r="N5524" s="42" t="s">
        <v>10176</v>
      </c>
      <c r="O5524" s="67">
        <v>45940.60776767361</v>
      </c>
      <c r="P5524" s="35" t="s">
        <v>17486</v>
      </c>
      <c r="Q5524" s="13" t="s">
        <v>67</v>
      </c>
      <c r="R5524" s="13" t="s">
        <v>67</v>
      </c>
      <c r="S5524" s="13" t="s">
        <v>73</v>
      </c>
      <c r="T5524" s="44">
        <v>45938.49419201389</v>
      </c>
      <c r="U5524" s="44">
        <v>45939.408935300926</v>
      </c>
      <c r="V5524" s="44">
        <v>45939.448423587964</v>
      </c>
      <c r="W5524" s="11"/>
      <c r="X5524" s="11"/>
      <c r="Y5524" s="45">
        <v>302.0</v>
      </c>
      <c r="Z5524" s="45" t="s">
        <v>22249</v>
      </c>
      <c r="AA5524" s="31"/>
      <c r="AB5524" s="45" t="s">
        <v>22250</v>
      </c>
      <c r="AC5524" s="45"/>
    </row>
    <row r="5525" ht="18.75" customHeight="1">
      <c r="A5525" s="18" t="s">
        <v>22251</v>
      </c>
      <c r="B5525" s="33" t="s">
        <v>4313</v>
      </c>
      <c r="C5525" s="20">
        <v>0.0</v>
      </c>
      <c r="D5525" s="39" t="s">
        <v>20944</v>
      </c>
      <c r="E5525" s="27" t="s">
        <v>11503</v>
      </c>
      <c r="F5525" s="27" t="s">
        <v>11504</v>
      </c>
      <c r="G5525" s="18" t="s">
        <v>35</v>
      </c>
      <c r="H5525" s="40" t="s">
        <v>35</v>
      </c>
      <c r="I5525" s="37" t="s">
        <v>36</v>
      </c>
      <c r="J5525" s="25" t="s">
        <v>92</v>
      </c>
      <c r="K5525" s="26" t="s">
        <v>38</v>
      </c>
      <c r="L5525" s="25">
        <v>14109.0</v>
      </c>
      <c r="M5525" s="49" t="s">
        <v>50</v>
      </c>
      <c r="N5525" s="42" t="s">
        <v>10176</v>
      </c>
      <c r="O5525" s="67">
        <v>45940.607810671296</v>
      </c>
      <c r="P5525" s="35" t="s">
        <v>17486</v>
      </c>
      <c r="Q5525" s="13" t="s">
        <v>67</v>
      </c>
      <c r="R5525" s="13" t="s">
        <v>67</v>
      </c>
      <c r="S5525" s="13" t="s">
        <v>73</v>
      </c>
      <c r="T5525" s="44">
        <v>45938.49423652778</v>
      </c>
      <c r="U5525" s="44">
        <v>45939.408978067135</v>
      </c>
      <c r="V5525" s="44">
        <v>45939.448423587964</v>
      </c>
      <c r="W5525" s="11"/>
      <c r="X5525" s="11"/>
      <c r="Y5525" s="45">
        <v>302.0</v>
      </c>
      <c r="Z5525" s="45" t="s">
        <v>22252</v>
      </c>
      <c r="AA5525" s="31"/>
      <c r="AB5525" s="45" t="s">
        <v>22253</v>
      </c>
      <c r="AC5525" s="45"/>
    </row>
    <row r="5526" ht="18.75" customHeight="1">
      <c r="A5526" s="18" t="s">
        <v>22254</v>
      </c>
      <c r="B5526" s="33" t="s">
        <v>4313</v>
      </c>
      <c r="C5526" s="20">
        <v>0.0</v>
      </c>
      <c r="D5526" s="39" t="s">
        <v>20944</v>
      </c>
      <c r="E5526" s="27" t="s">
        <v>12486</v>
      </c>
      <c r="F5526" s="27" t="s">
        <v>11504</v>
      </c>
      <c r="G5526" s="18" t="s">
        <v>35</v>
      </c>
      <c r="H5526" s="40" t="s">
        <v>35</v>
      </c>
      <c r="I5526" s="37" t="s">
        <v>36</v>
      </c>
      <c r="J5526" s="25" t="s">
        <v>92</v>
      </c>
      <c r="K5526" s="26" t="s">
        <v>38</v>
      </c>
      <c r="L5526" s="25">
        <v>14109.0</v>
      </c>
      <c r="M5526" s="49" t="s">
        <v>50</v>
      </c>
      <c r="N5526" s="42" t="s">
        <v>10176</v>
      </c>
      <c r="O5526" s="67">
        <v>45940.607857766205</v>
      </c>
      <c r="P5526" s="35" t="s">
        <v>17486</v>
      </c>
      <c r="Q5526" s="13" t="s">
        <v>67</v>
      </c>
      <c r="R5526" s="13" t="s">
        <v>67</v>
      </c>
      <c r="S5526" s="13" t="s">
        <v>73</v>
      </c>
      <c r="T5526" s="44">
        <v>45938.49449146991</v>
      </c>
      <c r="U5526" s="44">
        <v>45939.40899818287</v>
      </c>
      <c r="V5526" s="44">
        <v>45939.448423587964</v>
      </c>
      <c r="W5526" s="11"/>
      <c r="X5526" s="11"/>
      <c r="Y5526" s="45">
        <v>302.0</v>
      </c>
      <c r="Z5526" s="45" t="s">
        <v>22255</v>
      </c>
      <c r="AA5526" s="31"/>
      <c r="AB5526" s="45" t="s">
        <v>22256</v>
      </c>
      <c r="AC5526" s="45"/>
    </row>
    <row r="5527" ht="18.75" customHeight="1">
      <c r="A5527" s="18" t="s">
        <v>22257</v>
      </c>
      <c r="B5527" s="33" t="s">
        <v>4313</v>
      </c>
      <c r="C5527" s="20">
        <v>0.0</v>
      </c>
      <c r="D5527" s="39" t="s">
        <v>20944</v>
      </c>
      <c r="E5527" s="27" t="s">
        <v>12486</v>
      </c>
      <c r="F5527" s="27" t="s">
        <v>11504</v>
      </c>
      <c r="G5527" s="18" t="s">
        <v>35</v>
      </c>
      <c r="H5527" s="40" t="s">
        <v>35</v>
      </c>
      <c r="I5527" s="37" t="s">
        <v>36</v>
      </c>
      <c r="J5527" s="25" t="s">
        <v>92</v>
      </c>
      <c r="K5527" s="26" t="s">
        <v>38</v>
      </c>
      <c r="L5527" s="25">
        <v>14109.0</v>
      </c>
      <c r="M5527" s="49" t="s">
        <v>50</v>
      </c>
      <c r="N5527" s="42" t="s">
        <v>10176</v>
      </c>
      <c r="O5527" s="67">
        <v>45940.60790270833</v>
      </c>
      <c r="P5527" s="35" t="s">
        <v>17486</v>
      </c>
      <c r="Q5527" s="13" t="s">
        <v>67</v>
      </c>
      <c r="R5527" s="13" t="s">
        <v>67</v>
      </c>
      <c r="S5527" s="13" t="s">
        <v>73</v>
      </c>
      <c r="T5527" s="44">
        <v>45938.494669583335</v>
      </c>
      <c r="U5527" s="44">
        <v>45939.40904571759</v>
      </c>
      <c r="V5527" s="44">
        <v>45939.4483603588</v>
      </c>
      <c r="W5527" s="11"/>
      <c r="X5527" s="11"/>
      <c r="Y5527" s="45">
        <v>302.0</v>
      </c>
      <c r="Z5527" s="45" t="s">
        <v>22258</v>
      </c>
      <c r="AA5527" s="31"/>
      <c r="AB5527" s="45" t="s">
        <v>22259</v>
      </c>
      <c r="AC5527" s="45"/>
    </row>
    <row r="5528" ht="18.75" customHeight="1">
      <c r="A5528" s="18" t="s">
        <v>22260</v>
      </c>
      <c r="B5528" s="33" t="s">
        <v>4313</v>
      </c>
      <c r="C5528" s="20">
        <v>0.0</v>
      </c>
      <c r="D5528" s="39" t="s">
        <v>20944</v>
      </c>
      <c r="E5528" s="27" t="s">
        <v>12486</v>
      </c>
      <c r="F5528" s="27" t="s">
        <v>11504</v>
      </c>
      <c r="G5528" s="18" t="s">
        <v>35</v>
      </c>
      <c r="H5528" s="40" t="s">
        <v>35</v>
      </c>
      <c r="I5528" s="37" t="s">
        <v>36</v>
      </c>
      <c r="J5528" s="25" t="s">
        <v>92</v>
      </c>
      <c r="K5528" s="26" t="s">
        <v>38</v>
      </c>
      <c r="L5528" s="25">
        <v>14109.0</v>
      </c>
      <c r="M5528" s="49" t="s">
        <v>50</v>
      </c>
      <c r="N5528" s="42" t="s">
        <v>10176</v>
      </c>
      <c r="O5528" s="67">
        <v>45940.60794855324</v>
      </c>
      <c r="P5528" s="35" t="s">
        <v>17486</v>
      </c>
      <c r="Q5528" s="13" t="s">
        <v>67</v>
      </c>
      <c r="R5528" s="13" t="s">
        <v>67</v>
      </c>
      <c r="S5528" s="13" t="s">
        <v>73</v>
      </c>
      <c r="T5528" s="44">
        <v>45938.49472082176</v>
      </c>
      <c r="U5528" s="44">
        <v>45939.40908030093</v>
      </c>
      <c r="V5528" s="44">
        <v>45939.44837300926</v>
      </c>
      <c r="W5528" s="11"/>
      <c r="X5528" s="11"/>
      <c r="Y5528" s="45">
        <v>302.0</v>
      </c>
      <c r="Z5528" s="45" t="s">
        <v>22261</v>
      </c>
      <c r="AA5528" s="31"/>
      <c r="AB5528" s="45" t="s">
        <v>22262</v>
      </c>
      <c r="AC5528" s="45"/>
    </row>
    <row r="5529" ht="18.75" customHeight="1">
      <c r="A5529" s="142" t="s">
        <v>22263</v>
      </c>
      <c r="B5529" s="33" t="s">
        <v>17502</v>
      </c>
      <c r="C5529" s="20">
        <v>1.0</v>
      </c>
      <c r="D5529" s="39"/>
      <c r="E5529" s="27" t="s">
        <v>3395</v>
      </c>
      <c r="F5529" s="27" t="s">
        <v>48</v>
      </c>
      <c r="G5529" s="18" t="s">
        <v>35</v>
      </c>
      <c r="H5529" s="40" t="s">
        <v>35</v>
      </c>
      <c r="I5529" s="37" t="s">
        <v>17277</v>
      </c>
      <c r="J5529" s="25" t="s">
        <v>65</v>
      </c>
      <c r="K5529" s="26" t="s">
        <v>38</v>
      </c>
      <c r="L5529" s="25"/>
      <c r="M5529" s="49"/>
      <c r="N5529" s="42"/>
      <c r="O5529" s="68"/>
      <c r="P5529" s="35" t="s">
        <v>22264</v>
      </c>
      <c r="Q5529" s="13" t="s">
        <v>67</v>
      </c>
      <c r="R5529" s="13" t="s">
        <v>67</v>
      </c>
      <c r="S5529" s="13"/>
      <c r="T5529" s="44">
        <v>45937.445650925925</v>
      </c>
      <c r="U5529" s="13"/>
      <c r="V5529" s="13"/>
      <c r="W5529" s="11"/>
      <c r="X5529" s="11"/>
      <c r="Y5529" s="45"/>
      <c r="Z5529" s="45"/>
      <c r="AA5529" s="31"/>
      <c r="AB5529" s="45" t="s">
        <v>22265</v>
      </c>
      <c r="AC5529" s="45"/>
    </row>
    <row r="5530" ht="18.75" customHeight="1">
      <c r="A5530" s="142" t="s">
        <v>22266</v>
      </c>
      <c r="B5530" s="33" t="s">
        <v>22267</v>
      </c>
      <c r="C5530" s="20">
        <v>0.0</v>
      </c>
      <c r="D5530" s="39"/>
      <c r="E5530" s="27" t="s">
        <v>3441</v>
      </c>
      <c r="F5530" s="27" t="s">
        <v>48</v>
      </c>
      <c r="G5530" s="18" t="s">
        <v>35</v>
      </c>
      <c r="H5530" s="40" t="s">
        <v>35</v>
      </c>
      <c r="I5530" s="37" t="s">
        <v>18314</v>
      </c>
      <c r="J5530" s="25" t="s">
        <v>65</v>
      </c>
      <c r="K5530" s="26" t="s">
        <v>38</v>
      </c>
      <c r="L5530" s="25">
        <v>-14102.0</v>
      </c>
      <c r="M5530" s="49"/>
      <c r="N5530" s="42"/>
      <c r="O5530" s="68"/>
      <c r="P5530" s="35" t="s">
        <v>22268</v>
      </c>
      <c r="Q5530" s="13" t="s">
        <v>75</v>
      </c>
      <c r="R5530" s="13" t="s">
        <v>75</v>
      </c>
      <c r="S5530" s="13"/>
      <c r="T5530" s="44">
        <v>45937.443284768524</v>
      </c>
      <c r="U5530" s="44">
        <v>45938.581098622686</v>
      </c>
      <c r="V5530" s="13"/>
      <c r="W5530" s="11"/>
      <c r="X5530" s="148">
        <v>45945.0</v>
      </c>
      <c r="Y5530" s="45"/>
      <c r="Z5530" s="45"/>
      <c r="AA5530" s="31"/>
      <c r="AB5530" s="45" t="s">
        <v>22269</v>
      </c>
      <c r="AC5530" s="45"/>
    </row>
    <row r="5531" ht="18.75" customHeight="1">
      <c r="A5531" s="18" t="s">
        <v>22270</v>
      </c>
      <c r="B5531" s="33" t="s">
        <v>19901</v>
      </c>
      <c r="C5531" s="20">
        <v>0.0</v>
      </c>
      <c r="D5531" s="39"/>
      <c r="E5531" s="27" t="s">
        <v>3441</v>
      </c>
      <c r="F5531" s="27" t="s">
        <v>48</v>
      </c>
      <c r="G5531" s="18" t="s">
        <v>35</v>
      </c>
      <c r="H5531" s="40" t="s">
        <v>35</v>
      </c>
      <c r="I5531" s="37" t="s">
        <v>18314</v>
      </c>
      <c r="J5531" s="25" t="s">
        <v>65</v>
      </c>
      <c r="K5531" s="26" t="s">
        <v>38</v>
      </c>
      <c r="L5531" s="25">
        <v>-14112.0</v>
      </c>
      <c r="M5531" s="49"/>
      <c r="N5531" s="42"/>
      <c r="O5531" s="68"/>
      <c r="P5531" s="35" t="s">
        <v>22271</v>
      </c>
      <c r="Q5531" s="13" t="s">
        <v>75</v>
      </c>
      <c r="R5531" s="13" t="s">
        <v>75</v>
      </c>
      <c r="S5531" s="13"/>
      <c r="T5531" s="44">
        <v>45937.44934086806</v>
      </c>
      <c r="U5531" s="44">
        <v>45939.458444930555</v>
      </c>
      <c r="V5531" s="13"/>
      <c r="W5531" s="11"/>
      <c r="X5531" s="148">
        <v>45939.0</v>
      </c>
      <c r="Y5531" s="45"/>
      <c r="Z5531" s="45"/>
      <c r="AA5531" s="31"/>
      <c r="AB5531" s="45" t="s">
        <v>22272</v>
      </c>
      <c r="AC5531" s="45"/>
    </row>
    <row r="5532" ht="18.75" customHeight="1">
      <c r="A5532" s="18" t="s">
        <v>22273</v>
      </c>
      <c r="B5532" s="33" t="s">
        <v>19901</v>
      </c>
      <c r="C5532" s="20">
        <v>0.0</v>
      </c>
      <c r="D5532" s="39"/>
      <c r="E5532" s="27" t="s">
        <v>3441</v>
      </c>
      <c r="F5532" s="27" t="s">
        <v>48</v>
      </c>
      <c r="G5532" s="18" t="s">
        <v>35</v>
      </c>
      <c r="H5532" s="40" t="s">
        <v>35</v>
      </c>
      <c r="I5532" s="37" t="s">
        <v>18314</v>
      </c>
      <c r="J5532" s="25" t="s">
        <v>65</v>
      </c>
      <c r="K5532" s="26" t="s">
        <v>38</v>
      </c>
      <c r="L5532" s="25">
        <v>-14112.0</v>
      </c>
      <c r="M5532" s="49"/>
      <c r="N5532" s="42"/>
      <c r="O5532" s="68"/>
      <c r="P5532" s="35" t="s">
        <v>22271</v>
      </c>
      <c r="Q5532" s="13" t="s">
        <v>75</v>
      </c>
      <c r="R5532" s="13" t="s">
        <v>75</v>
      </c>
      <c r="S5532" s="13" t="s">
        <v>67</v>
      </c>
      <c r="T5532" s="44">
        <v>45937.44966042824</v>
      </c>
      <c r="U5532" s="44">
        <v>45939.45855760417</v>
      </c>
      <c r="V5532" s="13"/>
      <c r="W5532" s="11"/>
      <c r="X5532" s="148">
        <v>45939.0</v>
      </c>
      <c r="Y5532" s="45"/>
      <c r="Z5532" s="45"/>
      <c r="AA5532" s="31"/>
      <c r="AB5532" s="45" t="s">
        <v>22274</v>
      </c>
      <c r="AC5532" s="45"/>
    </row>
    <row r="5533" ht="18.75" customHeight="1">
      <c r="A5533" s="18" t="s">
        <v>22275</v>
      </c>
      <c r="B5533" s="33" t="s">
        <v>19901</v>
      </c>
      <c r="C5533" s="20">
        <v>90.0</v>
      </c>
      <c r="D5533" s="39" t="s">
        <v>22276</v>
      </c>
      <c r="E5533" s="27" t="s">
        <v>91</v>
      </c>
      <c r="F5533" s="27" t="s">
        <v>48</v>
      </c>
      <c r="G5533" s="18" t="s">
        <v>35</v>
      </c>
      <c r="H5533" s="40" t="s">
        <v>35</v>
      </c>
      <c r="I5533" s="37" t="s">
        <v>36</v>
      </c>
      <c r="J5533" s="25" t="s">
        <v>65</v>
      </c>
      <c r="K5533" s="26" t="s">
        <v>38</v>
      </c>
      <c r="L5533" s="25">
        <v>14116.0</v>
      </c>
      <c r="M5533" s="49" t="s">
        <v>50</v>
      </c>
      <c r="N5533" s="42" t="s">
        <v>16408</v>
      </c>
      <c r="O5533" s="67">
        <v>45939.63958333334</v>
      </c>
      <c r="P5533" s="35" t="s">
        <v>22271</v>
      </c>
      <c r="Q5533" s="13" t="s">
        <v>75</v>
      </c>
      <c r="R5533" s="13" t="s">
        <v>75</v>
      </c>
      <c r="S5533" s="13" t="s">
        <v>73</v>
      </c>
      <c r="T5533" s="44">
        <v>45937.44983252315</v>
      </c>
      <c r="U5533" s="44">
        <v>45939.45811927083</v>
      </c>
      <c r="V5533" s="44">
        <v>45939.46411512731</v>
      </c>
      <c r="W5533" s="11"/>
      <c r="X5533" s="148">
        <v>45939.0</v>
      </c>
      <c r="Y5533" s="45">
        <v>302.0</v>
      </c>
      <c r="Z5533" s="45" t="s">
        <v>22277</v>
      </c>
      <c r="AA5533" s="31"/>
      <c r="AB5533" s="45" t="s">
        <v>22278</v>
      </c>
      <c r="AC5533" s="45"/>
    </row>
    <row r="5534" ht="18.75" customHeight="1">
      <c r="A5534" s="18" t="s">
        <v>22279</v>
      </c>
      <c r="B5534" s="33" t="s">
        <v>19901</v>
      </c>
      <c r="C5534" s="20">
        <v>90.0</v>
      </c>
      <c r="D5534" s="39" t="s">
        <v>22280</v>
      </c>
      <c r="E5534" s="27" t="s">
        <v>91</v>
      </c>
      <c r="F5534" s="27" t="s">
        <v>48</v>
      </c>
      <c r="G5534" s="18" t="s">
        <v>35</v>
      </c>
      <c r="H5534" s="40" t="s">
        <v>35</v>
      </c>
      <c r="I5534" s="37" t="s">
        <v>36</v>
      </c>
      <c r="J5534" s="25" t="s">
        <v>65</v>
      </c>
      <c r="K5534" s="26" t="s">
        <v>38</v>
      </c>
      <c r="L5534" s="25">
        <v>14116.0</v>
      </c>
      <c r="M5534" s="49" t="s">
        <v>50</v>
      </c>
      <c r="N5534" s="42" t="s">
        <v>16408</v>
      </c>
      <c r="O5534" s="67">
        <v>45939.63958333334</v>
      </c>
      <c r="P5534" s="35" t="s">
        <v>22271</v>
      </c>
      <c r="Q5534" s="13" t="s">
        <v>75</v>
      </c>
      <c r="R5534" s="13" t="s">
        <v>75</v>
      </c>
      <c r="S5534" s="13" t="s">
        <v>73</v>
      </c>
      <c r="T5534" s="44">
        <v>45937.449962928236</v>
      </c>
      <c r="U5534" s="44">
        <v>45939.45821226852</v>
      </c>
      <c r="V5534" s="44">
        <v>45939.46411513889</v>
      </c>
      <c r="W5534" s="11"/>
      <c r="X5534" s="148">
        <v>45939.0</v>
      </c>
      <c r="Y5534" s="45">
        <v>302.0</v>
      </c>
      <c r="Z5534" s="45" t="s">
        <v>22281</v>
      </c>
      <c r="AA5534" s="31"/>
      <c r="AB5534" s="45" t="s">
        <v>22282</v>
      </c>
      <c r="AC5534" s="45"/>
    </row>
    <row r="5535" ht="18.75" customHeight="1">
      <c r="A5535" s="18" t="s">
        <v>22283</v>
      </c>
      <c r="B5535" s="33" t="s">
        <v>19901</v>
      </c>
      <c r="C5535" s="20">
        <v>34.0</v>
      </c>
      <c r="D5535" s="39" t="s">
        <v>22284</v>
      </c>
      <c r="E5535" s="27" t="s">
        <v>47</v>
      </c>
      <c r="F5535" s="27" t="s">
        <v>48</v>
      </c>
      <c r="G5535" s="18" t="s">
        <v>35</v>
      </c>
      <c r="H5535" s="40" t="s">
        <v>35</v>
      </c>
      <c r="I5535" s="37" t="s">
        <v>36</v>
      </c>
      <c r="J5535" s="25" t="s">
        <v>65</v>
      </c>
      <c r="K5535" s="26" t="s">
        <v>38</v>
      </c>
      <c r="L5535" s="25">
        <v>14116.0</v>
      </c>
      <c r="M5535" s="49" t="s">
        <v>50</v>
      </c>
      <c r="N5535" s="42" t="s">
        <v>16408</v>
      </c>
      <c r="O5535" s="67">
        <v>45940.63958333334</v>
      </c>
      <c r="P5535" s="35" t="s">
        <v>22271</v>
      </c>
      <c r="Q5535" s="13" t="s">
        <v>75</v>
      </c>
      <c r="R5535" s="13" t="s">
        <v>75</v>
      </c>
      <c r="S5535" s="13" t="s">
        <v>73</v>
      </c>
      <c r="T5535" s="44">
        <v>45937.45014454861</v>
      </c>
      <c r="U5535" s="44">
        <v>45939.458222615736</v>
      </c>
      <c r="V5535" s="44">
        <v>45939.464181840274</v>
      </c>
      <c r="W5535" s="11"/>
      <c r="X5535" s="148">
        <v>45939.0</v>
      </c>
      <c r="Y5535" s="45">
        <v>302.0</v>
      </c>
      <c r="Z5535" s="45" t="s">
        <v>22285</v>
      </c>
      <c r="AA5535" s="31"/>
      <c r="AB5535" s="45" t="s">
        <v>22286</v>
      </c>
      <c r="AC5535" s="45"/>
    </row>
    <row r="5536" ht="18.75" customHeight="1">
      <c r="A5536" s="142" t="s">
        <v>22287</v>
      </c>
      <c r="B5536" s="33" t="s">
        <v>17502</v>
      </c>
      <c r="C5536" s="20">
        <v>0.0</v>
      </c>
      <c r="D5536" s="39"/>
      <c r="E5536" s="27" t="s">
        <v>3441</v>
      </c>
      <c r="F5536" s="27" t="s">
        <v>48</v>
      </c>
      <c r="G5536" s="18" t="s">
        <v>35</v>
      </c>
      <c r="H5536" s="40" t="s">
        <v>35</v>
      </c>
      <c r="I5536" s="37" t="s">
        <v>17277</v>
      </c>
      <c r="J5536" s="25" t="s">
        <v>65</v>
      </c>
      <c r="K5536" s="26" t="s">
        <v>38</v>
      </c>
      <c r="L5536" s="25"/>
      <c r="M5536" s="49"/>
      <c r="N5536" s="42"/>
      <c r="O5536" s="68"/>
      <c r="P5536" s="35" t="s">
        <v>22264</v>
      </c>
      <c r="Q5536" s="13" t="s">
        <v>67</v>
      </c>
      <c r="R5536" s="13" t="s">
        <v>67</v>
      </c>
      <c r="S5536" s="13"/>
      <c r="T5536" s="44">
        <v>45937.451465543985</v>
      </c>
      <c r="U5536" s="13"/>
      <c r="V5536" s="13"/>
      <c r="W5536" s="11"/>
      <c r="X5536" s="11"/>
      <c r="Y5536" s="45"/>
      <c r="Z5536" s="45"/>
      <c r="AA5536" s="31"/>
      <c r="AB5536" s="45" t="s">
        <v>22288</v>
      </c>
      <c r="AC5536" s="45"/>
    </row>
    <row r="5537" ht="18.75" customHeight="1">
      <c r="A5537" s="142" t="s">
        <v>22289</v>
      </c>
      <c r="B5537" s="33" t="s">
        <v>4681</v>
      </c>
      <c r="C5537" s="20">
        <v>0.0</v>
      </c>
      <c r="D5537" s="39"/>
      <c r="E5537" s="27" t="s">
        <v>3441</v>
      </c>
      <c r="F5537" s="27" t="s">
        <v>48</v>
      </c>
      <c r="G5537" s="18" t="s">
        <v>35</v>
      </c>
      <c r="H5537" s="40" t="s">
        <v>35</v>
      </c>
      <c r="I5537" s="37" t="s">
        <v>18314</v>
      </c>
      <c r="J5537" s="25" t="s">
        <v>49</v>
      </c>
      <c r="K5537" s="26" t="s">
        <v>9962</v>
      </c>
      <c r="L5537" s="25">
        <v>-14101.0</v>
      </c>
      <c r="M5537" s="49"/>
      <c r="N5537" s="42"/>
      <c r="O5537" s="68"/>
      <c r="P5537" s="35" t="s">
        <v>22290</v>
      </c>
      <c r="Q5537" s="13" t="s">
        <v>75</v>
      </c>
      <c r="R5537" s="13" t="s">
        <v>75</v>
      </c>
      <c r="S5537" s="13"/>
      <c r="T5537" s="44">
        <v>45937.44498861111</v>
      </c>
      <c r="U5537" s="44">
        <v>45938.57631975695</v>
      </c>
      <c r="V5537" s="13"/>
      <c r="W5537" s="11"/>
      <c r="X5537" s="148">
        <v>45945.0</v>
      </c>
      <c r="Y5537" s="45"/>
      <c r="Z5537" s="45"/>
      <c r="AA5537" s="31"/>
      <c r="AB5537" s="45" t="s">
        <v>22291</v>
      </c>
      <c r="AC5537" s="45"/>
    </row>
    <row r="5538" ht="18.75" customHeight="1">
      <c r="A5538" s="142" t="s">
        <v>22292</v>
      </c>
      <c r="B5538" s="33" t="s">
        <v>22293</v>
      </c>
      <c r="C5538" s="20">
        <v>0.0</v>
      </c>
      <c r="D5538" s="39" t="s">
        <v>22294</v>
      </c>
      <c r="E5538" s="27" t="s">
        <v>4430</v>
      </c>
      <c r="F5538" s="27" t="s">
        <v>48</v>
      </c>
      <c r="G5538" s="18" t="s">
        <v>35</v>
      </c>
      <c r="H5538" s="40" t="s">
        <v>35</v>
      </c>
      <c r="I5538" s="37" t="s">
        <v>36</v>
      </c>
      <c r="J5538" s="25" t="s">
        <v>49</v>
      </c>
      <c r="K5538" s="26" t="s">
        <v>1506</v>
      </c>
      <c r="L5538" s="25">
        <v>14091.0</v>
      </c>
      <c r="M5538" s="49" t="s">
        <v>50</v>
      </c>
      <c r="N5538" s="42" t="s">
        <v>17048</v>
      </c>
      <c r="O5538" s="67">
        <v>45938.61299978009</v>
      </c>
      <c r="P5538" s="35" t="s">
        <v>22295</v>
      </c>
      <c r="Q5538" s="13" t="s">
        <v>67</v>
      </c>
      <c r="R5538" s="13" t="s">
        <v>67</v>
      </c>
      <c r="S5538" s="13" t="s">
        <v>73</v>
      </c>
      <c r="T5538" s="44">
        <v>45937.45305133102</v>
      </c>
      <c r="U5538" s="44">
        <v>45937.680433773145</v>
      </c>
      <c r="V5538" s="44">
        <v>45938.42418502315</v>
      </c>
      <c r="W5538" s="11"/>
      <c r="X5538" s="11"/>
      <c r="Y5538" s="45">
        <v>302.0</v>
      </c>
      <c r="Z5538" s="45" t="s">
        <v>22296</v>
      </c>
      <c r="AA5538" s="31"/>
      <c r="AB5538" s="45" t="s">
        <v>22297</v>
      </c>
      <c r="AC5538" s="45"/>
    </row>
    <row r="5539" ht="18.75" customHeight="1">
      <c r="A5539" s="142" t="s">
        <v>22298</v>
      </c>
      <c r="B5539" s="33" t="s">
        <v>8071</v>
      </c>
      <c r="C5539" s="20">
        <v>137.0</v>
      </c>
      <c r="D5539" s="39" t="s">
        <v>22299</v>
      </c>
      <c r="E5539" s="27" t="s">
        <v>85</v>
      </c>
      <c r="F5539" s="27" t="s">
        <v>48</v>
      </c>
      <c r="G5539" s="18" t="s">
        <v>35</v>
      </c>
      <c r="H5539" s="40" t="s">
        <v>35</v>
      </c>
      <c r="I5539" s="37" t="s">
        <v>36</v>
      </c>
      <c r="J5539" s="25" t="s">
        <v>92</v>
      </c>
      <c r="K5539" s="26" t="s">
        <v>38</v>
      </c>
      <c r="L5539" s="25">
        <v>14083.0</v>
      </c>
      <c r="M5539" s="49" t="s">
        <v>15811</v>
      </c>
      <c r="N5539" s="42"/>
      <c r="O5539" s="67">
        <v>45937.63085996528</v>
      </c>
      <c r="P5539" s="35" t="s">
        <v>22300</v>
      </c>
      <c r="Q5539" s="13" t="s">
        <v>75</v>
      </c>
      <c r="R5539" s="13" t="s">
        <v>75</v>
      </c>
      <c r="S5539" s="13" t="s">
        <v>75</v>
      </c>
      <c r="T5539" s="44">
        <v>45937.44891900463</v>
      </c>
      <c r="U5539" s="44">
        <v>45937.63085996528</v>
      </c>
      <c r="V5539" s="44">
        <v>45937.63085996528</v>
      </c>
      <c r="W5539" s="11"/>
      <c r="X5539" s="11"/>
      <c r="Y5539" s="45"/>
      <c r="Z5539" s="45"/>
      <c r="AA5539" s="31"/>
      <c r="AB5539" s="45" t="s">
        <v>22301</v>
      </c>
      <c r="AC5539" s="45"/>
    </row>
    <row r="5540" ht="18.75" customHeight="1">
      <c r="A5540" s="142" t="s">
        <v>22302</v>
      </c>
      <c r="B5540" s="33" t="s">
        <v>19122</v>
      </c>
      <c r="C5540" s="20">
        <v>11.0</v>
      </c>
      <c r="D5540" s="39" t="s">
        <v>22303</v>
      </c>
      <c r="E5540" s="27" t="s">
        <v>112</v>
      </c>
      <c r="F5540" s="27" t="s">
        <v>48</v>
      </c>
      <c r="G5540" s="18" t="s">
        <v>35</v>
      </c>
      <c r="H5540" s="40" t="s">
        <v>35</v>
      </c>
      <c r="I5540" s="37" t="s">
        <v>36</v>
      </c>
      <c r="J5540" s="25" t="s">
        <v>65</v>
      </c>
      <c r="K5540" s="26" t="s">
        <v>38</v>
      </c>
      <c r="L5540" s="25">
        <v>14196.0</v>
      </c>
      <c r="M5540" s="49" t="s">
        <v>50</v>
      </c>
      <c r="N5540" s="42" t="s">
        <v>16408</v>
      </c>
      <c r="O5540" s="67">
        <v>45950.6525666088</v>
      </c>
      <c r="P5540" s="35" t="s">
        <v>14372</v>
      </c>
      <c r="Q5540" s="13" t="s">
        <v>75</v>
      </c>
      <c r="R5540" s="13" t="s">
        <v>75</v>
      </c>
      <c r="S5540" s="13" t="s">
        <v>73</v>
      </c>
      <c r="T5540" s="44">
        <v>45937.45530243056</v>
      </c>
      <c r="U5540" s="44">
        <v>45938.572973842594</v>
      </c>
      <c r="V5540" s="44">
        <v>45950.470604409726</v>
      </c>
      <c r="W5540" s="11"/>
      <c r="X5540" s="148">
        <v>45945.0</v>
      </c>
      <c r="Y5540" s="45">
        <v>302.0</v>
      </c>
      <c r="Z5540" s="45" t="s">
        <v>22304</v>
      </c>
      <c r="AA5540" s="31"/>
      <c r="AB5540" s="45" t="s">
        <v>22305</v>
      </c>
      <c r="AC5540" s="45"/>
    </row>
    <row r="5541" ht="18.75" customHeight="1">
      <c r="A5541" s="142" t="s">
        <v>22306</v>
      </c>
      <c r="B5541" s="33" t="s">
        <v>22307</v>
      </c>
      <c r="C5541" s="20">
        <v>90.0</v>
      </c>
      <c r="D5541" s="39" t="s">
        <v>22308</v>
      </c>
      <c r="E5541" s="27" t="s">
        <v>91</v>
      </c>
      <c r="F5541" s="27" t="s">
        <v>48</v>
      </c>
      <c r="G5541" s="18" t="s">
        <v>35</v>
      </c>
      <c r="H5541" s="40" t="s">
        <v>35</v>
      </c>
      <c r="I5541" s="37" t="s">
        <v>36</v>
      </c>
      <c r="J5541" s="25" t="s">
        <v>49</v>
      </c>
      <c r="K5541" s="26" t="s">
        <v>38</v>
      </c>
      <c r="L5541" s="25">
        <v>14092.0</v>
      </c>
      <c r="M5541" s="49" t="s">
        <v>50</v>
      </c>
      <c r="N5541" s="42" t="s">
        <v>17048</v>
      </c>
      <c r="O5541" s="67">
        <v>45938.612953275464</v>
      </c>
      <c r="P5541" s="35" t="s">
        <v>22309</v>
      </c>
      <c r="Q5541" s="13" t="s">
        <v>67</v>
      </c>
      <c r="R5541" s="13" t="s">
        <v>67</v>
      </c>
      <c r="S5541" s="13" t="s">
        <v>73</v>
      </c>
      <c r="T5541" s="44">
        <v>45937.48303142361</v>
      </c>
      <c r="U5541" s="44">
        <v>45937.684923912035</v>
      </c>
      <c r="V5541" s="44">
        <v>45938.428555509265</v>
      </c>
      <c r="W5541" s="11"/>
      <c r="X5541" s="11"/>
      <c r="Y5541" s="45">
        <v>302.0</v>
      </c>
      <c r="Z5541" s="45" t="s">
        <v>22310</v>
      </c>
      <c r="AA5541" s="31"/>
      <c r="AB5541" s="45" t="s">
        <v>22311</v>
      </c>
      <c r="AC5541" s="45"/>
    </row>
    <row r="5542" ht="18.75" customHeight="1">
      <c r="A5542" s="18" t="s">
        <v>22312</v>
      </c>
      <c r="B5542" s="33" t="s">
        <v>22313</v>
      </c>
      <c r="C5542" s="20">
        <v>90.0</v>
      </c>
      <c r="D5542" s="39" t="s">
        <v>22314</v>
      </c>
      <c r="E5542" s="27" t="s">
        <v>91</v>
      </c>
      <c r="F5542" s="27" t="s">
        <v>48</v>
      </c>
      <c r="G5542" s="18" t="s">
        <v>35</v>
      </c>
      <c r="H5542" s="40" t="s">
        <v>35</v>
      </c>
      <c r="I5542" s="37" t="s">
        <v>36</v>
      </c>
      <c r="J5542" s="25" t="s">
        <v>49</v>
      </c>
      <c r="K5542" s="26" t="s">
        <v>21399</v>
      </c>
      <c r="L5542" s="25">
        <v>14143.0</v>
      </c>
      <c r="M5542" s="49" t="s">
        <v>50</v>
      </c>
      <c r="N5542" s="42" t="s">
        <v>17048</v>
      </c>
      <c r="O5542" s="67">
        <v>45944.60939655092</v>
      </c>
      <c r="P5542" s="35" t="s">
        <v>22315</v>
      </c>
      <c r="Q5542" s="13" t="s">
        <v>6028</v>
      </c>
      <c r="R5542" s="13" t="s">
        <v>6028</v>
      </c>
      <c r="S5542" s="13" t="s">
        <v>50</v>
      </c>
      <c r="T5542" s="44">
        <v>45937.564728125</v>
      </c>
      <c r="U5542" s="44">
        <v>45943.601842731485</v>
      </c>
      <c r="V5542" s="44">
        <v>45943.605635844906</v>
      </c>
      <c r="W5542" s="11"/>
      <c r="X5542" s="148">
        <v>45943.0</v>
      </c>
      <c r="Y5542" s="45">
        <v>302.0</v>
      </c>
      <c r="Z5542" s="45" t="s">
        <v>22316</v>
      </c>
      <c r="AA5542" s="31"/>
      <c r="AB5542" s="45" t="s">
        <v>22317</v>
      </c>
      <c r="AC5542" s="45"/>
    </row>
    <row r="5543" ht="18.75" customHeight="1">
      <c r="A5543" s="18" t="s">
        <v>22318</v>
      </c>
      <c r="B5543" s="33" t="s">
        <v>22313</v>
      </c>
      <c r="C5543" s="20">
        <v>0.0</v>
      </c>
      <c r="D5543" s="39"/>
      <c r="E5543" s="27" t="s">
        <v>3441</v>
      </c>
      <c r="F5543" s="27" t="s">
        <v>48</v>
      </c>
      <c r="G5543" s="18" t="s">
        <v>35</v>
      </c>
      <c r="H5543" s="40" t="s">
        <v>35</v>
      </c>
      <c r="I5543" s="37" t="s">
        <v>18314</v>
      </c>
      <c r="J5543" s="25" t="s">
        <v>49</v>
      </c>
      <c r="K5543" s="26" t="s">
        <v>21399</v>
      </c>
      <c r="L5543" s="25">
        <v>-14141.0</v>
      </c>
      <c r="M5543" s="49"/>
      <c r="N5543" s="42"/>
      <c r="O5543" s="68"/>
      <c r="P5543" s="35" t="s">
        <v>22315</v>
      </c>
      <c r="Q5543" s="13" t="s">
        <v>6028</v>
      </c>
      <c r="R5543" s="13" t="s">
        <v>6028</v>
      </c>
      <c r="S5543" s="13" t="s">
        <v>67</v>
      </c>
      <c r="T5543" s="44">
        <v>45937.56502587963</v>
      </c>
      <c r="U5543" s="44">
        <v>45943.60186106482</v>
      </c>
      <c r="V5543" s="13"/>
      <c r="W5543" s="11"/>
      <c r="X5543" s="148">
        <v>45943.0</v>
      </c>
      <c r="Y5543" s="45"/>
      <c r="Z5543" s="45"/>
      <c r="AA5543" s="31"/>
      <c r="AB5543" s="45" t="s">
        <v>22319</v>
      </c>
      <c r="AC5543" s="45"/>
    </row>
    <row r="5544" ht="18.75" customHeight="1">
      <c r="A5544" s="18" t="s">
        <v>22320</v>
      </c>
      <c r="B5544" s="33" t="s">
        <v>22313</v>
      </c>
      <c r="C5544" s="20">
        <v>0.0</v>
      </c>
      <c r="D5544" s="39"/>
      <c r="E5544" s="27" t="s">
        <v>3441</v>
      </c>
      <c r="F5544" s="27" t="s">
        <v>48</v>
      </c>
      <c r="G5544" s="18" t="s">
        <v>35</v>
      </c>
      <c r="H5544" s="40" t="s">
        <v>35</v>
      </c>
      <c r="I5544" s="37" t="s">
        <v>18314</v>
      </c>
      <c r="J5544" s="25" t="s">
        <v>49</v>
      </c>
      <c r="K5544" s="26" t="s">
        <v>21399</v>
      </c>
      <c r="L5544" s="25">
        <v>-14141.0</v>
      </c>
      <c r="M5544" s="49"/>
      <c r="N5544" s="42"/>
      <c r="O5544" s="68"/>
      <c r="P5544" s="35" t="s">
        <v>22315</v>
      </c>
      <c r="Q5544" s="13" t="s">
        <v>6028</v>
      </c>
      <c r="R5544" s="13" t="s">
        <v>6028</v>
      </c>
      <c r="S5544" s="13" t="s">
        <v>67</v>
      </c>
      <c r="T5544" s="44">
        <v>45937.565123981476</v>
      </c>
      <c r="U5544" s="44">
        <v>45943.60192548611</v>
      </c>
      <c r="V5544" s="13"/>
      <c r="W5544" s="11"/>
      <c r="X5544" s="148">
        <v>45943.0</v>
      </c>
      <c r="Y5544" s="45"/>
      <c r="Z5544" s="45"/>
      <c r="AA5544" s="31"/>
      <c r="AB5544" s="45" t="s">
        <v>22321</v>
      </c>
      <c r="AC5544" s="45"/>
    </row>
    <row r="5545" ht="18.75" customHeight="1">
      <c r="A5545" s="18" t="s">
        <v>22322</v>
      </c>
      <c r="B5545" s="33" t="s">
        <v>22313</v>
      </c>
      <c r="C5545" s="20">
        <v>137.0</v>
      </c>
      <c r="D5545" s="39" t="s">
        <v>22323</v>
      </c>
      <c r="E5545" s="27" t="s">
        <v>85</v>
      </c>
      <c r="F5545" s="27" t="s">
        <v>48</v>
      </c>
      <c r="G5545" s="18" t="s">
        <v>35</v>
      </c>
      <c r="H5545" s="40" t="s">
        <v>35</v>
      </c>
      <c r="I5545" s="37" t="s">
        <v>36</v>
      </c>
      <c r="J5545" s="25" t="s">
        <v>49</v>
      </c>
      <c r="K5545" s="26" t="s">
        <v>21399</v>
      </c>
      <c r="L5545" s="25">
        <v>14143.0</v>
      </c>
      <c r="M5545" s="49" t="s">
        <v>50</v>
      </c>
      <c r="N5545" s="42" t="s">
        <v>17048</v>
      </c>
      <c r="O5545" s="67">
        <v>45944.60934487269</v>
      </c>
      <c r="P5545" s="35" t="s">
        <v>22315</v>
      </c>
      <c r="Q5545" s="13" t="s">
        <v>6028</v>
      </c>
      <c r="R5545" s="13" t="s">
        <v>6028</v>
      </c>
      <c r="S5545" s="13" t="s">
        <v>50</v>
      </c>
      <c r="T5545" s="44">
        <v>45937.56579945602</v>
      </c>
      <c r="U5545" s="44">
        <v>45943.60181791667</v>
      </c>
      <c r="V5545" s="44">
        <v>45943.605635844906</v>
      </c>
      <c r="W5545" s="11"/>
      <c r="X5545" s="148">
        <v>45943.0</v>
      </c>
      <c r="Y5545" s="45">
        <v>302.0</v>
      </c>
      <c r="Z5545" s="45" t="s">
        <v>22324</v>
      </c>
      <c r="AA5545" s="31"/>
      <c r="AB5545" s="45" t="s">
        <v>22325</v>
      </c>
      <c r="AC5545" s="45"/>
    </row>
    <row r="5546" ht="18.75" customHeight="1">
      <c r="A5546" s="142" t="s">
        <v>22326</v>
      </c>
      <c r="B5546" s="33" t="s">
        <v>22313</v>
      </c>
      <c r="C5546" s="20">
        <v>0.0</v>
      </c>
      <c r="D5546" s="39"/>
      <c r="E5546" s="27" t="s">
        <v>3441</v>
      </c>
      <c r="F5546" s="27" t="s">
        <v>48</v>
      </c>
      <c r="G5546" s="18" t="s">
        <v>35</v>
      </c>
      <c r="H5546" s="40" t="s">
        <v>35</v>
      </c>
      <c r="I5546" s="37" t="s">
        <v>18314</v>
      </c>
      <c r="J5546" s="25" t="s">
        <v>49</v>
      </c>
      <c r="K5546" s="26" t="s">
        <v>21399</v>
      </c>
      <c r="L5546" s="25"/>
      <c r="M5546" s="49"/>
      <c r="N5546" s="42"/>
      <c r="O5546" s="68"/>
      <c r="P5546" s="35" t="s">
        <v>22327</v>
      </c>
      <c r="Q5546" s="13" t="s">
        <v>67</v>
      </c>
      <c r="R5546" s="13" t="s">
        <v>67</v>
      </c>
      <c r="S5546" s="13"/>
      <c r="T5546" s="44">
        <v>45937.67335254629</v>
      </c>
      <c r="U5546" s="44">
        <v>45943.41560150463</v>
      </c>
      <c r="V5546" s="13"/>
      <c r="W5546" s="11"/>
      <c r="X5546" s="11"/>
      <c r="Y5546" s="45"/>
      <c r="Z5546" s="45"/>
      <c r="AA5546" s="31"/>
      <c r="AB5546" s="45" t="s">
        <v>22328</v>
      </c>
      <c r="AC5546" s="45"/>
    </row>
    <row r="5547" ht="18.75" customHeight="1">
      <c r="A5547" s="142" t="s">
        <v>22329</v>
      </c>
      <c r="B5547" s="33" t="s">
        <v>4352</v>
      </c>
      <c r="C5547" s="20">
        <v>0.0</v>
      </c>
      <c r="D5547" s="39"/>
      <c r="E5547" s="27" t="s">
        <v>12405</v>
      </c>
      <c r="F5547" s="27" t="s">
        <v>48</v>
      </c>
      <c r="G5547" s="18" t="s">
        <v>35</v>
      </c>
      <c r="H5547" s="40" t="s">
        <v>35</v>
      </c>
      <c r="I5547" s="37" t="s">
        <v>17277</v>
      </c>
      <c r="J5547" s="25" t="s">
        <v>49</v>
      </c>
      <c r="K5547" s="26" t="s">
        <v>38</v>
      </c>
      <c r="L5547" s="25"/>
      <c r="M5547" s="49"/>
      <c r="N5547" s="42"/>
      <c r="O5547" s="68"/>
      <c r="P5547" s="35" t="s">
        <v>22330</v>
      </c>
      <c r="Q5547" s="13" t="s">
        <v>75</v>
      </c>
      <c r="R5547" s="13" t="s">
        <v>75</v>
      </c>
      <c r="S5547" s="13"/>
      <c r="T5547" s="44">
        <v>45937.6987228588</v>
      </c>
      <c r="U5547" s="13"/>
      <c r="V5547" s="13"/>
      <c r="W5547" s="11"/>
      <c r="X5547" s="11"/>
      <c r="Y5547" s="45"/>
      <c r="Z5547" s="45"/>
      <c r="AA5547" s="31"/>
      <c r="AB5547" s="45" t="s">
        <v>22331</v>
      </c>
      <c r="AC5547" s="45"/>
    </row>
    <row r="5548" ht="18.75" customHeight="1">
      <c r="A5548" s="142" t="s">
        <v>22332</v>
      </c>
      <c r="B5548" s="33" t="s">
        <v>4352</v>
      </c>
      <c r="C5548" s="20">
        <v>0.0</v>
      </c>
      <c r="D5548" s="39"/>
      <c r="E5548" s="27" t="s">
        <v>12405</v>
      </c>
      <c r="F5548" s="27" t="s">
        <v>48</v>
      </c>
      <c r="G5548" s="18" t="s">
        <v>35</v>
      </c>
      <c r="H5548" s="40" t="s">
        <v>35</v>
      </c>
      <c r="I5548" s="37" t="s">
        <v>17277</v>
      </c>
      <c r="J5548" s="25" t="s">
        <v>49</v>
      </c>
      <c r="K5548" s="26" t="s">
        <v>38</v>
      </c>
      <c r="L5548" s="25"/>
      <c r="M5548" s="49"/>
      <c r="N5548" s="42"/>
      <c r="O5548" s="68"/>
      <c r="P5548" s="35" t="s">
        <v>22333</v>
      </c>
      <c r="Q5548" s="13" t="s">
        <v>75</v>
      </c>
      <c r="R5548" s="13" t="s">
        <v>75</v>
      </c>
      <c r="S5548" s="13" t="s">
        <v>75</v>
      </c>
      <c r="T5548" s="44">
        <v>45937.7001327662</v>
      </c>
      <c r="U5548" s="13"/>
      <c r="V5548" s="13"/>
      <c r="W5548" s="11"/>
      <c r="X5548" s="11"/>
      <c r="Y5548" s="45"/>
      <c r="Z5548" s="45"/>
      <c r="AA5548" s="31"/>
      <c r="AB5548" s="45" t="s">
        <v>22334</v>
      </c>
      <c r="AC5548" s="45"/>
    </row>
    <row r="5549" ht="18.75" customHeight="1">
      <c r="A5549" s="142" t="s">
        <v>22335</v>
      </c>
      <c r="B5549" s="33" t="s">
        <v>96</v>
      </c>
      <c r="C5549" s="20">
        <v>0.0</v>
      </c>
      <c r="D5549" s="179">
        <v>20029.0</v>
      </c>
      <c r="E5549" s="27" t="s">
        <v>1595</v>
      </c>
      <c r="F5549" s="27" t="s">
        <v>33</v>
      </c>
      <c r="G5549" s="18" t="s">
        <v>34</v>
      </c>
      <c r="H5549" s="40" t="s">
        <v>35</v>
      </c>
      <c r="I5549" s="37" t="s">
        <v>36</v>
      </c>
      <c r="J5549" s="25" t="s">
        <v>49</v>
      </c>
      <c r="K5549" s="26" t="s">
        <v>38</v>
      </c>
      <c r="L5549" s="25">
        <v>14120.0</v>
      </c>
      <c r="M5549" s="49" t="s">
        <v>50</v>
      </c>
      <c r="N5549" s="42" t="s">
        <v>17048</v>
      </c>
      <c r="O5549" s="67">
        <v>45940.56491960648</v>
      </c>
      <c r="P5549" s="35" t="s">
        <v>22336</v>
      </c>
      <c r="Q5549" s="13" t="s">
        <v>75</v>
      </c>
      <c r="R5549" s="13" t="s">
        <v>75</v>
      </c>
      <c r="S5549" s="13" t="s">
        <v>9620</v>
      </c>
      <c r="T5549" s="44">
        <v>45939.35467538194</v>
      </c>
      <c r="U5549" s="44">
        <v>45939.388434560184</v>
      </c>
      <c r="V5549" s="44">
        <v>45939.546292314815</v>
      </c>
      <c r="W5549" s="11"/>
      <c r="X5549" s="11"/>
      <c r="Y5549" s="45">
        <v>302.0</v>
      </c>
      <c r="Z5549" s="45" t="s">
        <v>22337</v>
      </c>
      <c r="AA5549" s="31"/>
      <c r="AB5549" s="45" t="s">
        <v>22338</v>
      </c>
      <c r="AC5549" s="45"/>
    </row>
    <row r="5550" ht="18.75" customHeight="1">
      <c r="A5550" s="142" t="s">
        <v>22339</v>
      </c>
      <c r="B5550" s="33" t="s">
        <v>96</v>
      </c>
      <c r="C5550" s="20">
        <v>0.0</v>
      </c>
      <c r="D5550" s="179">
        <v>20347.0</v>
      </c>
      <c r="E5550" s="27" t="s">
        <v>165</v>
      </c>
      <c r="F5550" s="27" t="s">
        <v>33</v>
      </c>
      <c r="G5550" s="18" t="s">
        <v>34</v>
      </c>
      <c r="H5550" s="40" t="s">
        <v>35</v>
      </c>
      <c r="I5550" s="37" t="s">
        <v>36</v>
      </c>
      <c r="J5550" s="25" t="s">
        <v>49</v>
      </c>
      <c r="K5550" s="26" t="s">
        <v>38</v>
      </c>
      <c r="L5550" s="25">
        <v>14146.0</v>
      </c>
      <c r="M5550" s="49" t="s">
        <v>50</v>
      </c>
      <c r="N5550" s="42" t="s">
        <v>17048</v>
      </c>
      <c r="O5550" s="67">
        <v>45944.609288113425</v>
      </c>
      <c r="P5550" s="35" t="s">
        <v>22340</v>
      </c>
      <c r="Q5550" s="13" t="s">
        <v>75</v>
      </c>
      <c r="R5550" s="13" t="s">
        <v>75</v>
      </c>
      <c r="S5550" s="13" t="s">
        <v>9620</v>
      </c>
      <c r="T5550" s="44">
        <v>45937.709417465274</v>
      </c>
      <c r="U5550" s="44">
        <v>45938.46753403935</v>
      </c>
      <c r="V5550" s="44">
        <v>45943.490634155096</v>
      </c>
      <c r="W5550" s="11"/>
      <c r="X5550" s="11"/>
      <c r="Y5550" s="207">
        <v>302.0</v>
      </c>
      <c r="Z5550" s="45" t="s">
        <v>22341</v>
      </c>
      <c r="AA5550" s="31"/>
      <c r="AB5550" s="45" t="s">
        <v>22342</v>
      </c>
      <c r="AC5550" s="45"/>
    </row>
    <row r="5551" ht="18.75" customHeight="1">
      <c r="A5551" s="142" t="s">
        <v>22343</v>
      </c>
      <c r="B5551" s="33" t="s">
        <v>104</v>
      </c>
      <c r="C5551" s="20">
        <v>34.0</v>
      </c>
      <c r="D5551" s="39" t="s">
        <v>22344</v>
      </c>
      <c r="E5551" s="27" t="s">
        <v>47</v>
      </c>
      <c r="F5551" s="27" t="s">
        <v>48</v>
      </c>
      <c r="G5551" s="18" t="s">
        <v>35</v>
      </c>
      <c r="H5551" s="40" t="s">
        <v>35</v>
      </c>
      <c r="I5551" s="37" t="s">
        <v>36</v>
      </c>
      <c r="J5551" s="25" t="s">
        <v>49</v>
      </c>
      <c r="K5551" s="26" t="s">
        <v>1184</v>
      </c>
      <c r="L5551" s="25">
        <v>14093.0</v>
      </c>
      <c r="M5551" s="49" t="s">
        <v>50</v>
      </c>
      <c r="N5551" s="42" t="s">
        <v>17048</v>
      </c>
      <c r="O5551" s="67">
        <v>45938.61238737269</v>
      </c>
      <c r="P5551" s="35" t="s">
        <v>22345</v>
      </c>
      <c r="Q5551" s="13" t="s">
        <v>20529</v>
      </c>
      <c r="R5551" s="13" t="s">
        <v>67</v>
      </c>
      <c r="S5551" s="13" t="s">
        <v>73</v>
      </c>
      <c r="T5551" s="44">
        <v>45937.67494186343</v>
      </c>
      <c r="U5551" s="44">
        <v>45938.40615368055</v>
      </c>
      <c r="V5551" s="44">
        <v>45938.42226388889</v>
      </c>
      <c r="W5551" s="11"/>
      <c r="X5551" s="11"/>
      <c r="Y5551" s="45">
        <v>302.0</v>
      </c>
      <c r="Z5551" s="45" t="s">
        <v>22346</v>
      </c>
      <c r="AA5551" s="31"/>
      <c r="AB5551" s="45" t="s">
        <v>22347</v>
      </c>
      <c r="AC5551" s="45"/>
    </row>
    <row r="5552" ht="18.75" customHeight="1">
      <c r="A5552" s="142" t="s">
        <v>22348</v>
      </c>
      <c r="B5552" s="33" t="s">
        <v>2753</v>
      </c>
      <c r="C5552" s="20">
        <v>1.0</v>
      </c>
      <c r="D5552" s="39"/>
      <c r="E5552" s="27" t="s">
        <v>3395</v>
      </c>
      <c r="F5552" s="27" t="s">
        <v>48</v>
      </c>
      <c r="G5552" s="18" t="s">
        <v>35</v>
      </c>
      <c r="H5552" s="40" t="s">
        <v>35</v>
      </c>
      <c r="I5552" s="37" t="s">
        <v>18314</v>
      </c>
      <c r="J5552" s="25" t="s">
        <v>18078</v>
      </c>
      <c r="K5552" s="26" t="s">
        <v>38</v>
      </c>
      <c r="L5552" s="25"/>
      <c r="M5552" s="49"/>
      <c r="N5552" s="42"/>
      <c r="O5552" s="68"/>
      <c r="P5552" s="35" t="s">
        <v>22349</v>
      </c>
      <c r="Q5552" s="13" t="s">
        <v>75</v>
      </c>
      <c r="R5552" s="13" t="s">
        <v>75</v>
      </c>
      <c r="S5552" s="13"/>
      <c r="T5552" s="44">
        <v>45944.65437611111</v>
      </c>
      <c r="U5552" s="44">
        <v>45947.41479765046</v>
      </c>
      <c r="V5552" s="13"/>
      <c r="W5552" s="11"/>
      <c r="X5552" s="11"/>
      <c r="Y5552" s="45"/>
      <c r="Z5552" s="45"/>
      <c r="AA5552" s="31"/>
      <c r="AB5552" s="45" t="s">
        <v>22350</v>
      </c>
      <c r="AC5552" s="45"/>
    </row>
    <row r="5553" ht="18.75" customHeight="1">
      <c r="A5553" s="142" t="s">
        <v>22351</v>
      </c>
      <c r="B5553" s="33" t="s">
        <v>5542</v>
      </c>
      <c r="C5553" s="20">
        <v>0.0</v>
      </c>
      <c r="D5553" s="179">
        <v>13751.0</v>
      </c>
      <c r="E5553" s="27" t="s">
        <v>453</v>
      </c>
      <c r="F5553" s="27" t="s">
        <v>244</v>
      </c>
      <c r="G5553" s="18" t="s">
        <v>35</v>
      </c>
      <c r="H5553" s="40" t="s">
        <v>35</v>
      </c>
      <c r="I5553" s="37" t="s">
        <v>36</v>
      </c>
      <c r="J5553" s="25" t="s">
        <v>49</v>
      </c>
      <c r="K5553" s="26" t="s">
        <v>4683</v>
      </c>
      <c r="L5553" s="25">
        <v>14121.0</v>
      </c>
      <c r="M5553" s="49" t="s">
        <v>50</v>
      </c>
      <c r="N5553" s="42" t="s">
        <v>17048</v>
      </c>
      <c r="O5553" s="67">
        <v>45940.56487059028</v>
      </c>
      <c r="P5553" s="35" t="s">
        <v>15666</v>
      </c>
      <c r="Q5553" s="13" t="s">
        <v>75</v>
      </c>
      <c r="R5553" s="13" t="s">
        <v>75</v>
      </c>
      <c r="S5553" s="13" t="s">
        <v>9620</v>
      </c>
      <c r="T5553" s="44">
        <v>45938.41437943287</v>
      </c>
      <c r="U5553" s="44">
        <v>45938.47744072917</v>
      </c>
      <c r="V5553" s="44">
        <v>45938.4886410301</v>
      </c>
      <c r="W5553" s="11"/>
      <c r="X5553" s="11"/>
      <c r="Y5553" s="45">
        <v>302.0</v>
      </c>
      <c r="Z5553" s="45" t="s">
        <v>22352</v>
      </c>
      <c r="AA5553" s="31"/>
      <c r="AB5553" s="45" t="s">
        <v>22353</v>
      </c>
      <c r="AC5553" s="45"/>
    </row>
    <row r="5554" ht="18.75" customHeight="1">
      <c r="A5554" s="142" t="s">
        <v>22354</v>
      </c>
      <c r="B5554" s="33" t="s">
        <v>20131</v>
      </c>
      <c r="C5554" s="20">
        <v>0.0</v>
      </c>
      <c r="D5554" s="179">
        <v>20129.0</v>
      </c>
      <c r="E5554" s="27" t="s">
        <v>12405</v>
      </c>
      <c r="F5554" s="27" t="s">
        <v>48</v>
      </c>
      <c r="G5554" s="18" t="s">
        <v>35</v>
      </c>
      <c r="H5554" s="40" t="s">
        <v>35</v>
      </c>
      <c r="I5554" s="37" t="s">
        <v>36</v>
      </c>
      <c r="J5554" s="25" t="s">
        <v>18078</v>
      </c>
      <c r="K5554" s="26" t="s">
        <v>38</v>
      </c>
      <c r="L5554" s="25">
        <v>14123.0</v>
      </c>
      <c r="M5554" s="49" t="s">
        <v>50</v>
      </c>
      <c r="N5554" s="42" t="s">
        <v>20634</v>
      </c>
      <c r="O5554" s="67">
        <v>45940.61817998842</v>
      </c>
      <c r="P5554" s="35" t="s">
        <v>21298</v>
      </c>
      <c r="Q5554" s="13" t="s">
        <v>75</v>
      </c>
      <c r="R5554" s="13" t="s">
        <v>75</v>
      </c>
      <c r="S5554" s="13" t="s">
        <v>9620</v>
      </c>
      <c r="T5554" s="44">
        <v>45938.673353425926</v>
      </c>
      <c r="U5554" s="44">
        <v>45939.37635103009</v>
      </c>
      <c r="V5554" s="44">
        <v>45939.54640853009</v>
      </c>
      <c r="W5554" s="11"/>
      <c r="X5554" s="11"/>
      <c r="Y5554" s="45">
        <v>302.0</v>
      </c>
      <c r="Z5554" s="45" t="s">
        <v>22355</v>
      </c>
      <c r="AA5554" s="31"/>
      <c r="AB5554" s="45" t="s">
        <v>22356</v>
      </c>
      <c r="AC5554" s="45"/>
    </row>
    <row r="5555" ht="18.75" customHeight="1">
      <c r="A5555" s="142" t="s">
        <v>22357</v>
      </c>
      <c r="B5555" s="33" t="s">
        <v>19127</v>
      </c>
      <c r="C5555" s="20">
        <v>0.0</v>
      </c>
      <c r="D5555" s="179">
        <v>20360.0</v>
      </c>
      <c r="E5555" s="27" t="s">
        <v>12405</v>
      </c>
      <c r="F5555" s="27" t="s">
        <v>48</v>
      </c>
      <c r="G5555" s="18" t="s">
        <v>35</v>
      </c>
      <c r="H5555" s="40" t="s">
        <v>35</v>
      </c>
      <c r="I5555" s="37" t="s">
        <v>36</v>
      </c>
      <c r="J5555" s="25" t="s">
        <v>18078</v>
      </c>
      <c r="K5555" s="26" t="s">
        <v>38</v>
      </c>
      <c r="L5555" s="25">
        <v>14176.0</v>
      </c>
      <c r="M5555" s="49" t="s">
        <v>50</v>
      </c>
      <c r="N5555" s="42" t="s">
        <v>17927</v>
      </c>
      <c r="O5555" s="67">
        <v>45946.686852824074</v>
      </c>
      <c r="P5555" s="35" t="s">
        <v>22358</v>
      </c>
      <c r="Q5555" s="13" t="s">
        <v>75</v>
      </c>
      <c r="R5555" s="13" t="s">
        <v>6028</v>
      </c>
      <c r="S5555" s="13" t="s">
        <v>50</v>
      </c>
      <c r="T5555" s="44">
        <v>45938.67701341435</v>
      </c>
      <c r="U5555" s="44">
        <v>45943.59921163194</v>
      </c>
      <c r="V5555" s="44">
        <v>45946.491515243055</v>
      </c>
      <c r="W5555" s="11"/>
      <c r="X5555" s="11"/>
      <c r="Y5555" s="45">
        <v>302.0</v>
      </c>
      <c r="Z5555" s="45" t="s">
        <v>22359</v>
      </c>
      <c r="AA5555" s="31"/>
      <c r="AB5555" s="45" t="s">
        <v>22360</v>
      </c>
      <c r="AC5555" s="45"/>
    </row>
    <row r="5556" ht="18.75" customHeight="1">
      <c r="A5556" s="18" t="s">
        <v>22361</v>
      </c>
      <c r="B5556" s="33" t="s">
        <v>9796</v>
      </c>
      <c r="C5556" s="20">
        <v>0.0</v>
      </c>
      <c r="D5556" s="179">
        <v>20365.0</v>
      </c>
      <c r="E5556" s="27" t="s">
        <v>12405</v>
      </c>
      <c r="F5556" s="27" t="s">
        <v>48</v>
      </c>
      <c r="G5556" s="18" t="s">
        <v>35</v>
      </c>
      <c r="H5556" s="40" t="s">
        <v>35</v>
      </c>
      <c r="I5556" s="37" t="s">
        <v>18148</v>
      </c>
      <c r="J5556" s="25" t="s">
        <v>12773</v>
      </c>
      <c r="K5556" s="26" t="s">
        <v>38</v>
      </c>
      <c r="L5556" s="25"/>
      <c r="M5556" s="49"/>
      <c r="N5556" s="42"/>
      <c r="O5556" s="68"/>
      <c r="P5556" s="35" t="s">
        <v>22362</v>
      </c>
      <c r="Q5556" s="13" t="s">
        <v>67</v>
      </c>
      <c r="R5556" s="13" t="s">
        <v>67</v>
      </c>
      <c r="S5556" s="13" t="s">
        <v>9620</v>
      </c>
      <c r="T5556" s="44">
        <v>45945.469014421295</v>
      </c>
      <c r="U5556" s="44">
        <v>45945.47028248843</v>
      </c>
      <c r="V5556" s="44">
        <v>45950.35613114583</v>
      </c>
      <c r="W5556" s="11"/>
      <c r="X5556" s="11"/>
      <c r="Y5556" s="207">
        <v>302.0</v>
      </c>
      <c r="Z5556" s="45" t="s">
        <v>22363</v>
      </c>
      <c r="AA5556" s="31"/>
      <c r="AB5556" s="45" t="s">
        <v>22364</v>
      </c>
      <c r="AC5556" s="45"/>
    </row>
    <row r="5557" ht="18.75" customHeight="1">
      <c r="A5557" s="18" t="s">
        <v>22365</v>
      </c>
      <c r="B5557" s="33" t="s">
        <v>9796</v>
      </c>
      <c r="C5557" s="20">
        <v>0.0</v>
      </c>
      <c r="D5557" s="220" t="s">
        <v>22366</v>
      </c>
      <c r="E5557" s="27" t="s">
        <v>135</v>
      </c>
      <c r="F5557" s="27" t="s">
        <v>48</v>
      </c>
      <c r="G5557" s="18" t="s">
        <v>35</v>
      </c>
      <c r="H5557" s="40" t="s">
        <v>35</v>
      </c>
      <c r="I5557" s="37" t="s">
        <v>22367</v>
      </c>
      <c r="J5557" s="25" t="s">
        <v>12773</v>
      </c>
      <c r="K5557" s="26" t="s">
        <v>38</v>
      </c>
      <c r="L5557" s="25"/>
      <c r="M5557" s="49"/>
      <c r="N5557" s="42"/>
      <c r="O5557" s="68"/>
      <c r="P5557" s="35" t="s">
        <v>22362</v>
      </c>
      <c r="Q5557" s="13" t="s">
        <v>67</v>
      </c>
      <c r="R5557" s="13" t="s">
        <v>67</v>
      </c>
      <c r="S5557" s="13" t="s">
        <v>67</v>
      </c>
      <c r="T5557" s="44">
        <v>45945.469089756945</v>
      </c>
      <c r="U5557" s="44">
        <v>45945.47032320602</v>
      </c>
      <c r="V5557" s="13"/>
      <c r="W5557" s="11"/>
      <c r="X5557" s="11"/>
      <c r="Y5557" s="45"/>
      <c r="Z5557" s="45"/>
      <c r="AA5557" s="31"/>
      <c r="AB5557" s="45" t="s">
        <v>22368</v>
      </c>
      <c r="AC5557" s="45"/>
    </row>
    <row r="5558" ht="18.75" customHeight="1">
      <c r="A5558" s="142" t="s">
        <v>22369</v>
      </c>
      <c r="B5558" s="33" t="s">
        <v>1811</v>
      </c>
      <c r="C5558" s="20">
        <v>34.0</v>
      </c>
      <c r="D5558" s="39" t="s">
        <v>22370</v>
      </c>
      <c r="E5558" s="27" t="s">
        <v>47</v>
      </c>
      <c r="F5558" s="27" t="s">
        <v>48</v>
      </c>
      <c r="G5558" s="18" t="s">
        <v>35</v>
      </c>
      <c r="H5558" s="40" t="s">
        <v>35</v>
      </c>
      <c r="I5558" s="37" t="s">
        <v>36</v>
      </c>
      <c r="J5558" s="25" t="s">
        <v>49</v>
      </c>
      <c r="K5558" s="26" t="s">
        <v>1506</v>
      </c>
      <c r="L5558" s="25">
        <v>14108.0</v>
      </c>
      <c r="M5558" s="49" t="s">
        <v>50</v>
      </c>
      <c r="N5558" s="42" t="s">
        <v>17048</v>
      </c>
      <c r="O5558" s="67">
        <v>45939.680555555555</v>
      </c>
      <c r="P5558" s="35" t="s">
        <v>22371</v>
      </c>
      <c r="Q5558" s="13" t="s">
        <v>67</v>
      </c>
      <c r="R5558" s="13" t="s">
        <v>67</v>
      </c>
      <c r="S5558" s="13" t="s">
        <v>73</v>
      </c>
      <c r="T5558" s="44">
        <v>45938.6674256713</v>
      </c>
      <c r="U5558" s="44">
        <v>45938.70867635417</v>
      </c>
      <c r="V5558" s="44">
        <v>45939.41777579861</v>
      </c>
      <c r="W5558" s="11"/>
      <c r="X5558" s="11"/>
      <c r="Y5558" s="45">
        <v>302.0</v>
      </c>
      <c r="Z5558" s="45" t="s">
        <v>22372</v>
      </c>
      <c r="AA5558" s="31"/>
      <c r="AB5558" s="45" t="s">
        <v>22373</v>
      </c>
      <c r="AC5558" s="45"/>
    </row>
    <row r="5559" ht="18.75" customHeight="1">
      <c r="A5559" s="142" t="s">
        <v>22374</v>
      </c>
      <c r="B5559" s="33" t="s">
        <v>18845</v>
      </c>
      <c r="C5559" s="20">
        <v>90.0</v>
      </c>
      <c r="D5559" s="39" t="s">
        <v>22375</v>
      </c>
      <c r="E5559" s="27" t="s">
        <v>91</v>
      </c>
      <c r="F5559" s="27" t="s">
        <v>48</v>
      </c>
      <c r="G5559" s="18" t="s">
        <v>35</v>
      </c>
      <c r="H5559" s="40" t="s">
        <v>35</v>
      </c>
      <c r="I5559" s="37" t="s">
        <v>36</v>
      </c>
      <c r="J5559" s="25" t="s">
        <v>92</v>
      </c>
      <c r="K5559" s="26" t="s">
        <v>38</v>
      </c>
      <c r="L5559" s="25">
        <v>14106.0</v>
      </c>
      <c r="M5559" s="49" t="s">
        <v>15811</v>
      </c>
      <c r="N5559" s="42"/>
      <c r="O5559" s="67">
        <v>45939.369552476855</v>
      </c>
      <c r="P5559" s="35" t="s">
        <v>14372</v>
      </c>
      <c r="Q5559" s="13" t="s">
        <v>75</v>
      </c>
      <c r="R5559" s="13" t="s">
        <v>75</v>
      </c>
      <c r="S5559" s="13" t="s">
        <v>75</v>
      </c>
      <c r="T5559" s="44">
        <v>45939.3614030787</v>
      </c>
      <c r="U5559" s="44">
        <v>45939.369552476855</v>
      </c>
      <c r="V5559" s="44">
        <v>45939.369552476855</v>
      </c>
      <c r="W5559" s="11"/>
      <c r="X5559" s="11"/>
      <c r="Y5559" s="45"/>
      <c r="Z5559" s="45"/>
      <c r="AA5559" s="31"/>
      <c r="AB5559" s="45" t="s">
        <v>22376</v>
      </c>
      <c r="AC5559" s="45"/>
    </row>
    <row r="5560" ht="18.75" customHeight="1">
      <c r="A5560" s="142" t="s">
        <v>22377</v>
      </c>
      <c r="B5560" s="33" t="s">
        <v>17819</v>
      </c>
      <c r="C5560" s="20">
        <v>27.0</v>
      </c>
      <c r="D5560" s="39" t="s">
        <v>22378</v>
      </c>
      <c r="E5560" s="27" t="s">
        <v>72</v>
      </c>
      <c r="F5560" s="27" t="s">
        <v>48</v>
      </c>
      <c r="G5560" s="18" t="s">
        <v>35</v>
      </c>
      <c r="H5560" s="40" t="s">
        <v>35</v>
      </c>
      <c r="I5560" s="37" t="s">
        <v>36</v>
      </c>
      <c r="J5560" s="25" t="s">
        <v>92</v>
      </c>
      <c r="K5560" s="26" t="s">
        <v>38</v>
      </c>
      <c r="L5560" s="25">
        <v>14110.0</v>
      </c>
      <c r="M5560" s="49" t="s">
        <v>50</v>
      </c>
      <c r="N5560" s="42" t="s">
        <v>7145</v>
      </c>
      <c r="O5560" s="67">
        <v>45945.589797395834</v>
      </c>
      <c r="P5560" s="26" t="s">
        <v>22379</v>
      </c>
      <c r="Q5560" s="13" t="s">
        <v>75</v>
      </c>
      <c r="R5560" s="13" t="s">
        <v>75</v>
      </c>
      <c r="S5560" s="13" t="s">
        <v>73</v>
      </c>
      <c r="T5560" s="44">
        <v>45939.39922288194</v>
      </c>
      <c r="U5560" s="44">
        <v>45939.3992579051</v>
      </c>
      <c r="V5560" s="44">
        <v>45939.44107483796</v>
      </c>
      <c r="W5560" s="11"/>
      <c r="X5560" s="11"/>
      <c r="Y5560" s="45">
        <v>302.0</v>
      </c>
      <c r="Z5560" s="45" t="s">
        <v>22380</v>
      </c>
      <c r="AA5560" s="31"/>
      <c r="AB5560" s="45" t="s">
        <v>22381</v>
      </c>
      <c r="AC5560" s="45"/>
    </row>
    <row r="5561" ht="18.75" customHeight="1">
      <c r="A5561" s="142" t="s">
        <v>22382</v>
      </c>
      <c r="B5561" s="33" t="s">
        <v>22383</v>
      </c>
      <c r="C5561" s="20">
        <v>0.0</v>
      </c>
      <c r="D5561" s="179">
        <v>20295.0</v>
      </c>
      <c r="E5561" s="27" t="s">
        <v>135</v>
      </c>
      <c r="F5561" s="27" t="s">
        <v>48</v>
      </c>
      <c r="G5561" s="18" t="s">
        <v>35</v>
      </c>
      <c r="H5561" s="40" t="s">
        <v>35</v>
      </c>
      <c r="I5561" s="37" t="s">
        <v>36</v>
      </c>
      <c r="J5561" s="25" t="s">
        <v>49</v>
      </c>
      <c r="K5561" s="26" t="s">
        <v>38</v>
      </c>
      <c r="L5561" s="25">
        <v>14133.0</v>
      </c>
      <c r="M5561" s="49" t="s">
        <v>50</v>
      </c>
      <c r="N5561" s="42" t="s">
        <v>17048</v>
      </c>
      <c r="O5561" s="67">
        <v>45943.59464622685</v>
      </c>
      <c r="P5561" s="35" t="s">
        <v>22384</v>
      </c>
      <c r="Q5561" s="13" t="s">
        <v>75</v>
      </c>
      <c r="R5561" s="13" t="s">
        <v>75</v>
      </c>
      <c r="S5561" s="13" t="s">
        <v>9620</v>
      </c>
      <c r="T5561" s="44">
        <v>45939.60194616899</v>
      </c>
      <c r="U5561" s="44">
        <v>45940.62911487269</v>
      </c>
      <c r="V5561" s="44">
        <v>45943.3229377199</v>
      </c>
      <c r="W5561" s="11"/>
      <c r="X5561" s="11"/>
      <c r="Y5561" s="45">
        <v>302.0</v>
      </c>
      <c r="Z5561" s="45" t="s">
        <v>22385</v>
      </c>
      <c r="AA5561" s="31"/>
      <c r="AB5561" s="45" t="s">
        <v>22386</v>
      </c>
      <c r="AC5561" s="45"/>
    </row>
    <row r="5562" ht="18.75" customHeight="1">
      <c r="A5562" s="142" t="s">
        <v>22387</v>
      </c>
      <c r="B5562" s="33" t="s">
        <v>22383</v>
      </c>
      <c r="C5562" s="20">
        <v>1.0</v>
      </c>
      <c r="D5562" s="179">
        <v>20433.0</v>
      </c>
      <c r="E5562" s="27" t="s">
        <v>11712</v>
      </c>
      <c r="F5562" s="27" t="s">
        <v>48</v>
      </c>
      <c r="G5562" s="18" t="s">
        <v>35</v>
      </c>
      <c r="H5562" s="40" t="s">
        <v>35</v>
      </c>
      <c r="I5562" s="24" t="s">
        <v>22388</v>
      </c>
      <c r="J5562" s="25" t="s">
        <v>49</v>
      </c>
      <c r="K5562" s="26" t="s">
        <v>38</v>
      </c>
      <c r="L5562" s="25"/>
      <c r="M5562" s="49"/>
      <c r="N5562" s="42"/>
      <c r="O5562" s="68"/>
      <c r="P5562" s="35" t="s">
        <v>22389</v>
      </c>
      <c r="Q5562" s="13" t="s">
        <v>75</v>
      </c>
      <c r="R5562" s="13" t="s">
        <v>75</v>
      </c>
      <c r="S5562" s="13" t="s">
        <v>75</v>
      </c>
      <c r="T5562" s="44">
        <v>45939.60301413195</v>
      </c>
      <c r="U5562" s="44">
        <v>45940.629055682875</v>
      </c>
      <c r="V5562" s="13"/>
      <c r="W5562" s="11"/>
      <c r="X5562" s="11"/>
      <c r="Y5562" s="45"/>
      <c r="Z5562" s="45"/>
      <c r="AA5562" s="31"/>
      <c r="AB5562" s="45" t="s">
        <v>22390</v>
      </c>
      <c r="AC5562" s="45"/>
    </row>
    <row r="5563" ht="18.75" customHeight="1">
      <c r="A5563" s="142" t="s">
        <v>22391</v>
      </c>
      <c r="B5563" s="33" t="s">
        <v>17025</v>
      </c>
      <c r="C5563" s="20">
        <v>137.0</v>
      </c>
      <c r="D5563" s="39" t="s">
        <v>22392</v>
      </c>
      <c r="E5563" s="27" t="s">
        <v>85</v>
      </c>
      <c r="F5563" s="27" t="s">
        <v>48</v>
      </c>
      <c r="G5563" s="18" t="s">
        <v>35</v>
      </c>
      <c r="H5563" s="40" t="s">
        <v>35</v>
      </c>
      <c r="I5563" s="37" t="s">
        <v>36</v>
      </c>
      <c r="J5563" s="25" t="s">
        <v>49</v>
      </c>
      <c r="K5563" s="26" t="s">
        <v>38</v>
      </c>
      <c r="L5563" s="25">
        <v>14126.0</v>
      </c>
      <c r="M5563" s="49" t="s">
        <v>50</v>
      </c>
      <c r="N5563" s="42" t="s">
        <v>17048</v>
      </c>
      <c r="O5563" s="67">
        <v>45940.564823865745</v>
      </c>
      <c r="P5563" s="35" t="s">
        <v>15594</v>
      </c>
      <c r="Q5563" s="13" t="s">
        <v>75</v>
      </c>
      <c r="R5563" s="13" t="s">
        <v>75</v>
      </c>
      <c r="S5563" s="13" t="s">
        <v>73</v>
      </c>
      <c r="T5563" s="44">
        <v>45939.604156875</v>
      </c>
      <c r="U5563" s="44">
        <v>45940.33485226852</v>
      </c>
      <c r="V5563" s="44">
        <v>45940.415032233796</v>
      </c>
      <c r="W5563" s="11"/>
      <c r="X5563" s="11"/>
      <c r="Y5563" s="45">
        <v>302.0</v>
      </c>
      <c r="Z5563" s="45" t="s">
        <v>22393</v>
      </c>
      <c r="AA5563" s="31"/>
      <c r="AB5563" s="45" t="s">
        <v>22394</v>
      </c>
      <c r="AC5563" s="45"/>
    </row>
    <row r="5564" ht="18.75" customHeight="1">
      <c r="A5564" s="142" t="s">
        <v>22395</v>
      </c>
      <c r="B5564" s="33" t="s">
        <v>17025</v>
      </c>
      <c r="C5564" s="20">
        <v>11.0</v>
      </c>
      <c r="D5564" s="39" t="s">
        <v>22396</v>
      </c>
      <c r="E5564" s="27" t="s">
        <v>112</v>
      </c>
      <c r="F5564" s="27" t="s">
        <v>48</v>
      </c>
      <c r="G5564" s="18" t="s">
        <v>35</v>
      </c>
      <c r="H5564" s="40" t="s">
        <v>35</v>
      </c>
      <c r="I5564" s="37" t="s">
        <v>36</v>
      </c>
      <c r="J5564" s="25" t="s">
        <v>49</v>
      </c>
      <c r="K5564" s="26" t="s">
        <v>38</v>
      </c>
      <c r="L5564" s="25">
        <v>14197.0</v>
      </c>
      <c r="M5564" s="49" t="s">
        <v>50</v>
      </c>
      <c r="N5564" s="42" t="s">
        <v>9953</v>
      </c>
      <c r="O5564" s="67">
        <v>45950.65423270833</v>
      </c>
      <c r="P5564" s="35" t="s">
        <v>22397</v>
      </c>
      <c r="Q5564" s="13" t="s">
        <v>6028</v>
      </c>
      <c r="R5564" s="13" t="s">
        <v>6028</v>
      </c>
      <c r="S5564" s="13" t="s">
        <v>73</v>
      </c>
      <c r="T5564" s="44">
        <v>45939.60496331019</v>
      </c>
      <c r="U5564" s="44">
        <v>45940.648048981486</v>
      </c>
      <c r="V5564" s="44">
        <v>45950.46398390047</v>
      </c>
      <c r="W5564" s="11"/>
      <c r="X5564" s="148">
        <v>45947.0</v>
      </c>
      <c r="Y5564" s="45">
        <v>302.0</v>
      </c>
      <c r="Z5564" s="45" t="s">
        <v>22398</v>
      </c>
      <c r="AA5564" s="31"/>
      <c r="AB5564" s="45" t="s">
        <v>22399</v>
      </c>
      <c r="AC5564" s="45"/>
    </row>
    <row r="5565" ht="18.75" customHeight="1">
      <c r="A5565" s="142" t="s">
        <v>22400</v>
      </c>
      <c r="B5565" s="33" t="s">
        <v>3289</v>
      </c>
      <c r="C5565" s="20">
        <v>11.0</v>
      </c>
      <c r="D5565" s="39" t="s">
        <v>22401</v>
      </c>
      <c r="E5565" s="27" t="s">
        <v>112</v>
      </c>
      <c r="F5565" s="27" t="s">
        <v>48</v>
      </c>
      <c r="G5565" s="18" t="s">
        <v>35</v>
      </c>
      <c r="H5565" s="40" t="s">
        <v>35</v>
      </c>
      <c r="I5565" s="37" t="s">
        <v>18148</v>
      </c>
      <c r="J5565" s="25" t="s">
        <v>92</v>
      </c>
      <c r="K5565" s="26" t="s">
        <v>38</v>
      </c>
      <c r="L5565" s="25">
        <v>14199.0</v>
      </c>
      <c r="M5565" s="49"/>
      <c r="N5565" s="42"/>
      <c r="O5565" s="68"/>
      <c r="P5565" s="35" t="s">
        <v>22402</v>
      </c>
      <c r="Q5565" s="13" t="s">
        <v>67</v>
      </c>
      <c r="R5565" s="13" t="s">
        <v>67</v>
      </c>
      <c r="S5565" s="13" t="s">
        <v>73</v>
      </c>
      <c r="T5565" s="44">
        <v>45939.48209491898</v>
      </c>
      <c r="U5565" s="44">
        <v>45940.43051476852</v>
      </c>
      <c r="V5565" s="44">
        <v>45950.473736562504</v>
      </c>
      <c r="W5565" s="11"/>
      <c r="X5565" s="11"/>
      <c r="Y5565" s="45">
        <v>302.0</v>
      </c>
      <c r="Z5565" s="45" t="s">
        <v>22403</v>
      </c>
      <c r="AA5565" s="31"/>
      <c r="AB5565" s="45" t="s">
        <v>22404</v>
      </c>
      <c r="AC5565" s="45"/>
    </row>
    <row r="5566" ht="18.75" customHeight="1">
      <c r="A5566" s="142" t="s">
        <v>22405</v>
      </c>
      <c r="B5566" s="33" t="s">
        <v>4313</v>
      </c>
      <c r="C5566" s="20">
        <v>0.0</v>
      </c>
      <c r="D5566" s="39"/>
      <c r="E5566" s="27" t="s">
        <v>3441</v>
      </c>
      <c r="F5566" s="27" t="s">
        <v>48</v>
      </c>
      <c r="G5566" s="18" t="s">
        <v>35</v>
      </c>
      <c r="H5566" s="40" t="s">
        <v>35</v>
      </c>
      <c r="I5566" s="37" t="s">
        <v>18314</v>
      </c>
      <c r="J5566" s="25" t="s">
        <v>92</v>
      </c>
      <c r="K5566" s="26" t="s">
        <v>38</v>
      </c>
      <c r="L5566" s="25"/>
      <c r="M5566" s="49"/>
      <c r="N5566" s="42"/>
      <c r="O5566" s="68"/>
      <c r="P5566" s="26"/>
      <c r="Q5566" s="13" t="s">
        <v>67</v>
      </c>
      <c r="R5566" s="13" t="s">
        <v>67</v>
      </c>
      <c r="S5566" s="13"/>
      <c r="T5566" s="44">
        <v>45939.48377387731</v>
      </c>
      <c r="U5566" s="44">
        <v>45940.43028159722</v>
      </c>
      <c r="V5566" s="13"/>
      <c r="W5566" s="11"/>
      <c r="X5566" s="11"/>
      <c r="Y5566" s="45"/>
      <c r="Z5566" s="45"/>
      <c r="AA5566" s="31"/>
      <c r="AB5566" s="45" t="s">
        <v>22406</v>
      </c>
      <c r="AC5566" s="45"/>
    </row>
    <row r="5567" ht="18.75" customHeight="1">
      <c r="A5567" s="142" t="s">
        <v>22407</v>
      </c>
      <c r="B5567" s="33" t="s">
        <v>4313</v>
      </c>
      <c r="C5567" s="20">
        <v>0.0</v>
      </c>
      <c r="D5567" s="39"/>
      <c r="E5567" s="27" t="s">
        <v>3441</v>
      </c>
      <c r="F5567" s="27" t="s">
        <v>48</v>
      </c>
      <c r="G5567" s="18" t="s">
        <v>35</v>
      </c>
      <c r="H5567" s="40" t="s">
        <v>35</v>
      </c>
      <c r="I5567" s="37" t="s">
        <v>18314</v>
      </c>
      <c r="J5567" s="25" t="s">
        <v>92</v>
      </c>
      <c r="K5567" s="26" t="s">
        <v>38</v>
      </c>
      <c r="L5567" s="25"/>
      <c r="M5567" s="49"/>
      <c r="N5567" s="42"/>
      <c r="O5567" s="68"/>
      <c r="P5567" s="35" t="s">
        <v>22408</v>
      </c>
      <c r="Q5567" s="13" t="s">
        <v>67</v>
      </c>
      <c r="R5567" s="13" t="s">
        <v>67</v>
      </c>
      <c r="S5567" s="13"/>
      <c r="T5567" s="44">
        <v>45939.48509967593</v>
      </c>
      <c r="U5567" s="44">
        <v>45940.43040890046</v>
      </c>
      <c r="V5567" s="13"/>
      <c r="W5567" s="11"/>
      <c r="X5567" s="11"/>
      <c r="Y5567" s="45"/>
      <c r="Z5567" s="45"/>
      <c r="AA5567" s="31"/>
      <c r="AB5567" s="45" t="s">
        <v>22409</v>
      </c>
      <c r="AC5567" s="45"/>
    </row>
    <row r="5568" ht="18.75" customHeight="1">
      <c r="A5568" s="18" t="s">
        <v>22410</v>
      </c>
      <c r="B5568" s="33" t="s">
        <v>3762</v>
      </c>
      <c r="C5568" s="20">
        <v>90.0</v>
      </c>
      <c r="D5568" s="39" t="s">
        <v>22411</v>
      </c>
      <c r="E5568" s="27" t="s">
        <v>91</v>
      </c>
      <c r="F5568" s="27" t="s">
        <v>48</v>
      </c>
      <c r="G5568" s="18" t="s">
        <v>35</v>
      </c>
      <c r="H5568" s="40" t="s">
        <v>35</v>
      </c>
      <c r="I5568" s="37" t="s">
        <v>36</v>
      </c>
      <c r="J5568" s="25" t="s">
        <v>65</v>
      </c>
      <c r="K5568" s="26" t="s">
        <v>38</v>
      </c>
      <c r="L5568" s="72">
        <v>14138.0</v>
      </c>
      <c r="M5568" s="49" t="s">
        <v>50</v>
      </c>
      <c r="N5568" s="42" t="s">
        <v>16408</v>
      </c>
      <c r="O5568" s="67">
        <v>45943.653853298616</v>
      </c>
      <c r="P5568" s="35" t="s">
        <v>15829</v>
      </c>
      <c r="Q5568" s="13" t="s">
        <v>75</v>
      </c>
      <c r="R5568" s="13" t="s">
        <v>75</v>
      </c>
      <c r="S5568" s="13" t="s">
        <v>73</v>
      </c>
      <c r="T5568" s="44">
        <v>45939.60761527778</v>
      </c>
      <c r="U5568" s="44">
        <v>45940.56068112269</v>
      </c>
      <c r="V5568" s="44">
        <v>45943.45415304398</v>
      </c>
      <c r="W5568" s="11"/>
      <c r="X5568" s="148">
        <v>45947.0</v>
      </c>
      <c r="Y5568" s="207">
        <v>302.0</v>
      </c>
      <c r="Z5568" s="45" t="s">
        <v>22412</v>
      </c>
      <c r="AA5568" s="31"/>
      <c r="AB5568" s="45" t="s">
        <v>22413</v>
      </c>
      <c r="AC5568" s="45"/>
    </row>
    <row r="5569" ht="18.75" customHeight="1">
      <c r="A5569" s="18" t="s">
        <v>22414</v>
      </c>
      <c r="B5569" s="33" t="s">
        <v>3762</v>
      </c>
      <c r="C5569" s="20">
        <v>90.0</v>
      </c>
      <c r="D5569" s="39" t="s">
        <v>22415</v>
      </c>
      <c r="E5569" s="27" t="s">
        <v>91</v>
      </c>
      <c r="F5569" s="27" t="s">
        <v>48</v>
      </c>
      <c r="G5569" s="18" t="s">
        <v>35</v>
      </c>
      <c r="H5569" s="40" t="s">
        <v>35</v>
      </c>
      <c r="I5569" s="37" t="s">
        <v>36</v>
      </c>
      <c r="J5569" s="25" t="s">
        <v>65</v>
      </c>
      <c r="K5569" s="26" t="s">
        <v>38</v>
      </c>
      <c r="L5569" s="72">
        <v>14138.0</v>
      </c>
      <c r="M5569" s="49" t="s">
        <v>50</v>
      </c>
      <c r="N5569" s="42" t="s">
        <v>16408</v>
      </c>
      <c r="O5569" s="67">
        <v>45943.653913726856</v>
      </c>
      <c r="P5569" s="35" t="s">
        <v>15829</v>
      </c>
      <c r="Q5569" s="13" t="s">
        <v>75</v>
      </c>
      <c r="R5569" s="13" t="s">
        <v>75</v>
      </c>
      <c r="S5569" s="13" t="s">
        <v>73</v>
      </c>
      <c r="T5569" s="44">
        <v>45939.60772555556</v>
      </c>
      <c r="U5569" s="44">
        <v>45940.56066413195</v>
      </c>
      <c r="V5569" s="44">
        <v>45943.4542181713</v>
      </c>
      <c r="W5569" s="11"/>
      <c r="X5569" s="148">
        <v>45947.0</v>
      </c>
      <c r="Y5569" s="207">
        <v>302.0</v>
      </c>
      <c r="Z5569" s="45" t="s">
        <v>22416</v>
      </c>
      <c r="AA5569" s="31"/>
      <c r="AB5569" s="45" t="s">
        <v>22417</v>
      </c>
      <c r="AC5569" s="45"/>
    </row>
    <row r="5570" ht="18.75" customHeight="1">
      <c r="A5570" s="18" t="s">
        <v>22418</v>
      </c>
      <c r="B5570" s="33" t="s">
        <v>3762</v>
      </c>
      <c r="C5570" s="20">
        <v>0.0</v>
      </c>
      <c r="D5570" s="39"/>
      <c r="E5570" s="27" t="s">
        <v>3441</v>
      </c>
      <c r="F5570" s="27" t="s">
        <v>48</v>
      </c>
      <c r="G5570" s="18" t="s">
        <v>35</v>
      </c>
      <c r="H5570" s="40" t="s">
        <v>35</v>
      </c>
      <c r="I5570" s="37" t="s">
        <v>18314</v>
      </c>
      <c r="J5570" s="25" t="s">
        <v>65</v>
      </c>
      <c r="K5570" s="26" t="s">
        <v>38</v>
      </c>
      <c r="L5570" s="25">
        <v>-14130.0</v>
      </c>
      <c r="M5570" s="49"/>
      <c r="N5570" s="42"/>
      <c r="O5570" s="68"/>
      <c r="P5570" s="35" t="s">
        <v>15829</v>
      </c>
      <c r="Q5570" s="13" t="s">
        <v>6028</v>
      </c>
      <c r="R5570" s="13" t="s">
        <v>6028</v>
      </c>
      <c r="S5570" s="13" t="s">
        <v>75</v>
      </c>
      <c r="T5570" s="44">
        <v>45939.607962800925</v>
      </c>
      <c r="U5570" s="44">
        <v>45940.56077222222</v>
      </c>
      <c r="V5570" s="13"/>
      <c r="W5570" s="11"/>
      <c r="X5570" s="148">
        <v>45947.0</v>
      </c>
      <c r="Y5570" s="45"/>
      <c r="Z5570" s="45"/>
      <c r="AA5570" s="31"/>
      <c r="AB5570" s="45" t="s">
        <v>22419</v>
      </c>
      <c r="AC5570" s="45"/>
    </row>
    <row r="5571" ht="18.75" customHeight="1">
      <c r="A5571" s="142" t="s">
        <v>22420</v>
      </c>
      <c r="B5571" s="33" t="s">
        <v>22421</v>
      </c>
      <c r="C5571" s="20">
        <v>137.0</v>
      </c>
      <c r="D5571" s="39" t="s">
        <v>22422</v>
      </c>
      <c r="E5571" s="27" t="s">
        <v>85</v>
      </c>
      <c r="F5571" s="27" t="s">
        <v>48</v>
      </c>
      <c r="G5571" s="18" t="s">
        <v>35</v>
      </c>
      <c r="H5571" s="40" t="s">
        <v>35</v>
      </c>
      <c r="I5571" s="37" t="s">
        <v>36</v>
      </c>
      <c r="J5571" s="25" t="s">
        <v>518</v>
      </c>
      <c r="K5571" s="26" t="s">
        <v>38</v>
      </c>
      <c r="L5571" s="25">
        <v>14127.0</v>
      </c>
      <c r="M5571" s="49" t="s">
        <v>50</v>
      </c>
      <c r="N5571" s="42" t="s">
        <v>20646</v>
      </c>
      <c r="O5571" s="67">
        <v>45940.66532990741</v>
      </c>
      <c r="P5571" s="35" t="s">
        <v>22423</v>
      </c>
      <c r="Q5571" s="13" t="s">
        <v>20529</v>
      </c>
      <c r="R5571" s="13" t="s">
        <v>67</v>
      </c>
      <c r="S5571" s="13" t="s">
        <v>73</v>
      </c>
      <c r="T5571" s="44">
        <v>45939.48636292824</v>
      </c>
      <c r="U5571" s="44">
        <v>45939.62965891203</v>
      </c>
      <c r="V5571" s="44">
        <v>45940.419498414354</v>
      </c>
      <c r="W5571" s="11"/>
      <c r="X5571" s="11"/>
      <c r="Y5571" s="45"/>
      <c r="Z5571" s="45"/>
      <c r="AA5571" s="31"/>
      <c r="AB5571" s="45" t="s">
        <v>22424</v>
      </c>
      <c r="AC5571" s="45"/>
    </row>
    <row r="5572" ht="18.75" customHeight="1">
      <c r="A5572" s="142" t="s">
        <v>22425</v>
      </c>
      <c r="B5572" s="33" t="s">
        <v>4313</v>
      </c>
      <c r="C5572" s="20">
        <v>0.0</v>
      </c>
      <c r="D5572" s="220" t="s">
        <v>22426</v>
      </c>
      <c r="E5572" s="27" t="s">
        <v>12405</v>
      </c>
      <c r="F5572" s="27" t="s">
        <v>48</v>
      </c>
      <c r="G5572" s="18" t="s">
        <v>35</v>
      </c>
      <c r="H5572" s="40" t="s">
        <v>35</v>
      </c>
      <c r="I5572" s="37" t="s">
        <v>36</v>
      </c>
      <c r="J5572" s="25" t="s">
        <v>92</v>
      </c>
      <c r="K5572" s="26" t="s">
        <v>38</v>
      </c>
      <c r="L5572" s="25">
        <v>14187.0</v>
      </c>
      <c r="M5572" s="49" t="s">
        <v>50</v>
      </c>
      <c r="N5572" s="42" t="s">
        <v>10176</v>
      </c>
      <c r="O5572" s="67">
        <v>45947.678705046295</v>
      </c>
      <c r="P5572" s="26"/>
      <c r="Q5572" s="13" t="s">
        <v>67</v>
      </c>
      <c r="R5572" s="13" t="s">
        <v>67</v>
      </c>
      <c r="S5572" s="13" t="s">
        <v>73</v>
      </c>
      <c r="T5572" s="44">
        <v>45939.49442912037</v>
      </c>
      <c r="U5572" s="44">
        <v>45940.408099340275</v>
      </c>
      <c r="V5572" s="44">
        <v>45947.46428516204</v>
      </c>
      <c r="W5572" s="11"/>
      <c r="X5572" s="11"/>
      <c r="Y5572" s="45">
        <v>302.0</v>
      </c>
      <c r="Z5572" s="45" t="s">
        <v>22427</v>
      </c>
      <c r="AA5572" s="31"/>
      <c r="AB5572" s="45" t="s">
        <v>22428</v>
      </c>
      <c r="AC5572" s="45"/>
    </row>
    <row r="5573" ht="18.75" customHeight="1">
      <c r="A5573" s="142" t="s">
        <v>22429</v>
      </c>
      <c r="B5573" s="33" t="s">
        <v>22430</v>
      </c>
      <c r="C5573" s="20">
        <v>11.0</v>
      </c>
      <c r="D5573" s="39" t="s">
        <v>22431</v>
      </c>
      <c r="E5573" s="27" t="s">
        <v>112</v>
      </c>
      <c r="F5573" s="27" t="s">
        <v>48</v>
      </c>
      <c r="G5573" s="18" t="s">
        <v>35</v>
      </c>
      <c r="H5573" s="40" t="s">
        <v>35</v>
      </c>
      <c r="I5573" s="37" t="s">
        <v>36</v>
      </c>
      <c r="J5573" s="25" t="s">
        <v>65</v>
      </c>
      <c r="K5573" s="26" t="s">
        <v>38</v>
      </c>
      <c r="L5573" s="25">
        <v>14161.0</v>
      </c>
      <c r="M5573" s="49" t="s">
        <v>50</v>
      </c>
      <c r="N5573" s="42" t="s">
        <v>16408</v>
      </c>
      <c r="O5573" s="67">
        <v>45945.65727098379</v>
      </c>
      <c r="P5573" s="35" t="s">
        <v>15829</v>
      </c>
      <c r="Q5573" s="13" t="s">
        <v>75</v>
      </c>
      <c r="R5573" s="13" t="s">
        <v>75</v>
      </c>
      <c r="S5573" s="13" t="s">
        <v>73</v>
      </c>
      <c r="T5573" s="44">
        <v>45939.61009619213</v>
      </c>
      <c r="U5573" s="44">
        <v>45940.5564096875</v>
      </c>
      <c r="V5573" s="44">
        <v>45945.42879160879</v>
      </c>
      <c r="W5573" s="11"/>
      <c r="X5573" s="148">
        <v>45947.0</v>
      </c>
      <c r="Y5573" s="45">
        <v>302.0</v>
      </c>
      <c r="Z5573" s="45" t="s">
        <v>22432</v>
      </c>
      <c r="AA5573" s="31"/>
      <c r="AB5573" s="45" t="s">
        <v>22433</v>
      </c>
      <c r="AC5573" s="45"/>
    </row>
    <row r="5574" ht="18.75" customHeight="1">
      <c r="A5574" s="18" t="s">
        <v>22434</v>
      </c>
      <c r="B5574" s="33" t="s">
        <v>22435</v>
      </c>
      <c r="C5574" s="20">
        <v>1.0</v>
      </c>
      <c r="D5574" s="39"/>
      <c r="E5574" s="27" t="s">
        <v>3395</v>
      </c>
      <c r="F5574" s="27" t="s">
        <v>48</v>
      </c>
      <c r="G5574" s="18" t="s">
        <v>35</v>
      </c>
      <c r="H5574" s="40" t="s">
        <v>35</v>
      </c>
      <c r="I5574" s="37" t="s">
        <v>18314</v>
      </c>
      <c r="J5574" s="25" t="s">
        <v>49</v>
      </c>
      <c r="K5574" s="26" t="s">
        <v>21881</v>
      </c>
      <c r="L5574" s="25"/>
      <c r="M5574" s="49"/>
      <c r="N5574" s="42"/>
      <c r="O5574" s="68"/>
      <c r="P5574" s="35" t="s">
        <v>22436</v>
      </c>
      <c r="Q5574" s="13" t="s">
        <v>67</v>
      </c>
      <c r="R5574" s="13" t="s">
        <v>67</v>
      </c>
      <c r="S5574" s="13"/>
      <c r="T5574" s="44">
        <v>45939.49789398148</v>
      </c>
      <c r="U5574" s="44">
        <v>45950.57135366898</v>
      </c>
      <c r="V5574" s="13"/>
      <c r="W5574" s="11"/>
      <c r="X5574" s="11"/>
      <c r="Y5574" s="45"/>
      <c r="Z5574" s="45"/>
      <c r="AA5574" s="31"/>
      <c r="AB5574" s="45" t="s">
        <v>22437</v>
      </c>
      <c r="AC5574" s="45"/>
    </row>
    <row r="5575" ht="18.75" customHeight="1">
      <c r="A5575" s="18" t="s">
        <v>22438</v>
      </c>
      <c r="B5575" s="33" t="s">
        <v>22435</v>
      </c>
      <c r="C5575" s="20">
        <v>1.0</v>
      </c>
      <c r="D5575" s="39"/>
      <c r="E5575" s="27" t="s">
        <v>3395</v>
      </c>
      <c r="F5575" s="27" t="s">
        <v>48</v>
      </c>
      <c r="G5575" s="18" t="s">
        <v>35</v>
      </c>
      <c r="H5575" s="40" t="s">
        <v>35</v>
      </c>
      <c r="I5575" s="37" t="s">
        <v>18314</v>
      </c>
      <c r="J5575" s="25" t="s">
        <v>49</v>
      </c>
      <c r="K5575" s="26" t="s">
        <v>21881</v>
      </c>
      <c r="L5575" s="25"/>
      <c r="M5575" s="49"/>
      <c r="N5575" s="42"/>
      <c r="O5575" s="68"/>
      <c r="P5575" s="35" t="s">
        <v>22436</v>
      </c>
      <c r="Q5575" s="13" t="s">
        <v>67</v>
      </c>
      <c r="R5575" s="13" t="s">
        <v>67</v>
      </c>
      <c r="S5575" s="13" t="s">
        <v>67</v>
      </c>
      <c r="T5575" s="44">
        <v>45939.498867546296</v>
      </c>
      <c r="U5575" s="44">
        <v>45950.57143295139</v>
      </c>
      <c r="V5575" s="13"/>
      <c r="W5575" s="11"/>
      <c r="X5575" s="11"/>
      <c r="Y5575" s="45"/>
      <c r="Z5575" s="45"/>
      <c r="AA5575" s="31"/>
      <c r="AB5575" s="45" t="s">
        <v>22439</v>
      </c>
      <c r="AC5575" s="45"/>
    </row>
    <row r="5576" ht="18.75" customHeight="1">
      <c r="A5576" s="18" t="s">
        <v>22440</v>
      </c>
      <c r="B5576" s="33" t="s">
        <v>22435</v>
      </c>
      <c r="C5576" s="20">
        <v>1.0</v>
      </c>
      <c r="D5576" s="39"/>
      <c r="E5576" s="27" t="s">
        <v>3395</v>
      </c>
      <c r="F5576" s="27" t="s">
        <v>48</v>
      </c>
      <c r="G5576" s="18" t="s">
        <v>35</v>
      </c>
      <c r="H5576" s="40" t="s">
        <v>35</v>
      </c>
      <c r="I5576" s="37" t="s">
        <v>18314</v>
      </c>
      <c r="J5576" s="25" t="s">
        <v>49</v>
      </c>
      <c r="K5576" s="26" t="s">
        <v>21881</v>
      </c>
      <c r="L5576" s="25"/>
      <c r="M5576" s="49"/>
      <c r="N5576" s="42"/>
      <c r="O5576" s="68"/>
      <c r="P5576" s="35" t="s">
        <v>22436</v>
      </c>
      <c r="Q5576" s="13" t="s">
        <v>67</v>
      </c>
      <c r="R5576" s="13" t="s">
        <v>67</v>
      </c>
      <c r="S5576" s="13" t="s">
        <v>67</v>
      </c>
      <c r="T5576" s="44">
        <v>45939.49893068287</v>
      </c>
      <c r="U5576" s="44">
        <v>45950.57143655093</v>
      </c>
      <c r="V5576" s="13"/>
      <c r="W5576" s="11"/>
      <c r="X5576" s="11"/>
      <c r="Y5576" s="45"/>
      <c r="Z5576" s="45"/>
      <c r="AA5576" s="31"/>
      <c r="AB5576" s="45" t="s">
        <v>22441</v>
      </c>
      <c r="AC5576" s="45"/>
    </row>
    <row r="5577" ht="18.75" customHeight="1">
      <c r="A5577" s="142" t="s">
        <v>22442</v>
      </c>
      <c r="B5577" s="33" t="s">
        <v>16816</v>
      </c>
      <c r="C5577" s="20">
        <v>137.0</v>
      </c>
      <c r="D5577" s="39" t="s">
        <v>22443</v>
      </c>
      <c r="E5577" s="27" t="s">
        <v>85</v>
      </c>
      <c r="F5577" s="27" t="s">
        <v>48</v>
      </c>
      <c r="G5577" s="18" t="s">
        <v>35</v>
      </c>
      <c r="H5577" s="40" t="s">
        <v>35</v>
      </c>
      <c r="I5577" s="37" t="s">
        <v>36</v>
      </c>
      <c r="J5577" s="25" t="s">
        <v>65</v>
      </c>
      <c r="K5577" s="26" t="s">
        <v>38</v>
      </c>
      <c r="L5577" s="25">
        <v>14128.0</v>
      </c>
      <c r="M5577" s="49" t="s">
        <v>50</v>
      </c>
      <c r="N5577" s="42" t="s">
        <v>16408</v>
      </c>
      <c r="O5577" s="67">
        <v>45940.64771822917</v>
      </c>
      <c r="P5577" s="35" t="s">
        <v>22444</v>
      </c>
      <c r="Q5577" s="13" t="s">
        <v>75</v>
      </c>
      <c r="R5577" s="13" t="s">
        <v>75</v>
      </c>
      <c r="S5577" s="13" t="s">
        <v>73</v>
      </c>
      <c r="T5577" s="44">
        <v>45939.69590854167</v>
      </c>
      <c r="U5577" s="44">
        <v>45939.70690567129</v>
      </c>
      <c r="V5577" s="44">
        <v>45940.418248807866</v>
      </c>
      <c r="W5577" s="11"/>
      <c r="X5577" s="11"/>
      <c r="Y5577" s="45">
        <v>302.0</v>
      </c>
      <c r="Z5577" s="45" t="s">
        <v>22445</v>
      </c>
      <c r="AA5577" s="31"/>
      <c r="AB5577" s="45" t="s">
        <v>22446</v>
      </c>
      <c r="AC5577" s="45"/>
    </row>
    <row r="5578" ht="18.75" customHeight="1">
      <c r="A5578" s="142" t="s">
        <v>22447</v>
      </c>
      <c r="B5578" s="33" t="s">
        <v>18792</v>
      </c>
      <c r="C5578" s="20">
        <v>0.0</v>
      </c>
      <c r="D5578" s="39"/>
      <c r="E5578" s="27" t="s">
        <v>12405</v>
      </c>
      <c r="F5578" s="27" t="s">
        <v>48</v>
      </c>
      <c r="G5578" s="18" t="s">
        <v>35</v>
      </c>
      <c r="H5578" s="40" t="s">
        <v>35</v>
      </c>
      <c r="I5578" s="37" t="s">
        <v>22367</v>
      </c>
      <c r="J5578" s="25" t="s">
        <v>65</v>
      </c>
      <c r="K5578" s="26" t="s">
        <v>38</v>
      </c>
      <c r="L5578" s="25"/>
      <c r="M5578" s="49"/>
      <c r="N5578" s="42"/>
      <c r="O5578" s="68"/>
      <c r="P5578" s="35" t="s">
        <v>14372</v>
      </c>
      <c r="Q5578" s="13" t="s">
        <v>75</v>
      </c>
      <c r="R5578" s="13" t="s">
        <v>75</v>
      </c>
      <c r="S5578" s="13"/>
      <c r="T5578" s="44">
        <v>45939.69778325231</v>
      </c>
      <c r="U5578" s="44">
        <v>45951.72252891204</v>
      </c>
      <c r="V5578" s="13"/>
      <c r="W5578" s="11"/>
      <c r="X5578" s="11"/>
      <c r="Y5578" s="45"/>
      <c r="Z5578" s="45"/>
      <c r="AA5578" s="31"/>
      <c r="AB5578" s="45" t="s">
        <v>22448</v>
      </c>
      <c r="AC5578" s="45"/>
    </row>
    <row r="5579" ht="18.75" customHeight="1">
      <c r="A5579" s="142" t="s">
        <v>22449</v>
      </c>
      <c r="B5579" s="33" t="s">
        <v>1299</v>
      </c>
      <c r="C5579" s="20">
        <v>90.0</v>
      </c>
      <c r="D5579" s="39" t="s">
        <v>22450</v>
      </c>
      <c r="E5579" s="27" t="s">
        <v>91</v>
      </c>
      <c r="F5579" s="27" t="s">
        <v>48</v>
      </c>
      <c r="G5579" s="18" t="s">
        <v>35</v>
      </c>
      <c r="H5579" s="40" t="s">
        <v>35</v>
      </c>
      <c r="I5579" s="37" t="s">
        <v>36</v>
      </c>
      <c r="J5579" s="25" t="s">
        <v>92</v>
      </c>
      <c r="K5579" s="26" t="s">
        <v>38</v>
      </c>
      <c r="L5579" s="72">
        <v>14164.0</v>
      </c>
      <c r="M5579" s="49" t="s">
        <v>50</v>
      </c>
      <c r="N5579" s="42" t="s">
        <v>4767</v>
      </c>
      <c r="O5579" s="67">
        <v>45945.59019133102</v>
      </c>
      <c r="P5579" s="26"/>
      <c r="Q5579" s="13" t="s">
        <v>67</v>
      </c>
      <c r="R5579" s="13" t="s">
        <v>67</v>
      </c>
      <c r="S5579" s="13" t="s">
        <v>73</v>
      </c>
      <c r="T5579" s="44">
        <v>45940.440708333335</v>
      </c>
      <c r="U5579" s="44">
        <v>45944.430756030095</v>
      </c>
      <c r="V5579" s="44">
        <v>45945.54958415509</v>
      </c>
      <c r="W5579" s="11"/>
      <c r="X5579" s="11"/>
      <c r="Y5579" s="45">
        <v>302.0</v>
      </c>
      <c r="Z5579" s="45" t="s">
        <v>22451</v>
      </c>
      <c r="AA5579" s="31"/>
      <c r="AB5579" s="45" t="s">
        <v>22452</v>
      </c>
      <c r="AC5579" s="45"/>
    </row>
    <row r="5580" ht="18.75" customHeight="1">
      <c r="A5580" s="18" t="s">
        <v>22453</v>
      </c>
      <c r="B5580" s="33" t="s">
        <v>19002</v>
      </c>
      <c r="C5580" s="20">
        <v>1.0</v>
      </c>
      <c r="D5580" s="39"/>
      <c r="E5580" s="27" t="s">
        <v>3395</v>
      </c>
      <c r="F5580" s="27" t="s">
        <v>48</v>
      </c>
      <c r="G5580" s="18" t="s">
        <v>35</v>
      </c>
      <c r="H5580" s="40" t="s">
        <v>35</v>
      </c>
      <c r="I5580" s="37" t="s">
        <v>18314</v>
      </c>
      <c r="J5580" s="25" t="s">
        <v>92</v>
      </c>
      <c r="K5580" s="26" t="s">
        <v>38</v>
      </c>
      <c r="L5580" s="25"/>
      <c r="M5580" s="49"/>
      <c r="N5580" s="42"/>
      <c r="O5580" s="68"/>
      <c r="P5580" s="35" t="s">
        <v>22454</v>
      </c>
      <c r="Q5580" s="13" t="s">
        <v>67</v>
      </c>
      <c r="R5580" s="13" t="s">
        <v>67</v>
      </c>
      <c r="S5580" s="13"/>
      <c r="T5580" s="44">
        <v>45940.443643969906</v>
      </c>
      <c r="U5580" s="44">
        <v>45946.69743637732</v>
      </c>
      <c r="V5580" s="13"/>
      <c r="W5580" s="11"/>
      <c r="X5580" s="11"/>
      <c r="Y5580" s="45"/>
      <c r="Z5580" s="45"/>
      <c r="AA5580" s="31"/>
      <c r="AB5580" s="45" t="s">
        <v>22455</v>
      </c>
      <c r="AC5580" s="45"/>
    </row>
    <row r="5581" ht="18.75" customHeight="1">
      <c r="A5581" s="18" t="s">
        <v>22456</v>
      </c>
      <c r="B5581" s="33" t="s">
        <v>19002</v>
      </c>
      <c r="C5581" s="20">
        <v>1.0</v>
      </c>
      <c r="D5581" s="39"/>
      <c r="E5581" s="27" t="s">
        <v>3395</v>
      </c>
      <c r="F5581" s="27" t="s">
        <v>48</v>
      </c>
      <c r="G5581" s="18" t="s">
        <v>35</v>
      </c>
      <c r="H5581" s="40" t="s">
        <v>35</v>
      </c>
      <c r="I5581" s="37" t="s">
        <v>18314</v>
      </c>
      <c r="J5581" s="25" t="s">
        <v>92</v>
      </c>
      <c r="K5581" s="26" t="s">
        <v>38</v>
      </c>
      <c r="L5581" s="25"/>
      <c r="M5581" s="49"/>
      <c r="N5581" s="42"/>
      <c r="O5581" s="68"/>
      <c r="P5581" s="35" t="s">
        <v>22454</v>
      </c>
      <c r="Q5581" s="13" t="s">
        <v>67</v>
      </c>
      <c r="R5581" s="13" t="s">
        <v>67</v>
      </c>
      <c r="S5581" s="13" t="s">
        <v>67</v>
      </c>
      <c r="T5581" s="44">
        <v>45940.44598503472</v>
      </c>
      <c r="U5581" s="44">
        <v>45946.697483842596</v>
      </c>
      <c r="V5581" s="13"/>
      <c r="W5581" s="11"/>
      <c r="X5581" s="11"/>
      <c r="Y5581" s="45"/>
      <c r="Z5581" s="45"/>
      <c r="AA5581" s="31"/>
      <c r="AB5581" s="45" t="s">
        <v>22457</v>
      </c>
      <c r="AC5581" s="45"/>
    </row>
    <row r="5582" ht="18.75" customHeight="1">
      <c r="A5582" s="18" t="s">
        <v>22458</v>
      </c>
      <c r="B5582" s="33" t="s">
        <v>19002</v>
      </c>
      <c r="C5582" s="20">
        <v>1.0</v>
      </c>
      <c r="D5582" s="39"/>
      <c r="E5582" s="27" t="s">
        <v>3395</v>
      </c>
      <c r="F5582" s="27" t="s">
        <v>48</v>
      </c>
      <c r="G5582" s="18" t="s">
        <v>35</v>
      </c>
      <c r="H5582" s="40" t="s">
        <v>35</v>
      </c>
      <c r="I5582" s="37" t="s">
        <v>18314</v>
      </c>
      <c r="J5582" s="25" t="s">
        <v>92</v>
      </c>
      <c r="K5582" s="26" t="s">
        <v>38</v>
      </c>
      <c r="L5582" s="25"/>
      <c r="M5582" s="49"/>
      <c r="N5582" s="42"/>
      <c r="O5582" s="68"/>
      <c r="P5582" s="35" t="s">
        <v>22454</v>
      </c>
      <c r="Q5582" s="13" t="s">
        <v>67</v>
      </c>
      <c r="R5582" s="13" t="s">
        <v>67</v>
      </c>
      <c r="S5582" s="13" t="s">
        <v>67</v>
      </c>
      <c r="T5582" s="44">
        <v>45940.44737084491</v>
      </c>
      <c r="U5582" s="44">
        <v>45946.69749605324</v>
      </c>
      <c r="V5582" s="13"/>
      <c r="W5582" s="11"/>
      <c r="X5582" s="11"/>
      <c r="Y5582" s="45"/>
      <c r="Z5582" s="45"/>
      <c r="AA5582" s="31"/>
      <c r="AB5582" s="45" t="s">
        <v>22459</v>
      </c>
      <c r="AC5582" s="45"/>
    </row>
    <row r="5583" ht="18.75" customHeight="1">
      <c r="A5583" s="18" t="s">
        <v>22460</v>
      </c>
      <c r="B5583" s="33" t="s">
        <v>19002</v>
      </c>
      <c r="C5583" s="20">
        <v>1.0</v>
      </c>
      <c r="D5583" s="39"/>
      <c r="E5583" s="27" t="s">
        <v>3395</v>
      </c>
      <c r="F5583" s="27" t="s">
        <v>48</v>
      </c>
      <c r="G5583" s="18" t="s">
        <v>35</v>
      </c>
      <c r="H5583" s="40" t="s">
        <v>35</v>
      </c>
      <c r="I5583" s="37" t="s">
        <v>18314</v>
      </c>
      <c r="J5583" s="25" t="s">
        <v>92</v>
      </c>
      <c r="K5583" s="26" t="s">
        <v>38</v>
      </c>
      <c r="L5583" s="25"/>
      <c r="M5583" s="49"/>
      <c r="N5583" s="42"/>
      <c r="O5583" s="68"/>
      <c r="P5583" s="35" t="s">
        <v>22454</v>
      </c>
      <c r="Q5583" s="13" t="s">
        <v>67</v>
      </c>
      <c r="R5583" s="13" t="s">
        <v>67</v>
      </c>
      <c r="S5583" s="13" t="s">
        <v>67</v>
      </c>
      <c r="T5583" s="44">
        <v>45940.44743543981</v>
      </c>
      <c r="U5583" s="44">
        <v>45946.697529282406</v>
      </c>
      <c r="V5583" s="13"/>
      <c r="W5583" s="11"/>
      <c r="X5583" s="11"/>
      <c r="Y5583" s="45"/>
      <c r="Z5583" s="45"/>
      <c r="AA5583" s="31"/>
      <c r="AB5583" s="45" t="s">
        <v>22461</v>
      </c>
      <c r="AC5583" s="45"/>
    </row>
    <row r="5584" ht="18.75" customHeight="1">
      <c r="A5584" s="18" t="s">
        <v>22462</v>
      </c>
      <c r="B5584" s="33" t="s">
        <v>19002</v>
      </c>
      <c r="C5584" s="20">
        <v>1.0</v>
      </c>
      <c r="D5584" s="39"/>
      <c r="E5584" s="27" t="s">
        <v>3395</v>
      </c>
      <c r="F5584" s="27" t="s">
        <v>48</v>
      </c>
      <c r="G5584" s="18" t="s">
        <v>35</v>
      </c>
      <c r="H5584" s="40" t="s">
        <v>35</v>
      </c>
      <c r="I5584" s="37" t="s">
        <v>18314</v>
      </c>
      <c r="J5584" s="25" t="s">
        <v>92</v>
      </c>
      <c r="K5584" s="26" t="s">
        <v>38</v>
      </c>
      <c r="L5584" s="25"/>
      <c r="M5584" s="49"/>
      <c r="N5584" s="42"/>
      <c r="O5584" s="68"/>
      <c r="P5584" s="35" t="s">
        <v>22454</v>
      </c>
      <c r="Q5584" s="13" t="s">
        <v>67</v>
      </c>
      <c r="R5584" s="13" t="s">
        <v>67</v>
      </c>
      <c r="S5584" s="13" t="s">
        <v>67</v>
      </c>
      <c r="T5584" s="44">
        <v>45940.44748253472</v>
      </c>
      <c r="U5584" s="44">
        <v>45946.697547986114</v>
      </c>
      <c r="V5584" s="13"/>
      <c r="W5584" s="11"/>
      <c r="X5584" s="11"/>
      <c r="Y5584" s="45"/>
      <c r="Z5584" s="45"/>
      <c r="AA5584" s="31"/>
      <c r="AB5584" s="45" t="s">
        <v>22463</v>
      </c>
      <c r="AC5584" s="45"/>
    </row>
    <row r="5585" ht="18.75" customHeight="1">
      <c r="A5585" s="18" t="s">
        <v>22464</v>
      </c>
      <c r="B5585" s="33" t="s">
        <v>19002</v>
      </c>
      <c r="C5585" s="20">
        <v>1.0</v>
      </c>
      <c r="D5585" s="39"/>
      <c r="E5585" s="27" t="s">
        <v>3395</v>
      </c>
      <c r="F5585" s="27" t="s">
        <v>48</v>
      </c>
      <c r="G5585" s="18" t="s">
        <v>35</v>
      </c>
      <c r="H5585" s="40" t="s">
        <v>35</v>
      </c>
      <c r="I5585" s="37" t="s">
        <v>18314</v>
      </c>
      <c r="J5585" s="25" t="s">
        <v>92</v>
      </c>
      <c r="K5585" s="26" t="s">
        <v>38</v>
      </c>
      <c r="L5585" s="25"/>
      <c r="M5585" s="49"/>
      <c r="N5585" s="42"/>
      <c r="O5585" s="68"/>
      <c r="P5585" s="35" t="s">
        <v>22454</v>
      </c>
      <c r="Q5585" s="13" t="s">
        <v>67</v>
      </c>
      <c r="R5585" s="13" t="s">
        <v>67</v>
      </c>
      <c r="S5585" s="13" t="s">
        <v>67</v>
      </c>
      <c r="T5585" s="44">
        <v>45940.447531631944</v>
      </c>
      <c r="U5585" s="44">
        <v>45946.69756792824</v>
      </c>
      <c r="V5585" s="13"/>
      <c r="W5585" s="11"/>
      <c r="X5585" s="11"/>
      <c r="Y5585" s="45"/>
      <c r="Z5585" s="45"/>
      <c r="AA5585" s="31"/>
      <c r="AB5585" s="45" t="s">
        <v>22465</v>
      </c>
      <c r="AC5585" s="45"/>
    </row>
    <row r="5586" ht="18.75" customHeight="1">
      <c r="A5586" s="18" t="s">
        <v>22466</v>
      </c>
      <c r="B5586" s="33" t="s">
        <v>19002</v>
      </c>
      <c r="C5586" s="20">
        <v>1.0</v>
      </c>
      <c r="D5586" s="39"/>
      <c r="E5586" s="27" t="s">
        <v>3395</v>
      </c>
      <c r="F5586" s="27" t="s">
        <v>48</v>
      </c>
      <c r="G5586" s="18" t="s">
        <v>35</v>
      </c>
      <c r="H5586" s="40" t="s">
        <v>35</v>
      </c>
      <c r="I5586" s="37" t="s">
        <v>18314</v>
      </c>
      <c r="J5586" s="25" t="s">
        <v>92</v>
      </c>
      <c r="K5586" s="26" t="s">
        <v>38</v>
      </c>
      <c r="L5586" s="25"/>
      <c r="M5586" s="49"/>
      <c r="N5586" s="42"/>
      <c r="O5586" s="68"/>
      <c r="P5586" s="35" t="s">
        <v>22454</v>
      </c>
      <c r="Q5586" s="13" t="s">
        <v>67</v>
      </c>
      <c r="R5586" s="13" t="s">
        <v>67</v>
      </c>
      <c r="S5586" s="13" t="s">
        <v>67</v>
      </c>
      <c r="T5586" s="44">
        <v>45940.44766578704</v>
      </c>
      <c r="U5586" s="44">
        <v>45946.697629525464</v>
      </c>
      <c r="V5586" s="13"/>
      <c r="W5586" s="11"/>
      <c r="X5586" s="11"/>
      <c r="Y5586" s="45"/>
      <c r="Z5586" s="45"/>
      <c r="AA5586" s="31"/>
      <c r="AB5586" s="45" t="s">
        <v>22467</v>
      </c>
      <c r="AC5586" s="45"/>
    </row>
    <row r="5587" ht="18.75" customHeight="1">
      <c r="A5587" s="18" t="s">
        <v>22468</v>
      </c>
      <c r="B5587" s="33" t="s">
        <v>19002</v>
      </c>
      <c r="C5587" s="20">
        <v>1.0</v>
      </c>
      <c r="D5587" s="39"/>
      <c r="E5587" s="27" t="s">
        <v>3395</v>
      </c>
      <c r="F5587" s="27" t="s">
        <v>48</v>
      </c>
      <c r="G5587" s="18" t="s">
        <v>35</v>
      </c>
      <c r="H5587" s="40" t="s">
        <v>35</v>
      </c>
      <c r="I5587" s="37" t="s">
        <v>18314</v>
      </c>
      <c r="J5587" s="25" t="s">
        <v>92</v>
      </c>
      <c r="K5587" s="26" t="s">
        <v>38</v>
      </c>
      <c r="L5587" s="25"/>
      <c r="M5587" s="49"/>
      <c r="N5587" s="42"/>
      <c r="O5587" s="68"/>
      <c r="P5587" s="35" t="s">
        <v>22454</v>
      </c>
      <c r="Q5587" s="13" t="s">
        <v>67</v>
      </c>
      <c r="R5587" s="13" t="s">
        <v>67</v>
      </c>
      <c r="S5587" s="13" t="s">
        <v>67</v>
      </c>
      <c r="T5587" s="44">
        <v>45940.44773743056</v>
      </c>
      <c r="U5587" s="44">
        <v>45946.69765519676</v>
      </c>
      <c r="V5587" s="13"/>
      <c r="W5587" s="11"/>
      <c r="X5587" s="11"/>
      <c r="Y5587" s="45"/>
      <c r="Z5587" s="45"/>
      <c r="AA5587" s="31"/>
      <c r="AB5587" s="45" t="s">
        <v>22469</v>
      </c>
      <c r="AC5587" s="45"/>
    </row>
    <row r="5588" ht="18.75" customHeight="1">
      <c r="A5588" s="18" t="s">
        <v>22470</v>
      </c>
      <c r="B5588" s="33" t="s">
        <v>19002</v>
      </c>
      <c r="C5588" s="20">
        <v>1.0</v>
      </c>
      <c r="D5588" s="39"/>
      <c r="E5588" s="27" t="s">
        <v>3395</v>
      </c>
      <c r="F5588" s="27" t="s">
        <v>48</v>
      </c>
      <c r="G5588" s="18" t="s">
        <v>35</v>
      </c>
      <c r="H5588" s="40" t="s">
        <v>35</v>
      </c>
      <c r="I5588" s="37" t="s">
        <v>18314</v>
      </c>
      <c r="J5588" s="25" t="s">
        <v>92</v>
      </c>
      <c r="K5588" s="26" t="s">
        <v>38</v>
      </c>
      <c r="L5588" s="25"/>
      <c r="M5588" s="49"/>
      <c r="N5588" s="42"/>
      <c r="O5588" s="68"/>
      <c r="P5588" s="35" t="s">
        <v>22454</v>
      </c>
      <c r="Q5588" s="13" t="s">
        <v>67</v>
      </c>
      <c r="R5588" s="13" t="s">
        <v>67</v>
      </c>
      <c r="S5588" s="13" t="s">
        <v>67</v>
      </c>
      <c r="T5588" s="44">
        <v>45940.44779144676</v>
      </c>
      <c r="U5588" s="44">
        <v>45946.697672951384</v>
      </c>
      <c r="V5588" s="13"/>
      <c r="W5588" s="11"/>
      <c r="X5588" s="11"/>
      <c r="Y5588" s="45"/>
      <c r="Z5588" s="45"/>
      <c r="AA5588" s="31"/>
      <c r="AB5588" s="45" t="s">
        <v>22471</v>
      </c>
      <c r="AC5588" s="45"/>
    </row>
    <row r="5589" ht="18.75" customHeight="1">
      <c r="A5589" s="18" t="s">
        <v>22472</v>
      </c>
      <c r="B5589" s="33" t="s">
        <v>19002</v>
      </c>
      <c r="C5589" s="20">
        <v>1.0</v>
      </c>
      <c r="D5589" s="39"/>
      <c r="E5589" s="27" t="s">
        <v>3395</v>
      </c>
      <c r="F5589" s="27" t="s">
        <v>48</v>
      </c>
      <c r="G5589" s="18" t="s">
        <v>35</v>
      </c>
      <c r="H5589" s="40" t="s">
        <v>35</v>
      </c>
      <c r="I5589" s="37" t="s">
        <v>18314</v>
      </c>
      <c r="J5589" s="25" t="s">
        <v>92</v>
      </c>
      <c r="K5589" s="26" t="s">
        <v>38</v>
      </c>
      <c r="L5589" s="25"/>
      <c r="M5589" s="49"/>
      <c r="N5589" s="42"/>
      <c r="O5589" s="68"/>
      <c r="P5589" s="35" t="s">
        <v>22454</v>
      </c>
      <c r="Q5589" s="13" t="s">
        <v>67</v>
      </c>
      <c r="R5589" s="13" t="s">
        <v>67</v>
      </c>
      <c r="S5589" s="13" t="s">
        <v>67</v>
      </c>
      <c r="T5589" s="44">
        <v>45940.44605915509</v>
      </c>
      <c r="U5589" s="44">
        <v>45946.69771346065</v>
      </c>
      <c r="V5589" s="13"/>
      <c r="W5589" s="11"/>
      <c r="X5589" s="11"/>
      <c r="Y5589" s="45"/>
      <c r="Z5589" s="45"/>
      <c r="AA5589" s="31"/>
      <c r="AB5589" s="45" t="s">
        <v>22473</v>
      </c>
      <c r="AC5589" s="45"/>
    </row>
    <row r="5590" ht="18.75" customHeight="1">
      <c r="A5590" s="18" t="s">
        <v>22474</v>
      </c>
      <c r="B5590" s="33" t="s">
        <v>19002</v>
      </c>
      <c r="C5590" s="20">
        <v>1.0</v>
      </c>
      <c r="D5590" s="39"/>
      <c r="E5590" s="27" t="s">
        <v>3395</v>
      </c>
      <c r="F5590" s="27" t="s">
        <v>48</v>
      </c>
      <c r="G5590" s="18" t="s">
        <v>35</v>
      </c>
      <c r="H5590" s="40" t="s">
        <v>35</v>
      </c>
      <c r="I5590" s="37" t="s">
        <v>18314</v>
      </c>
      <c r="J5590" s="25" t="s">
        <v>92</v>
      </c>
      <c r="K5590" s="26" t="s">
        <v>38</v>
      </c>
      <c r="L5590" s="25"/>
      <c r="M5590" s="49"/>
      <c r="N5590" s="42"/>
      <c r="O5590" s="68"/>
      <c r="P5590" s="35" t="s">
        <v>22454</v>
      </c>
      <c r="Q5590" s="13" t="s">
        <v>67</v>
      </c>
      <c r="R5590" s="13" t="s">
        <v>67</v>
      </c>
      <c r="S5590" s="13" t="s">
        <v>67</v>
      </c>
      <c r="T5590" s="44">
        <v>45940.44618840278</v>
      </c>
      <c r="U5590" s="44">
        <v>45946.69771746528</v>
      </c>
      <c r="V5590" s="13"/>
      <c r="W5590" s="11"/>
      <c r="X5590" s="11"/>
      <c r="Y5590" s="45"/>
      <c r="Z5590" s="45"/>
      <c r="AA5590" s="31"/>
      <c r="AB5590" s="45" t="s">
        <v>22475</v>
      </c>
      <c r="AC5590" s="45"/>
    </row>
    <row r="5591" ht="18.75" customHeight="1">
      <c r="A5591" s="18" t="s">
        <v>22476</v>
      </c>
      <c r="B5591" s="33" t="s">
        <v>19002</v>
      </c>
      <c r="C5591" s="20">
        <v>1.0</v>
      </c>
      <c r="D5591" s="39"/>
      <c r="E5591" s="27" t="s">
        <v>3395</v>
      </c>
      <c r="F5591" s="27" t="s">
        <v>48</v>
      </c>
      <c r="G5591" s="18" t="s">
        <v>35</v>
      </c>
      <c r="H5591" s="40" t="s">
        <v>35</v>
      </c>
      <c r="I5591" s="37" t="s">
        <v>18314</v>
      </c>
      <c r="J5591" s="25" t="s">
        <v>92</v>
      </c>
      <c r="K5591" s="26" t="s">
        <v>38</v>
      </c>
      <c r="L5591" s="25"/>
      <c r="M5591" s="49"/>
      <c r="N5591" s="42"/>
      <c r="O5591" s="68"/>
      <c r="P5591" s="35" t="s">
        <v>22454</v>
      </c>
      <c r="Q5591" s="13" t="s">
        <v>67</v>
      </c>
      <c r="R5591" s="13" t="s">
        <v>67</v>
      </c>
      <c r="S5591" s="13" t="s">
        <v>67</v>
      </c>
      <c r="T5591" s="44">
        <v>45940.44625085648</v>
      </c>
      <c r="U5591" s="44">
        <v>45946.69773581019</v>
      </c>
      <c r="V5591" s="13"/>
      <c r="W5591" s="11"/>
      <c r="X5591" s="11"/>
      <c r="Y5591" s="45"/>
      <c r="Z5591" s="45"/>
      <c r="AA5591" s="31"/>
      <c r="AB5591" s="45" t="s">
        <v>22477</v>
      </c>
      <c r="AC5591" s="45"/>
    </row>
    <row r="5592" ht="18.75" customHeight="1">
      <c r="A5592" s="18" t="s">
        <v>22478</v>
      </c>
      <c r="B5592" s="33" t="s">
        <v>19002</v>
      </c>
      <c r="C5592" s="20">
        <v>1.0</v>
      </c>
      <c r="D5592" s="39"/>
      <c r="E5592" s="27" t="s">
        <v>3395</v>
      </c>
      <c r="F5592" s="27" t="s">
        <v>48</v>
      </c>
      <c r="G5592" s="18" t="s">
        <v>35</v>
      </c>
      <c r="H5592" s="40" t="s">
        <v>35</v>
      </c>
      <c r="I5592" s="37" t="s">
        <v>18314</v>
      </c>
      <c r="J5592" s="25" t="s">
        <v>92</v>
      </c>
      <c r="K5592" s="26" t="s">
        <v>38</v>
      </c>
      <c r="L5592" s="25"/>
      <c r="M5592" s="49"/>
      <c r="N5592" s="42"/>
      <c r="O5592" s="68"/>
      <c r="P5592" s="35" t="s">
        <v>22454</v>
      </c>
      <c r="Q5592" s="13" t="s">
        <v>67</v>
      </c>
      <c r="R5592" s="13" t="s">
        <v>67</v>
      </c>
      <c r="S5592" s="13" t="s">
        <v>67</v>
      </c>
      <c r="T5592" s="44">
        <v>45940.44633146991</v>
      </c>
      <c r="U5592" s="44">
        <v>45946.697754768524</v>
      </c>
      <c r="V5592" s="13"/>
      <c r="W5592" s="11"/>
      <c r="X5592" s="11"/>
      <c r="Y5592" s="45"/>
      <c r="Z5592" s="45"/>
      <c r="AA5592" s="31"/>
      <c r="AB5592" s="45" t="s">
        <v>22479</v>
      </c>
      <c r="AC5592" s="45"/>
    </row>
    <row r="5593" ht="18.75" customHeight="1">
      <c r="A5593" s="18" t="s">
        <v>22480</v>
      </c>
      <c r="B5593" s="33" t="s">
        <v>19002</v>
      </c>
      <c r="C5593" s="20">
        <v>1.0</v>
      </c>
      <c r="D5593" s="39"/>
      <c r="E5593" s="27" t="s">
        <v>3395</v>
      </c>
      <c r="F5593" s="27" t="s">
        <v>48</v>
      </c>
      <c r="G5593" s="18" t="s">
        <v>35</v>
      </c>
      <c r="H5593" s="40" t="s">
        <v>35</v>
      </c>
      <c r="I5593" s="37" t="s">
        <v>18314</v>
      </c>
      <c r="J5593" s="25" t="s">
        <v>92</v>
      </c>
      <c r="K5593" s="26" t="s">
        <v>38</v>
      </c>
      <c r="L5593" s="25"/>
      <c r="M5593" s="49"/>
      <c r="N5593" s="42"/>
      <c r="O5593" s="68"/>
      <c r="P5593" s="35" t="s">
        <v>22454</v>
      </c>
      <c r="Q5593" s="13" t="s">
        <v>67</v>
      </c>
      <c r="R5593" s="13" t="s">
        <v>67</v>
      </c>
      <c r="S5593" s="13" t="s">
        <v>67</v>
      </c>
      <c r="T5593" s="44">
        <v>45940.44687017361</v>
      </c>
      <c r="U5593" s="44">
        <v>45946.69778578704</v>
      </c>
      <c r="V5593" s="13"/>
      <c r="W5593" s="11"/>
      <c r="X5593" s="11"/>
      <c r="Y5593" s="45"/>
      <c r="Z5593" s="45"/>
      <c r="AA5593" s="31"/>
      <c r="AB5593" s="45" t="s">
        <v>22481</v>
      </c>
      <c r="AC5593" s="45"/>
    </row>
    <row r="5594" ht="18.75" customHeight="1">
      <c r="A5594" s="18" t="s">
        <v>22482</v>
      </c>
      <c r="B5594" s="33" t="s">
        <v>19002</v>
      </c>
      <c r="C5594" s="20">
        <v>1.0</v>
      </c>
      <c r="D5594" s="39"/>
      <c r="E5594" s="27" t="s">
        <v>3395</v>
      </c>
      <c r="F5594" s="27" t="s">
        <v>48</v>
      </c>
      <c r="G5594" s="18" t="s">
        <v>35</v>
      </c>
      <c r="H5594" s="40" t="s">
        <v>35</v>
      </c>
      <c r="I5594" s="37" t="s">
        <v>18314</v>
      </c>
      <c r="J5594" s="25" t="s">
        <v>92</v>
      </c>
      <c r="K5594" s="26" t="s">
        <v>38</v>
      </c>
      <c r="L5594" s="25"/>
      <c r="M5594" s="49"/>
      <c r="N5594" s="42"/>
      <c r="O5594" s="68"/>
      <c r="P5594" s="35" t="s">
        <v>22454</v>
      </c>
      <c r="Q5594" s="13" t="s">
        <v>67</v>
      </c>
      <c r="R5594" s="13" t="s">
        <v>67</v>
      </c>
      <c r="S5594" s="13" t="s">
        <v>67</v>
      </c>
      <c r="T5594" s="44">
        <v>45940.4471327662</v>
      </c>
      <c r="U5594" s="44">
        <v>45946.69782197916</v>
      </c>
      <c r="V5594" s="13"/>
      <c r="W5594" s="11"/>
      <c r="X5594" s="11"/>
      <c r="Y5594" s="45"/>
      <c r="Z5594" s="45"/>
      <c r="AA5594" s="31"/>
      <c r="AB5594" s="45" t="s">
        <v>22483</v>
      </c>
      <c r="AC5594" s="45"/>
    </row>
    <row r="5595" ht="18.75" customHeight="1">
      <c r="A5595" s="18" t="s">
        <v>22484</v>
      </c>
      <c r="B5595" s="33" t="s">
        <v>19002</v>
      </c>
      <c r="C5595" s="20">
        <v>1.0</v>
      </c>
      <c r="D5595" s="39"/>
      <c r="E5595" s="27" t="s">
        <v>3395</v>
      </c>
      <c r="F5595" s="27" t="s">
        <v>48</v>
      </c>
      <c r="G5595" s="18" t="s">
        <v>35</v>
      </c>
      <c r="H5595" s="40" t="s">
        <v>35</v>
      </c>
      <c r="I5595" s="37" t="s">
        <v>18314</v>
      </c>
      <c r="J5595" s="25" t="s">
        <v>92</v>
      </c>
      <c r="K5595" s="26" t="s">
        <v>38</v>
      </c>
      <c r="L5595" s="25"/>
      <c r="M5595" s="49"/>
      <c r="N5595" s="42"/>
      <c r="O5595" s="68"/>
      <c r="P5595" s="35" t="s">
        <v>22454</v>
      </c>
      <c r="Q5595" s="13" t="s">
        <v>67</v>
      </c>
      <c r="R5595" s="13" t="s">
        <v>67</v>
      </c>
      <c r="S5595" s="13" t="s">
        <v>67</v>
      </c>
      <c r="T5595" s="44">
        <v>45940.447194374996</v>
      </c>
      <c r="U5595" s="44">
        <v>45946.69783503472</v>
      </c>
      <c r="V5595" s="13"/>
      <c r="W5595" s="11"/>
      <c r="X5595" s="11"/>
      <c r="Y5595" s="45"/>
      <c r="Z5595" s="45"/>
      <c r="AA5595" s="31"/>
      <c r="AB5595" s="45" t="s">
        <v>22485</v>
      </c>
      <c r="AC5595" s="45"/>
    </row>
    <row r="5596" ht="18.75" customHeight="1">
      <c r="A5596" s="18" t="s">
        <v>22486</v>
      </c>
      <c r="B5596" s="33" t="s">
        <v>19002</v>
      </c>
      <c r="C5596" s="20">
        <v>1.0</v>
      </c>
      <c r="D5596" s="39"/>
      <c r="E5596" s="27" t="s">
        <v>3395</v>
      </c>
      <c r="F5596" s="27" t="s">
        <v>48</v>
      </c>
      <c r="G5596" s="18" t="s">
        <v>35</v>
      </c>
      <c r="H5596" s="40" t="s">
        <v>35</v>
      </c>
      <c r="I5596" s="37" t="s">
        <v>18314</v>
      </c>
      <c r="J5596" s="25" t="s">
        <v>92</v>
      </c>
      <c r="K5596" s="26" t="s">
        <v>38</v>
      </c>
      <c r="L5596" s="25"/>
      <c r="M5596" s="49"/>
      <c r="N5596" s="42"/>
      <c r="O5596" s="68"/>
      <c r="P5596" s="35" t="s">
        <v>22454</v>
      </c>
      <c r="Q5596" s="13" t="s">
        <v>67</v>
      </c>
      <c r="R5596" s="13" t="s">
        <v>67</v>
      </c>
      <c r="S5596" s="13" t="s">
        <v>67</v>
      </c>
      <c r="T5596" s="44">
        <v>45940.44731159722</v>
      </c>
      <c r="U5596" s="44">
        <v>45946.69786418982</v>
      </c>
      <c r="V5596" s="13"/>
      <c r="W5596" s="11"/>
      <c r="X5596" s="11"/>
      <c r="Y5596" s="45"/>
      <c r="Z5596" s="45"/>
      <c r="AA5596" s="31"/>
      <c r="AB5596" s="45" t="s">
        <v>22487</v>
      </c>
      <c r="AC5596" s="45"/>
    </row>
    <row r="5597" ht="18.75" customHeight="1">
      <c r="A5597" s="18" t="s">
        <v>22488</v>
      </c>
      <c r="B5597" s="33" t="s">
        <v>19002</v>
      </c>
      <c r="C5597" s="20">
        <v>1.0</v>
      </c>
      <c r="D5597" s="39"/>
      <c r="E5597" s="27" t="s">
        <v>3395</v>
      </c>
      <c r="F5597" s="27" t="s">
        <v>48</v>
      </c>
      <c r="G5597" s="18" t="s">
        <v>35</v>
      </c>
      <c r="H5597" s="40" t="s">
        <v>35</v>
      </c>
      <c r="I5597" s="37" t="s">
        <v>18314</v>
      </c>
      <c r="J5597" s="25" t="s">
        <v>92</v>
      </c>
      <c r="K5597" s="26" t="s">
        <v>38</v>
      </c>
      <c r="L5597" s="25"/>
      <c r="M5597" s="49"/>
      <c r="N5597" s="42"/>
      <c r="O5597" s="68"/>
      <c r="P5597" s="35" t="s">
        <v>22454</v>
      </c>
      <c r="Q5597" s="13" t="s">
        <v>67</v>
      </c>
      <c r="R5597" s="13" t="s">
        <v>67</v>
      </c>
      <c r="S5597" s="13" t="s">
        <v>67</v>
      </c>
      <c r="T5597" s="44">
        <v>45940.44391559028</v>
      </c>
      <c r="U5597" s="44">
        <v>45946.69788391204</v>
      </c>
      <c r="V5597" s="13"/>
      <c r="W5597" s="11"/>
      <c r="X5597" s="11"/>
      <c r="Y5597" s="45"/>
      <c r="Z5597" s="45"/>
      <c r="AA5597" s="31"/>
      <c r="AB5597" s="45" t="s">
        <v>22489</v>
      </c>
      <c r="AC5597" s="45"/>
    </row>
    <row r="5598" ht="18.75" customHeight="1">
      <c r="A5598" s="18" t="s">
        <v>22490</v>
      </c>
      <c r="B5598" s="33" t="s">
        <v>19002</v>
      </c>
      <c r="C5598" s="20">
        <v>1.0</v>
      </c>
      <c r="D5598" s="39"/>
      <c r="E5598" s="27" t="s">
        <v>3395</v>
      </c>
      <c r="F5598" s="27" t="s">
        <v>48</v>
      </c>
      <c r="G5598" s="18" t="s">
        <v>35</v>
      </c>
      <c r="H5598" s="40" t="s">
        <v>35</v>
      </c>
      <c r="I5598" s="37" t="s">
        <v>18314</v>
      </c>
      <c r="J5598" s="25" t="s">
        <v>92</v>
      </c>
      <c r="K5598" s="26" t="s">
        <v>38</v>
      </c>
      <c r="L5598" s="25"/>
      <c r="M5598" s="49"/>
      <c r="N5598" s="42"/>
      <c r="O5598" s="68"/>
      <c r="P5598" s="35" t="s">
        <v>22454</v>
      </c>
      <c r="Q5598" s="13" t="s">
        <v>67</v>
      </c>
      <c r="R5598" s="13" t="s">
        <v>67</v>
      </c>
      <c r="S5598" s="13" t="s">
        <v>67</v>
      </c>
      <c r="T5598" s="44">
        <v>45940.44396104167</v>
      </c>
      <c r="U5598" s="44">
        <v>45946.69793743055</v>
      </c>
      <c r="V5598" s="13"/>
      <c r="W5598" s="11"/>
      <c r="X5598" s="11"/>
      <c r="Y5598" s="45"/>
      <c r="Z5598" s="45"/>
      <c r="AA5598" s="31"/>
      <c r="AB5598" s="45" t="s">
        <v>22491</v>
      </c>
      <c r="AC5598" s="45"/>
    </row>
    <row r="5599" ht="18.75" customHeight="1">
      <c r="A5599" s="18" t="s">
        <v>22492</v>
      </c>
      <c r="B5599" s="33" t="s">
        <v>19002</v>
      </c>
      <c r="C5599" s="20">
        <v>1.0</v>
      </c>
      <c r="D5599" s="39"/>
      <c r="E5599" s="27" t="s">
        <v>3395</v>
      </c>
      <c r="F5599" s="27" t="s">
        <v>48</v>
      </c>
      <c r="G5599" s="18" t="s">
        <v>35</v>
      </c>
      <c r="H5599" s="40" t="s">
        <v>35</v>
      </c>
      <c r="I5599" s="37" t="s">
        <v>18314</v>
      </c>
      <c r="J5599" s="25" t="s">
        <v>92</v>
      </c>
      <c r="K5599" s="26" t="s">
        <v>38</v>
      </c>
      <c r="L5599" s="25"/>
      <c r="M5599" s="49"/>
      <c r="N5599" s="42"/>
      <c r="O5599" s="68"/>
      <c r="P5599" s="35" t="s">
        <v>22454</v>
      </c>
      <c r="Q5599" s="13" t="s">
        <v>67</v>
      </c>
      <c r="R5599" s="13" t="s">
        <v>67</v>
      </c>
      <c r="S5599" s="13" t="s">
        <v>67</v>
      </c>
      <c r="T5599" s="44">
        <v>45940.444052928244</v>
      </c>
      <c r="U5599" s="44">
        <v>45946.69789966435</v>
      </c>
      <c r="V5599" s="13"/>
      <c r="W5599" s="11"/>
      <c r="X5599" s="11"/>
      <c r="Y5599" s="45"/>
      <c r="Z5599" s="45"/>
      <c r="AA5599" s="31"/>
      <c r="AB5599" s="45" t="s">
        <v>22493</v>
      </c>
      <c r="AC5599" s="45"/>
    </row>
    <row r="5600" ht="18.75" customHeight="1">
      <c r="A5600" s="18" t="s">
        <v>22494</v>
      </c>
      <c r="B5600" s="33" t="s">
        <v>19002</v>
      </c>
      <c r="C5600" s="20">
        <v>1.0</v>
      </c>
      <c r="D5600" s="39"/>
      <c r="E5600" s="27" t="s">
        <v>3395</v>
      </c>
      <c r="F5600" s="27" t="s">
        <v>48</v>
      </c>
      <c r="G5600" s="18" t="s">
        <v>35</v>
      </c>
      <c r="H5600" s="40" t="s">
        <v>35</v>
      </c>
      <c r="I5600" s="37" t="s">
        <v>18314</v>
      </c>
      <c r="J5600" s="25" t="s">
        <v>92</v>
      </c>
      <c r="K5600" s="26" t="s">
        <v>38</v>
      </c>
      <c r="L5600" s="25"/>
      <c r="M5600" s="49"/>
      <c r="N5600" s="42"/>
      <c r="O5600" s="68"/>
      <c r="P5600" s="35" t="s">
        <v>22454</v>
      </c>
      <c r="Q5600" s="13" t="s">
        <v>67</v>
      </c>
      <c r="R5600" s="13" t="s">
        <v>67</v>
      </c>
      <c r="S5600" s="13" t="s">
        <v>67</v>
      </c>
      <c r="T5600" s="44">
        <v>45940.44410396991</v>
      </c>
      <c r="U5600" s="44">
        <v>45946.697948229164</v>
      </c>
      <c r="V5600" s="13"/>
      <c r="W5600" s="11"/>
      <c r="X5600" s="11"/>
      <c r="Y5600" s="45"/>
      <c r="Z5600" s="45"/>
      <c r="AA5600" s="31"/>
      <c r="AB5600" s="45" t="s">
        <v>22495</v>
      </c>
      <c r="AC5600" s="45"/>
    </row>
    <row r="5601" ht="18.75" customHeight="1">
      <c r="A5601" s="18" t="s">
        <v>22496</v>
      </c>
      <c r="B5601" s="33" t="s">
        <v>19002</v>
      </c>
      <c r="C5601" s="20">
        <v>1.0</v>
      </c>
      <c r="D5601" s="39"/>
      <c r="E5601" s="27" t="s">
        <v>3395</v>
      </c>
      <c r="F5601" s="27" t="s">
        <v>48</v>
      </c>
      <c r="G5601" s="18" t="s">
        <v>35</v>
      </c>
      <c r="H5601" s="40" t="s">
        <v>35</v>
      </c>
      <c r="I5601" s="37" t="s">
        <v>18314</v>
      </c>
      <c r="J5601" s="25" t="s">
        <v>92</v>
      </c>
      <c r="K5601" s="26" t="s">
        <v>38</v>
      </c>
      <c r="L5601" s="25"/>
      <c r="M5601" s="49"/>
      <c r="N5601" s="42"/>
      <c r="O5601" s="68"/>
      <c r="P5601" s="35" t="s">
        <v>22454</v>
      </c>
      <c r="Q5601" s="13" t="s">
        <v>67</v>
      </c>
      <c r="R5601" s="13" t="s">
        <v>67</v>
      </c>
      <c r="S5601" s="13" t="s">
        <v>67</v>
      </c>
      <c r="T5601" s="44">
        <v>45940.44415309028</v>
      </c>
      <c r="U5601" s="44">
        <v>45946.69796517361</v>
      </c>
      <c r="V5601" s="13"/>
      <c r="W5601" s="11"/>
      <c r="X5601" s="11"/>
      <c r="Y5601" s="45"/>
      <c r="Z5601" s="45"/>
      <c r="AA5601" s="31"/>
      <c r="AB5601" s="45" t="s">
        <v>22497</v>
      </c>
      <c r="AC5601" s="45"/>
    </row>
    <row r="5602" ht="18.75" customHeight="1">
      <c r="A5602" s="18" t="s">
        <v>22498</v>
      </c>
      <c r="B5602" s="33" t="s">
        <v>19002</v>
      </c>
      <c r="C5602" s="20">
        <v>1.0</v>
      </c>
      <c r="D5602" s="39"/>
      <c r="E5602" s="27" t="s">
        <v>3395</v>
      </c>
      <c r="F5602" s="27" t="s">
        <v>48</v>
      </c>
      <c r="G5602" s="18" t="s">
        <v>35</v>
      </c>
      <c r="H5602" s="40" t="s">
        <v>35</v>
      </c>
      <c r="I5602" s="37" t="s">
        <v>18314</v>
      </c>
      <c r="J5602" s="25" t="s">
        <v>92</v>
      </c>
      <c r="K5602" s="26" t="s">
        <v>38</v>
      </c>
      <c r="L5602" s="25"/>
      <c r="M5602" s="49"/>
      <c r="N5602" s="42"/>
      <c r="O5602" s="68"/>
      <c r="P5602" s="35" t="s">
        <v>22454</v>
      </c>
      <c r="Q5602" s="13" t="s">
        <v>67</v>
      </c>
      <c r="R5602" s="13" t="s">
        <v>67</v>
      </c>
      <c r="S5602" s="13" t="s">
        <v>67</v>
      </c>
      <c r="T5602" s="44">
        <v>45940.44420021991</v>
      </c>
      <c r="U5602" s="44">
        <v>45946.697982233796</v>
      </c>
      <c r="V5602" s="13"/>
      <c r="W5602" s="11"/>
      <c r="X5602" s="11"/>
      <c r="Y5602" s="45"/>
      <c r="Z5602" s="45"/>
      <c r="AA5602" s="31"/>
      <c r="AB5602" s="45" t="s">
        <v>22499</v>
      </c>
      <c r="AC5602" s="45"/>
    </row>
    <row r="5603" ht="18.75" customHeight="1">
      <c r="A5603" s="18" t="s">
        <v>22500</v>
      </c>
      <c r="B5603" s="33" t="s">
        <v>19002</v>
      </c>
      <c r="C5603" s="20">
        <v>1.0</v>
      </c>
      <c r="D5603" s="39"/>
      <c r="E5603" s="27" t="s">
        <v>3395</v>
      </c>
      <c r="F5603" s="27" t="s">
        <v>48</v>
      </c>
      <c r="G5603" s="18" t="s">
        <v>35</v>
      </c>
      <c r="H5603" s="40" t="s">
        <v>35</v>
      </c>
      <c r="I5603" s="37" t="s">
        <v>18314</v>
      </c>
      <c r="J5603" s="25" t="s">
        <v>92</v>
      </c>
      <c r="K5603" s="26" t="s">
        <v>38</v>
      </c>
      <c r="L5603" s="25"/>
      <c r="M5603" s="49"/>
      <c r="N5603" s="42"/>
      <c r="O5603" s="68"/>
      <c r="P5603" s="35" t="s">
        <v>22454</v>
      </c>
      <c r="Q5603" s="13" t="s">
        <v>67</v>
      </c>
      <c r="R5603" s="13" t="s">
        <v>67</v>
      </c>
      <c r="S5603" s="13" t="s">
        <v>67</v>
      </c>
      <c r="T5603" s="44">
        <v>45940.44424486111</v>
      </c>
      <c r="U5603" s="44">
        <v>45946.69800158565</v>
      </c>
      <c r="V5603" s="13"/>
      <c r="W5603" s="11"/>
      <c r="X5603" s="11"/>
      <c r="Y5603" s="45"/>
      <c r="Z5603" s="45"/>
      <c r="AA5603" s="31"/>
      <c r="AB5603" s="45" t="s">
        <v>22501</v>
      </c>
      <c r="AC5603" s="45"/>
    </row>
    <row r="5604" ht="18.75" customHeight="1">
      <c r="A5604" s="18" t="s">
        <v>22502</v>
      </c>
      <c r="B5604" s="33" t="s">
        <v>19002</v>
      </c>
      <c r="C5604" s="20">
        <v>1.0</v>
      </c>
      <c r="D5604" s="39"/>
      <c r="E5604" s="27" t="s">
        <v>3395</v>
      </c>
      <c r="F5604" s="27" t="s">
        <v>48</v>
      </c>
      <c r="G5604" s="18" t="s">
        <v>35</v>
      </c>
      <c r="H5604" s="40" t="s">
        <v>35</v>
      </c>
      <c r="I5604" s="37" t="s">
        <v>18314</v>
      </c>
      <c r="J5604" s="25" t="s">
        <v>92</v>
      </c>
      <c r="K5604" s="26" t="s">
        <v>38</v>
      </c>
      <c r="L5604" s="25"/>
      <c r="M5604" s="49"/>
      <c r="N5604" s="42"/>
      <c r="O5604" s="68"/>
      <c r="P5604" s="35" t="s">
        <v>22454</v>
      </c>
      <c r="Q5604" s="13" t="s">
        <v>67</v>
      </c>
      <c r="R5604" s="13" t="s">
        <v>67</v>
      </c>
      <c r="S5604" s="13" t="s">
        <v>67</v>
      </c>
      <c r="T5604" s="44">
        <v>45940.444290451385</v>
      </c>
      <c r="U5604" s="44">
        <v>45946.69802591435</v>
      </c>
      <c r="V5604" s="13"/>
      <c r="W5604" s="11"/>
      <c r="X5604" s="11"/>
      <c r="Y5604" s="45"/>
      <c r="Z5604" s="45"/>
      <c r="AA5604" s="31"/>
      <c r="AB5604" s="45" t="s">
        <v>22503</v>
      </c>
      <c r="AC5604" s="45"/>
    </row>
    <row r="5605" ht="18.75" customHeight="1">
      <c r="A5605" s="18" t="s">
        <v>22504</v>
      </c>
      <c r="B5605" s="33" t="s">
        <v>19002</v>
      </c>
      <c r="C5605" s="20">
        <v>1.0</v>
      </c>
      <c r="D5605" s="39"/>
      <c r="E5605" s="27" t="s">
        <v>3395</v>
      </c>
      <c r="F5605" s="27" t="s">
        <v>48</v>
      </c>
      <c r="G5605" s="18" t="s">
        <v>35</v>
      </c>
      <c r="H5605" s="40" t="s">
        <v>35</v>
      </c>
      <c r="I5605" s="37" t="s">
        <v>18314</v>
      </c>
      <c r="J5605" s="25" t="s">
        <v>92</v>
      </c>
      <c r="K5605" s="26" t="s">
        <v>38</v>
      </c>
      <c r="L5605" s="25"/>
      <c r="M5605" s="49"/>
      <c r="N5605" s="42"/>
      <c r="O5605" s="68"/>
      <c r="P5605" s="35" t="s">
        <v>22454</v>
      </c>
      <c r="Q5605" s="13" t="s">
        <v>67</v>
      </c>
      <c r="R5605" s="13" t="s">
        <v>67</v>
      </c>
      <c r="S5605" s="13" t="s">
        <v>67</v>
      </c>
      <c r="T5605" s="44">
        <v>45940.444335520835</v>
      </c>
      <c r="U5605" s="44">
        <v>45946.69811128472</v>
      </c>
      <c r="V5605" s="13"/>
      <c r="W5605" s="11"/>
      <c r="X5605" s="11"/>
      <c r="Y5605" s="45"/>
      <c r="Z5605" s="45"/>
      <c r="AA5605" s="31"/>
      <c r="AB5605" s="45" t="s">
        <v>22505</v>
      </c>
      <c r="AC5605" s="45"/>
    </row>
    <row r="5606" ht="18.75" customHeight="1">
      <c r="A5606" s="18" t="s">
        <v>22506</v>
      </c>
      <c r="B5606" s="33" t="s">
        <v>19002</v>
      </c>
      <c r="C5606" s="20">
        <v>1.0</v>
      </c>
      <c r="D5606" s="39"/>
      <c r="E5606" s="27" t="s">
        <v>3395</v>
      </c>
      <c r="F5606" s="27" t="s">
        <v>48</v>
      </c>
      <c r="G5606" s="18" t="s">
        <v>35</v>
      </c>
      <c r="H5606" s="40" t="s">
        <v>35</v>
      </c>
      <c r="I5606" s="37" t="s">
        <v>18314</v>
      </c>
      <c r="J5606" s="25" t="s">
        <v>92</v>
      </c>
      <c r="K5606" s="26" t="s">
        <v>38</v>
      </c>
      <c r="L5606" s="25"/>
      <c r="M5606" s="49"/>
      <c r="N5606" s="42"/>
      <c r="O5606" s="68"/>
      <c r="P5606" s="35" t="s">
        <v>22454</v>
      </c>
      <c r="Q5606" s="13" t="s">
        <v>67</v>
      </c>
      <c r="R5606" s="13" t="s">
        <v>67</v>
      </c>
      <c r="S5606" s="13" t="s">
        <v>67</v>
      </c>
      <c r="T5606" s="44">
        <v>45940.44488879629</v>
      </c>
      <c r="U5606" s="44">
        <v>45946.69813780092</v>
      </c>
      <c r="V5606" s="13"/>
      <c r="W5606" s="11"/>
      <c r="X5606" s="11"/>
      <c r="Y5606" s="45"/>
      <c r="Z5606" s="45"/>
      <c r="AA5606" s="31"/>
      <c r="AB5606" s="45" t="s">
        <v>22507</v>
      </c>
      <c r="AC5606" s="45"/>
    </row>
    <row r="5607" ht="18.75" customHeight="1">
      <c r="A5607" s="18" t="s">
        <v>22508</v>
      </c>
      <c r="B5607" s="33" t="s">
        <v>19002</v>
      </c>
      <c r="C5607" s="20">
        <v>1.0</v>
      </c>
      <c r="D5607" s="39"/>
      <c r="E5607" s="27" t="s">
        <v>3395</v>
      </c>
      <c r="F5607" s="27" t="s">
        <v>48</v>
      </c>
      <c r="G5607" s="18" t="s">
        <v>35</v>
      </c>
      <c r="H5607" s="40" t="s">
        <v>35</v>
      </c>
      <c r="I5607" s="37" t="s">
        <v>18314</v>
      </c>
      <c r="J5607" s="25" t="s">
        <v>92</v>
      </c>
      <c r="K5607" s="26" t="s">
        <v>38</v>
      </c>
      <c r="L5607" s="25"/>
      <c r="M5607" s="49"/>
      <c r="N5607" s="42"/>
      <c r="O5607" s="68"/>
      <c r="P5607" s="35" t="s">
        <v>22454</v>
      </c>
      <c r="Q5607" s="13" t="s">
        <v>67</v>
      </c>
      <c r="R5607" s="13" t="s">
        <v>67</v>
      </c>
      <c r="S5607" s="13" t="s">
        <v>67</v>
      </c>
      <c r="T5607" s="44">
        <v>45940.44494606482</v>
      </c>
      <c r="U5607" s="44">
        <v>45946.69809020833</v>
      </c>
      <c r="V5607" s="13"/>
      <c r="W5607" s="11"/>
      <c r="X5607" s="11"/>
      <c r="Y5607" s="45"/>
      <c r="Z5607" s="45"/>
      <c r="AA5607" s="31"/>
      <c r="AB5607" s="45" t="s">
        <v>22509</v>
      </c>
      <c r="AC5607" s="45"/>
    </row>
    <row r="5608" ht="18.75" customHeight="1">
      <c r="A5608" s="18" t="s">
        <v>22510</v>
      </c>
      <c r="B5608" s="33" t="s">
        <v>19002</v>
      </c>
      <c r="C5608" s="20">
        <v>1.0</v>
      </c>
      <c r="D5608" s="39"/>
      <c r="E5608" s="27" t="s">
        <v>3395</v>
      </c>
      <c r="F5608" s="27" t="s">
        <v>48</v>
      </c>
      <c r="G5608" s="18" t="s">
        <v>35</v>
      </c>
      <c r="H5608" s="40" t="s">
        <v>35</v>
      </c>
      <c r="I5608" s="37" t="s">
        <v>18314</v>
      </c>
      <c r="J5608" s="25" t="s">
        <v>92</v>
      </c>
      <c r="K5608" s="26" t="s">
        <v>38</v>
      </c>
      <c r="L5608" s="25"/>
      <c r="M5608" s="49"/>
      <c r="N5608" s="42"/>
      <c r="O5608" s="68"/>
      <c r="P5608" s="35" t="s">
        <v>22454</v>
      </c>
      <c r="Q5608" s="13" t="s">
        <v>67</v>
      </c>
      <c r="R5608" s="13" t="s">
        <v>67</v>
      </c>
      <c r="S5608" s="13" t="s">
        <v>67</v>
      </c>
      <c r="T5608" s="44">
        <v>45940.44499887731</v>
      </c>
      <c r="U5608" s="44">
        <v>45946.698069363425</v>
      </c>
      <c r="V5608" s="13"/>
      <c r="W5608" s="11"/>
      <c r="X5608" s="11"/>
      <c r="Y5608" s="45"/>
      <c r="Z5608" s="45"/>
      <c r="AA5608" s="31"/>
      <c r="AB5608" s="45" t="s">
        <v>22511</v>
      </c>
      <c r="AC5608" s="45"/>
    </row>
    <row r="5609" ht="18.75" customHeight="1">
      <c r="A5609" s="18" t="s">
        <v>22512</v>
      </c>
      <c r="B5609" s="33" t="s">
        <v>19002</v>
      </c>
      <c r="C5609" s="20">
        <v>1.0</v>
      </c>
      <c r="D5609" s="39"/>
      <c r="E5609" s="27" t="s">
        <v>3395</v>
      </c>
      <c r="F5609" s="27" t="s">
        <v>48</v>
      </c>
      <c r="G5609" s="18" t="s">
        <v>35</v>
      </c>
      <c r="H5609" s="40" t="s">
        <v>35</v>
      </c>
      <c r="I5609" s="37" t="s">
        <v>18314</v>
      </c>
      <c r="J5609" s="25" t="s">
        <v>92</v>
      </c>
      <c r="K5609" s="26" t="s">
        <v>38</v>
      </c>
      <c r="L5609" s="25"/>
      <c r="M5609" s="49"/>
      <c r="N5609" s="42"/>
      <c r="O5609" s="68"/>
      <c r="P5609" s="35" t="s">
        <v>22454</v>
      </c>
      <c r="Q5609" s="13" t="s">
        <v>67</v>
      </c>
      <c r="R5609" s="13" t="s">
        <v>67</v>
      </c>
      <c r="S5609" s="13" t="s">
        <v>67</v>
      </c>
      <c r="T5609" s="44">
        <v>45940.445045127315</v>
      </c>
      <c r="U5609" s="44">
        <v>45946.69806229167</v>
      </c>
      <c r="V5609" s="13"/>
      <c r="W5609" s="11"/>
      <c r="X5609" s="11"/>
      <c r="Y5609" s="45"/>
      <c r="Z5609" s="45"/>
      <c r="AA5609" s="31"/>
      <c r="AB5609" s="45" t="s">
        <v>22513</v>
      </c>
      <c r="AC5609" s="45"/>
    </row>
    <row r="5610" ht="18.75" customHeight="1">
      <c r="A5610" s="18" t="s">
        <v>22514</v>
      </c>
      <c r="B5610" s="33" t="s">
        <v>19002</v>
      </c>
      <c r="C5610" s="20">
        <v>1.0</v>
      </c>
      <c r="D5610" s="39"/>
      <c r="E5610" s="27" t="s">
        <v>3395</v>
      </c>
      <c r="F5610" s="27" t="s">
        <v>48</v>
      </c>
      <c r="G5610" s="18" t="s">
        <v>35</v>
      </c>
      <c r="H5610" s="40" t="s">
        <v>35</v>
      </c>
      <c r="I5610" s="37" t="s">
        <v>18314</v>
      </c>
      <c r="J5610" s="25" t="s">
        <v>92</v>
      </c>
      <c r="K5610" s="26" t="s">
        <v>38</v>
      </c>
      <c r="L5610" s="25"/>
      <c r="M5610" s="49"/>
      <c r="N5610" s="42"/>
      <c r="O5610" s="68"/>
      <c r="P5610" s="35" t="s">
        <v>22454</v>
      </c>
      <c r="Q5610" s="13" t="s">
        <v>67</v>
      </c>
      <c r="R5610" s="13" t="s">
        <v>67</v>
      </c>
      <c r="S5610" s="13" t="s">
        <v>67</v>
      </c>
      <c r="T5610" s="44">
        <v>45940.44510087963</v>
      </c>
      <c r="U5610" s="44">
        <v>45946.69817854167</v>
      </c>
      <c r="V5610" s="13"/>
      <c r="W5610" s="11"/>
      <c r="X5610" s="11"/>
      <c r="Y5610" s="45"/>
      <c r="Z5610" s="45"/>
      <c r="AA5610" s="31"/>
      <c r="AB5610" s="45" t="s">
        <v>22515</v>
      </c>
      <c r="AC5610" s="45"/>
    </row>
    <row r="5611" ht="18.75" customHeight="1">
      <c r="A5611" s="18" t="s">
        <v>22516</v>
      </c>
      <c r="B5611" s="33" t="s">
        <v>19002</v>
      </c>
      <c r="C5611" s="20">
        <v>1.0</v>
      </c>
      <c r="D5611" s="39"/>
      <c r="E5611" s="27" t="s">
        <v>3395</v>
      </c>
      <c r="F5611" s="27" t="s">
        <v>48</v>
      </c>
      <c r="G5611" s="18" t="s">
        <v>35</v>
      </c>
      <c r="H5611" s="40" t="s">
        <v>35</v>
      </c>
      <c r="I5611" s="37" t="s">
        <v>18314</v>
      </c>
      <c r="J5611" s="25" t="s">
        <v>92</v>
      </c>
      <c r="K5611" s="26" t="s">
        <v>38</v>
      </c>
      <c r="L5611" s="25"/>
      <c r="M5611" s="49"/>
      <c r="N5611" s="42"/>
      <c r="O5611" s="68"/>
      <c r="P5611" s="35" t="s">
        <v>22454</v>
      </c>
      <c r="Q5611" s="13" t="s">
        <v>67</v>
      </c>
      <c r="R5611" s="13" t="s">
        <v>67</v>
      </c>
      <c r="S5611" s="13" t="s">
        <v>67</v>
      </c>
      <c r="T5611" s="44">
        <v>45940.445181331015</v>
      </c>
      <c r="U5611" s="44">
        <v>45946.69820493055</v>
      </c>
      <c r="V5611" s="13"/>
      <c r="W5611" s="11"/>
      <c r="X5611" s="11"/>
      <c r="Y5611" s="45"/>
      <c r="Z5611" s="45"/>
      <c r="AA5611" s="31"/>
      <c r="AB5611" s="45" t="s">
        <v>22517</v>
      </c>
      <c r="AC5611" s="45"/>
    </row>
    <row r="5612" ht="18.75" customHeight="1">
      <c r="A5612" s="18" t="s">
        <v>22518</v>
      </c>
      <c r="B5612" s="33" t="s">
        <v>19002</v>
      </c>
      <c r="C5612" s="20">
        <v>1.0</v>
      </c>
      <c r="D5612" s="39"/>
      <c r="E5612" s="27" t="s">
        <v>3395</v>
      </c>
      <c r="F5612" s="27" t="s">
        <v>48</v>
      </c>
      <c r="G5612" s="18" t="s">
        <v>35</v>
      </c>
      <c r="H5612" s="40" t="s">
        <v>35</v>
      </c>
      <c r="I5612" s="37" t="s">
        <v>18314</v>
      </c>
      <c r="J5612" s="25" t="s">
        <v>92</v>
      </c>
      <c r="K5612" s="26" t="s">
        <v>38</v>
      </c>
      <c r="L5612" s="25"/>
      <c r="M5612" s="49"/>
      <c r="N5612" s="42"/>
      <c r="O5612" s="68"/>
      <c r="P5612" s="35" t="s">
        <v>22454</v>
      </c>
      <c r="Q5612" s="13" t="s">
        <v>67</v>
      </c>
      <c r="R5612" s="13" t="s">
        <v>67</v>
      </c>
      <c r="S5612" s="13" t="s">
        <v>67</v>
      </c>
      <c r="T5612" s="44">
        <v>45940.44522502315</v>
      </c>
      <c r="U5612" s="44">
        <v>45946.69823900463</v>
      </c>
      <c r="V5612" s="13"/>
      <c r="W5612" s="11"/>
      <c r="X5612" s="11"/>
      <c r="Y5612" s="45"/>
      <c r="Z5612" s="45"/>
      <c r="AA5612" s="31"/>
      <c r="AB5612" s="45" t="s">
        <v>22519</v>
      </c>
      <c r="AC5612" s="45"/>
    </row>
    <row r="5613" ht="18.75" customHeight="1">
      <c r="A5613" s="18" t="s">
        <v>22520</v>
      </c>
      <c r="B5613" s="33" t="s">
        <v>19002</v>
      </c>
      <c r="C5613" s="20">
        <v>1.0</v>
      </c>
      <c r="D5613" s="39"/>
      <c r="E5613" s="27" t="s">
        <v>3395</v>
      </c>
      <c r="F5613" s="27" t="s">
        <v>48</v>
      </c>
      <c r="G5613" s="18" t="s">
        <v>35</v>
      </c>
      <c r="H5613" s="40" t="s">
        <v>35</v>
      </c>
      <c r="I5613" s="37" t="s">
        <v>18314</v>
      </c>
      <c r="J5613" s="25" t="s">
        <v>92</v>
      </c>
      <c r="K5613" s="26" t="s">
        <v>38</v>
      </c>
      <c r="L5613" s="25"/>
      <c r="M5613" s="49"/>
      <c r="N5613" s="42"/>
      <c r="O5613" s="68"/>
      <c r="P5613" s="35" t="s">
        <v>22454</v>
      </c>
      <c r="Q5613" s="13" t="s">
        <v>67</v>
      </c>
      <c r="R5613" s="13" t="s">
        <v>67</v>
      </c>
      <c r="S5613" s="13" t="s">
        <v>67</v>
      </c>
      <c r="T5613" s="44">
        <v>45940.44528236111</v>
      </c>
      <c r="U5613" s="44">
        <v>45946.69822258102</v>
      </c>
      <c r="V5613" s="13"/>
      <c r="W5613" s="11"/>
      <c r="X5613" s="11"/>
      <c r="Y5613" s="45"/>
      <c r="Z5613" s="45"/>
      <c r="AA5613" s="31"/>
      <c r="AB5613" s="45" t="s">
        <v>22521</v>
      </c>
      <c r="AC5613" s="45"/>
    </row>
    <row r="5614" ht="18.75" customHeight="1">
      <c r="A5614" s="18" t="s">
        <v>22522</v>
      </c>
      <c r="B5614" s="33" t="s">
        <v>19002</v>
      </c>
      <c r="C5614" s="20">
        <v>1.0</v>
      </c>
      <c r="D5614" s="39"/>
      <c r="E5614" s="27" t="s">
        <v>3395</v>
      </c>
      <c r="F5614" s="27" t="s">
        <v>48</v>
      </c>
      <c r="G5614" s="18" t="s">
        <v>35</v>
      </c>
      <c r="H5614" s="40" t="s">
        <v>35</v>
      </c>
      <c r="I5614" s="37" t="s">
        <v>18314</v>
      </c>
      <c r="J5614" s="25" t="s">
        <v>92</v>
      </c>
      <c r="K5614" s="26" t="s">
        <v>38</v>
      </c>
      <c r="L5614" s="25"/>
      <c r="M5614" s="49"/>
      <c r="N5614" s="42"/>
      <c r="O5614" s="68"/>
      <c r="P5614" s="35" t="s">
        <v>22454</v>
      </c>
      <c r="Q5614" s="13" t="s">
        <v>67</v>
      </c>
      <c r="R5614" s="13" t="s">
        <v>67</v>
      </c>
      <c r="S5614" s="13" t="s">
        <v>67</v>
      </c>
      <c r="T5614" s="44">
        <v>45940.44532297454</v>
      </c>
      <c r="U5614" s="44">
        <v>45946.69829385416</v>
      </c>
      <c r="V5614" s="13"/>
      <c r="W5614" s="11"/>
      <c r="X5614" s="11"/>
      <c r="Y5614" s="45"/>
      <c r="Z5614" s="45"/>
      <c r="AA5614" s="31"/>
      <c r="AB5614" s="45" t="s">
        <v>22523</v>
      </c>
      <c r="AC5614" s="45"/>
    </row>
    <row r="5615" ht="18.75" customHeight="1">
      <c r="A5615" s="18" t="s">
        <v>22524</v>
      </c>
      <c r="B5615" s="33" t="s">
        <v>19002</v>
      </c>
      <c r="C5615" s="20">
        <v>1.0</v>
      </c>
      <c r="D5615" s="39"/>
      <c r="E5615" s="27" t="s">
        <v>3395</v>
      </c>
      <c r="F5615" s="27" t="s">
        <v>48</v>
      </c>
      <c r="G5615" s="18" t="s">
        <v>35</v>
      </c>
      <c r="H5615" s="40" t="s">
        <v>35</v>
      </c>
      <c r="I5615" s="37" t="s">
        <v>18314</v>
      </c>
      <c r="J5615" s="25" t="s">
        <v>92</v>
      </c>
      <c r="K5615" s="26" t="s">
        <v>38</v>
      </c>
      <c r="L5615" s="25"/>
      <c r="M5615" s="49"/>
      <c r="N5615" s="42"/>
      <c r="O5615" s="68"/>
      <c r="P5615" s="35" t="s">
        <v>22454</v>
      </c>
      <c r="Q5615" s="13" t="s">
        <v>67</v>
      </c>
      <c r="R5615" s="13" t="s">
        <v>67</v>
      </c>
      <c r="S5615" s="13" t="s">
        <v>67</v>
      </c>
      <c r="T5615" s="44">
        <v>45940.44562453704</v>
      </c>
      <c r="U5615" s="44">
        <v>45946.69826089121</v>
      </c>
      <c r="V5615" s="13"/>
      <c r="W5615" s="11"/>
      <c r="X5615" s="11"/>
      <c r="Y5615" s="45"/>
      <c r="Z5615" s="45"/>
      <c r="AA5615" s="31"/>
      <c r="AB5615" s="45" t="s">
        <v>22525</v>
      </c>
      <c r="AC5615" s="45"/>
    </row>
    <row r="5616" ht="18.75" customHeight="1">
      <c r="A5616" s="18" t="s">
        <v>22526</v>
      </c>
      <c r="B5616" s="33" t="s">
        <v>19002</v>
      </c>
      <c r="C5616" s="20">
        <v>1.0</v>
      </c>
      <c r="D5616" s="39"/>
      <c r="E5616" s="27" t="s">
        <v>3395</v>
      </c>
      <c r="F5616" s="27" t="s">
        <v>48</v>
      </c>
      <c r="G5616" s="18" t="s">
        <v>35</v>
      </c>
      <c r="H5616" s="40" t="s">
        <v>35</v>
      </c>
      <c r="I5616" s="37" t="s">
        <v>18314</v>
      </c>
      <c r="J5616" s="25" t="s">
        <v>92</v>
      </c>
      <c r="K5616" s="26" t="s">
        <v>38</v>
      </c>
      <c r="L5616" s="25"/>
      <c r="M5616" s="49"/>
      <c r="N5616" s="42"/>
      <c r="O5616" s="68"/>
      <c r="P5616" s="35" t="s">
        <v>22454</v>
      </c>
      <c r="Q5616" s="13" t="s">
        <v>67</v>
      </c>
      <c r="R5616" s="13" t="s">
        <v>67</v>
      </c>
      <c r="S5616" s="13" t="s">
        <v>67</v>
      </c>
      <c r="T5616" s="44">
        <v>45940.44567648148</v>
      </c>
      <c r="U5616" s="44">
        <v>45946.69831922454</v>
      </c>
      <c r="V5616" s="13"/>
      <c r="W5616" s="11"/>
      <c r="X5616" s="11"/>
      <c r="Y5616" s="45"/>
      <c r="Z5616" s="45"/>
      <c r="AA5616" s="31"/>
      <c r="AB5616" s="45" t="s">
        <v>22527</v>
      </c>
      <c r="AC5616" s="45"/>
    </row>
    <row r="5617" ht="18.75" customHeight="1">
      <c r="A5617" s="18" t="s">
        <v>22528</v>
      </c>
      <c r="B5617" s="33" t="s">
        <v>19002</v>
      </c>
      <c r="C5617" s="20">
        <v>1.0</v>
      </c>
      <c r="D5617" s="39"/>
      <c r="E5617" s="27" t="s">
        <v>3395</v>
      </c>
      <c r="F5617" s="27" t="s">
        <v>48</v>
      </c>
      <c r="G5617" s="18" t="s">
        <v>35</v>
      </c>
      <c r="H5617" s="40" t="s">
        <v>35</v>
      </c>
      <c r="I5617" s="37" t="s">
        <v>18314</v>
      </c>
      <c r="J5617" s="25" t="s">
        <v>92</v>
      </c>
      <c r="K5617" s="26" t="s">
        <v>38</v>
      </c>
      <c r="L5617" s="25"/>
      <c r="M5617" s="49"/>
      <c r="N5617" s="42"/>
      <c r="O5617" s="68"/>
      <c r="P5617" s="35" t="s">
        <v>22454</v>
      </c>
      <c r="Q5617" s="13" t="s">
        <v>67</v>
      </c>
      <c r="R5617" s="13" t="s">
        <v>67</v>
      </c>
      <c r="S5617" s="13" t="s">
        <v>67</v>
      </c>
      <c r="T5617" s="44">
        <v>45940.44572878472</v>
      </c>
      <c r="U5617" s="44">
        <v>45946.69830071759</v>
      </c>
      <c r="V5617" s="13"/>
      <c r="W5617" s="11"/>
      <c r="X5617" s="11"/>
      <c r="Y5617" s="45"/>
      <c r="Z5617" s="45"/>
      <c r="AA5617" s="31"/>
      <c r="AB5617" s="45" t="s">
        <v>22529</v>
      </c>
      <c r="AC5617" s="45"/>
    </row>
    <row r="5618" ht="18.75" customHeight="1">
      <c r="A5618" s="18" t="s">
        <v>22530</v>
      </c>
      <c r="B5618" s="33" t="s">
        <v>19002</v>
      </c>
      <c r="C5618" s="20">
        <v>1.0</v>
      </c>
      <c r="D5618" s="39"/>
      <c r="E5618" s="27" t="s">
        <v>3395</v>
      </c>
      <c r="F5618" s="27" t="s">
        <v>48</v>
      </c>
      <c r="G5618" s="18" t="s">
        <v>35</v>
      </c>
      <c r="H5618" s="40" t="s">
        <v>35</v>
      </c>
      <c r="I5618" s="37" t="s">
        <v>18314</v>
      </c>
      <c r="J5618" s="25" t="s">
        <v>92</v>
      </c>
      <c r="K5618" s="26" t="s">
        <v>38</v>
      </c>
      <c r="L5618" s="25"/>
      <c r="M5618" s="49"/>
      <c r="N5618" s="42"/>
      <c r="O5618" s="68"/>
      <c r="P5618" s="35" t="s">
        <v>22454</v>
      </c>
      <c r="Q5618" s="13" t="s">
        <v>67</v>
      </c>
      <c r="R5618" s="13" t="s">
        <v>67</v>
      </c>
      <c r="S5618" s="13" t="s">
        <v>67</v>
      </c>
      <c r="T5618" s="44">
        <v>45940.44585952546</v>
      </c>
      <c r="U5618" s="44">
        <v>45946.698338946764</v>
      </c>
      <c r="V5618" s="13"/>
      <c r="W5618" s="11"/>
      <c r="X5618" s="11"/>
      <c r="Y5618" s="45"/>
      <c r="Z5618" s="45"/>
      <c r="AA5618" s="31"/>
      <c r="AB5618" s="45" t="s">
        <v>22531</v>
      </c>
      <c r="AC5618" s="45"/>
    </row>
    <row r="5619" ht="18.75" customHeight="1">
      <c r="A5619" s="18" t="s">
        <v>22532</v>
      </c>
      <c r="B5619" s="33" t="s">
        <v>19002</v>
      </c>
      <c r="C5619" s="20">
        <v>1.0</v>
      </c>
      <c r="D5619" s="39"/>
      <c r="E5619" s="27" t="s">
        <v>3395</v>
      </c>
      <c r="F5619" s="27" t="s">
        <v>48</v>
      </c>
      <c r="G5619" s="18" t="s">
        <v>35</v>
      </c>
      <c r="H5619" s="40" t="s">
        <v>35</v>
      </c>
      <c r="I5619" s="37" t="s">
        <v>18314</v>
      </c>
      <c r="J5619" s="25" t="s">
        <v>92</v>
      </c>
      <c r="K5619" s="26" t="s">
        <v>38</v>
      </c>
      <c r="L5619" s="25"/>
      <c r="M5619" s="49"/>
      <c r="N5619" s="42"/>
      <c r="O5619" s="68"/>
      <c r="P5619" s="35" t="s">
        <v>22454</v>
      </c>
      <c r="Q5619" s="13" t="s">
        <v>67</v>
      </c>
      <c r="R5619" s="13" t="s">
        <v>67</v>
      </c>
      <c r="S5619" s="13" t="s">
        <v>67</v>
      </c>
      <c r="T5619" s="44">
        <v>45940.44590803241</v>
      </c>
      <c r="U5619" s="44">
        <v>45946.698354849534</v>
      </c>
      <c r="V5619" s="13"/>
      <c r="W5619" s="11"/>
      <c r="X5619" s="11"/>
      <c r="Y5619" s="45"/>
      <c r="Z5619" s="45"/>
      <c r="AA5619" s="31"/>
      <c r="AB5619" s="45" t="s">
        <v>22533</v>
      </c>
      <c r="AC5619" s="45"/>
    </row>
    <row r="5620" ht="18.75" customHeight="1">
      <c r="A5620" s="142" t="s">
        <v>22534</v>
      </c>
      <c r="B5620" s="33" t="s">
        <v>2138</v>
      </c>
      <c r="C5620" s="20">
        <v>90.0</v>
      </c>
      <c r="D5620" s="39" t="s">
        <v>22535</v>
      </c>
      <c r="E5620" s="27" t="s">
        <v>91</v>
      </c>
      <c r="F5620" s="27" t="s">
        <v>48</v>
      </c>
      <c r="G5620" s="18" t="s">
        <v>35</v>
      </c>
      <c r="H5620" s="40" t="s">
        <v>35</v>
      </c>
      <c r="I5620" s="37" t="s">
        <v>36</v>
      </c>
      <c r="J5620" s="25" t="s">
        <v>65</v>
      </c>
      <c r="K5620" s="26" t="s">
        <v>38</v>
      </c>
      <c r="L5620" s="25">
        <v>14134.0</v>
      </c>
      <c r="M5620" s="49" t="s">
        <v>50</v>
      </c>
      <c r="N5620" s="42" t="s">
        <v>16408</v>
      </c>
      <c r="O5620" s="67">
        <v>45943.65397971065</v>
      </c>
      <c r="P5620" s="35" t="s">
        <v>15829</v>
      </c>
      <c r="Q5620" s="13" t="s">
        <v>75</v>
      </c>
      <c r="R5620" s="13" t="s">
        <v>75</v>
      </c>
      <c r="S5620" s="13" t="s">
        <v>73</v>
      </c>
      <c r="T5620" s="44">
        <v>45940.6327159838</v>
      </c>
      <c r="U5620" s="44">
        <v>45940.650844421296</v>
      </c>
      <c r="V5620" s="44">
        <v>45943.43909378472</v>
      </c>
      <c r="W5620" s="11"/>
      <c r="X5620" s="11"/>
      <c r="Y5620" s="45">
        <v>302.0</v>
      </c>
      <c r="Z5620" s="45" t="s">
        <v>22536</v>
      </c>
      <c r="AA5620" s="31"/>
      <c r="AB5620" s="45" t="s">
        <v>22537</v>
      </c>
      <c r="AC5620" s="45"/>
    </row>
    <row r="5621" ht="18.75" customHeight="1">
      <c r="A5621" s="18" t="s">
        <v>22538</v>
      </c>
      <c r="B5621" s="33" t="s">
        <v>7202</v>
      </c>
      <c r="C5621" s="20">
        <v>90.0</v>
      </c>
      <c r="D5621" s="39" t="s">
        <v>22539</v>
      </c>
      <c r="E5621" s="27" t="s">
        <v>91</v>
      </c>
      <c r="F5621" s="27" t="s">
        <v>48</v>
      </c>
      <c r="G5621" s="18" t="s">
        <v>35</v>
      </c>
      <c r="H5621" s="40" t="s">
        <v>35</v>
      </c>
      <c r="I5621" s="37" t="s">
        <v>36</v>
      </c>
      <c r="J5621" s="25" t="s">
        <v>49</v>
      </c>
      <c r="K5621" s="26" t="s">
        <v>38</v>
      </c>
      <c r="L5621" s="25">
        <v>14192.0</v>
      </c>
      <c r="M5621" s="49" t="s">
        <v>50</v>
      </c>
      <c r="N5621" s="42" t="s">
        <v>9953</v>
      </c>
      <c r="O5621" s="67">
        <v>45950.654158136575</v>
      </c>
      <c r="P5621" s="35" t="s">
        <v>22540</v>
      </c>
      <c r="Q5621" s="13" t="s">
        <v>75</v>
      </c>
      <c r="R5621" s="13" t="s">
        <v>75</v>
      </c>
      <c r="S5621" s="13" t="s">
        <v>73</v>
      </c>
      <c r="T5621" s="44">
        <v>45940.63340574074</v>
      </c>
      <c r="U5621" s="44">
        <v>45940.7047977662</v>
      </c>
      <c r="V5621" s="44">
        <v>45950.434338900464</v>
      </c>
      <c r="W5621" s="11"/>
      <c r="X5621" s="11"/>
      <c r="Y5621" s="45">
        <v>302.0</v>
      </c>
      <c r="Z5621" s="45" t="s">
        <v>22541</v>
      </c>
      <c r="AA5621" s="31"/>
      <c r="AB5621" s="45" t="s">
        <v>22542</v>
      </c>
      <c r="AC5621" s="45"/>
    </row>
    <row r="5622" ht="18.75" customHeight="1">
      <c r="A5622" s="18" t="s">
        <v>22543</v>
      </c>
      <c r="B5622" s="33" t="s">
        <v>7202</v>
      </c>
      <c r="C5622" s="20">
        <v>0.0</v>
      </c>
      <c r="D5622" s="39" t="s">
        <v>20944</v>
      </c>
      <c r="E5622" s="27" t="s">
        <v>22544</v>
      </c>
      <c r="F5622" s="27"/>
      <c r="G5622" s="18" t="s">
        <v>35</v>
      </c>
      <c r="H5622" s="40" t="s">
        <v>35</v>
      </c>
      <c r="I5622" s="37" t="s">
        <v>36</v>
      </c>
      <c r="J5622" s="25" t="s">
        <v>49</v>
      </c>
      <c r="K5622" s="26" t="s">
        <v>38</v>
      </c>
      <c r="L5622" s="25">
        <v>14192.0</v>
      </c>
      <c r="M5622" s="49" t="s">
        <v>50</v>
      </c>
      <c r="N5622" s="42" t="s">
        <v>9953</v>
      </c>
      <c r="O5622" s="67">
        <v>45950.65410584491</v>
      </c>
      <c r="P5622" s="35" t="s">
        <v>22540</v>
      </c>
      <c r="Q5622" s="13" t="s">
        <v>75</v>
      </c>
      <c r="R5622" s="13" t="s">
        <v>75</v>
      </c>
      <c r="S5622" s="13" t="s">
        <v>73</v>
      </c>
      <c r="T5622" s="44">
        <v>45940.63375125</v>
      </c>
      <c r="U5622" s="44">
        <v>45940.704665694444</v>
      </c>
      <c r="V5622" s="44">
        <v>45950.43248480324</v>
      </c>
      <c r="W5622" s="11"/>
      <c r="X5622" s="11"/>
      <c r="Y5622" s="45">
        <v>302.0</v>
      </c>
      <c r="Z5622" s="45" t="s">
        <v>22545</v>
      </c>
      <c r="AA5622" s="31"/>
      <c r="AB5622" s="45" t="s">
        <v>22546</v>
      </c>
      <c r="AC5622" s="45"/>
    </row>
    <row r="5623" ht="18.75" customHeight="1">
      <c r="A5623" s="142" t="s">
        <v>22547</v>
      </c>
      <c r="B5623" s="33" t="s">
        <v>7202</v>
      </c>
      <c r="C5623" s="20">
        <v>0.0</v>
      </c>
      <c r="D5623" s="39"/>
      <c r="E5623" s="27" t="s">
        <v>98</v>
      </c>
      <c r="F5623" s="27" t="s">
        <v>33</v>
      </c>
      <c r="G5623" s="18" t="s">
        <v>35</v>
      </c>
      <c r="H5623" s="40" t="s">
        <v>35</v>
      </c>
      <c r="I5623" s="37" t="s">
        <v>17277</v>
      </c>
      <c r="J5623" s="25" t="s">
        <v>49</v>
      </c>
      <c r="K5623" s="26" t="s">
        <v>38</v>
      </c>
      <c r="L5623" s="25"/>
      <c r="M5623" s="49"/>
      <c r="N5623" s="42"/>
      <c r="O5623" s="68"/>
      <c r="P5623" s="35" t="s">
        <v>22548</v>
      </c>
      <c r="Q5623" s="13" t="s">
        <v>75</v>
      </c>
      <c r="R5623" s="13"/>
      <c r="S5623" s="13" t="s">
        <v>75</v>
      </c>
      <c r="T5623" s="44">
        <v>45940.6349590162</v>
      </c>
      <c r="U5623" s="13"/>
      <c r="V5623" s="13"/>
      <c r="W5623" s="11"/>
      <c r="X5623" s="11"/>
      <c r="Y5623" s="45"/>
      <c r="Z5623" s="45"/>
      <c r="AA5623" s="31"/>
      <c r="AB5623" s="45" t="s">
        <v>22549</v>
      </c>
      <c r="AC5623" s="45"/>
    </row>
    <row r="5624" ht="18.75" customHeight="1">
      <c r="A5624" s="18" t="s">
        <v>22550</v>
      </c>
      <c r="B5624" s="33" t="s">
        <v>7202</v>
      </c>
      <c r="C5624" s="20">
        <v>0.0</v>
      </c>
      <c r="D5624" s="39"/>
      <c r="E5624" s="27" t="s">
        <v>731</v>
      </c>
      <c r="F5624" s="27" t="s">
        <v>33</v>
      </c>
      <c r="G5624" s="18" t="s">
        <v>35</v>
      </c>
      <c r="H5624" s="40" t="s">
        <v>35</v>
      </c>
      <c r="I5624" s="37" t="s">
        <v>17277</v>
      </c>
      <c r="J5624" s="25" t="s">
        <v>49</v>
      </c>
      <c r="K5624" s="26" t="s">
        <v>38</v>
      </c>
      <c r="L5624" s="25"/>
      <c r="M5624" s="49"/>
      <c r="N5624" s="42"/>
      <c r="O5624" s="68"/>
      <c r="P5624" s="35" t="s">
        <v>22551</v>
      </c>
      <c r="Q5624" s="13" t="s">
        <v>75</v>
      </c>
      <c r="R5624" s="13" t="s">
        <v>75</v>
      </c>
      <c r="S5624" s="13" t="s">
        <v>75</v>
      </c>
      <c r="T5624" s="44">
        <v>45940.636539178246</v>
      </c>
      <c r="U5624" s="13"/>
      <c r="V5624" s="13"/>
      <c r="W5624" s="11"/>
      <c r="X5624" s="11"/>
      <c r="Y5624" s="45"/>
      <c r="Z5624" s="45"/>
      <c r="AA5624" s="31"/>
      <c r="AB5624" s="45" t="s">
        <v>22552</v>
      </c>
      <c r="AC5624" s="45"/>
    </row>
    <row r="5625" ht="18.75" customHeight="1">
      <c r="A5625" s="18" t="s">
        <v>22553</v>
      </c>
      <c r="B5625" s="33" t="s">
        <v>7202</v>
      </c>
      <c r="C5625" s="20">
        <v>0.0</v>
      </c>
      <c r="D5625" s="39"/>
      <c r="E5625" s="27" t="s">
        <v>731</v>
      </c>
      <c r="F5625" s="27" t="s">
        <v>33</v>
      </c>
      <c r="G5625" s="18" t="s">
        <v>35</v>
      </c>
      <c r="H5625" s="40" t="s">
        <v>35</v>
      </c>
      <c r="I5625" s="37" t="s">
        <v>17277</v>
      </c>
      <c r="J5625" s="25" t="s">
        <v>49</v>
      </c>
      <c r="K5625" s="26" t="s">
        <v>38</v>
      </c>
      <c r="L5625" s="25"/>
      <c r="M5625" s="49"/>
      <c r="N5625" s="42"/>
      <c r="O5625" s="68"/>
      <c r="P5625" s="35" t="s">
        <v>22551</v>
      </c>
      <c r="Q5625" s="13" t="s">
        <v>75</v>
      </c>
      <c r="R5625" s="13"/>
      <c r="S5625" s="13" t="s">
        <v>75</v>
      </c>
      <c r="T5625" s="44">
        <v>45940.6362578125</v>
      </c>
      <c r="U5625" s="13"/>
      <c r="V5625" s="13"/>
      <c r="W5625" s="11"/>
      <c r="X5625" s="11"/>
      <c r="Y5625" s="45"/>
      <c r="Z5625" s="45"/>
      <c r="AA5625" s="31"/>
      <c r="AB5625" s="45" t="s">
        <v>22554</v>
      </c>
      <c r="AC5625" s="45"/>
    </row>
    <row r="5626" ht="18.75" customHeight="1">
      <c r="A5626" s="18" t="s">
        <v>22555</v>
      </c>
      <c r="B5626" s="33" t="s">
        <v>7202</v>
      </c>
      <c r="C5626" s="20">
        <v>90.0</v>
      </c>
      <c r="D5626" s="39"/>
      <c r="E5626" s="27" t="s">
        <v>91</v>
      </c>
      <c r="F5626" s="27" t="s">
        <v>48</v>
      </c>
      <c r="G5626" s="18" t="s">
        <v>35</v>
      </c>
      <c r="H5626" s="40" t="s">
        <v>35</v>
      </c>
      <c r="I5626" s="37" t="s">
        <v>17277</v>
      </c>
      <c r="J5626" s="25" t="s">
        <v>49</v>
      </c>
      <c r="K5626" s="26" t="s">
        <v>38</v>
      </c>
      <c r="L5626" s="25"/>
      <c r="M5626" s="49"/>
      <c r="N5626" s="42"/>
      <c r="O5626" s="68"/>
      <c r="P5626" s="35" t="s">
        <v>22551</v>
      </c>
      <c r="Q5626" s="13" t="s">
        <v>75</v>
      </c>
      <c r="R5626" s="13" t="s">
        <v>75</v>
      </c>
      <c r="S5626" s="13" t="s">
        <v>75</v>
      </c>
      <c r="T5626" s="44">
        <v>45940.63673145833</v>
      </c>
      <c r="U5626" s="13"/>
      <c r="V5626" s="13"/>
      <c r="W5626" s="11"/>
      <c r="X5626" s="11"/>
      <c r="Y5626" s="45"/>
      <c r="Z5626" s="45"/>
      <c r="AA5626" s="31"/>
      <c r="AB5626" s="45" t="s">
        <v>22556</v>
      </c>
      <c r="AC5626" s="45"/>
    </row>
    <row r="5627" ht="18.75" customHeight="1">
      <c r="A5627" s="142" t="s">
        <v>22557</v>
      </c>
      <c r="B5627" s="33" t="s">
        <v>22558</v>
      </c>
      <c r="C5627" s="20">
        <v>90.0</v>
      </c>
      <c r="D5627" s="39" t="s">
        <v>22559</v>
      </c>
      <c r="E5627" s="27" t="s">
        <v>91</v>
      </c>
      <c r="F5627" s="27" t="s">
        <v>48</v>
      </c>
      <c r="G5627" s="18" t="s">
        <v>35</v>
      </c>
      <c r="H5627" s="40" t="s">
        <v>35</v>
      </c>
      <c r="I5627" s="37" t="s">
        <v>36</v>
      </c>
      <c r="J5627" s="25" t="s">
        <v>49</v>
      </c>
      <c r="K5627" s="26" t="s">
        <v>16881</v>
      </c>
      <c r="L5627" s="25">
        <v>14135.0</v>
      </c>
      <c r="M5627" s="49" t="s">
        <v>50</v>
      </c>
      <c r="N5627" s="42" t="s">
        <v>17048</v>
      </c>
      <c r="O5627" s="67">
        <v>45943.594602349534</v>
      </c>
      <c r="P5627" s="35" t="s">
        <v>22560</v>
      </c>
      <c r="Q5627" s="13" t="s">
        <v>67</v>
      </c>
      <c r="R5627" s="13" t="s">
        <v>67</v>
      </c>
      <c r="S5627" s="13" t="s">
        <v>73</v>
      </c>
      <c r="T5627" s="44">
        <v>45940.4504212037</v>
      </c>
      <c r="U5627" s="44">
        <v>45943.3959855787</v>
      </c>
      <c r="V5627" s="44">
        <v>45943.43641623843</v>
      </c>
      <c r="W5627" s="11"/>
      <c r="X5627" s="11"/>
      <c r="Y5627" s="45">
        <v>302.0</v>
      </c>
      <c r="Z5627" s="45" t="s">
        <v>22561</v>
      </c>
      <c r="AA5627" s="31"/>
      <c r="AB5627" s="45" t="s">
        <v>22562</v>
      </c>
      <c r="AC5627" s="45"/>
    </row>
    <row r="5628" ht="18.75" customHeight="1">
      <c r="A5628" s="18" t="s">
        <v>22563</v>
      </c>
      <c r="B5628" s="33" t="s">
        <v>22564</v>
      </c>
      <c r="C5628" s="20">
        <v>90.0</v>
      </c>
      <c r="D5628" s="39" t="s">
        <v>22565</v>
      </c>
      <c r="E5628" s="27" t="s">
        <v>91</v>
      </c>
      <c r="F5628" s="27" t="s">
        <v>48</v>
      </c>
      <c r="G5628" s="18" t="s">
        <v>35</v>
      </c>
      <c r="H5628" s="40" t="s">
        <v>35</v>
      </c>
      <c r="I5628" s="37" t="s">
        <v>36</v>
      </c>
      <c r="J5628" s="25" t="s">
        <v>49</v>
      </c>
      <c r="K5628" s="26" t="s">
        <v>38</v>
      </c>
      <c r="L5628" s="72">
        <v>14136.0</v>
      </c>
      <c r="M5628" s="49" t="s">
        <v>50</v>
      </c>
      <c r="N5628" s="42" t="s">
        <v>17048</v>
      </c>
      <c r="O5628" s="67">
        <v>45943.59455203704</v>
      </c>
      <c r="P5628" s="35" t="s">
        <v>15594</v>
      </c>
      <c r="Q5628" s="13" t="s">
        <v>75</v>
      </c>
      <c r="R5628" s="13" t="s">
        <v>75</v>
      </c>
      <c r="S5628" s="13" t="s">
        <v>73</v>
      </c>
      <c r="T5628" s="44">
        <v>45940.64083372685</v>
      </c>
      <c r="U5628" s="44">
        <v>45940.69279880787</v>
      </c>
      <c r="V5628" s="44">
        <v>45943.43641622685</v>
      </c>
      <c r="W5628" s="11"/>
      <c r="X5628" s="11"/>
      <c r="Y5628" s="45">
        <v>302.0</v>
      </c>
      <c r="Z5628" s="45" t="s">
        <v>22566</v>
      </c>
      <c r="AA5628" s="31"/>
      <c r="AB5628" s="45" t="s">
        <v>22567</v>
      </c>
      <c r="AC5628" s="45"/>
    </row>
    <row r="5629" ht="18.75" customHeight="1">
      <c r="A5629" s="18" t="s">
        <v>22568</v>
      </c>
      <c r="B5629" s="33" t="s">
        <v>22564</v>
      </c>
      <c r="C5629" s="20">
        <v>90.0</v>
      </c>
      <c r="D5629" s="39" t="s">
        <v>22569</v>
      </c>
      <c r="E5629" s="27" t="s">
        <v>91</v>
      </c>
      <c r="F5629" s="27" t="s">
        <v>48</v>
      </c>
      <c r="G5629" s="18" t="s">
        <v>35</v>
      </c>
      <c r="H5629" s="40" t="s">
        <v>35</v>
      </c>
      <c r="I5629" s="37" t="s">
        <v>36</v>
      </c>
      <c r="J5629" s="25" t="s">
        <v>49</v>
      </c>
      <c r="K5629" s="26" t="s">
        <v>38</v>
      </c>
      <c r="L5629" s="72">
        <v>14136.0</v>
      </c>
      <c r="M5629" s="49" t="s">
        <v>50</v>
      </c>
      <c r="N5629" s="42" t="s">
        <v>17048</v>
      </c>
      <c r="O5629" s="67">
        <v>45943.59450651621</v>
      </c>
      <c r="P5629" s="35" t="s">
        <v>15594</v>
      </c>
      <c r="Q5629" s="13" t="s">
        <v>75</v>
      </c>
      <c r="R5629" s="13" t="s">
        <v>75</v>
      </c>
      <c r="S5629" s="13" t="s">
        <v>73</v>
      </c>
      <c r="T5629" s="44">
        <v>45940.640940833335</v>
      </c>
      <c r="U5629" s="44">
        <v>45940.692698541665</v>
      </c>
      <c r="V5629" s="44">
        <v>45943.43641621528</v>
      </c>
      <c r="W5629" s="11"/>
      <c r="X5629" s="11"/>
      <c r="Y5629" s="45">
        <v>302.0</v>
      </c>
      <c r="Z5629" s="45" t="s">
        <v>22570</v>
      </c>
      <c r="AA5629" s="31"/>
      <c r="AB5629" s="45" t="s">
        <v>22571</v>
      </c>
      <c r="AC5629" s="45"/>
    </row>
    <row r="5630" ht="18.75" customHeight="1">
      <c r="A5630" s="18" t="s">
        <v>22572</v>
      </c>
      <c r="B5630" s="33" t="s">
        <v>22564</v>
      </c>
      <c r="C5630" s="20">
        <v>90.0</v>
      </c>
      <c r="D5630" s="39" t="s">
        <v>22573</v>
      </c>
      <c r="E5630" s="27" t="s">
        <v>91</v>
      </c>
      <c r="F5630" s="27" t="s">
        <v>48</v>
      </c>
      <c r="G5630" s="18" t="s">
        <v>35</v>
      </c>
      <c r="H5630" s="40" t="s">
        <v>35</v>
      </c>
      <c r="I5630" s="37" t="s">
        <v>36</v>
      </c>
      <c r="J5630" s="25" t="s">
        <v>49</v>
      </c>
      <c r="K5630" s="26" t="s">
        <v>38</v>
      </c>
      <c r="L5630" s="72">
        <v>14136.0</v>
      </c>
      <c r="M5630" s="49" t="s">
        <v>50</v>
      </c>
      <c r="N5630" s="42" t="s">
        <v>17048</v>
      </c>
      <c r="O5630" s="67">
        <v>45943.59445875</v>
      </c>
      <c r="P5630" s="35" t="s">
        <v>15594</v>
      </c>
      <c r="Q5630" s="13" t="s">
        <v>75</v>
      </c>
      <c r="R5630" s="13" t="s">
        <v>75</v>
      </c>
      <c r="S5630" s="13" t="s">
        <v>73</v>
      </c>
      <c r="T5630" s="44">
        <v>45940.64104833333</v>
      </c>
      <c r="U5630" s="44">
        <v>45940.692906909724</v>
      </c>
      <c r="V5630" s="44">
        <v>45943.43641623843</v>
      </c>
      <c r="W5630" s="11"/>
      <c r="X5630" s="11"/>
      <c r="Y5630" s="45">
        <v>302.0</v>
      </c>
      <c r="Z5630" s="45" t="s">
        <v>22574</v>
      </c>
      <c r="AA5630" s="31"/>
      <c r="AB5630" s="45" t="s">
        <v>22575</v>
      </c>
      <c r="AC5630" s="45"/>
    </row>
    <row r="5631" ht="18.75" customHeight="1">
      <c r="A5631" s="142" t="s">
        <v>22576</v>
      </c>
      <c r="B5631" s="33" t="s">
        <v>17625</v>
      </c>
      <c r="C5631" s="20">
        <v>0.0</v>
      </c>
      <c r="D5631" s="220" t="s">
        <v>22577</v>
      </c>
      <c r="E5631" s="27" t="s">
        <v>12405</v>
      </c>
      <c r="F5631" s="27" t="s">
        <v>48</v>
      </c>
      <c r="G5631" s="18" t="s">
        <v>35</v>
      </c>
      <c r="H5631" s="40" t="s">
        <v>35</v>
      </c>
      <c r="I5631" s="37" t="s">
        <v>36</v>
      </c>
      <c r="J5631" s="25" t="s">
        <v>49</v>
      </c>
      <c r="K5631" s="26" t="s">
        <v>38</v>
      </c>
      <c r="L5631" s="25">
        <v>14175.0</v>
      </c>
      <c r="M5631" s="49" t="s">
        <v>50</v>
      </c>
      <c r="N5631" s="42" t="s">
        <v>21501</v>
      </c>
      <c r="O5631" s="67">
        <v>45946.624798599536</v>
      </c>
      <c r="P5631" s="35" t="s">
        <v>22578</v>
      </c>
      <c r="Q5631" s="13" t="s">
        <v>75</v>
      </c>
      <c r="R5631" s="13" t="s">
        <v>75</v>
      </c>
      <c r="S5631" s="13" t="s">
        <v>73</v>
      </c>
      <c r="T5631" s="44">
        <v>45940.643026527774</v>
      </c>
      <c r="U5631" s="44">
        <v>45940.651588356486</v>
      </c>
      <c r="V5631" s="44">
        <v>45946.43465622685</v>
      </c>
      <c r="W5631" s="11"/>
      <c r="X5631" s="11"/>
      <c r="Y5631" s="45">
        <v>302.0</v>
      </c>
      <c r="Z5631" s="45" t="s">
        <v>22579</v>
      </c>
      <c r="AA5631" s="31"/>
      <c r="AB5631" s="45" t="s">
        <v>22580</v>
      </c>
      <c r="AC5631" s="45"/>
    </row>
    <row r="5632" ht="18.75" customHeight="1">
      <c r="A5632" s="142" t="s">
        <v>22581</v>
      </c>
      <c r="B5632" s="33" t="s">
        <v>17819</v>
      </c>
      <c r="C5632" s="20">
        <v>90.0</v>
      </c>
      <c r="D5632" s="39" t="s">
        <v>22582</v>
      </c>
      <c r="E5632" s="27" t="s">
        <v>91</v>
      </c>
      <c r="F5632" s="27" t="s">
        <v>48</v>
      </c>
      <c r="G5632" s="18" t="s">
        <v>35</v>
      </c>
      <c r="H5632" s="40" t="s">
        <v>35</v>
      </c>
      <c r="I5632" s="37" t="s">
        <v>36</v>
      </c>
      <c r="J5632" s="25" t="s">
        <v>92</v>
      </c>
      <c r="K5632" s="26" t="s">
        <v>38</v>
      </c>
      <c r="L5632" s="72">
        <v>14137.0</v>
      </c>
      <c r="M5632" s="49" t="s">
        <v>50</v>
      </c>
      <c r="N5632" s="42" t="s">
        <v>7145</v>
      </c>
      <c r="O5632" s="67">
        <v>45944.555555555555</v>
      </c>
      <c r="P5632" s="26" t="s">
        <v>22379</v>
      </c>
      <c r="Q5632" s="13" t="s">
        <v>6028</v>
      </c>
      <c r="R5632" s="13" t="s">
        <v>6028</v>
      </c>
      <c r="S5632" s="13" t="s">
        <v>73</v>
      </c>
      <c r="T5632" s="44">
        <v>45943.39169936343</v>
      </c>
      <c r="U5632" s="44">
        <v>45943.39196274306</v>
      </c>
      <c r="V5632" s="44">
        <v>45943.439093796296</v>
      </c>
      <c r="W5632" s="11"/>
      <c r="X5632" s="11"/>
      <c r="Y5632" s="45">
        <v>302.0</v>
      </c>
      <c r="Z5632" s="45" t="s">
        <v>22583</v>
      </c>
      <c r="AA5632" s="31"/>
      <c r="AB5632" s="45" t="s">
        <v>22584</v>
      </c>
      <c r="AC5632" s="45"/>
    </row>
    <row r="5633" ht="18.75" customHeight="1">
      <c r="A5633" s="142" t="s">
        <v>22585</v>
      </c>
      <c r="B5633" s="33" t="s">
        <v>12493</v>
      </c>
      <c r="C5633" s="20">
        <v>137.0</v>
      </c>
      <c r="D5633" s="39"/>
      <c r="E5633" s="27" t="s">
        <v>85</v>
      </c>
      <c r="F5633" s="27" t="s">
        <v>48</v>
      </c>
      <c r="G5633" s="18" t="s">
        <v>35</v>
      </c>
      <c r="H5633" s="40" t="s">
        <v>35</v>
      </c>
      <c r="I5633" s="37" t="s">
        <v>17277</v>
      </c>
      <c r="J5633" s="25" t="s">
        <v>65</v>
      </c>
      <c r="K5633" s="26" t="s">
        <v>38</v>
      </c>
      <c r="L5633" s="25"/>
      <c r="M5633" s="49"/>
      <c r="N5633" s="42"/>
      <c r="O5633" s="68"/>
      <c r="P5633" s="35" t="s">
        <v>22586</v>
      </c>
      <c r="Q5633" s="13" t="s">
        <v>67</v>
      </c>
      <c r="R5633" s="13" t="s">
        <v>67</v>
      </c>
      <c r="S5633" s="13"/>
      <c r="T5633" s="44">
        <v>45943.42474857639</v>
      </c>
      <c r="U5633" s="13"/>
      <c r="V5633" s="13"/>
      <c r="W5633" s="11"/>
      <c r="X5633" s="11"/>
      <c r="Y5633" s="45"/>
      <c r="Z5633" s="45"/>
      <c r="AA5633" s="31"/>
      <c r="AB5633" s="45" t="s">
        <v>22587</v>
      </c>
      <c r="AC5633" s="45"/>
    </row>
    <row r="5634" ht="18.75" customHeight="1">
      <c r="A5634" s="142" t="s">
        <v>22588</v>
      </c>
      <c r="B5634" s="33" t="s">
        <v>8173</v>
      </c>
      <c r="C5634" s="20">
        <v>0.0</v>
      </c>
      <c r="D5634" s="220" t="s">
        <v>22589</v>
      </c>
      <c r="E5634" s="27" t="s">
        <v>12405</v>
      </c>
      <c r="F5634" s="27" t="s">
        <v>48</v>
      </c>
      <c r="G5634" s="18" t="s">
        <v>35</v>
      </c>
      <c r="H5634" s="40" t="s">
        <v>35</v>
      </c>
      <c r="I5634" s="37" t="s">
        <v>36</v>
      </c>
      <c r="J5634" s="25" t="s">
        <v>65</v>
      </c>
      <c r="K5634" s="26" t="s">
        <v>38</v>
      </c>
      <c r="L5634" s="25">
        <v>14174.0</v>
      </c>
      <c r="M5634" s="49" t="s">
        <v>50</v>
      </c>
      <c r="N5634" s="42" t="s">
        <v>16408</v>
      </c>
      <c r="O5634" s="67">
        <v>45946.624967118056</v>
      </c>
      <c r="P5634" s="26" t="s">
        <v>22590</v>
      </c>
      <c r="Q5634" s="13" t="s">
        <v>20529</v>
      </c>
      <c r="R5634" s="13" t="s">
        <v>67</v>
      </c>
      <c r="S5634" s="13" t="s">
        <v>73</v>
      </c>
      <c r="T5634" s="44">
        <v>45943.45750793982</v>
      </c>
      <c r="U5634" s="44">
        <v>45943.65210953704</v>
      </c>
      <c r="V5634" s="44">
        <v>45946.43651883102</v>
      </c>
      <c r="W5634" s="11"/>
      <c r="X5634" s="11"/>
      <c r="Y5634" s="45">
        <v>302.0</v>
      </c>
      <c r="Z5634" s="45" t="s">
        <v>22591</v>
      </c>
      <c r="AA5634" s="31"/>
      <c r="AB5634" s="45" t="s">
        <v>22592</v>
      </c>
      <c r="AC5634" s="45"/>
    </row>
    <row r="5635" ht="18.75" customHeight="1">
      <c r="A5635" s="142" t="s">
        <v>22593</v>
      </c>
      <c r="B5635" s="33" t="s">
        <v>16816</v>
      </c>
      <c r="C5635" s="20">
        <v>0.0</v>
      </c>
      <c r="D5635" s="220" t="s">
        <v>22594</v>
      </c>
      <c r="E5635" s="27" t="s">
        <v>135</v>
      </c>
      <c r="F5635" s="27" t="s">
        <v>48</v>
      </c>
      <c r="G5635" s="18" t="s">
        <v>35</v>
      </c>
      <c r="H5635" s="40" t="s">
        <v>35</v>
      </c>
      <c r="I5635" s="37" t="s">
        <v>36</v>
      </c>
      <c r="J5635" s="25" t="s">
        <v>65</v>
      </c>
      <c r="K5635" s="26" t="s">
        <v>38</v>
      </c>
      <c r="L5635" s="25">
        <v>14173.0</v>
      </c>
      <c r="M5635" s="49" t="s">
        <v>50</v>
      </c>
      <c r="N5635" s="42" t="s">
        <v>16408</v>
      </c>
      <c r="O5635" s="67">
        <v>45946.62501548611</v>
      </c>
      <c r="P5635" s="35" t="s">
        <v>22595</v>
      </c>
      <c r="Q5635" s="13" t="s">
        <v>6028</v>
      </c>
      <c r="R5635" s="13" t="s">
        <v>6028</v>
      </c>
      <c r="S5635" s="13" t="s">
        <v>73</v>
      </c>
      <c r="T5635" s="44">
        <v>45943.39256043981</v>
      </c>
      <c r="U5635" s="44">
        <v>45944.39780291667</v>
      </c>
      <c r="V5635" s="44">
        <v>45945.56807454861</v>
      </c>
      <c r="W5635" s="11"/>
      <c r="X5635" s="11"/>
      <c r="Y5635" s="207">
        <v>302.0</v>
      </c>
      <c r="Z5635" s="45" t="s">
        <v>22596</v>
      </c>
      <c r="AA5635" s="31"/>
      <c r="AB5635" s="45" t="s">
        <v>22597</v>
      </c>
      <c r="AC5635" s="45"/>
    </row>
    <row r="5636" ht="18.75" customHeight="1">
      <c r="A5636" s="142" t="s">
        <v>22598</v>
      </c>
      <c r="B5636" s="33" t="s">
        <v>22599</v>
      </c>
      <c r="C5636" s="20">
        <v>0.0</v>
      </c>
      <c r="D5636" s="39"/>
      <c r="E5636" s="27" t="s">
        <v>12405</v>
      </c>
      <c r="F5636" s="27" t="s">
        <v>48</v>
      </c>
      <c r="G5636" s="18" t="s">
        <v>35</v>
      </c>
      <c r="H5636" s="40" t="s">
        <v>35</v>
      </c>
      <c r="I5636" s="37" t="s">
        <v>20664</v>
      </c>
      <c r="J5636" s="25" t="s">
        <v>49</v>
      </c>
      <c r="K5636" s="26" t="s">
        <v>22600</v>
      </c>
      <c r="L5636" s="25"/>
      <c r="M5636" s="49"/>
      <c r="N5636" s="42"/>
      <c r="O5636" s="68"/>
      <c r="P5636" s="35" t="s">
        <v>22601</v>
      </c>
      <c r="Q5636" s="13" t="s">
        <v>67</v>
      </c>
      <c r="R5636" s="13" t="s">
        <v>67</v>
      </c>
      <c r="S5636" s="13"/>
      <c r="T5636" s="44">
        <v>45943.454751087964</v>
      </c>
      <c r="U5636" s="13"/>
      <c r="V5636" s="13"/>
      <c r="W5636" s="11"/>
      <c r="X5636" s="11"/>
      <c r="Y5636" s="45"/>
      <c r="Z5636" s="45"/>
      <c r="AA5636" s="31"/>
      <c r="AB5636" s="45" t="s">
        <v>22602</v>
      </c>
      <c r="AC5636" s="45"/>
    </row>
    <row r="5637" ht="18.75" customHeight="1">
      <c r="A5637" s="142" t="s">
        <v>22603</v>
      </c>
      <c r="B5637" s="33" t="s">
        <v>22604</v>
      </c>
      <c r="C5637" s="20">
        <v>0.0</v>
      </c>
      <c r="D5637" s="220" t="s">
        <v>22605</v>
      </c>
      <c r="E5637" s="27" t="s">
        <v>12405</v>
      </c>
      <c r="F5637" s="27" t="s">
        <v>48</v>
      </c>
      <c r="G5637" s="18" t="s">
        <v>35</v>
      </c>
      <c r="H5637" s="40" t="s">
        <v>35</v>
      </c>
      <c r="I5637" s="37" t="s">
        <v>36</v>
      </c>
      <c r="J5637" s="25" t="s">
        <v>518</v>
      </c>
      <c r="K5637" s="26" t="s">
        <v>38</v>
      </c>
      <c r="L5637" s="25">
        <v>14226.0</v>
      </c>
      <c r="M5637" s="49" t="s">
        <v>50</v>
      </c>
      <c r="N5637" s="42" t="s">
        <v>21501</v>
      </c>
      <c r="O5637" s="67">
        <v>45951.59779929398</v>
      </c>
      <c r="P5637" s="35" t="s">
        <v>22606</v>
      </c>
      <c r="Q5637" s="13" t="s">
        <v>67</v>
      </c>
      <c r="R5637" s="13" t="s">
        <v>67</v>
      </c>
      <c r="S5637" s="13" t="s">
        <v>73</v>
      </c>
      <c r="T5637" s="44">
        <v>45943.437350127315</v>
      </c>
      <c r="U5637" s="44">
        <v>45944.41404184028</v>
      </c>
      <c r="V5637" s="44">
        <v>45950.54574342593</v>
      </c>
      <c r="W5637" s="11"/>
      <c r="X5637" s="11"/>
      <c r="Y5637" s="45">
        <v>302.0</v>
      </c>
      <c r="Z5637" s="45" t="s">
        <v>22607</v>
      </c>
      <c r="AA5637" s="31"/>
      <c r="AB5637" s="45" t="s">
        <v>22608</v>
      </c>
      <c r="AC5637" s="45"/>
    </row>
    <row r="5638" ht="18.75" customHeight="1">
      <c r="A5638" s="142" t="s">
        <v>22609</v>
      </c>
      <c r="B5638" s="33" t="s">
        <v>3289</v>
      </c>
      <c r="C5638" s="20">
        <v>0.0</v>
      </c>
      <c r="D5638" s="178">
        <v>20130.0</v>
      </c>
      <c r="E5638" s="27" t="s">
        <v>12405</v>
      </c>
      <c r="F5638" s="27" t="s">
        <v>48</v>
      </c>
      <c r="G5638" s="18" t="s">
        <v>35</v>
      </c>
      <c r="H5638" s="40" t="s">
        <v>35</v>
      </c>
      <c r="I5638" s="37" t="s">
        <v>36</v>
      </c>
      <c r="J5638" s="25" t="s">
        <v>92</v>
      </c>
      <c r="K5638" s="26" t="s">
        <v>38</v>
      </c>
      <c r="L5638" s="25">
        <v>14140.0</v>
      </c>
      <c r="M5638" s="49" t="s">
        <v>50</v>
      </c>
      <c r="N5638" s="42" t="s">
        <v>4362</v>
      </c>
      <c r="O5638" s="67">
        <v>45943.64121956019</v>
      </c>
      <c r="P5638" s="26"/>
      <c r="Q5638" s="13" t="s">
        <v>67</v>
      </c>
      <c r="R5638" s="13" t="s">
        <v>67</v>
      </c>
      <c r="S5638" s="13" t="s">
        <v>50</v>
      </c>
      <c r="T5638" s="44">
        <v>45943.43178637732</v>
      </c>
      <c r="U5638" s="44">
        <v>45943.566141689815</v>
      </c>
      <c r="V5638" s="44">
        <v>45943.57722597222</v>
      </c>
      <c r="W5638" s="11"/>
      <c r="X5638" s="11"/>
      <c r="Y5638" s="45">
        <v>302.0</v>
      </c>
      <c r="Z5638" s="45" t="s">
        <v>22610</v>
      </c>
      <c r="AA5638" s="31"/>
      <c r="AB5638" s="45" t="s">
        <v>22611</v>
      </c>
      <c r="AC5638" s="45"/>
    </row>
    <row r="5639" ht="18.75" customHeight="1">
      <c r="A5639" s="142" t="s">
        <v>22612</v>
      </c>
      <c r="B5639" s="33" t="s">
        <v>22613</v>
      </c>
      <c r="C5639" s="20">
        <v>90.0</v>
      </c>
      <c r="D5639" s="39" t="s">
        <v>22614</v>
      </c>
      <c r="E5639" s="27" t="s">
        <v>91</v>
      </c>
      <c r="F5639" s="27" t="s">
        <v>48</v>
      </c>
      <c r="G5639" s="18" t="s">
        <v>35</v>
      </c>
      <c r="H5639" s="40" t="s">
        <v>35</v>
      </c>
      <c r="I5639" s="37" t="s">
        <v>36</v>
      </c>
      <c r="J5639" s="25" t="s">
        <v>92</v>
      </c>
      <c r="K5639" s="26" t="s">
        <v>38</v>
      </c>
      <c r="L5639" s="25">
        <v>14186.0</v>
      </c>
      <c r="M5639" s="49" t="s">
        <v>50</v>
      </c>
      <c r="N5639" s="42" t="s">
        <v>22615</v>
      </c>
      <c r="O5639" s="67">
        <v>45947.4901059838</v>
      </c>
      <c r="P5639" s="35" t="s">
        <v>22616</v>
      </c>
      <c r="Q5639" s="13" t="s">
        <v>6028</v>
      </c>
      <c r="R5639" s="13" t="s">
        <v>6028</v>
      </c>
      <c r="S5639" s="13" t="s">
        <v>73</v>
      </c>
      <c r="T5639" s="44">
        <v>45943.72193273148</v>
      </c>
      <c r="U5639" s="44">
        <v>45943.722460590274</v>
      </c>
      <c r="V5639" s="44">
        <v>45945.54953583333</v>
      </c>
      <c r="W5639" s="11"/>
      <c r="X5639" s="11"/>
      <c r="Y5639" s="45">
        <v>302.0</v>
      </c>
      <c r="Z5639" s="45" t="s">
        <v>22617</v>
      </c>
      <c r="AA5639" s="31"/>
      <c r="AB5639" s="45" t="s">
        <v>22618</v>
      </c>
      <c r="AC5639" s="45"/>
    </row>
    <row r="5640" ht="18.75" customHeight="1">
      <c r="A5640" s="142" t="s">
        <v>22619</v>
      </c>
      <c r="B5640" s="33" t="s">
        <v>22620</v>
      </c>
      <c r="C5640" s="20">
        <v>90.0</v>
      </c>
      <c r="D5640" s="39" t="s">
        <v>22621</v>
      </c>
      <c r="E5640" s="27" t="s">
        <v>91</v>
      </c>
      <c r="F5640" s="27" t="s">
        <v>48</v>
      </c>
      <c r="G5640" s="18" t="s">
        <v>35</v>
      </c>
      <c r="H5640" s="40" t="s">
        <v>35</v>
      </c>
      <c r="I5640" s="37" t="s">
        <v>36</v>
      </c>
      <c r="J5640" s="25" t="s">
        <v>65</v>
      </c>
      <c r="K5640" s="26" t="s">
        <v>38</v>
      </c>
      <c r="L5640" s="25">
        <v>14142.0</v>
      </c>
      <c r="M5640" s="49" t="s">
        <v>50</v>
      </c>
      <c r="N5640" s="42" t="s">
        <v>16408</v>
      </c>
      <c r="O5640" s="67">
        <v>45944.6333262963</v>
      </c>
      <c r="P5640" s="35" t="s">
        <v>22622</v>
      </c>
      <c r="Q5640" s="13" t="s">
        <v>67</v>
      </c>
      <c r="R5640" s="13" t="s">
        <v>67</v>
      </c>
      <c r="S5640" s="13" t="s">
        <v>73</v>
      </c>
      <c r="T5640" s="44">
        <v>45943.44963371528</v>
      </c>
      <c r="U5640" s="44">
        <v>45943.495833912035</v>
      </c>
      <c r="V5640" s="44">
        <v>45943.601383194444</v>
      </c>
      <c r="W5640" s="11"/>
      <c r="X5640" s="11"/>
      <c r="Y5640" s="207">
        <v>302.0</v>
      </c>
      <c r="Z5640" s="45" t="s">
        <v>22623</v>
      </c>
      <c r="AA5640" s="31"/>
      <c r="AB5640" s="45" t="s">
        <v>22624</v>
      </c>
      <c r="AC5640" s="45"/>
    </row>
    <row r="5641" ht="18.75" customHeight="1">
      <c r="A5641" s="142" t="s">
        <v>22625</v>
      </c>
      <c r="B5641" s="33" t="s">
        <v>22626</v>
      </c>
      <c r="C5641" s="20">
        <v>0.0</v>
      </c>
      <c r="D5641" s="39"/>
      <c r="E5641" s="27" t="s">
        <v>913</v>
      </c>
      <c r="F5641" s="27" t="s">
        <v>33</v>
      </c>
      <c r="G5641" s="18" t="s">
        <v>35</v>
      </c>
      <c r="H5641" s="40" t="s">
        <v>35</v>
      </c>
      <c r="I5641" s="37" t="s">
        <v>17277</v>
      </c>
      <c r="J5641" s="25" t="s">
        <v>92</v>
      </c>
      <c r="K5641" s="26" t="s">
        <v>38</v>
      </c>
      <c r="L5641" s="25"/>
      <c r="M5641" s="49"/>
      <c r="N5641" s="42"/>
      <c r="O5641" s="68"/>
      <c r="P5641" s="35" t="s">
        <v>22627</v>
      </c>
      <c r="Q5641" s="13" t="s">
        <v>67</v>
      </c>
      <c r="R5641" s="13" t="s">
        <v>67</v>
      </c>
      <c r="S5641" s="13"/>
      <c r="T5641" s="44">
        <v>45943.45104659723</v>
      </c>
      <c r="U5641" s="13"/>
      <c r="V5641" s="13"/>
      <c r="W5641" s="11"/>
      <c r="X5641" s="11"/>
      <c r="Y5641" s="45"/>
      <c r="Z5641" s="45"/>
      <c r="AA5641" s="31"/>
      <c r="AB5641" s="45" t="s">
        <v>22628</v>
      </c>
      <c r="AC5641" s="45"/>
    </row>
    <row r="5642" ht="18.75" customHeight="1">
      <c r="A5642" s="142" t="s">
        <v>22629</v>
      </c>
      <c r="B5642" s="33" t="s">
        <v>10529</v>
      </c>
      <c r="C5642" s="20">
        <v>90.0</v>
      </c>
      <c r="D5642" s="39" t="s">
        <v>22630</v>
      </c>
      <c r="E5642" s="27" t="s">
        <v>91</v>
      </c>
      <c r="F5642" s="27" t="s">
        <v>48</v>
      </c>
      <c r="G5642" s="18" t="s">
        <v>35</v>
      </c>
      <c r="H5642" s="40" t="s">
        <v>35</v>
      </c>
      <c r="I5642" s="37" t="s">
        <v>36</v>
      </c>
      <c r="J5642" s="25" t="s">
        <v>92</v>
      </c>
      <c r="K5642" s="26" t="s">
        <v>38</v>
      </c>
      <c r="L5642" s="25">
        <v>14150.0</v>
      </c>
      <c r="M5642" s="49" t="s">
        <v>50</v>
      </c>
      <c r="N5642" s="42" t="s">
        <v>8952</v>
      </c>
      <c r="O5642" s="67">
        <v>45944.684053136574</v>
      </c>
      <c r="P5642" s="26"/>
      <c r="Q5642" s="13" t="s">
        <v>67</v>
      </c>
      <c r="R5642" s="13" t="s">
        <v>67</v>
      </c>
      <c r="S5642" s="13" t="s">
        <v>73</v>
      </c>
      <c r="T5642" s="44">
        <v>45943.45349851852</v>
      </c>
      <c r="U5642" s="44">
        <v>45943.49540542824</v>
      </c>
      <c r="V5642" s="44">
        <v>45944.675438125</v>
      </c>
      <c r="W5642" s="11"/>
      <c r="X5642" s="11"/>
      <c r="Y5642" s="45">
        <v>302.0</v>
      </c>
      <c r="Z5642" s="45" t="s">
        <v>22631</v>
      </c>
      <c r="AA5642" s="31"/>
      <c r="AB5642" s="45" t="s">
        <v>22632</v>
      </c>
      <c r="AC5642" s="45"/>
    </row>
    <row r="5643" ht="18.75" customHeight="1">
      <c r="A5643" s="142" t="s">
        <v>22633</v>
      </c>
      <c r="B5643" s="33" t="s">
        <v>7703</v>
      </c>
      <c r="C5643" s="20">
        <v>34.0</v>
      </c>
      <c r="D5643" s="39" t="s">
        <v>22634</v>
      </c>
      <c r="E5643" s="27" t="s">
        <v>47</v>
      </c>
      <c r="F5643" s="27" t="s">
        <v>48</v>
      </c>
      <c r="G5643" s="18" t="s">
        <v>35</v>
      </c>
      <c r="H5643" s="40" t="s">
        <v>35</v>
      </c>
      <c r="I5643" s="37" t="s">
        <v>36</v>
      </c>
      <c r="J5643" s="25" t="s">
        <v>65</v>
      </c>
      <c r="K5643" s="26" t="s">
        <v>38</v>
      </c>
      <c r="L5643" s="25">
        <v>14147.0</v>
      </c>
      <c r="M5643" s="49" t="s">
        <v>50</v>
      </c>
      <c r="N5643" s="42" t="s">
        <v>16408</v>
      </c>
      <c r="O5643" s="67">
        <v>45944.63344733797</v>
      </c>
      <c r="P5643" s="35" t="s">
        <v>22635</v>
      </c>
      <c r="Q5643" s="13" t="s">
        <v>67</v>
      </c>
      <c r="R5643" s="13" t="s">
        <v>67</v>
      </c>
      <c r="S5643" s="13" t="s">
        <v>73</v>
      </c>
      <c r="T5643" s="44">
        <v>45943.582063553244</v>
      </c>
      <c r="U5643" s="44">
        <v>45943.68971388889</v>
      </c>
      <c r="V5643" s="44">
        <v>45944.44771045139</v>
      </c>
      <c r="W5643" s="11"/>
      <c r="X5643" s="11"/>
      <c r="Y5643" s="45">
        <v>302.0</v>
      </c>
      <c r="Z5643" s="45" t="s">
        <v>22636</v>
      </c>
      <c r="AA5643" s="31"/>
      <c r="AB5643" s="45" t="s">
        <v>22637</v>
      </c>
      <c r="AC5643" s="45"/>
    </row>
    <row r="5644" ht="18.75" customHeight="1">
      <c r="A5644" s="18" t="s">
        <v>22638</v>
      </c>
      <c r="B5644" s="33" t="s">
        <v>5507</v>
      </c>
      <c r="C5644" s="20">
        <v>34.0</v>
      </c>
      <c r="D5644" s="39" t="s">
        <v>22639</v>
      </c>
      <c r="E5644" s="27" t="s">
        <v>47</v>
      </c>
      <c r="F5644" s="27" t="s">
        <v>48</v>
      </c>
      <c r="G5644" s="18" t="s">
        <v>35</v>
      </c>
      <c r="H5644" s="40" t="s">
        <v>35</v>
      </c>
      <c r="I5644" s="37" t="s">
        <v>36</v>
      </c>
      <c r="J5644" s="25" t="s">
        <v>49</v>
      </c>
      <c r="K5644" s="26" t="s">
        <v>38</v>
      </c>
      <c r="L5644" s="25">
        <v>14154.0</v>
      </c>
      <c r="M5644" s="49" t="s">
        <v>50</v>
      </c>
      <c r="N5644" s="42" t="s">
        <v>18561</v>
      </c>
      <c r="O5644" s="67">
        <v>45945.61310241898</v>
      </c>
      <c r="P5644" s="35" t="s">
        <v>15666</v>
      </c>
      <c r="Q5644" s="13" t="s">
        <v>75</v>
      </c>
      <c r="R5644" s="13" t="s">
        <v>75</v>
      </c>
      <c r="S5644" s="13" t="s">
        <v>73</v>
      </c>
      <c r="T5644" s="44">
        <v>45944.486570486115</v>
      </c>
      <c r="U5644" s="44">
        <v>45944.50062717593</v>
      </c>
      <c r="V5644" s="44">
        <v>45945.42230828704</v>
      </c>
      <c r="W5644" s="11"/>
      <c r="X5644" s="11"/>
      <c r="Y5644" s="45">
        <v>302.0</v>
      </c>
      <c r="Z5644" s="45" t="s">
        <v>22640</v>
      </c>
      <c r="AA5644" s="31"/>
      <c r="AB5644" s="45" t="s">
        <v>22641</v>
      </c>
      <c r="AC5644" s="45"/>
    </row>
    <row r="5645" ht="18.75" customHeight="1">
      <c r="A5645" s="18" t="s">
        <v>22642</v>
      </c>
      <c r="B5645" s="33" t="s">
        <v>5507</v>
      </c>
      <c r="C5645" s="20">
        <v>34.0</v>
      </c>
      <c r="D5645" s="39" t="s">
        <v>22643</v>
      </c>
      <c r="E5645" s="27" t="s">
        <v>47</v>
      </c>
      <c r="F5645" s="27" t="s">
        <v>48</v>
      </c>
      <c r="G5645" s="18" t="s">
        <v>35</v>
      </c>
      <c r="H5645" s="40" t="s">
        <v>35</v>
      </c>
      <c r="I5645" s="37" t="s">
        <v>36</v>
      </c>
      <c r="J5645" s="25" t="s">
        <v>49</v>
      </c>
      <c r="K5645" s="26" t="s">
        <v>38</v>
      </c>
      <c r="L5645" s="25">
        <v>14154.0</v>
      </c>
      <c r="M5645" s="49" t="s">
        <v>50</v>
      </c>
      <c r="N5645" s="42" t="s">
        <v>18561</v>
      </c>
      <c r="O5645" s="67">
        <v>45945.61305895833</v>
      </c>
      <c r="P5645" s="35" t="s">
        <v>15666</v>
      </c>
      <c r="Q5645" s="13" t="s">
        <v>75</v>
      </c>
      <c r="R5645" s="13" t="s">
        <v>75</v>
      </c>
      <c r="S5645" s="13" t="s">
        <v>73</v>
      </c>
      <c r="T5645" s="44">
        <v>45944.48671159722</v>
      </c>
      <c r="U5645" s="44">
        <v>45944.500649803245</v>
      </c>
      <c r="V5645" s="44">
        <v>45945.42235449074</v>
      </c>
      <c r="W5645" s="11"/>
      <c r="X5645" s="11"/>
      <c r="Y5645" s="45">
        <v>302.0</v>
      </c>
      <c r="Z5645" s="45" t="s">
        <v>22644</v>
      </c>
      <c r="AA5645" s="31"/>
      <c r="AB5645" s="45" t="s">
        <v>22645</v>
      </c>
      <c r="AC5645" s="45"/>
    </row>
    <row r="5646" ht="18.75" customHeight="1">
      <c r="A5646" s="142" t="s">
        <v>22646</v>
      </c>
      <c r="B5646" s="33" t="s">
        <v>3762</v>
      </c>
      <c r="C5646" s="20">
        <v>90.0</v>
      </c>
      <c r="D5646" s="39" t="s">
        <v>22647</v>
      </c>
      <c r="E5646" s="27" t="s">
        <v>91</v>
      </c>
      <c r="F5646" s="27" t="s">
        <v>48</v>
      </c>
      <c r="G5646" s="18" t="s">
        <v>35</v>
      </c>
      <c r="H5646" s="40" t="s">
        <v>35</v>
      </c>
      <c r="I5646" s="37" t="s">
        <v>36</v>
      </c>
      <c r="J5646" s="25" t="s">
        <v>65</v>
      </c>
      <c r="K5646" s="26" t="s">
        <v>38</v>
      </c>
      <c r="L5646" s="25">
        <v>14149.0</v>
      </c>
      <c r="M5646" s="49" t="s">
        <v>50</v>
      </c>
      <c r="N5646" s="42" t="s">
        <v>16408</v>
      </c>
      <c r="O5646" s="67">
        <v>45944.63338994213</v>
      </c>
      <c r="P5646" s="35" t="s">
        <v>22648</v>
      </c>
      <c r="Q5646" s="13" t="s">
        <v>6028</v>
      </c>
      <c r="R5646" s="13" t="s">
        <v>6028</v>
      </c>
      <c r="S5646" s="13" t="s">
        <v>73</v>
      </c>
      <c r="T5646" s="44">
        <v>45943.58730704861</v>
      </c>
      <c r="U5646" s="44">
        <v>45943.643535104165</v>
      </c>
      <c r="V5646" s="44">
        <v>45944.44777748843</v>
      </c>
      <c r="W5646" s="11"/>
      <c r="X5646" s="11"/>
      <c r="Y5646" s="45">
        <v>302.0</v>
      </c>
      <c r="Z5646" s="45" t="s">
        <v>22649</v>
      </c>
      <c r="AA5646" s="31"/>
      <c r="AB5646" s="45" t="s">
        <v>22650</v>
      </c>
      <c r="AC5646" s="45"/>
    </row>
    <row r="5647" ht="18.75" customHeight="1">
      <c r="A5647" s="142" t="s">
        <v>22651</v>
      </c>
      <c r="B5647" s="33" t="s">
        <v>22652</v>
      </c>
      <c r="C5647" s="20">
        <v>90.0</v>
      </c>
      <c r="D5647" s="39" t="s">
        <v>22653</v>
      </c>
      <c r="E5647" s="27" t="s">
        <v>91</v>
      </c>
      <c r="F5647" s="27" t="s">
        <v>48</v>
      </c>
      <c r="G5647" s="18" t="s">
        <v>35</v>
      </c>
      <c r="H5647" s="40" t="s">
        <v>35</v>
      </c>
      <c r="I5647" s="37" t="s">
        <v>36</v>
      </c>
      <c r="J5647" s="25" t="s">
        <v>65</v>
      </c>
      <c r="K5647" s="26" t="s">
        <v>38</v>
      </c>
      <c r="L5647" s="25">
        <v>14155.0</v>
      </c>
      <c r="M5647" s="49" t="s">
        <v>50</v>
      </c>
      <c r="N5647" s="42" t="s">
        <v>16408</v>
      </c>
      <c r="O5647" s="67">
        <v>45945.65731603009</v>
      </c>
      <c r="P5647" s="35" t="s">
        <v>22654</v>
      </c>
      <c r="Q5647" s="13" t="s">
        <v>6028</v>
      </c>
      <c r="R5647" s="13" t="s">
        <v>75</v>
      </c>
      <c r="S5647" s="13" t="s">
        <v>73</v>
      </c>
      <c r="T5647" s="44">
        <v>45943.58797299769</v>
      </c>
      <c r="U5647" s="44">
        <v>45944.65234634259</v>
      </c>
      <c r="V5647" s="44">
        <v>45945.430513287036</v>
      </c>
      <c r="W5647" s="11"/>
      <c r="X5647" s="11"/>
      <c r="Y5647" s="45">
        <v>302.0</v>
      </c>
      <c r="Z5647" s="45" t="s">
        <v>22655</v>
      </c>
      <c r="AA5647" s="31"/>
      <c r="AB5647" s="45" t="s">
        <v>22656</v>
      </c>
      <c r="AC5647" s="45"/>
    </row>
    <row r="5648" ht="18.75" customHeight="1">
      <c r="A5648" s="18" t="s">
        <v>22657</v>
      </c>
      <c r="B5648" s="33" t="s">
        <v>21985</v>
      </c>
      <c r="C5648" s="20">
        <v>1.0</v>
      </c>
      <c r="D5648" s="39"/>
      <c r="E5648" s="27" t="s">
        <v>3395</v>
      </c>
      <c r="F5648" s="27" t="s">
        <v>48</v>
      </c>
      <c r="G5648" s="18" t="s">
        <v>35</v>
      </c>
      <c r="H5648" s="40" t="s">
        <v>35</v>
      </c>
      <c r="I5648" s="37" t="s">
        <v>18314</v>
      </c>
      <c r="J5648" s="25" t="s">
        <v>65</v>
      </c>
      <c r="K5648" s="26" t="s">
        <v>38</v>
      </c>
      <c r="L5648" s="25"/>
      <c r="M5648" s="49"/>
      <c r="N5648" s="42"/>
      <c r="O5648" s="68"/>
      <c r="P5648" s="35" t="s">
        <v>22658</v>
      </c>
      <c r="Q5648" s="13" t="s">
        <v>6028</v>
      </c>
      <c r="R5648" s="13" t="s">
        <v>6028</v>
      </c>
      <c r="S5648" s="13"/>
      <c r="T5648" s="44">
        <v>45943.59077376158</v>
      </c>
      <c r="U5648" s="44">
        <v>45944.40512653935</v>
      </c>
      <c r="V5648" s="13"/>
      <c r="W5648" s="11"/>
      <c r="X5648" s="11"/>
      <c r="Y5648" s="45"/>
      <c r="Z5648" s="45"/>
      <c r="AA5648" s="31"/>
      <c r="AB5648" s="45" t="s">
        <v>22659</v>
      </c>
      <c r="AC5648" s="45"/>
    </row>
    <row r="5649" ht="18.75" customHeight="1">
      <c r="A5649" s="18" t="s">
        <v>22660</v>
      </c>
      <c r="B5649" s="33" t="s">
        <v>21985</v>
      </c>
      <c r="C5649" s="20">
        <v>1.0</v>
      </c>
      <c r="D5649" s="39"/>
      <c r="E5649" s="27" t="s">
        <v>3395</v>
      </c>
      <c r="F5649" s="27" t="s">
        <v>48</v>
      </c>
      <c r="G5649" s="18" t="s">
        <v>35</v>
      </c>
      <c r="H5649" s="40" t="s">
        <v>35</v>
      </c>
      <c r="I5649" s="37" t="s">
        <v>18314</v>
      </c>
      <c r="J5649" s="25" t="s">
        <v>65</v>
      </c>
      <c r="K5649" s="26" t="s">
        <v>38</v>
      </c>
      <c r="L5649" s="25"/>
      <c r="M5649" s="49"/>
      <c r="N5649" s="42"/>
      <c r="O5649" s="68"/>
      <c r="P5649" s="35" t="s">
        <v>22661</v>
      </c>
      <c r="Q5649" s="13" t="s">
        <v>6028</v>
      </c>
      <c r="R5649" s="13" t="s">
        <v>6028</v>
      </c>
      <c r="S5649" s="13"/>
      <c r="T5649" s="44">
        <v>45943.590812407405</v>
      </c>
      <c r="U5649" s="44">
        <v>45944.40524373842</v>
      </c>
      <c r="V5649" s="13"/>
      <c r="W5649" s="11"/>
      <c r="X5649" s="11"/>
      <c r="Y5649" s="45"/>
      <c r="Z5649" s="45"/>
      <c r="AA5649" s="31"/>
      <c r="AB5649" s="45" t="s">
        <v>22662</v>
      </c>
      <c r="AC5649" s="45"/>
    </row>
    <row r="5650" ht="18.75" customHeight="1">
      <c r="A5650" s="142" t="s">
        <v>22663</v>
      </c>
      <c r="B5650" s="33" t="s">
        <v>16816</v>
      </c>
      <c r="C5650" s="20">
        <v>137.0</v>
      </c>
      <c r="D5650" s="39" t="s">
        <v>22664</v>
      </c>
      <c r="E5650" s="27" t="s">
        <v>85</v>
      </c>
      <c r="F5650" s="27" t="s">
        <v>48</v>
      </c>
      <c r="G5650" s="18" t="s">
        <v>35</v>
      </c>
      <c r="H5650" s="40" t="s">
        <v>35</v>
      </c>
      <c r="I5650" s="37" t="s">
        <v>36</v>
      </c>
      <c r="J5650" s="25" t="s">
        <v>65</v>
      </c>
      <c r="K5650" s="26" t="s">
        <v>38</v>
      </c>
      <c r="L5650" s="25">
        <v>14156.0</v>
      </c>
      <c r="M5650" s="49" t="s">
        <v>50</v>
      </c>
      <c r="N5650" s="42" t="s">
        <v>16408</v>
      </c>
      <c r="O5650" s="67">
        <v>45945.6573634375</v>
      </c>
      <c r="P5650" s="35" t="s">
        <v>22665</v>
      </c>
      <c r="Q5650" s="13" t="s">
        <v>6028</v>
      </c>
      <c r="R5650" s="13" t="s">
        <v>6028</v>
      </c>
      <c r="S5650" s="13" t="s">
        <v>73</v>
      </c>
      <c r="T5650" s="44">
        <v>45944.468596770836</v>
      </c>
      <c r="U5650" s="44">
        <v>45944.469942372685</v>
      </c>
      <c r="V5650" s="44">
        <v>45945.42883913194</v>
      </c>
      <c r="W5650" s="11"/>
      <c r="X5650" s="11"/>
      <c r="Y5650" s="45">
        <v>302.0</v>
      </c>
      <c r="Z5650" s="45" t="s">
        <v>22666</v>
      </c>
      <c r="AA5650" s="31"/>
      <c r="AB5650" s="45" t="s">
        <v>22667</v>
      </c>
      <c r="AC5650" s="45"/>
    </row>
    <row r="5651" ht="18.75" customHeight="1">
      <c r="A5651" s="142" t="s">
        <v>22668</v>
      </c>
      <c r="B5651" s="33" t="s">
        <v>4352</v>
      </c>
      <c r="C5651" s="20">
        <v>137.0</v>
      </c>
      <c r="D5651" s="39" t="s">
        <v>22669</v>
      </c>
      <c r="E5651" s="27" t="s">
        <v>85</v>
      </c>
      <c r="F5651" s="27" t="s">
        <v>48</v>
      </c>
      <c r="G5651" s="18" t="s">
        <v>35</v>
      </c>
      <c r="H5651" s="40" t="s">
        <v>35</v>
      </c>
      <c r="I5651" s="37" t="s">
        <v>36</v>
      </c>
      <c r="J5651" s="25" t="s">
        <v>49</v>
      </c>
      <c r="K5651" s="26" t="s">
        <v>38</v>
      </c>
      <c r="L5651" s="25">
        <v>14157.0</v>
      </c>
      <c r="M5651" s="49" t="s">
        <v>50</v>
      </c>
      <c r="N5651" s="42" t="s">
        <v>18561</v>
      </c>
      <c r="O5651" s="67">
        <v>45945.61301341435</v>
      </c>
      <c r="P5651" s="35" t="s">
        <v>22670</v>
      </c>
      <c r="Q5651" s="13" t="s">
        <v>75</v>
      </c>
      <c r="R5651" s="13" t="s">
        <v>75</v>
      </c>
      <c r="S5651" s="13" t="s">
        <v>73</v>
      </c>
      <c r="T5651" s="44">
        <v>45944.4730965162</v>
      </c>
      <c r="U5651" s="44">
        <v>45944.58714834491</v>
      </c>
      <c r="V5651" s="44">
        <v>45945.422427233796</v>
      </c>
      <c r="W5651" s="11"/>
      <c r="X5651" s="11"/>
      <c r="Y5651" s="45">
        <v>302.0</v>
      </c>
      <c r="Z5651" s="45" t="s">
        <v>22671</v>
      </c>
      <c r="AA5651" s="31"/>
      <c r="AB5651" s="45" t="s">
        <v>22672</v>
      </c>
      <c r="AC5651" s="45"/>
    </row>
    <row r="5652" ht="18.75" customHeight="1">
      <c r="A5652" s="142" t="s">
        <v>22673</v>
      </c>
      <c r="B5652" s="33" t="s">
        <v>22674</v>
      </c>
      <c r="C5652" s="20">
        <v>34.0</v>
      </c>
      <c r="D5652" s="39" t="s">
        <v>22675</v>
      </c>
      <c r="E5652" s="27" t="s">
        <v>47</v>
      </c>
      <c r="F5652" s="27" t="s">
        <v>48</v>
      </c>
      <c r="G5652" s="18" t="s">
        <v>35</v>
      </c>
      <c r="H5652" s="40" t="s">
        <v>35</v>
      </c>
      <c r="I5652" s="37" t="s">
        <v>36</v>
      </c>
      <c r="J5652" s="25" t="s">
        <v>49</v>
      </c>
      <c r="K5652" s="26" t="s">
        <v>38</v>
      </c>
      <c r="L5652" s="25">
        <v>14165.0</v>
      </c>
      <c r="M5652" s="49" t="s">
        <v>50</v>
      </c>
      <c r="N5652" s="42" t="s">
        <v>18561</v>
      </c>
      <c r="O5652" s="67">
        <v>45945.61296921296</v>
      </c>
      <c r="P5652" s="35" t="s">
        <v>15666</v>
      </c>
      <c r="Q5652" s="13" t="s">
        <v>75</v>
      </c>
      <c r="R5652" s="13" t="s">
        <v>75</v>
      </c>
      <c r="S5652" s="13" t="s">
        <v>73</v>
      </c>
      <c r="T5652" s="44">
        <v>45944.477765891206</v>
      </c>
      <c r="U5652" s="44">
        <v>45945.46515425926</v>
      </c>
      <c r="V5652" s="44">
        <v>45945.545307673616</v>
      </c>
      <c r="W5652" s="11"/>
      <c r="X5652" s="11"/>
      <c r="Y5652" s="45">
        <v>302.0</v>
      </c>
      <c r="Z5652" s="45" t="s">
        <v>22676</v>
      </c>
      <c r="AA5652" s="31"/>
      <c r="AB5652" s="45" t="s">
        <v>22677</v>
      </c>
      <c r="AC5652" s="45"/>
    </row>
    <row r="5653" ht="18.75" customHeight="1">
      <c r="A5653" s="142" t="s">
        <v>22678</v>
      </c>
      <c r="B5653" s="33" t="s">
        <v>18845</v>
      </c>
      <c r="C5653" s="20">
        <v>137.0</v>
      </c>
      <c r="D5653" s="39"/>
      <c r="E5653" s="27" t="s">
        <v>85</v>
      </c>
      <c r="F5653" s="27" t="s">
        <v>48</v>
      </c>
      <c r="G5653" s="18" t="s">
        <v>35</v>
      </c>
      <c r="H5653" s="40" t="s">
        <v>35</v>
      </c>
      <c r="I5653" s="37" t="s">
        <v>22679</v>
      </c>
      <c r="J5653" s="25" t="s">
        <v>92</v>
      </c>
      <c r="K5653" s="26" t="s">
        <v>38</v>
      </c>
      <c r="L5653" s="25"/>
      <c r="M5653" s="49"/>
      <c r="N5653" s="42"/>
      <c r="O5653" s="68"/>
      <c r="P5653" s="35" t="s">
        <v>22680</v>
      </c>
      <c r="Q5653" s="13" t="s">
        <v>75</v>
      </c>
      <c r="R5653" s="13" t="s">
        <v>75</v>
      </c>
      <c r="S5653" s="13"/>
      <c r="T5653" s="44">
        <v>45944.48088020833</v>
      </c>
      <c r="U5653" s="13"/>
      <c r="V5653" s="13"/>
      <c r="W5653" s="11"/>
      <c r="X5653" s="11"/>
      <c r="Y5653" s="45"/>
      <c r="Z5653" s="45"/>
      <c r="AA5653" s="31"/>
      <c r="AB5653" s="45" t="s">
        <v>22681</v>
      </c>
      <c r="AC5653" s="45"/>
    </row>
    <row r="5654" ht="18.75" customHeight="1">
      <c r="A5654" s="142" t="s">
        <v>22682</v>
      </c>
      <c r="B5654" s="33" t="s">
        <v>5542</v>
      </c>
      <c r="C5654" s="20">
        <v>1.0</v>
      </c>
      <c r="D5654" s="39"/>
      <c r="E5654" s="27" t="s">
        <v>3395</v>
      </c>
      <c r="F5654" s="27" t="s">
        <v>48</v>
      </c>
      <c r="G5654" s="18" t="s">
        <v>35</v>
      </c>
      <c r="H5654" s="40" t="s">
        <v>35</v>
      </c>
      <c r="I5654" s="37" t="s">
        <v>17277</v>
      </c>
      <c r="J5654" s="25" t="s">
        <v>49</v>
      </c>
      <c r="K5654" s="26" t="s">
        <v>38</v>
      </c>
      <c r="L5654" s="25"/>
      <c r="M5654" s="49"/>
      <c r="N5654" s="42"/>
      <c r="O5654" s="68"/>
      <c r="P5654" s="35" t="s">
        <v>22683</v>
      </c>
      <c r="Q5654" s="13"/>
      <c r="R5654" s="13"/>
      <c r="S5654" s="13"/>
      <c r="T5654" s="13"/>
      <c r="U5654" s="13"/>
      <c r="V5654" s="13"/>
      <c r="W5654" s="11"/>
      <c r="X5654" s="11"/>
      <c r="Y5654" s="45"/>
      <c r="Z5654" s="45"/>
      <c r="AA5654" s="31"/>
      <c r="AB5654" s="45" t="s">
        <v>22684</v>
      </c>
      <c r="AC5654" s="45"/>
    </row>
    <row r="5655" ht="18.75" customHeight="1">
      <c r="A5655" s="142" t="s">
        <v>22685</v>
      </c>
      <c r="B5655" s="33" t="s">
        <v>9230</v>
      </c>
      <c r="C5655" s="20">
        <v>90.0</v>
      </c>
      <c r="D5655" s="39" t="s">
        <v>22686</v>
      </c>
      <c r="E5655" s="27" t="s">
        <v>91</v>
      </c>
      <c r="F5655" s="27" t="s">
        <v>48</v>
      </c>
      <c r="G5655" s="18" t="s">
        <v>35</v>
      </c>
      <c r="H5655" s="40" t="s">
        <v>35</v>
      </c>
      <c r="I5655" s="37" t="s">
        <v>36</v>
      </c>
      <c r="J5655" s="25" t="s">
        <v>65</v>
      </c>
      <c r="K5655" s="26" t="s">
        <v>38</v>
      </c>
      <c r="L5655" s="25">
        <v>14160.0</v>
      </c>
      <c r="M5655" s="49" t="s">
        <v>50</v>
      </c>
      <c r="N5655" s="42" t="s">
        <v>16408</v>
      </c>
      <c r="O5655" s="67">
        <v>45945.65741431713</v>
      </c>
      <c r="P5655" s="35" t="s">
        <v>22687</v>
      </c>
      <c r="Q5655" s="13" t="s">
        <v>67</v>
      </c>
      <c r="R5655" s="13" t="s">
        <v>67</v>
      </c>
      <c r="S5655" s="13" t="s">
        <v>73</v>
      </c>
      <c r="T5655" s="44">
        <v>45944.46661280093</v>
      </c>
      <c r="U5655" s="44">
        <v>45944.643254317125</v>
      </c>
      <c r="V5655" s="44">
        <v>45945.42905506944</v>
      </c>
      <c r="W5655" s="11"/>
      <c r="X5655" s="11"/>
      <c r="Y5655" s="45">
        <v>302.0</v>
      </c>
      <c r="Z5655" s="45" t="s">
        <v>22688</v>
      </c>
      <c r="AA5655" s="31"/>
      <c r="AB5655" s="45" t="s">
        <v>22689</v>
      </c>
      <c r="AC5655" s="45"/>
    </row>
    <row r="5656" ht="18.75" customHeight="1">
      <c r="A5656" s="142" t="s">
        <v>22690</v>
      </c>
      <c r="B5656" s="33" t="s">
        <v>4450</v>
      </c>
      <c r="C5656" s="20">
        <v>0.0</v>
      </c>
      <c r="D5656" s="39"/>
      <c r="E5656" s="27" t="s">
        <v>3441</v>
      </c>
      <c r="F5656" s="27" t="s">
        <v>48</v>
      </c>
      <c r="G5656" s="18" t="s">
        <v>35</v>
      </c>
      <c r="H5656" s="40" t="s">
        <v>35</v>
      </c>
      <c r="I5656" s="37" t="s">
        <v>20664</v>
      </c>
      <c r="J5656" s="25" t="s">
        <v>420</v>
      </c>
      <c r="K5656" s="26" t="s">
        <v>38</v>
      </c>
      <c r="L5656" s="25"/>
      <c r="M5656" s="49"/>
      <c r="N5656" s="42"/>
      <c r="O5656" s="68"/>
      <c r="P5656" s="35" t="s">
        <v>22691</v>
      </c>
      <c r="Q5656" s="13" t="s">
        <v>67</v>
      </c>
      <c r="R5656" s="13" t="s">
        <v>67</v>
      </c>
      <c r="S5656" s="13"/>
      <c r="T5656" s="44">
        <v>45944.46806130787</v>
      </c>
      <c r="U5656" s="13"/>
      <c r="V5656" s="13"/>
      <c r="W5656" s="11"/>
      <c r="X5656" s="11"/>
      <c r="Y5656" s="45"/>
      <c r="Z5656" s="45"/>
      <c r="AA5656" s="31"/>
      <c r="AB5656" s="45" t="s">
        <v>22692</v>
      </c>
      <c r="AC5656" s="45"/>
    </row>
    <row r="5657" ht="18.75" customHeight="1">
      <c r="A5657" s="142" t="s">
        <v>22693</v>
      </c>
      <c r="B5657" s="33" t="s">
        <v>8299</v>
      </c>
      <c r="C5657" s="20">
        <v>90.0</v>
      </c>
      <c r="D5657" s="39" t="s">
        <v>22694</v>
      </c>
      <c r="E5657" s="27" t="s">
        <v>91</v>
      </c>
      <c r="F5657" s="27" t="s">
        <v>48</v>
      </c>
      <c r="G5657" s="18" t="s">
        <v>35</v>
      </c>
      <c r="H5657" s="40" t="s">
        <v>35</v>
      </c>
      <c r="I5657" s="37" t="s">
        <v>36</v>
      </c>
      <c r="J5657" s="25" t="s">
        <v>65</v>
      </c>
      <c r="K5657" s="26" t="s">
        <v>38</v>
      </c>
      <c r="L5657" s="25">
        <v>14159.0</v>
      </c>
      <c r="M5657" s="49" t="s">
        <v>50</v>
      </c>
      <c r="N5657" s="42" t="s">
        <v>16408</v>
      </c>
      <c r="O5657" s="67">
        <v>45945.65748554398</v>
      </c>
      <c r="P5657" s="35" t="s">
        <v>14372</v>
      </c>
      <c r="Q5657" s="13" t="s">
        <v>75</v>
      </c>
      <c r="R5657" s="13" t="s">
        <v>75</v>
      </c>
      <c r="S5657" s="13" t="s">
        <v>73</v>
      </c>
      <c r="T5657" s="44">
        <v>45944.4836587037</v>
      </c>
      <c r="U5657" s="44">
        <v>45944.58159289352</v>
      </c>
      <c r="V5657" s="44">
        <v>45945.42891829861</v>
      </c>
      <c r="W5657" s="11"/>
      <c r="X5657" s="11"/>
      <c r="Y5657" s="45">
        <v>302.0</v>
      </c>
      <c r="Z5657" s="45" t="s">
        <v>22695</v>
      </c>
      <c r="AA5657" s="31"/>
      <c r="AB5657" s="45" t="s">
        <v>22696</v>
      </c>
      <c r="AC5657" s="45"/>
    </row>
    <row r="5658" ht="18.75" customHeight="1">
      <c r="A5658" s="142" t="s">
        <v>22697</v>
      </c>
      <c r="B5658" s="33" t="s">
        <v>22183</v>
      </c>
      <c r="C5658" s="20">
        <v>0.0</v>
      </c>
      <c r="D5658" s="39"/>
      <c r="E5658" s="27" t="s">
        <v>3441</v>
      </c>
      <c r="F5658" s="27" t="s">
        <v>48</v>
      </c>
      <c r="G5658" s="18" t="s">
        <v>35</v>
      </c>
      <c r="H5658" s="40" t="s">
        <v>35</v>
      </c>
      <c r="I5658" s="37" t="s">
        <v>18314</v>
      </c>
      <c r="J5658" s="25" t="s">
        <v>65</v>
      </c>
      <c r="K5658" s="26" t="s">
        <v>38</v>
      </c>
      <c r="L5658" s="25"/>
      <c r="M5658" s="49"/>
      <c r="N5658" s="42"/>
      <c r="O5658" s="68"/>
      <c r="P5658" s="35" t="s">
        <v>22698</v>
      </c>
      <c r="Q5658" s="13" t="s">
        <v>75</v>
      </c>
      <c r="R5658" s="13" t="s">
        <v>75</v>
      </c>
      <c r="S5658" s="13" t="s">
        <v>75</v>
      </c>
      <c r="T5658" s="44">
        <v>45944.484422442125</v>
      </c>
      <c r="U5658" s="44">
        <v>45944.64768765046</v>
      </c>
      <c r="V5658" s="13"/>
      <c r="W5658" s="11"/>
      <c r="X5658" s="11"/>
      <c r="Y5658" s="45"/>
      <c r="Z5658" s="45"/>
      <c r="AA5658" s="31"/>
      <c r="AB5658" s="45" t="s">
        <v>22699</v>
      </c>
      <c r="AC5658" s="45"/>
    </row>
    <row r="5659" ht="18.75" customHeight="1">
      <c r="A5659" s="142" t="s">
        <v>22700</v>
      </c>
      <c r="B5659" s="33" t="s">
        <v>22183</v>
      </c>
      <c r="C5659" s="20">
        <v>137.0</v>
      </c>
      <c r="D5659" s="39" t="s">
        <v>22701</v>
      </c>
      <c r="E5659" s="27" t="s">
        <v>85</v>
      </c>
      <c r="F5659" s="27" t="s">
        <v>48</v>
      </c>
      <c r="G5659" s="18" t="s">
        <v>35</v>
      </c>
      <c r="H5659" s="40" t="s">
        <v>35</v>
      </c>
      <c r="I5659" s="37" t="s">
        <v>36</v>
      </c>
      <c r="J5659" s="25" t="s">
        <v>18078</v>
      </c>
      <c r="K5659" s="26" t="s">
        <v>38</v>
      </c>
      <c r="L5659" s="25">
        <v>14166.0</v>
      </c>
      <c r="M5659" s="49" t="s">
        <v>50</v>
      </c>
      <c r="N5659" s="42" t="s">
        <v>17927</v>
      </c>
      <c r="O5659" s="67">
        <v>45946.6869244213</v>
      </c>
      <c r="P5659" s="35" t="s">
        <v>22702</v>
      </c>
      <c r="Q5659" s="13" t="s">
        <v>75</v>
      </c>
      <c r="R5659" s="13" t="s">
        <v>75</v>
      </c>
      <c r="S5659" s="13" t="s">
        <v>73</v>
      </c>
      <c r="T5659" s="44">
        <v>45944.48530550926</v>
      </c>
      <c r="U5659" s="44">
        <v>45945.46397943287</v>
      </c>
      <c r="V5659" s="44">
        <v>45945.54343311343</v>
      </c>
      <c r="W5659" s="11"/>
      <c r="X5659" s="11"/>
      <c r="Y5659" s="45">
        <v>302.0</v>
      </c>
      <c r="Z5659" s="45" t="s">
        <v>22703</v>
      </c>
      <c r="AA5659" s="31"/>
      <c r="AB5659" s="45" t="s">
        <v>22704</v>
      </c>
      <c r="AC5659" s="45"/>
    </row>
    <row r="5660" ht="18.75" customHeight="1">
      <c r="A5660" s="142" t="s">
        <v>22705</v>
      </c>
      <c r="B5660" s="33" t="s">
        <v>7703</v>
      </c>
      <c r="C5660" s="20">
        <v>34.0</v>
      </c>
      <c r="D5660" s="39" t="s">
        <v>22706</v>
      </c>
      <c r="E5660" s="27" t="s">
        <v>47</v>
      </c>
      <c r="F5660" s="27" t="s">
        <v>48</v>
      </c>
      <c r="G5660" s="18" t="s">
        <v>35</v>
      </c>
      <c r="H5660" s="40" t="s">
        <v>35</v>
      </c>
      <c r="I5660" s="37" t="s">
        <v>36</v>
      </c>
      <c r="J5660" s="25" t="s">
        <v>65</v>
      </c>
      <c r="K5660" s="26" t="s">
        <v>38</v>
      </c>
      <c r="L5660" s="25">
        <v>14202.0</v>
      </c>
      <c r="M5660" s="49" t="s">
        <v>50</v>
      </c>
      <c r="N5660" s="42" t="s">
        <v>16408</v>
      </c>
      <c r="O5660" s="67">
        <v>45950.65260702546</v>
      </c>
      <c r="P5660" s="35" t="s">
        <v>22707</v>
      </c>
      <c r="Q5660" s="13" t="s">
        <v>67</v>
      </c>
      <c r="R5660" s="13" t="s">
        <v>67</v>
      </c>
      <c r="S5660" s="13" t="s">
        <v>73</v>
      </c>
      <c r="T5660" s="44">
        <v>45944.587245393515</v>
      </c>
      <c r="U5660" s="44">
        <v>45950.41347482639</v>
      </c>
      <c r="V5660" s="44">
        <v>45950.47084790509</v>
      </c>
      <c r="W5660" s="11"/>
      <c r="X5660" s="11"/>
      <c r="Y5660" s="45">
        <v>302.0</v>
      </c>
      <c r="Z5660" s="45" t="s">
        <v>22708</v>
      </c>
      <c r="AA5660" s="31"/>
      <c r="AB5660" s="45" t="s">
        <v>22709</v>
      </c>
      <c r="AC5660" s="45"/>
    </row>
    <row r="5661" ht="18.75" customHeight="1">
      <c r="A5661" s="18" t="s">
        <v>22710</v>
      </c>
      <c r="B5661" s="33" t="s">
        <v>22711</v>
      </c>
      <c r="C5661" s="20">
        <v>0.0</v>
      </c>
      <c r="D5661" s="39"/>
      <c r="E5661" s="27" t="s">
        <v>7436</v>
      </c>
      <c r="F5661" s="27" t="s">
        <v>33</v>
      </c>
      <c r="G5661" s="18" t="s">
        <v>34</v>
      </c>
      <c r="H5661" s="40" t="s">
        <v>35</v>
      </c>
      <c r="I5661" s="37" t="s">
        <v>22367</v>
      </c>
      <c r="J5661" s="25" t="s">
        <v>518</v>
      </c>
      <c r="K5661" s="26" t="s">
        <v>38</v>
      </c>
      <c r="L5661" s="25"/>
      <c r="M5661" s="49"/>
      <c r="N5661" s="42"/>
      <c r="O5661" s="68"/>
      <c r="P5661" s="35" t="s">
        <v>22712</v>
      </c>
      <c r="Q5661" s="13" t="s">
        <v>67</v>
      </c>
      <c r="R5661" s="13" t="s">
        <v>67</v>
      </c>
      <c r="S5661" s="13"/>
      <c r="T5661" s="44">
        <v>45946.41129703703</v>
      </c>
      <c r="U5661" s="44">
        <v>45947.57974111111</v>
      </c>
      <c r="V5661" s="13"/>
      <c r="W5661" s="11"/>
      <c r="X5661" s="11"/>
      <c r="Y5661" s="45"/>
      <c r="Z5661" s="45"/>
      <c r="AA5661" s="31"/>
      <c r="AB5661" s="45" t="s">
        <v>22713</v>
      </c>
      <c r="AC5661" s="45"/>
    </row>
    <row r="5662" ht="18.75" customHeight="1">
      <c r="A5662" s="18" t="s">
        <v>22714</v>
      </c>
      <c r="B5662" s="33" t="s">
        <v>22711</v>
      </c>
      <c r="C5662" s="20">
        <v>0.0</v>
      </c>
      <c r="D5662" s="179">
        <v>20435.0</v>
      </c>
      <c r="E5662" s="27" t="s">
        <v>21021</v>
      </c>
      <c r="F5662" s="27" t="s">
        <v>33</v>
      </c>
      <c r="G5662" s="18" t="s">
        <v>34</v>
      </c>
      <c r="H5662" s="40" t="s">
        <v>35</v>
      </c>
      <c r="I5662" s="37" t="s">
        <v>22367</v>
      </c>
      <c r="J5662" s="25" t="s">
        <v>518</v>
      </c>
      <c r="K5662" s="26" t="s">
        <v>38</v>
      </c>
      <c r="L5662" s="25"/>
      <c r="M5662" s="49"/>
      <c r="N5662" s="42"/>
      <c r="O5662" s="68"/>
      <c r="P5662" s="35" t="s">
        <v>22712</v>
      </c>
      <c r="Q5662" s="13" t="s">
        <v>67</v>
      </c>
      <c r="R5662" s="13" t="s">
        <v>67</v>
      </c>
      <c r="S5662" s="13" t="s">
        <v>67</v>
      </c>
      <c r="T5662" s="44">
        <v>45946.41149349537</v>
      </c>
      <c r="U5662" s="44">
        <v>45947.57978321759</v>
      </c>
      <c r="V5662" s="13"/>
      <c r="W5662" s="11"/>
      <c r="X5662" s="11"/>
      <c r="Y5662" s="45"/>
      <c r="Z5662" s="45"/>
      <c r="AA5662" s="31"/>
      <c r="AB5662" s="45" t="s">
        <v>22715</v>
      </c>
      <c r="AC5662" s="45"/>
    </row>
    <row r="5663" ht="18.75" customHeight="1">
      <c r="A5663" s="142" t="s">
        <v>22716</v>
      </c>
      <c r="B5663" s="33" t="s">
        <v>17025</v>
      </c>
      <c r="C5663" s="20">
        <v>137.0</v>
      </c>
      <c r="D5663" s="39" t="s">
        <v>22717</v>
      </c>
      <c r="E5663" s="27" t="s">
        <v>85</v>
      </c>
      <c r="F5663" s="27" t="s">
        <v>48</v>
      </c>
      <c r="G5663" s="18" t="s">
        <v>35</v>
      </c>
      <c r="H5663" s="40" t="s">
        <v>35</v>
      </c>
      <c r="I5663" s="37" t="s">
        <v>36</v>
      </c>
      <c r="J5663" s="25" t="s">
        <v>49</v>
      </c>
      <c r="K5663" s="26" t="s">
        <v>38</v>
      </c>
      <c r="L5663" s="25">
        <v>14167.0</v>
      </c>
      <c r="M5663" s="49" t="s">
        <v>50</v>
      </c>
      <c r="N5663" s="42" t="s">
        <v>18561</v>
      </c>
      <c r="O5663" s="67">
        <v>45945.612920405096</v>
      </c>
      <c r="P5663" s="35" t="s">
        <v>15594</v>
      </c>
      <c r="Q5663" s="13" t="s">
        <v>75</v>
      </c>
      <c r="R5663" s="13" t="s">
        <v>75</v>
      </c>
      <c r="S5663" s="13" t="s">
        <v>73</v>
      </c>
      <c r="T5663" s="44">
        <v>45945.461176956014</v>
      </c>
      <c r="U5663" s="44">
        <v>45945.49030471065</v>
      </c>
      <c r="V5663" s="44">
        <v>45945.545307685185</v>
      </c>
      <c r="W5663" s="11"/>
      <c r="X5663" s="11"/>
      <c r="Y5663" s="45">
        <v>302.0</v>
      </c>
      <c r="Z5663" s="45" t="s">
        <v>22718</v>
      </c>
      <c r="AA5663" s="31"/>
      <c r="AB5663" s="45" t="s">
        <v>22719</v>
      </c>
      <c r="AC5663" s="45"/>
    </row>
    <row r="5664" ht="18.75" customHeight="1">
      <c r="A5664" s="142" t="s">
        <v>22720</v>
      </c>
      <c r="B5664" s="33" t="s">
        <v>8666</v>
      </c>
      <c r="C5664" s="20">
        <v>0.0</v>
      </c>
      <c r="D5664" s="220" t="s">
        <v>22721</v>
      </c>
      <c r="E5664" s="27" t="s">
        <v>135</v>
      </c>
      <c r="F5664" s="27" t="s">
        <v>48</v>
      </c>
      <c r="G5664" s="18" t="s">
        <v>35</v>
      </c>
      <c r="H5664" s="40" t="s">
        <v>35</v>
      </c>
      <c r="I5664" s="37" t="s">
        <v>22367</v>
      </c>
      <c r="J5664" s="25" t="s">
        <v>49</v>
      </c>
      <c r="K5664" s="26" t="s">
        <v>38</v>
      </c>
      <c r="L5664" s="25"/>
      <c r="M5664" s="49"/>
      <c r="N5664" s="42"/>
      <c r="O5664" s="68"/>
      <c r="P5664" s="35" t="s">
        <v>15666</v>
      </c>
      <c r="Q5664" s="13" t="s">
        <v>75</v>
      </c>
      <c r="R5664" s="13" t="s">
        <v>75</v>
      </c>
      <c r="S5664" s="13"/>
      <c r="T5664" s="44">
        <v>45945.439624293984</v>
      </c>
      <c r="U5664" s="44">
        <v>45945.700677719906</v>
      </c>
      <c r="V5664" s="13"/>
      <c r="W5664" s="11"/>
      <c r="X5664" s="11"/>
      <c r="Y5664" s="45"/>
      <c r="Z5664" s="45"/>
      <c r="AA5664" s="31"/>
      <c r="AB5664" s="45" t="s">
        <v>22722</v>
      </c>
      <c r="AC5664" s="45"/>
    </row>
    <row r="5665" ht="18.75" customHeight="1">
      <c r="A5665" s="142" t="s">
        <v>22723</v>
      </c>
      <c r="B5665" s="33" t="s">
        <v>96</v>
      </c>
      <c r="C5665" s="20">
        <v>0.0</v>
      </c>
      <c r="D5665" s="179">
        <v>20397.0</v>
      </c>
      <c r="E5665" s="27" t="s">
        <v>165</v>
      </c>
      <c r="F5665" s="27" t="s">
        <v>33</v>
      </c>
      <c r="G5665" s="18" t="s">
        <v>34</v>
      </c>
      <c r="H5665" s="40" t="s">
        <v>35</v>
      </c>
      <c r="I5665" s="37" t="s">
        <v>18148</v>
      </c>
      <c r="J5665" s="25" t="s">
        <v>49</v>
      </c>
      <c r="K5665" s="26" t="s">
        <v>38</v>
      </c>
      <c r="L5665" s="25"/>
      <c r="M5665" s="49"/>
      <c r="N5665" s="42"/>
      <c r="O5665" s="68"/>
      <c r="P5665" s="35" t="s">
        <v>22724</v>
      </c>
      <c r="Q5665" s="13" t="s">
        <v>75</v>
      </c>
      <c r="R5665" s="13" t="s">
        <v>75</v>
      </c>
      <c r="S5665" s="13" t="s">
        <v>9620</v>
      </c>
      <c r="T5665" s="44">
        <v>45945.44227042824</v>
      </c>
      <c r="U5665" s="44">
        <v>45945.48690354166</v>
      </c>
      <c r="V5665" s="44">
        <v>45951.41031813658</v>
      </c>
      <c r="W5665" s="11"/>
      <c r="X5665" s="11"/>
      <c r="Y5665" s="45">
        <v>302.0</v>
      </c>
      <c r="Z5665" s="45" t="s">
        <v>22725</v>
      </c>
      <c r="AA5665" s="31"/>
      <c r="AB5665" s="45" t="s">
        <v>22726</v>
      </c>
      <c r="AC5665" s="45"/>
    </row>
    <row r="5666" ht="18.75" customHeight="1">
      <c r="A5666" s="18" t="s">
        <v>22727</v>
      </c>
      <c r="B5666" s="33" t="s">
        <v>17819</v>
      </c>
      <c r="C5666" s="20">
        <v>33.0</v>
      </c>
      <c r="D5666" s="39"/>
      <c r="E5666" s="27" t="s">
        <v>6133</v>
      </c>
      <c r="F5666" s="27" t="s">
        <v>48</v>
      </c>
      <c r="G5666" s="18" t="s">
        <v>35</v>
      </c>
      <c r="H5666" s="40" t="s">
        <v>35</v>
      </c>
      <c r="I5666" s="37" t="s">
        <v>17277</v>
      </c>
      <c r="J5666" s="25" t="s">
        <v>92</v>
      </c>
      <c r="K5666" s="26" t="s">
        <v>38</v>
      </c>
      <c r="L5666" s="25"/>
      <c r="M5666" s="49"/>
      <c r="N5666" s="42"/>
      <c r="O5666" s="68"/>
      <c r="P5666" s="26" t="s">
        <v>22073</v>
      </c>
      <c r="Q5666" s="13" t="s">
        <v>75</v>
      </c>
      <c r="R5666" s="13"/>
      <c r="S5666" s="13" t="s">
        <v>75</v>
      </c>
      <c r="T5666" s="44">
        <v>45945.44663423611</v>
      </c>
      <c r="U5666" s="13"/>
      <c r="V5666" s="13"/>
      <c r="W5666" s="11"/>
      <c r="X5666" s="11"/>
      <c r="Y5666" s="45"/>
      <c r="Z5666" s="45"/>
      <c r="AA5666" s="31"/>
      <c r="AB5666" s="45" t="s">
        <v>22728</v>
      </c>
      <c r="AC5666" s="45"/>
    </row>
    <row r="5667" ht="18.75" customHeight="1">
      <c r="A5667" s="18" t="s">
        <v>22729</v>
      </c>
      <c r="B5667" s="33" t="s">
        <v>17819</v>
      </c>
      <c r="C5667" s="20">
        <v>33.0</v>
      </c>
      <c r="D5667" s="39"/>
      <c r="E5667" s="27" t="s">
        <v>6133</v>
      </c>
      <c r="F5667" s="27" t="s">
        <v>48</v>
      </c>
      <c r="G5667" s="18" t="s">
        <v>35</v>
      </c>
      <c r="H5667" s="40" t="s">
        <v>35</v>
      </c>
      <c r="I5667" s="37" t="s">
        <v>17277</v>
      </c>
      <c r="J5667" s="25" t="s">
        <v>92</v>
      </c>
      <c r="K5667" s="26" t="s">
        <v>38</v>
      </c>
      <c r="L5667" s="25"/>
      <c r="M5667" s="49"/>
      <c r="N5667" s="42"/>
      <c r="O5667" s="68"/>
      <c r="P5667" s="26" t="s">
        <v>22073</v>
      </c>
      <c r="Q5667" s="13" t="s">
        <v>75</v>
      </c>
      <c r="R5667" s="13" t="s">
        <v>75</v>
      </c>
      <c r="S5667" s="13" t="s">
        <v>75</v>
      </c>
      <c r="T5667" s="44">
        <v>45945.44673297454</v>
      </c>
      <c r="U5667" s="13"/>
      <c r="V5667" s="13"/>
      <c r="W5667" s="11"/>
      <c r="X5667" s="11"/>
      <c r="Y5667" s="45"/>
      <c r="Z5667" s="45"/>
      <c r="AA5667" s="31"/>
      <c r="AB5667" s="45" t="s">
        <v>22730</v>
      </c>
      <c r="AC5667" s="45"/>
    </row>
    <row r="5668" ht="18.75" customHeight="1">
      <c r="A5668" s="18" t="s">
        <v>22731</v>
      </c>
      <c r="B5668" s="33" t="s">
        <v>17819</v>
      </c>
      <c r="C5668" s="20">
        <v>40.0</v>
      </c>
      <c r="D5668" s="39"/>
      <c r="E5668" s="27" t="s">
        <v>22732</v>
      </c>
      <c r="F5668" s="27" t="s">
        <v>19953</v>
      </c>
      <c r="G5668" s="18" t="s">
        <v>35</v>
      </c>
      <c r="H5668" s="40" t="s">
        <v>35</v>
      </c>
      <c r="I5668" s="37" t="s">
        <v>17277</v>
      </c>
      <c r="J5668" s="25" t="s">
        <v>92</v>
      </c>
      <c r="K5668" s="26" t="s">
        <v>38</v>
      </c>
      <c r="L5668" s="25"/>
      <c r="M5668" s="49"/>
      <c r="N5668" s="42"/>
      <c r="O5668" s="68"/>
      <c r="P5668" s="26" t="s">
        <v>22073</v>
      </c>
      <c r="Q5668" s="13" t="s">
        <v>75</v>
      </c>
      <c r="R5668" s="13" t="s">
        <v>75</v>
      </c>
      <c r="S5668" s="13"/>
      <c r="T5668" s="44">
        <v>45945.45346862268</v>
      </c>
      <c r="U5668" s="13"/>
      <c r="V5668" s="13"/>
      <c r="W5668" s="11"/>
      <c r="X5668" s="11"/>
      <c r="Y5668" s="45"/>
      <c r="Z5668" s="45"/>
      <c r="AA5668" s="31"/>
      <c r="AB5668" s="45" t="s">
        <v>22733</v>
      </c>
      <c r="AC5668" s="45"/>
    </row>
    <row r="5669" ht="18.75" customHeight="1">
      <c r="A5669" s="18" t="s">
        <v>22734</v>
      </c>
      <c r="B5669" s="33" t="s">
        <v>17819</v>
      </c>
      <c r="C5669" s="20">
        <v>40.0</v>
      </c>
      <c r="D5669" s="39"/>
      <c r="E5669" s="27" t="s">
        <v>22732</v>
      </c>
      <c r="F5669" s="27" t="s">
        <v>19953</v>
      </c>
      <c r="G5669" s="18" t="s">
        <v>35</v>
      </c>
      <c r="H5669" s="40" t="s">
        <v>35</v>
      </c>
      <c r="I5669" s="37" t="s">
        <v>17277</v>
      </c>
      <c r="J5669" s="25" t="s">
        <v>92</v>
      </c>
      <c r="K5669" s="26" t="s">
        <v>38</v>
      </c>
      <c r="L5669" s="25"/>
      <c r="M5669" s="49"/>
      <c r="N5669" s="42"/>
      <c r="O5669" s="68"/>
      <c r="P5669" s="26" t="s">
        <v>22073</v>
      </c>
      <c r="Q5669" s="13" t="s">
        <v>75</v>
      </c>
      <c r="R5669" s="13" t="s">
        <v>75</v>
      </c>
      <c r="S5669" s="13" t="s">
        <v>75</v>
      </c>
      <c r="T5669" s="44">
        <v>45945.45358954861</v>
      </c>
      <c r="U5669" s="13"/>
      <c r="V5669" s="13"/>
      <c r="W5669" s="11"/>
      <c r="X5669" s="11"/>
      <c r="Y5669" s="45"/>
      <c r="Z5669" s="45"/>
      <c r="AA5669" s="31"/>
      <c r="AB5669" s="45" t="s">
        <v>22735</v>
      </c>
      <c r="AC5669" s="45"/>
    </row>
    <row r="5670" ht="18.75" customHeight="1">
      <c r="A5670" s="142" t="s">
        <v>22736</v>
      </c>
      <c r="B5670" s="33" t="s">
        <v>22737</v>
      </c>
      <c r="C5670" s="20">
        <v>0.0</v>
      </c>
      <c r="D5670" s="39"/>
      <c r="E5670" s="27" t="s">
        <v>12405</v>
      </c>
      <c r="F5670" s="27" t="s">
        <v>48</v>
      </c>
      <c r="G5670" s="18" t="s">
        <v>35</v>
      </c>
      <c r="H5670" s="40" t="s">
        <v>35</v>
      </c>
      <c r="I5670" s="37" t="s">
        <v>22367</v>
      </c>
      <c r="J5670" s="25" t="s">
        <v>65</v>
      </c>
      <c r="K5670" s="26" t="s">
        <v>38</v>
      </c>
      <c r="L5670" s="25"/>
      <c r="M5670" s="49"/>
      <c r="N5670" s="42"/>
      <c r="O5670" s="68"/>
      <c r="P5670" s="35" t="s">
        <v>14372</v>
      </c>
      <c r="Q5670" s="13" t="s">
        <v>75</v>
      </c>
      <c r="R5670" s="13" t="s">
        <v>75</v>
      </c>
      <c r="S5670" s="13"/>
      <c r="T5670" s="44">
        <v>45945.45464902778</v>
      </c>
      <c r="U5670" s="44">
        <v>45951.700741469904</v>
      </c>
      <c r="V5670" s="13"/>
      <c r="W5670" s="11"/>
      <c r="X5670" s="11"/>
      <c r="Y5670" s="45"/>
      <c r="Z5670" s="45"/>
      <c r="AA5670" s="31"/>
      <c r="AB5670" s="45" t="s">
        <v>22738</v>
      </c>
      <c r="AC5670" s="45"/>
    </row>
    <row r="5671" ht="18.75" customHeight="1">
      <c r="A5671" s="142" t="s">
        <v>22739</v>
      </c>
      <c r="B5671" s="33" t="s">
        <v>22613</v>
      </c>
      <c r="C5671" s="20">
        <v>34.0</v>
      </c>
      <c r="D5671" s="39"/>
      <c r="E5671" s="27" t="s">
        <v>47</v>
      </c>
      <c r="F5671" s="27" t="s">
        <v>48</v>
      </c>
      <c r="G5671" s="18" t="s">
        <v>35</v>
      </c>
      <c r="H5671" s="40" t="s">
        <v>35</v>
      </c>
      <c r="I5671" s="37" t="s">
        <v>17277</v>
      </c>
      <c r="J5671" s="25" t="s">
        <v>92</v>
      </c>
      <c r="K5671" s="26" t="s">
        <v>38</v>
      </c>
      <c r="L5671" s="25"/>
      <c r="M5671" s="49"/>
      <c r="N5671" s="42"/>
      <c r="O5671" s="68"/>
      <c r="P5671" s="35" t="s">
        <v>22740</v>
      </c>
      <c r="Q5671" s="13" t="s">
        <v>75</v>
      </c>
      <c r="R5671" s="13" t="s">
        <v>75</v>
      </c>
      <c r="S5671" s="13"/>
      <c r="T5671" s="44">
        <v>45945.459885625</v>
      </c>
      <c r="U5671" s="13"/>
      <c r="V5671" s="13"/>
      <c r="W5671" s="11"/>
      <c r="X5671" s="11"/>
      <c r="Y5671" s="45"/>
      <c r="Z5671" s="45"/>
      <c r="AA5671" s="31"/>
      <c r="AB5671" s="45" t="s">
        <v>22741</v>
      </c>
      <c r="AC5671" s="45"/>
    </row>
    <row r="5672" ht="18.75" customHeight="1">
      <c r="A5672" s="142" t="s">
        <v>22742</v>
      </c>
      <c r="B5672" s="33" t="s">
        <v>22743</v>
      </c>
      <c r="C5672" s="20">
        <v>90.0</v>
      </c>
      <c r="D5672" s="39" t="s">
        <v>22744</v>
      </c>
      <c r="E5672" s="27" t="s">
        <v>91</v>
      </c>
      <c r="F5672" s="27" t="s">
        <v>48</v>
      </c>
      <c r="G5672" s="18" t="s">
        <v>35</v>
      </c>
      <c r="H5672" s="40" t="s">
        <v>35</v>
      </c>
      <c r="I5672" s="37" t="s">
        <v>36</v>
      </c>
      <c r="J5672" s="25" t="s">
        <v>49</v>
      </c>
      <c r="K5672" s="26" t="s">
        <v>22745</v>
      </c>
      <c r="L5672" s="25">
        <v>14180.0</v>
      </c>
      <c r="M5672" s="49" t="s">
        <v>50</v>
      </c>
      <c r="N5672" s="42" t="s">
        <v>17048</v>
      </c>
      <c r="O5672" s="67">
        <v>45947.67831099537</v>
      </c>
      <c r="P5672" s="35" t="s">
        <v>22746</v>
      </c>
      <c r="Q5672" s="13" t="s">
        <v>67</v>
      </c>
      <c r="R5672" s="13" t="s">
        <v>67</v>
      </c>
      <c r="S5672" s="13" t="s">
        <v>73</v>
      </c>
      <c r="T5672" s="44">
        <v>45945.425502199076</v>
      </c>
      <c r="U5672" s="44">
        <v>45946.6382843287</v>
      </c>
      <c r="V5672" s="44">
        <v>45947.43083616898</v>
      </c>
      <c r="W5672" s="11"/>
      <c r="X5672" s="11"/>
      <c r="Y5672" s="45">
        <v>302.0</v>
      </c>
      <c r="Z5672" s="45" t="s">
        <v>22747</v>
      </c>
      <c r="AA5672" s="31"/>
      <c r="AB5672" s="45" t="s">
        <v>22748</v>
      </c>
      <c r="AC5672" s="45"/>
    </row>
    <row r="5673" ht="18.75" customHeight="1">
      <c r="A5673" s="142" t="s">
        <v>22749</v>
      </c>
      <c r="B5673" s="33" t="s">
        <v>17819</v>
      </c>
      <c r="C5673" s="20">
        <v>27.0</v>
      </c>
      <c r="D5673" s="39" t="s">
        <v>22750</v>
      </c>
      <c r="E5673" s="27" t="s">
        <v>72</v>
      </c>
      <c r="F5673" s="27" t="s">
        <v>48</v>
      </c>
      <c r="G5673" s="18" t="s">
        <v>35</v>
      </c>
      <c r="H5673" s="40" t="s">
        <v>35</v>
      </c>
      <c r="I5673" s="37" t="s">
        <v>36</v>
      </c>
      <c r="J5673" s="25" t="s">
        <v>92</v>
      </c>
      <c r="K5673" s="26" t="s">
        <v>38</v>
      </c>
      <c r="L5673" s="25">
        <v>14169.0</v>
      </c>
      <c r="M5673" s="49" t="s">
        <v>50</v>
      </c>
      <c r="N5673" s="42" t="s">
        <v>7145</v>
      </c>
      <c r="O5673" s="67">
        <v>45945.58988090278</v>
      </c>
      <c r="P5673" s="26" t="s">
        <v>22073</v>
      </c>
      <c r="Q5673" s="13" t="s">
        <v>75</v>
      </c>
      <c r="R5673" s="13" t="s">
        <v>75</v>
      </c>
      <c r="S5673" s="13" t="s">
        <v>73</v>
      </c>
      <c r="T5673" s="44">
        <v>45945.49506046296</v>
      </c>
      <c r="U5673" s="44">
        <v>45945.4950934838</v>
      </c>
      <c r="V5673" s="44">
        <v>45945.59939523148</v>
      </c>
      <c r="W5673" s="11"/>
      <c r="X5673" s="11"/>
      <c r="Y5673" s="207">
        <v>302.0</v>
      </c>
      <c r="Z5673" s="45" t="s">
        <v>22751</v>
      </c>
      <c r="AA5673" s="31"/>
      <c r="AB5673" s="45" t="s">
        <v>22752</v>
      </c>
      <c r="AC5673" s="45"/>
    </row>
    <row r="5674" ht="18.75" customHeight="1">
      <c r="A5674" s="142" t="s">
        <v>22753</v>
      </c>
      <c r="B5674" s="33" t="s">
        <v>530</v>
      </c>
      <c r="C5674" s="20">
        <v>34.0</v>
      </c>
      <c r="D5674" s="39" t="s">
        <v>22754</v>
      </c>
      <c r="E5674" s="27" t="s">
        <v>47</v>
      </c>
      <c r="F5674" s="27" t="s">
        <v>48</v>
      </c>
      <c r="G5674" s="18" t="s">
        <v>35</v>
      </c>
      <c r="H5674" s="40" t="s">
        <v>35</v>
      </c>
      <c r="I5674" s="37" t="s">
        <v>36</v>
      </c>
      <c r="J5674" s="25" t="s">
        <v>92</v>
      </c>
      <c r="K5674" s="26" t="s">
        <v>38</v>
      </c>
      <c r="L5674" s="25">
        <v>14170.0</v>
      </c>
      <c r="M5674" s="49" t="s">
        <v>50</v>
      </c>
      <c r="N5674" s="42" t="s">
        <v>4767</v>
      </c>
      <c r="O5674" s="67">
        <v>45945.60169943287</v>
      </c>
      <c r="P5674" s="35" t="s">
        <v>22755</v>
      </c>
      <c r="Q5674" s="13" t="s">
        <v>6028</v>
      </c>
      <c r="R5674" s="13" t="s">
        <v>6028</v>
      </c>
      <c r="S5674" s="13" t="s">
        <v>73</v>
      </c>
      <c r="T5674" s="44">
        <v>45945.59022603009</v>
      </c>
      <c r="U5674" s="44">
        <v>45945.59608383102</v>
      </c>
      <c r="V5674" s="44">
        <v>45945.59946640047</v>
      </c>
      <c r="W5674" s="11"/>
      <c r="X5674" s="11"/>
      <c r="Y5674" s="45">
        <v>302.0</v>
      </c>
      <c r="Z5674" s="45" t="s">
        <v>22756</v>
      </c>
      <c r="AA5674" s="31"/>
      <c r="AB5674" s="45" t="s">
        <v>22757</v>
      </c>
      <c r="AC5674" s="45"/>
    </row>
    <row r="5675" ht="18.75" customHeight="1">
      <c r="A5675" s="18" t="s">
        <v>22758</v>
      </c>
      <c r="B5675" s="33" t="s">
        <v>4147</v>
      </c>
      <c r="C5675" s="20">
        <v>0.0</v>
      </c>
      <c r="D5675" s="39"/>
      <c r="E5675" s="27" t="s">
        <v>135</v>
      </c>
      <c r="F5675" s="27" t="s">
        <v>48</v>
      </c>
      <c r="G5675" s="18" t="s">
        <v>35</v>
      </c>
      <c r="H5675" s="40" t="s">
        <v>35</v>
      </c>
      <c r="I5675" s="37" t="s">
        <v>22367</v>
      </c>
      <c r="J5675" s="25" t="s">
        <v>49</v>
      </c>
      <c r="K5675" s="26" t="s">
        <v>38</v>
      </c>
      <c r="L5675" s="25"/>
      <c r="M5675" s="49"/>
      <c r="N5675" s="42"/>
      <c r="O5675" s="68"/>
      <c r="P5675" s="35" t="s">
        <v>15594</v>
      </c>
      <c r="Q5675" s="13" t="s">
        <v>75</v>
      </c>
      <c r="R5675" s="13" t="s">
        <v>75</v>
      </c>
      <c r="S5675" s="13"/>
      <c r="T5675" s="44">
        <v>45946.41037866898</v>
      </c>
      <c r="U5675" s="44">
        <v>45947.64368797454</v>
      </c>
      <c r="V5675" s="13"/>
      <c r="W5675" s="11"/>
      <c r="X5675" s="11"/>
      <c r="Y5675" s="45"/>
      <c r="Z5675" s="45"/>
      <c r="AA5675" s="31"/>
      <c r="AB5675" s="45" t="s">
        <v>22759</v>
      </c>
      <c r="AC5675" s="45"/>
    </row>
    <row r="5676" ht="18.75" customHeight="1">
      <c r="A5676" s="18" t="s">
        <v>22760</v>
      </c>
      <c r="B5676" s="33" t="s">
        <v>4147</v>
      </c>
      <c r="C5676" s="20">
        <v>0.0</v>
      </c>
      <c r="D5676" s="39"/>
      <c r="E5676" s="27" t="s">
        <v>135</v>
      </c>
      <c r="F5676" s="27" t="s">
        <v>48</v>
      </c>
      <c r="G5676" s="18" t="s">
        <v>35</v>
      </c>
      <c r="H5676" s="40" t="s">
        <v>35</v>
      </c>
      <c r="I5676" s="37" t="s">
        <v>22367</v>
      </c>
      <c r="J5676" s="25" t="s">
        <v>49</v>
      </c>
      <c r="K5676" s="26" t="s">
        <v>38</v>
      </c>
      <c r="L5676" s="25"/>
      <c r="M5676" s="49"/>
      <c r="N5676" s="42"/>
      <c r="O5676" s="68"/>
      <c r="P5676" s="35" t="s">
        <v>15594</v>
      </c>
      <c r="Q5676" s="13" t="s">
        <v>75</v>
      </c>
      <c r="R5676" s="13" t="s">
        <v>75</v>
      </c>
      <c r="S5676" s="13" t="s">
        <v>75</v>
      </c>
      <c r="T5676" s="44">
        <v>45946.410537511576</v>
      </c>
      <c r="U5676" s="44">
        <v>45947.64371844908</v>
      </c>
      <c r="V5676" s="13"/>
      <c r="W5676" s="11"/>
      <c r="X5676" s="11"/>
      <c r="Y5676" s="45"/>
      <c r="Z5676" s="45"/>
      <c r="AA5676" s="31"/>
      <c r="AB5676" s="45" t="s">
        <v>22761</v>
      </c>
      <c r="AC5676" s="45"/>
    </row>
    <row r="5677" ht="18.75" customHeight="1">
      <c r="A5677" s="142" t="s">
        <v>22762</v>
      </c>
      <c r="B5677" s="33" t="s">
        <v>2138</v>
      </c>
      <c r="C5677" s="20">
        <v>0.0</v>
      </c>
      <c r="D5677" s="39"/>
      <c r="E5677" s="27" t="s">
        <v>3441</v>
      </c>
      <c r="F5677" s="27" t="s">
        <v>48</v>
      </c>
      <c r="G5677" s="18" t="s">
        <v>35</v>
      </c>
      <c r="H5677" s="40" t="s">
        <v>35</v>
      </c>
      <c r="I5677" s="37" t="s">
        <v>18314</v>
      </c>
      <c r="J5677" s="25" t="s">
        <v>65</v>
      </c>
      <c r="K5677" s="26" t="s">
        <v>38</v>
      </c>
      <c r="L5677" s="25"/>
      <c r="M5677" s="49"/>
      <c r="N5677" s="42"/>
      <c r="O5677" s="68"/>
      <c r="P5677" s="35" t="s">
        <v>22763</v>
      </c>
      <c r="Q5677" s="13" t="s">
        <v>75</v>
      </c>
      <c r="R5677" s="13" t="s">
        <v>75</v>
      </c>
      <c r="S5677" s="13"/>
      <c r="T5677" s="44">
        <v>45946.464666932865</v>
      </c>
      <c r="U5677" s="44">
        <v>45946.464719282405</v>
      </c>
      <c r="V5677" s="13"/>
      <c r="W5677" s="11"/>
      <c r="X5677" s="11"/>
      <c r="Y5677" s="45"/>
      <c r="Z5677" s="45"/>
      <c r="AA5677" s="31"/>
      <c r="AB5677" s="45" t="s">
        <v>22764</v>
      </c>
      <c r="AC5677" s="45"/>
    </row>
    <row r="5678" ht="18.75" customHeight="1">
      <c r="A5678" s="142" t="s">
        <v>22765</v>
      </c>
      <c r="B5678" s="33" t="s">
        <v>2138</v>
      </c>
      <c r="C5678" s="20">
        <v>0.0</v>
      </c>
      <c r="D5678" s="39"/>
      <c r="E5678" s="27" t="s">
        <v>12405</v>
      </c>
      <c r="F5678" s="27" t="s">
        <v>48</v>
      </c>
      <c r="G5678" s="18" t="s">
        <v>35</v>
      </c>
      <c r="H5678" s="40" t="s">
        <v>35</v>
      </c>
      <c r="I5678" s="37" t="s">
        <v>17277</v>
      </c>
      <c r="J5678" s="25" t="s">
        <v>65</v>
      </c>
      <c r="K5678" s="26" t="s">
        <v>38</v>
      </c>
      <c r="L5678" s="25"/>
      <c r="M5678" s="49"/>
      <c r="N5678" s="42"/>
      <c r="O5678" s="68"/>
      <c r="P5678" s="35" t="s">
        <v>15829</v>
      </c>
      <c r="Q5678" s="13" t="s">
        <v>75</v>
      </c>
      <c r="R5678" s="13" t="s">
        <v>75</v>
      </c>
      <c r="S5678" s="13"/>
      <c r="T5678" s="44">
        <v>45946.41261155093</v>
      </c>
      <c r="U5678" s="13"/>
      <c r="V5678" s="13"/>
      <c r="W5678" s="11"/>
      <c r="X5678" s="11"/>
      <c r="Y5678" s="45"/>
      <c r="Z5678" s="45"/>
      <c r="AA5678" s="31"/>
      <c r="AB5678" s="45" t="s">
        <v>22766</v>
      </c>
      <c r="AC5678" s="45"/>
    </row>
    <row r="5679" ht="18.75" customHeight="1">
      <c r="A5679" s="142" t="s">
        <v>22767</v>
      </c>
      <c r="B5679" s="33" t="s">
        <v>13005</v>
      </c>
      <c r="C5679" s="20">
        <v>11.0</v>
      </c>
      <c r="D5679" s="39" t="s">
        <v>22768</v>
      </c>
      <c r="E5679" s="27" t="s">
        <v>112</v>
      </c>
      <c r="F5679" s="27" t="s">
        <v>48</v>
      </c>
      <c r="G5679" s="18" t="s">
        <v>35</v>
      </c>
      <c r="H5679" s="40" t="s">
        <v>35</v>
      </c>
      <c r="I5679" s="37" t="s">
        <v>36</v>
      </c>
      <c r="J5679" s="25" t="s">
        <v>49</v>
      </c>
      <c r="K5679" s="26" t="s">
        <v>21926</v>
      </c>
      <c r="L5679" s="25">
        <v>14200.0</v>
      </c>
      <c r="M5679" s="49" t="s">
        <v>50</v>
      </c>
      <c r="N5679" s="42" t="s">
        <v>9953</v>
      </c>
      <c r="O5679" s="67">
        <v>45950.65405532408</v>
      </c>
      <c r="P5679" s="26"/>
      <c r="Q5679" s="13" t="s">
        <v>67</v>
      </c>
      <c r="R5679" s="13" t="s">
        <v>67</v>
      </c>
      <c r="S5679" s="13" t="s">
        <v>73</v>
      </c>
      <c r="T5679" s="44">
        <v>45946.39780368056</v>
      </c>
      <c r="U5679" s="44">
        <v>45946.47166248843</v>
      </c>
      <c r="V5679" s="44">
        <v>45950.46655747685</v>
      </c>
      <c r="W5679" s="11"/>
      <c r="X5679" s="11"/>
      <c r="Y5679" s="45">
        <v>302.0</v>
      </c>
      <c r="Z5679" s="45" t="s">
        <v>22769</v>
      </c>
      <c r="AA5679" s="31"/>
      <c r="AB5679" s="45" t="s">
        <v>22770</v>
      </c>
      <c r="AC5679" s="45"/>
    </row>
    <row r="5680" ht="18.75" customHeight="1">
      <c r="A5680" s="18" t="s">
        <v>22771</v>
      </c>
      <c r="B5680" s="33" t="s">
        <v>3289</v>
      </c>
      <c r="C5680" s="20">
        <v>0.0</v>
      </c>
      <c r="D5680" s="179">
        <v>20385.0</v>
      </c>
      <c r="E5680" s="27" t="s">
        <v>13303</v>
      </c>
      <c r="F5680" s="27" t="s">
        <v>48</v>
      </c>
      <c r="G5680" s="18" t="s">
        <v>35</v>
      </c>
      <c r="H5680" s="40" t="s">
        <v>35</v>
      </c>
      <c r="I5680" s="24" t="s">
        <v>22388</v>
      </c>
      <c r="J5680" s="25" t="s">
        <v>92</v>
      </c>
      <c r="K5680" s="26" t="s">
        <v>38</v>
      </c>
      <c r="L5680" s="25"/>
      <c r="M5680" s="49"/>
      <c r="N5680" s="42"/>
      <c r="O5680" s="68"/>
      <c r="P5680" s="35" t="s">
        <v>22772</v>
      </c>
      <c r="Q5680" s="13" t="s">
        <v>67</v>
      </c>
      <c r="R5680" s="13" t="s">
        <v>67</v>
      </c>
      <c r="S5680" s="13"/>
      <c r="T5680" s="44">
        <v>45946.39882746528</v>
      </c>
      <c r="U5680" s="44">
        <v>45947.40969672454</v>
      </c>
      <c r="V5680" s="13"/>
      <c r="W5680" s="11"/>
      <c r="X5680" s="11"/>
      <c r="Y5680" s="45"/>
      <c r="Z5680" s="45"/>
      <c r="AA5680" s="31"/>
      <c r="AB5680" s="45" t="s">
        <v>22773</v>
      </c>
      <c r="AC5680" s="45"/>
    </row>
    <row r="5681" ht="18.75" customHeight="1">
      <c r="A5681" s="18" t="s">
        <v>22774</v>
      </c>
      <c r="B5681" s="33" t="s">
        <v>3289</v>
      </c>
      <c r="C5681" s="20">
        <v>0.0</v>
      </c>
      <c r="D5681" s="39"/>
      <c r="E5681" s="27" t="s">
        <v>13303</v>
      </c>
      <c r="F5681" s="27" t="s">
        <v>48</v>
      </c>
      <c r="G5681" s="18" t="s">
        <v>35</v>
      </c>
      <c r="H5681" s="40" t="s">
        <v>35</v>
      </c>
      <c r="I5681" s="37" t="s">
        <v>22367</v>
      </c>
      <c r="J5681" s="25" t="s">
        <v>92</v>
      </c>
      <c r="K5681" s="26" t="s">
        <v>38</v>
      </c>
      <c r="L5681" s="25"/>
      <c r="M5681" s="49"/>
      <c r="N5681" s="42"/>
      <c r="O5681" s="68"/>
      <c r="P5681" s="35" t="s">
        <v>22772</v>
      </c>
      <c r="Q5681" s="13" t="s">
        <v>67</v>
      </c>
      <c r="R5681" s="13" t="s">
        <v>67</v>
      </c>
      <c r="S5681" s="13" t="s">
        <v>67</v>
      </c>
      <c r="T5681" s="44">
        <v>45946.39905721065</v>
      </c>
      <c r="U5681" s="44">
        <v>45947.4097212037</v>
      </c>
      <c r="V5681" s="13"/>
      <c r="W5681" s="11"/>
      <c r="X5681" s="11"/>
      <c r="Y5681" s="45"/>
      <c r="Z5681" s="45"/>
      <c r="AA5681" s="31"/>
      <c r="AB5681" s="45" t="s">
        <v>22775</v>
      </c>
      <c r="AC5681" s="45"/>
    </row>
    <row r="5682" ht="18.75" customHeight="1">
      <c r="A5682" s="18" t="s">
        <v>22776</v>
      </c>
      <c r="B5682" s="33" t="s">
        <v>3289</v>
      </c>
      <c r="C5682" s="20">
        <v>0.0</v>
      </c>
      <c r="D5682" s="39"/>
      <c r="E5682" s="27" t="s">
        <v>13303</v>
      </c>
      <c r="F5682" s="27" t="s">
        <v>48</v>
      </c>
      <c r="G5682" s="18" t="s">
        <v>35</v>
      </c>
      <c r="H5682" s="40" t="s">
        <v>35</v>
      </c>
      <c r="I5682" s="37" t="s">
        <v>22367</v>
      </c>
      <c r="J5682" s="25" t="s">
        <v>92</v>
      </c>
      <c r="K5682" s="26" t="s">
        <v>38</v>
      </c>
      <c r="L5682" s="25"/>
      <c r="M5682" s="49"/>
      <c r="N5682" s="42"/>
      <c r="O5682" s="68"/>
      <c r="P5682" s="35" t="s">
        <v>22772</v>
      </c>
      <c r="Q5682" s="13" t="s">
        <v>67</v>
      </c>
      <c r="R5682" s="13" t="s">
        <v>67</v>
      </c>
      <c r="S5682" s="13" t="s">
        <v>67</v>
      </c>
      <c r="T5682" s="44">
        <v>45946.39910565972</v>
      </c>
      <c r="U5682" s="44">
        <v>45947.40982677083</v>
      </c>
      <c r="V5682" s="13"/>
      <c r="W5682" s="11"/>
      <c r="X5682" s="11"/>
      <c r="Y5682" s="45"/>
      <c r="Z5682" s="45"/>
      <c r="AA5682" s="31"/>
      <c r="AB5682" s="45" t="s">
        <v>22777</v>
      </c>
      <c r="AC5682" s="45"/>
    </row>
    <row r="5683" ht="18.75" customHeight="1">
      <c r="A5683" s="18" t="s">
        <v>22778</v>
      </c>
      <c r="B5683" s="33" t="s">
        <v>3289</v>
      </c>
      <c r="C5683" s="20">
        <v>0.0</v>
      </c>
      <c r="D5683" s="39"/>
      <c r="E5683" s="27" t="s">
        <v>13303</v>
      </c>
      <c r="F5683" s="27" t="s">
        <v>48</v>
      </c>
      <c r="G5683" s="18" t="s">
        <v>35</v>
      </c>
      <c r="H5683" s="40" t="s">
        <v>35</v>
      </c>
      <c r="I5683" s="37" t="s">
        <v>22367</v>
      </c>
      <c r="J5683" s="25" t="s">
        <v>92</v>
      </c>
      <c r="K5683" s="26" t="s">
        <v>38</v>
      </c>
      <c r="L5683" s="25"/>
      <c r="M5683" s="49"/>
      <c r="N5683" s="42"/>
      <c r="O5683" s="68"/>
      <c r="P5683" s="35" t="s">
        <v>22772</v>
      </c>
      <c r="Q5683" s="13" t="s">
        <v>67</v>
      </c>
      <c r="R5683" s="13" t="s">
        <v>67</v>
      </c>
      <c r="S5683" s="13" t="s">
        <v>67</v>
      </c>
      <c r="T5683" s="44">
        <v>45946.39915143518</v>
      </c>
      <c r="U5683" s="44">
        <v>45947.40985043981</v>
      </c>
      <c r="V5683" s="13"/>
      <c r="W5683" s="11"/>
      <c r="X5683" s="11"/>
      <c r="Y5683" s="45"/>
      <c r="Z5683" s="45"/>
      <c r="AA5683" s="31"/>
      <c r="AB5683" s="45" t="s">
        <v>22779</v>
      </c>
      <c r="AC5683" s="45"/>
    </row>
    <row r="5684" ht="18.75" customHeight="1">
      <c r="A5684" s="18" t="s">
        <v>22780</v>
      </c>
      <c r="B5684" s="33" t="s">
        <v>3289</v>
      </c>
      <c r="C5684" s="20">
        <v>0.0</v>
      </c>
      <c r="D5684" s="39"/>
      <c r="E5684" s="27" t="s">
        <v>13303</v>
      </c>
      <c r="F5684" s="27" t="s">
        <v>48</v>
      </c>
      <c r="G5684" s="18" t="s">
        <v>35</v>
      </c>
      <c r="H5684" s="40" t="s">
        <v>35</v>
      </c>
      <c r="I5684" s="37" t="s">
        <v>22367</v>
      </c>
      <c r="J5684" s="25" t="s">
        <v>92</v>
      </c>
      <c r="K5684" s="26" t="s">
        <v>38</v>
      </c>
      <c r="L5684" s="25"/>
      <c r="M5684" s="49"/>
      <c r="N5684" s="42"/>
      <c r="O5684" s="68"/>
      <c r="P5684" s="35" t="s">
        <v>22772</v>
      </c>
      <c r="Q5684" s="13" t="s">
        <v>67</v>
      </c>
      <c r="R5684" s="13" t="s">
        <v>67</v>
      </c>
      <c r="S5684" s="13" t="s">
        <v>67</v>
      </c>
      <c r="T5684" s="44">
        <v>45946.39919946759</v>
      </c>
      <c r="U5684" s="44">
        <v>45947.40990885417</v>
      </c>
      <c r="V5684" s="13"/>
      <c r="W5684" s="11"/>
      <c r="X5684" s="11"/>
      <c r="Y5684" s="45"/>
      <c r="Z5684" s="45"/>
      <c r="AA5684" s="31"/>
      <c r="AB5684" s="45" t="s">
        <v>22781</v>
      </c>
      <c r="AC5684" s="45"/>
    </row>
    <row r="5685" ht="18.75" customHeight="1">
      <c r="A5685" s="18" t="s">
        <v>22782</v>
      </c>
      <c r="B5685" s="33" t="s">
        <v>3289</v>
      </c>
      <c r="C5685" s="20">
        <v>0.0</v>
      </c>
      <c r="D5685" s="39"/>
      <c r="E5685" s="27" t="s">
        <v>13303</v>
      </c>
      <c r="F5685" s="27" t="s">
        <v>48</v>
      </c>
      <c r="G5685" s="18" t="s">
        <v>35</v>
      </c>
      <c r="H5685" s="40" t="s">
        <v>35</v>
      </c>
      <c r="I5685" s="37" t="s">
        <v>22367</v>
      </c>
      <c r="J5685" s="25" t="s">
        <v>92</v>
      </c>
      <c r="K5685" s="26" t="s">
        <v>38</v>
      </c>
      <c r="L5685" s="25"/>
      <c r="M5685" s="49"/>
      <c r="N5685" s="42"/>
      <c r="O5685" s="68"/>
      <c r="P5685" s="35" t="s">
        <v>22772</v>
      </c>
      <c r="Q5685" s="13" t="s">
        <v>67</v>
      </c>
      <c r="R5685" s="13" t="s">
        <v>67</v>
      </c>
      <c r="S5685" s="13" t="s">
        <v>67</v>
      </c>
      <c r="T5685" s="44">
        <v>45946.399249953705</v>
      </c>
      <c r="U5685" s="44">
        <v>45947.40994278935</v>
      </c>
      <c r="V5685" s="13"/>
      <c r="W5685" s="11"/>
      <c r="X5685" s="11"/>
      <c r="Y5685" s="45"/>
      <c r="Z5685" s="45"/>
      <c r="AA5685" s="31"/>
      <c r="AB5685" s="45" t="s">
        <v>22783</v>
      </c>
      <c r="AC5685" s="45"/>
    </row>
    <row r="5686" ht="18.75" customHeight="1">
      <c r="A5686" s="18" t="s">
        <v>22784</v>
      </c>
      <c r="B5686" s="33" t="s">
        <v>3289</v>
      </c>
      <c r="C5686" s="20">
        <v>0.0</v>
      </c>
      <c r="D5686" s="39"/>
      <c r="E5686" s="27" t="s">
        <v>13303</v>
      </c>
      <c r="F5686" s="27" t="s">
        <v>48</v>
      </c>
      <c r="G5686" s="18" t="s">
        <v>35</v>
      </c>
      <c r="H5686" s="40" t="s">
        <v>35</v>
      </c>
      <c r="I5686" s="37" t="s">
        <v>22367</v>
      </c>
      <c r="J5686" s="25" t="s">
        <v>92</v>
      </c>
      <c r="K5686" s="26" t="s">
        <v>38</v>
      </c>
      <c r="L5686" s="25"/>
      <c r="M5686" s="49"/>
      <c r="N5686" s="42"/>
      <c r="O5686" s="68"/>
      <c r="P5686" s="35" t="s">
        <v>22772</v>
      </c>
      <c r="Q5686" s="13" t="s">
        <v>67</v>
      </c>
      <c r="R5686" s="13" t="s">
        <v>67</v>
      </c>
      <c r="S5686" s="13" t="s">
        <v>67</v>
      </c>
      <c r="T5686" s="44">
        <v>45946.39935951389</v>
      </c>
      <c r="U5686" s="44">
        <v>45947.40997628472</v>
      </c>
      <c r="V5686" s="13"/>
      <c r="W5686" s="11"/>
      <c r="X5686" s="11"/>
      <c r="Y5686" s="45"/>
      <c r="Z5686" s="45"/>
      <c r="AA5686" s="31"/>
      <c r="AB5686" s="45" t="s">
        <v>22785</v>
      </c>
      <c r="AC5686" s="45"/>
    </row>
    <row r="5687" ht="18.75" customHeight="1">
      <c r="A5687" s="142" t="s">
        <v>22786</v>
      </c>
      <c r="B5687" s="33" t="s">
        <v>16578</v>
      </c>
      <c r="C5687" s="20">
        <v>0.0</v>
      </c>
      <c r="D5687" s="220" t="s">
        <v>22787</v>
      </c>
      <c r="E5687" s="27" t="s">
        <v>12405</v>
      </c>
      <c r="F5687" s="27" t="s">
        <v>48</v>
      </c>
      <c r="G5687" s="18" t="s">
        <v>35</v>
      </c>
      <c r="H5687" s="40" t="s">
        <v>35</v>
      </c>
      <c r="I5687" s="37" t="s">
        <v>36</v>
      </c>
      <c r="J5687" s="25" t="s">
        <v>65</v>
      </c>
      <c r="K5687" s="26" t="s">
        <v>38</v>
      </c>
      <c r="L5687" s="25">
        <v>14191.0</v>
      </c>
      <c r="M5687" s="49" t="s">
        <v>50</v>
      </c>
      <c r="N5687" s="42" t="s">
        <v>16408</v>
      </c>
      <c r="O5687" s="67">
        <v>45950.65265416667</v>
      </c>
      <c r="P5687" s="35" t="s">
        <v>22788</v>
      </c>
      <c r="Q5687" s="13" t="s">
        <v>67</v>
      </c>
      <c r="R5687" s="13" t="s">
        <v>67</v>
      </c>
      <c r="S5687" s="13" t="s">
        <v>9620</v>
      </c>
      <c r="T5687" s="44">
        <v>45946.400735393516</v>
      </c>
      <c r="U5687" s="44">
        <v>45947.40935199074</v>
      </c>
      <c r="V5687" s="44">
        <v>45950.35012232639</v>
      </c>
      <c r="W5687" s="11"/>
      <c r="X5687" s="11"/>
      <c r="Y5687" s="45">
        <v>302.0</v>
      </c>
      <c r="Z5687" s="45" t="s">
        <v>22789</v>
      </c>
      <c r="AA5687" s="31"/>
      <c r="AB5687" s="45" t="s">
        <v>22790</v>
      </c>
      <c r="AC5687" s="45"/>
    </row>
    <row r="5688" ht="18.75" customHeight="1">
      <c r="A5688" s="142" t="s">
        <v>22791</v>
      </c>
      <c r="B5688" s="33" t="s">
        <v>12057</v>
      </c>
      <c r="C5688" s="20">
        <v>0.0</v>
      </c>
      <c r="D5688" s="39"/>
      <c r="E5688" s="27" t="s">
        <v>4430</v>
      </c>
      <c r="F5688" s="27" t="s">
        <v>48</v>
      </c>
      <c r="G5688" s="18" t="s">
        <v>35</v>
      </c>
      <c r="H5688" s="40" t="s">
        <v>35</v>
      </c>
      <c r="I5688" s="37" t="s">
        <v>17277</v>
      </c>
      <c r="J5688" s="25" t="s">
        <v>65</v>
      </c>
      <c r="K5688" s="26" t="s">
        <v>38</v>
      </c>
      <c r="L5688" s="25"/>
      <c r="M5688" s="49"/>
      <c r="N5688" s="42"/>
      <c r="O5688" s="68"/>
      <c r="P5688" s="35" t="s">
        <v>22792</v>
      </c>
      <c r="Q5688" s="13" t="s">
        <v>75</v>
      </c>
      <c r="R5688" s="13" t="s">
        <v>75</v>
      </c>
      <c r="S5688" s="13"/>
      <c r="T5688" s="44">
        <v>45946.41485703704</v>
      </c>
      <c r="U5688" s="13"/>
      <c r="V5688" s="13"/>
      <c r="W5688" s="11"/>
      <c r="X5688" s="11"/>
      <c r="Y5688" s="45"/>
      <c r="Z5688" s="45"/>
      <c r="AA5688" s="31"/>
      <c r="AB5688" s="45" t="s">
        <v>22793</v>
      </c>
      <c r="AC5688" s="45"/>
    </row>
    <row r="5689" ht="18.75" customHeight="1">
      <c r="A5689" s="142" t="s">
        <v>22794</v>
      </c>
      <c r="B5689" s="33" t="s">
        <v>11376</v>
      </c>
      <c r="C5689" s="20">
        <v>11.0</v>
      </c>
      <c r="D5689" s="39"/>
      <c r="E5689" s="27" t="s">
        <v>112</v>
      </c>
      <c r="F5689" s="27" t="s">
        <v>48</v>
      </c>
      <c r="G5689" s="18" t="s">
        <v>35</v>
      </c>
      <c r="H5689" s="40" t="s">
        <v>35</v>
      </c>
      <c r="I5689" s="24" t="s">
        <v>17277</v>
      </c>
      <c r="J5689" s="25" t="s">
        <v>65</v>
      </c>
      <c r="K5689" s="26" t="s">
        <v>38</v>
      </c>
      <c r="L5689" s="25"/>
      <c r="M5689" s="49"/>
      <c r="N5689" s="42"/>
      <c r="O5689" s="68"/>
      <c r="P5689" s="35" t="s">
        <v>15829</v>
      </c>
      <c r="Q5689" s="13" t="s">
        <v>67</v>
      </c>
      <c r="R5689" s="13" t="s">
        <v>75</v>
      </c>
      <c r="S5689" s="13"/>
      <c r="T5689" s="44">
        <v>45946.401636967596</v>
      </c>
      <c r="U5689" s="44">
        <v>45947.41383055555</v>
      </c>
      <c r="V5689" s="13"/>
      <c r="W5689" s="11"/>
      <c r="X5689" s="11"/>
      <c r="Y5689" s="45"/>
      <c r="Z5689" s="45"/>
      <c r="AA5689" s="31"/>
      <c r="AB5689" s="45" t="s">
        <v>22795</v>
      </c>
      <c r="AC5689" s="45"/>
    </row>
    <row r="5690" ht="18.75" customHeight="1">
      <c r="A5690" s="142" t="s">
        <v>22796</v>
      </c>
      <c r="B5690" s="33" t="s">
        <v>22183</v>
      </c>
      <c r="C5690" s="20">
        <v>11.0</v>
      </c>
      <c r="D5690" s="39"/>
      <c r="E5690" s="27" t="s">
        <v>112</v>
      </c>
      <c r="F5690" s="27" t="s">
        <v>48</v>
      </c>
      <c r="G5690" s="18" t="s">
        <v>35</v>
      </c>
      <c r="H5690" s="40" t="s">
        <v>35</v>
      </c>
      <c r="I5690" s="37" t="s">
        <v>17277</v>
      </c>
      <c r="J5690" s="25" t="s">
        <v>518</v>
      </c>
      <c r="K5690" s="26" t="s">
        <v>38</v>
      </c>
      <c r="L5690" s="25"/>
      <c r="M5690" s="49"/>
      <c r="N5690" s="42"/>
      <c r="O5690" s="68"/>
      <c r="P5690" s="35" t="s">
        <v>22797</v>
      </c>
      <c r="Q5690" s="13" t="s">
        <v>75</v>
      </c>
      <c r="R5690" s="13" t="s">
        <v>75</v>
      </c>
      <c r="S5690" s="13"/>
      <c r="T5690" s="44">
        <v>45946.416479629625</v>
      </c>
      <c r="U5690" s="13"/>
      <c r="V5690" s="13"/>
      <c r="W5690" s="11"/>
      <c r="X5690" s="11"/>
      <c r="Y5690" s="45"/>
      <c r="Z5690" s="45"/>
      <c r="AA5690" s="31"/>
      <c r="AB5690" s="45" t="s">
        <v>22798</v>
      </c>
      <c r="AC5690" s="45"/>
    </row>
    <row r="5691" ht="18.75" customHeight="1">
      <c r="A5691" s="18" t="s">
        <v>22799</v>
      </c>
      <c r="B5691" s="33" t="s">
        <v>858</v>
      </c>
      <c r="C5691" s="20">
        <v>1.0</v>
      </c>
      <c r="D5691" s="39"/>
      <c r="E5691" s="27" t="s">
        <v>3395</v>
      </c>
      <c r="F5691" s="27" t="s">
        <v>48</v>
      </c>
      <c r="G5691" s="18" t="s">
        <v>35</v>
      </c>
      <c r="H5691" s="40" t="s">
        <v>35</v>
      </c>
      <c r="I5691" s="37" t="s">
        <v>18314</v>
      </c>
      <c r="J5691" s="25" t="s">
        <v>65</v>
      </c>
      <c r="K5691" s="26" t="s">
        <v>38</v>
      </c>
      <c r="L5691" s="25"/>
      <c r="M5691" s="49"/>
      <c r="N5691" s="42"/>
      <c r="O5691" s="68"/>
      <c r="P5691" s="35" t="s">
        <v>22800</v>
      </c>
      <c r="Q5691" s="13" t="s">
        <v>67</v>
      </c>
      <c r="R5691" s="13" t="s">
        <v>67</v>
      </c>
      <c r="S5691" s="13"/>
      <c r="T5691" s="44">
        <v>45946.577552083334</v>
      </c>
      <c r="U5691" s="44">
        <v>45946.57864665509</v>
      </c>
      <c r="V5691" s="13"/>
      <c r="W5691" s="11"/>
      <c r="X5691" s="11"/>
      <c r="Y5691" s="45"/>
      <c r="Z5691" s="45"/>
      <c r="AA5691" s="31"/>
      <c r="AB5691" s="45" t="s">
        <v>22801</v>
      </c>
      <c r="AC5691" s="45"/>
    </row>
    <row r="5692" ht="18.75" customHeight="1">
      <c r="A5692" s="18" t="s">
        <v>22802</v>
      </c>
      <c r="B5692" s="33" t="s">
        <v>858</v>
      </c>
      <c r="C5692" s="20">
        <v>1.0</v>
      </c>
      <c r="D5692" s="39"/>
      <c r="E5692" s="27" t="s">
        <v>3395</v>
      </c>
      <c r="F5692" s="27" t="s">
        <v>48</v>
      </c>
      <c r="G5692" s="18" t="s">
        <v>35</v>
      </c>
      <c r="H5692" s="40" t="s">
        <v>35</v>
      </c>
      <c r="I5692" s="37" t="s">
        <v>18314</v>
      </c>
      <c r="J5692" s="25" t="s">
        <v>65</v>
      </c>
      <c r="K5692" s="26" t="s">
        <v>38</v>
      </c>
      <c r="L5692" s="25"/>
      <c r="M5692" s="49"/>
      <c r="N5692" s="42"/>
      <c r="O5692" s="68"/>
      <c r="P5692" s="35" t="s">
        <v>22800</v>
      </c>
      <c r="Q5692" s="13" t="s">
        <v>67</v>
      </c>
      <c r="R5692" s="13" t="s">
        <v>67</v>
      </c>
      <c r="S5692" s="13" t="s">
        <v>67</v>
      </c>
      <c r="T5692" s="44">
        <v>45946.57768306713</v>
      </c>
      <c r="U5692" s="44">
        <v>45946.57868630787</v>
      </c>
      <c r="V5692" s="13"/>
      <c r="W5692" s="11"/>
      <c r="X5692" s="11"/>
      <c r="Y5692" s="45"/>
      <c r="Z5692" s="45"/>
      <c r="AA5692" s="31"/>
      <c r="AB5692" s="45" t="s">
        <v>22803</v>
      </c>
      <c r="AC5692" s="45"/>
    </row>
    <row r="5693" ht="18.75" customHeight="1">
      <c r="A5693" s="18" t="s">
        <v>22804</v>
      </c>
      <c r="B5693" s="33" t="s">
        <v>858</v>
      </c>
      <c r="C5693" s="20">
        <v>0.0</v>
      </c>
      <c r="D5693" s="39"/>
      <c r="E5693" s="27" t="s">
        <v>3441</v>
      </c>
      <c r="F5693" s="27" t="s">
        <v>48</v>
      </c>
      <c r="G5693" s="18" t="s">
        <v>35</v>
      </c>
      <c r="H5693" s="40" t="s">
        <v>35</v>
      </c>
      <c r="I5693" s="37" t="s">
        <v>18314</v>
      </c>
      <c r="J5693" s="25" t="s">
        <v>65</v>
      </c>
      <c r="K5693" s="26" t="s">
        <v>38</v>
      </c>
      <c r="L5693" s="25"/>
      <c r="M5693" s="49"/>
      <c r="N5693" s="42"/>
      <c r="O5693" s="68"/>
      <c r="P5693" s="35" t="s">
        <v>22805</v>
      </c>
      <c r="Q5693" s="13" t="s">
        <v>67</v>
      </c>
      <c r="R5693" s="13" t="s">
        <v>67</v>
      </c>
      <c r="S5693" s="13"/>
      <c r="T5693" s="44">
        <v>45946.57840025463</v>
      </c>
      <c r="U5693" s="44">
        <v>45946.57849113426</v>
      </c>
      <c r="V5693" s="13"/>
      <c r="W5693" s="11"/>
      <c r="X5693" s="11"/>
      <c r="Y5693" s="45"/>
      <c r="Z5693" s="45"/>
      <c r="AA5693" s="31"/>
      <c r="AB5693" s="45" t="s">
        <v>22806</v>
      </c>
      <c r="AC5693" s="45"/>
    </row>
    <row r="5694" ht="18.75" customHeight="1">
      <c r="A5694" s="18" t="s">
        <v>22807</v>
      </c>
      <c r="B5694" s="33" t="s">
        <v>858</v>
      </c>
      <c r="C5694" s="20">
        <v>0.0</v>
      </c>
      <c r="D5694" s="39"/>
      <c r="E5694" s="27" t="s">
        <v>3441</v>
      </c>
      <c r="F5694" s="27" t="s">
        <v>48</v>
      </c>
      <c r="G5694" s="18" t="s">
        <v>35</v>
      </c>
      <c r="H5694" s="40" t="s">
        <v>35</v>
      </c>
      <c r="I5694" s="37" t="s">
        <v>18314</v>
      </c>
      <c r="J5694" s="25" t="s">
        <v>65</v>
      </c>
      <c r="K5694" s="26" t="s">
        <v>38</v>
      </c>
      <c r="L5694" s="25"/>
      <c r="M5694" s="49"/>
      <c r="N5694" s="42"/>
      <c r="O5694" s="68"/>
      <c r="P5694" s="35" t="s">
        <v>22805</v>
      </c>
      <c r="Q5694" s="13" t="s">
        <v>67</v>
      </c>
      <c r="R5694" s="13" t="s">
        <v>67</v>
      </c>
      <c r="S5694" s="13" t="s">
        <v>67</v>
      </c>
      <c r="T5694" s="44">
        <v>45946.57848141204</v>
      </c>
      <c r="U5694" s="44">
        <v>45946.578583842595</v>
      </c>
      <c r="V5694" s="13"/>
      <c r="W5694" s="11"/>
      <c r="X5694" s="11"/>
      <c r="Y5694" s="45"/>
      <c r="Z5694" s="45"/>
      <c r="AA5694" s="31"/>
      <c r="AB5694" s="45" t="s">
        <v>22808</v>
      </c>
      <c r="AC5694" s="45"/>
    </row>
    <row r="5695" ht="18.75" customHeight="1">
      <c r="A5695" s="142" t="s">
        <v>22809</v>
      </c>
      <c r="B5695" s="33" t="s">
        <v>22810</v>
      </c>
      <c r="C5695" s="20">
        <v>0.0</v>
      </c>
      <c r="D5695" s="39" t="s">
        <v>22811</v>
      </c>
      <c r="E5695" s="22" t="s">
        <v>18072</v>
      </c>
      <c r="F5695" s="27"/>
      <c r="G5695" s="18" t="s">
        <v>35</v>
      </c>
      <c r="H5695" s="40" t="s">
        <v>35</v>
      </c>
      <c r="I5695" s="37" t="s">
        <v>36</v>
      </c>
      <c r="J5695" s="25" t="s">
        <v>65</v>
      </c>
      <c r="K5695" s="26" t="s">
        <v>38</v>
      </c>
      <c r="L5695" s="25">
        <v>14177.0</v>
      </c>
      <c r="M5695" s="49" t="s">
        <v>50</v>
      </c>
      <c r="N5695" s="42" t="s">
        <v>16408</v>
      </c>
      <c r="O5695" s="67">
        <v>45946.625062743056</v>
      </c>
      <c r="P5695" s="35" t="s">
        <v>22812</v>
      </c>
      <c r="Q5695" s="13" t="s">
        <v>67</v>
      </c>
      <c r="R5695" s="13" t="s">
        <v>67</v>
      </c>
      <c r="S5695" s="13" t="s">
        <v>50</v>
      </c>
      <c r="T5695" s="44">
        <v>45946.592187685186</v>
      </c>
      <c r="U5695" s="44">
        <v>45946.59231832176</v>
      </c>
      <c r="V5695" s="44">
        <v>45946.59977381944</v>
      </c>
      <c r="W5695" s="11"/>
      <c r="X5695" s="11"/>
      <c r="Y5695" s="45">
        <v>302.0</v>
      </c>
      <c r="Z5695" s="45" t="s">
        <v>22813</v>
      </c>
      <c r="AA5695" s="31"/>
      <c r="AB5695" s="45" t="s">
        <v>22814</v>
      </c>
      <c r="AC5695" s="45">
        <v>1.0</v>
      </c>
    </row>
    <row r="5696" ht="18.75" customHeight="1">
      <c r="A5696" s="142" t="s">
        <v>22815</v>
      </c>
      <c r="B5696" s="33" t="s">
        <v>4313</v>
      </c>
      <c r="C5696" s="20">
        <v>0.0</v>
      </c>
      <c r="D5696" s="39" t="s">
        <v>20944</v>
      </c>
      <c r="E5696" s="27" t="s">
        <v>11503</v>
      </c>
      <c r="F5696" s="27" t="s">
        <v>11504</v>
      </c>
      <c r="G5696" s="18" t="s">
        <v>35</v>
      </c>
      <c r="H5696" s="40" t="s">
        <v>35</v>
      </c>
      <c r="I5696" s="37" t="s">
        <v>36</v>
      </c>
      <c r="J5696" s="25" t="s">
        <v>92</v>
      </c>
      <c r="K5696" s="26" t="s">
        <v>38</v>
      </c>
      <c r="L5696" s="25">
        <v>14184.0</v>
      </c>
      <c r="M5696" s="49" t="s">
        <v>50</v>
      </c>
      <c r="N5696" s="42" t="s">
        <v>10176</v>
      </c>
      <c r="O5696" s="67">
        <v>45947.67857293981</v>
      </c>
      <c r="P5696" s="35" t="s">
        <v>22816</v>
      </c>
      <c r="Q5696" s="13" t="s">
        <v>67</v>
      </c>
      <c r="R5696" s="13" t="s">
        <v>67</v>
      </c>
      <c r="S5696" s="13" t="s">
        <v>73</v>
      </c>
      <c r="T5696" s="44">
        <v>45946.61735530093</v>
      </c>
      <c r="U5696" s="44">
        <v>45947.41082711806</v>
      </c>
      <c r="V5696" s="44">
        <v>45947.43741244213</v>
      </c>
      <c r="W5696" s="11"/>
      <c r="X5696" s="11"/>
      <c r="Y5696" s="45">
        <v>302.0</v>
      </c>
      <c r="Z5696" s="45" t="s">
        <v>22817</v>
      </c>
      <c r="AA5696" s="31"/>
      <c r="AB5696" s="45" t="s">
        <v>22818</v>
      </c>
      <c r="AC5696" s="45"/>
    </row>
    <row r="5697" ht="18.75" customHeight="1">
      <c r="A5697" s="142" t="s">
        <v>22819</v>
      </c>
      <c r="B5697" s="33" t="s">
        <v>4313</v>
      </c>
      <c r="C5697" s="20">
        <v>137.0</v>
      </c>
      <c r="D5697" s="39" t="s">
        <v>22820</v>
      </c>
      <c r="E5697" s="27" t="s">
        <v>85</v>
      </c>
      <c r="F5697" s="27" t="s">
        <v>48</v>
      </c>
      <c r="G5697" s="18" t="s">
        <v>35</v>
      </c>
      <c r="H5697" s="40" t="s">
        <v>35</v>
      </c>
      <c r="I5697" s="37" t="s">
        <v>36</v>
      </c>
      <c r="J5697" s="25" t="s">
        <v>92</v>
      </c>
      <c r="K5697" s="26" t="s">
        <v>38</v>
      </c>
      <c r="L5697" s="25">
        <v>14181.0</v>
      </c>
      <c r="M5697" s="49" t="s">
        <v>50</v>
      </c>
      <c r="N5697" s="42" t="s">
        <v>10176</v>
      </c>
      <c r="O5697" s="67">
        <v>45947.67864253472</v>
      </c>
      <c r="P5697" s="35" t="s">
        <v>22821</v>
      </c>
      <c r="Q5697" s="13" t="s">
        <v>67</v>
      </c>
      <c r="R5697" s="13" t="s">
        <v>67</v>
      </c>
      <c r="S5697" s="13" t="s">
        <v>73</v>
      </c>
      <c r="T5697" s="44">
        <v>45946.615869201385</v>
      </c>
      <c r="U5697" s="44">
        <v>45947.41035133102</v>
      </c>
      <c r="V5697" s="44">
        <v>45947.43663327546</v>
      </c>
      <c r="W5697" s="11"/>
      <c r="X5697" s="11"/>
      <c r="Y5697" s="45">
        <v>302.0</v>
      </c>
      <c r="Z5697" s="45" t="s">
        <v>22822</v>
      </c>
      <c r="AA5697" s="31"/>
      <c r="AB5697" s="45" t="s">
        <v>22823</v>
      </c>
      <c r="AC5697" s="45"/>
    </row>
    <row r="5698" ht="18.75" customHeight="1">
      <c r="A5698" s="142" t="s">
        <v>22824</v>
      </c>
      <c r="B5698" s="33" t="s">
        <v>89</v>
      </c>
      <c r="C5698" s="20">
        <v>90.0</v>
      </c>
      <c r="D5698" s="39" t="s">
        <v>22825</v>
      </c>
      <c r="E5698" s="27" t="s">
        <v>91</v>
      </c>
      <c r="F5698" s="27" t="s">
        <v>48</v>
      </c>
      <c r="G5698" s="18" t="s">
        <v>35</v>
      </c>
      <c r="H5698" s="40" t="s">
        <v>35</v>
      </c>
      <c r="I5698" s="37" t="s">
        <v>36</v>
      </c>
      <c r="J5698" s="25" t="s">
        <v>65</v>
      </c>
      <c r="K5698" s="26" t="s">
        <v>38</v>
      </c>
      <c r="L5698" s="25">
        <v>14182.0</v>
      </c>
      <c r="M5698" s="49" t="s">
        <v>50</v>
      </c>
      <c r="N5698" s="42" t="s">
        <v>16408</v>
      </c>
      <c r="O5698" s="67">
        <v>45947.678244780094</v>
      </c>
      <c r="P5698" s="35" t="s">
        <v>15829</v>
      </c>
      <c r="Q5698" s="13" t="s">
        <v>75</v>
      </c>
      <c r="R5698" s="13" t="s">
        <v>75</v>
      </c>
      <c r="S5698" s="13" t="s">
        <v>73</v>
      </c>
      <c r="T5698" s="44">
        <v>45946.63781763889</v>
      </c>
      <c r="U5698" s="44">
        <v>45947.40120922454</v>
      </c>
      <c r="V5698" s="44">
        <v>45947.4344983912</v>
      </c>
      <c r="W5698" s="11"/>
      <c r="X5698" s="11"/>
      <c r="Y5698" s="45">
        <v>302.0</v>
      </c>
      <c r="Z5698" s="45" t="s">
        <v>22826</v>
      </c>
      <c r="AA5698" s="31"/>
      <c r="AB5698" s="45" t="s">
        <v>22827</v>
      </c>
      <c r="AC5698" s="45"/>
    </row>
    <row r="5699" ht="18.75" customHeight="1">
      <c r="A5699" s="142" t="s">
        <v>22828</v>
      </c>
      <c r="B5699" s="33" t="s">
        <v>17124</v>
      </c>
      <c r="C5699" s="20">
        <v>90.0</v>
      </c>
      <c r="D5699" s="39" t="s">
        <v>22829</v>
      </c>
      <c r="E5699" s="27" t="s">
        <v>91</v>
      </c>
      <c r="F5699" s="27" t="s">
        <v>48</v>
      </c>
      <c r="G5699" s="18" t="s">
        <v>35</v>
      </c>
      <c r="H5699" s="40" t="s">
        <v>35</v>
      </c>
      <c r="I5699" s="37" t="s">
        <v>36</v>
      </c>
      <c r="J5699" s="25" t="s">
        <v>65</v>
      </c>
      <c r="K5699" s="26" t="s">
        <v>38</v>
      </c>
      <c r="L5699" s="25">
        <v>14201.0</v>
      </c>
      <c r="M5699" s="49" t="s">
        <v>50</v>
      </c>
      <c r="N5699" s="42" t="s">
        <v>16408</v>
      </c>
      <c r="O5699" s="67">
        <v>45950.65269768519</v>
      </c>
      <c r="P5699" s="35" t="s">
        <v>22215</v>
      </c>
      <c r="Q5699" s="13" t="s">
        <v>75</v>
      </c>
      <c r="R5699" s="13" t="s">
        <v>75</v>
      </c>
      <c r="S5699" s="13" t="s">
        <v>73</v>
      </c>
      <c r="T5699" s="44">
        <v>45946.63893436342</v>
      </c>
      <c r="U5699" s="44">
        <v>45947.64410670139</v>
      </c>
      <c r="V5699" s="44">
        <v>45950.47067207176</v>
      </c>
      <c r="W5699" s="11"/>
      <c r="X5699" s="11"/>
      <c r="Y5699" s="45">
        <v>302.0</v>
      </c>
      <c r="Z5699" s="45" t="s">
        <v>22830</v>
      </c>
      <c r="AA5699" s="31"/>
      <c r="AB5699" s="45" t="s">
        <v>22831</v>
      </c>
      <c r="AC5699" s="45"/>
    </row>
    <row r="5700" ht="18.75" customHeight="1">
      <c r="A5700" s="142" t="s">
        <v>22832</v>
      </c>
      <c r="B5700" s="33" t="s">
        <v>11376</v>
      </c>
      <c r="C5700" s="20">
        <v>34.0</v>
      </c>
      <c r="D5700" s="39" t="s">
        <v>22833</v>
      </c>
      <c r="E5700" s="27" t="s">
        <v>47</v>
      </c>
      <c r="F5700" s="27" t="s">
        <v>48</v>
      </c>
      <c r="G5700" s="18" t="s">
        <v>35</v>
      </c>
      <c r="H5700" s="40" t="s">
        <v>35</v>
      </c>
      <c r="I5700" s="37" t="s">
        <v>36</v>
      </c>
      <c r="J5700" s="25" t="s">
        <v>65</v>
      </c>
      <c r="K5700" s="26" t="s">
        <v>38</v>
      </c>
      <c r="L5700" s="25">
        <v>14183.0</v>
      </c>
      <c r="M5700" s="49" t="s">
        <v>50</v>
      </c>
      <c r="N5700" s="42" t="s">
        <v>16408</v>
      </c>
      <c r="O5700" s="67">
        <v>45947.67816099537</v>
      </c>
      <c r="P5700" s="35" t="s">
        <v>15829</v>
      </c>
      <c r="Q5700" s="13" t="s">
        <v>67</v>
      </c>
      <c r="R5700" s="13" t="s">
        <v>67</v>
      </c>
      <c r="S5700" s="13" t="s">
        <v>73</v>
      </c>
      <c r="T5700" s="44">
        <v>45946.61646875</v>
      </c>
      <c r="U5700" s="44">
        <v>45947.41125413195</v>
      </c>
      <c r="V5700" s="44">
        <v>45947.43444961806</v>
      </c>
      <c r="W5700" s="11"/>
      <c r="X5700" s="11"/>
      <c r="Y5700" s="45">
        <v>302.0</v>
      </c>
      <c r="Z5700" s="45" t="s">
        <v>22834</v>
      </c>
      <c r="AA5700" s="31"/>
      <c r="AB5700" s="45" t="s">
        <v>22835</v>
      </c>
      <c r="AC5700" s="45"/>
    </row>
    <row r="5701" ht="18.75" customHeight="1">
      <c r="A5701" s="142" t="s">
        <v>22836</v>
      </c>
      <c r="B5701" s="33" t="s">
        <v>1345</v>
      </c>
      <c r="C5701" s="20">
        <v>0.0</v>
      </c>
      <c r="D5701" s="179">
        <v>20375.0</v>
      </c>
      <c r="E5701" s="27" t="s">
        <v>135</v>
      </c>
      <c r="F5701" s="27" t="s">
        <v>48</v>
      </c>
      <c r="G5701" s="18" t="s">
        <v>35</v>
      </c>
      <c r="H5701" s="40" t="s">
        <v>35</v>
      </c>
      <c r="I5701" s="37" t="s">
        <v>22367</v>
      </c>
      <c r="J5701" s="25" t="s">
        <v>420</v>
      </c>
      <c r="K5701" s="26" t="s">
        <v>38</v>
      </c>
      <c r="L5701" s="25"/>
      <c r="M5701" s="49"/>
      <c r="N5701" s="42"/>
      <c r="O5701" s="68"/>
      <c r="P5701" s="35" t="s">
        <v>16414</v>
      </c>
      <c r="Q5701" s="13" t="s">
        <v>75</v>
      </c>
      <c r="R5701" s="13" t="s">
        <v>75</v>
      </c>
      <c r="S5701" s="13"/>
      <c r="T5701" s="44">
        <v>45946.639873541666</v>
      </c>
      <c r="U5701" s="44">
        <v>45950.54076859954</v>
      </c>
      <c r="V5701" s="13"/>
      <c r="W5701" s="11"/>
      <c r="X5701" s="11"/>
      <c r="Y5701" s="45"/>
      <c r="Z5701" s="45"/>
      <c r="AA5701" s="31"/>
      <c r="AB5701" s="45" t="s">
        <v>22837</v>
      </c>
      <c r="AC5701" s="45"/>
    </row>
    <row r="5702" ht="18.75" customHeight="1">
      <c r="A5702" s="18" t="s">
        <v>22838</v>
      </c>
      <c r="B5702" s="33" t="s">
        <v>11671</v>
      </c>
      <c r="C5702" s="20">
        <v>11.0</v>
      </c>
      <c r="D5702" s="39"/>
      <c r="E5702" s="27" t="s">
        <v>112</v>
      </c>
      <c r="F5702" s="27" t="s">
        <v>48</v>
      </c>
      <c r="G5702" s="18" t="s">
        <v>35</v>
      </c>
      <c r="H5702" s="40" t="s">
        <v>35</v>
      </c>
      <c r="I5702" s="37" t="s">
        <v>17277</v>
      </c>
      <c r="J5702" s="25" t="s">
        <v>18078</v>
      </c>
      <c r="K5702" s="26" t="s">
        <v>38</v>
      </c>
      <c r="L5702" s="25"/>
      <c r="M5702" s="49"/>
      <c r="N5702" s="42"/>
      <c r="O5702" s="68"/>
      <c r="P5702" s="35" t="s">
        <v>22839</v>
      </c>
      <c r="Q5702" s="13" t="s">
        <v>75</v>
      </c>
      <c r="R5702" s="13" t="s">
        <v>75</v>
      </c>
      <c r="S5702" s="13"/>
      <c r="T5702" s="44">
        <v>45946.64391990741</v>
      </c>
      <c r="U5702" s="13"/>
      <c r="V5702" s="13"/>
      <c r="W5702" s="11"/>
      <c r="X5702" s="11"/>
      <c r="Y5702" s="45"/>
      <c r="Z5702" s="45"/>
      <c r="AA5702" s="31"/>
      <c r="AB5702" s="45" t="s">
        <v>22840</v>
      </c>
      <c r="AC5702" s="45"/>
    </row>
    <row r="5703" ht="18.75" customHeight="1">
      <c r="A5703" s="18" t="s">
        <v>22841</v>
      </c>
      <c r="B5703" s="33" t="s">
        <v>11671</v>
      </c>
      <c r="C5703" s="20">
        <v>137.0</v>
      </c>
      <c r="D5703" s="39"/>
      <c r="E5703" s="27" t="s">
        <v>85</v>
      </c>
      <c r="F5703" s="27" t="s">
        <v>48</v>
      </c>
      <c r="G5703" s="18" t="s">
        <v>35</v>
      </c>
      <c r="H5703" s="40" t="s">
        <v>35</v>
      </c>
      <c r="I5703" s="37" t="s">
        <v>17277</v>
      </c>
      <c r="J5703" s="25" t="s">
        <v>18078</v>
      </c>
      <c r="K5703" s="26" t="s">
        <v>38</v>
      </c>
      <c r="L5703" s="25"/>
      <c r="M5703" s="49"/>
      <c r="N5703" s="42"/>
      <c r="O5703" s="68"/>
      <c r="P5703" s="35" t="s">
        <v>22839</v>
      </c>
      <c r="Q5703" s="13" t="s">
        <v>75</v>
      </c>
      <c r="R5703" s="13" t="s">
        <v>75</v>
      </c>
      <c r="S5703" s="13" t="s">
        <v>75</v>
      </c>
      <c r="T5703" s="44">
        <v>45946.64418043982</v>
      </c>
      <c r="U5703" s="13"/>
      <c r="V5703" s="13"/>
      <c r="W5703" s="11"/>
      <c r="X5703" s="11"/>
      <c r="Y5703" s="45"/>
      <c r="Z5703" s="45"/>
      <c r="AA5703" s="31"/>
      <c r="AB5703" s="45" t="s">
        <v>22842</v>
      </c>
      <c r="AC5703" s="45"/>
    </row>
    <row r="5704" ht="18.75" customHeight="1">
      <c r="A5704" s="18" t="s">
        <v>22843</v>
      </c>
      <c r="B5704" s="33" t="s">
        <v>11671</v>
      </c>
      <c r="C5704" s="20">
        <v>137.0</v>
      </c>
      <c r="D5704" s="39"/>
      <c r="E5704" s="27" t="s">
        <v>85</v>
      </c>
      <c r="F5704" s="27" t="s">
        <v>48</v>
      </c>
      <c r="G5704" s="18" t="s">
        <v>35</v>
      </c>
      <c r="H5704" s="40" t="s">
        <v>35</v>
      </c>
      <c r="I5704" s="37" t="s">
        <v>17277</v>
      </c>
      <c r="J5704" s="25" t="s">
        <v>18078</v>
      </c>
      <c r="K5704" s="26" t="s">
        <v>38</v>
      </c>
      <c r="L5704" s="25"/>
      <c r="M5704" s="49"/>
      <c r="N5704" s="42"/>
      <c r="O5704" s="68"/>
      <c r="P5704" s="35" t="s">
        <v>22839</v>
      </c>
      <c r="Q5704" s="13" t="s">
        <v>75</v>
      </c>
      <c r="R5704" s="13" t="s">
        <v>75</v>
      </c>
      <c r="S5704" s="13" t="s">
        <v>75</v>
      </c>
      <c r="T5704" s="44">
        <v>45946.6442721412</v>
      </c>
      <c r="U5704" s="13"/>
      <c r="V5704" s="13"/>
      <c r="W5704" s="11"/>
      <c r="X5704" s="11"/>
      <c r="Y5704" s="45"/>
      <c r="Z5704" s="45"/>
      <c r="AA5704" s="31"/>
      <c r="AB5704" s="45" t="s">
        <v>22844</v>
      </c>
      <c r="AC5704" s="45"/>
    </row>
    <row r="5705" ht="18.75" customHeight="1">
      <c r="A5705" s="18" t="s">
        <v>22845</v>
      </c>
      <c r="B5705" s="33" t="s">
        <v>11671</v>
      </c>
      <c r="C5705" s="20">
        <v>90.0</v>
      </c>
      <c r="D5705" s="39"/>
      <c r="E5705" s="27" t="s">
        <v>91</v>
      </c>
      <c r="F5705" s="27" t="s">
        <v>48</v>
      </c>
      <c r="G5705" s="18" t="s">
        <v>35</v>
      </c>
      <c r="H5705" s="40" t="s">
        <v>35</v>
      </c>
      <c r="I5705" s="37" t="s">
        <v>17277</v>
      </c>
      <c r="J5705" s="25" t="s">
        <v>18078</v>
      </c>
      <c r="K5705" s="26" t="s">
        <v>38</v>
      </c>
      <c r="L5705" s="25"/>
      <c r="M5705" s="49"/>
      <c r="N5705" s="42"/>
      <c r="O5705" s="68"/>
      <c r="P5705" s="35" t="s">
        <v>22846</v>
      </c>
      <c r="Q5705" s="13" t="s">
        <v>75</v>
      </c>
      <c r="R5705" s="13" t="s">
        <v>75</v>
      </c>
      <c r="S5705" s="13"/>
      <c r="T5705" s="44">
        <v>45946.64514390046</v>
      </c>
      <c r="U5705" s="13"/>
      <c r="V5705" s="13"/>
      <c r="W5705" s="11"/>
      <c r="X5705" s="11"/>
      <c r="Y5705" s="45"/>
      <c r="Z5705" s="45"/>
      <c r="AA5705" s="31"/>
      <c r="AB5705" s="45" t="s">
        <v>22847</v>
      </c>
      <c r="AC5705" s="45"/>
    </row>
    <row r="5706" ht="18.75" customHeight="1">
      <c r="A5706" s="18" t="s">
        <v>22848</v>
      </c>
      <c r="B5706" s="33" t="s">
        <v>11671</v>
      </c>
      <c r="C5706" s="20">
        <v>90.0</v>
      </c>
      <c r="D5706" s="39"/>
      <c r="E5706" s="27" t="s">
        <v>91</v>
      </c>
      <c r="F5706" s="27" t="s">
        <v>48</v>
      </c>
      <c r="G5706" s="18" t="s">
        <v>35</v>
      </c>
      <c r="H5706" s="40" t="s">
        <v>35</v>
      </c>
      <c r="I5706" s="37" t="s">
        <v>17277</v>
      </c>
      <c r="J5706" s="25" t="s">
        <v>18078</v>
      </c>
      <c r="K5706" s="26" t="s">
        <v>38</v>
      </c>
      <c r="L5706" s="25"/>
      <c r="M5706" s="49"/>
      <c r="N5706" s="42"/>
      <c r="O5706" s="68"/>
      <c r="P5706" s="35" t="s">
        <v>22846</v>
      </c>
      <c r="Q5706" s="13" t="s">
        <v>75</v>
      </c>
      <c r="R5706" s="13" t="s">
        <v>75</v>
      </c>
      <c r="S5706" s="13" t="s">
        <v>75</v>
      </c>
      <c r="T5706" s="44">
        <v>45946.645214351855</v>
      </c>
      <c r="U5706" s="13"/>
      <c r="V5706" s="13"/>
      <c r="W5706" s="11"/>
      <c r="X5706" s="11"/>
      <c r="Y5706" s="45"/>
      <c r="Z5706" s="45"/>
      <c r="AA5706" s="31"/>
      <c r="AB5706" s="45" t="s">
        <v>22849</v>
      </c>
      <c r="AC5706" s="45"/>
    </row>
    <row r="5707" ht="18.75" customHeight="1">
      <c r="A5707" s="142" t="s">
        <v>22850</v>
      </c>
      <c r="B5707" s="33" t="s">
        <v>63</v>
      </c>
      <c r="C5707" s="20">
        <v>90.0</v>
      </c>
      <c r="D5707" s="39"/>
      <c r="E5707" s="27" t="s">
        <v>91</v>
      </c>
      <c r="F5707" s="27" t="s">
        <v>48</v>
      </c>
      <c r="G5707" s="18" t="s">
        <v>35</v>
      </c>
      <c r="H5707" s="40" t="s">
        <v>35</v>
      </c>
      <c r="I5707" s="37" t="s">
        <v>17277</v>
      </c>
      <c r="J5707" s="25" t="s">
        <v>49</v>
      </c>
      <c r="K5707" s="26" t="s">
        <v>38</v>
      </c>
      <c r="L5707" s="25"/>
      <c r="M5707" s="49"/>
      <c r="N5707" s="42"/>
      <c r="O5707" s="68"/>
      <c r="P5707" s="35" t="s">
        <v>15666</v>
      </c>
      <c r="Q5707" s="13" t="s">
        <v>75</v>
      </c>
      <c r="R5707" s="13" t="s">
        <v>75</v>
      </c>
      <c r="S5707" s="13"/>
      <c r="T5707" s="44">
        <v>45946.67053023148</v>
      </c>
      <c r="U5707" s="13"/>
      <c r="V5707" s="13"/>
      <c r="W5707" s="11"/>
      <c r="X5707" s="11"/>
      <c r="Y5707" s="45"/>
      <c r="Z5707" s="45"/>
      <c r="AA5707" s="31"/>
      <c r="AB5707" s="45" t="s">
        <v>22851</v>
      </c>
      <c r="AC5707" s="45"/>
    </row>
    <row r="5708" ht="18.75" customHeight="1">
      <c r="A5708" s="142" t="s">
        <v>22852</v>
      </c>
      <c r="B5708" s="33" t="s">
        <v>4352</v>
      </c>
      <c r="C5708" s="20">
        <v>0.0</v>
      </c>
      <c r="D5708" s="179">
        <v>20377.0</v>
      </c>
      <c r="E5708" s="27" t="s">
        <v>13781</v>
      </c>
      <c r="F5708" s="27" t="s">
        <v>48</v>
      </c>
      <c r="G5708" s="18" t="s">
        <v>35</v>
      </c>
      <c r="H5708" s="40" t="s">
        <v>35</v>
      </c>
      <c r="I5708" s="24" t="s">
        <v>22853</v>
      </c>
      <c r="J5708" s="25" t="s">
        <v>49</v>
      </c>
      <c r="K5708" s="26" t="s">
        <v>38</v>
      </c>
      <c r="L5708" s="25"/>
      <c r="M5708" s="49"/>
      <c r="N5708" s="42"/>
      <c r="O5708" s="68"/>
      <c r="P5708" s="35" t="s">
        <v>15666</v>
      </c>
      <c r="Q5708" s="13" t="s">
        <v>75</v>
      </c>
      <c r="R5708" s="13" t="s">
        <v>75</v>
      </c>
      <c r="S5708" s="13"/>
      <c r="T5708" s="44">
        <v>45946.672517060186</v>
      </c>
      <c r="U5708" s="44">
        <v>45947.40470760417</v>
      </c>
      <c r="V5708" s="13"/>
      <c r="W5708" s="11"/>
      <c r="X5708" s="11"/>
      <c r="Y5708" s="45"/>
      <c r="Z5708" s="45"/>
      <c r="AA5708" s="31"/>
      <c r="AB5708" s="45" t="s">
        <v>22854</v>
      </c>
      <c r="AC5708" s="45"/>
    </row>
    <row r="5709" ht="18.75" customHeight="1">
      <c r="A5709" s="142" t="s">
        <v>22855</v>
      </c>
      <c r="B5709" s="33" t="s">
        <v>45</v>
      </c>
      <c r="C5709" s="20">
        <v>137.0</v>
      </c>
      <c r="D5709" s="39"/>
      <c r="E5709" s="27" t="s">
        <v>85</v>
      </c>
      <c r="F5709" s="27" t="s">
        <v>48</v>
      </c>
      <c r="G5709" s="18" t="s">
        <v>35</v>
      </c>
      <c r="H5709" s="40" t="s">
        <v>35</v>
      </c>
      <c r="I5709" s="37" t="s">
        <v>17277</v>
      </c>
      <c r="J5709" s="25" t="s">
        <v>65</v>
      </c>
      <c r="K5709" s="26" t="s">
        <v>38</v>
      </c>
      <c r="L5709" s="25"/>
      <c r="M5709" s="49"/>
      <c r="N5709" s="42"/>
      <c r="O5709" s="68"/>
      <c r="P5709" s="35" t="s">
        <v>22856</v>
      </c>
      <c r="Q5709" s="13" t="s">
        <v>75</v>
      </c>
      <c r="R5709" s="13" t="s">
        <v>75</v>
      </c>
      <c r="S5709" s="13"/>
      <c r="T5709" s="44">
        <v>45947.629811412036</v>
      </c>
      <c r="U5709" s="13"/>
      <c r="V5709" s="13"/>
      <c r="W5709" s="11"/>
      <c r="X5709" s="11"/>
      <c r="Y5709" s="45"/>
      <c r="Z5709" s="45"/>
      <c r="AA5709" s="31"/>
      <c r="AB5709" s="45" t="s">
        <v>22857</v>
      </c>
      <c r="AC5709" s="45"/>
    </row>
    <row r="5710" ht="18.75" customHeight="1">
      <c r="A5710" s="18" t="s">
        <v>22858</v>
      </c>
      <c r="B5710" s="33" t="s">
        <v>22859</v>
      </c>
      <c r="C5710" s="20">
        <v>0.0</v>
      </c>
      <c r="D5710" s="39"/>
      <c r="E5710" s="27" t="s">
        <v>731</v>
      </c>
      <c r="F5710" s="27" t="s">
        <v>33</v>
      </c>
      <c r="G5710" s="18" t="s">
        <v>35</v>
      </c>
      <c r="H5710" s="40" t="s">
        <v>35</v>
      </c>
      <c r="I5710" s="37" t="s">
        <v>17277</v>
      </c>
      <c r="J5710" s="25" t="s">
        <v>49</v>
      </c>
      <c r="K5710" s="26" t="s">
        <v>38</v>
      </c>
      <c r="L5710" s="25"/>
      <c r="M5710" s="49"/>
      <c r="N5710" s="42"/>
      <c r="O5710" s="68"/>
      <c r="P5710" s="26" t="s">
        <v>22860</v>
      </c>
      <c r="Q5710" s="13" t="s">
        <v>75</v>
      </c>
      <c r="R5710" s="13" t="s">
        <v>75</v>
      </c>
      <c r="S5710" s="13"/>
      <c r="T5710" s="44">
        <v>45947.69528086805</v>
      </c>
      <c r="U5710" s="13"/>
      <c r="V5710" s="13"/>
      <c r="W5710" s="11"/>
      <c r="X5710" s="11"/>
      <c r="Y5710" s="45"/>
      <c r="Z5710" s="45"/>
      <c r="AA5710" s="31"/>
      <c r="AB5710" s="45" t="s">
        <v>22861</v>
      </c>
      <c r="AC5710" s="45"/>
    </row>
    <row r="5711" ht="18.75" customHeight="1">
      <c r="A5711" s="18" t="s">
        <v>22862</v>
      </c>
      <c r="B5711" s="33" t="s">
        <v>22859</v>
      </c>
      <c r="C5711" s="20">
        <v>0.0</v>
      </c>
      <c r="D5711" s="39"/>
      <c r="E5711" s="27" t="s">
        <v>731</v>
      </c>
      <c r="F5711" s="27" t="s">
        <v>33</v>
      </c>
      <c r="G5711" s="18" t="s">
        <v>35</v>
      </c>
      <c r="H5711" s="40" t="s">
        <v>35</v>
      </c>
      <c r="I5711" s="37" t="s">
        <v>17277</v>
      </c>
      <c r="J5711" s="25" t="s">
        <v>49</v>
      </c>
      <c r="K5711" s="26" t="s">
        <v>38</v>
      </c>
      <c r="L5711" s="25"/>
      <c r="M5711" s="49"/>
      <c r="N5711" s="42"/>
      <c r="O5711" s="68"/>
      <c r="P5711" s="26" t="s">
        <v>22860</v>
      </c>
      <c r="Q5711" s="13" t="s">
        <v>75</v>
      </c>
      <c r="R5711" s="13" t="s">
        <v>75</v>
      </c>
      <c r="S5711" s="13" t="s">
        <v>75</v>
      </c>
      <c r="T5711" s="44">
        <v>45947.695415752314</v>
      </c>
      <c r="U5711" s="13"/>
      <c r="V5711" s="13"/>
      <c r="W5711" s="11"/>
      <c r="X5711" s="11"/>
      <c r="Y5711" s="45"/>
      <c r="Z5711" s="45"/>
      <c r="AA5711" s="31"/>
      <c r="AB5711" s="45" t="s">
        <v>22863</v>
      </c>
      <c r="AC5711" s="45"/>
    </row>
    <row r="5712" ht="18.75" customHeight="1">
      <c r="A5712" s="18" t="s">
        <v>22864</v>
      </c>
      <c r="B5712" s="33" t="s">
        <v>22859</v>
      </c>
      <c r="C5712" s="20">
        <v>0.0</v>
      </c>
      <c r="D5712" s="39"/>
      <c r="E5712" s="27" t="s">
        <v>731</v>
      </c>
      <c r="F5712" s="27" t="s">
        <v>33</v>
      </c>
      <c r="G5712" s="18" t="s">
        <v>35</v>
      </c>
      <c r="H5712" s="40" t="s">
        <v>35</v>
      </c>
      <c r="I5712" s="37" t="s">
        <v>17277</v>
      </c>
      <c r="J5712" s="25" t="s">
        <v>49</v>
      </c>
      <c r="K5712" s="26" t="s">
        <v>38</v>
      </c>
      <c r="L5712" s="25"/>
      <c r="M5712" s="49"/>
      <c r="N5712" s="42"/>
      <c r="O5712" s="68"/>
      <c r="P5712" s="26" t="s">
        <v>22860</v>
      </c>
      <c r="Q5712" s="13" t="s">
        <v>75</v>
      </c>
      <c r="R5712" s="13" t="s">
        <v>75</v>
      </c>
      <c r="S5712" s="13" t="s">
        <v>75</v>
      </c>
      <c r="T5712" s="44">
        <v>45947.69770344907</v>
      </c>
      <c r="U5712" s="13"/>
      <c r="V5712" s="13"/>
      <c r="W5712" s="11"/>
      <c r="X5712" s="11"/>
      <c r="Y5712" s="45"/>
      <c r="Z5712" s="45"/>
      <c r="AA5712" s="31"/>
      <c r="AB5712" s="45" t="s">
        <v>22865</v>
      </c>
      <c r="AC5712" s="45"/>
    </row>
    <row r="5713" ht="18.75" customHeight="1">
      <c r="A5713" s="18" t="s">
        <v>22866</v>
      </c>
      <c r="B5713" s="33" t="s">
        <v>22859</v>
      </c>
      <c r="C5713" s="20">
        <v>0.0</v>
      </c>
      <c r="D5713" s="39"/>
      <c r="E5713" s="27" t="s">
        <v>731</v>
      </c>
      <c r="F5713" s="27" t="s">
        <v>33</v>
      </c>
      <c r="G5713" s="18" t="s">
        <v>35</v>
      </c>
      <c r="H5713" s="40" t="s">
        <v>35</v>
      </c>
      <c r="I5713" s="37" t="s">
        <v>17277</v>
      </c>
      <c r="J5713" s="25" t="s">
        <v>49</v>
      </c>
      <c r="K5713" s="26" t="s">
        <v>38</v>
      </c>
      <c r="L5713" s="25"/>
      <c r="M5713" s="49"/>
      <c r="N5713" s="42"/>
      <c r="O5713" s="68"/>
      <c r="P5713" s="26" t="s">
        <v>22860</v>
      </c>
      <c r="Q5713" s="13" t="s">
        <v>75</v>
      </c>
      <c r="R5713" s="13" t="s">
        <v>75</v>
      </c>
      <c r="S5713" s="13" t="s">
        <v>75</v>
      </c>
      <c r="T5713" s="44">
        <v>45947.69642815972</v>
      </c>
      <c r="U5713" s="13"/>
      <c r="V5713" s="13"/>
      <c r="W5713" s="11"/>
      <c r="X5713" s="11"/>
      <c r="Y5713" s="45"/>
      <c r="Z5713" s="45"/>
      <c r="AA5713" s="31"/>
      <c r="AB5713" s="45" t="s">
        <v>22867</v>
      </c>
      <c r="AC5713" s="45"/>
    </row>
    <row r="5714" ht="18.75" customHeight="1">
      <c r="A5714" s="142" t="s">
        <v>22868</v>
      </c>
      <c r="B5714" s="33" t="s">
        <v>4308</v>
      </c>
      <c r="C5714" s="20">
        <v>137.0</v>
      </c>
      <c r="D5714" s="39" t="s">
        <v>22869</v>
      </c>
      <c r="E5714" s="27" t="s">
        <v>85</v>
      </c>
      <c r="F5714" s="27" t="s">
        <v>48</v>
      </c>
      <c r="G5714" s="18" t="s">
        <v>35</v>
      </c>
      <c r="H5714" s="40" t="s">
        <v>35</v>
      </c>
      <c r="I5714" s="37" t="s">
        <v>18148</v>
      </c>
      <c r="J5714" s="25" t="s">
        <v>92</v>
      </c>
      <c r="K5714" s="26" t="s">
        <v>38</v>
      </c>
      <c r="L5714" s="25">
        <v>14219.0</v>
      </c>
      <c r="M5714" s="49"/>
      <c r="N5714" s="42"/>
      <c r="O5714" s="68"/>
      <c r="P5714" s="35" t="s">
        <v>22870</v>
      </c>
      <c r="Q5714" s="13" t="s">
        <v>67</v>
      </c>
      <c r="R5714" s="13" t="s">
        <v>67</v>
      </c>
      <c r="S5714" s="13" t="s">
        <v>73</v>
      </c>
      <c r="T5714" s="44">
        <v>45947.47802679398</v>
      </c>
      <c r="U5714" s="44">
        <v>45950.49922298611</v>
      </c>
      <c r="V5714" s="44">
        <v>45950.55854586806</v>
      </c>
      <c r="W5714" s="11"/>
      <c r="X5714" s="11"/>
      <c r="Y5714" s="45">
        <v>302.0</v>
      </c>
      <c r="Z5714" s="45" t="s">
        <v>22871</v>
      </c>
      <c r="AA5714" s="31"/>
      <c r="AB5714" s="45" t="s">
        <v>22872</v>
      </c>
      <c r="AC5714" s="45"/>
    </row>
    <row r="5715" ht="18.75" customHeight="1">
      <c r="A5715" s="142" t="s">
        <v>22873</v>
      </c>
      <c r="B5715" s="33" t="s">
        <v>858</v>
      </c>
      <c r="C5715" s="20">
        <v>90.0</v>
      </c>
      <c r="D5715" s="39" t="s">
        <v>22874</v>
      </c>
      <c r="E5715" s="27" t="s">
        <v>91</v>
      </c>
      <c r="F5715" s="27" t="s">
        <v>48</v>
      </c>
      <c r="G5715" s="18" t="s">
        <v>35</v>
      </c>
      <c r="H5715" s="40" t="s">
        <v>35</v>
      </c>
      <c r="I5715" s="37" t="s">
        <v>36</v>
      </c>
      <c r="J5715" s="25" t="s">
        <v>65</v>
      </c>
      <c r="K5715" s="26" t="s">
        <v>38</v>
      </c>
      <c r="L5715" s="25">
        <v>14203.0</v>
      </c>
      <c r="M5715" s="49" t="s">
        <v>50</v>
      </c>
      <c r="N5715" s="42" t="s">
        <v>16408</v>
      </c>
      <c r="O5715" s="67">
        <v>45950.652737592594</v>
      </c>
      <c r="P5715" s="35" t="s">
        <v>22875</v>
      </c>
      <c r="Q5715" s="13"/>
      <c r="R5715" s="13" t="s">
        <v>67</v>
      </c>
      <c r="S5715" s="13" t="s">
        <v>73</v>
      </c>
      <c r="T5715" s="44">
        <v>45947.49093619213</v>
      </c>
      <c r="U5715" s="44">
        <v>45950.41462138889</v>
      </c>
      <c r="V5715" s="44">
        <v>45950.470913599536</v>
      </c>
      <c r="W5715" s="11"/>
      <c r="X5715" s="11"/>
      <c r="Y5715" s="45">
        <v>302.0</v>
      </c>
      <c r="Z5715" s="45" t="s">
        <v>22876</v>
      </c>
      <c r="AA5715" s="31"/>
      <c r="AB5715" s="45" t="s">
        <v>22877</v>
      </c>
      <c r="AC5715" s="45"/>
    </row>
    <row r="5716" ht="18.75" customHeight="1">
      <c r="A5716" s="32" t="s">
        <v>22878</v>
      </c>
      <c r="B5716" s="19" t="s">
        <v>19002</v>
      </c>
      <c r="C5716" s="20">
        <v>27.0</v>
      </c>
      <c r="D5716" s="39" t="s">
        <v>22879</v>
      </c>
      <c r="E5716" s="27" t="s">
        <v>72</v>
      </c>
      <c r="F5716" s="27" t="s">
        <v>48</v>
      </c>
      <c r="G5716" s="18" t="s">
        <v>35</v>
      </c>
      <c r="H5716" s="40" t="s">
        <v>35</v>
      </c>
      <c r="I5716" s="37" t="s">
        <v>36</v>
      </c>
      <c r="J5716" s="25" t="s">
        <v>19882</v>
      </c>
      <c r="K5716" s="26" t="s">
        <v>38</v>
      </c>
      <c r="L5716" s="72">
        <v>14188.0</v>
      </c>
      <c r="M5716" s="49" t="s">
        <v>73</v>
      </c>
      <c r="N5716" s="65" t="s">
        <v>19883</v>
      </c>
      <c r="O5716" s="209">
        <v>45947.630173020836</v>
      </c>
      <c r="P5716" s="35" t="s">
        <v>22880</v>
      </c>
      <c r="Q5716" s="13" t="s">
        <v>75</v>
      </c>
      <c r="R5716" s="13" t="s">
        <v>75</v>
      </c>
      <c r="S5716" s="13" t="s">
        <v>73</v>
      </c>
      <c r="T5716" s="44">
        <v>45916.78544709491</v>
      </c>
      <c r="U5716" s="44">
        <v>45916.78438111111</v>
      </c>
      <c r="V5716" s="44">
        <v>45915.67336260417</v>
      </c>
      <c r="W5716" s="11"/>
      <c r="X5716" s="11"/>
      <c r="Y5716" s="45">
        <v>302.0</v>
      </c>
      <c r="Z5716" s="45" t="s">
        <v>22881</v>
      </c>
      <c r="AA5716" s="31"/>
      <c r="AB5716" s="45" t="s">
        <v>22882</v>
      </c>
      <c r="AC5716" s="45"/>
    </row>
    <row r="5717" ht="18.75" customHeight="1">
      <c r="A5717" s="32" t="s">
        <v>22883</v>
      </c>
      <c r="B5717" s="19" t="s">
        <v>19002</v>
      </c>
      <c r="C5717" s="20">
        <v>27.0</v>
      </c>
      <c r="D5717" s="39" t="s">
        <v>22884</v>
      </c>
      <c r="E5717" s="27" t="s">
        <v>72</v>
      </c>
      <c r="F5717" s="27" t="s">
        <v>48</v>
      </c>
      <c r="G5717" s="18" t="s">
        <v>35</v>
      </c>
      <c r="H5717" s="40" t="s">
        <v>35</v>
      </c>
      <c r="I5717" s="37" t="s">
        <v>36</v>
      </c>
      <c r="J5717" s="25" t="s">
        <v>19882</v>
      </c>
      <c r="K5717" s="26" t="s">
        <v>38</v>
      </c>
      <c r="L5717" s="72">
        <v>14188.0</v>
      </c>
      <c r="M5717" s="49" t="s">
        <v>73</v>
      </c>
      <c r="N5717" s="65" t="s">
        <v>19883</v>
      </c>
      <c r="O5717" s="209">
        <v>45947.630173020836</v>
      </c>
      <c r="P5717" s="35" t="s">
        <v>22880</v>
      </c>
      <c r="Q5717" s="13" t="s">
        <v>75</v>
      </c>
      <c r="R5717" s="13" t="s">
        <v>75</v>
      </c>
      <c r="S5717" s="13" t="s">
        <v>73</v>
      </c>
      <c r="T5717" s="44">
        <v>45916.78552605324</v>
      </c>
      <c r="U5717" s="44">
        <v>45916.78404233797</v>
      </c>
      <c r="V5717" s="44">
        <v>45916.416821886574</v>
      </c>
      <c r="W5717" s="11"/>
      <c r="X5717" s="11"/>
      <c r="Y5717" s="45">
        <v>302.0</v>
      </c>
      <c r="Z5717" s="45" t="s">
        <v>22885</v>
      </c>
      <c r="AA5717" s="31"/>
      <c r="AB5717" s="45" t="s">
        <v>22886</v>
      </c>
      <c r="AC5717" s="45"/>
    </row>
    <row r="5718" ht="18.75" customHeight="1">
      <c r="A5718" s="32" t="s">
        <v>22887</v>
      </c>
      <c r="B5718" s="19" t="s">
        <v>19002</v>
      </c>
      <c r="C5718" s="20">
        <v>27.0</v>
      </c>
      <c r="D5718" s="39" t="s">
        <v>22888</v>
      </c>
      <c r="E5718" s="27" t="s">
        <v>72</v>
      </c>
      <c r="F5718" s="27" t="s">
        <v>48</v>
      </c>
      <c r="G5718" s="18" t="s">
        <v>35</v>
      </c>
      <c r="H5718" s="40" t="s">
        <v>35</v>
      </c>
      <c r="I5718" s="37" t="s">
        <v>36</v>
      </c>
      <c r="J5718" s="25" t="s">
        <v>19882</v>
      </c>
      <c r="K5718" s="26" t="s">
        <v>38</v>
      </c>
      <c r="L5718" s="72">
        <v>14188.0</v>
      </c>
      <c r="M5718" s="49" t="s">
        <v>73</v>
      </c>
      <c r="N5718" s="65" t="s">
        <v>19883</v>
      </c>
      <c r="O5718" s="209">
        <v>45947.630173020836</v>
      </c>
      <c r="P5718" s="35" t="s">
        <v>22880</v>
      </c>
      <c r="Q5718" s="13" t="s">
        <v>75</v>
      </c>
      <c r="R5718" s="13" t="s">
        <v>75</v>
      </c>
      <c r="S5718" s="13" t="s">
        <v>73</v>
      </c>
      <c r="T5718" s="44">
        <v>45916.78560171297</v>
      </c>
      <c r="U5718" s="44">
        <v>45916.78426601852</v>
      </c>
      <c r="V5718" s="44">
        <v>45915.67344881945</v>
      </c>
      <c r="W5718" s="11"/>
      <c r="X5718" s="11"/>
      <c r="Y5718" s="45">
        <v>302.0</v>
      </c>
      <c r="Z5718" s="45" t="s">
        <v>22889</v>
      </c>
      <c r="AA5718" s="31"/>
      <c r="AB5718" s="45" t="s">
        <v>22890</v>
      </c>
      <c r="AC5718" s="45"/>
    </row>
    <row r="5719" ht="18.75" customHeight="1">
      <c r="A5719" s="32" t="s">
        <v>22891</v>
      </c>
      <c r="B5719" s="19" t="s">
        <v>19002</v>
      </c>
      <c r="C5719" s="20">
        <v>137.0</v>
      </c>
      <c r="D5719" s="39" t="s">
        <v>22892</v>
      </c>
      <c r="E5719" s="27" t="s">
        <v>85</v>
      </c>
      <c r="F5719" s="27" t="s">
        <v>48</v>
      </c>
      <c r="G5719" s="18" t="s">
        <v>35</v>
      </c>
      <c r="H5719" s="40" t="s">
        <v>35</v>
      </c>
      <c r="I5719" s="37" t="s">
        <v>36</v>
      </c>
      <c r="J5719" s="25" t="s">
        <v>19882</v>
      </c>
      <c r="K5719" s="26" t="s">
        <v>38</v>
      </c>
      <c r="L5719" s="72">
        <v>14188.0</v>
      </c>
      <c r="M5719" s="49" t="s">
        <v>73</v>
      </c>
      <c r="N5719" s="65" t="s">
        <v>19883</v>
      </c>
      <c r="O5719" s="209">
        <v>45947.630173020836</v>
      </c>
      <c r="P5719" s="35" t="s">
        <v>22880</v>
      </c>
      <c r="Q5719" s="13" t="s">
        <v>75</v>
      </c>
      <c r="R5719" s="13" t="s">
        <v>75</v>
      </c>
      <c r="S5719" s="13" t="s">
        <v>73</v>
      </c>
      <c r="T5719" s="44">
        <v>45916.78585410879</v>
      </c>
      <c r="U5719" s="44">
        <v>45916.784444791665</v>
      </c>
      <c r="V5719" s="44">
        <v>45916.419217939816</v>
      </c>
      <c r="W5719" s="11"/>
      <c r="X5719" s="11"/>
      <c r="Y5719" s="45">
        <v>302.0</v>
      </c>
      <c r="Z5719" s="45" t="s">
        <v>22893</v>
      </c>
      <c r="AA5719" s="31"/>
      <c r="AB5719" s="45" t="s">
        <v>22894</v>
      </c>
      <c r="AC5719" s="45"/>
    </row>
    <row r="5720" ht="18.75" customHeight="1">
      <c r="A5720" s="142" t="s">
        <v>22895</v>
      </c>
      <c r="B5720" s="33" t="s">
        <v>4472</v>
      </c>
      <c r="C5720" s="20">
        <v>34.0</v>
      </c>
      <c r="D5720" s="39" t="s">
        <v>22896</v>
      </c>
      <c r="E5720" s="27" t="s">
        <v>47</v>
      </c>
      <c r="F5720" s="27" t="s">
        <v>48</v>
      </c>
      <c r="G5720" s="18" t="s">
        <v>35</v>
      </c>
      <c r="H5720" s="40" t="s">
        <v>35</v>
      </c>
      <c r="I5720" s="37" t="s">
        <v>36</v>
      </c>
      <c r="J5720" s="25" t="s">
        <v>49</v>
      </c>
      <c r="K5720" s="26" t="s">
        <v>38</v>
      </c>
      <c r="L5720" s="25">
        <v>14214.0</v>
      </c>
      <c r="M5720" s="49" t="s">
        <v>50</v>
      </c>
      <c r="N5720" s="42" t="s">
        <v>9953</v>
      </c>
      <c r="O5720" s="67">
        <v>45950.65400738426</v>
      </c>
      <c r="P5720" s="26" t="s">
        <v>22897</v>
      </c>
      <c r="Q5720" s="13" t="s">
        <v>75</v>
      </c>
      <c r="R5720" s="13" t="s">
        <v>75</v>
      </c>
      <c r="S5720" s="13" t="s">
        <v>73</v>
      </c>
      <c r="T5720" s="44">
        <v>45950.42773896991</v>
      </c>
      <c r="U5720" s="44">
        <v>45950.53781314815</v>
      </c>
      <c r="V5720" s="44">
        <v>45950.550040625</v>
      </c>
      <c r="W5720" s="11"/>
      <c r="X5720" s="11"/>
      <c r="Y5720" s="45">
        <v>302.0</v>
      </c>
      <c r="Z5720" s="45" t="s">
        <v>22898</v>
      </c>
      <c r="AA5720" s="31"/>
      <c r="AB5720" s="45" t="s">
        <v>22899</v>
      </c>
      <c r="AC5720" s="45"/>
    </row>
    <row r="5721" ht="18.75" customHeight="1">
      <c r="A5721" s="142" t="s">
        <v>22900</v>
      </c>
      <c r="B5721" s="33" t="s">
        <v>70</v>
      </c>
      <c r="C5721" s="20">
        <v>0.0</v>
      </c>
      <c r="D5721" s="39"/>
      <c r="E5721" s="27" t="s">
        <v>3441</v>
      </c>
      <c r="F5721" s="27" t="s">
        <v>48</v>
      </c>
      <c r="G5721" s="18" t="s">
        <v>35</v>
      </c>
      <c r="H5721" s="40" t="s">
        <v>35</v>
      </c>
      <c r="I5721" s="37" t="s">
        <v>17277</v>
      </c>
      <c r="J5721" s="25" t="s">
        <v>49</v>
      </c>
      <c r="K5721" s="26" t="s">
        <v>38</v>
      </c>
      <c r="L5721" s="25"/>
      <c r="M5721" s="49"/>
      <c r="N5721" s="42"/>
      <c r="O5721" s="68"/>
      <c r="P5721" s="26" t="s">
        <v>22901</v>
      </c>
      <c r="Q5721" s="13" t="s">
        <v>75</v>
      </c>
      <c r="R5721" s="13" t="s">
        <v>75</v>
      </c>
      <c r="S5721" s="13"/>
      <c r="T5721" s="44">
        <v>45950.431230393515</v>
      </c>
      <c r="U5721" s="13"/>
      <c r="V5721" s="13"/>
      <c r="W5721" s="11"/>
      <c r="X5721" s="11"/>
      <c r="Y5721" s="45"/>
      <c r="Z5721" s="45"/>
      <c r="AA5721" s="31"/>
      <c r="AB5721" s="45" t="s">
        <v>22902</v>
      </c>
      <c r="AC5721" s="45"/>
    </row>
    <row r="5722" ht="18.75" customHeight="1">
      <c r="A5722" s="18" t="s">
        <v>22903</v>
      </c>
      <c r="B5722" s="33" t="s">
        <v>22904</v>
      </c>
      <c r="C5722" s="20">
        <v>0.0</v>
      </c>
      <c r="D5722" s="39"/>
      <c r="E5722" s="27" t="s">
        <v>3441</v>
      </c>
      <c r="F5722" s="27" t="s">
        <v>48</v>
      </c>
      <c r="G5722" s="18" t="s">
        <v>35</v>
      </c>
      <c r="H5722" s="40" t="s">
        <v>35</v>
      </c>
      <c r="I5722" s="37" t="s">
        <v>17277</v>
      </c>
      <c r="J5722" s="25" t="s">
        <v>49</v>
      </c>
      <c r="K5722" s="26" t="s">
        <v>38</v>
      </c>
      <c r="L5722" s="25"/>
      <c r="M5722" s="49"/>
      <c r="N5722" s="42"/>
      <c r="O5722" s="68"/>
      <c r="P5722" s="26" t="s">
        <v>22905</v>
      </c>
      <c r="Q5722" s="13" t="s">
        <v>75</v>
      </c>
      <c r="R5722" s="13" t="s">
        <v>75</v>
      </c>
      <c r="S5722" s="13"/>
      <c r="T5722" s="44">
        <v>45950.43399038195</v>
      </c>
      <c r="U5722" s="13"/>
      <c r="V5722" s="13"/>
      <c r="W5722" s="11"/>
      <c r="X5722" s="11"/>
      <c r="Y5722" s="45"/>
      <c r="Z5722" s="45"/>
      <c r="AA5722" s="31"/>
      <c r="AB5722" s="45" t="s">
        <v>22906</v>
      </c>
      <c r="AC5722" s="45"/>
    </row>
    <row r="5723" ht="18.75" customHeight="1">
      <c r="A5723" s="18" t="s">
        <v>22907</v>
      </c>
      <c r="B5723" s="33" t="s">
        <v>22904</v>
      </c>
      <c r="C5723" s="20">
        <v>0.0</v>
      </c>
      <c r="D5723" s="39"/>
      <c r="E5723" s="27" t="s">
        <v>3441</v>
      </c>
      <c r="F5723" s="27" t="s">
        <v>48</v>
      </c>
      <c r="G5723" s="18" t="s">
        <v>35</v>
      </c>
      <c r="H5723" s="40" t="s">
        <v>35</v>
      </c>
      <c r="I5723" s="37" t="s">
        <v>17277</v>
      </c>
      <c r="J5723" s="25" t="s">
        <v>49</v>
      </c>
      <c r="K5723" s="26" t="s">
        <v>38</v>
      </c>
      <c r="L5723" s="25"/>
      <c r="M5723" s="49"/>
      <c r="N5723" s="42"/>
      <c r="O5723" s="68"/>
      <c r="P5723" s="26" t="s">
        <v>22905</v>
      </c>
      <c r="Q5723" s="13" t="s">
        <v>75</v>
      </c>
      <c r="R5723" s="13" t="s">
        <v>75</v>
      </c>
      <c r="S5723" s="13" t="s">
        <v>75</v>
      </c>
      <c r="T5723" s="44">
        <v>45950.434082962965</v>
      </c>
      <c r="U5723" s="13"/>
      <c r="V5723" s="13"/>
      <c r="W5723" s="11"/>
      <c r="X5723" s="11"/>
      <c r="Y5723" s="45"/>
      <c r="Z5723" s="45"/>
      <c r="AA5723" s="31"/>
      <c r="AB5723" s="45" t="s">
        <v>22908</v>
      </c>
      <c r="AC5723" s="45"/>
    </row>
    <row r="5724" ht="18.75" customHeight="1">
      <c r="A5724" s="142" t="s">
        <v>22909</v>
      </c>
      <c r="B5724" s="33" t="s">
        <v>22267</v>
      </c>
      <c r="C5724" s="20">
        <v>1.0</v>
      </c>
      <c r="D5724" s="39"/>
      <c r="E5724" s="27" t="s">
        <v>3395</v>
      </c>
      <c r="F5724" s="27" t="s">
        <v>48</v>
      </c>
      <c r="G5724" s="18" t="s">
        <v>35</v>
      </c>
      <c r="H5724" s="40" t="s">
        <v>35</v>
      </c>
      <c r="I5724" s="37" t="s">
        <v>17277</v>
      </c>
      <c r="J5724" s="25" t="s">
        <v>65</v>
      </c>
      <c r="K5724" s="26" t="s">
        <v>38</v>
      </c>
      <c r="L5724" s="25"/>
      <c r="M5724" s="49"/>
      <c r="N5724" s="42"/>
      <c r="O5724" s="68"/>
      <c r="P5724" s="26" t="s">
        <v>22910</v>
      </c>
      <c r="Q5724" s="13" t="s">
        <v>75</v>
      </c>
      <c r="R5724" s="13" t="s">
        <v>75</v>
      </c>
      <c r="S5724" s="13"/>
      <c r="T5724" s="44">
        <v>45950.43516087963</v>
      </c>
      <c r="U5724" s="13"/>
      <c r="V5724" s="13"/>
      <c r="W5724" s="11"/>
      <c r="X5724" s="11"/>
      <c r="Y5724" s="45"/>
      <c r="Z5724" s="45"/>
      <c r="AA5724" s="31"/>
      <c r="AB5724" s="45" t="s">
        <v>22911</v>
      </c>
      <c r="AC5724" s="45"/>
    </row>
    <row r="5725" ht="18.75" customHeight="1">
      <c r="A5725" s="18" t="s">
        <v>22912</v>
      </c>
      <c r="B5725" s="33" t="s">
        <v>8203</v>
      </c>
      <c r="C5725" s="20">
        <v>0.0</v>
      </c>
      <c r="D5725" s="220" t="s">
        <v>22913</v>
      </c>
      <c r="E5725" s="27" t="s">
        <v>12405</v>
      </c>
      <c r="F5725" s="27" t="s">
        <v>48</v>
      </c>
      <c r="G5725" s="18" t="s">
        <v>35</v>
      </c>
      <c r="H5725" s="40" t="s">
        <v>35</v>
      </c>
      <c r="I5725" s="37" t="s">
        <v>36</v>
      </c>
      <c r="J5725" s="25" t="s">
        <v>65</v>
      </c>
      <c r="K5725" s="26" t="s">
        <v>38</v>
      </c>
      <c r="L5725" s="25">
        <v>14229.0</v>
      </c>
      <c r="M5725" s="49" t="s">
        <v>50</v>
      </c>
      <c r="N5725" s="42" t="s">
        <v>16408</v>
      </c>
      <c r="O5725" s="67">
        <v>45951.65908474537</v>
      </c>
      <c r="P5725" s="26" t="s">
        <v>22914</v>
      </c>
      <c r="Q5725" s="13" t="s">
        <v>20529</v>
      </c>
      <c r="R5725" s="13" t="s">
        <v>67</v>
      </c>
      <c r="S5725" s="13" t="s">
        <v>73</v>
      </c>
      <c r="T5725" s="44">
        <v>45950.411682210644</v>
      </c>
      <c r="U5725" s="44">
        <v>45950.44745209491</v>
      </c>
      <c r="V5725" s="44">
        <v>45950.545947569444</v>
      </c>
      <c r="W5725" s="11"/>
      <c r="X5725" s="11"/>
      <c r="Y5725" s="45">
        <v>302.0</v>
      </c>
      <c r="Z5725" s="45" t="s">
        <v>22915</v>
      </c>
      <c r="AA5725" s="31"/>
      <c r="AB5725" s="45" t="s">
        <v>22916</v>
      </c>
      <c r="AC5725" s="45"/>
    </row>
    <row r="5726" ht="18.75" customHeight="1">
      <c r="A5726" s="18" t="s">
        <v>22917</v>
      </c>
      <c r="B5726" s="33" t="s">
        <v>8203</v>
      </c>
      <c r="C5726" s="20">
        <v>137.0</v>
      </c>
      <c r="D5726" s="39" t="s">
        <v>22918</v>
      </c>
      <c r="E5726" s="27" t="s">
        <v>85</v>
      </c>
      <c r="F5726" s="27" t="s">
        <v>48</v>
      </c>
      <c r="G5726" s="18" t="s">
        <v>35</v>
      </c>
      <c r="H5726" s="40" t="s">
        <v>35</v>
      </c>
      <c r="I5726" s="37" t="s">
        <v>36</v>
      </c>
      <c r="J5726" s="25" t="s">
        <v>65</v>
      </c>
      <c r="K5726" s="26" t="s">
        <v>38</v>
      </c>
      <c r="L5726" s="25">
        <v>14229.0</v>
      </c>
      <c r="M5726" s="49" t="s">
        <v>50</v>
      </c>
      <c r="N5726" s="42" t="s">
        <v>16408</v>
      </c>
      <c r="O5726" s="67">
        <v>45951.65913402778</v>
      </c>
      <c r="P5726" s="26" t="s">
        <v>22914</v>
      </c>
      <c r="Q5726" s="13" t="s">
        <v>20529</v>
      </c>
      <c r="R5726" s="13" t="s">
        <v>67</v>
      </c>
      <c r="S5726" s="13" t="s">
        <v>73</v>
      </c>
      <c r="T5726" s="44">
        <v>45950.41190796296</v>
      </c>
      <c r="U5726" s="44">
        <v>45951.390694016205</v>
      </c>
      <c r="V5726" s="44">
        <v>45951.4319178588</v>
      </c>
      <c r="W5726" s="11"/>
      <c r="X5726" s="11"/>
      <c r="Y5726" s="45">
        <v>302.0</v>
      </c>
      <c r="Z5726" s="45" t="s">
        <v>22919</v>
      </c>
      <c r="AA5726" s="31"/>
      <c r="AB5726" s="45" t="s">
        <v>22920</v>
      </c>
      <c r="AC5726" s="45"/>
    </row>
    <row r="5727" ht="18.75" customHeight="1">
      <c r="A5727" s="18" t="s">
        <v>22921</v>
      </c>
      <c r="B5727" s="33" t="s">
        <v>1192</v>
      </c>
      <c r="C5727" s="20">
        <v>1.0</v>
      </c>
      <c r="D5727" s="39" t="s">
        <v>22922</v>
      </c>
      <c r="E5727" s="27" t="s">
        <v>3395</v>
      </c>
      <c r="F5727" s="27" t="s">
        <v>48</v>
      </c>
      <c r="G5727" s="18" t="s">
        <v>35</v>
      </c>
      <c r="H5727" s="40" t="s">
        <v>35</v>
      </c>
      <c r="I5727" s="37" t="s">
        <v>36</v>
      </c>
      <c r="J5727" s="25" t="s">
        <v>65</v>
      </c>
      <c r="K5727" s="26" t="s">
        <v>38</v>
      </c>
      <c r="L5727" s="25">
        <v>14215.0</v>
      </c>
      <c r="M5727" s="49" t="s">
        <v>50</v>
      </c>
      <c r="N5727" s="42" t="s">
        <v>16408</v>
      </c>
      <c r="O5727" s="67">
        <v>45950.65278107639</v>
      </c>
      <c r="P5727" s="26" t="s">
        <v>22923</v>
      </c>
      <c r="Q5727" s="13" t="s">
        <v>75</v>
      </c>
      <c r="R5727" s="13" t="s">
        <v>75</v>
      </c>
      <c r="S5727" s="13" t="s">
        <v>73</v>
      </c>
      <c r="T5727" s="44">
        <v>45950.46264513889</v>
      </c>
      <c r="U5727" s="44">
        <v>45950.54139063657</v>
      </c>
      <c r="V5727" s="44">
        <v>45950.55222027778</v>
      </c>
      <c r="W5727" s="11"/>
      <c r="X5727" s="11"/>
      <c r="Y5727" s="45"/>
      <c r="Z5727" s="45"/>
      <c r="AA5727" s="31"/>
      <c r="AB5727" s="45" t="s">
        <v>22924</v>
      </c>
      <c r="AC5727" s="45"/>
    </row>
    <row r="5728" ht="18.75" customHeight="1">
      <c r="A5728" s="18" t="s">
        <v>22925</v>
      </c>
      <c r="B5728" s="33" t="s">
        <v>1192</v>
      </c>
      <c r="C5728" s="20">
        <v>1.0</v>
      </c>
      <c r="D5728" s="39" t="s">
        <v>22926</v>
      </c>
      <c r="E5728" s="27" t="s">
        <v>3395</v>
      </c>
      <c r="F5728" s="27" t="s">
        <v>48</v>
      </c>
      <c r="G5728" s="18" t="s">
        <v>35</v>
      </c>
      <c r="H5728" s="40" t="s">
        <v>35</v>
      </c>
      <c r="I5728" s="37" t="s">
        <v>36</v>
      </c>
      <c r="J5728" s="25" t="s">
        <v>65</v>
      </c>
      <c r="K5728" s="26" t="s">
        <v>38</v>
      </c>
      <c r="L5728" s="25">
        <v>14215.0</v>
      </c>
      <c r="M5728" s="49" t="s">
        <v>50</v>
      </c>
      <c r="N5728" s="42" t="s">
        <v>16408</v>
      </c>
      <c r="O5728" s="67">
        <v>45950.6528290625</v>
      </c>
      <c r="P5728" s="26" t="s">
        <v>22923</v>
      </c>
      <c r="Q5728" s="13" t="s">
        <v>75</v>
      </c>
      <c r="R5728" s="13" t="s">
        <v>75</v>
      </c>
      <c r="S5728" s="13" t="s">
        <v>73</v>
      </c>
      <c r="T5728" s="44">
        <v>45950.4626993287</v>
      </c>
      <c r="U5728" s="44">
        <v>45950.541444386574</v>
      </c>
      <c r="V5728" s="44">
        <v>45950.552288541665</v>
      </c>
      <c r="W5728" s="11"/>
      <c r="X5728" s="11"/>
      <c r="Y5728" s="45"/>
      <c r="Z5728" s="45"/>
      <c r="AA5728" s="31"/>
      <c r="AB5728" s="45" t="s">
        <v>22927</v>
      </c>
      <c r="AC5728" s="45"/>
    </row>
    <row r="5729" ht="18.75" customHeight="1">
      <c r="A5729" s="142" t="s">
        <v>22928</v>
      </c>
      <c r="B5729" s="33" t="s">
        <v>14522</v>
      </c>
      <c r="C5729" s="20">
        <v>90.0</v>
      </c>
      <c r="D5729" s="39" t="s">
        <v>22929</v>
      </c>
      <c r="E5729" s="27" t="s">
        <v>91</v>
      </c>
      <c r="F5729" s="27" t="s">
        <v>48</v>
      </c>
      <c r="G5729" s="18" t="s">
        <v>35</v>
      </c>
      <c r="H5729" s="40" t="s">
        <v>35</v>
      </c>
      <c r="I5729" s="37" t="s">
        <v>36</v>
      </c>
      <c r="J5729" s="25" t="s">
        <v>65</v>
      </c>
      <c r="K5729" s="26" t="s">
        <v>38</v>
      </c>
      <c r="L5729" s="25">
        <v>14230.0</v>
      </c>
      <c r="M5729" s="49" t="s">
        <v>50</v>
      </c>
      <c r="N5729" s="42" t="s">
        <v>16408</v>
      </c>
      <c r="O5729" s="67">
        <v>45951.65917752315</v>
      </c>
      <c r="P5729" s="26" t="s">
        <v>22930</v>
      </c>
      <c r="Q5729" s="13" t="s">
        <v>67</v>
      </c>
      <c r="R5729" s="13" t="s">
        <v>67</v>
      </c>
      <c r="S5729" s="13" t="s">
        <v>73</v>
      </c>
      <c r="T5729" s="44">
        <v>45950.55328574074</v>
      </c>
      <c r="U5729" s="44">
        <v>45950.66475866898</v>
      </c>
      <c r="V5729" s="44">
        <v>45951.43171379629</v>
      </c>
      <c r="W5729" s="11"/>
      <c r="X5729" s="11"/>
      <c r="Y5729" s="45">
        <v>302.0</v>
      </c>
      <c r="Z5729" s="45" t="s">
        <v>22931</v>
      </c>
      <c r="AA5729" s="31"/>
      <c r="AB5729" s="45" t="s">
        <v>22932</v>
      </c>
      <c r="AC5729" s="45"/>
    </row>
    <row r="5730" ht="18.75" customHeight="1">
      <c r="A5730" s="142" t="s">
        <v>22933</v>
      </c>
      <c r="B5730" s="33" t="s">
        <v>16563</v>
      </c>
      <c r="C5730" s="20">
        <v>34.0</v>
      </c>
      <c r="D5730" s="39"/>
      <c r="E5730" s="27" t="s">
        <v>47</v>
      </c>
      <c r="F5730" s="27" t="s">
        <v>48</v>
      </c>
      <c r="G5730" s="18" t="s">
        <v>35</v>
      </c>
      <c r="H5730" s="40" t="s">
        <v>35</v>
      </c>
      <c r="I5730" s="37" t="s">
        <v>20664</v>
      </c>
      <c r="J5730" s="25" t="s">
        <v>65</v>
      </c>
      <c r="K5730" s="26" t="s">
        <v>38</v>
      </c>
      <c r="L5730" s="25"/>
      <c r="M5730" s="49"/>
      <c r="N5730" s="42"/>
      <c r="O5730" s="68"/>
      <c r="P5730" s="26" t="s">
        <v>22934</v>
      </c>
      <c r="Q5730" s="13" t="s">
        <v>67</v>
      </c>
      <c r="R5730" s="13" t="s">
        <v>67</v>
      </c>
      <c r="S5730" s="13"/>
      <c r="T5730" s="44">
        <v>45950.55461511574</v>
      </c>
      <c r="U5730" s="13"/>
      <c r="V5730" s="13"/>
      <c r="W5730" s="11"/>
      <c r="X5730" s="11"/>
      <c r="Y5730" s="45"/>
      <c r="Z5730" s="45"/>
      <c r="AA5730" s="31"/>
      <c r="AB5730" s="45" t="s">
        <v>22935</v>
      </c>
      <c r="AC5730" s="45"/>
    </row>
    <row r="5731" ht="18.75" customHeight="1">
      <c r="A5731" s="142" t="s">
        <v>22936</v>
      </c>
      <c r="B5731" s="33" t="s">
        <v>22937</v>
      </c>
      <c r="C5731" s="20">
        <v>1.0</v>
      </c>
      <c r="D5731" s="39"/>
      <c r="E5731" s="27" t="s">
        <v>3395</v>
      </c>
      <c r="F5731" s="27" t="s">
        <v>48</v>
      </c>
      <c r="G5731" s="18" t="s">
        <v>35</v>
      </c>
      <c r="H5731" s="40" t="s">
        <v>35</v>
      </c>
      <c r="I5731" s="37" t="s">
        <v>17277</v>
      </c>
      <c r="J5731" s="25" t="s">
        <v>49</v>
      </c>
      <c r="K5731" s="26" t="s">
        <v>38</v>
      </c>
      <c r="L5731" s="25"/>
      <c r="M5731" s="49"/>
      <c r="N5731" s="42"/>
      <c r="O5731" s="68"/>
      <c r="P5731" s="26" t="s">
        <v>22938</v>
      </c>
      <c r="Q5731" s="13" t="s">
        <v>67</v>
      </c>
      <c r="R5731" s="13" t="s">
        <v>67</v>
      </c>
      <c r="S5731" s="13"/>
      <c r="T5731" s="44">
        <v>45950.55926199074</v>
      </c>
      <c r="U5731" s="13"/>
      <c r="V5731" s="13"/>
      <c r="W5731" s="11"/>
      <c r="X5731" s="11"/>
      <c r="Y5731" s="45"/>
      <c r="Z5731" s="45"/>
      <c r="AA5731" s="31"/>
      <c r="AB5731" s="45" t="s">
        <v>22939</v>
      </c>
      <c r="AC5731" s="45"/>
    </row>
    <row r="5732" ht="18.75" customHeight="1">
      <c r="A5732" s="142" t="s">
        <v>22940</v>
      </c>
      <c r="B5732" s="33" t="s">
        <v>22941</v>
      </c>
      <c r="C5732" s="20">
        <v>34.0</v>
      </c>
      <c r="D5732" s="39"/>
      <c r="E5732" s="27" t="s">
        <v>47</v>
      </c>
      <c r="F5732" s="27" t="s">
        <v>48</v>
      </c>
      <c r="G5732" s="18" t="s">
        <v>35</v>
      </c>
      <c r="H5732" s="40" t="s">
        <v>35</v>
      </c>
      <c r="I5732" s="37" t="s">
        <v>20664</v>
      </c>
      <c r="J5732" s="25" t="s">
        <v>65</v>
      </c>
      <c r="K5732" s="26" t="s">
        <v>38</v>
      </c>
      <c r="L5732" s="25"/>
      <c r="M5732" s="49"/>
      <c r="N5732" s="42"/>
      <c r="O5732" s="68"/>
      <c r="P5732" s="26" t="s">
        <v>22942</v>
      </c>
      <c r="Q5732" s="13" t="s">
        <v>75</v>
      </c>
      <c r="R5732" s="13" t="s">
        <v>75</v>
      </c>
      <c r="S5732" s="13"/>
      <c r="T5732" s="44">
        <v>45950.62307693287</v>
      </c>
      <c r="U5732" s="44">
        <v>45951.44569378472</v>
      </c>
      <c r="V5732" s="13"/>
      <c r="W5732" s="11"/>
      <c r="X5732" s="11"/>
      <c r="Y5732" s="45"/>
      <c r="Z5732" s="45"/>
      <c r="AA5732" s="31"/>
      <c r="AB5732" s="45" t="s">
        <v>22943</v>
      </c>
      <c r="AC5732" s="45"/>
    </row>
    <row r="5733" ht="18.75" customHeight="1">
      <c r="A5733" s="142" t="s">
        <v>22944</v>
      </c>
      <c r="B5733" s="33" t="s">
        <v>4614</v>
      </c>
      <c r="C5733" s="20">
        <v>0.0</v>
      </c>
      <c r="D5733" s="39"/>
      <c r="E5733" s="27" t="s">
        <v>12405</v>
      </c>
      <c r="F5733" s="27" t="s">
        <v>48</v>
      </c>
      <c r="G5733" s="18" t="s">
        <v>35</v>
      </c>
      <c r="H5733" s="40" t="s">
        <v>35</v>
      </c>
      <c r="I5733" s="37" t="s">
        <v>22367</v>
      </c>
      <c r="J5733" s="25" t="s">
        <v>518</v>
      </c>
      <c r="K5733" s="26" t="s">
        <v>38</v>
      </c>
      <c r="L5733" s="25"/>
      <c r="M5733" s="49"/>
      <c r="N5733" s="42"/>
      <c r="O5733" s="68"/>
      <c r="P5733" s="26" t="s">
        <v>22945</v>
      </c>
      <c r="Q5733" s="13" t="s">
        <v>75</v>
      </c>
      <c r="R5733" s="13" t="s">
        <v>75</v>
      </c>
      <c r="S5733" s="13"/>
      <c r="T5733" s="44">
        <v>45950.623837499996</v>
      </c>
      <c r="U5733" s="44">
        <v>45951.445390231485</v>
      </c>
      <c r="V5733" s="13"/>
      <c r="W5733" s="11"/>
      <c r="X5733" s="11"/>
      <c r="Y5733" s="45"/>
      <c r="Z5733" s="45"/>
      <c r="AA5733" s="31"/>
      <c r="AB5733" s="45" t="s">
        <v>22946</v>
      </c>
      <c r="AC5733" s="45"/>
    </row>
    <row r="5734" ht="18.75" customHeight="1">
      <c r="A5734" s="142" t="s">
        <v>22947</v>
      </c>
      <c r="B5734" s="33" t="s">
        <v>22613</v>
      </c>
      <c r="C5734" s="20">
        <v>90.0</v>
      </c>
      <c r="D5734" s="39"/>
      <c r="E5734" s="27" t="s">
        <v>91</v>
      </c>
      <c r="F5734" s="27" t="s">
        <v>48</v>
      </c>
      <c r="G5734" s="18" t="s">
        <v>35</v>
      </c>
      <c r="H5734" s="40" t="s">
        <v>35</v>
      </c>
      <c r="I5734" s="37" t="s">
        <v>22853</v>
      </c>
      <c r="J5734" s="25" t="s">
        <v>92</v>
      </c>
      <c r="K5734" s="26" t="s">
        <v>38</v>
      </c>
      <c r="L5734" s="25"/>
      <c r="M5734" s="49"/>
      <c r="N5734" s="42"/>
      <c r="O5734" s="68"/>
      <c r="P5734" s="26" t="s">
        <v>22948</v>
      </c>
      <c r="Q5734" s="13" t="s">
        <v>75</v>
      </c>
      <c r="R5734" s="13" t="s">
        <v>75</v>
      </c>
      <c r="S5734" s="13"/>
      <c r="T5734" s="44">
        <v>45950.625109699075</v>
      </c>
      <c r="U5734" s="44">
        <v>45951.721359641204</v>
      </c>
      <c r="V5734" s="13"/>
      <c r="W5734" s="11"/>
      <c r="X5734" s="11"/>
      <c r="Y5734" s="45"/>
      <c r="Z5734" s="45"/>
      <c r="AA5734" s="31"/>
      <c r="AB5734" s="45" t="s">
        <v>22949</v>
      </c>
      <c r="AC5734" s="45"/>
    </row>
    <row r="5735" ht="18.75" customHeight="1">
      <c r="A5735" s="142" t="s">
        <v>22950</v>
      </c>
      <c r="B5735" s="33" t="s">
        <v>4941</v>
      </c>
      <c r="C5735" s="20">
        <v>1.0</v>
      </c>
      <c r="D5735" s="39"/>
      <c r="E5735" s="27" t="s">
        <v>3395</v>
      </c>
      <c r="F5735" s="27" t="s">
        <v>48</v>
      </c>
      <c r="G5735" s="18" t="s">
        <v>35</v>
      </c>
      <c r="H5735" s="40" t="s">
        <v>35</v>
      </c>
      <c r="I5735" s="37" t="s">
        <v>18314</v>
      </c>
      <c r="J5735" s="25" t="s">
        <v>49</v>
      </c>
      <c r="K5735" s="26" t="s">
        <v>38</v>
      </c>
      <c r="L5735" s="25"/>
      <c r="M5735" s="49"/>
      <c r="N5735" s="42"/>
      <c r="O5735" s="68"/>
      <c r="P5735" s="26" t="s">
        <v>22951</v>
      </c>
      <c r="Q5735" s="13"/>
      <c r="R5735" s="13" t="s">
        <v>75</v>
      </c>
      <c r="S5735" s="13"/>
      <c r="T5735" s="44">
        <v>45950.62617854167</v>
      </c>
      <c r="U5735" s="44">
        <v>45951.44484327546</v>
      </c>
      <c r="V5735" s="13"/>
      <c r="W5735" s="11"/>
      <c r="X5735" s="11"/>
      <c r="Y5735" s="45"/>
      <c r="Z5735" s="45"/>
      <c r="AA5735" s="31"/>
      <c r="AB5735" s="45" t="s">
        <v>22952</v>
      </c>
      <c r="AC5735" s="45"/>
    </row>
    <row r="5736" ht="18.75" customHeight="1">
      <c r="A5736" s="142" t="s">
        <v>22953</v>
      </c>
      <c r="B5736" s="33" t="s">
        <v>16816</v>
      </c>
      <c r="C5736" s="20">
        <v>0.0</v>
      </c>
      <c r="D5736" s="39"/>
      <c r="E5736" s="27" t="s">
        <v>3441</v>
      </c>
      <c r="F5736" s="27" t="s">
        <v>48</v>
      </c>
      <c r="G5736" s="18" t="s">
        <v>35</v>
      </c>
      <c r="H5736" s="40" t="s">
        <v>35</v>
      </c>
      <c r="I5736" s="37" t="s">
        <v>18314</v>
      </c>
      <c r="J5736" s="25" t="s">
        <v>65</v>
      </c>
      <c r="K5736" s="26" t="s">
        <v>38</v>
      </c>
      <c r="L5736" s="25"/>
      <c r="M5736" s="49"/>
      <c r="N5736" s="42"/>
      <c r="O5736" s="68"/>
      <c r="P5736" s="26" t="s">
        <v>22954</v>
      </c>
      <c r="Q5736" s="13" t="s">
        <v>75</v>
      </c>
      <c r="R5736" s="13" t="s">
        <v>75</v>
      </c>
      <c r="S5736" s="13"/>
      <c r="T5736" s="44">
        <v>45950.6270065625</v>
      </c>
      <c r="U5736" s="44">
        <v>45951.44426447917</v>
      </c>
      <c r="V5736" s="13"/>
      <c r="W5736" s="11"/>
      <c r="X5736" s="11"/>
      <c r="Y5736" s="45"/>
      <c r="Z5736" s="45"/>
      <c r="AA5736" s="31"/>
      <c r="AB5736" s="45" t="s">
        <v>22955</v>
      </c>
      <c r="AC5736" s="45"/>
    </row>
    <row r="5737" ht="18.75" customHeight="1">
      <c r="A5737" s="142" t="s">
        <v>22956</v>
      </c>
      <c r="B5737" s="33" t="s">
        <v>9895</v>
      </c>
      <c r="C5737" s="20">
        <v>90.0</v>
      </c>
      <c r="D5737" s="39" t="s">
        <v>22957</v>
      </c>
      <c r="E5737" s="27" t="s">
        <v>91</v>
      </c>
      <c r="F5737" s="27" t="s">
        <v>48</v>
      </c>
      <c r="G5737" s="18" t="s">
        <v>35</v>
      </c>
      <c r="H5737" s="40" t="s">
        <v>35</v>
      </c>
      <c r="I5737" s="37" t="s">
        <v>36</v>
      </c>
      <c r="J5737" s="25" t="s">
        <v>49</v>
      </c>
      <c r="K5737" s="26" t="s">
        <v>38</v>
      </c>
      <c r="L5737" s="25">
        <v>14232.0</v>
      </c>
      <c r="M5737" s="49" t="s">
        <v>50</v>
      </c>
      <c r="N5737" s="42" t="s">
        <v>17048</v>
      </c>
      <c r="O5737" s="67">
        <v>45951.683937546295</v>
      </c>
      <c r="P5737" s="26" t="s">
        <v>22958</v>
      </c>
      <c r="Q5737" s="13" t="s">
        <v>75</v>
      </c>
      <c r="R5737" s="13" t="s">
        <v>75</v>
      </c>
      <c r="S5737" s="13" t="s">
        <v>73</v>
      </c>
      <c r="T5737" s="44">
        <v>45950.62871603009</v>
      </c>
      <c r="U5737" s="44">
        <v>45950.65967674769</v>
      </c>
      <c r="V5737" s="44">
        <v>45951.43409996528</v>
      </c>
      <c r="W5737" s="11"/>
      <c r="X5737" s="11"/>
      <c r="Y5737" s="45">
        <v>302.0</v>
      </c>
      <c r="Z5737" s="45" t="s">
        <v>22959</v>
      </c>
      <c r="AA5737" s="31"/>
      <c r="AB5737" s="45" t="s">
        <v>22960</v>
      </c>
      <c r="AC5737" s="45"/>
    </row>
    <row r="5738" ht="18.75" customHeight="1">
      <c r="A5738" s="142" t="s">
        <v>22961</v>
      </c>
      <c r="B5738" s="33" t="s">
        <v>22962</v>
      </c>
      <c r="C5738" s="20">
        <v>90.0</v>
      </c>
      <c r="D5738" s="39" t="s">
        <v>22963</v>
      </c>
      <c r="E5738" s="27" t="s">
        <v>91</v>
      </c>
      <c r="F5738" s="27" t="s">
        <v>48</v>
      </c>
      <c r="G5738" s="18" t="s">
        <v>35</v>
      </c>
      <c r="H5738" s="40" t="s">
        <v>35</v>
      </c>
      <c r="I5738" s="37" t="s">
        <v>18148</v>
      </c>
      <c r="J5738" s="25" t="s">
        <v>92</v>
      </c>
      <c r="K5738" s="26" t="s">
        <v>38</v>
      </c>
      <c r="L5738" s="25">
        <v>14231.0</v>
      </c>
      <c r="M5738" s="49"/>
      <c r="N5738" s="42"/>
      <c r="O5738" s="68"/>
      <c r="P5738" s="26" t="s">
        <v>22964</v>
      </c>
      <c r="Q5738" s="13" t="s">
        <v>67</v>
      </c>
      <c r="R5738" s="13" t="s">
        <v>67</v>
      </c>
      <c r="S5738" s="13" t="s">
        <v>73</v>
      </c>
      <c r="T5738" s="44">
        <v>45950.70991984954</v>
      </c>
      <c r="U5738" s="44">
        <v>45951.39840664352</v>
      </c>
      <c r="V5738" s="44">
        <v>45951.43884283565</v>
      </c>
      <c r="W5738" s="11"/>
      <c r="X5738" s="11"/>
      <c r="Y5738" s="45">
        <v>302.0</v>
      </c>
      <c r="Z5738" s="45" t="s">
        <v>22965</v>
      </c>
      <c r="AA5738" s="31"/>
      <c r="AB5738" s="45" t="s">
        <v>22966</v>
      </c>
      <c r="AC5738" s="45"/>
    </row>
    <row r="5739" ht="18.75" customHeight="1">
      <c r="A5739" s="142" t="s">
        <v>22967</v>
      </c>
      <c r="B5739" s="33" t="s">
        <v>1345</v>
      </c>
      <c r="C5739" s="20">
        <v>1.0</v>
      </c>
      <c r="D5739" s="39"/>
      <c r="E5739" s="27" t="s">
        <v>3395</v>
      </c>
      <c r="F5739" s="27" t="s">
        <v>48</v>
      </c>
      <c r="G5739" s="18" t="s">
        <v>35</v>
      </c>
      <c r="H5739" s="40" t="s">
        <v>35</v>
      </c>
      <c r="I5739" s="37" t="s">
        <v>18314</v>
      </c>
      <c r="J5739" s="25" t="s">
        <v>420</v>
      </c>
      <c r="K5739" s="26" t="s">
        <v>38</v>
      </c>
      <c r="L5739" s="25"/>
      <c r="M5739" s="49"/>
      <c r="N5739" s="42"/>
      <c r="O5739" s="68"/>
      <c r="P5739" s="26" t="s">
        <v>22968</v>
      </c>
      <c r="Q5739" s="13" t="s">
        <v>75</v>
      </c>
      <c r="R5739" s="13" t="s">
        <v>75</v>
      </c>
      <c r="S5739" s="13"/>
      <c r="T5739" s="44">
        <v>45950.72234876157</v>
      </c>
      <c r="U5739" s="44">
        <v>45951.443107025465</v>
      </c>
      <c r="V5739" s="13"/>
      <c r="W5739" s="11"/>
      <c r="X5739" s="11"/>
      <c r="Y5739" s="45"/>
      <c r="Z5739" s="45"/>
      <c r="AA5739" s="31"/>
      <c r="AB5739" s="45" t="s">
        <v>22969</v>
      </c>
      <c r="AC5739" s="45"/>
    </row>
    <row r="5740" ht="18.75" customHeight="1">
      <c r="A5740" s="142" t="s">
        <v>22970</v>
      </c>
      <c r="B5740" s="33" t="s">
        <v>13433</v>
      </c>
      <c r="C5740" s="20">
        <v>90.0</v>
      </c>
      <c r="D5740" s="39" t="s">
        <v>22971</v>
      </c>
      <c r="E5740" s="27" t="s">
        <v>91</v>
      </c>
      <c r="F5740" s="27" t="s">
        <v>48</v>
      </c>
      <c r="G5740" s="18" t="s">
        <v>35</v>
      </c>
      <c r="H5740" s="40" t="s">
        <v>35</v>
      </c>
      <c r="I5740" s="37" t="s">
        <v>36</v>
      </c>
      <c r="J5740" s="25" t="s">
        <v>49</v>
      </c>
      <c r="K5740" s="26" t="s">
        <v>11095</v>
      </c>
      <c r="L5740" s="25">
        <v>14233.0</v>
      </c>
      <c r="M5740" s="49" t="s">
        <v>50</v>
      </c>
      <c r="N5740" s="42" t="s">
        <v>17048</v>
      </c>
      <c r="O5740" s="67">
        <v>45951.683994583334</v>
      </c>
      <c r="P5740" s="26" t="s">
        <v>22972</v>
      </c>
      <c r="Q5740" s="13" t="s">
        <v>67</v>
      </c>
      <c r="R5740" s="13" t="s">
        <v>67</v>
      </c>
      <c r="S5740" s="13" t="s">
        <v>73</v>
      </c>
      <c r="T5740" s="44">
        <v>45951.42369052084</v>
      </c>
      <c r="U5740" s="44">
        <v>45951.46377393519</v>
      </c>
      <c r="V5740" s="44">
        <v>45951.47200596065</v>
      </c>
      <c r="W5740" s="11"/>
      <c r="X5740" s="11"/>
      <c r="Y5740" s="45">
        <v>302.0</v>
      </c>
      <c r="Z5740" s="45" t="s">
        <v>22973</v>
      </c>
      <c r="AA5740" s="31"/>
      <c r="AB5740" s="45" t="s">
        <v>22974</v>
      </c>
      <c r="AC5740" s="45"/>
    </row>
    <row r="5741" ht="18.75" customHeight="1">
      <c r="A5741" s="18" t="s">
        <v>22975</v>
      </c>
      <c r="B5741" s="33" t="s">
        <v>10666</v>
      </c>
      <c r="C5741" s="20">
        <v>0.0</v>
      </c>
      <c r="D5741" s="39"/>
      <c r="E5741" s="27" t="s">
        <v>12405</v>
      </c>
      <c r="F5741" s="27" t="s">
        <v>48</v>
      </c>
      <c r="G5741" s="18" t="s">
        <v>35</v>
      </c>
      <c r="H5741" s="40" t="s">
        <v>35</v>
      </c>
      <c r="I5741" s="37" t="s">
        <v>20664</v>
      </c>
      <c r="J5741" s="25" t="s">
        <v>65</v>
      </c>
      <c r="K5741" s="26" t="s">
        <v>38</v>
      </c>
      <c r="L5741" s="25"/>
      <c r="M5741" s="49"/>
      <c r="N5741" s="42"/>
      <c r="O5741" s="68"/>
      <c r="P5741" s="26" t="s">
        <v>22976</v>
      </c>
      <c r="Q5741" s="13" t="s">
        <v>67</v>
      </c>
      <c r="R5741" s="13" t="s">
        <v>67</v>
      </c>
      <c r="S5741" s="13"/>
      <c r="T5741" s="44">
        <v>45951.42503059028</v>
      </c>
      <c r="U5741" s="13"/>
      <c r="V5741" s="13"/>
      <c r="W5741" s="11"/>
      <c r="X5741" s="11"/>
      <c r="Y5741" s="45"/>
      <c r="Z5741" s="45"/>
      <c r="AA5741" s="31"/>
      <c r="AB5741" s="45" t="s">
        <v>22977</v>
      </c>
      <c r="AC5741" s="45"/>
    </row>
    <row r="5742" ht="18.75" customHeight="1">
      <c r="A5742" s="18" t="s">
        <v>22978</v>
      </c>
      <c r="B5742" s="33" t="s">
        <v>10666</v>
      </c>
      <c r="C5742" s="20">
        <v>90.0</v>
      </c>
      <c r="D5742" s="39"/>
      <c r="E5742" s="27" t="s">
        <v>91</v>
      </c>
      <c r="F5742" s="27" t="s">
        <v>48</v>
      </c>
      <c r="G5742" s="18" t="s">
        <v>35</v>
      </c>
      <c r="H5742" s="40" t="s">
        <v>35</v>
      </c>
      <c r="I5742" s="37" t="s">
        <v>20664</v>
      </c>
      <c r="J5742" s="25" t="s">
        <v>65</v>
      </c>
      <c r="K5742" s="26" t="s">
        <v>38</v>
      </c>
      <c r="L5742" s="25"/>
      <c r="M5742" s="49"/>
      <c r="N5742" s="42"/>
      <c r="O5742" s="68"/>
      <c r="P5742" s="26" t="s">
        <v>22976</v>
      </c>
      <c r="Q5742" s="13" t="s">
        <v>67</v>
      </c>
      <c r="R5742" s="13" t="s">
        <v>67</v>
      </c>
      <c r="S5742" s="13" t="s">
        <v>67</v>
      </c>
      <c r="T5742" s="44">
        <v>45951.42528107639</v>
      </c>
      <c r="U5742" s="13"/>
      <c r="V5742" s="13"/>
      <c r="W5742" s="11"/>
      <c r="X5742" s="11"/>
      <c r="Y5742" s="45"/>
      <c r="Z5742" s="45"/>
      <c r="AA5742" s="31"/>
      <c r="AB5742" s="45" t="s">
        <v>22979</v>
      </c>
      <c r="AC5742" s="45"/>
    </row>
    <row r="5743" ht="18.75" customHeight="1">
      <c r="A5743" s="18" t="s">
        <v>22980</v>
      </c>
      <c r="B5743" s="33" t="s">
        <v>10666</v>
      </c>
      <c r="C5743" s="20">
        <v>90.0</v>
      </c>
      <c r="D5743" s="39"/>
      <c r="E5743" s="27" t="s">
        <v>91</v>
      </c>
      <c r="F5743" s="27" t="s">
        <v>48</v>
      </c>
      <c r="G5743" s="18" t="s">
        <v>35</v>
      </c>
      <c r="H5743" s="40" t="s">
        <v>35</v>
      </c>
      <c r="I5743" s="37" t="s">
        <v>20664</v>
      </c>
      <c r="J5743" s="25" t="s">
        <v>65</v>
      </c>
      <c r="K5743" s="26" t="s">
        <v>38</v>
      </c>
      <c r="L5743" s="25"/>
      <c r="M5743" s="49"/>
      <c r="N5743" s="42"/>
      <c r="O5743" s="68"/>
      <c r="P5743" s="26" t="s">
        <v>22976</v>
      </c>
      <c r="Q5743" s="13" t="s">
        <v>67</v>
      </c>
      <c r="R5743" s="13" t="s">
        <v>67</v>
      </c>
      <c r="S5743" s="13" t="s">
        <v>67</v>
      </c>
      <c r="T5743" s="44">
        <v>45951.42538832176</v>
      </c>
      <c r="U5743" s="13"/>
      <c r="V5743" s="13"/>
      <c r="W5743" s="11"/>
      <c r="X5743" s="11"/>
      <c r="Y5743" s="45"/>
      <c r="Z5743" s="45"/>
      <c r="AA5743" s="31"/>
      <c r="AB5743" s="45" t="s">
        <v>22981</v>
      </c>
      <c r="AC5743" s="45"/>
    </row>
    <row r="5744" ht="18.75" customHeight="1">
      <c r="A5744" s="18" t="s">
        <v>22982</v>
      </c>
      <c r="B5744" s="33" t="s">
        <v>8902</v>
      </c>
      <c r="C5744" s="20">
        <v>0.0</v>
      </c>
      <c r="D5744" s="39"/>
      <c r="E5744" s="27" t="s">
        <v>22983</v>
      </c>
      <c r="F5744" s="27"/>
      <c r="G5744" s="18" t="s">
        <v>35</v>
      </c>
      <c r="H5744" s="40" t="s">
        <v>35</v>
      </c>
      <c r="I5744" s="37" t="s">
        <v>22367</v>
      </c>
      <c r="J5744" s="25" t="s">
        <v>49</v>
      </c>
      <c r="K5744" s="26" t="s">
        <v>38</v>
      </c>
      <c r="L5744" s="25"/>
      <c r="M5744" s="49"/>
      <c r="N5744" s="42"/>
      <c r="O5744" s="68"/>
      <c r="P5744" s="26" t="s">
        <v>22984</v>
      </c>
      <c r="Q5744" s="13" t="s">
        <v>75</v>
      </c>
      <c r="R5744" s="13" t="s">
        <v>75</v>
      </c>
      <c r="S5744" s="13"/>
      <c r="T5744" s="44">
        <v>45951.427387407406</v>
      </c>
      <c r="U5744" s="44">
        <v>45951.60215821759</v>
      </c>
      <c r="V5744" s="13"/>
      <c r="W5744" s="11"/>
      <c r="X5744" s="11"/>
      <c r="Y5744" s="45"/>
      <c r="Z5744" s="45"/>
      <c r="AA5744" s="31"/>
      <c r="AB5744" s="45" t="s">
        <v>22985</v>
      </c>
      <c r="AC5744" s="45"/>
    </row>
    <row r="5745" ht="18.75" customHeight="1">
      <c r="A5745" s="18" t="s">
        <v>22986</v>
      </c>
      <c r="B5745" s="33" t="s">
        <v>8743</v>
      </c>
      <c r="C5745" s="20">
        <v>0.0</v>
      </c>
      <c r="D5745" s="39"/>
      <c r="E5745" s="27" t="s">
        <v>3441</v>
      </c>
      <c r="F5745" s="27" t="s">
        <v>48</v>
      </c>
      <c r="G5745" s="18" t="s">
        <v>35</v>
      </c>
      <c r="H5745" s="40" t="s">
        <v>35</v>
      </c>
      <c r="I5745" s="37" t="s">
        <v>17277</v>
      </c>
      <c r="J5745" s="25" t="s">
        <v>65</v>
      </c>
      <c r="K5745" s="26" t="s">
        <v>38</v>
      </c>
      <c r="L5745" s="25"/>
      <c r="M5745" s="49"/>
      <c r="N5745" s="42"/>
      <c r="O5745" s="68"/>
      <c r="P5745" s="26" t="s">
        <v>22987</v>
      </c>
      <c r="Q5745" s="13" t="s">
        <v>67</v>
      </c>
      <c r="R5745" s="13" t="s">
        <v>67</v>
      </c>
      <c r="S5745" s="13"/>
      <c r="T5745" s="44">
        <v>45951.46596726852</v>
      </c>
      <c r="U5745" s="13"/>
      <c r="V5745" s="13"/>
      <c r="W5745" s="11"/>
      <c r="X5745" s="11"/>
      <c r="Y5745" s="45"/>
      <c r="Z5745" s="45"/>
      <c r="AA5745" s="31"/>
      <c r="AB5745" s="45" t="s">
        <v>22988</v>
      </c>
      <c r="AC5745" s="45"/>
    </row>
    <row r="5746" ht="18.75" customHeight="1">
      <c r="A5746" s="18" t="s">
        <v>22989</v>
      </c>
      <c r="B5746" s="33" t="s">
        <v>8743</v>
      </c>
      <c r="C5746" s="20">
        <v>27.0</v>
      </c>
      <c r="D5746" s="39"/>
      <c r="E5746" s="27" t="s">
        <v>72</v>
      </c>
      <c r="F5746" s="27" t="s">
        <v>48</v>
      </c>
      <c r="G5746" s="18" t="s">
        <v>35</v>
      </c>
      <c r="H5746" s="40" t="s">
        <v>35</v>
      </c>
      <c r="I5746" s="37" t="s">
        <v>17277</v>
      </c>
      <c r="J5746" s="25" t="s">
        <v>65</v>
      </c>
      <c r="K5746" s="26" t="s">
        <v>38</v>
      </c>
      <c r="L5746" s="25"/>
      <c r="M5746" s="49"/>
      <c r="N5746" s="42"/>
      <c r="O5746" s="68"/>
      <c r="P5746" s="26" t="s">
        <v>22987</v>
      </c>
      <c r="Q5746" s="13" t="s">
        <v>67</v>
      </c>
      <c r="R5746" s="13" t="s">
        <v>67</v>
      </c>
      <c r="S5746" s="13" t="s">
        <v>67</v>
      </c>
      <c r="T5746" s="44">
        <v>45951.46621983797</v>
      </c>
      <c r="U5746" s="13"/>
      <c r="V5746" s="13"/>
      <c r="W5746" s="11"/>
      <c r="X5746" s="11"/>
      <c r="Y5746" s="45"/>
      <c r="Z5746" s="45"/>
      <c r="AA5746" s="31"/>
      <c r="AB5746" s="45" t="s">
        <v>22990</v>
      </c>
      <c r="AC5746" s="45"/>
    </row>
    <row r="5747" ht="18.75" customHeight="1">
      <c r="A5747" s="18" t="s">
        <v>22991</v>
      </c>
      <c r="B5747" s="33" t="s">
        <v>8743</v>
      </c>
      <c r="C5747" s="20">
        <v>137.0</v>
      </c>
      <c r="D5747" s="39"/>
      <c r="E5747" s="27" t="s">
        <v>85</v>
      </c>
      <c r="F5747" s="27" t="s">
        <v>48</v>
      </c>
      <c r="G5747" s="18" t="s">
        <v>35</v>
      </c>
      <c r="H5747" s="40" t="s">
        <v>35</v>
      </c>
      <c r="I5747" s="37" t="s">
        <v>17277</v>
      </c>
      <c r="J5747" s="25" t="s">
        <v>65</v>
      </c>
      <c r="K5747" s="26" t="s">
        <v>38</v>
      </c>
      <c r="L5747" s="25"/>
      <c r="M5747" s="49"/>
      <c r="N5747" s="42"/>
      <c r="O5747" s="68"/>
      <c r="P5747" s="26" t="s">
        <v>22987</v>
      </c>
      <c r="Q5747" s="13" t="s">
        <v>67</v>
      </c>
      <c r="R5747" s="13" t="s">
        <v>67</v>
      </c>
      <c r="S5747" s="13" t="s">
        <v>67</v>
      </c>
      <c r="T5747" s="44">
        <v>45951.466410312496</v>
      </c>
      <c r="U5747" s="13"/>
      <c r="V5747" s="13"/>
      <c r="W5747" s="11"/>
      <c r="X5747" s="11"/>
      <c r="Y5747" s="45"/>
      <c r="Z5747" s="45"/>
      <c r="AA5747" s="31"/>
      <c r="AB5747" s="45" t="s">
        <v>22992</v>
      </c>
      <c r="AC5747" s="45"/>
    </row>
    <row r="5748" ht="18.75" customHeight="1">
      <c r="A5748" s="18" t="s">
        <v>22993</v>
      </c>
      <c r="B5748" s="33" t="s">
        <v>8743</v>
      </c>
      <c r="C5748" s="20">
        <v>90.0</v>
      </c>
      <c r="D5748" s="39"/>
      <c r="E5748" s="27" t="s">
        <v>91</v>
      </c>
      <c r="F5748" s="27" t="s">
        <v>48</v>
      </c>
      <c r="G5748" s="18" t="s">
        <v>35</v>
      </c>
      <c r="H5748" s="40" t="s">
        <v>35</v>
      </c>
      <c r="I5748" s="37" t="s">
        <v>17277</v>
      </c>
      <c r="J5748" s="25" t="s">
        <v>65</v>
      </c>
      <c r="K5748" s="26" t="s">
        <v>38</v>
      </c>
      <c r="L5748" s="25"/>
      <c r="M5748" s="49"/>
      <c r="N5748" s="42"/>
      <c r="O5748" s="68"/>
      <c r="P5748" s="26" t="s">
        <v>22987</v>
      </c>
      <c r="Q5748" s="13" t="s">
        <v>67</v>
      </c>
      <c r="R5748" s="13" t="s">
        <v>67</v>
      </c>
      <c r="S5748" s="13" t="s">
        <v>67</v>
      </c>
      <c r="T5748" s="44">
        <v>45951.466732245375</v>
      </c>
      <c r="U5748" s="13"/>
      <c r="V5748" s="13"/>
      <c r="W5748" s="11"/>
      <c r="X5748" s="11"/>
      <c r="Y5748" s="45"/>
      <c r="Z5748" s="45"/>
      <c r="AA5748" s="31"/>
      <c r="AB5748" s="45" t="s">
        <v>22994</v>
      </c>
      <c r="AC5748" s="45"/>
    </row>
    <row r="5749" ht="18.75" customHeight="1">
      <c r="A5749" s="18" t="s">
        <v>22995</v>
      </c>
      <c r="B5749" s="33" t="s">
        <v>8743</v>
      </c>
      <c r="C5749" s="20">
        <v>137.0</v>
      </c>
      <c r="D5749" s="39"/>
      <c r="E5749" s="27" t="s">
        <v>85</v>
      </c>
      <c r="F5749" s="27" t="s">
        <v>48</v>
      </c>
      <c r="G5749" s="18" t="s">
        <v>35</v>
      </c>
      <c r="H5749" s="40" t="s">
        <v>35</v>
      </c>
      <c r="I5749" s="37" t="s">
        <v>17277</v>
      </c>
      <c r="J5749" s="25" t="s">
        <v>65</v>
      </c>
      <c r="K5749" s="26" t="s">
        <v>38</v>
      </c>
      <c r="L5749" s="25"/>
      <c r="M5749" s="49"/>
      <c r="N5749" s="42"/>
      <c r="O5749" s="68"/>
      <c r="P5749" s="26" t="s">
        <v>22987</v>
      </c>
      <c r="Q5749" s="13" t="s">
        <v>67</v>
      </c>
      <c r="R5749" s="13" t="s">
        <v>67</v>
      </c>
      <c r="S5749" s="13" t="s">
        <v>67</v>
      </c>
      <c r="T5749" s="44">
        <v>45951.46651106482</v>
      </c>
      <c r="U5749" s="13"/>
      <c r="V5749" s="13"/>
      <c r="W5749" s="11"/>
      <c r="X5749" s="11"/>
      <c r="Y5749" s="45"/>
      <c r="Z5749" s="45"/>
      <c r="AA5749" s="31"/>
      <c r="AB5749" s="45" t="s">
        <v>22996</v>
      </c>
      <c r="AC5749" s="45"/>
    </row>
    <row r="5750" ht="18.75" customHeight="1">
      <c r="A5750" s="142" t="s">
        <v>22997</v>
      </c>
      <c r="B5750" s="33" t="s">
        <v>22998</v>
      </c>
      <c r="C5750" s="20">
        <v>1.0</v>
      </c>
      <c r="D5750" s="39"/>
      <c r="E5750" s="27" t="s">
        <v>3395</v>
      </c>
      <c r="F5750" s="27" t="s">
        <v>48</v>
      </c>
      <c r="G5750" s="18" t="s">
        <v>35</v>
      </c>
      <c r="H5750" s="40" t="s">
        <v>35</v>
      </c>
      <c r="I5750" s="37" t="s">
        <v>18314</v>
      </c>
      <c r="J5750" s="25" t="s">
        <v>49</v>
      </c>
      <c r="K5750" s="26" t="s">
        <v>21926</v>
      </c>
      <c r="L5750" s="25">
        <v>-14244.0</v>
      </c>
      <c r="M5750" s="49"/>
      <c r="N5750" s="42"/>
      <c r="O5750" s="68"/>
      <c r="P5750" s="26" t="s">
        <v>22999</v>
      </c>
      <c r="Q5750" s="13" t="s">
        <v>75</v>
      </c>
      <c r="R5750" s="13" t="s">
        <v>75</v>
      </c>
      <c r="S5750" s="13"/>
      <c r="T5750" s="44">
        <v>45951.46865575232</v>
      </c>
      <c r="U5750" s="44">
        <v>45951.708169756945</v>
      </c>
      <c r="V5750" s="13"/>
      <c r="W5750" s="11"/>
      <c r="X5750" s="148">
        <v>45961.0</v>
      </c>
      <c r="Y5750" s="45"/>
      <c r="Z5750" s="45"/>
      <c r="AA5750" s="31"/>
      <c r="AB5750" s="45" t="s">
        <v>23000</v>
      </c>
      <c r="AC5750" s="45"/>
    </row>
    <row r="5751" ht="18.75" customHeight="1">
      <c r="A5751" s="32" t="s">
        <v>23001</v>
      </c>
      <c r="B5751" s="33" t="s">
        <v>19002</v>
      </c>
      <c r="C5751" s="20">
        <v>1.0</v>
      </c>
      <c r="D5751" s="39"/>
      <c r="E5751" s="27" t="s">
        <v>3395</v>
      </c>
      <c r="F5751" s="27" t="s">
        <v>48</v>
      </c>
      <c r="G5751" s="18" t="s">
        <v>35</v>
      </c>
      <c r="H5751" s="40" t="s">
        <v>35</v>
      </c>
      <c r="I5751" s="37" t="s">
        <v>17277</v>
      </c>
      <c r="J5751" s="25" t="s">
        <v>92</v>
      </c>
      <c r="K5751" s="26" t="s">
        <v>38</v>
      </c>
      <c r="L5751" s="25"/>
      <c r="M5751" s="49"/>
      <c r="N5751" s="42"/>
      <c r="O5751" s="68"/>
      <c r="P5751" s="26" t="s">
        <v>23002</v>
      </c>
      <c r="Q5751" s="13" t="s">
        <v>67</v>
      </c>
      <c r="R5751" s="13" t="s">
        <v>67</v>
      </c>
      <c r="S5751" s="13"/>
      <c r="T5751" s="44">
        <v>45951.47372834491</v>
      </c>
      <c r="U5751" s="13"/>
      <c r="V5751" s="13"/>
      <c r="W5751" s="11"/>
      <c r="X5751" s="11"/>
      <c r="Y5751" s="45"/>
      <c r="Z5751" s="45"/>
      <c r="AA5751" s="31"/>
      <c r="AB5751" s="45" t="s">
        <v>23003</v>
      </c>
      <c r="AC5751" s="45"/>
    </row>
    <row r="5752" ht="18.75" customHeight="1">
      <c r="A5752" s="32" t="s">
        <v>23004</v>
      </c>
      <c r="B5752" s="33" t="s">
        <v>19002</v>
      </c>
      <c r="C5752" s="20">
        <v>1.0</v>
      </c>
      <c r="D5752" s="39"/>
      <c r="E5752" s="27" t="s">
        <v>3395</v>
      </c>
      <c r="F5752" s="27" t="s">
        <v>48</v>
      </c>
      <c r="G5752" s="18" t="s">
        <v>35</v>
      </c>
      <c r="H5752" s="40" t="s">
        <v>35</v>
      </c>
      <c r="I5752" s="37" t="s">
        <v>17277</v>
      </c>
      <c r="J5752" s="25" t="s">
        <v>92</v>
      </c>
      <c r="K5752" s="26" t="s">
        <v>38</v>
      </c>
      <c r="L5752" s="25"/>
      <c r="M5752" s="49"/>
      <c r="N5752" s="42"/>
      <c r="O5752" s="68"/>
      <c r="P5752" s="26" t="s">
        <v>23002</v>
      </c>
      <c r="Q5752" s="13" t="s">
        <v>67</v>
      </c>
      <c r="R5752" s="13" t="s">
        <v>67</v>
      </c>
      <c r="S5752" s="13" t="s">
        <v>67</v>
      </c>
      <c r="T5752" s="44">
        <v>45951.47655070602</v>
      </c>
      <c r="U5752" s="13"/>
      <c r="V5752" s="13"/>
      <c r="W5752" s="11"/>
      <c r="X5752" s="11"/>
      <c r="Y5752" s="45"/>
      <c r="Z5752" s="45"/>
      <c r="AA5752" s="31"/>
      <c r="AB5752" s="45" t="s">
        <v>23005</v>
      </c>
      <c r="AC5752" s="45"/>
    </row>
    <row r="5753" ht="18.75" customHeight="1">
      <c r="A5753" s="32" t="s">
        <v>23006</v>
      </c>
      <c r="B5753" s="33" t="s">
        <v>19002</v>
      </c>
      <c r="C5753" s="20">
        <v>1.0</v>
      </c>
      <c r="D5753" s="39"/>
      <c r="E5753" s="27" t="s">
        <v>3395</v>
      </c>
      <c r="F5753" s="27" t="s">
        <v>48</v>
      </c>
      <c r="G5753" s="18" t="s">
        <v>35</v>
      </c>
      <c r="H5753" s="40" t="s">
        <v>35</v>
      </c>
      <c r="I5753" s="37" t="s">
        <v>17277</v>
      </c>
      <c r="J5753" s="25" t="s">
        <v>92</v>
      </c>
      <c r="K5753" s="26" t="s">
        <v>38</v>
      </c>
      <c r="L5753" s="25"/>
      <c r="M5753" s="49"/>
      <c r="N5753" s="42"/>
      <c r="O5753" s="68"/>
      <c r="P5753" s="26" t="s">
        <v>23002</v>
      </c>
      <c r="Q5753" s="13" t="s">
        <v>67</v>
      </c>
      <c r="R5753" s="13" t="s">
        <v>67</v>
      </c>
      <c r="S5753" s="13" t="s">
        <v>67</v>
      </c>
      <c r="T5753" s="44">
        <v>45951.476600277776</v>
      </c>
      <c r="U5753" s="13"/>
      <c r="V5753" s="13"/>
      <c r="W5753" s="11"/>
      <c r="X5753" s="11"/>
      <c r="Y5753" s="45"/>
      <c r="Z5753" s="45"/>
      <c r="AA5753" s="31"/>
      <c r="AB5753" s="45" t="s">
        <v>23007</v>
      </c>
      <c r="AC5753" s="45"/>
    </row>
    <row r="5754" ht="18.75" customHeight="1">
      <c r="A5754" s="32" t="s">
        <v>23008</v>
      </c>
      <c r="B5754" s="33" t="s">
        <v>19002</v>
      </c>
      <c r="C5754" s="20">
        <v>1.0</v>
      </c>
      <c r="D5754" s="39"/>
      <c r="E5754" s="27" t="s">
        <v>3395</v>
      </c>
      <c r="F5754" s="27" t="s">
        <v>48</v>
      </c>
      <c r="G5754" s="18" t="s">
        <v>35</v>
      </c>
      <c r="H5754" s="40" t="s">
        <v>35</v>
      </c>
      <c r="I5754" s="37" t="s">
        <v>17277</v>
      </c>
      <c r="J5754" s="25" t="s">
        <v>92</v>
      </c>
      <c r="K5754" s="26" t="s">
        <v>38</v>
      </c>
      <c r="L5754" s="25"/>
      <c r="M5754" s="49"/>
      <c r="N5754" s="42"/>
      <c r="O5754" s="68"/>
      <c r="P5754" s="26" t="s">
        <v>23002</v>
      </c>
      <c r="Q5754" s="13" t="s">
        <v>67</v>
      </c>
      <c r="R5754" s="13" t="s">
        <v>67</v>
      </c>
      <c r="S5754" s="13" t="s">
        <v>67</v>
      </c>
      <c r="T5754" s="44">
        <v>45951.47666032407</v>
      </c>
      <c r="U5754" s="13"/>
      <c r="V5754" s="13"/>
      <c r="W5754" s="11"/>
      <c r="X5754" s="11"/>
      <c r="Y5754" s="45"/>
      <c r="Z5754" s="45"/>
      <c r="AA5754" s="31"/>
      <c r="AB5754" s="45" t="s">
        <v>23009</v>
      </c>
      <c r="AC5754" s="45"/>
    </row>
    <row r="5755" ht="18.75" customHeight="1">
      <c r="A5755" s="32" t="s">
        <v>23010</v>
      </c>
      <c r="B5755" s="33" t="s">
        <v>19002</v>
      </c>
      <c r="C5755" s="20">
        <v>1.0</v>
      </c>
      <c r="D5755" s="39"/>
      <c r="E5755" s="27" t="s">
        <v>3395</v>
      </c>
      <c r="F5755" s="27" t="s">
        <v>48</v>
      </c>
      <c r="G5755" s="18" t="s">
        <v>35</v>
      </c>
      <c r="H5755" s="40" t="s">
        <v>35</v>
      </c>
      <c r="I5755" s="37" t="s">
        <v>17277</v>
      </c>
      <c r="J5755" s="25" t="s">
        <v>92</v>
      </c>
      <c r="K5755" s="26" t="s">
        <v>38</v>
      </c>
      <c r="L5755" s="25"/>
      <c r="M5755" s="49"/>
      <c r="N5755" s="42"/>
      <c r="O5755" s="68"/>
      <c r="P5755" s="26" t="s">
        <v>23002</v>
      </c>
      <c r="Q5755" s="13" t="s">
        <v>67</v>
      </c>
      <c r="R5755" s="13" t="s">
        <v>67</v>
      </c>
      <c r="S5755" s="13" t="s">
        <v>67</v>
      </c>
      <c r="T5755" s="44">
        <v>45951.47671048611</v>
      </c>
      <c r="U5755" s="13"/>
      <c r="V5755" s="13"/>
      <c r="W5755" s="11"/>
      <c r="X5755" s="11"/>
      <c r="Y5755" s="45"/>
      <c r="Z5755" s="45"/>
      <c r="AA5755" s="31"/>
      <c r="AB5755" s="45" t="s">
        <v>23011</v>
      </c>
      <c r="AC5755" s="45"/>
    </row>
    <row r="5756" ht="18.75" customHeight="1">
      <c r="A5756" s="32" t="s">
        <v>23012</v>
      </c>
      <c r="B5756" s="33" t="s">
        <v>19002</v>
      </c>
      <c r="C5756" s="20">
        <v>1.0</v>
      </c>
      <c r="D5756" s="39"/>
      <c r="E5756" s="27" t="s">
        <v>3395</v>
      </c>
      <c r="F5756" s="27" t="s">
        <v>48</v>
      </c>
      <c r="G5756" s="18" t="s">
        <v>35</v>
      </c>
      <c r="H5756" s="40" t="s">
        <v>35</v>
      </c>
      <c r="I5756" s="37" t="s">
        <v>17277</v>
      </c>
      <c r="J5756" s="25" t="s">
        <v>92</v>
      </c>
      <c r="K5756" s="26" t="s">
        <v>38</v>
      </c>
      <c r="L5756" s="25"/>
      <c r="M5756" s="49"/>
      <c r="N5756" s="42"/>
      <c r="O5756" s="68"/>
      <c r="P5756" s="26" t="s">
        <v>23002</v>
      </c>
      <c r="Q5756" s="13" t="s">
        <v>67</v>
      </c>
      <c r="R5756" s="13" t="s">
        <v>67</v>
      </c>
      <c r="S5756" s="13" t="s">
        <v>67</v>
      </c>
      <c r="T5756" s="44">
        <v>45951.47679018519</v>
      </c>
      <c r="U5756" s="13"/>
      <c r="V5756" s="13"/>
      <c r="W5756" s="11"/>
      <c r="X5756" s="11"/>
      <c r="Y5756" s="45"/>
      <c r="Z5756" s="45"/>
      <c r="AA5756" s="31"/>
      <c r="AB5756" s="45" t="s">
        <v>23013</v>
      </c>
      <c r="AC5756" s="45"/>
    </row>
    <row r="5757" ht="18.75" customHeight="1">
      <c r="A5757" s="32" t="s">
        <v>23014</v>
      </c>
      <c r="B5757" s="33" t="s">
        <v>19002</v>
      </c>
      <c r="C5757" s="20">
        <v>1.0</v>
      </c>
      <c r="D5757" s="39"/>
      <c r="E5757" s="27" t="s">
        <v>3395</v>
      </c>
      <c r="F5757" s="27" t="s">
        <v>48</v>
      </c>
      <c r="G5757" s="18" t="s">
        <v>35</v>
      </c>
      <c r="H5757" s="40" t="s">
        <v>35</v>
      </c>
      <c r="I5757" s="37" t="s">
        <v>17277</v>
      </c>
      <c r="J5757" s="25" t="s">
        <v>92</v>
      </c>
      <c r="K5757" s="26" t="s">
        <v>38</v>
      </c>
      <c r="L5757" s="25"/>
      <c r="M5757" s="49"/>
      <c r="N5757" s="42"/>
      <c r="O5757" s="68"/>
      <c r="P5757" s="26" t="s">
        <v>23002</v>
      </c>
      <c r="Q5757" s="13" t="s">
        <v>67</v>
      </c>
      <c r="R5757" s="13" t="s">
        <v>67</v>
      </c>
      <c r="S5757" s="13" t="s">
        <v>67</v>
      </c>
      <c r="T5757" s="44">
        <v>45951.47684015046</v>
      </c>
      <c r="U5757" s="13"/>
      <c r="V5757" s="13"/>
      <c r="W5757" s="11"/>
      <c r="X5757" s="11"/>
      <c r="Y5757" s="45"/>
      <c r="Z5757" s="45"/>
      <c r="AA5757" s="31"/>
      <c r="AB5757" s="45" t="s">
        <v>23015</v>
      </c>
      <c r="AC5757" s="45"/>
    </row>
    <row r="5758" ht="18.75" customHeight="1">
      <c r="A5758" s="32" t="s">
        <v>23016</v>
      </c>
      <c r="B5758" s="33" t="s">
        <v>19002</v>
      </c>
      <c r="C5758" s="20">
        <v>1.0</v>
      </c>
      <c r="D5758" s="39"/>
      <c r="E5758" s="27" t="s">
        <v>3395</v>
      </c>
      <c r="F5758" s="27" t="s">
        <v>48</v>
      </c>
      <c r="G5758" s="18" t="s">
        <v>35</v>
      </c>
      <c r="H5758" s="40" t="s">
        <v>35</v>
      </c>
      <c r="I5758" s="37" t="s">
        <v>17277</v>
      </c>
      <c r="J5758" s="25" t="s">
        <v>92</v>
      </c>
      <c r="K5758" s="26" t="s">
        <v>38</v>
      </c>
      <c r="L5758" s="25"/>
      <c r="M5758" s="49"/>
      <c r="N5758" s="42"/>
      <c r="O5758" s="68"/>
      <c r="P5758" s="26" t="s">
        <v>23002</v>
      </c>
      <c r="Q5758" s="13" t="s">
        <v>67</v>
      </c>
      <c r="R5758" s="13" t="s">
        <v>67</v>
      </c>
      <c r="S5758" s="13" t="s">
        <v>67</v>
      </c>
      <c r="T5758" s="44">
        <v>45951.476887199075</v>
      </c>
      <c r="U5758" s="13"/>
      <c r="V5758" s="13"/>
      <c r="W5758" s="11"/>
      <c r="X5758" s="11"/>
      <c r="Y5758" s="45"/>
      <c r="Z5758" s="45"/>
      <c r="AA5758" s="31"/>
      <c r="AB5758" s="45" t="s">
        <v>23017</v>
      </c>
      <c r="AC5758" s="45"/>
    </row>
    <row r="5759" ht="18.75" customHeight="1">
      <c r="A5759" s="32" t="s">
        <v>23018</v>
      </c>
      <c r="B5759" s="33" t="s">
        <v>19002</v>
      </c>
      <c r="C5759" s="20">
        <v>1.0</v>
      </c>
      <c r="D5759" s="39"/>
      <c r="E5759" s="27" t="s">
        <v>3395</v>
      </c>
      <c r="F5759" s="27" t="s">
        <v>48</v>
      </c>
      <c r="G5759" s="18" t="s">
        <v>35</v>
      </c>
      <c r="H5759" s="40" t="s">
        <v>35</v>
      </c>
      <c r="I5759" s="37" t="s">
        <v>17277</v>
      </c>
      <c r="J5759" s="25" t="s">
        <v>92</v>
      </c>
      <c r="K5759" s="26" t="s">
        <v>38</v>
      </c>
      <c r="L5759" s="25"/>
      <c r="M5759" s="49"/>
      <c r="N5759" s="42"/>
      <c r="O5759" s="68"/>
      <c r="P5759" s="26" t="s">
        <v>23002</v>
      </c>
      <c r="Q5759" s="13" t="s">
        <v>67</v>
      </c>
      <c r="R5759" s="13" t="s">
        <v>67</v>
      </c>
      <c r="S5759" s="13" t="s">
        <v>67</v>
      </c>
      <c r="T5759" s="44">
        <v>45951.476938078704</v>
      </c>
      <c r="U5759" s="13"/>
      <c r="V5759" s="13"/>
      <c r="W5759" s="11"/>
      <c r="X5759" s="11"/>
      <c r="Y5759" s="45"/>
      <c r="Z5759" s="45"/>
      <c r="AA5759" s="31"/>
      <c r="AB5759" s="45" t="s">
        <v>23019</v>
      </c>
      <c r="AC5759" s="45"/>
    </row>
    <row r="5760" ht="18.75" customHeight="1">
      <c r="A5760" s="32" t="s">
        <v>23020</v>
      </c>
      <c r="B5760" s="33" t="s">
        <v>19002</v>
      </c>
      <c r="C5760" s="20">
        <v>1.0</v>
      </c>
      <c r="D5760" s="39"/>
      <c r="E5760" s="27" t="s">
        <v>3395</v>
      </c>
      <c r="F5760" s="27" t="s">
        <v>48</v>
      </c>
      <c r="G5760" s="18" t="s">
        <v>35</v>
      </c>
      <c r="H5760" s="40" t="s">
        <v>35</v>
      </c>
      <c r="I5760" s="37" t="s">
        <v>17277</v>
      </c>
      <c r="J5760" s="25" t="s">
        <v>92</v>
      </c>
      <c r="K5760" s="26" t="s">
        <v>38</v>
      </c>
      <c r="L5760" s="25"/>
      <c r="M5760" s="49"/>
      <c r="N5760" s="42"/>
      <c r="O5760" s="68"/>
      <c r="P5760" s="26" t="s">
        <v>23002</v>
      </c>
      <c r="Q5760" s="13" t="s">
        <v>67</v>
      </c>
      <c r="R5760" s="13" t="s">
        <v>67</v>
      </c>
      <c r="S5760" s="13" t="s">
        <v>67</v>
      </c>
      <c r="T5760" s="44">
        <v>45951.47699452547</v>
      </c>
      <c r="U5760" s="13"/>
      <c r="V5760" s="13"/>
      <c r="W5760" s="11"/>
      <c r="X5760" s="11"/>
      <c r="Y5760" s="45"/>
      <c r="Z5760" s="45"/>
      <c r="AA5760" s="31"/>
      <c r="AB5760" s="45" t="s">
        <v>23021</v>
      </c>
      <c r="AC5760" s="45"/>
    </row>
    <row r="5761" ht="18.75" customHeight="1">
      <c r="A5761" s="32" t="s">
        <v>23022</v>
      </c>
      <c r="B5761" s="33" t="s">
        <v>19002</v>
      </c>
      <c r="C5761" s="20">
        <v>1.0</v>
      </c>
      <c r="D5761" s="39"/>
      <c r="E5761" s="27" t="s">
        <v>3395</v>
      </c>
      <c r="F5761" s="27" t="s">
        <v>48</v>
      </c>
      <c r="G5761" s="18" t="s">
        <v>35</v>
      </c>
      <c r="H5761" s="40" t="s">
        <v>35</v>
      </c>
      <c r="I5761" s="37" t="s">
        <v>17277</v>
      </c>
      <c r="J5761" s="25" t="s">
        <v>92</v>
      </c>
      <c r="K5761" s="26" t="s">
        <v>38</v>
      </c>
      <c r="L5761" s="25"/>
      <c r="M5761" s="49"/>
      <c r="N5761" s="42"/>
      <c r="O5761" s="68"/>
      <c r="P5761" s="26" t="s">
        <v>23002</v>
      </c>
      <c r="Q5761" s="13" t="s">
        <v>67</v>
      </c>
      <c r="R5761" s="13" t="s">
        <v>67</v>
      </c>
      <c r="S5761" s="13" t="s">
        <v>67</v>
      </c>
      <c r="T5761" s="44">
        <v>45951.477044479165</v>
      </c>
      <c r="U5761" s="13"/>
      <c r="V5761" s="13"/>
      <c r="W5761" s="11"/>
      <c r="X5761" s="11"/>
      <c r="Y5761" s="45"/>
      <c r="Z5761" s="45"/>
      <c r="AA5761" s="31"/>
      <c r="AB5761" s="45" t="s">
        <v>23023</v>
      </c>
      <c r="AC5761" s="45"/>
    </row>
    <row r="5762" ht="18.75" customHeight="1">
      <c r="A5762" s="32" t="s">
        <v>23024</v>
      </c>
      <c r="B5762" s="33" t="s">
        <v>19002</v>
      </c>
      <c r="C5762" s="20">
        <v>1.0</v>
      </c>
      <c r="D5762" s="39"/>
      <c r="E5762" s="27" t="s">
        <v>3395</v>
      </c>
      <c r="F5762" s="27" t="s">
        <v>48</v>
      </c>
      <c r="G5762" s="18" t="s">
        <v>35</v>
      </c>
      <c r="H5762" s="40" t="s">
        <v>35</v>
      </c>
      <c r="I5762" s="37" t="s">
        <v>17277</v>
      </c>
      <c r="J5762" s="25" t="s">
        <v>92</v>
      </c>
      <c r="K5762" s="26" t="s">
        <v>38</v>
      </c>
      <c r="L5762" s="25"/>
      <c r="M5762" s="49"/>
      <c r="N5762" s="42"/>
      <c r="O5762" s="68"/>
      <c r="P5762" s="26" t="s">
        <v>23002</v>
      </c>
      <c r="Q5762" s="13" t="s">
        <v>67</v>
      </c>
      <c r="R5762" s="13" t="s">
        <v>67</v>
      </c>
      <c r="S5762" s="13" t="s">
        <v>67</v>
      </c>
      <c r="T5762" s="44">
        <v>45951.47709384259</v>
      </c>
      <c r="U5762" s="13"/>
      <c r="V5762" s="13"/>
      <c r="W5762" s="11"/>
      <c r="X5762" s="11"/>
      <c r="Y5762" s="45"/>
      <c r="Z5762" s="45"/>
      <c r="AA5762" s="31"/>
      <c r="AB5762" s="45" t="s">
        <v>23025</v>
      </c>
      <c r="AC5762" s="45"/>
    </row>
    <row r="5763" ht="18.75" customHeight="1">
      <c r="A5763" s="32" t="s">
        <v>23026</v>
      </c>
      <c r="B5763" s="33" t="s">
        <v>19002</v>
      </c>
      <c r="C5763" s="20">
        <v>1.0</v>
      </c>
      <c r="D5763" s="39"/>
      <c r="E5763" s="27" t="s">
        <v>3395</v>
      </c>
      <c r="F5763" s="27" t="s">
        <v>48</v>
      </c>
      <c r="G5763" s="18" t="s">
        <v>35</v>
      </c>
      <c r="H5763" s="40" t="s">
        <v>35</v>
      </c>
      <c r="I5763" s="37" t="s">
        <v>17277</v>
      </c>
      <c r="J5763" s="25" t="s">
        <v>92</v>
      </c>
      <c r="K5763" s="26" t="s">
        <v>38</v>
      </c>
      <c r="L5763" s="25"/>
      <c r="M5763" s="49"/>
      <c r="N5763" s="42"/>
      <c r="O5763" s="68"/>
      <c r="P5763" s="26" t="s">
        <v>23002</v>
      </c>
      <c r="Q5763" s="13" t="s">
        <v>67</v>
      </c>
      <c r="R5763" s="13" t="s">
        <v>67</v>
      </c>
      <c r="S5763" s="13" t="s">
        <v>67</v>
      </c>
      <c r="T5763" s="44">
        <v>45951.47714342593</v>
      </c>
      <c r="U5763" s="13"/>
      <c r="V5763" s="13"/>
      <c r="W5763" s="11"/>
      <c r="X5763" s="11"/>
      <c r="Y5763" s="45"/>
      <c r="Z5763" s="45"/>
      <c r="AA5763" s="31"/>
      <c r="AB5763" s="45" t="s">
        <v>23027</v>
      </c>
      <c r="AC5763" s="45"/>
    </row>
    <row r="5764" ht="18.75" customHeight="1">
      <c r="A5764" s="32" t="s">
        <v>23028</v>
      </c>
      <c r="B5764" s="33" t="s">
        <v>19002</v>
      </c>
      <c r="C5764" s="20">
        <v>1.0</v>
      </c>
      <c r="D5764" s="39"/>
      <c r="E5764" s="27" t="s">
        <v>3395</v>
      </c>
      <c r="F5764" s="27" t="s">
        <v>48</v>
      </c>
      <c r="G5764" s="18" t="s">
        <v>35</v>
      </c>
      <c r="H5764" s="40" t="s">
        <v>35</v>
      </c>
      <c r="I5764" s="37" t="s">
        <v>17277</v>
      </c>
      <c r="J5764" s="25" t="s">
        <v>92</v>
      </c>
      <c r="K5764" s="26" t="s">
        <v>38</v>
      </c>
      <c r="L5764" s="25"/>
      <c r="M5764" s="49"/>
      <c r="N5764" s="42"/>
      <c r="O5764" s="68"/>
      <c r="P5764" s="26" t="s">
        <v>23002</v>
      </c>
      <c r="Q5764" s="13" t="s">
        <v>67</v>
      </c>
      <c r="R5764" s="13" t="s">
        <v>67</v>
      </c>
      <c r="S5764" s="13" t="s">
        <v>67</v>
      </c>
      <c r="T5764" s="44">
        <v>45951.47719454861</v>
      </c>
      <c r="U5764" s="13"/>
      <c r="V5764" s="13"/>
      <c r="W5764" s="11"/>
      <c r="X5764" s="11"/>
      <c r="Y5764" s="45"/>
      <c r="Z5764" s="45"/>
      <c r="AA5764" s="31"/>
      <c r="AB5764" s="45" t="s">
        <v>23029</v>
      </c>
      <c r="AC5764" s="45"/>
    </row>
    <row r="5765" ht="18.75" customHeight="1">
      <c r="A5765" s="32" t="s">
        <v>23030</v>
      </c>
      <c r="B5765" s="33" t="s">
        <v>19002</v>
      </c>
      <c r="C5765" s="20">
        <v>1.0</v>
      </c>
      <c r="D5765" s="39"/>
      <c r="E5765" s="27" t="s">
        <v>3395</v>
      </c>
      <c r="F5765" s="27" t="s">
        <v>48</v>
      </c>
      <c r="G5765" s="18" t="s">
        <v>35</v>
      </c>
      <c r="H5765" s="40" t="s">
        <v>35</v>
      </c>
      <c r="I5765" s="37" t="s">
        <v>17277</v>
      </c>
      <c r="J5765" s="25" t="s">
        <v>92</v>
      </c>
      <c r="K5765" s="26" t="s">
        <v>38</v>
      </c>
      <c r="L5765" s="25"/>
      <c r="M5765" s="49"/>
      <c r="N5765" s="42"/>
      <c r="O5765" s="68"/>
      <c r="P5765" s="26" t="s">
        <v>23002</v>
      </c>
      <c r="Q5765" s="13" t="s">
        <v>67</v>
      </c>
      <c r="R5765" s="13" t="s">
        <v>67</v>
      </c>
      <c r="S5765" s="13" t="s">
        <v>67</v>
      </c>
      <c r="T5765" s="44">
        <v>45951.477245752314</v>
      </c>
      <c r="U5765" s="13"/>
      <c r="V5765" s="13"/>
      <c r="W5765" s="11"/>
      <c r="X5765" s="11"/>
      <c r="Y5765" s="45"/>
      <c r="Z5765" s="45"/>
      <c r="AA5765" s="31"/>
      <c r="AB5765" s="45" t="s">
        <v>23031</v>
      </c>
      <c r="AC5765" s="45"/>
    </row>
    <row r="5766" ht="18.75" customHeight="1">
      <c r="A5766" s="32" t="s">
        <v>23032</v>
      </c>
      <c r="B5766" s="33" t="s">
        <v>19002</v>
      </c>
      <c r="C5766" s="20">
        <v>1.0</v>
      </c>
      <c r="D5766" s="39"/>
      <c r="E5766" s="27" t="s">
        <v>3395</v>
      </c>
      <c r="F5766" s="27" t="s">
        <v>48</v>
      </c>
      <c r="G5766" s="18" t="s">
        <v>35</v>
      </c>
      <c r="H5766" s="40" t="s">
        <v>35</v>
      </c>
      <c r="I5766" s="37" t="s">
        <v>17277</v>
      </c>
      <c r="J5766" s="25" t="s">
        <v>92</v>
      </c>
      <c r="K5766" s="26" t="s">
        <v>38</v>
      </c>
      <c r="L5766" s="25"/>
      <c r="M5766" s="49"/>
      <c r="N5766" s="42"/>
      <c r="O5766" s="68"/>
      <c r="P5766" s="26" t="s">
        <v>23002</v>
      </c>
      <c r="Q5766" s="13" t="s">
        <v>67</v>
      </c>
      <c r="R5766" s="13" t="s">
        <v>67</v>
      </c>
      <c r="S5766" s="13" t="s">
        <v>67</v>
      </c>
      <c r="T5766" s="44">
        <v>45951.47735265046</v>
      </c>
      <c r="U5766" s="13"/>
      <c r="V5766" s="13"/>
      <c r="W5766" s="11"/>
      <c r="X5766" s="11"/>
      <c r="Y5766" s="45"/>
      <c r="Z5766" s="45"/>
      <c r="AA5766" s="31"/>
      <c r="AB5766" s="45" t="s">
        <v>23033</v>
      </c>
      <c r="AC5766" s="45"/>
    </row>
    <row r="5767" ht="18.75" customHeight="1">
      <c r="A5767" s="32" t="s">
        <v>23034</v>
      </c>
      <c r="B5767" s="33" t="s">
        <v>19002</v>
      </c>
      <c r="C5767" s="20">
        <v>1.0</v>
      </c>
      <c r="D5767" s="39"/>
      <c r="E5767" s="27" t="s">
        <v>3395</v>
      </c>
      <c r="F5767" s="27" t="s">
        <v>48</v>
      </c>
      <c r="G5767" s="18" t="s">
        <v>35</v>
      </c>
      <c r="H5767" s="40" t="s">
        <v>35</v>
      </c>
      <c r="I5767" s="37" t="s">
        <v>17277</v>
      </c>
      <c r="J5767" s="25" t="s">
        <v>92</v>
      </c>
      <c r="K5767" s="26" t="s">
        <v>38</v>
      </c>
      <c r="L5767" s="25"/>
      <c r="M5767" s="49"/>
      <c r="N5767" s="42"/>
      <c r="O5767" s="68"/>
      <c r="P5767" s="26" t="s">
        <v>23002</v>
      </c>
      <c r="Q5767" s="13" t="s">
        <v>67</v>
      </c>
      <c r="R5767" s="13" t="s">
        <v>67</v>
      </c>
      <c r="S5767" s="13" t="s">
        <v>67</v>
      </c>
      <c r="T5767" s="44">
        <v>45951.47739825232</v>
      </c>
      <c r="U5767" s="13"/>
      <c r="V5767" s="13"/>
      <c r="W5767" s="11"/>
      <c r="X5767" s="11"/>
      <c r="Y5767" s="45"/>
      <c r="Z5767" s="45"/>
      <c r="AA5767" s="31"/>
      <c r="AB5767" s="45" t="s">
        <v>23035</v>
      </c>
      <c r="AC5767" s="45"/>
    </row>
    <row r="5768" ht="18.75" customHeight="1">
      <c r="A5768" s="32" t="s">
        <v>23036</v>
      </c>
      <c r="B5768" s="33" t="s">
        <v>19002</v>
      </c>
      <c r="C5768" s="20">
        <v>1.0</v>
      </c>
      <c r="D5768" s="39"/>
      <c r="E5768" s="27" t="s">
        <v>3395</v>
      </c>
      <c r="F5768" s="27" t="s">
        <v>48</v>
      </c>
      <c r="G5768" s="18" t="s">
        <v>35</v>
      </c>
      <c r="H5768" s="40" t="s">
        <v>35</v>
      </c>
      <c r="I5768" s="37" t="s">
        <v>17277</v>
      </c>
      <c r="J5768" s="25" t="s">
        <v>92</v>
      </c>
      <c r="K5768" s="26" t="s">
        <v>38</v>
      </c>
      <c r="L5768" s="25"/>
      <c r="M5768" s="49"/>
      <c r="N5768" s="42"/>
      <c r="O5768" s="68"/>
      <c r="P5768" s="26" t="s">
        <v>23002</v>
      </c>
      <c r="Q5768" s="13" t="s">
        <v>67</v>
      </c>
      <c r="R5768" s="13" t="s">
        <v>67</v>
      </c>
      <c r="S5768" s="13" t="s">
        <v>67</v>
      </c>
      <c r="T5768" s="44">
        <v>45951.47744800926</v>
      </c>
      <c r="U5768" s="13"/>
      <c r="V5768" s="13"/>
      <c r="W5768" s="11"/>
      <c r="X5768" s="11"/>
      <c r="Y5768" s="45"/>
      <c r="Z5768" s="45"/>
      <c r="AA5768" s="31"/>
      <c r="AB5768" s="45" t="s">
        <v>23037</v>
      </c>
      <c r="AC5768" s="45"/>
    </row>
    <row r="5769" ht="18.75" customHeight="1">
      <c r="A5769" s="32" t="s">
        <v>23038</v>
      </c>
      <c r="B5769" s="33" t="s">
        <v>19002</v>
      </c>
      <c r="C5769" s="20">
        <v>1.0</v>
      </c>
      <c r="D5769" s="39"/>
      <c r="E5769" s="27" t="s">
        <v>3395</v>
      </c>
      <c r="F5769" s="27" t="s">
        <v>48</v>
      </c>
      <c r="G5769" s="18" t="s">
        <v>35</v>
      </c>
      <c r="H5769" s="40" t="s">
        <v>35</v>
      </c>
      <c r="I5769" s="37" t="s">
        <v>17277</v>
      </c>
      <c r="J5769" s="25" t="s">
        <v>92</v>
      </c>
      <c r="K5769" s="26" t="s">
        <v>38</v>
      </c>
      <c r="L5769" s="25"/>
      <c r="M5769" s="49"/>
      <c r="N5769" s="42"/>
      <c r="O5769" s="68"/>
      <c r="P5769" s="26" t="s">
        <v>23002</v>
      </c>
      <c r="Q5769" s="13" t="s">
        <v>67</v>
      </c>
      <c r="R5769" s="13" t="s">
        <v>67</v>
      </c>
      <c r="S5769" s="13" t="s">
        <v>67</v>
      </c>
      <c r="T5769" s="44">
        <v>45951.4775425</v>
      </c>
      <c r="U5769" s="13"/>
      <c r="V5769" s="13"/>
      <c r="W5769" s="11"/>
      <c r="X5769" s="11"/>
      <c r="Y5769" s="45"/>
      <c r="Z5769" s="45"/>
      <c r="AA5769" s="31"/>
      <c r="AB5769" s="45" t="s">
        <v>23039</v>
      </c>
      <c r="AC5769" s="45"/>
    </row>
    <row r="5770" ht="18.75" customHeight="1">
      <c r="A5770" s="32" t="s">
        <v>23040</v>
      </c>
      <c r="B5770" s="33" t="s">
        <v>19002</v>
      </c>
      <c r="C5770" s="20">
        <v>1.0</v>
      </c>
      <c r="D5770" s="39"/>
      <c r="E5770" s="27" t="s">
        <v>3395</v>
      </c>
      <c r="F5770" s="27" t="s">
        <v>48</v>
      </c>
      <c r="G5770" s="18" t="s">
        <v>35</v>
      </c>
      <c r="H5770" s="40" t="s">
        <v>35</v>
      </c>
      <c r="I5770" s="37" t="s">
        <v>17277</v>
      </c>
      <c r="J5770" s="25" t="s">
        <v>92</v>
      </c>
      <c r="K5770" s="26" t="s">
        <v>38</v>
      </c>
      <c r="L5770" s="25"/>
      <c r="M5770" s="49"/>
      <c r="N5770" s="42"/>
      <c r="O5770" s="68"/>
      <c r="P5770" s="26" t="s">
        <v>23002</v>
      </c>
      <c r="Q5770" s="13" t="s">
        <v>67</v>
      </c>
      <c r="R5770" s="13" t="s">
        <v>67</v>
      </c>
      <c r="S5770" s="13" t="s">
        <v>67</v>
      </c>
      <c r="T5770" s="44">
        <v>45951.477709768515</v>
      </c>
      <c r="U5770" s="13"/>
      <c r="V5770" s="13"/>
      <c r="W5770" s="11"/>
      <c r="X5770" s="11"/>
      <c r="Y5770" s="45"/>
      <c r="Z5770" s="45"/>
      <c r="AA5770" s="31"/>
      <c r="AB5770" s="45" t="s">
        <v>23041</v>
      </c>
      <c r="AC5770" s="45"/>
    </row>
    <row r="5771" ht="18.75" customHeight="1">
      <c r="A5771" s="32" t="s">
        <v>23042</v>
      </c>
      <c r="B5771" s="33" t="s">
        <v>19002</v>
      </c>
      <c r="C5771" s="20">
        <v>1.0</v>
      </c>
      <c r="D5771" s="39"/>
      <c r="E5771" s="27" t="s">
        <v>3395</v>
      </c>
      <c r="F5771" s="27" t="s">
        <v>48</v>
      </c>
      <c r="G5771" s="18" t="s">
        <v>35</v>
      </c>
      <c r="H5771" s="40" t="s">
        <v>35</v>
      </c>
      <c r="I5771" s="37" t="s">
        <v>17277</v>
      </c>
      <c r="J5771" s="25" t="s">
        <v>92</v>
      </c>
      <c r="K5771" s="26" t="s">
        <v>38</v>
      </c>
      <c r="L5771" s="25"/>
      <c r="M5771" s="49"/>
      <c r="N5771" s="42"/>
      <c r="O5771" s="68"/>
      <c r="P5771" s="26" t="s">
        <v>23002</v>
      </c>
      <c r="Q5771" s="13" t="s">
        <v>67</v>
      </c>
      <c r="R5771" s="13" t="s">
        <v>67</v>
      </c>
      <c r="S5771" s="13" t="s">
        <v>67</v>
      </c>
      <c r="T5771" s="44">
        <v>45951.47776695601</v>
      </c>
      <c r="U5771" s="13"/>
      <c r="V5771" s="13"/>
      <c r="W5771" s="11"/>
      <c r="X5771" s="11"/>
      <c r="Y5771" s="45"/>
      <c r="Z5771" s="45"/>
      <c r="AA5771" s="31"/>
      <c r="AB5771" s="45" t="s">
        <v>23043</v>
      </c>
      <c r="AC5771" s="45"/>
    </row>
    <row r="5772" ht="18.75" customHeight="1">
      <c r="A5772" s="32" t="s">
        <v>23044</v>
      </c>
      <c r="B5772" s="33" t="s">
        <v>19002</v>
      </c>
      <c r="C5772" s="20">
        <v>1.0</v>
      </c>
      <c r="D5772" s="39"/>
      <c r="E5772" s="27" t="s">
        <v>3395</v>
      </c>
      <c r="F5772" s="27" t="s">
        <v>48</v>
      </c>
      <c r="G5772" s="18" t="s">
        <v>35</v>
      </c>
      <c r="H5772" s="40" t="s">
        <v>35</v>
      </c>
      <c r="I5772" s="37" t="s">
        <v>17277</v>
      </c>
      <c r="J5772" s="25" t="s">
        <v>92</v>
      </c>
      <c r="K5772" s="26" t="s">
        <v>38</v>
      </c>
      <c r="L5772" s="25"/>
      <c r="M5772" s="49"/>
      <c r="N5772" s="42"/>
      <c r="O5772" s="68"/>
      <c r="P5772" s="26" t="s">
        <v>23002</v>
      </c>
      <c r="Q5772" s="13" t="s">
        <v>67</v>
      </c>
      <c r="R5772" s="13" t="s">
        <v>67</v>
      </c>
      <c r="S5772" s="13" t="s">
        <v>67</v>
      </c>
      <c r="T5772" s="44">
        <v>45951.47782008102</v>
      </c>
      <c r="U5772" s="13"/>
      <c r="V5772" s="13"/>
      <c r="W5772" s="11"/>
      <c r="X5772" s="11"/>
      <c r="Y5772" s="45"/>
      <c r="Z5772" s="45"/>
      <c r="AA5772" s="31"/>
      <c r="AB5772" s="45" t="s">
        <v>23045</v>
      </c>
      <c r="AC5772" s="45"/>
    </row>
    <row r="5773" ht="18.75" customHeight="1">
      <c r="A5773" s="32" t="s">
        <v>23046</v>
      </c>
      <c r="B5773" s="33" t="s">
        <v>19002</v>
      </c>
      <c r="C5773" s="20">
        <v>1.0</v>
      </c>
      <c r="D5773" s="39"/>
      <c r="E5773" s="27" t="s">
        <v>3395</v>
      </c>
      <c r="F5773" s="27" t="s">
        <v>48</v>
      </c>
      <c r="G5773" s="18" t="s">
        <v>35</v>
      </c>
      <c r="H5773" s="40" t="s">
        <v>35</v>
      </c>
      <c r="I5773" s="37" t="s">
        <v>17277</v>
      </c>
      <c r="J5773" s="25" t="s">
        <v>92</v>
      </c>
      <c r="K5773" s="26" t="s">
        <v>38</v>
      </c>
      <c r="L5773" s="25"/>
      <c r="M5773" s="49"/>
      <c r="N5773" s="42"/>
      <c r="O5773" s="68"/>
      <c r="P5773" s="26" t="s">
        <v>23002</v>
      </c>
      <c r="Q5773" s="13" t="s">
        <v>67</v>
      </c>
      <c r="R5773" s="13" t="s">
        <v>67</v>
      </c>
      <c r="S5773" s="13" t="s">
        <v>67</v>
      </c>
      <c r="T5773" s="44">
        <v>45951.47786815972</v>
      </c>
      <c r="U5773" s="13"/>
      <c r="V5773" s="13"/>
      <c r="W5773" s="11"/>
      <c r="X5773" s="11"/>
      <c r="Y5773" s="45"/>
      <c r="Z5773" s="45"/>
      <c r="AA5773" s="31"/>
      <c r="AB5773" s="45" t="s">
        <v>23047</v>
      </c>
      <c r="AC5773" s="45"/>
    </row>
    <row r="5774" ht="18.75" customHeight="1">
      <c r="A5774" s="32" t="s">
        <v>23048</v>
      </c>
      <c r="B5774" s="33" t="s">
        <v>19002</v>
      </c>
      <c r="C5774" s="20">
        <v>1.0</v>
      </c>
      <c r="D5774" s="39"/>
      <c r="E5774" s="27" t="s">
        <v>3395</v>
      </c>
      <c r="F5774" s="27" t="s">
        <v>48</v>
      </c>
      <c r="G5774" s="18" t="s">
        <v>35</v>
      </c>
      <c r="H5774" s="40" t="s">
        <v>35</v>
      </c>
      <c r="I5774" s="37" t="s">
        <v>17277</v>
      </c>
      <c r="J5774" s="25" t="s">
        <v>92</v>
      </c>
      <c r="K5774" s="26" t="s">
        <v>38</v>
      </c>
      <c r="L5774" s="25"/>
      <c r="M5774" s="49"/>
      <c r="N5774" s="42"/>
      <c r="O5774" s="68"/>
      <c r="P5774" s="26" t="s">
        <v>23002</v>
      </c>
      <c r="Q5774" s="13" t="s">
        <v>67</v>
      </c>
      <c r="R5774" s="13" t="s">
        <v>67</v>
      </c>
      <c r="S5774" s="13" t="s">
        <v>67</v>
      </c>
      <c r="T5774" s="44">
        <v>45951.477923252314</v>
      </c>
      <c r="U5774" s="13"/>
      <c r="V5774" s="13"/>
      <c r="W5774" s="11"/>
      <c r="X5774" s="11"/>
      <c r="Y5774" s="45"/>
      <c r="Z5774" s="45"/>
      <c r="AA5774" s="31"/>
      <c r="AB5774" s="45" t="s">
        <v>23049</v>
      </c>
      <c r="AC5774" s="45"/>
    </row>
    <row r="5775" ht="18.75" customHeight="1">
      <c r="A5775" s="32" t="s">
        <v>23050</v>
      </c>
      <c r="B5775" s="33" t="s">
        <v>19002</v>
      </c>
      <c r="C5775" s="20">
        <v>1.0</v>
      </c>
      <c r="D5775" s="39"/>
      <c r="E5775" s="27" t="s">
        <v>3395</v>
      </c>
      <c r="F5775" s="27" t="s">
        <v>48</v>
      </c>
      <c r="G5775" s="18" t="s">
        <v>35</v>
      </c>
      <c r="H5775" s="40" t="s">
        <v>35</v>
      </c>
      <c r="I5775" s="37" t="s">
        <v>17277</v>
      </c>
      <c r="J5775" s="25" t="s">
        <v>92</v>
      </c>
      <c r="K5775" s="26" t="s">
        <v>38</v>
      </c>
      <c r="L5775" s="25"/>
      <c r="M5775" s="49"/>
      <c r="N5775" s="42"/>
      <c r="O5775" s="68"/>
      <c r="P5775" s="26" t="s">
        <v>23002</v>
      </c>
      <c r="Q5775" s="13" t="s">
        <v>67</v>
      </c>
      <c r="R5775" s="13" t="s">
        <v>67</v>
      </c>
      <c r="S5775" s="13" t="s">
        <v>67</v>
      </c>
      <c r="T5775" s="44">
        <v>45951.477972002314</v>
      </c>
      <c r="U5775" s="13"/>
      <c r="V5775" s="13"/>
      <c r="W5775" s="11"/>
      <c r="X5775" s="11"/>
      <c r="Y5775" s="45"/>
      <c r="Z5775" s="45"/>
      <c r="AA5775" s="31"/>
      <c r="AB5775" s="45" t="s">
        <v>23051</v>
      </c>
      <c r="AC5775" s="45"/>
    </row>
    <row r="5776" ht="18.75" customHeight="1">
      <c r="A5776" s="32" t="s">
        <v>23052</v>
      </c>
      <c r="B5776" s="33" t="s">
        <v>19002</v>
      </c>
      <c r="C5776" s="20">
        <v>1.0</v>
      </c>
      <c r="D5776" s="39"/>
      <c r="E5776" s="27" t="s">
        <v>3395</v>
      </c>
      <c r="F5776" s="27" t="s">
        <v>48</v>
      </c>
      <c r="G5776" s="18" t="s">
        <v>35</v>
      </c>
      <c r="H5776" s="40" t="s">
        <v>35</v>
      </c>
      <c r="I5776" s="37" t="s">
        <v>17277</v>
      </c>
      <c r="J5776" s="25" t="s">
        <v>92</v>
      </c>
      <c r="K5776" s="26" t="s">
        <v>38</v>
      </c>
      <c r="L5776" s="25"/>
      <c r="M5776" s="49"/>
      <c r="N5776" s="42"/>
      <c r="O5776" s="68"/>
      <c r="P5776" s="26" t="s">
        <v>23002</v>
      </c>
      <c r="Q5776" s="13" t="s">
        <v>67</v>
      </c>
      <c r="R5776" s="13" t="s">
        <v>67</v>
      </c>
      <c r="S5776" s="13" t="s">
        <v>67</v>
      </c>
      <c r="T5776" s="44">
        <v>45951.47801890047</v>
      </c>
      <c r="U5776" s="13"/>
      <c r="V5776" s="13"/>
      <c r="W5776" s="11"/>
      <c r="X5776" s="11"/>
      <c r="Y5776" s="45"/>
      <c r="Z5776" s="45"/>
      <c r="AA5776" s="31"/>
      <c r="AB5776" s="45" t="s">
        <v>23053</v>
      </c>
      <c r="AC5776" s="45"/>
    </row>
    <row r="5777" ht="18.75" customHeight="1">
      <c r="A5777" s="32" t="s">
        <v>23054</v>
      </c>
      <c r="B5777" s="33" t="s">
        <v>19002</v>
      </c>
      <c r="C5777" s="20">
        <v>1.0</v>
      </c>
      <c r="D5777" s="39"/>
      <c r="E5777" s="27" t="s">
        <v>3395</v>
      </c>
      <c r="F5777" s="27" t="s">
        <v>48</v>
      </c>
      <c r="G5777" s="18" t="s">
        <v>35</v>
      </c>
      <c r="H5777" s="40" t="s">
        <v>35</v>
      </c>
      <c r="I5777" s="37" t="s">
        <v>17277</v>
      </c>
      <c r="J5777" s="25" t="s">
        <v>92</v>
      </c>
      <c r="K5777" s="26" t="s">
        <v>38</v>
      </c>
      <c r="L5777" s="25"/>
      <c r="M5777" s="49"/>
      <c r="N5777" s="42"/>
      <c r="O5777" s="68"/>
      <c r="P5777" s="26" t="s">
        <v>23002</v>
      </c>
      <c r="Q5777" s="13" t="s">
        <v>67</v>
      </c>
      <c r="R5777" s="13" t="s">
        <v>67</v>
      </c>
      <c r="S5777" s="13" t="s">
        <v>67</v>
      </c>
      <c r="T5777" s="44">
        <v>45951.478080914356</v>
      </c>
      <c r="U5777" s="13"/>
      <c r="V5777" s="13"/>
      <c r="W5777" s="11"/>
      <c r="X5777" s="11"/>
      <c r="Y5777" s="45"/>
      <c r="Z5777" s="45"/>
      <c r="AA5777" s="31"/>
      <c r="AB5777" s="45" t="s">
        <v>23055</v>
      </c>
      <c r="AC5777" s="45"/>
    </row>
    <row r="5778" ht="18.75" customHeight="1">
      <c r="A5778" s="32" t="s">
        <v>23056</v>
      </c>
      <c r="B5778" s="33" t="s">
        <v>19002</v>
      </c>
      <c r="C5778" s="20">
        <v>1.0</v>
      </c>
      <c r="D5778" s="39"/>
      <c r="E5778" s="27" t="s">
        <v>3395</v>
      </c>
      <c r="F5778" s="27" t="s">
        <v>48</v>
      </c>
      <c r="G5778" s="18" t="s">
        <v>35</v>
      </c>
      <c r="H5778" s="40" t="s">
        <v>35</v>
      </c>
      <c r="I5778" s="37" t="s">
        <v>17277</v>
      </c>
      <c r="J5778" s="25" t="s">
        <v>92</v>
      </c>
      <c r="K5778" s="26" t="s">
        <v>38</v>
      </c>
      <c r="L5778" s="25"/>
      <c r="M5778" s="49"/>
      <c r="N5778" s="42"/>
      <c r="O5778" s="68"/>
      <c r="P5778" s="26" t="s">
        <v>23002</v>
      </c>
      <c r="Q5778" s="13" t="s">
        <v>67</v>
      </c>
      <c r="R5778" s="13" t="s">
        <v>67</v>
      </c>
      <c r="S5778" s="13" t="s">
        <v>67</v>
      </c>
      <c r="T5778" s="44">
        <v>45951.47812746528</v>
      </c>
      <c r="U5778" s="13"/>
      <c r="V5778" s="13"/>
      <c r="W5778" s="11"/>
      <c r="X5778" s="11"/>
      <c r="Y5778" s="45"/>
      <c r="Z5778" s="45"/>
      <c r="AA5778" s="31"/>
      <c r="AB5778" s="45" t="s">
        <v>23057</v>
      </c>
      <c r="AC5778" s="45"/>
    </row>
    <row r="5779" ht="18.75" customHeight="1">
      <c r="A5779" s="32" t="s">
        <v>23058</v>
      </c>
      <c r="B5779" s="33" t="s">
        <v>19002</v>
      </c>
      <c r="C5779" s="20">
        <v>1.0</v>
      </c>
      <c r="D5779" s="39"/>
      <c r="E5779" s="27" t="s">
        <v>3395</v>
      </c>
      <c r="F5779" s="27" t="s">
        <v>48</v>
      </c>
      <c r="G5779" s="18" t="s">
        <v>35</v>
      </c>
      <c r="H5779" s="40" t="s">
        <v>35</v>
      </c>
      <c r="I5779" s="37" t="s">
        <v>17277</v>
      </c>
      <c r="J5779" s="25" t="s">
        <v>92</v>
      </c>
      <c r="K5779" s="26" t="s">
        <v>38</v>
      </c>
      <c r="L5779" s="25"/>
      <c r="M5779" s="49"/>
      <c r="N5779" s="42"/>
      <c r="O5779" s="68"/>
      <c r="P5779" s="26" t="s">
        <v>23002</v>
      </c>
      <c r="Q5779" s="13" t="s">
        <v>67</v>
      </c>
      <c r="R5779" s="13" t="s">
        <v>67</v>
      </c>
      <c r="S5779" s="13" t="s">
        <v>67</v>
      </c>
      <c r="T5779" s="44">
        <v>45951.47817783565</v>
      </c>
      <c r="U5779" s="13"/>
      <c r="V5779" s="13"/>
      <c r="W5779" s="11"/>
      <c r="X5779" s="11"/>
      <c r="Y5779" s="45"/>
      <c r="Z5779" s="45"/>
      <c r="AA5779" s="31"/>
      <c r="AB5779" s="45" t="s">
        <v>23059</v>
      </c>
      <c r="AC5779" s="45"/>
    </row>
    <row r="5780" ht="18.75" customHeight="1">
      <c r="A5780" s="32" t="s">
        <v>23060</v>
      </c>
      <c r="B5780" s="33" t="s">
        <v>19002</v>
      </c>
      <c r="C5780" s="20">
        <v>1.0</v>
      </c>
      <c r="D5780" s="39"/>
      <c r="E5780" s="27" t="s">
        <v>3395</v>
      </c>
      <c r="F5780" s="27" t="s">
        <v>48</v>
      </c>
      <c r="G5780" s="18" t="s">
        <v>35</v>
      </c>
      <c r="H5780" s="40" t="s">
        <v>35</v>
      </c>
      <c r="I5780" s="37" t="s">
        <v>17277</v>
      </c>
      <c r="J5780" s="25" t="s">
        <v>92</v>
      </c>
      <c r="K5780" s="26" t="s">
        <v>38</v>
      </c>
      <c r="L5780" s="25"/>
      <c r="M5780" s="49"/>
      <c r="N5780" s="42"/>
      <c r="O5780" s="68"/>
      <c r="P5780" s="26" t="s">
        <v>23002</v>
      </c>
      <c r="Q5780" s="13" t="s">
        <v>67</v>
      </c>
      <c r="R5780" s="13" t="s">
        <v>67</v>
      </c>
      <c r="S5780" s="13" t="s">
        <v>67</v>
      </c>
      <c r="T5780" s="44">
        <v>45951.47822898148</v>
      </c>
      <c r="U5780" s="13"/>
      <c r="V5780" s="13"/>
      <c r="W5780" s="11"/>
      <c r="X5780" s="11"/>
      <c r="Y5780" s="45"/>
      <c r="Z5780" s="45"/>
      <c r="AA5780" s="31"/>
      <c r="AB5780" s="45" t="s">
        <v>23061</v>
      </c>
      <c r="AC5780" s="45"/>
    </row>
    <row r="5781" ht="18.75" customHeight="1">
      <c r="A5781" s="32" t="s">
        <v>23062</v>
      </c>
      <c r="B5781" s="33" t="s">
        <v>19002</v>
      </c>
      <c r="C5781" s="20">
        <v>1.0</v>
      </c>
      <c r="D5781" s="39"/>
      <c r="E5781" s="27" t="s">
        <v>3395</v>
      </c>
      <c r="F5781" s="27" t="s">
        <v>48</v>
      </c>
      <c r="G5781" s="18" t="s">
        <v>35</v>
      </c>
      <c r="H5781" s="40" t="s">
        <v>35</v>
      </c>
      <c r="I5781" s="37" t="s">
        <v>17277</v>
      </c>
      <c r="J5781" s="25" t="s">
        <v>92</v>
      </c>
      <c r="K5781" s="26" t="s">
        <v>38</v>
      </c>
      <c r="L5781" s="25"/>
      <c r="M5781" s="49"/>
      <c r="N5781" s="42"/>
      <c r="O5781" s="68"/>
      <c r="P5781" s="26" t="s">
        <v>23002</v>
      </c>
      <c r="Q5781" s="13" t="s">
        <v>67</v>
      </c>
      <c r="R5781" s="13" t="s">
        <v>67</v>
      </c>
      <c r="S5781" s="13" t="s">
        <v>67</v>
      </c>
      <c r="T5781" s="44">
        <v>45951.47831641204</v>
      </c>
      <c r="U5781" s="13"/>
      <c r="V5781" s="13"/>
      <c r="W5781" s="11"/>
      <c r="X5781" s="11"/>
      <c r="Y5781" s="45"/>
      <c r="Z5781" s="45"/>
      <c r="AA5781" s="31"/>
      <c r="AB5781" s="45" t="s">
        <v>23063</v>
      </c>
      <c r="AC5781" s="45"/>
    </row>
    <row r="5782" ht="18.75" customHeight="1">
      <c r="A5782" s="32" t="s">
        <v>23064</v>
      </c>
      <c r="B5782" s="33" t="s">
        <v>19002</v>
      </c>
      <c r="C5782" s="20">
        <v>1.0</v>
      </c>
      <c r="D5782" s="39"/>
      <c r="E5782" s="27" t="s">
        <v>3395</v>
      </c>
      <c r="F5782" s="27" t="s">
        <v>48</v>
      </c>
      <c r="G5782" s="18" t="s">
        <v>35</v>
      </c>
      <c r="H5782" s="40" t="s">
        <v>35</v>
      </c>
      <c r="I5782" s="37" t="s">
        <v>17277</v>
      </c>
      <c r="J5782" s="25" t="s">
        <v>92</v>
      </c>
      <c r="K5782" s="26" t="s">
        <v>38</v>
      </c>
      <c r="L5782" s="25"/>
      <c r="M5782" s="49"/>
      <c r="N5782" s="42"/>
      <c r="O5782" s="68"/>
      <c r="P5782" s="26" t="s">
        <v>23002</v>
      </c>
      <c r="Q5782" s="13" t="s">
        <v>67</v>
      </c>
      <c r="R5782" s="13" t="s">
        <v>67</v>
      </c>
      <c r="S5782" s="13" t="s">
        <v>67</v>
      </c>
      <c r="T5782" s="44">
        <v>45951.478360625</v>
      </c>
      <c r="U5782" s="13"/>
      <c r="V5782" s="13"/>
      <c r="W5782" s="11"/>
      <c r="X5782" s="11"/>
      <c r="Y5782" s="45"/>
      <c r="Z5782" s="45"/>
      <c r="AA5782" s="31"/>
      <c r="AB5782" s="45" t="s">
        <v>23065</v>
      </c>
      <c r="AC5782" s="45"/>
    </row>
    <row r="5783" ht="18.75" customHeight="1">
      <c r="A5783" s="32" t="s">
        <v>23066</v>
      </c>
      <c r="B5783" s="33" t="s">
        <v>19002</v>
      </c>
      <c r="C5783" s="20">
        <v>1.0</v>
      </c>
      <c r="D5783" s="39"/>
      <c r="E5783" s="27" t="s">
        <v>3395</v>
      </c>
      <c r="F5783" s="27" t="s">
        <v>48</v>
      </c>
      <c r="G5783" s="18" t="s">
        <v>35</v>
      </c>
      <c r="H5783" s="40" t="s">
        <v>35</v>
      </c>
      <c r="I5783" s="37" t="s">
        <v>17277</v>
      </c>
      <c r="J5783" s="25" t="s">
        <v>92</v>
      </c>
      <c r="K5783" s="26" t="s">
        <v>38</v>
      </c>
      <c r="L5783" s="25"/>
      <c r="M5783" s="49"/>
      <c r="N5783" s="42"/>
      <c r="O5783" s="68"/>
      <c r="P5783" s="26" t="s">
        <v>23002</v>
      </c>
      <c r="Q5783" s="13" t="s">
        <v>67</v>
      </c>
      <c r="R5783" s="13" t="s">
        <v>67</v>
      </c>
      <c r="S5783" s="13" t="s">
        <v>67</v>
      </c>
      <c r="T5783" s="44">
        <v>45951.47840527778</v>
      </c>
      <c r="U5783" s="13"/>
      <c r="V5783" s="13"/>
      <c r="W5783" s="11"/>
      <c r="X5783" s="11"/>
      <c r="Y5783" s="45"/>
      <c r="Z5783" s="45"/>
      <c r="AA5783" s="31"/>
      <c r="AB5783" s="45" t="s">
        <v>23067</v>
      </c>
      <c r="AC5783" s="45"/>
    </row>
    <row r="5784" ht="18.75" customHeight="1">
      <c r="A5784" s="32" t="s">
        <v>23068</v>
      </c>
      <c r="B5784" s="33" t="s">
        <v>19002</v>
      </c>
      <c r="C5784" s="20">
        <v>1.0</v>
      </c>
      <c r="D5784" s="39"/>
      <c r="E5784" s="27" t="s">
        <v>3395</v>
      </c>
      <c r="F5784" s="27" t="s">
        <v>48</v>
      </c>
      <c r="G5784" s="18" t="s">
        <v>35</v>
      </c>
      <c r="H5784" s="40" t="s">
        <v>35</v>
      </c>
      <c r="I5784" s="37" t="s">
        <v>17277</v>
      </c>
      <c r="J5784" s="25" t="s">
        <v>92</v>
      </c>
      <c r="K5784" s="26" t="s">
        <v>38</v>
      </c>
      <c r="L5784" s="25"/>
      <c r="M5784" s="49"/>
      <c r="N5784" s="42"/>
      <c r="O5784" s="68"/>
      <c r="P5784" s="26" t="s">
        <v>23002</v>
      </c>
      <c r="Q5784" s="13" t="s">
        <v>67</v>
      </c>
      <c r="R5784" s="13" t="s">
        <v>67</v>
      </c>
      <c r="S5784" s="13" t="s">
        <v>67</v>
      </c>
      <c r="T5784" s="44">
        <v>45951.47845559027</v>
      </c>
      <c r="U5784" s="13"/>
      <c r="V5784" s="13"/>
      <c r="W5784" s="11"/>
      <c r="X5784" s="11"/>
      <c r="Y5784" s="45"/>
      <c r="Z5784" s="45"/>
      <c r="AA5784" s="31"/>
      <c r="AB5784" s="45" t="s">
        <v>23069</v>
      </c>
      <c r="AC5784" s="45"/>
    </row>
    <row r="5785" ht="18.75" customHeight="1">
      <c r="A5785" s="32" t="s">
        <v>23070</v>
      </c>
      <c r="B5785" s="33" t="s">
        <v>19002</v>
      </c>
      <c r="C5785" s="20">
        <v>1.0</v>
      </c>
      <c r="D5785" s="39"/>
      <c r="E5785" s="27" t="s">
        <v>3395</v>
      </c>
      <c r="F5785" s="27" t="s">
        <v>48</v>
      </c>
      <c r="G5785" s="18" t="s">
        <v>35</v>
      </c>
      <c r="H5785" s="40" t="s">
        <v>35</v>
      </c>
      <c r="I5785" s="37" t="s">
        <v>17277</v>
      </c>
      <c r="J5785" s="25" t="s">
        <v>92</v>
      </c>
      <c r="K5785" s="26" t="s">
        <v>38</v>
      </c>
      <c r="L5785" s="25"/>
      <c r="M5785" s="49"/>
      <c r="N5785" s="42"/>
      <c r="O5785" s="68"/>
      <c r="P5785" s="26" t="s">
        <v>23002</v>
      </c>
      <c r="Q5785" s="13" t="s">
        <v>67</v>
      </c>
      <c r="R5785" s="13" t="s">
        <v>67</v>
      </c>
      <c r="S5785" s="13" t="s">
        <v>67</v>
      </c>
      <c r="T5785" s="44">
        <v>45951.47850427083</v>
      </c>
      <c r="U5785" s="13"/>
      <c r="V5785" s="13"/>
      <c r="W5785" s="11"/>
      <c r="X5785" s="11"/>
      <c r="Y5785" s="45"/>
      <c r="Z5785" s="45"/>
      <c r="AA5785" s="31"/>
      <c r="AB5785" s="45" t="s">
        <v>23071</v>
      </c>
      <c r="AC5785" s="45"/>
    </row>
    <row r="5786" ht="18.75" customHeight="1">
      <c r="A5786" s="32" t="s">
        <v>23072</v>
      </c>
      <c r="B5786" s="33" t="s">
        <v>19002</v>
      </c>
      <c r="C5786" s="20">
        <v>1.0</v>
      </c>
      <c r="D5786" s="39"/>
      <c r="E5786" s="27" t="s">
        <v>3395</v>
      </c>
      <c r="F5786" s="27" t="s">
        <v>48</v>
      </c>
      <c r="G5786" s="18" t="s">
        <v>35</v>
      </c>
      <c r="H5786" s="40" t="s">
        <v>35</v>
      </c>
      <c r="I5786" s="37" t="s">
        <v>17277</v>
      </c>
      <c r="J5786" s="25" t="s">
        <v>92</v>
      </c>
      <c r="K5786" s="26" t="s">
        <v>38</v>
      </c>
      <c r="L5786" s="25"/>
      <c r="M5786" s="49"/>
      <c r="N5786" s="42"/>
      <c r="O5786" s="68"/>
      <c r="P5786" s="26" t="s">
        <v>23002</v>
      </c>
      <c r="Q5786" s="13" t="s">
        <v>67</v>
      </c>
      <c r="R5786" s="13" t="s">
        <v>67</v>
      </c>
      <c r="S5786" s="13" t="s">
        <v>67</v>
      </c>
      <c r="T5786" s="44">
        <v>45951.47854832176</v>
      </c>
      <c r="U5786" s="13"/>
      <c r="V5786" s="13"/>
      <c r="W5786" s="11"/>
      <c r="X5786" s="11"/>
      <c r="Y5786" s="45"/>
      <c r="Z5786" s="45"/>
      <c r="AA5786" s="31"/>
      <c r="AB5786" s="45" t="s">
        <v>23073</v>
      </c>
      <c r="AC5786" s="45"/>
    </row>
    <row r="5787" ht="18.75" customHeight="1">
      <c r="A5787" s="32" t="s">
        <v>23074</v>
      </c>
      <c r="B5787" s="33" t="s">
        <v>19002</v>
      </c>
      <c r="C5787" s="20">
        <v>1.0</v>
      </c>
      <c r="D5787" s="39"/>
      <c r="E5787" s="27" t="s">
        <v>3395</v>
      </c>
      <c r="F5787" s="27" t="s">
        <v>48</v>
      </c>
      <c r="G5787" s="18" t="s">
        <v>35</v>
      </c>
      <c r="H5787" s="40" t="s">
        <v>35</v>
      </c>
      <c r="I5787" s="37" t="s">
        <v>17277</v>
      </c>
      <c r="J5787" s="25" t="s">
        <v>92</v>
      </c>
      <c r="K5787" s="26" t="s">
        <v>38</v>
      </c>
      <c r="L5787" s="25"/>
      <c r="M5787" s="49"/>
      <c r="N5787" s="42"/>
      <c r="O5787" s="68"/>
      <c r="P5787" s="26" t="s">
        <v>23002</v>
      </c>
      <c r="Q5787" s="13" t="s">
        <v>67</v>
      </c>
      <c r="R5787" s="13" t="s">
        <v>67</v>
      </c>
      <c r="S5787" s="13" t="s">
        <v>67</v>
      </c>
      <c r="T5787" s="44">
        <v>45951.47859329861</v>
      </c>
      <c r="U5787" s="13"/>
      <c r="V5787" s="13"/>
      <c r="W5787" s="11"/>
      <c r="X5787" s="11"/>
      <c r="Y5787" s="45"/>
      <c r="Z5787" s="45"/>
      <c r="AA5787" s="31"/>
      <c r="AB5787" s="45" t="s">
        <v>23075</v>
      </c>
      <c r="AC5787" s="45"/>
    </row>
    <row r="5788" ht="18.75" customHeight="1">
      <c r="A5788" s="32" t="s">
        <v>23076</v>
      </c>
      <c r="B5788" s="33" t="s">
        <v>19002</v>
      </c>
      <c r="C5788" s="20">
        <v>1.0</v>
      </c>
      <c r="D5788" s="39"/>
      <c r="E5788" s="27" t="s">
        <v>3395</v>
      </c>
      <c r="F5788" s="27" t="s">
        <v>48</v>
      </c>
      <c r="G5788" s="18" t="s">
        <v>35</v>
      </c>
      <c r="H5788" s="40" t="s">
        <v>35</v>
      </c>
      <c r="I5788" s="37" t="s">
        <v>17277</v>
      </c>
      <c r="J5788" s="25" t="s">
        <v>92</v>
      </c>
      <c r="K5788" s="26" t="s">
        <v>38</v>
      </c>
      <c r="L5788" s="25"/>
      <c r="M5788" s="49"/>
      <c r="N5788" s="42"/>
      <c r="O5788" s="68"/>
      <c r="P5788" s="26" t="s">
        <v>23002</v>
      </c>
      <c r="Q5788" s="13" t="s">
        <v>67</v>
      </c>
      <c r="R5788" s="13" t="s">
        <v>67</v>
      </c>
      <c r="S5788" s="13" t="s">
        <v>67</v>
      </c>
      <c r="T5788" s="44">
        <v>45951.47863748843</v>
      </c>
      <c r="U5788" s="13"/>
      <c r="V5788" s="13"/>
      <c r="W5788" s="11"/>
      <c r="X5788" s="11"/>
      <c r="Y5788" s="45"/>
      <c r="Z5788" s="45"/>
      <c r="AA5788" s="31"/>
      <c r="AB5788" s="45" t="s">
        <v>23077</v>
      </c>
      <c r="AC5788" s="45"/>
    </row>
    <row r="5789" ht="18.75" customHeight="1">
      <c r="A5789" s="32" t="s">
        <v>23078</v>
      </c>
      <c r="B5789" s="33" t="s">
        <v>19002</v>
      </c>
      <c r="C5789" s="20">
        <v>1.0</v>
      </c>
      <c r="D5789" s="39"/>
      <c r="E5789" s="27" t="s">
        <v>3395</v>
      </c>
      <c r="F5789" s="27" t="s">
        <v>48</v>
      </c>
      <c r="G5789" s="18" t="s">
        <v>35</v>
      </c>
      <c r="H5789" s="40" t="s">
        <v>35</v>
      </c>
      <c r="I5789" s="37" t="s">
        <v>17277</v>
      </c>
      <c r="J5789" s="25" t="s">
        <v>92</v>
      </c>
      <c r="K5789" s="26" t="s">
        <v>38</v>
      </c>
      <c r="L5789" s="25"/>
      <c r="M5789" s="49"/>
      <c r="N5789" s="42"/>
      <c r="O5789" s="68"/>
      <c r="P5789" s="26" t="s">
        <v>23002</v>
      </c>
      <c r="Q5789" s="13" t="s">
        <v>67</v>
      </c>
      <c r="R5789" s="13" t="s">
        <v>67</v>
      </c>
      <c r="S5789" s="13" t="s">
        <v>67</v>
      </c>
      <c r="T5789" s="44">
        <v>45951.47868571759</v>
      </c>
      <c r="U5789" s="13"/>
      <c r="V5789" s="13"/>
      <c r="W5789" s="11"/>
      <c r="X5789" s="11"/>
      <c r="Y5789" s="45"/>
      <c r="Z5789" s="45"/>
      <c r="AA5789" s="31"/>
      <c r="AB5789" s="45" t="s">
        <v>23079</v>
      </c>
      <c r="AC5789" s="45"/>
    </row>
    <row r="5790" ht="18.75" customHeight="1">
      <c r="A5790" s="32" t="s">
        <v>23080</v>
      </c>
      <c r="B5790" s="33" t="s">
        <v>19002</v>
      </c>
      <c r="C5790" s="20">
        <v>1.0</v>
      </c>
      <c r="D5790" s="39"/>
      <c r="E5790" s="27" t="s">
        <v>3395</v>
      </c>
      <c r="F5790" s="27" t="s">
        <v>48</v>
      </c>
      <c r="G5790" s="18" t="s">
        <v>35</v>
      </c>
      <c r="H5790" s="40" t="s">
        <v>35</v>
      </c>
      <c r="I5790" s="37" t="s">
        <v>17277</v>
      </c>
      <c r="J5790" s="25" t="s">
        <v>92</v>
      </c>
      <c r="K5790" s="26" t="s">
        <v>38</v>
      </c>
      <c r="L5790" s="25"/>
      <c r="M5790" s="49"/>
      <c r="N5790" s="42"/>
      <c r="O5790" s="68"/>
      <c r="P5790" s="26" t="s">
        <v>23002</v>
      </c>
      <c r="Q5790" s="13" t="s">
        <v>67</v>
      </c>
      <c r="R5790" s="13" t="s">
        <v>67</v>
      </c>
      <c r="S5790" s="13" t="s">
        <v>67</v>
      </c>
      <c r="T5790" s="44">
        <v>45951.47875091435</v>
      </c>
      <c r="U5790" s="13"/>
      <c r="V5790" s="13"/>
      <c r="W5790" s="11"/>
      <c r="X5790" s="11"/>
      <c r="Y5790" s="45"/>
      <c r="Z5790" s="45"/>
      <c r="AA5790" s="31"/>
      <c r="AB5790" s="45" t="s">
        <v>23081</v>
      </c>
      <c r="AC5790" s="45"/>
    </row>
    <row r="5791" ht="18.75" customHeight="1">
      <c r="A5791" s="32" t="s">
        <v>23082</v>
      </c>
      <c r="B5791" s="33" t="s">
        <v>19002</v>
      </c>
      <c r="C5791" s="20">
        <v>1.0</v>
      </c>
      <c r="D5791" s="39"/>
      <c r="E5791" s="27" t="s">
        <v>3395</v>
      </c>
      <c r="F5791" s="27" t="s">
        <v>48</v>
      </c>
      <c r="G5791" s="18" t="s">
        <v>35</v>
      </c>
      <c r="H5791" s="40" t="s">
        <v>35</v>
      </c>
      <c r="I5791" s="37" t="s">
        <v>17277</v>
      </c>
      <c r="J5791" s="25" t="s">
        <v>92</v>
      </c>
      <c r="K5791" s="26" t="s">
        <v>38</v>
      </c>
      <c r="L5791" s="25"/>
      <c r="M5791" s="49"/>
      <c r="N5791" s="42"/>
      <c r="O5791" s="68"/>
      <c r="P5791" s="26" t="s">
        <v>23002</v>
      </c>
      <c r="Q5791" s="13" t="s">
        <v>67</v>
      </c>
      <c r="R5791" s="13" t="s">
        <v>67</v>
      </c>
      <c r="S5791" s="13" t="s">
        <v>67</v>
      </c>
      <c r="T5791" s="44">
        <v>45951.478829375</v>
      </c>
      <c r="U5791" s="13"/>
      <c r="V5791" s="13"/>
      <c r="W5791" s="11"/>
      <c r="X5791" s="11"/>
      <c r="Y5791" s="45"/>
      <c r="Z5791" s="45"/>
      <c r="AA5791" s="31"/>
      <c r="AB5791" s="45" t="s">
        <v>23083</v>
      </c>
      <c r="AC5791" s="45"/>
    </row>
    <row r="5792" ht="18.75" customHeight="1">
      <c r="A5792" s="32" t="s">
        <v>23084</v>
      </c>
      <c r="B5792" s="33" t="s">
        <v>19002</v>
      </c>
      <c r="C5792" s="20">
        <v>1.0</v>
      </c>
      <c r="D5792" s="39"/>
      <c r="E5792" s="27" t="s">
        <v>3395</v>
      </c>
      <c r="F5792" s="27" t="s">
        <v>48</v>
      </c>
      <c r="G5792" s="18" t="s">
        <v>35</v>
      </c>
      <c r="H5792" s="40" t="s">
        <v>35</v>
      </c>
      <c r="I5792" s="37" t="s">
        <v>17277</v>
      </c>
      <c r="J5792" s="25" t="s">
        <v>92</v>
      </c>
      <c r="K5792" s="26" t="s">
        <v>38</v>
      </c>
      <c r="L5792" s="25"/>
      <c r="M5792" s="49"/>
      <c r="N5792" s="42"/>
      <c r="O5792" s="68"/>
      <c r="P5792" s="26" t="s">
        <v>23002</v>
      </c>
      <c r="Q5792" s="13" t="s">
        <v>67</v>
      </c>
      <c r="R5792" s="13" t="s">
        <v>67</v>
      </c>
      <c r="S5792" s="13" t="s">
        <v>67</v>
      </c>
      <c r="T5792" s="44">
        <v>45951.47894916667</v>
      </c>
      <c r="U5792" s="13"/>
      <c r="V5792" s="13"/>
      <c r="W5792" s="11"/>
      <c r="X5792" s="11"/>
      <c r="Y5792" s="45"/>
      <c r="Z5792" s="45"/>
      <c r="AA5792" s="31"/>
      <c r="AB5792" s="45" t="s">
        <v>23085</v>
      </c>
      <c r="AC5792" s="45"/>
    </row>
    <row r="5793" ht="18.75" customHeight="1">
      <c r="A5793" s="32" t="s">
        <v>23086</v>
      </c>
      <c r="B5793" s="33" t="s">
        <v>19002</v>
      </c>
      <c r="C5793" s="20">
        <v>1.0</v>
      </c>
      <c r="D5793" s="39"/>
      <c r="E5793" s="27" t="s">
        <v>3395</v>
      </c>
      <c r="F5793" s="27" t="s">
        <v>48</v>
      </c>
      <c r="G5793" s="18" t="s">
        <v>35</v>
      </c>
      <c r="H5793" s="40" t="s">
        <v>35</v>
      </c>
      <c r="I5793" s="37" t="s">
        <v>17277</v>
      </c>
      <c r="J5793" s="25" t="s">
        <v>92</v>
      </c>
      <c r="K5793" s="26" t="s">
        <v>38</v>
      </c>
      <c r="L5793" s="25"/>
      <c r="M5793" s="49"/>
      <c r="N5793" s="42"/>
      <c r="O5793" s="68"/>
      <c r="P5793" s="26" t="s">
        <v>23002</v>
      </c>
      <c r="Q5793" s="13" t="s">
        <v>67</v>
      </c>
      <c r="R5793" s="13" t="s">
        <v>67</v>
      </c>
      <c r="S5793" s="13" t="s">
        <v>67</v>
      </c>
      <c r="T5793" s="44">
        <v>45951.47899497685</v>
      </c>
      <c r="U5793" s="13"/>
      <c r="V5793" s="13"/>
      <c r="W5793" s="11"/>
      <c r="X5793" s="11"/>
      <c r="Y5793" s="45"/>
      <c r="Z5793" s="45"/>
      <c r="AA5793" s="31"/>
      <c r="AB5793" s="45" t="s">
        <v>23087</v>
      </c>
      <c r="AC5793" s="45"/>
    </row>
    <row r="5794" ht="18.75" customHeight="1">
      <c r="A5794" s="32" t="s">
        <v>23088</v>
      </c>
      <c r="B5794" s="33" t="s">
        <v>19002</v>
      </c>
      <c r="C5794" s="20">
        <v>1.0</v>
      </c>
      <c r="D5794" s="39"/>
      <c r="E5794" s="27" t="s">
        <v>3395</v>
      </c>
      <c r="F5794" s="27" t="s">
        <v>48</v>
      </c>
      <c r="G5794" s="18" t="s">
        <v>35</v>
      </c>
      <c r="H5794" s="40" t="s">
        <v>35</v>
      </c>
      <c r="I5794" s="37" t="s">
        <v>17277</v>
      </c>
      <c r="J5794" s="25" t="s">
        <v>92</v>
      </c>
      <c r="K5794" s="26" t="s">
        <v>38</v>
      </c>
      <c r="L5794" s="25"/>
      <c r="M5794" s="49"/>
      <c r="N5794" s="42"/>
      <c r="O5794" s="68"/>
      <c r="P5794" s="26" t="s">
        <v>23002</v>
      </c>
      <c r="Q5794" s="13" t="s">
        <v>67</v>
      </c>
      <c r="R5794" s="13" t="s">
        <v>67</v>
      </c>
      <c r="S5794" s="13" t="s">
        <v>67</v>
      </c>
      <c r="T5794" s="44">
        <v>45951.479045949076</v>
      </c>
      <c r="U5794" s="13"/>
      <c r="V5794" s="13"/>
      <c r="W5794" s="11"/>
      <c r="X5794" s="11"/>
      <c r="Y5794" s="45"/>
      <c r="Z5794" s="45"/>
      <c r="AA5794" s="31"/>
      <c r="AB5794" s="45" t="s">
        <v>23089</v>
      </c>
      <c r="AC5794" s="45"/>
    </row>
    <row r="5795" ht="18.75" customHeight="1">
      <c r="A5795" s="32" t="s">
        <v>23090</v>
      </c>
      <c r="B5795" s="33" t="s">
        <v>19002</v>
      </c>
      <c r="C5795" s="20">
        <v>1.0</v>
      </c>
      <c r="D5795" s="39"/>
      <c r="E5795" s="27" t="s">
        <v>3395</v>
      </c>
      <c r="F5795" s="27" t="s">
        <v>48</v>
      </c>
      <c r="G5795" s="18" t="s">
        <v>35</v>
      </c>
      <c r="H5795" s="40" t="s">
        <v>35</v>
      </c>
      <c r="I5795" s="37" t="s">
        <v>17277</v>
      </c>
      <c r="J5795" s="25" t="s">
        <v>92</v>
      </c>
      <c r="K5795" s="26" t="s">
        <v>38</v>
      </c>
      <c r="L5795" s="25"/>
      <c r="M5795" s="49"/>
      <c r="N5795" s="42"/>
      <c r="O5795" s="68"/>
      <c r="P5795" s="26" t="s">
        <v>23002</v>
      </c>
      <c r="Q5795" s="13" t="s">
        <v>67</v>
      </c>
      <c r="R5795" s="13" t="s">
        <v>67</v>
      </c>
      <c r="S5795" s="13" t="s">
        <v>67</v>
      </c>
      <c r="T5795" s="44">
        <v>45951.4790965625</v>
      </c>
      <c r="U5795" s="13"/>
      <c r="V5795" s="13"/>
      <c r="W5795" s="11"/>
      <c r="X5795" s="11"/>
      <c r="Y5795" s="45"/>
      <c r="Z5795" s="45"/>
      <c r="AA5795" s="31"/>
      <c r="AB5795" s="45" t="s">
        <v>23091</v>
      </c>
      <c r="AC5795" s="45"/>
    </row>
    <row r="5796" ht="18.75" customHeight="1">
      <c r="A5796" s="32" t="s">
        <v>23092</v>
      </c>
      <c r="B5796" s="33" t="s">
        <v>19002</v>
      </c>
      <c r="C5796" s="20">
        <v>1.0</v>
      </c>
      <c r="D5796" s="39"/>
      <c r="E5796" s="27" t="s">
        <v>3395</v>
      </c>
      <c r="F5796" s="27" t="s">
        <v>48</v>
      </c>
      <c r="G5796" s="18" t="s">
        <v>35</v>
      </c>
      <c r="H5796" s="40" t="s">
        <v>35</v>
      </c>
      <c r="I5796" s="37" t="s">
        <v>17277</v>
      </c>
      <c r="J5796" s="25" t="s">
        <v>92</v>
      </c>
      <c r="K5796" s="26" t="s">
        <v>38</v>
      </c>
      <c r="L5796" s="25"/>
      <c r="M5796" s="49"/>
      <c r="N5796" s="42"/>
      <c r="O5796" s="68"/>
      <c r="P5796" s="26" t="s">
        <v>23002</v>
      </c>
      <c r="Q5796" s="13" t="s">
        <v>67</v>
      </c>
      <c r="R5796" s="13" t="s">
        <v>67</v>
      </c>
      <c r="S5796" s="13" t="s">
        <v>67</v>
      </c>
      <c r="T5796" s="44">
        <v>45951.47918059028</v>
      </c>
      <c r="U5796" s="13"/>
      <c r="V5796" s="13"/>
      <c r="W5796" s="11"/>
      <c r="X5796" s="11"/>
      <c r="Y5796" s="45"/>
      <c r="Z5796" s="45"/>
      <c r="AA5796" s="31"/>
      <c r="AB5796" s="45" t="s">
        <v>23093</v>
      </c>
      <c r="AC5796" s="45"/>
    </row>
    <row r="5797" ht="18.75" customHeight="1">
      <c r="A5797" s="32" t="s">
        <v>23094</v>
      </c>
      <c r="B5797" s="33" t="s">
        <v>19002</v>
      </c>
      <c r="C5797" s="20">
        <v>1.0</v>
      </c>
      <c r="D5797" s="39"/>
      <c r="E5797" s="27" t="s">
        <v>3395</v>
      </c>
      <c r="F5797" s="27" t="s">
        <v>48</v>
      </c>
      <c r="G5797" s="18" t="s">
        <v>35</v>
      </c>
      <c r="H5797" s="40" t="s">
        <v>35</v>
      </c>
      <c r="I5797" s="37" t="s">
        <v>17277</v>
      </c>
      <c r="J5797" s="25" t="s">
        <v>92</v>
      </c>
      <c r="K5797" s="26" t="s">
        <v>38</v>
      </c>
      <c r="L5797" s="25"/>
      <c r="M5797" s="49"/>
      <c r="N5797" s="42"/>
      <c r="O5797" s="68"/>
      <c r="P5797" s="26" t="s">
        <v>23002</v>
      </c>
      <c r="Q5797" s="13" t="s">
        <v>67</v>
      </c>
      <c r="R5797" s="13" t="s">
        <v>67</v>
      </c>
      <c r="S5797" s="13" t="s">
        <v>67</v>
      </c>
      <c r="T5797" s="44">
        <v>45951.479234375</v>
      </c>
      <c r="U5797" s="13"/>
      <c r="V5797" s="13"/>
      <c r="W5797" s="11"/>
      <c r="X5797" s="11"/>
      <c r="Y5797" s="45"/>
      <c r="Z5797" s="45"/>
      <c r="AA5797" s="31"/>
      <c r="AB5797" s="45" t="s">
        <v>23095</v>
      </c>
      <c r="AC5797" s="45"/>
    </row>
    <row r="5798" ht="18.75" customHeight="1">
      <c r="A5798" s="32" t="s">
        <v>23096</v>
      </c>
      <c r="B5798" s="33" t="s">
        <v>19002</v>
      </c>
      <c r="C5798" s="20">
        <v>1.0</v>
      </c>
      <c r="D5798" s="39"/>
      <c r="E5798" s="27" t="s">
        <v>3395</v>
      </c>
      <c r="F5798" s="27" t="s">
        <v>48</v>
      </c>
      <c r="G5798" s="18" t="s">
        <v>35</v>
      </c>
      <c r="H5798" s="40" t="s">
        <v>35</v>
      </c>
      <c r="I5798" s="37" t="s">
        <v>17277</v>
      </c>
      <c r="J5798" s="25" t="s">
        <v>92</v>
      </c>
      <c r="K5798" s="26" t="s">
        <v>38</v>
      </c>
      <c r="L5798" s="25"/>
      <c r="M5798" s="49"/>
      <c r="N5798" s="42"/>
      <c r="O5798" s="68"/>
      <c r="P5798" s="26" t="s">
        <v>23002</v>
      </c>
      <c r="Q5798" s="13" t="s">
        <v>67</v>
      </c>
      <c r="R5798" s="13" t="s">
        <v>67</v>
      </c>
      <c r="S5798" s="13" t="s">
        <v>67</v>
      </c>
      <c r="T5798" s="44">
        <v>45951.47927950231</v>
      </c>
      <c r="U5798" s="13"/>
      <c r="V5798" s="13"/>
      <c r="W5798" s="11"/>
      <c r="X5798" s="11"/>
      <c r="Y5798" s="45"/>
      <c r="Z5798" s="45"/>
      <c r="AA5798" s="31"/>
      <c r="AB5798" s="45" t="s">
        <v>23097</v>
      </c>
      <c r="AC5798" s="45"/>
    </row>
    <row r="5799" ht="18.75" customHeight="1">
      <c r="A5799" s="32" t="s">
        <v>23098</v>
      </c>
      <c r="B5799" s="33" t="s">
        <v>19002</v>
      </c>
      <c r="C5799" s="20">
        <v>1.0</v>
      </c>
      <c r="D5799" s="39"/>
      <c r="E5799" s="27" t="s">
        <v>3395</v>
      </c>
      <c r="F5799" s="27" t="s">
        <v>48</v>
      </c>
      <c r="G5799" s="18" t="s">
        <v>35</v>
      </c>
      <c r="H5799" s="40" t="s">
        <v>35</v>
      </c>
      <c r="I5799" s="37" t="s">
        <v>17277</v>
      </c>
      <c r="J5799" s="25" t="s">
        <v>92</v>
      </c>
      <c r="K5799" s="26" t="s">
        <v>38</v>
      </c>
      <c r="L5799" s="25"/>
      <c r="M5799" s="49"/>
      <c r="N5799" s="42"/>
      <c r="O5799" s="68"/>
      <c r="P5799" s="26" t="s">
        <v>23002</v>
      </c>
      <c r="Q5799" s="13" t="s">
        <v>67</v>
      </c>
      <c r="R5799" s="13" t="s">
        <v>67</v>
      </c>
      <c r="S5799" s="13" t="s">
        <v>67</v>
      </c>
      <c r="T5799" s="44">
        <v>45951.47932943287</v>
      </c>
      <c r="U5799" s="13"/>
      <c r="V5799" s="13"/>
      <c r="W5799" s="11"/>
      <c r="X5799" s="11"/>
      <c r="Y5799" s="45"/>
      <c r="Z5799" s="45"/>
      <c r="AA5799" s="31"/>
      <c r="AB5799" s="45" t="s">
        <v>23099</v>
      </c>
      <c r="AC5799" s="45"/>
    </row>
    <row r="5800" ht="18.75" customHeight="1">
      <c r="A5800" s="32" t="s">
        <v>23100</v>
      </c>
      <c r="B5800" s="33" t="s">
        <v>19002</v>
      </c>
      <c r="C5800" s="20">
        <v>1.0</v>
      </c>
      <c r="D5800" s="39"/>
      <c r="E5800" s="27" t="s">
        <v>3395</v>
      </c>
      <c r="F5800" s="27" t="s">
        <v>48</v>
      </c>
      <c r="G5800" s="18" t="s">
        <v>35</v>
      </c>
      <c r="H5800" s="40" t="s">
        <v>35</v>
      </c>
      <c r="I5800" s="37" t="s">
        <v>17277</v>
      </c>
      <c r="J5800" s="25" t="s">
        <v>92</v>
      </c>
      <c r="K5800" s="26" t="s">
        <v>38</v>
      </c>
      <c r="L5800" s="25"/>
      <c r="M5800" s="49"/>
      <c r="N5800" s="42"/>
      <c r="O5800" s="68"/>
      <c r="P5800" s="26" t="s">
        <v>23002</v>
      </c>
      <c r="Q5800" s="13" t="s">
        <v>67</v>
      </c>
      <c r="R5800" s="13" t="s">
        <v>67</v>
      </c>
      <c r="S5800" s="13" t="s">
        <v>67</v>
      </c>
      <c r="T5800" s="44">
        <v>45951.4793765162</v>
      </c>
      <c r="U5800" s="13"/>
      <c r="V5800" s="13"/>
      <c r="W5800" s="11"/>
      <c r="X5800" s="11"/>
      <c r="Y5800" s="45"/>
      <c r="Z5800" s="45"/>
      <c r="AA5800" s="31"/>
      <c r="AB5800" s="45" t="s">
        <v>23101</v>
      </c>
      <c r="AC5800" s="45"/>
    </row>
    <row r="5801" ht="18.75" customHeight="1">
      <c r="A5801" s="32" t="s">
        <v>23102</v>
      </c>
      <c r="B5801" s="33" t="s">
        <v>19002</v>
      </c>
      <c r="C5801" s="20">
        <v>1.0</v>
      </c>
      <c r="D5801" s="39"/>
      <c r="E5801" s="27" t="s">
        <v>3395</v>
      </c>
      <c r="F5801" s="27" t="s">
        <v>48</v>
      </c>
      <c r="G5801" s="18" t="s">
        <v>35</v>
      </c>
      <c r="H5801" s="40" t="s">
        <v>35</v>
      </c>
      <c r="I5801" s="37" t="s">
        <v>17277</v>
      </c>
      <c r="J5801" s="25" t="s">
        <v>92</v>
      </c>
      <c r="K5801" s="26" t="s">
        <v>38</v>
      </c>
      <c r="L5801" s="25"/>
      <c r="M5801" s="49"/>
      <c r="N5801" s="42"/>
      <c r="O5801" s="68"/>
      <c r="P5801" s="26" t="s">
        <v>23002</v>
      </c>
      <c r="Q5801" s="13" t="s">
        <v>67</v>
      </c>
      <c r="R5801" s="13" t="s">
        <v>67</v>
      </c>
      <c r="S5801" s="13" t="s">
        <v>67</v>
      </c>
      <c r="T5801" s="44">
        <v>45951.47942292824</v>
      </c>
      <c r="U5801" s="13"/>
      <c r="V5801" s="13"/>
      <c r="W5801" s="11"/>
      <c r="X5801" s="11"/>
      <c r="Y5801" s="45"/>
      <c r="Z5801" s="45"/>
      <c r="AA5801" s="31"/>
      <c r="AB5801" s="45" t="s">
        <v>23103</v>
      </c>
      <c r="AC5801" s="45"/>
    </row>
    <row r="5802" ht="18.75" customHeight="1">
      <c r="A5802" s="32" t="s">
        <v>23104</v>
      </c>
      <c r="B5802" s="33" t="s">
        <v>19002</v>
      </c>
      <c r="C5802" s="20">
        <v>1.0</v>
      </c>
      <c r="D5802" s="39"/>
      <c r="E5802" s="27" t="s">
        <v>3395</v>
      </c>
      <c r="F5802" s="27" t="s">
        <v>48</v>
      </c>
      <c r="G5802" s="18" t="s">
        <v>35</v>
      </c>
      <c r="H5802" s="40" t="s">
        <v>35</v>
      </c>
      <c r="I5802" s="37" t="s">
        <v>17277</v>
      </c>
      <c r="J5802" s="25" t="s">
        <v>92</v>
      </c>
      <c r="K5802" s="26" t="s">
        <v>38</v>
      </c>
      <c r="L5802" s="25"/>
      <c r="M5802" s="49"/>
      <c r="N5802" s="42"/>
      <c r="O5802" s="68"/>
      <c r="P5802" s="26" t="s">
        <v>23002</v>
      </c>
      <c r="Q5802" s="13" t="s">
        <v>67</v>
      </c>
      <c r="R5802" s="13" t="s">
        <v>67</v>
      </c>
      <c r="S5802" s="13" t="s">
        <v>67</v>
      </c>
      <c r="T5802" s="44">
        <v>45951.47950444445</v>
      </c>
      <c r="U5802" s="13"/>
      <c r="V5802" s="13"/>
      <c r="W5802" s="11"/>
      <c r="X5802" s="11"/>
      <c r="Y5802" s="45"/>
      <c r="Z5802" s="45"/>
      <c r="AA5802" s="31"/>
      <c r="AB5802" s="45" t="s">
        <v>23105</v>
      </c>
      <c r="AC5802" s="45"/>
    </row>
    <row r="5803" ht="18.75" customHeight="1">
      <c r="A5803" s="32" t="s">
        <v>23106</v>
      </c>
      <c r="B5803" s="33" t="s">
        <v>19002</v>
      </c>
      <c r="C5803" s="20">
        <v>1.0</v>
      </c>
      <c r="D5803" s="39"/>
      <c r="E5803" s="27" t="s">
        <v>3395</v>
      </c>
      <c r="F5803" s="27" t="s">
        <v>48</v>
      </c>
      <c r="G5803" s="18" t="s">
        <v>35</v>
      </c>
      <c r="H5803" s="40" t="s">
        <v>35</v>
      </c>
      <c r="I5803" s="37" t="s">
        <v>17277</v>
      </c>
      <c r="J5803" s="25" t="s">
        <v>92</v>
      </c>
      <c r="K5803" s="26" t="s">
        <v>38</v>
      </c>
      <c r="L5803" s="25"/>
      <c r="M5803" s="49"/>
      <c r="N5803" s="42"/>
      <c r="O5803" s="68"/>
      <c r="P5803" s="26" t="s">
        <v>23002</v>
      </c>
      <c r="Q5803" s="13" t="s">
        <v>67</v>
      </c>
      <c r="R5803" s="13" t="s">
        <v>67</v>
      </c>
      <c r="S5803" s="13" t="s">
        <v>67</v>
      </c>
      <c r="T5803" s="44">
        <v>45951.47954998843</v>
      </c>
      <c r="U5803" s="13"/>
      <c r="V5803" s="13"/>
      <c r="W5803" s="11"/>
      <c r="X5803" s="11"/>
      <c r="Y5803" s="45"/>
      <c r="Z5803" s="45"/>
      <c r="AA5803" s="31"/>
      <c r="AB5803" s="45" t="s">
        <v>23107</v>
      </c>
      <c r="AC5803" s="45"/>
    </row>
    <row r="5804" ht="18.75" customHeight="1">
      <c r="A5804" s="32" t="s">
        <v>23108</v>
      </c>
      <c r="B5804" s="33" t="s">
        <v>19002</v>
      </c>
      <c r="C5804" s="20">
        <v>1.0</v>
      </c>
      <c r="D5804" s="39"/>
      <c r="E5804" s="27" t="s">
        <v>3395</v>
      </c>
      <c r="F5804" s="27" t="s">
        <v>48</v>
      </c>
      <c r="G5804" s="18" t="s">
        <v>35</v>
      </c>
      <c r="H5804" s="40" t="s">
        <v>35</v>
      </c>
      <c r="I5804" s="37" t="s">
        <v>17277</v>
      </c>
      <c r="J5804" s="25" t="s">
        <v>92</v>
      </c>
      <c r="K5804" s="26" t="s">
        <v>38</v>
      </c>
      <c r="L5804" s="25"/>
      <c r="M5804" s="49"/>
      <c r="N5804" s="42"/>
      <c r="O5804" s="68"/>
      <c r="P5804" s="26" t="s">
        <v>23002</v>
      </c>
      <c r="Q5804" s="13" t="s">
        <v>67</v>
      </c>
      <c r="R5804" s="13" t="s">
        <v>67</v>
      </c>
      <c r="S5804" s="13" t="s">
        <v>67</v>
      </c>
      <c r="T5804" s="44">
        <v>45951.479595462966</v>
      </c>
      <c r="U5804" s="13"/>
      <c r="V5804" s="13"/>
      <c r="W5804" s="11"/>
      <c r="X5804" s="11"/>
      <c r="Y5804" s="45"/>
      <c r="Z5804" s="45"/>
      <c r="AA5804" s="31"/>
      <c r="AB5804" s="45" t="s">
        <v>23109</v>
      </c>
      <c r="AC5804" s="45"/>
    </row>
    <row r="5805" ht="18.75" customHeight="1">
      <c r="A5805" s="32" t="s">
        <v>23110</v>
      </c>
      <c r="B5805" s="33" t="s">
        <v>19002</v>
      </c>
      <c r="C5805" s="20">
        <v>1.0</v>
      </c>
      <c r="D5805" s="39"/>
      <c r="E5805" s="27" t="s">
        <v>3395</v>
      </c>
      <c r="F5805" s="27" t="s">
        <v>48</v>
      </c>
      <c r="G5805" s="18" t="s">
        <v>35</v>
      </c>
      <c r="H5805" s="40" t="s">
        <v>35</v>
      </c>
      <c r="I5805" s="37" t="s">
        <v>17277</v>
      </c>
      <c r="J5805" s="25" t="s">
        <v>92</v>
      </c>
      <c r="K5805" s="26" t="s">
        <v>38</v>
      </c>
      <c r="L5805" s="25"/>
      <c r="M5805" s="49"/>
      <c r="N5805" s="42"/>
      <c r="O5805" s="68"/>
      <c r="P5805" s="26" t="s">
        <v>23002</v>
      </c>
      <c r="Q5805" s="13" t="s">
        <v>67</v>
      </c>
      <c r="R5805" s="13" t="s">
        <v>67</v>
      </c>
      <c r="S5805" s="13" t="s">
        <v>67</v>
      </c>
      <c r="T5805" s="44">
        <v>45951.479647569446</v>
      </c>
      <c r="U5805" s="13"/>
      <c r="V5805" s="13"/>
      <c r="W5805" s="11"/>
      <c r="X5805" s="11"/>
      <c r="Y5805" s="45"/>
      <c r="Z5805" s="45"/>
      <c r="AA5805" s="31"/>
      <c r="AB5805" s="45" t="s">
        <v>23111</v>
      </c>
      <c r="AC5805" s="45"/>
    </row>
    <row r="5806" ht="18.75" customHeight="1">
      <c r="A5806" s="32" t="s">
        <v>23112</v>
      </c>
      <c r="B5806" s="33" t="s">
        <v>19002</v>
      </c>
      <c r="C5806" s="20">
        <v>1.0</v>
      </c>
      <c r="D5806" s="39"/>
      <c r="E5806" s="27" t="s">
        <v>3395</v>
      </c>
      <c r="F5806" s="27" t="s">
        <v>48</v>
      </c>
      <c r="G5806" s="18" t="s">
        <v>35</v>
      </c>
      <c r="H5806" s="40" t="s">
        <v>35</v>
      </c>
      <c r="I5806" s="37" t="s">
        <v>17277</v>
      </c>
      <c r="J5806" s="25" t="s">
        <v>92</v>
      </c>
      <c r="K5806" s="26" t="s">
        <v>38</v>
      </c>
      <c r="L5806" s="25"/>
      <c r="M5806" s="49"/>
      <c r="N5806" s="42"/>
      <c r="O5806" s="68"/>
      <c r="P5806" s="26" t="s">
        <v>23002</v>
      </c>
      <c r="Q5806" s="13" t="s">
        <v>67</v>
      </c>
      <c r="R5806" s="13" t="s">
        <v>67</v>
      </c>
      <c r="S5806" s="13" t="s">
        <v>67</v>
      </c>
      <c r="T5806" s="44">
        <v>45951.47969628472</v>
      </c>
      <c r="U5806" s="13"/>
      <c r="V5806" s="13"/>
      <c r="W5806" s="11"/>
      <c r="X5806" s="11"/>
      <c r="Y5806" s="45"/>
      <c r="Z5806" s="45"/>
      <c r="AA5806" s="31"/>
      <c r="AB5806" s="45" t="s">
        <v>23113</v>
      </c>
      <c r="AC5806" s="45"/>
    </row>
    <row r="5807" ht="18.75" customHeight="1">
      <c r="A5807" s="32" t="s">
        <v>23114</v>
      </c>
      <c r="B5807" s="33" t="s">
        <v>19002</v>
      </c>
      <c r="C5807" s="20">
        <v>1.0</v>
      </c>
      <c r="D5807" s="39"/>
      <c r="E5807" s="27" t="s">
        <v>3395</v>
      </c>
      <c r="F5807" s="27" t="s">
        <v>48</v>
      </c>
      <c r="G5807" s="18" t="s">
        <v>35</v>
      </c>
      <c r="H5807" s="40" t="s">
        <v>35</v>
      </c>
      <c r="I5807" s="37" t="s">
        <v>17277</v>
      </c>
      <c r="J5807" s="25" t="s">
        <v>92</v>
      </c>
      <c r="K5807" s="26" t="s">
        <v>38</v>
      </c>
      <c r="L5807" s="25"/>
      <c r="M5807" s="49"/>
      <c r="N5807" s="42"/>
      <c r="O5807" s="68"/>
      <c r="P5807" s="26" t="s">
        <v>23002</v>
      </c>
      <c r="Q5807" s="13" t="s">
        <v>67</v>
      </c>
      <c r="R5807" s="13" t="s">
        <v>67</v>
      </c>
      <c r="S5807" s="13" t="s">
        <v>67</v>
      </c>
      <c r="T5807" s="44">
        <v>45951.479770289356</v>
      </c>
      <c r="U5807" s="13"/>
      <c r="V5807" s="13"/>
      <c r="W5807" s="11"/>
      <c r="X5807" s="11"/>
      <c r="Y5807" s="45"/>
      <c r="Z5807" s="45"/>
      <c r="AA5807" s="31"/>
      <c r="AB5807" s="45" t="s">
        <v>23115</v>
      </c>
      <c r="AC5807" s="45"/>
    </row>
    <row r="5808" ht="18.75" customHeight="1">
      <c r="A5808" s="32" t="s">
        <v>23116</v>
      </c>
      <c r="B5808" s="33" t="s">
        <v>19002</v>
      </c>
      <c r="C5808" s="20">
        <v>1.0</v>
      </c>
      <c r="D5808" s="39"/>
      <c r="E5808" s="27" t="s">
        <v>3395</v>
      </c>
      <c r="F5808" s="27" t="s">
        <v>48</v>
      </c>
      <c r="G5808" s="18" t="s">
        <v>35</v>
      </c>
      <c r="H5808" s="40" t="s">
        <v>35</v>
      </c>
      <c r="I5808" s="37" t="s">
        <v>17277</v>
      </c>
      <c r="J5808" s="25" t="s">
        <v>92</v>
      </c>
      <c r="K5808" s="26" t="s">
        <v>38</v>
      </c>
      <c r="L5808" s="25"/>
      <c r="M5808" s="49"/>
      <c r="N5808" s="42"/>
      <c r="O5808" s="68"/>
      <c r="P5808" s="26" t="s">
        <v>23002</v>
      </c>
      <c r="Q5808" s="13" t="s">
        <v>67</v>
      </c>
      <c r="R5808" s="13" t="s">
        <v>67</v>
      </c>
      <c r="S5808" s="13" t="s">
        <v>67</v>
      </c>
      <c r="T5808" s="44">
        <v>45951.479816701394</v>
      </c>
      <c r="U5808" s="13"/>
      <c r="V5808" s="13"/>
      <c r="W5808" s="11"/>
      <c r="X5808" s="11"/>
      <c r="Y5808" s="45"/>
      <c r="Z5808" s="45"/>
      <c r="AA5808" s="31"/>
      <c r="AB5808" s="45" t="s">
        <v>23117</v>
      </c>
      <c r="AC5808" s="45"/>
    </row>
    <row r="5809" ht="18.75" customHeight="1">
      <c r="A5809" s="32" t="s">
        <v>23118</v>
      </c>
      <c r="B5809" s="33" t="s">
        <v>19002</v>
      </c>
      <c r="C5809" s="20">
        <v>1.0</v>
      </c>
      <c r="D5809" s="39"/>
      <c r="E5809" s="27" t="s">
        <v>3395</v>
      </c>
      <c r="F5809" s="27" t="s">
        <v>48</v>
      </c>
      <c r="G5809" s="18" t="s">
        <v>35</v>
      </c>
      <c r="H5809" s="40" t="s">
        <v>35</v>
      </c>
      <c r="I5809" s="37" t="s">
        <v>17277</v>
      </c>
      <c r="J5809" s="25" t="s">
        <v>92</v>
      </c>
      <c r="K5809" s="26" t="s">
        <v>38</v>
      </c>
      <c r="L5809" s="25"/>
      <c r="M5809" s="49"/>
      <c r="N5809" s="42"/>
      <c r="O5809" s="68"/>
      <c r="P5809" s="26" t="s">
        <v>23002</v>
      </c>
      <c r="Q5809" s="13" t="s">
        <v>67</v>
      </c>
      <c r="R5809" s="13" t="s">
        <v>67</v>
      </c>
      <c r="S5809" s="13" t="s">
        <v>67</v>
      </c>
      <c r="T5809" s="44">
        <v>45951.47986255787</v>
      </c>
      <c r="U5809" s="13"/>
      <c r="V5809" s="13"/>
      <c r="W5809" s="11"/>
      <c r="X5809" s="11"/>
      <c r="Y5809" s="45"/>
      <c r="Z5809" s="45"/>
      <c r="AA5809" s="31"/>
      <c r="AB5809" s="45" t="s">
        <v>23119</v>
      </c>
      <c r="AC5809" s="45"/>
    </row>
    <row r="5810" ht="18.75" customHeight="1">
      <c r="A5810" s="32" t="s">
        <v>23120</v>
      </c>
      <c r="B5810" s="33" t="s">
        <v>19002</v>
      </c>
      <c r="C5810" s="20">
        <v>1.0</v>
      </c>
      <c r="D5810" s="39"/>
      <c r="E5810" s="27" t="s">
        <v>3395</v>
      </c>
      <c r="F5810" s="27" t="s">
        <v>48</v>
      </c>
      <c r="G5810" s="18" t="s">
        <v>35</v>
      </c>
      <c r="H5810" s="40" t="s">
        <v>35</v>
      </c>
      <c r="I5810" s="37" t="s">
        <v>17277</v>
      </c>
      <c r="J5810" s="25" t="s">
        <v>92</v>
      </c>
      <c r="K5810" s="26" t="s">
        <v>38</v>
      </c>
      <c r="L5810" s="25"/>
      <c r="M5810" s="49"/>
      <c r="N5810" s="42"/>
      <c r="O5810" s="68"/>
      <c r="P5810" s="26" t="s">
        <v>23002</v>
      </c>
      <c r="Q5810" s="13" t="s">
        <v>67</v>
      </c>
      <c r="R5810" s="13" t="s">
        <v>67</v>
      </c>
      <c r="S5810" s="13" t="s">
        <v>67</v>
      </c>
      <c r="T5810" s="44">
        <v>45951.47991267361</v>
      </c>
      <c r="U5810" s="13"/>
      <c r="V5810" s="13"/>
      <c r="W5810" s="11"/>
      <c r="X5810" s="11"/>
      <c r="Y5810" s="45"/>
      <c r="Z5810" s="45"/>
      <c r="AA5810" s="31"/>
      <c r="AB5810" s="45" t="s">
        <v>23121</v>
      </c>
      <c r="AC5810" s="45"/>
    </row>
    <row r="5811" ht="18.75" customHeight="1">
      <c r="A5811" s="32" t="s">
        <v>23122</v>
      </c>
      <c r="B5811" s="33" t="s">
        <v>19002</v>
      </c>
      <c r="C5811" s="20">
        <v>1.0</v>
      </c>
      <c r="D5811" s="39"/>
      <c r="E5811" s="27" t="s">
        <v>3395</v>
      </c>
      <c r="F5811" s="27" t="s">
        <v>48</v>
      </c>
      <c r="G5811" s="18" t="s">
        <v>35</v>
      </c>
      <c r="H5811" s="40" t="s">
        <v>35</v>
      </c>
      <c r="I5811" s="37" t="s">
        <v>17277</v>
      </c>
      <c r="J5811" s="25" t="s">
        <v>92</v>
      </c>
      <c r="K5811" s="26" t="s">
        <v>38</v>
      </c>
      <c r="L5811" s="25"/>
      <c r="M5811" s="49"/>
      <c r="N5811" s="42"/>
      <c r="O5811" s="68"/>
      <c r="P5811" s="26" t="s">
        <v>23002</v>
      </c>
      <c r="Q5811" s="13" t="s">
        <v>67</v>
      </c>
      <c r="R5811" s="13" t="s">
        <v>67</v>
      </c>
      <c r="S5811" s="13" t="s">
        <v>67</v>
      </c>
      <c r="T5811" s="44">
        <v>45951.48001395834</v>
      </c>
      <c r="U5811" s="13"/>
      <c r="V5811" s="13"/>
      <c r="W5811" s="11"/>
      <c r="X5811" s="11"/>
      <c r="Y5811" s="45"/>
      <c r="Z5811" s="45"/>
      <c r="AA5811" s="31"/>
      <c r="AB5811" s="45" t="s">
        <v>23123</v>
      </c>
      <c r="AC5811" s="45"/>
    </row>
    <row r="5812" ht="18.75" customHeight="1">
      <c r="A5812" s="32" t="s">
        <v>23124</v>
      </c>
      <c r="B5812" s="33" t="s">
        <v>19002</v>
      </c>
      <c r="C5812" s="20">
        <v>1.0</v>
      </c>
      <c r="D5812" s="39"/>
      <c r="E5812" s="27" t="s">
        <v>3395</v>
      </c>
      <c r="F5812" s="27" t="s">
        <v>48</v>
      </c>
      <c r="G5812" s="18" t="s">
        <v>35</v>
      </c>
      <c r="H5812" s="40" t="s">
        <v>35</v>
      </c>
      <c r="I5812" s="37" t="s">
        <v>17277</v>
      </c>
      <c r="J5812" s="25" t="s">
        <v>92</v>
      </c>
      <c r="K5812" s="26" t="s">
        <v>38</v>
      </c>
      <c r="L5812" s="25"/>
      <c r="M5812" s="49"/>
      <c r="N5812" s="42"/>
      <c r="O5812" s="68"/>
      <c r="P5812" s="26" t="s">
        <v>23002</v>
      </c>
      <c r="Q5812" s="13" t="s">
        <v>67</v>
      </c>
      <c r="R5812" s="13" t="s">
        <v>67</v>
      </c>
      <c r="S5812" s="13" t="s">
        <v>67</v>
      </c>
      <c r="T5812" s="44">
        <v>45951.480067372686</v>
      </c>
      <c r="U5812" s="13"/>
      <c r="V5812" s="13"/>
      <c r="W5812" s="11"/>
      <c r="X5812" s="11"/>
      <c r="Y5812" s="45"/>
      <c r="Z5812" s="45"/>
      <c r="AA5812" s="31"/>
      <c r="AB5812" s="45" t="s">
        <v>23125</v>
      </c>
      <c r="AC5812" s="45"/>
    </row>
    <row r="5813" ht="18.75" customHeight="1">
      <c r="A5813" s="32" t="s">
        <v>23126</v>
      </c>
      <c r="B5813" s="33" t="s">
        <v>19002</v>
      </c>
      <c r="C5813" s="20">
        <v>1.0</v>
      </c>
      <c r="D5813" s="39"/>
      <c r="E5813" s="27" t="s">
        <v>3395</v>
      </c>
      <c r="F5813" s="27" t="s">
        <v>48</v>
      </c>
      <c r="G5813" s="18" t="s">
        <v>35</v>
      </c>
      <c r="H5813" s="40" t="s">
        <v>35</v>
      </c>
      <c r="I5813" s="37" t="s">
        <v>17277</v>
      </c>
      <c r="J5813" s="25" t="s">
        <v>92</v>
      </c>
      <c r="K5813" s="26" t="s">
        <v>38</v>
      </c>
      <c r="L5813" s="25"/>
      <c r="M5813" s="49"/>
      <c r="N5813" s="42"/>
      <c r="O5813" s="68"/>
      <c r="P5813" s="26" t="s">
        <v>23002</v>
      </c>
      <c r="Q5813" s="13" t="s">
        <v>67</v>
      </c>
      <c r="R5813" s="13" t="s">
        <v>67</v>
      </c>
      <c r="S5813" s="13" t="s">
        <v>67</v>
      </c>
      <c r="T5813" s="44">
        <v>45951.48014869213</v>
      </c>
      <c r="U5813" s="13"/>
      <c r="V5813" s="13"/>
      <c r="W5813" s="11"/>
      <c r="X5813" s="11"/>
      <c r="Y5813" s="45"/>
      <c r="Z5813" s="45"/>
      <c r="AA5813" s="31"/>
      <c r="AB5813" s="45" t="s">
        <v>23127</v>
      </c>
      <c r="AC5813" s="45"/>
    </row>
    <row r="5814" ht="18.75" customHeight="1">
      <c r="A5814" s="32" t="s">
        <v>23128</v>
      </c>
      <c r="B5814" s="33" t="s">
        <v>19002</v>
      </c>
      <c r="C5814" s="20">
        <v>1.0</v>
      </c>
      <c r="D5814" s="39"/>
      <c r="E5814" s="27" t="s">
        <v>3395</v>
      </c>
      <c r="F5814" s="27" t="s">
        <v>48</v>
      </c>
      <c r="G5814" s="18" t="s">
        <v>35</v>
      </c>
      <c r="H5814" s="40" t="s">
        <v>35</v>
      </c>
      <c r="I5814" s="37" t="s">
        <v>17277</v>
      </c>
      <c r="J5814" s="25" t="s">
        <v>92</v>
      </c>
      <c r="K5814" s="26" t="s">
        <v>38</v>
      </c>
      <c r="L5814" s="25"/>
      <c r="M5814" s="49"/>
      <c r="N5814" s="42"/>
      <c r="O5814" s="68"/>
      <c r="P5814" s="26" t="s">
        <v>23002</v>
      </c>
      <c r="Q5814" s="13" t="s">
        <v>67</v>
      </c>
      <c r="R5814" s="13" t="s">
        <v>67</v>
      </c>
      <c r="S5814" s="13" t="s">
        <v>67</v>
      </c>
      <c r="T5814" s="44">
        <v>45951.480201493054</v>
      </c>
      <c r="U5814" s="13"/>
      <c r="V5814" s="13"/>
      <c r="W5814" s="11"/>
      <c r="X5814" s="11"/>
      <c r="Y5814" s="45"/>
      <c r="Z5814" s="45"/>
      <c r="AA5814" s="31"/>
      <c r="AB5814" s="45" t="s">
        <v>23129</v>
      </c>
      <c r="AC5814" s="45"/>
    </row>
    <row r="5815" ht="18.75" customHeight="1">
      <c r="A5815" s="32" t="s">
        <v>23130</v>
      </c>
      <c r="B5815" s="33" t="s">
        <v>19002</v>
      </c>
      <c r="C5815" s="20">
        <v>1.0</v>
      </c>
      <c r="D5815" s="39"/>
      <c r="E5815" s="27" t="s">
        <v>3395</v>
      </c>
      <c r="F5815" s="27" t="s">
        <v>48</v>
      </c>
      <c r="G5815" s="18" t="s">
        <v>35</v>
      </c>
      <c r="H5815" s="40" t="s">
        <v>35</v>
      </c>
      <c r="I5815" s="37" t="s">
        <v>17277</v>
      </c>
      <c r="J5815" s="25" t="s">
        <v>92</v>
      </c>
      <c r="K5815" s="26" t="s">
        <v>38</v>
      </c>
      <c r="L5815" s="25"/>
      <c r="M5815" s="49"/>
      <c r="N5815" s="42"/>
      <c r="O5815" s="68"/>
      <c r="P5815" s="26" t="s">
        <v>23002</v>
      </c>
      <c r="Q5815" s="13" t="s">
        <v>67</v>
      </c>
      <c r="R5815" s="13" t="s">
        <v>67</v>
      </c>
      <c r="S5815" s="13" t="s">
        <v>67</v>
      </c>
      <c r="T5815" s="44">
        <v>45951.48025527778</v>
      </c>
      <c r="U5815" s="13"/>
      <c r="V5815" s="13"/>
      <c r="W5815" s="11"/>
      <c r="X5815" s="11"/>
      <c r="Y5815" s="45"/>
      <c r="Z5815" s="45"/>
      <c r="AA5815" s="31"/>
      <c r="AB5815" s="45" t="s">
        <v>23131</v>
      </c>
      <c r="AC5815" s="45"/>
    </row>
    <row r="5816" ht="18.75" customHeight="1">
      <c r="A5816" s="32" t="s">
        <v>23132</v>
      </c>
      <c r="B5816" s="33" t="s">
        <v>19002</v>
      </c>
      <c r="C5816" s="20">
        <v>1.0</v>
      </c>
      <c r="D5816" s="39"/>
      <c r="E5816" s="27" t="s">
        <v>3395</v>
      </c>
      <c r="F5816" s="27" t="s">
        <v>48</v>
      </c>
      <c r="G5816" s="18" t="s">
        <v>35</v>
      </c>
      <c r="H5816" s="40" t="s">
        <v>35</v>
      </c>
      <c r="I5816" s="37" t="s">
        <v>17277</v>
      </c>
      <c r="J5816" s="25" t="s">
        <v>92</v>
      </c>
      <c r="K5816" s="26" t="s">
        <v>38</v>
      </c>
      <c r="L5816" s="25"/>
      <c r="M5816" s="49"/>
      <c r="N5816" s="42"/>
      <c r="O5816" s="68"/>
      <c r="P5816" s="26" t="s">
        <v>23002</v>
      </c>
      <c r="Q5816" s="13" t="s">
        <v>67</v>
      </c>
      <c r="R5816" s="13" t="s">
        <v>67</v>
      </c>
      <c r="S5816" s="13" t="s">
        <v>67</v>
      </c>
      <c r="T5816" s="44">
        <v>45951.48030810185</v>
      </c>
      <c r="U5816" s="13"/>
      <c r="V5816" s="13"/>
      <c r="W5816" s="11"/>
      <c r="X5816" s="11"/>
      <c r="Y5816" s="45"/>
      <c r="Z5816" s="45"/>
      <c r="AA5816" s="31"/>
      <c r="AB5816" s="45" t="s">
        <v>23133</v>
      </c>
      <c r="AC5816" s="45"/>
    </row>
    <row r="5817" ht="18.75" customHeight="1">
      <c r="A5817" s="32" t="s">
        <v>23134</v>
      </c>
      <c r="B5817" s="33" t="s">
        <v>19002</v>
      </c>
      <c r="C5817" s="20">
        <v>1.0</v>
      </c>
      <c r="D5817" s="39"/>
      <c r="E5817" s="27" t="s">
        <v>3395</v>
      </c>
      <c r="F5817" s="27" t="s">
        <v>48</v>
      </c>
      <c r="G5817" s="18" t="s">
        <v>35</v>
      </c>
      <c r="H5817" s="40" t="s">
        <v>35</v>
      </c>
      <c r="I5817" s="37" t="s">
        <v>17277</v>
      </c>
      <c r="J5817" s="25" t="s">
        <v>92</v>
      </c>
      <c r="K5817" s="26" t="s">
        <v>38</v>
      </c>
      <c r="L5817" s="25"/>
      <c r="M5817" s="49"/>
      <c r="N5817" s="42"/>
      <c r="O5817" s="68"/>
      <c r="P5817" s="26" t="s">
        <v>23002</v>
      </c>
      <c r="Q5817" s="13" t="s">
        <v>67</v>
      </c>
      <c r="R5817" s="13" t="s">
        <v>67</v>
      </c>
      <c r="S5817" s="13" t="s">
        <v>67</v>
      </c>
      <c r="T5817" s="44">
        <v>45951.48035806713</v>
      </c>
      <c r="U5817" s="13"/>
      <c r="V5817" s="13"/>
      <c r="W5817" s="11"/>
      <c r="X5817" s="11"/>
      <c r="Y5817" s="45"/>
      <c r="Z5817" s="45"/>
      <c r="AA5817" s="31"/>
      <c r="AB5817" s="45" t="s">
        <v>23135</v>
      </c>
      <c r="AC5817" s="45"/>
    </row>
    <row r="5818" ht="18.75" customHeight="1">
      <c r="A5818" s="32" t="s">
        <v>23136</v>
      </c>
      <c r="B5818" s="33" t="s">
        <v>19002</v>
      </c>
      <c r="C5818" s="20">
        <v>1.0</v>
      </c>
      <c r="D5818" s="39"/>
      <c r="E5818" s="27" t="s">
        <v>3395</v>
      </c>
      <c r="F5818" s="27" t="s">
        <v>48</v>
      </c>
      <c r="G5818" s="18" t="s">
        <v>35</v>
      </c>
      <c r="H5818" s="40" t="s">
        <v>35</v>
      </c>
      <c r="I5818" s="37" t="s">
        <v>17277</v>
      </c>
      <c r="J5818" s="25" t="s">
        <v>92</v>
      </c>
      <c r="K5818" s="26" t="s">
        <v>38</v>
      </c>
      <c r="L5818" s="25"/>
      <c r="M5818" s="49"/>
      <c r="N5818" s="42"/>
      <c r="O5818" s="68"/>
      <c r="P5818" s="26" t="s">
        <v>23002</v>
      </c>
      <c r="Q5818" s="13" t="s">
        <v>67</v>
      </c>
      <c r="R5818" s="13" t="s">
        <v>67</v>
      </c>
      <c r="S5818" s="13" t="s">
        <v>67</v>
      </c>
      <c r="T5818" s="44">
        <v>45951.48040194444</v>
      </c>
      <c r="U5818" s="13"/>
      <c r="V5818" s="13"/>
      <c r="W5818" s="11"/>
      <c r="X5818" s="11"/>
      <c r="Y5818" s="45"/>
      <c r="Z5818" s="45"/>
      <c r="AA5818" s="31"/>
      <c r="AB5818" s="45" t="s">
        <v>23137</v>
      </c>
      <c r="AC5818" s="45"/>
    </row>
    <row r="5819" ht="18.75" customHeight="1">
      <c r="A5819" s="32" t="s">
        <v>23138</v>
      </c>
      <c r="B5819" s="33" t="s">
        <v>19002</v>
      </c>
      <c r="C5819" s="20">
        <v>1.0</v>
      </c>
      <c r="D5819" s="39"/>
      <c r="E5819" s="27" t="s">
        <v>3395</v>
      </c>
      <c r="F5819" s="27" t="s">
        <v>48</v>
      </c>
      <c r="G5819" s="18" t="s">
        <v>35</v>
      </c>
      <c r="H5819" s="40" t="s">
        <v>35</v>
      </c>
      <c r="I5819" s="37" t="s">
        <v>17277</v>
      </c>
      <c r="J5819" s="25" t="s">
        <v>92</v>
      </c>
      <c r="K5819" s="26" t="s">
        <v>38</v>
      </c>
      <c r="L5819" s="25"/>
      <c r="M5819" s="49"/>
      <c r="N5819" s="42"/>
      <c r="O5819" s="68"/>
      <c r="P5819" s="26" t="s">
        <v>23002</v>
      </c>
      <c r="Q5819" s="13" t="s">
        <v>67</v>
      </c>
      <c r="R5819" s="13" t="s">
        <v>67</v>
      </c>
      <c r="S5819" s="13" t="s">
        <v>67</v>
      </c>
      <c r="T5819" s="44">
        <v>45951.48044591435</v>
      </c>
      <c r="U5819" s="13"/>
      <c r="V5819" s="13"/>
      <c r="W5819" s="11"/>
      <c r="X5819" s="11"/>
      <c r="Y5819" s="45"/>
      <c r="Z5819" s="45"/>
      <c r="AA5819" s="31"/>
      <c r="AB5819" s="45" t="s">
        <v>23139</v>
      </c>
      <c r="AC5819" s="45"/>
    </row>
    <row r="5820" ht="18.75" customHeight="1">
      <c r="A5820" s="32" t="s">
        <v>23140</v>
      </c>
      <c r="B5820" s="33" t="s">
        <v>19002</v>
      </c>
      <c r="C5820" s="20">
        <v>1.0</v>
      </c>
      <c r="D5820" s="39"/>
      <c r="E5820" s="27" t="s">
        <v>3395</v>
      </c>
      <c r="F5820" s="27" t="s">
        <v>48</v>
      </c>
      <c r="G5820" s="18" t="s">
        <v>35</v>
      </c>
      <c r="H5820" s="40" t="s">
        <v>35</v>
      </c>
      <c r="I5820" s="37" t="s">
        <v>17277</v>
      </c>
      <c r="J5820" s="25" t="s">
        <v>92</v>
      </c>
      <c r="K5820" s="26" t="s">
        <v>38</v>
      </c>
      <c r="L5820" s="25"/>
      <c r="M5820" s="49"/>
      <c r="N5820" s="42"/>
      <c r="O5820" s="68"/>
      <c r="P5820" s="26" t="s">
        <v>23002</v>
      </c>
      <c r="Q5820" s="13" t="s">
        <v>67</v>
      </c>
      <c r="R5820" s="13" t="s">
        <v>67</v>
      </c>
      <c r="S5820" s="13" t="s">
        <v>67</v>
      </c>
      <c r="T5820" s="44">
        <v>45951.48049223379</v>
      </c>
      <c r="U5820" s="13"/>
      <c r="V5820" s="13"/>
      <c r="W5820" s="11"/>
      <c r="X5820" s="11"/>
      <c r="Y5820" s="45"/>
      <c r="Z5820" s="45"/>
      <c r="AA5820" s="31"/>
      <c r="AB5820" s="45" t="s">
        <v>23141</v>
      </c>
      <c r="AC5820" s="45"/>
    </row>
    <row r="5821" ht="18.75" customHeight="1">
      <c r="A5821" s="32" t="s">
        <v>23142</v>
      </c>
      <c r="B5821" s="33" t="s">
        <v>19002</v>
      </c>
      <c r="C5821" s="20">
        <v>0.0</v>
      </c>
      <c r="D5821" s="39"/>
      <c r="E5821" s="27" t="s">
        <v>3441</v>
      </c>
      <c r="F5821" s="27" t="s">
        <v>48</v>
      </c>
      <c r="G5821" s="18" t="s">
        <v>35</v>
      </c>
      <c r="H5821" s="40" t="s">
        <v>35</v>
      </c>
      <c r="I5821" s="37" t="s">
        <v>17277</v>
      </c>
      <c r="J5821" s="25" t="s">
        <v>92</v>
      </c>
      <c r="K5821" s="26" t="s">
        <v>38</v>
      </c>
      <c r="L5821" s="25"/>
      <c r="M5821" s="49"/>
      <c r="N5821" s="42"/>
      <c r="O5821" s="68"/>
      <c r="P5821" s="26" t="s">
        <v>23002</v>
      </c>
      <c r="Q5821" s="13" t="s">
        <v>67</v>
      </c>
      <c r="R5821" s="13" t="s">
        <v>67</v>
      </c>
      <c r="S5821" s="13" t="s">
        <v>67</v>
      </c>
      <c r="T5821" s="44">
        <v>45951.481883217595</v>
      </c>
      <c r="U5821" s="13"/>
      <c r="V5821" s="13"/>
      <c r="W5821" s="11"/>
      <c r="X5821" s="11"/>
      <c r="Y5821" s="45"/>
      <c r="Z5821" s="45"/>
      <c r="AA5821" s="31"/>
      <c r="AB5821" s="45" t="s">
        <v>23143</v>
      </c>
      <c r="AC5821" s="45"/>
    </row>
    <row r="5822" ht="18.75" customHeight="1">
      <c r="A5822" s="32" t="s">
        <v>23144</v>
      </c>
      <c r="B5822" s="33" t="s">
        <v>19002</v>
      </c>
      <c r="C5822" s="20">
        <v>0.0</v>
      </c>
      <c r="D5822" s="39"/>
      <c r="E5822" s="27" t="s">
        <v>3441</v>
      </c>
      <c r="F5822" s="27" t="s">
        <v>48</v>
      </c>
      <c r="G5822" s="18" t="s">
        <v>35</v>
      </c>
      <c r="H5822" s="40" t="s">
        <v>35</v>
      </c>
      <c r="I5822" s="37" t="s">
        <v>17277</v>
      </c>
      <c r="J5822" s="25" t="s">
        <v>92</v>
      </c>
      <c r="K5822" s="26" t="s">
        <v>38</v>
      </c>
      <c r="L5822" s="25"/>
      <c r="M5822" s="49"/>
      <c r="N5822" s="42"/>
      <c r="O5822" s="68"/>
      <c r="P5822" s="26" t="s">
        <v>23002</v>
      </c>
      <c r="Q5822" s="13" t="s">
        <v>67</v>
      </c>
      <c r="R5822" s="13" t="s">
        <v>67</v>
      </c>
      <c r="S5822" s="13" t="s">
        <v>67</v>
      </c>
      <c r="T5822" s="44">
        <v>45951.482412673606</v>
      </c>
      <c r="U5822" s="13"/>
      <c r="V5822" s="13"/>
      <c r="W5822" s="11"/>
      <c r="X5822" s="11"/>
      <c r="Y5822" s="45"/>
      <c r="Z5822" s="45"/>
      <c r="AA5822" s="31"/>
      <c r="AB5822" s="45" t="s">
        <v>23145</v>
      </c>
      <c r="AC5822" s="45"/>
    </row>
    <row r="5823" ht="18.75" customHeight="1">
      <c r="A5823" s="32" t="s">
        <v>23146</v>
      </c>
      <c r="B5823" s="33" t="s">
        <v>19002</v>
      </c>
      <c r="C5823" s="20">
        <v>0.0</v>
      </c>
      <c r="D5823" s="39"/>
      <c r="E5823" s="27" t="s">
        <v>3441</v>
      </c>
      <c r="F5823" s="27" t="s">
        <v>48</v>
      </c>
      <c r="G5823" s="18" t="s">
        <v>35</v>
      </c>
      <c r="H5823" s="40" t="s">
        <v>35</v>
      </c>
      <c r="I5823" s="37" t="s">
        <v>17277</v>
      </c>
      <c r="J5823" s="25" t="s">
        <v>92</v>
      </c>
      <c r="K5823" s="26" t="s">
        <v>38</v>
      </c>
      <c r="L5823" s="25"/>
      <c r="M5823" s="49"/>
      <c r="N5823" s="42"/>
      <c r="O5823" s="68"/>
      <c r="P5823" s="26" t="s">
        <v>23002</v>
      </c>
      <c r="Q5823" s="13" t="s">
        <v>67</v>
      </c>
      <c r="R5823" s="13" t="s">
        <v>67</v>
      </c>
      <c r="S5823" s="13" t="s">
        <v>67</v>
      </c>
      <c r="T5823" s="44">
        <v>45951.4824753588</v>
      </c>
      <c r="U5823" s="13"/>
      <c r="V5823" s="13"/>
      <c r="W5823" s="11"/>
      <c r="X5823" s="11"/>
      <c r="Y5823" s="45"/>
      <c r="Z5823" s="45"/>
      <c r="AA5823" s="31"/>
      <c r="AB5823" s="45" t="s">
        <v>23147</v>
      </c>
      <c r="AC5823" s="45"/>
    </row>
    <row r="5824" ht="18.75" customHeight="1">
      <c r="A5824" s="32" t="s">
        <v>23148</v>
      </c>
      <c r="B5824" s="33" t="s">
        <v>19002</v>
      </c>
      <c r="C5824" s="20">
        <v>0.0</v>
      </c>
      <c r="D5824" s="39"/>
      <c r="E5824" s="27" t="s">
        <v>3441</v>
      </c>
      <c r="F5824" s="27" t="s">
        <v>48</v>
      </c>
      <c r="G5824" s="18" t="s">
        <v>35</v>
      </c>
      <c r="H5824" s="40" t="s">
        <v>35</v>
      </c>
      <c r="I5824" s="37" t="s">
        <v>17277</v>
      </c>
      <c r="J5824" s="25" t="s">
        <v>92</v>
      </c>
      <c r="K5824" s="26" t="s">
        <v>38</v>
      </c>
      <c r="L5824" s="25"/>
      <c r="M5824" s="49"/>
      <c r="N5824" s="42"/>
      <c r="O5824" s="68"/>
      <c r="P5824" s="26" t="s">
        <v>23002</v>
      </c>
      <c r="Q5824" s="13" t="s">
        <v>67</v>
      </c>
      <c r="R5824" s="13" t="s">
        <v>67</v>
      </c>
      <c r="S5824" s="13" t="s">
        <v>67</v>
      </c>
      <c r="T5824" s="44">
        <v>45951.48253042824</v>
      </c>
      <c r="U5824" s="13"/>
      <c r="V5824" s="13"/>
      <c r="W5824" s="11"/>
      <c r="X5824" s="11"/>
      <c r="Y5824" s="45"/>
      <c r="Z5824" s="45"/>
      <c r="AA5824" s="31"/>
      <c r="AB5824" s="45" t="s">
        <v>23149</v>
      </c>
      <c r="AC5824" s="45"/>
    </row>
    <row r="5825" ht="18.75" customHeight="1">
      <c r="A5825" s="32" t="s">
        <v>23150</v>
      </c>
      <c r="B5825" s="33" t="s">
        <v>19002</v>
      </c>
      <c r="C5825" s="20">
        <v>0.0</v>
      </c>
      <c r="D5825" s="39"/>
      <c r="E5825" s="27" t="s">
        <v>3441</v>
      </c>
      <c r="F5825" s="27" t="s">
        <v>48</v>
      </c>
      <c r="G5825" s="18" t="s">
        <v>35</v>
      </c>
      <c r="H5825" s="40" t="s">
        <v>35</v>
      </c>
      <c r="I5825" s="37" t="s">
        <v>17277</v>
      </c>
      <c r="J5825" s="25" t="s">
        <v>92</v>
      </c>
      <c r="K5825" s="26" t="s">
        <v>38</v>
      </c>
      <c r="L5825" s="25"/>
      <c r="M5825" s="49"/>
      <c r="N5825" s="42"/>
      <c r="O5825" s="68"/>
      <c r="P5825" s="26" t="s">
        <v>23002</v>
      </c>
      <c r="Q5825" s="13" t="s">
        <v>67</v>
      </c>
      <c r="R5825" s="13" t="s">
        <v>67</v>
      </c>
      <c r="S5825" s="13" t="s">
        <v>67</v>
      </c>
      <c r="T5825" s="44">
        <v>45951.48258074074</v>
      </c>
      <c r="U5825" s="13"/>
      <c r="V5825" s="13"/>
      <c r="W5825" s="11"/>
      <c r="X5825" s="11"/>
      <c r="Y5825" s="45"/>
      <c r="Z5825" s="45"/>
      <c r="AA5825" s="31"/>
      <c r="AB5825" s="45" t="s">
        <v>23151</v>
      </c>
      <c r="AC5825" s="45"/>
    </row>
    <row r="5826" ht="18.75" customHeight="1">
      <c r="A5826" s="32" t="s">
        <v>23152</v>
      </c>
      <c r="B5826" s="33" t="s">
        <v>19002</v>
      </c>
      <c r="C5826" s="20">
        <v>0.0</v>
      </c>
      <c r="D5826" s="39"/>
      <c r="E5826" s="27" t="s">
        <v>3441</v>
      </c>
      <c r="F5826" s="27" t="s">
        <v>48</v>
      </c>
      <c r="G5826" s="18" t="s">
        <v>35</v>
      </c>
      <c r="H5826" s="40" t="s">
        <v>35</v>
      </c>
      <c r="I5826" s="37" t="s">
        <v>17277</v>
      </c>
      <c r="J5826" s="25" t="s">
        <v>92</v>
      </c>
      <c r="K5826" s="26" t="s">
        <v>38</v>
      </c>
      <c r="L5826" s="25"/>
      <c r="M5826" s="49"/>
      <c r="N5826" s="42"/>
      <c r="O5826" s="68"/>
      <c r="P5826" s="26" t="s">
        <v>23002</v>
      </c>
      <c r="Q5826" s="13" t="s">
        <v>67</v>
      </c>
      <c r="R5826" s="13" t="s">
        <v>67</v>
      </c>
      <c r="S5826" s="13" t="s">
        <v>67</v>
      </c>
      <c r="T5826" s="44">
        <v>45951.482670868056</v>
      </c>
      <c r="U5826" s="13"/>
      <c r="V5826" s="13"/>
      <c r="W5826" s="11"/>
      <c r="X5826" s="11"/>
      <c r="Y5826" s="45"/>
      <c r="Z5826" s="45"/>
      <c r="AA5826" s="31"/>
      <c r="AB5826" s="45" t="s">
        <v>23153</v>
      </c>
      <c r="AC5826" s="45"/>
    </row>
    <row r="5827" ht="18.75" customHeight="1">
      <c r="A5827" s="32" t="s">
        <v>23154</v>
      </c>
      <c r="B5827" s="33" t="s">
        <v>19002</v>
      </c>
      <c r="C5827" s="20">
        <v>0.0</v>
      </c>
      <c r="D5827" s="39"/>
      <c r="E5827" s="27" t="s">
        <v>3441</v>
      </c>
      <c r="F5827" s="27" t="s">
        <v>48</v>
      </c>
      <c r="G5827" s="18" t="s">
        <v>35</v>
      </c>
      <c r="H5827" s="40" t="s">
        <v>35</v>
      </c>
      <c r="I5827" s="37" t="s">
        <v>17277</v>
      </c>
      <c r="J5827" s="25" t="s">
        <v>92</v>
      </c>
      <c r="K5827" s="26" t="s">
        <v>38</v>
      </c>
      <c r="L5827" s="25"/>
      <c r="M5827" s="49"/>
      <c r="N5827" s="42"/>
      <c r="O5827" s="68"/>
      <c r="P5827" s="26" t="s">
        <v>23002</v>
      </c>
      <c r="Q5827" s="13" t="s">
        <v>67</v>
      </c>
      <c r="R5827" s="13" t="s">
        <v>67</v>
      </c>
      <c r="S5827" s="13" t="s">
        <v>67</v>
      </c>
      <c r="T5827" s="44">
        <v>45951.48273087963</v>
      </c>
      <c r="U5827" s="13"/>
      <c r="V5827" s="13"/>
      <c r="W5827" s="11"/>
      <c r="X5827" s="11"/>
      <c r="Y5827" s="45"/>
      <c r="Z5827" s="45"/>
      <c r="AA5827" s="31"/>
      <c r="AB5827" s="45" t="s">
        <v>23155</v>
      </c>
      <c r="AC5827" s="45"/>
    </row>
    <row r="5828" ht="18.75" customHeight="1">
      <c r="A5828" s="32" t="s">
        <v>23156</v>
      </c>
      <c r="B5828" s="33" t="s">
        <v>19002</v>
      </c>
      <c r="C5828" s="20">
        <v>0.0</v>
      </c>
      <c r="D5828" s="39"/>
      <c r="E5828" s="27" t="s">
        <v>3441</v>
      </c>
      <c r="F5828" s="27" t="s">
        <v>48</v>
      </c>
      <c r="G5828" s="18" t="s">
        <v>35</v>
      </c>
      <c r="H5828" s="40" t="s">
        <v>35</v>
      </c>
      <c r="I5828" s="37" t="s">
        <v>17277</v>
      </c>
      <c r="J5828" s="25" t="s">
        <v>92</v>
      </c>
      <c r="K5828" s="26" t="s">
        <v>38</v>
      </c>
      <c r="L5828" s="25"/>
      <c r="M5828" s="49"/>
      <c r="N5828" s="42"/>
      <c r="O5828" s="68"/>
      <c r="P5828" s="26" t="s">
        <v>23002</v>
      </c>
      <c r="Q5828" s="13" t="s">
        <v>67</v>
      </c>
      <c r="R5828" s="13" t="s">
        <v>67</v>
      </c>
      <c r="S5828" s="13" t="s">
        <v>67</v>
      </c>
      <c r="T5828" s="44">
        <v>45951.482784155094</v>
      </c>
      <c r="U5828" s="13"/>
      <c r="V5828" s="13"/>
      <c r="W5828" s="11"/>
      <c r="X5828" s="11"/>
      <c r="Y5828" s="45"/>
      <c r="Z5828" s="45"/>
      <c r="AA5828" s="31"/>
      <c r="AB5828" s="45" t="s">
        <v>23157</v>
      </c>
      <c r="AC5828" s="45"/>
    </row>
    <row r="5829" ht="18.75" customHeight="1">
      <c r="A5829" s="32" t="s">
        <v>23158</v>
      </c>
      <c r="B5829" s="33" t="s">
        <v>19002</v>
      </c>
      <c r="C5829" s="20">
        <v>0.0</v>
      </c>
      <c r="D5829" s="39"/>
      <c r="E5829" s="27" t="s">
        <v>3441</v>
      </c>
      <c r="F5829" s="27" t="s">
        <v>48</v>
      </c>
      <c r="G5829" s="18" t="s">
        <v>35</v>
      </c>
      <c r="H5829" s="40" t="s">
        <v>35</v>
      </c>
      <c r="I5829" s="37" t="s">
        <v>17277</v>
      </c>
      <c r="J5829" s="25" t="s">
        <v>92</v>
      </c>
      <c r="K5829" s="26" t="s">
        <v>38</v>
      </c>
      <c r="L5829" s="25"/>
      <c r="M5829" s="49"/>
      <c r="N5829" s="42"/>
      <c r="O5829" s="68"/>
      <c r="P5829" s="26" t="s">
        <v>23002</v>
      </c>
      <c r="Q5829" s="13" t="s">
        <v>67</v>
      </c>
      <c r="R5829" s="13" t="s">
        <v>67</v>
      </c>
      <c r="S5829" s="13" t="s">
        <v>67</v>
      </c>
      <c r="T5829" s="44">
        <v>45951.482832951384</v>
      </c>
      <c r="U5829" s="13"/>
      <c r="V5829" s="13"/>
      <c r="W5829" s="11"/>
      <c r="X5829" s="11"/>
      <c r="Y5829" s="45"/>
      <c r="Z5829" s="45"/>
      <c r="AA5829" s="31"/>
      <c r="AB5829" s="45" t="s">
        <v>23159</v>
      </c>
      <c r="AC5829" s="45"/>
    </row>
    <row r="5830" ht="18.75" customHeight="1">
      <c r="A5830" s="32" t="s">
        <v>23160</v>
      </c>
      <c r="B5830" s="33" t="s">
        <v>19002</v>
      </c>
      <c r="C5830" s="20">
        <v>0.0</v>
      </c>
      <c r="D5830" s="39"/>
      <c r="E5830" s="27" t="s">
        <v>3441</v>
      </c>
      <c r="F5830" s="27" t="s">
        <v>48</v>
      </c>
      <c r="G5830" s="18" t="s">
        <v>35</v>
      </c>
      <c r="H5830" s="40" t="s">
        <v>35</v>
      </c>
      <c r="I5830" s="37" t="s">
        <v>17277</v>
      </c>
      <c r="J5830" s="25" t="s">
        <v>92</v>
      </c>
      <c r="K5830" s="26" t="s">
        <v>38</v>
      </c>
      <c r="L5830" s="25"/>
      <c r="M5830" s="49"/>
      <c r="N5830" s="42"/>
      <c r="O5830" s="68"/>
      <c r="P5830" s="26" t="s">
        <v>23002</v>
      </c>
      <c r="Q5830" s="13" t="s">
        <v>67</v>
      </c>
      <c r="R5830" s="13" t="s">
        <v>67</v>
      </c>
      <c r="S5830" s="13" t="s">
        <v>67</v>
      </c>
      <c r="T5830" s="44">
        <v>45951.482883969904</v>
      </c>
      <c r="U5830" s="13"/>
      <c r="V5830" s="13"/>
      <c r="W5830" s="11"/>
      <c r="X5830" s="11"/>
      <c r="Y5830" s="45"/>
      <c r="Z5830" s="45"/>
      <c r="AA5830" s="31"/>
      <c r="AB5830" s="45" t="s">
        <v>23161</v>
      </c>
      <c r="AC5830" s="45"/>
    </row>
    <row r="5831" ht="18.75" customHeight="1">
      <c r="A5831" s="32" t="s">
        <v>23162</v>
      </c>
      <c r="B5831" s="33" t="s">
        <v>19002</v>
      </c>
      <c r="C5831" s="20">
        <v>0.0</v>
      </c>
      <c r="D5831" s="39"/>
      <c r="E5831" s="27" t="s">
        <v>3441</v>
      </c>
      <c r="F5831" s="27" t="s">
        <v>48</v>
      </c>
      <c r="G5831" s="18" t="s">
        <v>35</v>
      </c>
      <c r="H5831" s="40" t="s">
        <v>35</v>
      </c>
      <c r="I5831" s="37" t="s">
        <v>17277</v>
      </c>
      <c r="J5831" s="25" t="s">
        <v>92</v>
      </c>
      <c r="K5831" s="26" t="s">
        <v>38</v>
      </c>
      <c r="L5831" s="25"/>
      <c r="M5831" s="49"/>
      <c r="N5831" s="42"/>
      <c r="O5831" s="68"/>
      <c r="P5831" s="26" t="s">
        <v>23002</v>
      </c>
      <c r="Q5831" s="13" t="s">
        <v>67</v>
      </c>
      <c r="R5831" s="13" t="s">
        <v>67</v>
      </c>
      <c r="S5831" s="13" t="s">
        <v>67</v>
      </c>
      <c r="T5831" s="44">
        <v>45951.48294452546</v>
      </c>
      <c r="U5831" s="13"/>
      <c r="V5831" s="13"/>
      <c r="W5831" s="11"/>
      <c r="X5831" s="11"/>
      <c r="Y5831" s="45"/>
      <c r="Z5831" s="45"/>
      <c r="AA5831" s="31"/>
      <c r="AB5831" s="45" t="s">
        <v>23163</v>
      </c>
      <c r="AC5831" s="45"/>
    </row>
    <row r="5832" ht="18.75" customHeight="1">
      <c r="A5832" s="32" t="s">
        <v>23164</v>
      </c>
      <c r="B5832" s="33" t="s">
        <v>19002</v>
      </c>
      <c r="C5832" s="20">
        <v>0.0</v>
      </c>
      <c r="D5832" s="39"/>
      <c r="E5832" s="27" t="s">
        <v>3441</v>
      </c>
      <c r="F5832" s="27" t="s">
        <v>48</v>
      </c>
      <c r="G5832" s="18" t="s">
        <v>35</v>
      </c>
      <c r="H5832" s="40" t="s">
        <v>35</v>
      </c>
      <c r="I5832" s="37" t="s">
        <v>17277</v>
      </c>
      <c r="J5832" s="25" t="s">
        <v>92</v>
      </c>
      <c r="K5832" s="26" t="s">
        <v>38</v>
      </c>
      <c r="L5832" s="25"/>
      <c r="M5832" s="49"/>
      <c r="N5832" s="42"/>
      <c r="O5832" s="68"/>
      <c r="P5832" s="26" t="s">
        <v>23002</v>
      </c>
      <c r="Q5832" s="13" t="s">
        <v>67</v>
      </c>
      <c r="R5832" s="13" t="s">
        <v>67</v>
      </c>
      <c r="S5832" s="13" t="s">
        <v>67</v>
      </c>
      <c r="T5832" s="44">
        <v>45951.482998113424</v>
      </c>
      <c r="U5832" s="13"/>
      <c r="V5832" s="13"/>
      <c r="W5832" s="11"/>
      <c r="X5832" s="11"/>
      <c r="Y5832" s="45"/>
      <c r="Z5832" s="45"/>
      <c r="AA5832" s="31"/>
      <c r="AB5832" s="45" t="s">
        <v>23165</v>
      </c>
      <c r="AC5832" s="45"/>
    </row>
    <row r="5833" ht="18.75" customHeight="1">
      <c r="A5833" s="32" t="s">
        <v>23166</v>
      </c>
      <c r="B5833" s="33" t="s">
        <v>19002</v>
      </c>
      <c r="C5833" s="20">
        <v>0.0</v>
      </c>
      <c r="D5833" s="39"/>
      <c r="E5833" s="27" t="s">
        <v>3441</v>
      </c>
      <c r="F5833" s="27" t="s">
        <v>48</v>
      </c>
      <c r="G5833" s="18" t="s">
        <v>35</v>
      </c>
      <c r="H5833" s="40" t="s">
        <v>35</v>
      </c>
      <c r="I5833" s="37" t="s">
        <v>17277</v>
      </c>
      <c r="J5833" s="25" t="s">
        <v>92</v>
      </c>
      <c r="K5833" s="26" t="s">
        <v>38</v>
      </c>
      <c r="L5833" s="25"/>
      <c r="M5833" s="49"/>
      <c r="N5833" s="42"/>
      <c r="O5833" s="68"/>
      <c r="P5833" s="26" t="s">
        <v>23002</v>
      </c>
      <c r="Q5833" s="13" t="s">
        <v>67</v>
      </c>
      <c r="R5833" s="13" t="s">
        <v>67</v>
      </c>
      <c r="S5833" s="13" t="s">
        <v>67</v>
      </c>
      <c r="T5833" s="44">
        <v>45951.48304796296</v>
      </c>
      <c r="U5833" s="13"/>
      <c r="V5833" s="13"/>
      <c r="W5833" s="11"/>
      <c r="X5833" s="11"/>
      <c r="Y5833" s="45"/>
      <c r="Z5833" s="45"/>
      <c r="AA5833" s="31"/>
      <c r="AB5833" s="45" t="s">
        <v>23167</v>
      </c>
      <c r="AC5833" s="45"/>
    </row>
    <row r="5834" ht="18.75" customHeight="1">
      <c r="A5834" s="32" t="s">
        <v>23168</v>
      </c>
      <c r="B5834" s="33" t="s">
        <v>19002</v>
      </c>
      <c r="C5834" s="20">
        <v>0.0</v>
      </c>
      <c r="D5834" s="39"/>
      <c r="E5834" s="27" t="s">
        <v>3441</v>
      </c>
      <c r="F5834" s="27" t="s">
        <v>48</v>
      </c>
      <c r="G5834" s="18" t="s">
        <v>35</v>
      </c>
      <c r="H5834" s="40" t="s">
        <v>35</v>
      </c>
      <c r="I5834" s="37" t="s">
        <v>17277</v>
      </c>
      <c r="J5834" s="25" t="s">
        <v>92</v>
      </c>
      <c r="K5834" s="26" t="s">
        <v>38</v>
      </c>
      <c r="L5834" s="25"/>
      <c r="M5834" s="49"/>
      <c r="N5834" s="42"/>
      <c r="O5834" s="68"/>
      <c r="P5834" s="26" t="s">
        <v>23002</v>
      </c>
      <c r="Q5834" s="13" t="s">
        <v>67</v>
      </c>
      <c r="R5834" s="13" t="s">
        <v>67</v>
      </c>
      <c r="S5834" s="13" t="s">
        <v>67</v>
      </c>
      <c r="T5834" s="44">
        <v>45951.483102881946</v>
      </c>
      <c r="U5834" s="13"/>
      <c r="V5834" s="13"/>
      <c r="W5834" s="11"/>
      <c r="X5834" s="11"/>
      <c r="Y5834" s="45"/>
      <c r="Z5834" s="45"/>
      <c r="AA5834" s="31"/>
      <c r="AB5834" s="45" t="s">
        <v>23169</v>
      </c>
      <c r="AC5834" s="45"/>
    </row>
    <row r="5835" ht="18.75" customHeight="1">
      <c r="A5835" s="32" t="s">
        <v>23170</v>
      </c>
      <c r="B5835" s="33" t="s">
        <v>19002</v>
      </c>
      <c r="C5835" s="20">
        <v>0.0</v>
      </c>
      <c r="D5835" s="39"/>
      <c r="E5835" s="27" t="s">
        <v>3441</v>
      </c>
      <c r="F5835" s="27" t="s">
        <v>48</v>
      </c>
      <c r="G5835" s="18" t="s">
        <v>35</v>
      </c>
      <c r="H5835" s="40" t="s">
        <v>35</v>
      </c>
      <c r="I5835" s="37" t="s">
        <v>17277</v>
      </c>
      <c r="J5835" s="25" t="s">
        <v>92</v>
      </c>
      <c r="K5835" s="26" t="s">
        <v>38</v>
      </c>
      <c r="L5835" s="25"/>
      <c r="M5835" s="49"/>
      <c r="N5835" s="42"/>
      <c r="O5835" s="68"/>
      <c r="P5835" s="26" t="s">
        <v>23002</v>
      </c>
      <c r="Q5835" s="13" t="s">
        <v>67</v>
      </c>
      <c r="R5835" s="13" t="s">
        <v>67</v>
      </c>
      <c r="S5835" s="13" t="s">
        <v>67</v>
      </c>
      <c r="T5835" s="44">
        <v>45951.483148750005</v>
      </c>
      <c r="U5835" s="13"/>
      <c r="V5835" s="13"/>
      <c r="W5835" s="11"/>
      <c r="X5835" s="11"/>
      <c r="Y5835" s="45"/>
      <c r="Z5835" s="45"/>
      <c r="AA5835" s="31"/>
      <c r="AB5835" s="45" t="s">
        <v>23171</v>
      </c>
      <c r="AC5835" s="45"/>
    </row>
    <row r="5836" ht="18.75" customHeight="1">
      <c r="A5836" s="32" t="s">
        <v>23172</v>
      </c>
      <c r="B5836" s="33" t="s">
        <v>19002</v>
      </c>
      <c r="C5836" s="20">
        <v>0.0</v>
      </c>
      <c r="D5836" s="39"/>
      <c r="E5836" s="27" t="s">
        <v>3441</v>
      </c>
      <c r="F5836" s="27" t="s">
        <v>48</v>
      </c>
      <c r="G5836" s="18" t="s">
        <v>35</v>
      </c>
      <c r="H5836" s="40" t="s">
        <v>35</v>
      </c>
      <c r="I5836" s="37" t="s">
        <v>17277</v>
      </c>
      <c r="J5836" s="25" t="s">
        <v>92</v>
      </c>
      <c r="K5836" s="26" t="s">
        <v>38</v>
      </c>
      <c r="L5836" s="25"/>
      <c r="M5836" s="49"/>
      <c r="N5836" s="42"/>
      <c r="O5836" s="68"/>
      <c r="P5836" s="26" t="s">
        <v>23002</v>
      </c>
      <c r="Q5836" s="13" t="s">
        <v>67</v>
      </c>
      <c r="R5836" s="13" t="s">
        <v>67</v>
      </c>
      <c r="S5836" s="13" t="s">
        <v>67</v>
      </c>
      <c r="T5836" s="44">
        <v>45951.48319204861</v>
      </c>
      <c r="U5836" s="13"/>
      <c r="V5836" s="13"/>
      <c r="W5836" s="11"/>
      <c r="X5836" s="11"/>
      <c r="Y5836" s="45"/>
      <c r="Z5836" s="45"/>
      <c r="AA5836" s="31"/>
      <c r="AB5836" s="45" t="s">
        <v>23173</v>
      </c>
      <c r="AC5836" s="45"/>
    </row>
    <row r="5837" ht="18.75" customHeight="1">
      <c r="A5837" s="32" t="s">
        <v>23174</v>
      </c>
      <c r="B5837" s="33" t="s">
        <v>19002</v>
      </c>
      <c r="C5837" s="20">
        <v>0.0</v>
      </c>
      <c r="D5837" s="39"/>
      <c r="E5837" s="27" t="s">
        <v>3441</v>
      </c>
      <c r="F5837" s="27" t="s">
        <v>48</v>
      </c>
      <c r="G5837" s="18" t="s">
        <v>35</v>
      </c>
      <c r="H5837" s="40" t="s">
        <v>35</v>
      </c>
      <c r="I5837" s="37" t="s">
        <v>17277</v>
      </c>
      <c r="J5837" s="25" t="s">
        <v>92</v>
      </c>
      <c r="K5837" s="26" t="s">
        <v>38</v>
      </c>
      <c r="L5837" s="25"/>
      <c r="M5837" s="49"/>
      <c r="N5837" s="42"/>
      <c r="O5837" s="68"/>
      <c r="P5837" s="26" t="s">
        <v>23002</v>
      </c>
      <c r="Q5837" s="13" t="s">
        <v>67</v>
      </c>
      <c r="R5837" s="13" t="s">
        <v>67</v>
      </c>
      <c r="S5837" s="13" t="s">
        <v>67</v>
      </c>
      <c r="T5837" s="44">
        <v>45951.48324127315</v>
      </c>
      <c r="U5837" s="13"/>
      <c r="V5837" s="13"/>
      <c r="W5837" s="11"/>
      <c r="X5837" s="11"/>
      <c r="Y5837" s="45"/>
      <c r="Z5837" s="45"/>
      <c r="AA5837" s="31"/>
      <c r="AB5837" s="45" t="s">
        <v>23175</v>
      </c>
      <c r="AC5837" s="45"/>
    </row>
    <row r="5838" ht="18.75" customHeight="1">
      <c r="A5838" s="32" t="s">
        <v>23176</v>
      </c>
      <c r="B5838" s="33" t="s">
        <v>19002</v>
      </c>
      <c r="C5838" s="20">
        <v>0.0</v>
      </c>
      <c r="D5838" s="39"/>
      <c r="E5838" s="27" t="s">
        <v>3441</v>
      </c>
      <c r="F5838" s="27" t="s">
        <v>48</v>
      </c>
      <c r="G5838" s="18" t="s">
        <v>35</v>
      </c>
      <c r="H5838" s="40" t="s">
        <v>35</v>
      </c>
      <c r="I5838" s="37" t="s">
        <v>17277</v>
      </c>
      <c r="J5838" s="25" t="s">
        <v>92</v>
      </c>
      <c r="K5838" s="26" t="s">
        <v>38</v>
      </c>
      <c r="L5838" s="25"/>
      <c r="M5838" s="49"/>
      <c r="N5838" s="42"/>
      <c r="O5838" s="68"/>
      <c r="P5838" s="26" t="s">
        <v>23002</v>
      </c>
      <c r="Q5838" s="13" t="s">
        <v>67</v>
      </c>
      <c r="R5838" s="13" t="s">
        <v>67</v>
      </c>
      <c r="S5838" s="13" t="s">
        <v>67</v>
      </c>
      <c r="T5838" s="44">
        <v>45951.48328627315</v>
      </c>
      <c r="U5838" s="13"/>
      <c r="V5838" s="13"/>
      <c r="W5838" s="11"/>
      <c r="X5838" s="11"/>
      <c r="Y5838" s="45"/>
      <c r="Z5838" s="45"/>
      <c r="AA5838" s="31"/>
      <c r="AB5838" s="45" t="s">
        <v>23177</v>
      </c>
      <c r="AC5838" s="45"/>
    </row>
    <row r="5839" ht="18.75" customHeight="1">
      <c r="A5839" s="32" t="s">
        <v>23178</v>
      </c>
      <c r="B5839" s="33" t="s">
        <v>19002</v>
      </c>
      <c r="C5839" s="20">
        <v>0.0</v>
      </c>
      <c r="D5839" s="39"/>
      <c r="E5839" s="27" t="s">
        <v>3441</v>
      </c>
      <c r="F5839" s="27" t="s">
        <v>48</v>
      </c>
      <c r="G5839" s="18" t="s">
        <v>35</v>
      </c>
      <c r="H5839" s="40" t="s">
        <v>35</v>
      </c>
      <c r="I5839" s="37" t="s">
        <v>17277</v>
      </c>
      <c r="J5839" s="25" t="s">
        <v>92</v>
      </c>
      <c r="K5839" s="26" t="s">
        <v>38</v>
      </c>
      <c r="L5839" s="25"/>
      <c r="M5839" s="49"/>
      <c r="N5839" s="42"/>
      <c r="O5839" s="68"/>
      <c r="P5839" s="26" t="s">
        <v>23002</v>
      </c>
      <c r="Q5839" s="13" t="s">
        <v>67</v>
      </c>
      <c r="R5839" s="13" t="s">
        <v>67</v>
      </c>
      <c r="S5839" s="13" t="s">
        <v>67</v>
      </c>
      <c r="T5839" s="44">
        <v>45951.48333153935</v>
      </c>
      <c r="U5839" s="13"/>
      <c r="V5839" s="13"/>
      <c r="W5839" s="11"/>
      <c r="X5839" s="11"/>
      <c r="Y5839" s="45"/>
      <c r="Z5839" s="45"/>
      <c r="AA5839" s="31"/>
      <c r="AB5839" s="45" t="s">
        <v>23179</v>
      </c>
      <c r="AC5839" s="45"/>
    </row>
    <row r="5840" ht="18.75" customHeight="1">
      <c r="A5840" s="32" t="s">
        <v>23180</v>
      </c>
      <c r="B5840" s="33" t="s">
        <v>19002</v>
      </c>
      <c r="C5840" s="20">
        <v>0.0</v>
      </c>
      <c r="D5840" s="39"/>
      <c r="E5840" s="27" t="s">
        <v>3441</v>
      </c>
      <c r="F5840" s="27" t="s">
        <v>48</v>
      </c>
      <c r="G5840" s="18" t="s">
        <v>35</v>
      </c>
      <c r="H5840" s="40" t="s">
        <v>35</v>
      </c>
      <c r="I5840" s="37" t="s">
        <v>17277</v>
      </c>
      <c r="J5840" s="25" t="s">
        <v>92</v>
      </c>
      <c r="K5840" s="26" t="s">
        <v>38</v>
      </c>
      <c r="L5840" s="25"/>
      <c r="M5840" s="49"/>
      <c r="N5840" s="42"/>
      <c r="O5840" s="68"/>
      <c r="P5840" s="26" t="s">
        <v>23002</v>
      </c>
      <c r="Q5840" s="13" t="s">
        <v>67</v>
      </c>
      <c r="R5840" s="13" t="s">
        <v>67</v>
      </c>
      <c r="S5840" s="13" t="s">
        <v>67</v>
      </c>
      <c r="T5840" s="44">
        <v>45951.4833812037</v>
      </c>
      <c r="U5840" s="13"/>
      <c r="V5840" s="13"/>
      <c r="W5840" s="11"/>
      <c r="X5840" s="11"/>
      <c r="Y5840" s="45"/>
      <c r="Z5840" s="45"/>
      <c r="AA5840" s="31"/>
      <c r="AB5840" s="45" t="s">
        <v>23181</v>
      </c>
      <c r="AC5840" s="45"/>
    </row>
    <row r="5841" ht="18.75" customHeight="1">
      <c r="A5841" s="32" t="s">
        <v>23182</v>
      </c>
      <c r="B5841" s="33" t="s">
        <v>19002</v>
      </c>
      <c r="C5841" s="20">
        <v>0.0</v>
      </c>
      <c r="D5841" s="39"/>
      <c r="E5841" s="27" t="s">
        <v>3441</v>
      </c>
      <c r="F5841" s="27" t="s">
        <v>48</v>
      </c>
      <c r="G5841" s="18" t="s">
        <v>35</v>
      </c>
      <c r="H5841" s="40" t="s">
        <v>35</v>
      </c>
      <c r="I5841" s="37" t="s">
        <v>17277</v>
      </c>
      <c r="J5841" s="25" t="s">
        <v>92</v>
      </c>
      <c r="K5841" s="26" t="s">
        <v>38</v>
      </c>
      <c r="L5841" s="25"/>
      <c r="M5841" s="49"/>
      <c r="N5841" s="42"/>
      <c r="O5841" s="68"/>
      <c r="P5841" s="26" t="s">
        <v>23002</v>
      </c>
      <c r="Q5841" s="13" t="s">
        <v>67</v>
      </c>
      <c r="R5841" s="13" t="s">
        <v>67</v>
      </c>
      <c r="S5841" s="13" t="s">
        <v>67</v>
      </c>
      <c r="T5841" s="44">
        <v>45951.48345773148</v>
      </c>
      <c r="U5841" s="13"/>
      <c r="V5841" s="13"/>
      <c r="W5841" s="11"/>
      <c r="X5841" s="11"/>
      <c r="Y5841" s="45"/>
      <c r="Z5841" s="45"/>
      <c r="AA5841" s="31"/>
      <c r="AB5841" s="45" t="s">
        <v>23183</v>
      </c>
      <c r="AC5841" s="45"/>
    </row>
    <row r="5842" ht="18.75" customHeight="1">
      <c r="A5842" s="32" t="s">
        <v>23184</v>
      </c>
      <c r="B5842" s="33" t="s">
        <v>19002</v>
      </c>
      <c r="C5842" s="20">
        <v>0.0</v>
      </c>
      <c r="D5842" s="39"/>
      <c r="E5842" s="27" t="s">
        <v>3441</v>
      </c>
      <c r="F5842" s="27" t="s">
        <v>48</v>
      </c>
      <c r="G5842" s="18" t="s">
        <v>35</v>
      </c>
      <c r="H5842" s="40" t="s">
        <v>35</v>
      </c>
      <c r="I5842" s="37" t="s">
        <v>17277</v>
      </c>
      <c r="J5842" s="25" t="s">
        <v>92</v>
      </c>
      <c r="K5842" s="26" t="s">
        <v>38</v>
      </c>
      <c r="L5842" s="25"/>
      <c r="M5842" s="49"/>
      <c r="N5842" s="42"/>
      <c r="O5842" s="68"/>
      <c r="P5842" s="26" t="s">
        <v>23002</v>
      </c>
      <c r="Q5842" s="13" t="s">
        <v>67</v>
      </c>
      <c r="R5842" s="13" t="s">
        <v>67</v>
      </c>
      <c r="S5842" s="13" t="s">
        <v>67</v>
      </c>
      <c r="T5842" s="44">
        <v>45951.483505474534</v>
      </c>
      <c r="U5842" s="13"/>
      <c r="V5842" s="13"/>
      <c r="W5842" s="11"/>
      <c r="X5842" s="11"/>
      <c r="Y5842" s="45"/>
      <c r="Z5842" s="45"/>
      <c r="AA5842" s="31"/>
      <c r="AB5842" s="45" t="s">
        <v>23185</v>
      </c>
      <c r="AC5842" s="45"/>
    </row>
    <row r="5843" ht="18.75" customHeight="1">
      <c r="A5843" s="32" t="s">
        <v>23186</v>
      </c>
      <c r="B5843" s="33" t="s">
        <v>19002</v>
      </c>
      <c r="C5843" s="20">
        <v>0.0</v>
      </c>
      <c r="D5843" s="39"/>
      <c r="E5843" s="27" t="s">
        <v>3441</v>
      </c>
      <c r="F5843" s="27" t="s">
        <v>48</v>
      </c>
      <c r="G5843" s="18" t="s">
        <v>35</v>
      </c>
      <c r="H5843" s="40" t="s">
        <v>35</v>
      </c>
      <c r="I5843" s="37" t="s">
        <v>17277</v>
      </c>
      <c r="J5843" s="25" t="s">
        <v>92</v>
      </c>
      <c r="K5843" s="26" t="s">
        <v>38</v>
      </c>
      <c r="L5843" s="25"/>
      <c r="M5843" s="49"/>
      <c r="N5843" s="42"/>
      <c r="O5843" s="68"/>
      <c r="P5843" s="26" t="s">
        <v>23002</v>
      </c>
      <c r="Q5843" s="13" t="s">
        <v>67</v>
      </c>
      <c r="R5843" s="13" t="s">
        <v>67</v>
      </c>
      <c r="S5843" s="13" t="s">
        <v>67</v>
      </c>
      <c r="T5843" s="44">
        <v>45951.483557141204</v>
      </c>
      <c r="U5843" s="13"/>
      <c r="V5843" s="13"/>
      <c r="W5843" s="11"/>
      <c r="X5843" s="11"/>
      <c r="Y5843" s="45"/>
      <c r="Z5843" s="45"/>
      <c r="AA5843" s="31"/>
      <c r="AB5843" s="45" t="s">
        <v>23187</v>
      </c>
      <c r="AC5843" s="45"/>
    </row>
    <row r="5844" ht="18.75" customHeight="1">
      <c r="A5844" s="32" t="s">
        <v>23188</v>
      </c>
      <c r="B5844" s="33" t="s">
        <v>19002</v>
      </c>
      <c r="C5844" s="20">
        <v>27.0</v>
      </c>
      <c r="D5844" s="39"/>
      <c r="E5844" s="27" t="s">
        <v>72</v>
      </c>
      <c r="F5844" s="27" t="s">
        <v>48</v>
      </c>
      <c r="G5844" s="18" t="s">
        <v>35</v>
      </c>
      <c r="H5844" s="40" t="s">
        <v>35</v>
      </c>
      <c r="I5844" s="37" t="s">
        <v>17277</v>
      </c>
      <c r="J5844" s="25" t="s">
        <v>92</v>
      </c>
      <c r="K5844" s="26" t="s">
        <v>38</v>
      </c>
      <c r="L5844" s="25"/>
      <c r="M5844" s="49"/>
      <c r="N5844" s="42"/>
      <c r="O5844" s="68"/>
      <c r="P5844" s="26" t="s">
        <v>23002</v>
      </c>
      <c r="Q5844" s="13" t="s">
        <v>67</v>
      </c>
      <c r="R5844" s="13" t="s">
        <v>67</v>
      </c>
      <c r="S5844" s="13" t="s">
        <v>67</v>
      </c>
      <c r="T5844" s="44">
        <v>45951.484970868056</v>
      </c>
      <c r="U5844" s="13"/>
      <c r="V5844" s="13"/>
      <c r="W5844" s="11"/>
      <c r="X5844" s="11"/>
      <c r="Y5844" s="45"/>
      <c r="Z5844" s="45"/>
      <c r="AA5844" s="31"/>
      <c r="AB5844" s="45" t="s">
        <v>23189</v>
      </c>
      <c r="AC5844" s="45"/>
    </row>
    <row r="5845" ht="18.75" customHeight="1">
      <c r="A5845" s="32" t="s">
        <v>23190</v>
      </c>
      <c r="B5845" s="33" t="s">
        <v>19002</v>
      </c>
      <c r="C5845" s="20">
        <v>27.0</v>
      </c>
      <c r="D5845" s="39"/>
      <c r="E5845" s="27" t="s">
        <v>72</v>
      </c>
      <c r="F5845" s="27" t="s">
        <v>48</v>
      </c>
      <c r="G5845" s="18" t="s">
        <v>35</v>
      </c>
      <c r="H5845" s="40" t="s">
        <v>35</v>
      </c>
      <c r="I5845" s="37" t="s">
        <v>17277</v>
      </c>
      <c r="J5845" s="25" t="s">
        <v>92</v>
      </c>
      <c r="K5845" s="26" t="s">
        <v>38</v>
      </c>
      <c r="L5845" s="25"/>
      <c r="M5845" s="49"/>
      <c r="N5845" s="42"/>
      <c r="O5845" s="68"/>
      <c r="P5845" s="26" t="s">
        <v>23002</v>
      </c>
      <c r="Q5845" s="13" t="s">
        <v>67</v>
      </c>
      <c r="R5845" s="13" t="s">
        <v>67</v>
      </c>
      <c r="S5845" s="13" t="s">
        <v>67</v>
      </c>
      <c r="T5845" s="44">
        <v>45951.48501520834</v>
      </c>
      <c r="U5845" s="13"/>
      <c r="V5845" s="13"/>
      <c r="W5845" s="11"/>
      <c r="X5845" s="11"/>
      <c r="Y5845" s="45"/>
      <c r="Z5845" s="45"/>
      <c r="AA5845" s="31"/>
      <c r="AB5845" s="45" t="s">
        <v>23191</v>
      </c>
      <c r="AC5845" s="45"/>
    </row>
    <row r="5846" ht="18.75" customHeight="1">
      <c r="A5846" s="32" t="s">
        <v>23192</v>
      </c>
      <c r="B5846" s="33" t="s">
        <v>19002</v>
      </c>
      <c r="C5846" s="20">
        <v>27.0</v>
      </c>
      <c r="D5846" s="39"/>
      <c r="E5846" s="27" t="s">
        <v>72</v>
      </c>
      <c r="F5846" s="27" t="s">
        <v>48</v>
      </c>
      <c r="G5846" s="18" t="s">
        <v>35</v>
      </c>
      <c r="H5846" s="40" t="s">
        <v>35</v>
      </c>
      <c r="I5846" s="37" t="s">
        <v>17277</v>
      </c>
      <c r="J5846" s="25" t="s">
        <v>92</v>
      </c>
      <c r="K5846" s="26" t="s">
        <v>38</v>
      </c>
      <c r="L5846" s="25"/>
      <c r="M5846" s="49"/>
      <c r="N5846" s="42"/>
      <c r="O5846" s="68"/>
      <c r="P5846" s="26" t="s">
        <v>23002</v>
      </c>
      <c r="Q5846" s="13" t="s">
        <v>67</v>
      </c>
      <c r="R5846" s="13" t="s">
        <v>67</v>
      </c>
      <c r="S5846" s="13" t="s">
        <v>67</v>
      </c>
      <c r="T5846" s="44">
        <v>45951.48506489584</v>
      </c>
      <c r="U5846" s="13"/>
      <c r="V5846" s="13"/>
      <c r="W5846" s="11"/>
      <c r="X5846" s="11"/>
      <c r="Y5846" s="45"/>
      <c r="Z5846" s="45"/>
      <c r="AA5846" s="31"/>
      <c r="AB5846" s="45" t="s">
        <v>23193</v>
      </c>
      <c r="AC5846" s="45"/>
    </row>
    <row r="5847" ht="18.75" customHeight="1">
      <c r="A5847" s="32" t="s">
        <v>23194</v>
      </c>
      <c r="B5847" s="33" t="s">
        <v>19002</v>
      </c>
      <c r="C5847" s="20">
        <v>27.0</v>
      </c>
      <c r="D5847" s="39"/>
      <c r="E5847" s="27" t="s">
        <v>72</v>
      </c>
      <c r="F5847" s="27" t="s">
        <v>48</v>
      </c>
      <c r="G5847" s="18" t="s">
        <v>35</v>
      </c>
      <c r="H5847" s="40" t="s">
        <v>35</v>
      </c>
      <c r="I5847" s="37" t="s">
        <v>17277</v>
      </c>
      <c r="J5847" s="25" t="s">
        <v>92</v>
      </c>
      <c r="K5847" s="26" t="s">
        <v>38</v>
      </c>
      <c r="L5847" s="25"/>
      <c r="M5847" s="49"/>
      <c r="N5847" s="42"/>
      <c r="O5847" s="68"/>
      <c r="P5847" s="26" t="s">
        <v>23002</v>
      </c>
      <c r="Q5847" s="13" t="s">
        <v>67</v>
      </c>
      <c r="R5847" s="13"/>
      <c r="S5847" s="13" t="s">
        <v>67</v>
      </c>
      <c r="T5847" s="44">
        <v>45951.48411762732</v>
      </c>
      <c r="U5847" s="13"/>
      <c r="V5847" s="13"/>
      <c r="W5847" s="11"/>
      <c r="X5847" s="11"/>
      <c r="Y5847" s="45"/>
      <c r="Z5847" s="45"/>
      <c r="AA5847" s="31"/>
      <c r="AB5847" s="45" t="s">
        <v>23195</v>
      </c>
      <c r="AC5847" s="45"/>
    </row>
    <row r="5848" ht="18.75" customHeight="1">
      <c r="A5848" s="32" t="s">
        <v>23196</v>
      </c>
      <c r="B5848" s="33" t="s">
        <v>19002</v>
      </c>
      <c r="C5848" s="20">
        <v>27.0</v>
      </c>
      <c r="D5848" s="39"/>
      <c r="E5848" s="27" t="s">
        <v>72</v>
      </c>
      <c r="F5848" s="27" t="s">
        <v>48</v>
      </c>
      <c r="G5848" s="18" t="s">
        <v>35</v>
      </c>
      <c r="H5848" s="40" t="s">
        <v>35</v>
      </c>
      <c r="I5848" s="37" t="s">
        <v>17277</v>
      </c>
      <c r="J5848" s="25" t="s">
        <v>92</v>
      </c>
      <c r="K5848" s="26" t="s">
        <v>38</v>
      </c>
      <c r="L5848" s="25"/>
      <c r="M5848" s="49"/>
      <c r="N5848" s="42"/>
      <c r="O5848" s="68"/>
      <c r="P5848" s="26" t="s">
        <v>23002</v>
      </c>
      <c r="Q5848" s="13" t="s">
        <v>67</v>
      </c>
      <c r="R5848" s="13" t="s">
        <v>67</v>
      </c>
      <c r="S5848" s="13" t="s">
        <v>67</v>
      </c>
      <c r="T5848" s="44">
        <v>45951.48444244213</v>
      </c>
      <c r="U5848" s="13"/>
      <c r="V5848" s="13"/>
      <c r="W5848" s="11"/>
      <c r="X5848" s="11"/>
      <c r="Y5848" s="45"/>
      <c r="Z5848" s="45"/>
      <c r="AA5848" s="31"/>
      <c r="AB5848" s="45" t="s">
        <v>23197</v>
      </c>
      <c r="AC5848" s="45"/>
    </row>
    <row r="5849" ht="18.75" customHeight="1">
      <c r="A5849" s="32" t="s">
        <v>23198</v>
      </c>
      <c r="B5849" s="33" t="s">
        <v>19002</v>
      </c>
      <c r="C5849" s="20">
        <v>27.0</v>
      </c>
      <c r="D5849" s="39"/>
      <c r="E5849" s="27" t="s">
        <v>72</v>
      </c>
      <c r="F5849" s="27" t="s">
        <v>48</v>
      </c>
      <c r="G5849" s="18" t="s">
        <v>35</v>
      </c>
      <c r="H5849" s="40" t="s">
        <v>35</v>
      </c>
      <c r="I5849" s="37" t="s">
        <v>17277</v>
      </c>
      <c r="J5849" s="25" t="s">
        <v>92</v>
      </c>
      <c r="K5849" s="26" t="s">
        <v>38</v>
      </c>
      <c r="L5849" s="25"/>
      <c r="M5849" s="49"/>
      <c r="N5849" s="42"/>
      <c r="O5849" s="68"/>
      <c r="P5849" s="26" t="s">
        <v>23002</v>
      </c>
      <c r="Q5849" s="13" t="s">
        <v>67</v>
      </c>
      <c r="R5849" s="13" t="s">
        <v>67</v>
      </c>
      <c r="S5849" s="13" t="s">
        <v>67</v>
      </c>
      <c r="T5849" s="44">
        <v>45951.484562638885</v>
      </c>
      <c r="U5849" s="13"/>
      <c r="V5849" s="13"/>
      <c r="W5849" s="11"/>
      <c r="X5849" s="11"/>
      <c r="Y5849" s="45"/>
      <c r="Z5849" s="45"/>
      <c r="AA5849" s="31"/>
      <c r="AB5849" s="45" t="s">
        <v>23199</v>
      </c>
      <c r="AC5849" s="45"/>
    </row>
    <row r="5850" ht="18.75" customHeight="1">
      <c r="A5850" s="32" t="s">
        <v>23200</v>
      </c>
      <c r="B5850" s="33" t="s">
        <v>19002</v>
      </c>
      <c r="C5850" s="20">
        <v>27.0</v>
      </c>
      <c r="D5850" s="39"/>
      <c r="E5850" s="27" t="s">
        <v>72</v>
      </c>
      <c r="F5850" s="27" t="s">
        <v>48</v>
      </c>
      <c r="G5850" s="18" t="s">
        <v>35</v>
      </c>
      <c r="H5850" s="40" t="s">
        <v>35</v>
      </c>
      <c r="I5850" s="37" t="s">
        <v>17277</v>
      </c>
      <c r="J5850" s="25" t="s">
        <v>92</v>
      </c>
      <c r="K5850" s="26" t="s">
        <v>38</v>
      </c>
      <c r="L5850" s="25"/>
      <c r="M5850" s="49"/>
      <c r="N5850" s="42"/>
      <c r="O5850" s="68"/>
      <c r="P5850" s="26" t="s">
        <v>23002</v>
      </c>
      <c r="Q5850" s="13" t="s">
        <v>67</v>
      </c>
      <c r="R5850" s="13" t="s">
        <v>67</v>
      </c>
      <c r="S5850" s="13" t="s">
        <v>67</v>
      </c>
      <c r="T5850" s="44">
        <v>45951.48463122685</v>
      </c>
      <c r="U5850" s="13"/>
      <c r="V5850" s="13"/>
      <c r="W5850" s="11"/>
      <c r="X5850" s="11"/>
      <c r="Y5850" s="45"/>
      <c r="Z5850" s="45"/>
      <c r="AA5850" s="31"/>
      <c r="AB5850" s="45" t="s">
        <v>23201</v>
      </c>
      <c r="AC5850" s="45"/>
    </row>
    <row r="5851" ht="18.75" customHeight="1">
      <c r="A5851" s="32" t="s">
        <v>23202</v>
      </c>
      <c r="B5851" s="33" t="s">
        <v>19002</v>
      </c>
      <c r="C5851" s="20">
        <v>27.0</v>
      </c>
      <c r="D5851" s="39"/>
      <c r="E5851" s="27" t="s">
        <v>72</v>
      </c>
      <c r="F5851" s="27" t="s">
        <v>48</v>
      </c>
      <c r="G5851" s="18" t="s">
        <v>35</v>
      </c>
      <c r="H5851" s="40" t="s">
        <v>35</v>
      </c>
      <c r="I5851" s="37" t="s">
        <v>17277</v>
      </c>
      <c r="J5851" s="25" t="s">
        <v>92</v>
      </c>
      <c r="K5851" s="26" t="s">
        <v>38</v>
      </c>
      <c r="L5851" s="25"/>
      <c r="M5851" s="49"/>
      <c r="N5851" s="42"/>
      <c r="O5851" s="68"/>
      <c r="P5851" s="26" t="s">
        <v>23002</v>
      </c>
      <c r="Q5851" s="13" t="s">
        <v>67</v>
      </c>
      <c r="R5851" s="13" t="s">
        <v>67</v>
      </c>
      <c r="S5851" s="13" t="s">
        <v>67</v>
      </c>
      <c r="T5851" s="44">
        <v>45951.48469668982</v>
      </c>
      <c r="U5851" s="13"/>
      <c r="V5851" s="13"/>
      <c r="W5851" s="11"/>
      <c r="X5851" s="11"/>
      <c r="Y5851" s="45"/>
      <c r="Z5851" s="45"/>
      <c r="AA5851" s="31"/>
      <c r="AB5851" s="45" t="s">
        <v>23203</v>
      </c>
      <c r="AC5851" s="45"/>
    </row>
    <row r="5852" ht="18.75" customHeight="1">
      <c r="A5852" s="32" t="s">
        <v>23204</v>
      </c>
      <c r="B5852" s="33" t="s">
        <v>19002</v>
      </c>
      <c r="C5852" s="20">
        <v>27.0</v>
      </c>
      <c r="D5852" s="39"/>
      <c r="E5852" s="27" t="s">
        <v>72</v>
      </c>
      <c r="F5852" s="27" t="s">
        <v>48</v>
      </c>
      <c r="G5852" s="18" t="s">
        <v>35</v>
      </c>
      <c r="H5852" s="40" t="s">
        <v>35</v>
      </c>
      <c r="I5852" s="37" t="s">
        <v>17277</v>
      </c>
      <c r="J5852" s="25" t="s">
        <v>92</v>
      </c>
      <c r="K5852" s="26" t="s">
        <v>38</v>
      </c>
      <c r="L5852" s="25"/>
      <c r="M5852" s="49"/>
      <c r="N5852" s="42"/>
      <c r="O5852" s="68"/>
      <c r="P5852" s="26" t="s">
        <v>23002</v>
      </c>
      <c r="Q5852" s="13" t="s">
        <v>67</v>
      </c>
      <c r="R5852" s="13" t="s">
        <v>67</v>
      </c>
      <c r="S5852" s="13" t="s">
        <v>67</v>
      </c>
      <c r="T5852" s="44">
        <v>45951.48449452546</v>
      </c>
      <c r="U5852" s="13"/>
      <c r="V5852" s="13"/>
      <c r="W5852" s="11"/>
      <c r="X5852" s="11"/>
      <c r="Y5852" s="45"/>
      <c r="Z5852" s="45"/>
      <c r="AA5852" s="31"/>
      <c r="AB5852" s="45" t="s">
        <v>23205</v>
      </c>
      <c r="AC5852" s="45"/>
    </row>
    <row r="5853" ht="18.75" customHeight="1">
      <c r="A5853" s="32" t="s">
        <v>23206</v>
      </c>
      <c r="B5853" s="33" t="s">
        <v>19002</v>
      </c>
      <c r="C5853" s="20">
        <v>27.0</v>
      </c>
      <c r="D5853" s="39"/>
      <c r="E5853" s="27" t="s">
        <v>72</v>
      </c>
      <c r="F5853" s="27" t="s">
        <v>48</v>
      </c>
      <c r="G5853" s="18" t="s">
        <v>35</v>
      </c>
      <c r="H5853" s="40" t="s">
        <v>35</v>
      </c>
      <c r="I5853" s="37" t="s">
        <v>17277</v>
      </c>
      <c r="J5853" s="25" t="s">
        <v>92</v>
      </c>
      <c r="K5853" s="26" t="s">
        <v>38</v>
      </c>
      <c r="L5853" s="25"/>
      <c r="M5853" s="49"/>
      <c r="N5853" s="42"/>
      <c r="O5853" s="68"/>
      <c r="P5853" s="26" t="s">
        <v>23002</v>
      </c>
      <c r="Q5853" s="13" t="s">
        <v>67</v>
      </c>
      <c r="R5853" s="13" t="s">
        <v>67</v>
      </c>
      <c r="S5853" s="13" t="s">
        <v>67</v>
      </c>
      <c r="T5853" s="44">
        <v>45951.48476047454</v>
      </c>
      <c r="U5853" s="13"/>
      <c r="V5853" s="13"/>
      <c r="W5853" s="11"/>
      <c r="X5853" s="11"/>
      <c r="Y5853" s="45"/>
      <c r="Z5853" s="45"/>
      <c r="AA5853" s="31"/>
      <c r="AB5853" s="45" t="s">
        <v>23207</v>
      </c>
      <c r="AC5853" s="45"/>
    </row>
    <row r="5854" ht="18.75" customHeight="1">
      <c r="A5854" s="32" t="s">
        <v>23208</v>
      </c>
      <c r="B5854" s="33" t="s">
        <v>19002</v>
      </c>
      <c r="C5854" s="20">
        <v>27.0</v>
      </c>
      <c r="D5854" s="39"/>
      <c r="E5854" s="27" t="s">
        <v>72</v>
      </c>
      <c r="F5854" s="27" t="s">
        <v>48</v>
      </c>
      <c r="G5854" s="18" t="s">
        <v>35</v>
      </c>
      <c r="H5854" s="40" t="s">
        <v>35</v>
      </c>
      <c r="I5854" s="37" t="s">
        <v>17277</v>
      </c>
      <c r="J5854" s="25" t="s">
        <v>92</v>
      </c>
      <c r="K5854" s="26" t="s">
        <v>38</v>
      </c>
      <c r="L5854" s="25"/>
      <c r="M5854" s="49"/>
      <c r="N5854" s="42"/>
      <c r="O5854" s="68"/>
      <c r="P5854" s="26" t="s">
        <v>23002</v>
      </c>
      <c r="Q5854" s="13" t="s">
        <v>67</v>
      </c>
      <c r="R5854" s="13" t="s">
        <v>67</v>
      </c>
      <c r="S5854" s="13" t="s">
        <v>67</v>
      </c>
      <c r="T5854" s="44">
        <v>45951.484816435186</v>
      </c>
      <c r="U5854" s="13"/>
      <c r="V5854" s="13"/>
      <c r="W5854" s="11"/>
      <c r="X5854" s="11"/>
      <c r="Y5854" s="45"/>
      <c r="Z5854" s="45"/>
      <c r="AA5854" s="31"/>
      <c r="AB5854" s="45" t="s">
        <v>23209</v>
      </c>
      <c r="AC5854" s="45"/>
    </row>
    <row r="5855" ht="18.75" customHeight="1">
      <c r="A5855" s="32" t="s">
        <v>23210</v>
      </c>
      <c r="B5855" s="33" t="s">
        <v>19002</v>
      </c>
      <c r="C5855" s="20">
        <v>137.0</v>
      </c>
      <c r="D5855" s="39"/>
      <c r="E5855" s="27" t="s">
        <v>85</v>
      </c>
      <c r="F5855" s="27" t="s">
        <v>48</v>
      </c>
      <c r="G5855" s="18" t="s">
        <v>35</v>
      </c>
      <c r="H5855" s="40" t="s">
        <v>35</v>
      </c>
      <c r="I5855" s="37" t="s">
        <v>17277</v>
      </c>
      <c r="J5855" s="25" t="s">
        <v>92</v>
      </c>
      <c r="K5855" s="26" t="s">
        <v>38</v>
      </c>
      <c r="L5855" s="25"/>
      <c r="M5855" s="49"/>
      <c r="N5855" s="42"/>
      <c r="O5855" s="68"/>
      <c r="P5855" s="26" t="s">
        <v>23002</v>
      </c>
      <c r="Q5855" s="13" t="s">
        <v>67</v>
      </c>
      <c r="R5855" s="13" t="s">
        <v>67</v>
      </c>
      <c r="S5855" s="13" t="s">
        <v>67</v>
      </c>
      <c r="T5855" s="44">
        <v>45951.485401412036</v>
      </c>
      <c r="U5855" s="13"/>
      <c r="V5855" s="13"/>
      <c r="W5855" s="11"/>
      <c r="X5855" s="11"/>
      <c r="Y5855" s="45"/>
      <c r="Z5855" s="45"/>
      <c r="AA5855" s="31"/>
      <c r="AB5855" s="45" t="s">
        <v>23211</v>
      </c>
      <c r="AC5855" s="45"/>
    </row>
    <row r="5856" ht="18.75" customHeight="1">
      <c r="A5856" s="32" t="s">
        <v>23212</v>
      </c>
      <c r="B5856" s="33" t="s">
        <v>19002</v>
      </c>
      <c r="C5856" s="20">
        <v>27.0</v>
      </c>
      <c r="D5856" s="39"/>
      <c r="E5856" s="27" t="s">
        <v>72</v>
      </c>
      <c r="F5856" s="27" t="s">
        <v>48</v>
      </c>
      <c r="G5856" s="18" t="s">
        <v>35</v>
      </c>
      <c r="H5856" s="40" t="s">
        <v>35</v>
      </c>
      <c r="I5856" s="37" t="s">
        <v>17277</v>
      </c>
      <c r="J5856" s="25" t="s">
        <v>92</v>
      </c>
      <c r="K5856" s="26" t="s">
        <v>38</v>
      </c>
      <c r="L5856" s="25"/>
      <c r="M5856" s="49"/>
      <c r="N5856" s="42"/>
      <c r="O5856" s="68"/>
      <c r="P5856" s="26" t="s">
        <v>23002</v>
      </c>
      <c r="Q5856" s="13" t="s">
        <v>67</v>
      </c>
      <c r="R5856" s="13"/>
      <c r="S5856" s="13" t="s">
        <v>67</v>
      </c>
      <c r="T5856" s="44">
        <v>45951.48487167824</v>
      </c>
      <c r="U5856" s="13"/>
      <c r="V5856" s="13"/>
      <c r="W5856" s="11"/>
      <c r="X5856" s="11"/>
      <c r="Y5856" s="45"/>
      <c r="Z5856" s="45"/>
      <c r="AA5856" s="31"/>
      <c r="AB5856" s="45" t="s">
        <v>23213</v>
      </c>
      <c r="AC5856" s="45"/>
    </row>
    <row r="5857" ht="18.75" customHeight="1">
      <c r="A5857" s="32" t="s">
        <v>23214</v>
      </c>
      <c r="B5857" s="33" t="s">
        <v>19002</v>
      </c>
      <c r="C5857" s="20">
        <v>137.0</v>
      </c>
      <c r="D5857" s="39"/>
      <c r="E5857" s="27" t="s">
        <v>85</v>
      </c>
      <c r="F5857" s="27" t="s">
        <v>48</v>
      </c>
      <c r="G5857" s="18" t="s">
        <v>35</v>
      </c>
      <c r="H5857" s="40" t="s">
        <v>35</v>
      </c>
      <c r="I5857" s="37" t="s">
        <v>17277</v>
      </c>
      <c r="J5857" s="25" t="s">
        <v>92</v>
      </c>
      <c r="K5857" s="26" t="s">
        <v>38</v>
      </c>
      <c r="L5857" s="25"/>
      <c r="M5857" s="49"/>
      <c r="N5857" s="42"/>
      <c r="O5857" s="68"/>
      <c r="P5857" s="26" t="s">
        <v>23002</v>
      </c>
      <c r="Q5857" s="13" t="s">
        <v>67</v>
      </c>
      <c r="R5857" s="13" t="s">
        <v>67</v>
      </c>
      <c r="S5857" s="13" t="s">
        <v>67</v>
      </c>
      <c r="T5857" s="44">
        <v>45951.4856775463</v>
      </c>
      <c r="U5857" s="13"/>
      <c r="V5857" s="13"/>
      <c r="W5857" s="11"/>
      <c r="X5857" s="11"/>
      <c r="Y5857" s="45"/>
      <c r="Z5857" s="45"/>
      <c r="AA5857" s="31"/>
      <c r="AB5857" s="45" t="s">
        <v>23215</v>
      </c>
      <c r="AC5857" s="45"/>
    </row>
    <row r="5858" ht="18.75" customHeight="1">
      <c r="A5858" s="32" t="s">
        <v>23216</v>
      </c>
      <c r="B5858" s="33" t="s">
        <v>19002</v>
      </c>
      <c r="C5858" s="20">
        <v>137.0</v>
      </c>
      <c r="D5858" s="39"/>
      <c r="E5858" s="27" t="s">
        <v>85</v>
      </c>
      <c r="F5858" s="27" t="s">
        <v>48</v>
      </c>
      <c r="G5858" s="18" t="s">
        <v>35</v>
      </c>
      <c r="H5858" s="40" t="s">
        <v>35</v>
      </c>
      <c r="I5858" s="37" t="s">
        <v>17277</v>
      </c>
      <c r="J5858" s="25" t="s">
        <v>92</v>
      </c>
      <c r="K5858" s="26" t="s">
        <v>38</v>
      </c>
      <c r="L5858" s="25"/>
      <c r="M5858" s="49"/>
      <c r="N5858" s="42"/>
      <c r="O5858" s="68"/>
      <c r="P5858" s="26" t="s">
        <v>23002</v>
      </c>
      <c r="Q5858" s="13" t="s">
        <v>67</v>
      </c>
      <c r="R5858" s="13" t="s">
        <v>67</v>
      </c>
      <c r="S5858" s="13" t="s">
        <v>67</v>
      </c>
      <c r="T5858" s="44">
        <v>45951.48573134259</v>
      </c>
      <c r="U5858" s="13"/>
      <c r="V5858" s="13"/>
      <c r="W5858" s="11"/>
      <c r="X5858" s="11"/>
      <c r="Y5858" s="45"/>
      <c r="Z5858" s="45"/>
      <c r="AA5858" s="31"/>
      <c r="AB5858" s="45" t="s">
        <v>23217</v>
      </c>
      <c r="AC5858" s="45"/>
    </row>
    <row r="5859" ht="18.75" customHeight="1">
      <c r="A5859" s="32" t="s">
        <v>23218</v>
      </c>
      <c r="B5859" s="33" t="s">
        <v>19002</v>
      </c>
      <c r="C5859" s="20">
        <v>137.0</v>
      </c>
      <c r="D5859" s="39"/>
      <c r="E5859" s="27" t="s">
        <v>85</v>
      </c>
      <c r="F5859" s="27" t="s">
        <v>48</v>
      </c>
      <c r="G5859" s="18" t="s">
        <v>35</v>
      </c>
      <c r="H5859" s="40" t="s">
        <v>35</v>
      </c>
      <c r="I5859" s="37" t="s">
        <v>17277</v>
      </c>
      <c r="J5859" s="25" t="s">
        <v>92</v>
      </c>
      <c r="K5859" s="26" t="s">
        <v>38</v>
      </c>
      <c r="L5859" s="25"/>
      <c r="M5859" s="49"/>
      <c r="N5859" s="42"/>
      <c r="O5859" s="68"/>
      <c r="P5859" s="26" t="s">
        <v>23002</v>
      </c>
      <c r="Q5859" s="13" t="s">
        <v>67</v>
      </c>
      <c r="R5859" s="13" t="s">
        <v>67</v>
      </c>
      <c r="S5859" s="13" t="s">
        <v>67</v>
      </c>
      <c r="T5859" s="44">
        <v>45951.48579677084</v>
      </c>
      <c r="U5859" s="13"/>
      <c r="V5859" s="13"/>
      <c r="W5859" s="11"/>
      <c r="X5859" s="11"/>
      <c r="Y5859" s="45"/>
      <c r="Z5859" s="45"/>
      <c r="AA5859" s="31"/>
      <c r="AB5859" s="45" t="s">
        <v>23219</v>
      </c>
      <c r="AC5859" s="45"/>
    </row>
    <row r="5860" ht="18.75" customHeight="1">
      <c r="A5860" s="32" t="s">
        <v>23220</v>
      </c>
      <c r="B5860" s="33" t="s">
        <v>19002</v>
      </c>
      <c r="C5860" s="20">
        <v>137.0</v>
      </c>
      <c r="D5860" s="39"/>
      <c r="E5860" s="27" t="s">
        <v>85</v>
      </c>
      <c r="F5860" s="27" t="s">
        <v>48</v>
      </c>
      <c r="G5860" s="18" t="s">
        <v>35</v>
      </c>
      <c r="H5860" s="40" t="s">
        <v>35</v>
      </c>
      <c r="I5860" s="37" t="s">
        <v>17277</v>
      </c>
      <c r="J5860" s="25" t="s">
        <v>92</v>
      </c>
      <c r="K5860" s="26" t="s">
        <v>38</v>
      </c>
      <c r="L5860" s="25"/>
      <c r="M5860" s="49"/>
      <c r="N5860" s="42"/>
      <c r="O5860" s="68"/>
      <c r="P5860" s="26" t="s">
        <v>23002</v>
      </c>
      <c r="Q5860" s="13" t="s">
        <v>67</v>
      </c>
      <c r="R5860" s="13" t="s">
        <v>67</v>
      </c>
      <c r="S5860" s="13" t="s">
        <v>67</v>
      </c>
      <c r="T5860" s="44">
        <v>45951.48584247685</v>
      </c>
      <c r="U5860" s="13"/>
      <c r="V5860" s="13"/>
      <c r="W5860" s="11"/>
      <c r="X5860" s="11"/>
      <c r="Y5860" s="45"/>
      <c r="Z5860" s="45"/>
      <c r="AA5860" s="31"/>
      <c r="AB5860" s="45" t="s">
        <v>23221</v>
      </c>
      <c r="AC5860" s="45"/>
    </row>
    <row r="5861" ht="18.75" customHeight="1">
      <c r="A5861" s="32" t="s">
        <v>23222</v>
      </c>
      <c r="B5861" s="33" t="s">
        <v>19002</v>
      </c>
      <c r="C5861" s="20">
        <v>137.0</v>
      </c>
      <c r="D5861" s="39"/>
      <c r="E5861" s="27" t="s">
        <v>85</v>
      </c>
      <c r="F5861" s="27" t="s">
        <v>48</v>
      </c>
      <c r="G5861" s="18" t="s">
        <v>35</v>
      </c>
      <c r="H5861" s="40" t="s">
        <v>35</v>
      </c>
      <c r="I5861" s="37" t="s">
        <v>17277</v>
      </c>
      <c r="J5861" s="25" t="s">
        <v>92</v>
      </c>
      <c r="K5861" s="26" t="s">
        <v>38</v>
      </c>
      <c r="L5861" s="25"/>
      <c r="M5861" s="49"/>
      <c r="N5861" s="42"/>
      <c r="O5861" s="68"/>
      <c r="P5861" s="26" t="s">
        <v>23002</v>
      </c>
      <c r="Q5861" s="13" t="s">
        <v>67</v>
      </c>
      <c r="R5861" s="13" t="s">
        <v>67</v>
      </c>
      <c r="S5861" s="13" t="s">
        <v>67</v>
      </c>
      <c r="T5861" s="44">
        <v>45951.48588962963</v>
      </c>
      <c r="U5861" s="13"/>
      <c r="V5861" s="13"/>
      <c r="W5861" s="11"/>
      <c r="X5861" s="11"/>
      <c r="Y5861" s="45"/>
      <c r="Z5861" s="45"/>
      <c r="AA5861" s="31"/>
      <c r="AB5861" s="45" t="s">
        <v>23223</v>
      </c>
      <c r="AC5861" s="45"/>
    </row>
    <row r="5862" ht="18.75" customHeight="1">
      <c r="A5862" s="32" t="s">
        <v>23224</v>
      </c>
      <c r="B5862" s="33" t="s">
        <v>19002</v>
      </c>
      <c r="C5862" s="20">
        <v>137.0</v>
      </c>
      <c r="D5862" s="39"/>
      <c r="E5862" s="27" t="s">
        <v>85</v>
      </c>
      <c r="F5862" s="27" t="s">
        <v>48</v>
      </c>
      <c r="G5862" s="18" t="s">
        <v>35</v>
      </c>
      <c r="H5862" s="40" t="s">
        <v>35</v>
      </c>
      <c r="I5862" s="37" t="s">
        <v>17277</v>
      </c>
      <c r="J5862" s="25" t="s">
        <v>92</v>
      </c>
      <c r="K5862" s="26" t="s">
        <v>38</v>
      </c>
      <c r="L5862" s="25"/>
      <c r="M5862" s="49"/>
      <c r="N5862" s="42"/>
      <c r="O5862" s="68"/>
      <c r="P5862" s="26" t="s">
        <v>23002</v>
      </c>
      <c r="Q5862" s="13" t="s">
        <v>67</v>
      </c>
      <c r="R5862" s="13" t="s">
        <v>67</v>
      </c>
      <c r="S5862" s="13" t="s">
        <v>67</v>
      </c>
      <c r="T5862" s="44">
        <v>45951.48594219907</v>
      </c>
      <c r="U5862" s="13"/>
      <c r="V5862" s="13"/>
      <c r="W5862" s="11"/>
      <c r="X5862" s="11"/>
      <c r="Y5862" s="45"/>
      <c r="Z5862" s="45"/>
      <c r="AA5862" s="31"/>
      <c r="AB5862" s="45" t="s">
        <v>23225</v>
      </c>
      <c r="AC5862" s="45"/>
    </row>
    <row r="5863" ht="18.75" customHeight="1">
      <c r="A5863" s="32" t="s">
        <v>23226</v>
      </c>
      <c r="B5863" s="33" t="s">
        <v>19002</v>
      </c>
      <c r="C5863" s="20">
        <v>137.0</v>
      </c>
      <c r="D5863" s="39"/>
      <c r="E5863" s="27" t="s">
        <v>85</v>
      </c>
      <c r="F5863" s="27" t="s">
        <v>48</v>
      </c>
      <c r="G5863" s="18" t="s">
        <v>35</v>
      </c>
      <c r="H5863" s="40" t="s">
        <v>35</v>
      </c>
      <c r="I5863" s="37" t="s">
        <v>17277</v>
      </c>
      <c r="J5863" s="25" t="s">
        <v>92</v>
      </c>
      <c r="K5863" s="26" t="s">
        <v>38</v>
      </c>
      <c r="L5863" s="25"/>
      <c r="M5863" s="49"/>
      <c r="N5863" s="42"/>
      <c r="O5863" s="68"/>
      <c r="P5863" s="26" t="s">
        <v>23002</v>
      </c>
      <c r="Q5863" s="13" t="s">
        <v>67</v>
      </c>
      <c r="R5863" s="13" t="s">
        <v>67</v>
      </c>
      <c r="S5863" s="13" t="s">
        <v>67</v>
      </c>
      <c r="T5863" s="44">
        <v>45951.48599259259</v>
      </c>
      <c r="U5863" s="13"/>
      <c r="V5863" s="13"/>
      <c r="W5863" s="11"/>
      <c r="X5863" s="11"/>
      <c r="Y5863" s="45"/>
      <c r="Z5863" s="45"/>
      <c r="AA5863" s="31"/>
      <c r="AB5863" s="45" t="s">
        <v>23227</v>
      </c>
      <c r="AC5863" s="45"/>
    </row>
    <row r="5864" ht="18.75" customHeight="1">
      <c r="A5864" s="32" t="s">
        <v>23228</v>
      </c>
      <c r="B5864" s="33" t="s">
        <v>19002</v>
      </c>
      <c r="C5864" s="20">
        <v>137.0</v>
      </c>
      <c r="D5864" s="39"/>
      <c r="E5864" s="27" t="s">
        <v>85</v>
      </c>
      <c r="F5864" s="27" t="s">
        <v>48</v>
      </c>
      <c r="G5864" s="18" t="s">
        <v>35</v>
      </c>
      <c r="H5864" s="40" t="s">
        <v>35</v>
      </c>
      <c r="I5864" s="37" t="s">
        <v>17277</v>
      </c>
      <c r="J5864" s="25" t="s">
        <v>92</v>
      </c>
      <c r="K5864" s="26" t="s">
        <v>38</v>
      </c>
      <c r="L5864" s="25"/>
      <c r="M5864" s="49"/>
      <c r="N5864" s="42"/>
      <c r="O5864" s="68"/>
      <c r="P5864" s="26" t="s">
        <v>23002</v>
      </c>
      <c r="Q5864" s="13" t="s">
        <v>67</v>
      </c>
      <c r="R5864" s="13" t="s">
        <v>67</v>
      </c>
      <c r="S5864" s="13" t="s">
        <v>67</v>
      </c>
      <c r="T5864" s="44">
        <v>45951.48604275463</v>
      </c>
      <c r="U5864" s="13"/>
      <c r="V5864" s="13"/>
      <c r="W5864" s="11"/>
      <c r="X5864" s="11"/>
      <c r="Y5864" s="45"/>
      <c r="Z5864" s="45"/>
      <c r="AA5864" s="31"/>
      <c r="AB5864" s="45" t="s">
        <v>23229</v>
      </c>
      <c r="AC5864" s="45"/>
    </row>
    <row r="5865" ht="18.75" customHeight="1">
      <c r="A5865" s="32" t="s">
        <v>23230</v>
      </c>
      <c r="B5865" s="33" t="s">
        <v>19002</v>
      </c>
      <c r="C5865" s="20">
        <v>137.0</v>
      </c>
      <c r="D5865" s="39"/>
      <c r="E5865" s="27" t="s">
        <v>85</v>
      </c>
      <c r="F5865" s="27" t="s">
        <v>48</v>
      </c>
      <c r="G5865" s="18" t="s">
        <v>35</v>
      </c>
      <c r="H5865" s="40" t="s">
        <v>35</v>
      </c>
      <c r="I5865" s="37" t="s">
        <v>17277</v>
      </c>
      <c r="J5865" s="25" t="s">
        <v>92</v>
      </c>
      <c r="K5865" s="26" t="s">
        <v>38</v>
      </c>
      <c r="L5865" s="25"/>
      <c r="M5865" s="49"/>
      <c r="N5865" s="42"/>
      <c r="O5865" s="68"/>
      <c r="P5865" s="26" t="s">
        <v>23002</v>
      </c>
      <c r="Q5865" s="13" t="s">
        <v>67</v>
      </c>
      <c r="R5865" s="13" t="s">
        <v>67</v>
      </c>
      <c r="S5865" s="13" t="s">
        <v>67</v>
      </c>
      <c r="T5865" s="44">
        <v>45951.486085069446</v>
      </c>
      <c r="U5865" s="13"/>
      <c r="V5865" s="13"/>
      <c r="W5865" s="11"/>
      <c r="X5865" s="11"/>
      <c r="Y5865" s="45"/>
      <c r="Z5865" s="45"/>
      <c r="AA5865" s="31"/>
      <c r="AB5865" s="45" t="s">
        <v>23231</v>
      </c>
      <c r="AC5865" s="45"/>
    </row>
    <row r="5866" ht="18.75" customHeight="1">
      <c r="A5866" s="32" t="s">
        <v>23232</v>
      </c>
      <c r="B5866" s="33" t="s">
        <v>19002</v>
      </c>
      <c r="C5866" s="20">
        <v>137.0</v>
      </c>
      <c r="D5866" s="39"/>
      <c r="E5866" s="27" t="s">
        <v>85</v>
      </c>
      <c r="F5866" s="27" t="s">
        <v>48</v>
      </c>
      <c r="G5866" s="18" t="s">
        <v>35</v>
      </c>
      <c r="H5866" s="40" t="s">
        <v>35</v>
      </c>
      <c r="I5866" s="37" t="s">
        <v>17277</v>
      </c>
      <c r="J5866" s="25" t="s">
        <v>92</v>
      </c>
      <c r="K5866" s="26" t="s">
        <v>38</v>
      </c>
      <c r="L5866" s="25"/>
      <c r="M5866" s="49"/>
      <c r="N5866" s="42"/>
      <c r="O5866" s="68"/>
      <c r="P5866" s="26" t="s">
        <v>23002</v>
      </c>
      <c r="Q5866" s="13" t="s">
        <v>67</v>
      </c>
      <c r="R5866" s="13" t="s">
        <v>67</v>
      </c>
      <c r="S5866" s="13" t="s">
        <v>67</v>
      </c>
      <c r="T5866" s="44">
        <v>45951.48612833333</v>
      </c>
      <c r="U5866" s="13"/>
      <c r="V5866" s="13"/>
      <c r="W5866" s="11"/>
      <c r="X5866" s="11"/>
      <c r="Y5866" s="45"/>
      <c r="Z5866" s="45"/>
      <c r="AA5866" s="31"/>
      <c r="AB5866" s="45" t="s">
        <v>23233</v>
      </c>
      <c r="AC5866" s="45"/>
    </row>
    <row r="5867" ht="18.75" customHeight="1">
      <c r="A5867" s="32" t="s">
        <v>23234</v>
      </c>
      <c r="B5867" s="33" t="s">
        <v>19002</v>
      </c>
      <c r="C5867" s="20">
        <v>137.0</v>
      </c>
      <c r="D5867" s="39"/>
      <c r="E5867" s="27" t="s">
        <v>85</v>
      </c>
      <c r="F5867" s="27" t="s">
        <v>48</v>
      </c>
      <c r="G5867" s="18" t="s">
        <v>35</v>
      </c>
      <c r="H5867" s="40" t="s">
        <v>35</v>
      </c>
      <c r="I5867" s="37" t="s">
        <v>17277</v>
      </c>
      <c r="J5867" s="25" t="s">
        <v>92</v>
      </c>
      <c r="K5867" s="26" t="s">
        <v>38</v>
      </c>
      <c r="L5867" s="25"/>
      <c r="M5867" s="49"/>
      <c r="N5867" s="42"/>
      <c r="O5867" s="68"/>
      <c r="P5867" s="26" t="s">
        <v>23002</v>
      </c>
      <c r="Q5867" s="13" t="s">
        <v>67</v>
      </c>
      <c r="R5867" s="13" t="s">
        <v>67</v>
      </c>
      <c r="S5867" s="13" t="s">
        <v>67</v>
      </c>
      <c r="T5867" s="44">
        <v>45951.48617938657</v>
      </c>
      <c r="U5867" s="13"/>
      <c r="V5867" s="13"/>
      <c r="W5867" s="11"/>
      <c r="X5867" s="11"/>
      <c r="Y5867" s="45"/>
      <c r="Z5867" s="45"/>
      <c r="AA5867" s="31"/>
      <c r="AB5867" s="45" t="s">
        <v>23235</v>
      </c>
      <c r="AC5867" s="45"/>
    </row>
    <row r="5868" ht="18.75" customHeight="1">
      <c r="A5868" s="142" t="s">
        <v>23236</v>
      </c>
      <c r="B5868" s="33" t="s">
        <v>22145</v>
      </c>
      <c r="C5868" s="20">
        <v>33.0</v>
      </c>
      <c r="D5868" s="39" t="s">
        <v>23237</v>
      </c>
      <c r="E5868" s="27" t="s">
        <v>6133</v>
      </c>
      <c r="F5868" s="27" t="s">
        <v>48</v>
      </c>
      <c r="G5868" s="18" t="s">
        <v>35</v>
      </c>
      <c r="H5868" s="40" t="s">
        <v>35</v>
      </c>
      <c r="I5868" s="37" t="s">
        <v>18148</v>
      </c>
      <c r="J5868" s="25" t="s">
        <v>49</v>
      </c>
      <c r="K5868" s="26" t="s">
        <v>16899</v>
      </c>
      <c r="L5868" s="25">
        <v>14240.0</v>
      </c>
      <c r="M5868" s="49"/>
      <c r="N5868" s="42"/>
      <c r="O5868" s="68"/>
      <c r="P5868" s="26" t="s">
        <v>23238</v>
      </c>
      <c r="Q5868" s="13" t="s">
        <v>67</v>
      </c>
      <c r="R5868" s="13" t="s">
        <v>67</v>
      </c>
      <c r="S5868" s="13" t="s">
        <v>73</v>
      </c>
      <c r="T5868" s="44">
        <v>45951.49178401621</v>
      </c>
      <c r="U5868" s="44">
        <v>45951.49823327546</v>
      </c>
      <c r="V5868" s="44">
        <v>45951.5294915625</v>
      </c>
      <c r="W5868" s="11"/>
      <c r="X5868" s="11"/>
      <c r="Y5868" s="45">
        <v>302.0</v>
      </c>
      <c r="Z5868" s="45" t="s">
        <v>23239</v>
      </c>
      <c r="AA5868" s="31"/>
      <c r="AB5868" s="45" t="s">
        <v>23240</v>
      </c>
      <c r="AC5868" s="45"/>
    </row>
    <row r="5869" ht="18.75" customHeight="1">
      <c r="A5869" s="142" t="s">
        <v>23241</v>
      </c>
      <c r="B5869" s="33" t="s">
        <v>23242</v>
      </c>
      <c r="C5869" s="20">
        <v>137.0</v>
      </c>
      <c r="D5869" s="39"/>
      <c r="E5869" s="27" t="s">
        <v>85</v>
      </c>
      <c r="F5869" s="27" t="s">
        <v>48</v>
      </c>
      <c r="G5869" s="18" t="s">
        <v>35</v>
      </c>
      <c r="H5869" s="40" t="s">
        <v>35</v>
      </c>
      <c r="I5869" s="37" t="s">
        <v>22853</v>
      </c>
      <c r="J5869" s="25" t="s">
        <v>65</v>
      </c>
      <c r="K5869" s="26" t="s">
        <v>38</v>
      </c>
      <c r="L5869" s="25"/>
      <c r="M5869" s="49"/>
      <c r="N5869" s="42"/>
      <c r="O5869" s="68"/>
      <c r="P5869" s="26" t="s">
        <v>23243</v>
      </c>
      <c r="Q5869" s="13" t="s">
        <v>67</v>
      </c>
      <c r="R5869" s="13" t="s">
        <v>67</v>
      </c>
      <c r="S5869" s="13"/>
      <c r="T5869" s="44">
        <v>45951.497129131945</v>
      </c>
      <c r="U5869" s="44">
        <v>45951.635934652775</v>
      </c>
      <c r="V5869" s="13"/>
      <c r="W5869" s="11"/>
      <c r="X5869" s="11"/>
      <c r="Y5869" s="45"/>
      <c r="Z5869" s="45"/>
      <c r="AA5869" s="31"/>
      <c r="AB5869" s="45" t="s">
        <v>23244</v>
      </c>
      <c r="AC5869" s="45"/>
    </row>
    <row r="5870" ht="18.75" customHeight="1">
      <c r="A5870" s="18" t="s">
        <v>23245</v>
      </c>
      <c r="B5870" s="33" t="s">
        <v>23246</v>
      </c>
      <c r="C5870" s="20">
        <v>90.0</v>
      </c>
      <c r="D5870" s="39"/>
      <c r="E5870" s="27" t="s">
        <v>91</v>
      </c>
      <c r="F5870" s="27" t="s">
        <v>48</v>
      </c>
      <c r="G5870" s="18" t="s">
        <v>35</v>
      </c>
      <c r="H5870" s="40" t="s">
        <v>35</v>
      </c>
      <c r="I5870" s="37" t="s">
        <v>22853</v>
      </c>
      <c r="J5870" s="25" t="s">
        <v>65</v>
      </c>
      <c r="K5870" s="26" t="s">
        <v>38</v>
      </c>
      <c r="L5870" s="25"/>
      <c r="M5870" s="49"/>
      <c r="N5870" s="42"/>
      <c r="O5870" s="68"/>
      <c r="P5870" s="26" t="s">
        <v>23247</v>
      </c>
      <c r="Q5870" s="13" t="s">
        <v>75</v>
      </c>
      <c r="R5870" s="13" t="s">
        <v>75</v>
      </c>
      <c r="S5870" s="13"/>
      <c r="T5870" s="44">
        <v>45951.56278482639</v>
      </c>
      <c r="U5870" s="44">
        <v>45951.64583163195</v>
      </c>
      <c r="V5870" s="13"/>
      <c r="W5870" s="11"/>
      <c r="X5870" s="11"/>
      <c r="Y5870" s="45"/>
      <c r="Z5870" s="45"/>
      <c r="AA5870" s="31"/>
      <c r="AB5870" s="45" t="s">
        <v>23248</v>
      </c>
      <c r="AC5870" s="45"/>
    </row>
    <row r="5871" ht="18.75" customHeight="1">
      <c r="A5871" s="18" t="s">
        <v>23249</v>
      </c>
      <c r="B5871" s="33" t="s">
        <v>23246</v>
      </c>
      <c r="C5871" s="20">
        <v>34.0</v>
      </c>
      <c r="D5871" s="39"/>
      <c r="E5871" s="27" t="s">
        <v>47</v>
      </c>
      <c r="F5871" s="27" t="s">
        <v>48</v>
      </c>
      <c r="G5871" s="18" t="s">
        <v>35</v>
      </c>
      <c r="H5871" s="40" t="s">
        <v>35</v>
      </c>
      <c r="I5871" s="37" t="s">
        <v>22853</v>
      </c>
      <c r="J5871" s="25" t="s">
        <v>65</v>
      </c>
      <c r="K5871" s="26" t="s">
        <v>38</v>
      </c>
      <c r="L5871" s="25"/>
      <c r="M5871" s="49"/>
      <c r="N5871" s="42"/>
      <c r="O5871" s="68"/>
      <c r="P5871" s="26" t="s">
        <v>23247</v>
      </c>
      <c r="Q5871" s="13" t="s">
        <v>75</v>
      </c>
      <c r="R5871" s="13" t="s">
        <v>75</v>
      </c>
      <c r="S5871" s="13" t="s">
        <v>75</v>
      </c>
      <c r="T5871" s="44">
        <v>45951.56309296296</v>
      </c>
      <c r="U5871" s="44">
        <v>45951.64585366898</v>
      </c>
      <c r="V5871" s="13"/>
      <c r="W5871" s="11"/>
      <c r="X5871" s="11"/>
      <c r="Y5871" s="45"/>
      <c r="Z5871" s="45"/>
      <c r="AA5871" s="31"/>
      <c r="AB5871" s="45" t="s">
        <v>23250</v>
      </c>
      <c r="AC5871" s="45"/>
    </row>
    <row r="5872" ht="18.75" customHeight="1">
      <c r="A5872" s="18" t="s">
        <v>23251</v>
      </c>
      <c r="B5872" s="33" t="s">
        <v>9049</v>
      </c>
      <c r="C5872" s="20">
        <v>0.0</v>
      </c>
      <c r="D5872" s="39"/>
      <c r="E5872" s="27" t="s">
        <v>1530</v>
      </c>
      <c r="F5872" s="27" t="s">
        <v>33</v>
      </c>
      <c r="G5872" s="18" t="s">
        <v>35</v>
      </c>
      <c r="H5872" s="40" t="s">
        <v>35</v>
      </c>
      <c r="I5872" s="37" t="s">
        <v>22367</v>
      </c>
      <c r="J5872" s="25" t="s">
        <v>49</v>
      </c>
      <c r="K5872" s="26" t="s">
        <v>38</v>
      </c>
      <c r="L5872" s="25"/>
      <c r="M5872" s="49"/>
      <c r="N5872" s="42"/>
      <c r="O5872" s="68"/>
      <c r="P5872" s="26" t="s">
        <v>23252</v>
      </c>
      <c r="Q5872" s="13" t="s">
        <v>67</v>
      </c>
      <c r="R5872" s="13" t="s">
        <v>67</v>
      </c>
      <c r="S5872" s="13"/>
      <c r="T5872" s="44">
        <v>45951.590089363424</v>
      </c>
      <c r="U5872" s="44">
        <v>45951.63521982639</v>
      </c>
      <c r="V5872" s="13"/>
      <c r="W5872" s="11"/>
      <c r="X5872" s="11"/>
      <c r="Y5872" s="45"/>
      <c r="Z5872" s="45"/>
      <c r="AA5872" s="31"/>
      <c r="AB5872" s="45" t="s">
        <v>23253</v>
      </c>
      <c r="AC5872" s="45"/>
    </row>
    <row r="5873" ht="18.75" customHeight="1">
      <c r="A5873" s="18" t="s">
        <v>23254</v>
      </c>
      <c r="B5873" s="33" t="s">
        <v>9049</v>
      </c>
      <c r="C5873" s="20">
        <v>0.0</v>
      </c>
      <c r="D5873" s="39"/>
      <c r="E5873" s="27" t="s">
        <v>1530</v>
      </c>
      <c r="F5873" s="27" t="s">
        <v>33</v>
      </c>
      <c r="G5873" s="18" t="s">
        <v>35</v>
      </c>
      <c r="H5873" s="40" t="s">
        <v>35</v>
      </c>
      <c r="I5873" s="37" t="s">
        <v>22367</v>
      </c>
      <c r="J5873" s="25" t="s">
        <v>49</v>
      </c>
      <c r="K5873" s="26" t="s">
        <v>38</v>
      </c>
      <c r="L5873" s="25"/>
      <c r="M5873" s="49"/>
      <c r="N5873" s="42"/>
      <c r="O5873" s="68"/>
      <c r="P5873" s="26" t="s">
        <v>23252</v>
      </c>
      <c r="Q5873" s="13" t="s">
        <v>67</v>
      </c>
      <c r="R5873" s="13" t="s">
        <v>67</v>
      </c>
      <c r="S5873" s="13" t="s">
        <v>67</v>
      </c>
      <c r="T5873" s="44">
        <v>45951.591282905094</v>
      </c>
      <c r="U5873" s="44">
        <v>45951.63527506945</v>
      </c>
      <c r="V5873" s="13"/>
      <c r="W5873" s="11"/>
      <c r="X5873" s="11"/>
      <c r="Y5873" s="45"/>
      <c r="Z5873" s="45"/>
      <c r="AA5873" s="31"/>
      <c r="AB5873" s="45" t="s">
        <v>23255</v>
      </c>
      <c r="AC5873" s="45"/>
    </row>
    <row r="5874" ht="18.75" customHeight="1">
      <c r="A5874" s="18" t="s">
        <v>23256</v>
      </c>
      <c r="B5874" s="33" t="s">
        <v>9049</v>
      </c>
      <c r="C5874" s="20">
        <v>0.0</v>
      </c>
      <c r="D5874" s="39"/>
      <c r="E5874" s="27" t="s">
        <v>1530</v>
      </c>
      <c r="F5874" s="27" t="s">
        <v>33</v>
      </c>
      <c r="G5874" s="18" t="s">
        <v>35</v>
      </c>
      <c r="H5874" s="40" t="s">
        <v>35</v>
      </c>
      <c r="I5874" s="37" t="s">
        <v>22367</v>
      </c>
      <c r="J5874" s="25" t="s">
        <v>49</v>
      </c>
      <c r="K5874" s="26" t="s">
        <v>38</v>
      </c>
      <c r="L5874" s="25"/>
      <c r="M5874" s="49"/>
      <c r="N5874" s="42"/>
      <c r="O5874" s="68"/>
      <c r="P5874" s="26" t="s">
        <v>23252</v>
      </c>
      <c r="Q5874" s="13" t="s">
        <v>67</v>
      </c>
      <c r="R5874" s="13" t="s">
        <v>67</v>
      </c>
      <c r="S5874" s="13" t="s">
        <v>67</v>
      </c>
      <c r="T5874" s="44">
        <v>45951.59133173611</v>
      </c>
      <c r="U5874" s="44">
        <v>45951.635300277776</v>
      </c>
      <c r="V5874" s="13"/>
      <c r="W5874" s="11"/>
      <c r="X5874" s="11"/>
      <c r="Y5874" s="45"/>
      <c r="Z5874" s="45"/>
      <c r="AA5874" s="31"/>
      <c r="AB5874" s="45" t="s">
        <v>23257</v>
      </c>
      <c r="AC5874" s="45"/>
    </row>
    <row r="5875" ht="18.75" customHeight="1">
      <c r="A5875" s="18" t="s">
        <v>23258</v>
      </c>
      <c r="B5875" s="33" t="s">
        <v>9049</v>
      </c>
      <c r="C5875" s="20">
        <v>0.0</v>
      </c>
      <c r="D5875" s="39"/>
      <c r="E5875" s="27" t="s">
        <v>1530</v>
      </c>
      <c r="F5875" s="27" t="s">
        <v>33</v>
      </c>
      <c r="G5875" s="18" t="s">
        <v>35</v>
      </c>
      <c r="H5875" s="40" t="s">
        <v>35</v>
      </c>
      <c r="I5875" s="37" t="s">
        <v>22367</v>
      </c>
      <c r="J5875" s="25" t="s">
        <v>49</v>
      </c>
      <c r="K5875" s="26" t="s">
        <v>38</v>
      </c>
      <c r="L5875" s="25"/>
      <c r="M5875" s="49"/>
      <c r="N5875" s="42"/>
      <c r="O5875" s="68"/>
      <c r="P5875" s="26" t="s">
        <v>23252</v>
      </c>
      <c r="Q5875" s="13" t="s">
        <v>67</v>
      </c>
      <c r="R5875" s="13" t="s">
        <v>67</v>
      </c>
      <c r="S5875" s="13" t="s">
        <v>67</v>
      </c>
      <c r="T5875" s="44">
        <v>45951.59137865741</v>
      </c>
      <c r="U5875" s="44">
        <v>45951.63532890046</v>
      </c>
      <c r="V5875" s="13"/>
      <c r="W5875" s="11"/>
      <c r="X5875" s="11"/>
      <c r="Y5875" s="45"/>
      <c r="Z5875" s="45"/>
      <c r="AA5875" s="31"/>
      <c r="AB5875" s="45" t="s">
        <v>23259</v>
      </c>
      <c r="AC5875" s="45"/>
    </row>
    <row r="5876" ht="18.75" customHeight="1">
      <c r="A5876" s="142" t="s">
        <v>23260</v>
      </c>
      <c r="B5876" s="33" t="s">
        <v>4313</v>
      </c>
      <c r="C5876" s="20">
        <v>1.0</v>
      </c>
      <c r="D5876" s="39"/>
      <c r="E5876" s="27" t="s">
        <v>3395</v>
      </c>
      <c r="F5876" s="27" t="s">
        <v>48</v>
      </c>
      <c r="G5876" s="18" t="s">
        <v>35</v>
      </c>
      <c r="H5876" s="40" t="s">
        <v>35</v>
      </c>
      <c r="I5876" s="37" t="s">
        <v>17277</v>
      </c>
      <c r="J5876" s="25" t="s">
        <v>92</v>
      </c>
      <c r="K5876" s="26" t="s">
        <v>38</v>
      </c>
      <c r="L5876" s="25"/>
      <c r="M5876" s="49"/>
      <c r="N5876" s="42"/>
      <c r="O5876" s="68"/>
      <c r="P5876" s="26" t="s">
        <v>23261</v>
      </c>
      <c r="Q5876" s="13" t="s">
        <v>67</v>
      </c>
      <c r="R5876" s="13" t="s">
        <v>67</v>
      </c>
      <c r="S5876" s="13"/>
      <c r="T5876" s="44">
        <v>45951.59340104167</v>
      </c>
      <c r="U5876" s="13"/>
      <c r="V5876" s="13"/>
      <c r="W5876" s="11"/>
      <c r="X5876" s="11"/>
      <c r="Y5876" s="45"/>
      <c r="Z5876" s="45"/>
      <c r="AA5876" s="31"/>
      <c r="AB5876" s="45" t="s">
        <v>23262</v>
      </c>
      <c r="AC5876" s="45"/>
    </row>
    <row r="5877" ht="18.75" customHeight="1">
      <c r="A5877" s="142" t="s">
        <v>23263</v>
      </c>
      <c r="B5877" s="33" t="s">
        <v>4313</v>
      </c>
      <c r="C5877" s="20">
        <v>0.0</v>
      </c>
      <c r="D5877" s="39"/>
      <c r="E5877" s="27" t="s">
        <v>3441</v>
      </c>
      <c r="F5877" s="27" t="s">
        <v>48</v>
      </c>
      <c r="G5877" s="18" t="s">
        <v>35</v>
      </c>
      <c r="H5877" s="40" t="s">
        <v>35</v>
      </c>
      <c r="I5877" s="37" t="s">
        <v>17277</v>
      </c>
      <c r="J5877" s="25" t="s">
        <v>92</v>
      </c>
      <c r="K5877" s="26" t="s">
        <v>38</v>
      </c>
      <c r="L5877" s="25"/>
      <c r="M5877" s="49"/>
      <c r="N5877" s="42"/>
      <c r="O5877" s="68"/>
      <c r="P5877" s="26"/>
      <c r="Q5877" s="13" t="s">
        <v>67</v>
      </c>
      <c r="R5877" s="13" t="s">
        <v>67</v>
      </c>
      <c r="S5877" s="13"/>
      <c r="T5877" s="44">
        <v>45951.594246099536</v>
      </c>
      <c r="U5877" s="13"/>
      <c r="V5877" s="13"/>
      <c r="W5877" s="11"/>
      <c r="X5877" s="11"/>
      <c r="Y5877" s="45"/>
      <c r="Z5877" s="45"/>
      <c r="AA5877" s="31"/>
      <c r="AB5877" s="45" t="s">
        <v>23264</v>
      </c>
      <c r="AC5877" s="45"/>
    </row>
    <row r="5878" ht="18.75" customHeight="1">
      <c r="A5878" s="142" t="s">
        <v>23265</v>
      </c>
      <c r="B5878" s="33" t="s">
        <v>4313</v>
      </c>
      <c r="C5878" s="20">
        <v>1.0</v>
      </c>
      <c r="D5878" s="39"/>
      <c r="E5878" s="27" t="s">
        <v>3395</v>
      </c>
      <c r="F5878" s="27" t="s">
        <v>48</v>
      </c>
      <c r="G5878" s="18" t="s">
        <v>35</v>
      </c>
      <c r="H5878" s="40" t="s">
        <v>35</v>
      </c>
      <c r="I5878" s="37" t="s">
        <v>17277</v>
      </c>
      <c r="J5878" s="25" t="s">
        <v>92</v>
      </c>
      <c r="K5878" s="26" t="s">
        <v>38</v>
      </c>
      <c r="L5878" s="25"/>
      <c r="M5878" s="49"/>
      <c r="N5878" s="42"/>
      <c r="O5878" s="68"/>
      <c r="P5878" s="26"/>
      <c r="Q5878" s="13" t="s">
        <v>67</v>
      </c>
      <c r="R5878" s="13" t="s">
        <v>67</v>
      </c>
      <c r="S5878" s="13"/>
      <c r="T5878" s="44">
        <v>45951.59569728009</v>
      </c>
      <c r="U5878" s="13"/>
      <c r="V5878" s="13"/>
      <c r="W5878" s="11"/>
      <c r="X5878" s="11"/>
      <c r="Y5878" s="45"/>
      <c r="Z5878" s="45"/>
      <c r="AA5878" s="31"/>
      <c r="AB5878" s="45" t="s">
        <v>23266</v>
      </c>
      <c r="AC5878" s="45"/>
    </row>
    <row r="5879" ht="18.75" customHeight="1">
      <c r="A5879" s="142" t="s">
        <v>23267</v>
      </c>
      <c r="B5879" s="33" t="s">
        <v>4313</v>
      </c>
      <c r="C5879" s="20">
        <v>11.0</v>
      </c>
      <c r="D5879" s="39"/>
      <c r="E5879" s="27" t="s">
        <v>112</v>
      </c>
      <c r="F5879" s="27" t="s">
        <v>48</v>
      </c>
      <c r="G5879" s="18" t="s">
        <v>35</v>
      </c>
      <c r="H5879" s="40" t="s">
        <v>35</v>
      </c>
      <c r="I5879" s="37" t="s">
        <v>17277</v>
      </c>
      <c r="J5879" s="25" t="s">
        <v>92</v>
      </c>
      <c r="K5879" s="26" t="s">
        <v>38</v>
      </c>
      <c r="L5879" s="25"/>
      <c r="M5879" s="49"/>
      <c r="N5879" s="42"/>
      <c r="O5879" s="68"/>
      <c r="P5879" s="26"/>
      <c r="Q5879" s="13" t="s">
        <v>67</v>
      </c>
      <c r="R5879" s="13" t="s">
        <v>67</v>
      </c>
      <c r="S5879" s="13"/>
      <c r="T5879" s="44">
        <v>45951.596174942126</v>
      </c>
      <c r="U5879" s="13"/>
      <c r="V5879" s="13"/>
      <c r="W5879" s="11"/>
      <c r="X5879" s="11"/>
      <c r="Y5879" s="45"/>
      <c r="Z5879" s="45"/>
      <c r="AA5879" s="31"/>
      <c r="AB5879" s="45" t="s">
        <v>23268</v>
      </c>
      <c r="AC5879" s="45"/>
    </row>
    <row r="5880" ht="18.75" customHeight="1">
      <c r="A5880" s="18" t="s">
        <v>23269</v>
      </c>
      <c r="B5880" s="33" t="s">
        <v>4313</v>
      </c>
      <c r="C5880" s="20">
        <v>0.0</v>
      </c>
      <c r="D5880" s="39"/>
      <c r="E5880" s="27" t="s">
        <v>11503</v>
      </c>
      <c r="F5880" s="27" t="s">
        <v>11504</v>
      </c>
      <c r="G5880" s="18" t="s">
        <v>35</v>
      </c>
      <c r="H5880" s="40" t="s">
        <v>35</v>
      </c>
      <c r="I5880" s="37" t="s">
        <v>17277</v>
      </c>
      <c r="J5880" s="25" t="s">
        <v>92</v>
      </c>
      <c r="K5880" s="26" t="s">
        <v>38</v>
      </c>
      <c r="L5880" s="25"/>
      <c r="M5880" s="49"/>
      <c r="N5880" s="42"/>
      <c r="O5880" s="68"/>
      <c r="P5880" s="26" t="s">
        <v>23270</v>
      </c>
      <c r="Q5880" s="13" t="s">
        <v>67</v>
      </c>
      <c r="R5880" s="13" t="s">
        <v>67</v>
      </c>
      <c r="S5880" s="13"/>
      <c r="T5880" s="44">
        <v>45951.59667115741</v>
      </c>
      <c r="U5880" s="13"/>
      <c r="V5880" s="13"/>
      <c r="W5880" s="11"/>
      <c r="X5880" s="11"/>
      <c r="Y5880" s="45"/>
      <c r="Z5880" s="45"/>
      <c r="AA5880" s="31"/>
      <c r="AB5880" s="45" t="s">
        <v>23271</v>
      </c>
      <c r="AC5880" s="45"/>
    </row>
    <row r="5881" ht="18.75" customHeight="1">
      <c r="A5881" s="18" t="s">
        <v>23272</v>
      </c>
      <c r="B5881" s="33" t="s">
        <v>4313</v>
      </c>
      <c r="C5881" s="20">
        <v>0.0</v>
      </c>
      <c r="D5881" s="39"/>
      <c r="E5881" s="27" t="s">
        <v>11503</v>
      </c>
      <c r="F5881" s="27" t="s">
        <v>11504</v>
      </c>
      <c r="G5881" s="18" t="s">
        <v>35</v>
      </c>
      <c r="H5881" s="40" t="s">
        <v>35</v>
      </c>
      <c r="I5881" s="37" t="s">
        <v>17277</v>
      </c>
      <c r="J5881" s="25" t="s">
        <v>92</v>
      </c>
      <c r="K5881" s="26" t="s">
        <v>38</v>
      </c>
      <c r="L5881" s="25"/>
      <c r="M5881" s="49"/>
      <c r="N5881" s="42"/>
      <c r="O5881" s="68"/>
      <c r="P5881" s="26" t="s">
        <v>23270</v>
      </c>
      <c r="Q5881" s="13" t="s">
        <v>67</v>
      </c>
      <c r="R5881" s="13" t="s">
        <v>67</v>
      </c>
      <c r="S5881" s="13" t="s">
        <v>67</v>
      </c>
      <c r="T5881" s="44">
        <v>45951.59676047454</v>
      </c>
      <c r="U5881" s="13"/>
      <c r="V5881" s="13"/>
      <c r="W5881" s="11"/>
      <c r="X5881" s="11"/>
      <c r="Y5881" s="45"/>
      <c r="Z5881" s="45"/>
      <c r="AA5881" s="31"/>
      <c r="AB5881" s="45" t="s">
        <v>23273</v>
      </c>
      <c r="AC5881" s="45"/>
    </row>
    <row r="5882" ht="18.75" customHeight="1">
      <c r="A5882" s="142" t="s">
        <v>23274</v>
      </c>
      <c r="B5882" s="33" t="s">
        <v>4313</v>
      </c>
      <c r="C5882" s="20">
        <v>0.0</v>
      </c>
      <c r="D5882" s="39"/>
      <c r="E5882" s="27" t="s">
        <v>12486</v>
      </c>
      <c r="F5882" s="27" t="s">
        <v>11504</v>
      </c>
      <c r="G5882" s="18" t="s">
        <v>35</v>
      </c>
      <c r="H5882" s="40" t="s">
        <v>35</v>
      </c>
      <c r="I5882" s="37" t="s">
        <v>17277</v>
      </c>
      <c r="J5882" s="25" t="s">
        <v>92</v>
      </c>
      <c r="K5882" s="26" t="s">
        <v>38</v>
      </c>
      <c r="L5882" s="25"/>
      <c r="M5882" s="49"/>
      <c r="N5882" s="42"/>
      <c r="O5882" s="68"/>
      <c r="P5882" s="26" t="s">
        <v>23275</v>
      </c>
      <c r="Q5882" s="13" t="s">
        <v>67</v>
      </c>
      <c r="R5882" s="13" t="s">
        <v>67</v>
      </c>
      <c r="S5882" s="13"/>
      <c r="T5882" s="44">
        <v>45951.59741851852</v>
      </c>
      <c r="U5882" s="13"/>
      <c r="V5882" s="13"/>
      <c r="W5882" s="11"/>
      <c r="X5882" s="11"/>
      <c r="Y5882" s="45"/>
      <c r="Z5882" s="45"/>
      <c r="AA5882" s="31"/>
      <c r="AB5882" s="45" t="s">
        <v>23276</v>
      </c>
      <c r="AC5882" s="45"/>
    </row>
    <row r="5883" ht="18.75" customHeight="1">
      <c r="A5883" s="18" t="s">
        <v>23277</v>
      </c>
      <c r="B5883" s="33" t="s">
        <v>8902</v>
      </c>
      <c r="C5883" s="20">
        <v>0.0</v>
      </c>
      <c r="D5883" s="39"/>
      <c r="E5883" s="27" t="s">
        <v>22983</v>
      </c>
      <c r="F5883" s="27"/>
      <c r="G5883" s="18" t="s">
        <v>35</v>
      </c>
      <c r="H5883" s="40" t="s">
        <v>35</v>
      </c>
      <c r="I5883" s="37" t="s">
        <v>22367</v>
      </c>
      <c r="J5883" s="25" t="s">
        <v>49</v>
      </c>
      <c r="K5883" s="26" t="s">
        <v>38</v>
      </c>
      <c r="L5883" s="25"/>
      <c r="M5883" s="49"/>
      <c r="N5883" s="42"/>
      <c r="O5883" s="68"/>
      <c r="P5883" s="26" t="s">
        <v>22984</v>
      </c>
      <c r="Q5883" s="13" t="s">
        <v>75</v>
      </c>
      <c r="R5883" s="13" t="s">
        <v>75</v>
      </c>
      <c r="S5883" s="13" t="s">
        <v>75</v>
      </c>
      <c r="T5883" s="44">
        <v>45951.60640653935</v>
      </c>
      <c r="U5883" s="44">
        <v>45951.606445717596</v>
      </c>
      <c r="V5883" s="13"/>
      <c r="W5883" s="11"/>
      <c r="X5883" s="11"/>
      <c r="Y5883" s="45"/>
      <c r="Z5883" s="45"/>
      <c r="AA5883" s="31"/>
      <c r="AB5883" s="45" t="s">
        <v>23278</v>
      </c>
      <c r="AC5883" s="45"/>
    </row>
    <row r="5884" ht="18.75" customHeight="1">
      <c r="A5884" s="18" t="s">
        <v>23279</v>
      </c>
      <c r="B5884" s="33" t="s">
        <v>4206</v>
      </c>
      <c r="C5884" s="20">
        <v>0.0</v>
      </c>
      <c r="D5884" s="39"/>
      <c r="E5884" s="27" t="s">
        <v>12405</v>
      </c>
      <c r="F5884" s="27" t="s">
        <v>48</v>
      </c>
      <c r="G5884" s="18" t="s">
        <v>35</v>
      </c>
      <c r="H5884" s="40" t="s">
        <v>35</v>
      </c>
      <c r="I5884" s="37" t="s">
        <v>17277</v>
      </c>
      <c r="J5884" s="25" t="s">
        <v>92</v>
      </c>
      <c r="K5884" s="26" t="s">
        <v>38</v>
      </c>
      <c r="L5884" s="25"/>
      <c r="M5884" s="49"/>
      <c r="N5884" s="42"/>
      <c r="O5884" s="68"/>
      <c r="P5884" s="26" t="s">
        <v>23280</v>
      </c>
      <c r="Q5884" s="13" t="s">
        <v>67</v>
      </c>
      <c r="R5884" s="13" t="s">
        <v>67</v>
      </c>
      <c r="S5884" s="13"/>
      <c r="T5884" s="44">
        <v>45951.62118255787</v>
      </c>
      <c r="U5884" s="13"/>
      <c r="V5884" s="13"/>
      <c r="W5884" s="11"/>
      <c r="X5884" s="11"/>
      <c r="Y5884" s="45"/>
      <c r="Z5884" s="45"/>
      <c r="AA5884" s="31"/>
      <c r="AB5884" s="45" t="s">
        <v>23281</v>
      </c>
      <c r="AC5884" s="45"/>
    </row>
    <row r="5885" ht="18.75" customHeight="1">
      <c r="A5885" s="18" t="s">
        <v>23282</v>
      </c>
      <c r="B5885" s="33" t="s">
        <v>4206</v>
      </c>
      <c r="C5885" s="20">
        <v>0.0</v>
      </c>
      <c r="D5885" s="39"/>
      <c r="E5885" s="27" t="s">
        <v>12405</v>
      </c>
      <c r="F5885" s="27" t="s">
        <v>48</v>
      </c>
      <c r="G5885" s="18" t="s">
        <v>35</v>
      </c>
      <c r="H5885" s="40" t="s">
        <v>35</v>
      </c>
      <c r="I5885" s="37" t="s">
        <v>17277</v>
      </c>
      <c r="J5885" s="25" t="s">
        <v>92</v>
      </c>
      <c r="K5885" s="26" t="s">
        <v>38</v>
      </c>
      <c r="L5885" s="25"/>
      <c r="M5885" s="49"/>
      <c r="N5885" s="42"/>
      <c r="O5885" s="68"/>
      <c r="P5885" s="26" t="s">
        <v>23280</v>
      </c>
      <c r="Q5885" s="13" t="s">
        <v>67</v>
      </c>
      <c r="R5885" s="13" t="s">
        <v>67</v>
      </c>
      <c r="S5885" s="13" t="s">
        <v>67</v>
      </c>
      <c r="T5885" s="44">
        <v>45951.62128219908</v>
      </c>
      <c r="U5885" s="13"/>
      <c r="V5885" s="13"/>
      <c r="W5885" s="11"/>
      <c r="X5885" s="11"/>
      <c r="Y5885" s="45"/>
      <c r="Z5885" s="45"/>
      <c r="AA5885" s="31"/>
      <c r="AB5885" s="45" t="s">
        <v>23283</v>
      </c>
      <c r="AC5885" s="45"/>
    </row>
    <row r="5886" ht="18.75" customHeight="1">
      <c r="A5886" s="142" t="s">
        <v>23284</v>
      </c>
      <c r="B5886" s="33" t="s">
        <v>11733</v>
      </c>
      <c r="C5886" s="20">
        <v>137.0</v>
      </c>
      <c r="D5886" s="39"/>
      <c r="E5886" s="27" t="s">
        <v>85</v>
      </c>
      <c r="F5886" s="27" t="s">
        <v>48</v>
      </c>
      <c r="G5886" s="18" t="s">
        <v>35</v>
      </c>
      <c r="H5886" s="40" t="s">
        <v>35</v>
      </c>
      <c r="I5886" s="37" t="s">
        <v>17277</v>
      </c>
      <c r="J5886" s="25" t="s">
        <v>49</v>
      </c>
      <c r="K5886" s="26" t="s">
        <v>38</v>
      </c>
      <c r="L5886" s="25"/>
      <c r="M5886" s="49"/>
      <c r="N5886" s="42"/>
      <c r="O5886" s="68"/>
      <c r="P5886" s="26" t="s">
        <v>23285</v>
      </c>
      <c r="Q5886" s="13" t="s">
        <v>67</v>
      </c>
      <c r="R5886" s="13" t="s">
        <v>67</v>
      </c>
      <c r="S5886" s="13"/>
      <c r="T5886" s="44">
        <v>45951.622388414355</v>
      </c>
      <c r="U5886" s="13"/>
      <c r="V5886" s="13"/>
      <c r="W5886" s="11"/>
      <c r="X5886" s="11"/>
      <c r="Y5886" s="45"/>
      <c r="Z5886" s="45"/>
      <c r="AA5886" s="31"/>
      <c r="AB5886" s="45" t="s">
        <v>23286</v>
      </c>
      <c r="AC5886" s="45"/>
    </row>
    <row r="5887" ht="18.75" customHeight="1">
      <c r="A5887" s="18" t="s">
        <v>23287</v>
      </c>
      <c r="B5887" s="33" t="s">
        <v>4313</v>
      </c>
      <c r="C5887" s="20">
        <v>1.0</v>
      </c>
      <c r="D5887" s="39" t="s">
        <v>6028</v>
      </c>
      <c r="E5887" s="27" t="s">
        <v>3395</v>
      </c>
      <c r="F5887" s="27" t="s">
        <v>48</v>
      </c>
      <c r="G5887" s="18" t="s">
        <v>35</v>
      </c>
      <c r="H5887" s="40" t="s">
        <v>35</v>
      </c>
      <c r="I5887" s="37" t="s">
        <v>15516</v>
      </c>
      <c r="J5887" s="25" t="s">
        <v>92</v>
      </c>
      <c r="K5887" s="26" t="s">
        <v>38</v>
      </c>
      <c r="L5887" s="25"/>
      <c r="M5887" s="49"/>
      <c r="N5887" s="42"/>
      <c r="O5887" s="68"/>
      <c r="P5887" s="26" t="s">
        <v>23261</v>
      </c>
      <c r="Q5887" s="13" t="s">
        <v>67</v>
      </c>
      <c r="R5887" s="13" t="s">
        <v>67</v>
      </c>
      <c r="S5887" s="13"/>
      <c r="T5887" s="44">
        <v>45951.629989629626</v>
      </c>
      <c r="U5887" s="13"/>
      <c r="V5887" s="13"/>
      <c r="W5887" s="11"/>
      <c r="X5887" s="11"/>
      <c r="Y5887" s="45"/>
      <c r="Z5887" s="45"/>
      <c r="AA5887" s="31"/>
      <c r="AB5887" s="45" t="s">
        <v>23288</v>
      </c>
      <c r="AC5887" s="45"/>
    </row>
    <row r="5888" ht="18.75" customHeight="1">
      <c r="A5888" s="142" t="s">
        <v>23289</v>
      </c>
      <c r="B5888" s="33" t="s">
        <v>10396</v>
      </c>
      <c r="C5888" s="20">
        <v>0.0</v>
      </c>
      <c r="D5888" s="39"/>
      <c r="E5888" s="27" t="s">
        <v>3441</v>
      </c>
      <c r="F5888" s="27" t="s">
        <v>48</v>
      </c>
      <c r="G5888" s="18" t="s">
        <v>35</v>
      </c>
      <c r="H5888" s="40" t="s">
        <v>35</v>
      </c>
      <c r="I5888" s="37" t="s">
        <v>17277</v>
      </c>
      <c r="J5888" s="25" t="s">
        <v>518</v>
      </c>
      <c r="K5888" s="26" t="s">
        <v>38</v>
      </c>
      <c r="L5888" s="25"/>
      <c r="M5888" s="49"/>
      <c r="N5888" s="42"/>
      <c r="O5888" s="68"/>
      <c r="P5888" s="26" t="s">
        <v>23290</v>
      </c>
      <c r="Q5888" s="13" t="s">
        <v>75</v>
      </c>
      <c r="R5888" s="13" t="s">
        <v>75</v>
      </c>
      <c r="S5888" s="13"/>
      <c r="T5888" s="44">
        <v>45951.64751891204</v>
      </c>
      <c r="U5888" s="13"/>
      <c r="V5888" s="13"/>
      <c r="W5888" s="11"/>
      <c r="X5888" s="11"/>
      <c r="Y5888" s="45"/>
      <c r="Z5888" s="45"/>
      <c r="AA5888" s="31"/>
      <c r="AB5888" s="45" t="s">
        <v>23291</v>
      </c>
      <c r="AC5888" s="45"/>
    </row>
    <row r="5889" ht="18.75" customHeight="1">
      <c r="A5889" s="142" t="s">
        <v>23292</v>
      </c>
      <c r="B5889" s="33" t="s">
        <v>3762</v>
      </c>
      <c r="C5889" s="20">
        <v>0.0</v>
      </c>
      <c r="D5889" s="39"/>
      <c r="E5889" s="27" t="s">
        <v>3441</v>
      </c>
      <c r="F5889" s="27" t="s">
        <v>48</v>
      </c>
      <c r="G5889" s="18" t="s">
        <v>35</v>
      </c>
      <c r="H5889" s="40" t="s">
        <v>35</v>
      </c>
      <c r="I5889" s="37" t="s">
        <v>18314</v>
      </c>
      <c r="J5889" s="25" t="s">
        <v>65</v>
      </c>
      <c r="K5889" s="26" t="s">
        <v>38</v>
      </c>
      <c r="L5889" s="25"/>
      <c r="M5889" s="49"/>
      <c r="N5889" s="42"/>
      <c r="O5889" s="68"/>
      <c r="P5889" s="26" t="s">
        <v>23293</v>
      </c>
      <c r="Q5889" s="13" t="s">
        <v>75</v>
      </c>
      <c r="R5889" s="13" t="s">
        <v>75</v>
      </c>
      <c r="S5889" s="13"/>
      <c r="T5889" s="44">
        <v>45951.64835025463</v>
      </c>
      <c r="U5889" s="44">
        <v>45951.70454792824</v>
      </c>
      <c r="V5889" s="13"/>
      <c r="W5889" s="11"/>
      <c r="X5889" s="11"/>
      <c r="Y5889" s="45"/>
      <c r="Z5889" s="45"/>
      <c r="AA5889" s="31"/>
      <c r="AB5889" s="45" t="s">
        <v>23294</v>
      </c>
      <c r="AC5889" s="45"/>
    </row>
    <row r="5890" ht="18.75" customHeight="1">
      <c r="A5890" s="142" t="s">
        <v>23295</v>
      </c>
      <c r="B5890" s="33" t="s">
        <v>4147</v>
      </c>
      <c r="C5890" s="20">
        <v>27.0</v>
      </c>
      <c r="D5890" s="39"/>
      <c r="E5890" s="27" t="s">
        <v>72</v>
      </c>
      <c r="F5890" s="27" t="s">
        <v>48</v>
      </c>
      <c r="G5890" s="18" t="s">
        <v>35</v>
      </c>
      <c r="H5890" s="40" t="s">
        <v>35</v>
      </c>
      <c r="I5890" s="37" t="s">
        <v>17277</v>
      </c>
      <c r="J5890" s="25" t="s">
        <v>49</v>
      </c>
      <c r="K5890" s="26" t="s">
        <v>38</v>
      </c>
      <c r="L5890" s="25"/>
      <c r="M5890" s="49"/>
      <c r="N5890" s="42"/>
      <c r="O5890" s="68"/>
      <c r="P5890" s="26" t="s">
        <v>23296</v>
      </c>
      <c r="Q5890" s="13" t="s">
        <v>75</v>
      </c>
      <c r="R5890" s="13" t="s">
        <v>75</v>
      </c>
      <c r="S5890" s="13"/>
      <c r="T5890" s="44">
        <v>45951.65021298611</v>
      </c>
      <c r="U5890" s="13"/>
      <c r="V5890" s="13"/>
      <c r="W5890" s="11"/>
      <c r="X5890" s="11"/>
      <c r="Y5890" s="45"/>
      <c r="Z5890" s="45"/>
      <c r="AA5890" s="31"/>
      <c r="AB5890" s="45" t="s">
        <v>23297</v>
      </c>
      <c r="AC5890" s="45"/>
    </row>
    <row r="5891" ht="18.75" customHeight="1">
      <c r="A5891" s="18" t="s">
        <v>23298</v>
      </c>
      <c r="B5891" s="33" t="s">
        <v>23299</v>
      </c>
      <c r="C5891" s="20">
        <v>27.0</v>
      </c>
      <c r="D5891" s="39"/>
      <c r="E5891" s="27" t="s">
        <v>72</v>
      </c>
      <c r="F5891" s="27" t="s">
        <v>48</v>
      </c>
      <c r="G5891" s="18" t="s">
        <v>35</v>
      </c>
      <c r="H5891" s="40" t="s">
        <v>35</v>
      </c>
      <c r="I5891" s="37" t="s">
        <v>17277</v>
      </c>
      <c r="J5891" s="25" t="s">
        <v>49</v>
      </c>
      <c r="K5891" s="26" t="s">
        <v>38</v>
      </c>
      <c r="L5891" s="25"/>
      <c r="M5891" s="49"/>
      <c r="N5891" s="42"/>
      <c r="O5891" s="68"/>
      <c r="P5891" s="26" t="s">
        <v>22897</v>
      </c>
      <c r="Q5891" s="13" t="s">
        <v>75</v>
      </c>
      <c r="R5891" s="13" t="s">
        <v>75</v>
      </c>
      <c r="S5891" s="13"/>
      <c r="T5891" s="44">
        <v>45951.65086070602</v>
      </c>
      <c r="U5891" s="13"/>
      <c r="V5891" s="13"/>
      <c r="W5891" s="11"/>
      <c r="X5891" s="11"/>
      <c r="Y5891" s="45"/>
      <c r="Z5891" s="45"/>
      <c r="AA5891" s="31"/>
      <c r="AB5891" s="45" t="s">
        <v>23300</v>
      </c>
      <c r="AC5891" s="45"/>
    </row>
    <row r="5892" ht="18.75" customHeight="1">
      <c r="A5892" s="18" t="s">
        <v>23301</v>
      </c>
      <c r="B5892" s="33" t="s">
        <v>23299</v>
      </c>
      <c r="C5892" s="20">
        <v>137.0</v>
      </c>
      <c r="D5892" s="39"/>
      <c r="E5892" s="27" t="s">
        <v>85</v>
      </c>
      <c r="F5892" s="27" t="s">
        <v>48</v>
      </c>
      <c r="G5892" s="18" t="s">
        <v>35</v>
      </c>
      <c r="H5892" s="40" t="s">
        <v>35</v>
      </c>
      <c r="I5892" s="37" t="s">
        <v>17277</v>
      </c>
      <c r="J5892" s="25" t="s">
        <v>49</v>
      </c>
      <c r="K5892" s="26" t="s">
        <v>38</v>
      </c>
      <c r="L5892" s="25"/>
      <c r="M5892" s="49"/>
      <c r="N5892" s="42"/>
      <c r="O5892" s="68"/>
      <c r="P5892" s="26" t="s">
        <v>22897</v>
      </c>
      <c r="Q5892" s="13" t="s">
        <v>75</v>
      </c>
      <c r="R5892" s="13" t="s">
        <v>75</v>
      </c>
      <c r="S5892" s="13" t="s">
        <v>75</v>
      </c>
      <c r="T5892" s="44">
        <v>45951.65149613426</v>
      </c>
      <c r="U5892" s="13"/>
      <c r="V5892" s="13"/>
      <c r="W5892" s="11"/>
      <c r="X5892" s="11"/>
      <c r="Y5892" s="45"/>
      <c r="Z5892" s="45"/>
      <c r="AA5892" s="31"/>
      <c r="AB5892" s="45" t="s">
        <v>23302</v>
      </c>
      <c r="AC5892" s="45"/>
    </row>
    <row r="5893" ht="18.75" customHeight="1">
      <c r="A5893" s="18" t="s">
        <v>23303</v>
      </c>
      <c r="B5893" s="33" t="s">
        <v>23299</v>
      </c>
      <c r="C5893" s="20">
        <v>90.0</v>
      </c>
      <c r="D5893" s="39"/>
      <c r="E5893" s="27" t="s">
        <v>91</v>
      </c>
      <c r="F5893" s="27" t="s">
        <v>48</v>
      </c>
      <c r="G5893" s="18" t="s">
        <v>35</v>
      </c>
      <c r="H5893" s="40" t="s">
        <v>35</v>
      </c>
      <c r="I5893" s="37" t="s">
        <v>17277</v>
      </c>
      <c r="J5893" s="25" t="s">
        <v>49</v>
      </c>
      <c r="K5893" s="26" t="s">
        <v>38</v>
      </c>
      <c r="L5893" s="25"/>
      <c r="M5893" s="49"/>
      <c r="N5893" s="42"/>
      <c r="O5893" s="68"/>
      <c r="P5893" s="26" t="s">
        <v>22897</v>
      </c>
      <c r="Q5893" s="13" t="s">
        <v>75</v>
      </c>
      <c r="R5893" s="13" t="s">
        <v>75</v>
      </c>
      <c r="S5893" s="13" t="s">
        <v>75</v>
      </c>
      <c r="T5893" s="44">
        <v>45951.65132379629</v>
      </c>
      <c r="U5893" s="13"/>
      <c r="V5893" s="13"/>
      <c r="W5893" s="11"/>
      <c r="X5893" s="11"/>
      <c r="Y5893" s="45"/>
      <c r="Z5893" s="45"/>
      <c r="AA5893" s="31"/>
      <c r="AB5893" s="45" t="s">
        <v>23304</v>
      </c>
      <c r="AC5893" s="45"/>
    </row>
  </sheetData>
  <customSheetViews>
    <customSheetView guid="{EBA41990-B6FE-4113-BFDD-C8FB908E6110}" filter="1" showAutoFilter="1">
      <autoFilter ref="$A$1:$O$2041"/>
    </customSheetView>
    <customSheetView guid="{273D851F-780D-4836-926F-B82AD9F90C41}" filter="1" showAutoFilter="1">
      <autoFilter ref="$A$1:$AB$3212">
        <filterColumn colId="8">
          <filters/>
        </filterColumn>
        <filterColumn colId="4">
          <filters blank="1">
            <filter val="FT80F35T"/>
            <filter val="FTI75D40CZ"/>
            <filter val="FT100D35T"/>
            <filter val="FH40D60T"/>
            <filter val="FT120J35T"/>
            <filter val="FT180F35"/>
            <filter val="AMOSTRA FT-20"/>
            <filter val="FTI145DBR"/>
            <filter val="FT160H35T"/>
            <filter val="FT240L35T"/>
            <filter val="FH100J45T"/>
            <filter val="FT180J35"/>
            <filter val="FT160F35"/>
            <filter val="FH80J60T"/>
            <filter val="FT40B35"/>
            <filter val="FTI125L40CZ"/>
            <filter val="FTI35DPTBR"/>
            <filter val="FH50B60T"/>
            <filter val="FTI125D40PT"/>
            <filter val="5"/>
            <filter val="FH160F60"/>
            <filter val="FTI25D40PT"/>
            <filter val="FTI55D40PT"/>
            <filter val="FT20B35"/>
            <filter val="FT180H35T"/>
            <filter val="FH40B60"/>
            <filter val="FH160J60"/>
            <filter val="FT60F35T"/>
            <filter val="FT180L35T"/>
            <filter val="FT80H35T"/>
            <filter val="FT120L35T"/>
            <filter val="FT60B35"/>
            <filter val="FT50B35T"/>
            <filter val="FTI55D40CZ"/>
            <filter val="FT120D35T"/>
            <filter val="FT80J35"/>
            <filter val="FT80F35"/>
            <filter val="FT100F35T"/>
            <filter val="FT240J35T"/>
            <filter val="FT160F35T"/>
            <filter val="AMOSTRA FT-25/40"/>
            <filter val="FH80H60T"/>
            <filter val="FT60L35T"/>
            <filter val="FTI105L40CZ"/>
            <filter val="FT80B35"/>
            <filter val="FT120B35T"/>
            <filter val="FT60D35T"/>
            <filter val="FH160J60T"/>
            <filter val="FT120F35"/>
            <filter val="FTI75D40PT"/>
            <filter val="FTI105D40PT"/>
            <filter val="FT120J35"/>
            <filter val="FT60F35"/>
            <filter val="FTI115DPTBR"/>
            <filter val="FT60J35"/>
            <filter val="FTI45D40PT"/>
            <filter val="FH240F60T"/>
            <filter val="FT180J35T"/>
            <filter val="FT50D35T"/>
            <filter val="FTi25D40PT"/>
            <filter val="FT80B35T"/>
            <filter val="FH100F60T"/>
            <filter val="FT120F35T"/>
            <filter val="FTI105D40CZ"/>
            <filter val="FT100F35"/>
            <filter val="FT160L35T"/>
            <filter val="FT100H35T"/>
            <filter val="FT240H35T"/>
            <filter val="FH160J45T"/>
            <filter val="FH100F60"/>
            <filter val="FT80J35T"/>
            <filter val="FH100J60"/>
            <filter val="FT100J35"/>
            <filter val="FT40D35T"/>
            <filter val="FH80F60T"/>
            <filter val="FT70D35T"/>
            <filter val="FH100L60T"/>
            <filter val="FT25B35T"/>
            <filter val="FT60J35T"/>
            <filter val="FH160H60T"/>
            <filter val="FH240L60T"/>
            <filter val="FTI125L40PT"/>
            <filter val="FT60B35T"/>
            <filter val="FTI125D40CZ"/>
            <filter val="FH40B60T"/>
            <filter val="FT80D35T"/>
            <filter val="FT100B35T"/>
            <filter val="FT120H35T"/>
            <filter val="FH100H60T"/>
            <filter val="FTI45DPTBR"/>
            <filter val="FT70J35"/>
            <filter val="FT100J35T"/>
            <filter val="BDC25A75PT - BANDEJA"/>
            <filter val="FT160J35T"/>
            <filter val="FT25B35"/>
            <filter val="FT50B35"/>
            <filter val="FT80L35T"/>
            <filter val="FT240F35T"/>
            <filter val="FH80L60T"/>
            <filter val="FTI55DPTBR"/>
            <filter val="FTI35D40PT"/>
            <filter val="FT40B35T"/>
            <filter val="FT240F35"/>
            <filter val="FT70B35T"/>
            <filter val="FT240J35"/>
            <filter val="FT70J35T"/>
            <filter val="FTI105L40PT"/>
            <filter val="FTI115DBR"/>
            <filter val="FT70B35"/>
            <filter val="CARCACA AMOSTRA FTIBR"/>
            <filter val="FT180F35T"/>
            <filter val="FH160F60T"/>
            <filter val="FT60H35T"/>
          </filters>
        </filterColumn>
        <filterColumn colId="11">
          <filters blank="1">
            <filter val="10657"/>
            <filter val="11504"/>
            <filter val="11988"/>
            <filter val="10656"/>
            <filter val="11503"/>
            <filter val="10659"/>
            <filter val="11506"/>
            <filter val="10658"/>
            <filter val="11505"/>
            <filter val="11989"/>
            <filter val="11508"/>
            <filter val="11507"/>
            <filter val="11509"/>
            <filter val="10651"/>
            <filter val="11982"/>
            <filter val="10650"/>
            <filter val="11984"/>
            <filter val="10652"/>
            <filter val="11983"/>
            <filter val="10655"/>
            <filter val="11502"/>
            <filter val="11501"/>
            <filter val="11985"/>
            <filter val="9765-10213"/>
            <filter val="10668"/>
            <filter val="11515"/>
            <filter val="10667"/>
            <filter val="11514"/>
            <filter val="1"/>
            <filter val="11998"/>
            <filter val="9812-10297"/>
            <filter val="11517"/>
            <filter val="2"/>
            <filter val="10669"/>
            <filter val="11516"/>
            <filter val="3"/>
            <filter val="11519"/>
            <filter val="11518"/>
            <filter val="11991"/>
            <filter val="11990"/>
            <filter val="10662"/>
            <filter val="10664"/>
            <filter val="11511"/>
            <filter val="11995"/>
            <filter val="10663"/>
            <filter val="11510"/>
            <filter val="11994"/>
            <filter val="10666"/>
            <filter val="11513"/>
            <filter val="12841"/>
            <filter val="11997"/>
            <filter val="10665"/>
            <filter val="11512"/>
            <filter val="11996"/>
            <filter val="15089"/>
            <filter val="11966"/>
            <filter val="11965"/>
            <filter val="10637"/>
            <filter val="11968"/>
            <filter val="11967"/>
            <filter val="10639"/>
            <filter val="11969"/>
            <filter val="10638"/>
            <filter val="11960"/>
            <filter val="10631"/>
            <filter val="11962"/>
            <filter val="10630"/>
            <filter val="11961"/>
            <filter val="10633"/>
            <filter val="11964"/>
            <filter val="10632"/>
            <filter val="11963"/>
            <filter val="10646"/>
            <filter val="10645"/>
            <filter val="10648"/>
            <filter val="10647"/>
            <filter val="10649"/>
            <filter val="10640"/>
            <filter val="10642"/>
            <filter val="10641"/>
            <filter val="11972"/>
            <filter val="10644"/>
            <filter val="10643"/>
            <filter val="10609"/>
            <filter val="10613"/>
            <filter val="11944"/>
            <filter val="10612"/>
            <filter val="11943"/>
            <filter val="10615"/>
            <filter val="11946"/>
            <filter val="9808-10251"/>
            <filter val="10614"/>
            <filter val="11945"/>
            <filter val="10617"/>
            <filter val="11948"/>
            <filter val="1014"/>
            <filter val="10616"/>
            <filter val="11947"/>
            <filter val="10619"/>
            <filter val="10618"/>
            <filter val="11949"/>
            <filter val="11940"/>
            <filter val="10611"/>
            <filter val="11942"/>
            <filter val="10610"/>
            <filter val="11941"/>
            <filter val="10624"/>
            <filter val="11955"/>
            <filter val="10623"/>
            <filter val="11954"/>
            <filter val="10626"/>
            <filter val="11957"/>
            <filter val="10625"/>
            <filter val="11956"/>
            <filter val="10628"/>
            <filter val="11959"/>
            <filter val="10627"/>
            <filter val="11958"/>
            <filter val="10629"/>
            <filter val="11951"/>
            <filter val="11953"/>
            <filter val="11952"/>
            <filter val="15042"/>
            <filter val="15041"/>
            <filter val="11919"/>
            <filter val="11922"/>
            <filter val="9850- 10416"/>
            <filter val="11921"/>
            <filter val="11924"/>
            <filter val="11923"/>
            <filter val="11928"/>
            <filter val="11920"/>
            <filter val="15052"/>
            <filter val="11929"/>
            <filter val="11933"/>
            <filter val="10602"/>
            <filter val="10601"/>
            <filter val="11932"/>
            <filter val="10604"/>
            <filter val="11935"/>
            <filter val="10603"/>
            <filter val="11934"/>
            <filter val="10606"/>
            <filter val="11937"/>
            <filter val="10605"/>
            <filter val="11936"/>
            <filter val="11939"/>
            <filter val="11938"/>
            <filter val="10600"/>
            <filter val="11931"/>
            <filter val="11930"/>
            <filter val="11580"/>
            <filter val="11581"/>
            <filter val="11108"/>
            <filter val="11107"/>
            <filter val="11109"/>
            <filter val="10253"/>
            <filter val="11100"/>
            <filter val="11584"/>
            <filter val="10252"/>
            <filter val="11583"/>
            <filter val="10255"/>
            <filter val="11102"/>
            <filter val="11586"/>
            <filter val="10254"/>
            <filter val="11101"/>
            <filter val="11585"/>
            <filter val="10257"/>
            <filter val="11104"/>
            <filter val="10256"/>
            <filter val="11103"/>
            <filter val="10259"/>
            <filter val="11106"/>
            <filter val="10258"/>
            <filter val="11105"/>
            <filter val="11589"/>
            <filter val="10260"/>
            <filter val="11590"/>
            <filter val="10262"/>
            <filter val="10261"/>
            <filter val="11118"/>
            <filter val="11111"/>
            <filter val="10263"/>
            <filter val="11110"/>
            <filter val="11594"/>
            <filter val="10266"/>
            <filter val="11113"/>
            <filter val="11597"/>
            <filter val="10265"/>
            <filter val="11112"/>
            <filter val="11596"/>
            <filter val="10268"/>
            <filter val="11115"/>
            <filter val="11599"/>
            <filter val="12447"/>
            <filter val="10267"/>
            <filter val="11114"/>
            <filter val="11598"/>
            <filter val="11117"/>
            <filter val="10269"/>
            <filter val="11116"/>
            <filter val="9800"/>
            <filter val="11560"/>
            <filter val="10239"/>
            <filter val="10238"/>
            <filter val="11569"/>
            <filter val="12416"/>
            <filter val="10231"/>
            <filter val="11562"/>
            <filter val="-11745"/>
            <filter val="11561"/>
            <filter val="-11744"/>
            <filter val="10235"/>
            <filter val="11566"/>
            <filter val="11565"/>
            <filter val="10237"/>
            <filter val="11568"/>
            <filter val="11570"/>
            <filter val="-11752"/>
            <filter val="9803"/>
            <filter val="11573"/>
            <filter val="9804"/>
            <filter val="10241"/>
            <filter val="9801"/>
            <filter val="10244"/>
            <filter val="11575"/>
            <filter val="9802"/>
            <filter val="9807"/>
            <filter val="11577"/>
            <filter val="10245"/>
            <filter val="11576"/>
            <filter val="9805"/>
            <filter val="10248"/>
            <filter val="11579"/>
            <filter val="9806"/>
            <filter val="10247"/>
            <filter val="11578"/>
            <filter val="9821"/>
            <filter val="9822"/>
            <filter val="10691"/>
            <filter val="9820"/>
            <filter val="10690"/>
            <filter val="10045-10286"/>
            <filter val="11548"/>
            <filter val="11547"/>
            <filter val="11549"/>
            <filter val="10693"/>
            <filter val="11540"/>
            <filter val="9815"/>
            <filter val="10692"/>
            <filter val="11541"/>
            <filter val="10697"/>
            <filter val="9819"/>
            <filter val="10696"/>
            <filter val="11543"/>
            <filter val="10699"/>
            <filter val="11546"/>
            <filter val="9817"/>
            <filter val="11545"/>
            <filter val="9832"/>
            <filter val="9833"/>
            <filter val="9830"/>
            <filter val="9831"/>
            <filter val="10228"/>
            <filter val="10227"/>
            <filter val="12409"/>
            <filter val="10220"/>
            <filter val="9825"/>
            <filter val="11551"/>
            <filter val="11550"/>
            <filter val="10222"/>
            <filter val="9823"/>
            <filter val="11553"/>
            <filter val="9824"/>
            <filter val="10221"/>
            <filter val="11552"/>
            <filter val="9829"/>
            <filter val="11555"/>
            <filter val="11554"/>
            <filter val="11557"/>
            <filter val="9828"/>
            <filter val="10225"/>
            <filter val="11556"/>
            <filter val="12402"/>
            <filter val="9840"/>
            <filter val="9843"/>
            <filter val="9844"/>
            <filter val="9841"/>
            <filter val="9842"/>
            <filter val="10679"/>
            <filter val="11526"/>
            <filter val="10678"/>
            <filter val="11528"/>
            <filter val="11527"/>
            <filter val="11529"/>
            <filter val="10671"/>
            <filter val="10670"/>
            <filter val="9834"/>
            <filter val="11520"/>
            <filter val="9835"/>
            <filter val="10675"/>
            <filter val="11522"/>
            <filter val="10674"/>
            <filter val="11521"/>
            <filter val="9838"/>
            <filter val="10677"/>
            <filter val="11524"/>
            <filter val="9839"/>
            <filter val="10676"/>
            <filter val="11523"/>
            <filter val="9851"/>
            <filter val="9854"/>
            <filter val="9855"/>
            <filter val="9852"/>
            <filter val="10680"/>
            <filter val="9853"/>
            <filter val="10206"/>
            <filter val="11537"/>
            <filter val="10205"/>
            <filter val="10689"/>
            <filter val="11536"/>
            <filter val="10208"/>
            <filter val="11539"/>
            <filter val="10207"/>
            <filter val="11538"/>
            <filter val="9848"/>
            <filter val="9845"/>
            <filter val="10200"/>
            <filter val="10684"/>
            <filter val="9846"/>
            <filter val="11530"/>
            <filter val="10202"/>
            <filter val="10686"/>
            <filter val="10201"/>
            <filter val="10685"/>
            <filter val="9849"/>
            <filter val="10204"/>
            <filter val="10688"/>
            <filter val="10203"/>
            <filter val="10687"/>
            <filter val="9861"/>
            <filter val="11061"/>
            <filter val="9860"/>
            <filter val="11060"/>
            <filter val="9865"/>
            <filter val="11063"/>
            <filter val="12396"/>
            <filter val="11062"/>
            <filter val="9863"/>
            <filter val="11065"/>
            <filter val="12393"/>
            <filter val="9864"/>
            <filter val="11064"/>
            <filter val="12394"/>
            <filter val="9858"/>
            <filter val="11067"/>
            <filter val="9859"/>
            <filter val="11066"/>
            <filter val="9856"/>
            <filter val="11069"/>
            <filter val="12397"/>
            <filter val="9857"/>
            <filter val="11068"/>
            <filter val="9872"/>
            <filter val="11070"/>
            <filter val="9873"/>
            <filter val="9870"/>
            <filter val="11072"/>
            <filter val="9871"/>
            <filter val="11071"/>
            <filter val="9876"/>
            <filter val="11074"/>
            <filter val="9877"/>
            <filter val="9874"/>
            <filter val="11076"/>
            <filter val="9875"/>
            <filter val="11075"/>
            <filter val="10075-10232"/>
            <filter val="SEM NF"/>
            <filter val="9869"/>
            <filter val="11078"/>
            <filter val="11077"/>
            <filter val="9867"/>
            <filter val="9868"/>
            <filter val="11079"/>
            <filter val="9883"/>
            <filter val="9884"/>
            <filter val="12370"/>
            <filter val="9881"/>
            <filter val="10192"/>
            <filter val="9882"/>
            <filter val="9887"/>
            <filter val="10194"/>
            <filter val="11041"/>
            <filter val="9888"/>
            <filter val="10193"/>
            <filter val="11040"/>
            <filter val="9885"/>
            <filter val="11043"/>
            <filter val="9886"/>
            <filter val="11042"/>
            <filter val="12372"/>
            <filter val="9880"/>
            <filter val="11045"/>
            <filter val="12375"/>
            <filter val="9879"/>
            <filter val="11046"/>
            <filter val="11049"/>
            <filter val="11048"/>
            <filter val="9894"/>
            <filter val="9895"/>
            <filter val="11050"/>
            <filter val="9893"/>
            <filter val="9898"/>
            <filter val="11052"/>
            <filter val="9899"/>
            <filter val="11051"/>
            <filter val="9896"/>
            <filter val="9897"/>
            <filter val="11053"/>
            <filter val="11056"/>
            <filter val="12386"/>
            <filter val="11057"/>
            <filter val="10170"/>
            <filter val="10172"/>
            <filter val="12351"/>
            <filter val="10171"/>
            <filter val="12352"/>
            <filter val="10174"/>
            <filter val="10173"/>
            <filter val="12350"/>
            <filter val="10176"/>
            <filter val="11023"/>
            <filter val="12355"/>
            <filter val="10175"/>
            <filter val="11022"/>
            <filter val="12356"/>
            <filter val="10178"/>
            <filter val="11025"/>
            <filter val="12353"/>
            <filter val="10177"/>
            <filter val="11024"/>
            <filter val="12354"/>
            <filter val="11027"/>
            <filter val="12359"/>
            <filter val="10179"/>
            <filter val="11026"/>
            <filter val="11029"/>
            <filter val="12357"/>
            <filter val="11028"/>
            <filter val="12358"/>
            <filter val="10183"/>
            <filter val="11030"/>
            <filter val="10182"/>
            <filter val="10185"/>
            <filter val="11032"/>
            <filter val="10184"/>
            <filter val="11031"/>
            <filter val="11034"/>
            <filter val="12366"/>
            <filter val="11033"/>
            <filter val="12367"/>
            <filter val="11036"/>
            <filter val="12364"/>
            <filter val="11035"/>
            <filter val="11038"/>
            <filter val="11037"/>
            <filter val="12368"/>
            <filter val="11039"/>
            <filter val="12369"/>
            <filter val="10150"/>
            <filter val="11481"/>
            <filter val="11480"/>
            <filter val="10152"/>
            <filter val="11483"/>
            <filter val="10151"/>
            <filter val="11482"/>
            <filter val="10029-10278"/>
            <filter val="11008"/>
            <filter val="10154"/>
            <filter val="12333"/>
            <filter val="10153"/>
            <filter val="11000"/>
            <filter val="11484"/>
            <filter val="12334"/>
            <filter val="10156"/>
            <filter val="11003"/>
            <filter val="10155"/>
            <filter val="11002"/>
            <filter val="12332"/>
            <filter val="10158"/>
            <filter val="11005"/>
            <filter val="11489"/>
            <filter val="12337"/>
            <filter val="10157"/>
            <filter val="11004"/>
            <filter val="11488"/>
            <filter val="11007"/>
            <filter val="12335"/>
            <filter val="10159"/>
            <filter val="11006"/>
            <filter val="11490"/>
            <filter val="10161"/>
            <filter val="10160"/>
            <filter val="10163"/>
            <filter val="10162"/>
            <filter val="12344"/>
            <filter val="10164"/>
            <filter val="12345"/>
            <filter val="10166"/>
            <filter val="12343"/>
            <filter val="12348"/>
            <filter val="12349"/>
            <filter val="12346"/>
            <filter val="12347"/>
            <filter val="11902"/>
            <filter val="11904"/>
            <filter val="11905"/>
            <filter val="11907"/>
            <filter val="11909"/>
            <filter val="11911"/>
            <filter val="11910"/>
            <filter val="11913"/>
            <filter val="11912"/>
            <filter val="11914"/>
            <filter val="11916"/>
            <filter val="9810-10296"/>
            <filter val="10024-10233"/>
            <filter val="11081"/>
            <filter val="11080"/>
            <filter val="11083"/>
            <filter val="11082"/>
            <filter val="11085"/>
            <filter val="14111"/>
            <filter val="11084"/>
            <filter val="11087"/>
            <filter val="11086"/>
            <filter val="11088"/>
            <filter val="11092"/>
            <filter val="11094"/>
            <filter val="11093"/>
            <filter val="11096"/>
            <filter val="11095"/>
            <filter val="11098"/>
            <filter val="11097"/>
            <filter val="10778"/>
            <filter val="11625"/>
            <filter val="10777"/>
            <filter val="11624"/>
            <filter val="11627"/>
            <filter val="10779"/>
            <filter val="11626"/>
            <filter val="11629"/>
            <filter val="11628"/>
            <filter val="10770"/>
            <filter val="10772"/>
            <filter val="10771"/>
            <filter val="10774"/>
            <filter val="11621"/>
            <filter val="11620"/>
            <filter val="10776"/>
            <filter val="11623"/>
            <filter val="11622"/>
            <filter val="10305"/>
            <filter val="10789"/>
            <filter val="11636"/>
            <filter val="10304"/>
            <filter val="11635"/>
            <filter val="10307"/>
            <filter val="11638"/>
            <filter val="11637"/>
            <filter val="10309"/>
            <filter val="10308"/>
            <filter val="11639"/>
            <filter val="10781"/>
            <filter val="10780"/>
            <filter val="10783"/>
            <filter val="11630"/>
            <filter val="10782"/>
            <filter val="10785"/>
            <filter val="11632"/>
            <filter val="9763-10246"/>
            <filter val="11631"/>
            <filter val="10303"/>
            <filter val="10787"/>
            <filter val="11634"/>
            <filter val="10786"/>
            <filter val="11633"/>
            <filter val="11603"/>
            <filter val="10755"/>
            <filter val="11602"/>
            <filter val="11605"/>
            <filter val="11604"/>
            <filter val="11607"/>
            <filter val="10759"/>
            <filter val="11606"/>
            <filter val="11609"/>
            <filter val="11608"/>
            <filter val="10750"/>
            <filter val="10752"/>
            <filter val="10751"/>
            <filter val="10754"/>
            <filter val="11601"/>
            <filter val="10753"/>
            <filter val="11600"/>
            <filter val="10767"/>
            <filter val="11614"/>
            <filter val="10766"/>
            <filter val="11613"/>
            <filter val="10769"/>
            <filter val="11616"/>
            <filter val="11615"/>
            <filter val="11618"/>
            <filter val="11617"/>
            <filter val="11619"/>
            <filter val="10761"/>
            <filter val="10760"/>
            <filter val="11610"/>
            <filter val="10762"/>
            <filter val="10765"/>
            <filter val="10764"/>
            <filter val="11611"/>
            <filter val="10734"/>
            <filter val="10733"/>
            <filter val="10735"/>
            <filter val="10737"/>
            <filter val="10730"/>
            <filter val="10732"/>
            <filter val="10744"/>
            <filter val="10747"/>
            <filter val="10748"/>
            <filter val="10741"/>
            <filter val="10742"/>
            <filter val="10708"/>
            <filter val="10712"/>
            <filter val="10714"/>
            <filter val="10713"/>
            <filter val="10716"/>
            <filter val="10715"/>
            <filter val="10717"/>
            <filter val="10719"/>
            <filter val="10723"/>
            <filter val="10722"/>
            <filter val="10725"/>
            <filter val="10726"/>
            <filter val="10729"/>
            <filter val="10728"/>
            <filter val="10721"/>
            <filter val="10720"/>
            <filter val="10370"/>
            <filter val="10372"/>
            <filter val="10371"/>
            <filter val="11229"/>
            <filter val="11228"/>
            <filter val="10374"/>
            <filter val="12554"/>
            <filter val="10373"/>
            <filter val="11220"/>
            <filter val="10376"/>
            <filter val="10375"/>
            <filter val="10378"/>
            <filter val="11225"/>
            <filter val="10377"/>
            <filter val="11227"/>
            <filter val="10379"/>
            <filter val="11226"/>
            <filter val="10381"/>
            <filter val="10380"/>
            <filter val="10383"/>
            <filter val="10382"/>
            <filter val="2045"/>
            <filter val="2043"/>
            <filter val="2042"/>
            <filter val="9908"/>
            <filter val="9909"/>
            <filter val="10385"/>
            <filter val="11232"/>
            <filter val="10384"/>
            <filter val="11231"/>
            <filter val="9900"/>
            <filter val="10387"/>
            <filter val="11234"/>
            <filter val="11233"/>
            <filter val="9906"/>
            <filter val="10389"/>
            <filter val="11236"/>
            <filter val="9907"/>
            <filter val="10388"/>
            <filter val="11235"/>
            <filter val="9904"/>
            <filter val="11238"/>
            <filter val="9905"/>
            <filter val="11237"/>
            <filter val="9921"/>
            <filter val="11681"/>
            <filter val="11680"/>
            <filter val="11207"/>
            <filter val="10359"/>
            <filter val="11206"/>
            <filter val="11209"/>
            <filter val="11208"/>
            <filter val="10352"/>
            <filter val="11683"/>
            <filter val="11682"/>
            <filter val="10354"/>
            <filter val="11201"/>
            <filter val="11685"/>
            <filter val="9912"/>
            <filter val="10353"/>
            <filter val="11200"/>
            <filter val="11684"/>
            <filter val="9917"/>
            <filter val="10356"/>
            <filter val="11687"/>
            <filter val="9918"/>
            <filter val="10355"/>
            <filter val="11202"/>
            <filter val="11686"/>
            <filter val="10358"/>
            <filter val="11205"/>
            <filter val="11689"/>
            <filter val="9916"/>
            <filter val="10357"/>
            <filter val="11688"/>
            <filter val="9931"/>
            <filter val="11690"/>
            <filter val="11692"/>
            <filter val="9930"/>
            <filter val="10360"/>
            <filter val="11691"/>
            <filter val="2066"/>
            <filter val="11218"/>
            <filter val="11217"/>
            <filter val="12548"/>
            <filter val="11219"/>
            <filter val="9924"/>
            <filter val="10363"/>
            <filter val="11210"/>
            <filter val="11694"/>
            <filter val="9925"/>
            <filter val="10362"/>
            <filter val="9922"/>
            <filter val="10365"/>
            <filter val="11696"/>
            <filter val="9923"/>
            <filter val="10364"/>
            <filter val="11211"/>
            <filter val="11695"/>
            <filter val="9928"/>
            <filter val="11698"/>
            <filter val="9929"/>
            <filter val="10366"/>
            <filter val="11213"/>
            <filter val="11697"/>
            <filter val="10369"/>
            <filter val="11216"/>
            <filter val="9927"/>
            <filter val="10368"/>
            <filter val="12545"/>
            <filter val="11215"/>
            <filter val="11699"/>
            <filter val="9942"/>
            <filter val="9943"/>
            <filter val="11669"/>
            <filter val="10337"/>
            <filter val="11668"/>
            <filter val="10339"/>
            <filter val="9935"/>
            <filter val="11661"/>
            <filter val="9936"/>
            <filter val="12510"/>
            <filter val="9933"/>
            <filter val="11663"/>
            <filter val="9934"/>
            <filter val="11662"/>
            <filter val="10334"/>
            <filter val="10333"/>
            <filter val="11664"/>
            <filter val="9937"/>
            <filter val="10336"/>
            <filter val="11667"/>
            <filter val="9938"/>
            <filter val="11666"/>
            <filter val="9950"/>
            <filter val="9953"/>
            <filter val="9954"/>
            <filter val="9951"/>
            <filter val="11670"/>
            <filter val="9952"/>
            <filter val="10349"/>
            <filter val="10348"/>
            <filter val="11672"/>
            <filter val="9947"/>
            <filter val="11671"/>
            <filter val="9944"/>
            <filter val="10343"/>
            <filter val="11674"/>
            <filter val="9945"/>
            <filter val="10342"/>
            <filter val="10345"/>
            <filter val="10344"/>
            <filter val="11675"/>
            <filter val="9948"/>
            <filter val="10347"/>
            <filter val="11678"/>
            <filter val="9949"/>
            <filter val="10346"/>
            <filter val="9960"/>
            <filter val="9961"/>
            <filter val="9964"/>
            <filter val="9965"/>
            <filter val="9962"/>
            <filter val="10790"/>
            <filter val="9963"/>
            <filter val="10027 - 10224"/>
            <filter val="11647"/>
            <filter val="10315"/>
            <filter val="10799"/>
            <filter val="11646"/>
            <filter val="10318"/>
            <filter val="11649"/>
            <filter val="10317"/>
            <filter val="11648"/>
            <filter val="10319"/>
            <filter val="9957"/>
            <filter val="10792"/>
            <filter val="9958"/>
            <filter val="10791"/>
            <filter val="9955"/>
            <filter val="10310"/>
            <filter val="10794"/>
            <filter val="11641"/>
            <filter val="9956"/>
            <filter val="11640"/>
            <filter val="10312"/>
            <filter val="10796"/>
            <filter val="11643"/>
            <filter val="10311"/>
            <filter val="10795"/>
            <filter val="11642"/>
            <filter val="10314"/>
            <filter val="11645"/>
            <filter val="10313"/>
            <filter val="11644"/>
            <filter val="9972"/>
            <filter val="9970"/>
            <filter val="9975"/>
            <filter val="9976"/>
            <filter val="9974"/>
            <filter val="10326"/>
            <filter val="11657"/>
            <filter val="10328"/>
            <filter val="11659"/>
            <filter val="12509"/>
            <filter val="9968"/>
            <filter val="11650"/>
            <filter val="9969"/>
            <filter val="1908 PJ"/>
            <filter val="9966"/>
            <filter val="10321"/>
            <filter val="11652"/>
            <filter val="9967"/>
            <filter val="10320"/>
            <filter val="11651"/>
            <filter val="10323"/>
            <filter val="11654"/>
            <filter val="10322"/>
            <filter val="11653"/>
            <filter val="10325"/>
            <filter val="11656"/>
            <filter val="10324"/>
            <filter val="12501"/>
            <filter val="11655"/>
            <filter val="9982"/>
            <filter val="11180"/>
            <filter val="9983"/>
            <filter val="10030-10226"/>
            <filter val="9980"/>
            <filter val="9981"/>
            <filter val="11184"/>
            <filter val="9987"/>
            <filter val="11183"/>
            <filter val="9984"/>
            <filter val="11186"/>
            <filter val="9985"/>
            <filter val="9979"/>
            <filter val="11188"/>
            <filter val="11187"/>
            <filter val="9977"/>
            <filter val="9978"/>
            <filter val="11189"/>
            <filter val="9993"/>
            <filter val="11191"/>
            <filter val="9991"/>
            <filter val="11193"/>
            <filter val="12040"/>
            <filter val="11192"/>
            <filter val="11195"/>
            <filter val="12042"/>
            <filter val="11194"/>
            <filter val="12041"/>
            <filter val="11197"/>
            <filter val="11196"/>
            <filter val="11199"/>
            <filter val="12046"/>
            <filter val="11198"/>
            <filter val="12045"/>
            <filter val="9988"/>
            <filter val="13376"/>
            <filter val="12048"/>
            <filter val="12047"/>
            <filter val="12049"/>
            <filter val="12491"/>
            <filter val="11160"/>
            <filter val="11162"/>
            <filter val="27"/>
            <filter val="11161"/>
            <filter val="11163"/>
            <filter val="11166"/>
            <filter val="10035-10218"/>
            <filter val="11165"/>
            <filter val="9999"/>
            <filter val="12015"/>
            <filter val="12017"/>
            <filter val="12016"/>
            <filter val="12018"/>
            <filter val="11171"/>
            <filter val="11170"/>
            <filter val="11173"/>
            <filter val="12020"/>
            <filter val="11172"/>
            <filter val="11175"/>
            <filter val="12022"/>
            <filter val="11174"/>
            <filter val="12021"/>
            <filter val="11177"/>
            <filter val="11176"/>
            <filter val="12023"/>
            <filter val="11179"/>
            <filter val="11178"/>
            <filter val="10291"/>
            <filter val="10290"/>
            <filter val="10293"/>
            <filter val="11142"/>
            <filter val="10294"/>
            <filter val="11144"/>
            <filter val="11143"/>
            <filter val="12477"/>
            <filter val="10299"/>
            <filter val="11145"/>
            <filter val="11148"/>
            <filter val="11151"/>
            <filter val="11150"/>
            <filter val="11153"/>
            <filter val="12000"/>
            <filter val="12009"/>
            <filter val="11155"/>
            <filter val="11154"/>
            <filter val="12001"/>
            <filter val="10191-"/>
            <filter val="11157"/>
            <filter val="12003"/>
            <filter val="12486"/>
            <filter val="11159"/>
            <filter val="12006"/>
            <filter val="11158"/>
            <filter val="12005"/>
            <filter val="12008"/>
            <filter val="12007"/>
            <filter val="10271"/>
            <filter val="10270"/>
            <filter val="10272"/>
            <filter val="11129"/>
            <filter val="10275"/>
            <filter val="11122"/>
            <filter val="10274"/>
            <filter val="11121"/>
            <filter val="11124"/>
            <filter val="11123"/>
            <filter val="10279"/>
            <filter val="11126"/>
            <filter val="11125"/>
            <filter val="11128"/>
            <filter val="11127"/>
            <filter val="10280"/>
            <filter val="10282"/>
            <filter val="10281"/>
            <filter val="10284"/>
            <filter val="11131"/>
            <filter val="10283"/>
            <filter val="11130"/>
            <filter val="11133"/>
            <filter val="11132"/>
            <filter val="10288"/>
            <filter val="11135"/>
            <filter val="10287"/>
            <filter val="11134"/>
            <filter val="11137"/>
            <filter val="10289"/>
            <filter val="11136"/>
            <filter val="11139"/>
            <filter val="11138"/>
            <filter val="9767-10223"/>
            <filter val="15151"/>
            <filter val="10701"/>
            <filter val="10700"/>
            <filter val="10703"/>
            <filter val="10702"/>
            <filter val="10704"/>
            <filter val="10707"/>
            <filter val="12093"/>
            <filter val="12092"/>
            <filter val="12098"/>
            <filter val="12091"/>
            <filter val="12090"/>
            <filter val="1914 - PJ"/>
            <filter val="12073"/>
            <filter val="12072"/>
            <filter val="12075"/>
            <filter val="12074"/>
            <filter val="12077"/>
            <filter val="12076"/>
            <filter val="10031-10243"/>
            <filter val="12079"/>
            <filter val="12084"/>
            <filter val="12086"/>
            <filter val="12088"/>
            <filter val="12087"/>
            <filter val="OBS: Aguardar"/>
            <filter val="12089"/>
            <filter val="9764-10273"/>
            <filter val="12050"/>
            <filter val="12053"/>
            <filter val="12055"/>
            <filter val="12054"/>
            <filter val="12058"/>
            <filter val="12062"/>
            <filter val="12064"/>
            <filter val="12063"/>
            <filter val="12066"/>
            <filter val="12065"/>
            <filter val="12067"/>
            <filter val="12069"/>
            <filter val="10899"/>
            <filter val="10414"/>
            <filter val="10898"/>
            <filter val="10417"/>
            <filter val="11748"/>
            <filter val="11747"/>
            <filter val="10419"/>
            <filter val="10418"/>
            <filter val="10891"/>
            <filter val="10890"/>
            <filter val="10893"/>
            <filter val="10892"/>
            <filter val="10411"/>
            <filter val="10895"/>
            <filter val="11742"/>
            <filter val="10410"/>
            <filter val="10894"/>
            <filter val="11741"/>
            <filter val="10413"/>
            <filter val="10897"/>
            <filter val="10412"/>
            <filter val="10896"/>
            <filter val="11743"/>
            <filter val="10426"/>
            <filter val="11757"/>
            <filter val="10425"/>
            <filter val="11756"/>
            <filter val="10427"/>
            <filter val="10429"/>
            <filter val="10420"/>
            <filter val="10422"/>
            <filter val="10424"/>
            <filter val="10877"/>
            <filter val="11724"/>
            <filter val="10876"/>
            <filter val="11723"/>
            <filter val="10879"/>
            <filter val="11726"/>
            <filter val="10878"/>
            <filter val="11725"/>
            <filter val="11728"/>
            <filter val="11727"/>
            <filter val="11729"/>
            <filter val="10871"/>
            <filter val="10870"/>
            <filter val="10873"/>
            <filter val="11720"/>
            <filter val="10872"/>
            <filter val="11722"/>
            <filter val="10875"/>
            <filter val="10874"/>
            <filter val="11721"/>
            <filter val="10188-10415"/>
            <filter val="10404"/>
            <filter val="11735"/>
            <filter val="10028-10230"/>
            <filter val="10403"/>
            <filter val="11734"/>
            <filter val="10405"/>
            <filter val="11736"/>
            <filter val="10408"/>
            <filter val="10407"/>
            <filter val="11738"/>
            <filter val="10409"/>
            <filter val="10880"/>
            <filter val="9862-10216"/>
            <filter val="10882"/>
            <filter val="10881"/>
            <filter val="10400"/>
            <filter val="10884"/>
            <filter val="11731"/>
            <filter val="10883"/>
            <filter val="11730"/>
            <filter val="10402"/>
            <filter val="11733"/>
            <filter val="10885"/>
            <filter val="11732"/>
            <filter val="10855"/>
            <filter val="11702"/>
            <filter val="10854"/>
            <filter val="11701"/>
            <filter val="11704"/>
            <filter val="10856"/>
            <filter val="11703"/>
            <filter val="10859"/>
            <filter val="11706"/>
            <filter val="10858"/>
            <filter val="11705"/>
            <filter val="11708"/>
            <filter val="11707"/>
            <filter val="9811-10214"/>
            <filter val="10851"/>
            <filter val="10853"/>
            <filter val="11700"/>
            <filter val="10852"/>
            <filter val="11709"/>
            <filter val="10866"/>
            <filter val="10865"/>
            <filter val="10868"/>
            <filter val="10869"/>
            <filter val="11716"/>
            <filter val="11718"/>
            <filter val="10860"/>
            <filter val="10862"/>
            <filter val="10861"/>
            <filter val="11711"/>
            <filter val="10863"/>
            <filter val="11710"/>
            <filter val="10829"/>
            <filter val="10833"/>
            <filter val="10832"/>
            <filter val="10835"/>
            <filter val="10837"/>
            <filter val="10836"/>
            <filter val="10839"/>
            <filter val="10838"/>
            <filter val="10831"/>
            <filter val="10830"/>
            <filter val="10844"/>
            <filter val="10843"/>
            <filter val="10846"/>
            <filter val="10845"/>
            <filter val="10849"/>
            <filter val="541 AK"/>
            <filter val="10840"/>
            <filter val="10842"/>
            <filter val="10841"/>
            <filter val="10491"/>
            <filter val="10493"/>
            <filter val="11340"/>
            <filter val="10492"/>
            <filter val="10019"/>
            <filter val="10018"/>
            <filter val="11349"/>
            <filter val="10011"/>
            <filter val="10495"/>
            <filter val="11342"/>
            <filter val="10010"/>
            <filter val="10494"/>
            <filter val="11341"/>
            <filter val="10013"/>
            <filter val="10497"/>
            <filter val="11344"/>
            <filter val="10012"/>
            <filter val="10496"/>
            <filter val="10015"/>
            <filter val="10499"/>
            <filter val="11346"/>
            <filter val="10014"/>
            <filter val="10498"/>
            <filter val="11345"/>
            <filter val="10017"/>
            <filter val="10016"/>
            <filter val="11347"/>
            <filter val="10020"/>
            <filter val="11350"/>
            <filter val="12207"/>
            <filter val="12209"/>
            <filter val="10022"/>
            <filter val="11353"/>
            <filter val="12200"/>
            <filter val="10021"/>
            <filter val="11355"/>
            <filter val="12202"/>
            <filter val="10023"/>
            <filter val="11356"/>
            <filter val="12203"/>
            <filter val="12206"/>
            <filter val="12205"/>
            <filter val="10471"/>
            <filter val="11328"/>
            <filter val="11327"/>
            <filter val="11329"/>
            <filter val="11320"/>
            <filter val="10472"/>
            <filter val="10475"/>
            <filter val="11322"/>
            <filter val="10474"/>
            <filter val="11321"/>
            <filter val="10477"/>
            <filter val="11324"/>
            <filter val="10476"/>
            <filter val="11323"/>
            <filter val="10479"/>
            <filter val="11326"/>
            <filter val="10478"/>
            <filter val="11325"/>
            <filter val="10480"/>
            <filter val="10482"/>
            <filter val="10481"/>
            <filter val="10008"/>
            <filter val="11339"/>
            <filter val="10007"/>
            <filter val="10009"/>
            <filter val="10000"/>
            <filter val="10484"/>
            <filter val="11331"/>
            <filter val="10483"/>
            <filter val="11330"/>
            <filter val="10002"/>
            <filter val="10486"/>
            <filter val="10001"/>
            <filter val="10485"/>
            <filter val="11332"/>
            <filter val="10004"/>
            <filter val="10003"/>
            <filter val="10487"/>
            <filter val="10005"/>
            <filter val="10489"/>
            <filter val="12666"/>
            <filter val="11780"/>
            <filter val="10459"/>
            <filter val="10458"/>
            <filter val="11789"/>
            <filter val="11309"/>
            <filter val="1907 PJ"/>
            <filter val="10451"/>
            <filter val="11782"/>
            <filter val="11781"/>
            <filter val="10453"/>
            <filter val="11784"/>
            <filter val="10452"/>
            <filter val="11783"/>
            <filter val="10455"/>
            <filter val="11302"/>
            <filter val="11786"/>
            <filter val="10454"/>
            <filter val="11301"/>
            <filter val="12635"/>
            <filter val="11785"/>
            <filter val="11788"/>
            <filter val="10456"/>
            <filter val="11787"/>
            <filter val="10460"/>
            <filter val="11317"/>
            <filter val="11318"/>
            <filter val="10462"/>
            <filter val="11793"/>
            <filter val="10461"/>
            <filter val="11792"/>
            <filter val="10464"/>
            <filter val="11795"/>
            <filter val="11794"/>
            <filter val="10466"/>
            <filter val="11313"/>
            <filter val="12645"/>
            <filter val="11797"/>
            <filter val="10465"/>
            <filter val="11312"/>
            <filter val="11796"/>
            <filter val="11315"/>
            <filter val="11799"/>
            <filter val="10467"/>
            <filter val="11314"/>
            <filter val="11798"/>
            <filter val="11,882"/>
            <filter val="1913 - PJ"/>
            <filter val="10437"/>
            <filter val="11768"/>
            <filter val="10436"/>
            <filter val="11767"/>
            <filter val="10439"/>
            <filter val="10438"/>
            <filter val="11769"/>
            <filter val="11760"/>
            <filter val="10431"/>
            <filter val="11762"/>
            <filter val="10430"/>
            <filter val="11764"/>
            <filter val="11763"/>
            <filter val="10435"/>
            <filter val="11766"/>
            <filter val="11765"/>
            <filter val="10448"/>
            <filter val="11779"/>
            <filter val="10447"/>
            <filter val="10449"/>
            <filter val="NF DE BONIFICAÇÃO"/>
            <filter val="10440"/>
            <filter val="11771"/>
            <filter val="11770"/>
            <filter val="10442"/>
            <filter val="11773"/>
            <filter val="10441"/>
            <filter val="11772"/>
            <filter val="11775"/>
            <filter val="10443"/>
            <filter val="11774"/>
            <filter val="11777"/>
            <filter val="11776"/>
            <filter val="12150"/>
            <filter val="12152"/>
            <filter val="12151"/>
            <filter val="12154"/>
            <filter val="12153"/>
            <filter val="12156"/>
            <filter val="12155"/>
            <filter val="12158"/>
            <filter val="12157"/>
            <filter val="12159"/>
            <filter val="11281"/>
            <filter val="11280"/>
            <filter val="11283"/>
            <filter val="11282"/>
            <filter val="12132"/>
            <filter val="12131"/>
            <filter val="11284"/>
            <filter val="11287"/>
            <filter val="12134"/>
            <filter val="11286"/>
            <filter val="12133"/>
            <filter val="12136"/>
            <filter val="12137"/>
            <filter val="11290"/>
            <filter val="11292"/>
            <filter val="11291"/>
            <filter val="12141"/>
            <filter val="11293"/>
            <filter val="12140"/>
            <filter val="12143"/>
            <filter val="11295"/>
            <filter val="12145"/>
            <filter val="12144"/>
            <filter val="12147"/>
            <filter val="12146"/>
            <filter val="12149"/>
            <filter val="12148"/>
            <filter val="11261"/>
            <filter val="9668"/>
            <filter val="11260"/>
            <filter val="11263"/>
            <filter val="12119"/>
            <filter val="11265"/>
            <filter val="11264"/>
            <filter val="12111"/>
            <filter val="11267"/>
            <filter val="11266"/>
            <filter val="11269"/>
            <filter val="12116"/>
            <filter val="11268"/>
            <filter val="12115"/>
            <filter val="12118"/>
            <filter val="12117"/>
            <filter val="11270"/>
            <filter val="9678"/>
            <filter val="11272"/>
            <filter val="11271"/>
            <filter val="11274"/>
            <filter val="12121"/>
            <filter val="9677"/>
            <filter val="11273"/>
            <filter val="1915 - PJ"/>
            <filter val="11276"/>
            <filter val="11275"/>
            <filter val="11278"/>
            <filter val="11277"/>
            <filter val="11279"/>
            <filter val="9686"/>
            <filter val="9683"/>
            <filter val="10390"/>
            <filter val="10392"/>
            <filter val="11241"/>
            <filter val="11240"/>
            <filter val="9681"/>
            <filter val="9682"/>
            <filter val="9813-10212"/>
            <filter val="11242"/>
            <filter val="10398"/>
            <filter val="11245"/>
            <filter val="11244"/>
            <filter val="11247"/>
            <filter val="11246"/>
            <filter val="11249"/>
            <filter val="11248"/>
            <filter val="9696"/>
            <filter val="9697"/>
            <filter val="9694"/>
            <filter val="9695"/>
            <filter val="11250"/>
            <filter val="12580"/>
            <filter val="9698"/>
            <filter val="11252"/>
            <filter val="9699"/>
            <filter val="11251"/>
            <filter val="9692"/>
            <filter val="9693"/>
            <filter val="9691"/>
            <filter val="11254"/>
            <filter val="11253"/>
            <filter val="11255"/>
            <filter val="11258"/>
            <filter val="11257"/>
            <filter val="12107"/>
            <filter val="10811"/>
            <filter val="10810"/>
            <filter val="10813"/>
            <filter val="10812"/>
            <filter val="10815"/>
            <filter val="10814"/>
            <filter val="10817"/>
            <filter val="10816"/>
            <filter val="10819"/>
            <filter val="10818"/>
            <filter val="10822"/>
            <filter val="10821"/>
            <filter val="10824"/>
            <filter val="10823"/>
            <filter val="10826"/>
            <filter val="10959-10985"/>
            <filter val="10825"/>
            <filter val="10828"/>
            <filter val="10827"/>
            <filter val="10820"/>
            <filter val="10800"/>
            <filter val="11118/nf conserto 11394"/>
            <filter val="10801"/>
            <filter val="10804"/>
            <filter val="10805"/>
            <filter val="12191"/>
            <filter val="12194"/>
            <filter val="12193"/>
            <filter val="12196"/>
            <filter val="12198"/>
            <filter val="12197"/>
            <filter val="12190"/>
            <filter val="10188-10473"/>
            <filter val="-11496"/>
            <filter val="10026-10234"/>
            <filter val="12172"/>
            <filter val="12171"/>
            <filter val="12174"/>
            <filter val="12173"/>
            <filter val="12176"/>
            <filter val="12175"/>
            <filter val="12178"/>
            <filter val="12179"/>
            <filter val="1909 - PJ"/>
            <filter val="12186"/>
            <filter val="10536"/>
            <filter val="11867"/>
            <filter val="11866"/>
            <filter val="11869"/>
            <filter val="10537"/>
            <filter val="11868"/>
            <filter val="10530"/>
            <filter val="11860"/>
            <filter val="10531"/>
            <filter val="11865"/>
            <filter val="10533"/>
            <filter val="11864"/>
            <filter val="10547"/>
            <filter val="11878"/>
            <filter val="10546"/>
            <filter val="11877"/>
            <filter val="10549"/>
            <filter val="10548"/>
            <filter val="11879"/>
            <filter val="11870"/>
            <filter val="10541"/>
            <filter val="11872"/>
            <filter val="10543"/>
            <filter val="11874"/>
            <filter val="11873"/>
            <filter val="10545"/>
            <filter val="11876"/>
            <filter val="10544"/>
            <filter val="11875"/>
            <filter val="10514"/>
            <filter val="10998"/>
            <filter val="11845"/>
            <filter val="10513"/>
            <filter val="11844"/>
            <filter val="11847"/>
            <filter val="10999"/>
            <filter val="11849"/>
            <filter val="10517"/>
            <filter val="11848"/>
            <filter val="10992"/>
            <filter val="10510"/>
            <filter val="10994"/>
            <filter val="11841"/>
            <filter val="10993"/>
            <filter val="11840"/>
            <filter val="10512"/>
            <filter val="10996"/>
            <filter val="11843"/>
            <filter val="10511"/>
            <filter val="10995"/>
            <filter val="9814-10249"/>
            <filter val="11856"/>
            <filter val="12705"/>
            <filter val="10524"/>
            <filter val="11855"/>
            <filter val="11858"/>
            <filter val="10526"/>
            <filter val="11857"/>
            <filter val="10529"/>
            <filter val="10528"/>
            <filter val="11859"/>
            <filter val="11850"/>
            <filter val="11852"/>
            <filter val="11851"/>
            <filter val="11854"/>
            <filter val="11853"/>
            <filter val="9687-10250"/>
            <filter val="11819"/>
            <filter val="10976"/>
            <filter val="11823"/>
            <filter val="10975"/>
            <filter val="11822"/>
            <filter val="10978"/>
            <filter val="11825"/>
            <filter val="10977"/>
            <filter val="11824"/>
            <filter val="11827"/>
            <filter val="10979"/>
            <filter val="11826"/>
            <filter val="11829"/>
            <filter val="11828"/>
            <filter val="10970"/>
            <filter val="10972"/>
            <filter val="10971"/>
            <filter val="10974"/>
            <filter val="11821"/>
            <filter val="10973"/>
            <filter val="11820"/>
            <filter val="10503"/>
            <filter val="10502"/>
            <filter val="10986"/>
            <filter val="10989"/>
            <filter val="10504"/>
            <filter val="10988"/>
            <filter val="10507"/>
            <filter val="11838"/>
            <filter val="10506"/>
            <filter val="11837"/>
            <filter val="10509"/>
            <filter val="11839"/>
            <filter val="10981"/>
            <filter val="10980"/>
            <filter val="10983"/>
            <filter val="11830"/>
            <filter val="10982"/>
            <filter val="10501"/>
            <filter val="10500"/>
            <filter val="10984"/>
            <filter val="11831"/>
            <filter val="10954"/>
            <filter val="11801"/>
            <filter val="10953"/>
            <filter val="11800"/>
            <filter val="10956"/>
            <filter val="11803"/>
            <filter val="10955"/>
            <filter val="11802"/>
            <filter val="10958"/>
            <filter val="11805"/>
            <filter val="10957"/>
            <filter val="11804"/>
            <filter val="11807"/>
            <filter val="11806"/>
            <filter val="10950"/>
            <filter val="10952"/>
            <filter val="10951"/>
            <filter val="9705-9757"/>
            <filter val="11809"/>
            <filter val="11808"/>
            <filter val="10965"/>
            <filter val="11812"/>
            <filter val="10964"/>
            <filter val="11811"/>
            <filter val="10967"/>
            <filter val="11814"/>
            <filter val="10966"/>
            <filter val="11813"/>
            <filter val="10969"/>
            <filter val="11816"/>
            <filter val="10968"/>
            <filter val="11815"/>
            <filter val="11818"/>
            <filter val="11817"/>
            <filter val="10961"/>
            <filter val="10960"/>
            <filter val="10963"/>
            <filter val="11810"/>
            <filter val="10962"/>
            <filter val="10130"/>
            <filter val="11461"/>
            <filter val="11460"/>
            <filter val="12318"/>
            <filter val="10139"/>
            <filter val="12317"/>
            <filter val="12310"/>
            <filter val="10131"/>
            <filter val="11462"/>
            <filter val="12312"/>
            <filter val="12311"/>
            <filter val="10136"/>
            <filter val="11467"/>
            <filter val="12314"/>
            <filter val="10135"/>
            <filter val="12313"/>
            <filter val="10138"/>
            <filter val="11469"/>
            <filter val="12316"/>
            <filter val="10137"/>
            <filter val="11468"/>
            <filter val="12315"/>
            <filter val="11470"/>
            <filter val="11472"/>
            <filter val="10141"/>
            <filter val="10140"/>
            <filter val="11471"/>
            <filter val="12329"/>
            <filter val="10143"/>
            <filter val="11474"/>
            <filter val="10142"/>
            <filter val="11473"/>
            <filter val="10145"/>
            <filter val="10144"/>
            <filter val="10147"/>
            <filter val="12325"/>
            <filter val="10146"/>
            <filter val="12324"/>
            <filter val="10149"/>
            <filter val="12327"/>
            <filter val="1906 PJ"/>
            <filter val="10148"/>
            <filter val="12326"/>
            <filter val="10590"/>
            <filter val="10592"/>
            <filter val="10591"/>
            <filter val="10118"/>
            <filter val="11449"/>
            <filter val="10117"/>
            <filter val="11448"/>
            <filter val="10119"/>
            <filter val="10110"/>
            <filter val="11441"/>
            <filter val="10593"/>
            <filter val="11440"/>
            <filter val="10112"/>
            <filter val="10596"/>
            <filter val="11443"/>
            <filter val="10111"/>
            <filter val="10595"/>
            <filter val="11442"/>
            <filter val="10598"/>
            <filter val="11445"/>
            <filter val="10113"/>
            <filter val="10597"/>
            <filter val="11444"/>
            <filter val="10116"/>
            <filter val="11447"/>
            <filter val="10115"/>
            <filter val="10599"/>
            <filter val="11446"/>
            <filter val="11450"/>
            <filter val="10129"/>
            <filter val="12307"/>
            <filter val="10128"/>
            <filter val="11459"/>
            <filter val="12306"/>
            <filter val="12309"/>
            <filter val="12308"/>
            <filter val="10121"/>
            <filter val="11452"/>
            <filter val="10120"/>
            <filter val="10123"/>
            <filter val="11454"/>
            <filter val="12301"/>
            <filter val="10122"/>
            <filter val="11453"/>
            <filter val="12300"/>
            <filter val="10125"/>
            <filter val="11456"/>
            <filter val="12303"/>
            <filter val="11455"/>
            <filter val="12302"/>
            <filter val="10127"/>
            <filter val="11458"/>
            <filter val="12305"/>
            <filter val="10126"/>
            <filter val="11457"/>
            <filter val="10570"/>
            <filter val="9688-10219"/>
            <filter val="11427"/>
            <filter val="11426"/>
            <filter val="11429"/>
            <filter val="11428"/>
            <filter val="10572"/>
            <filter val="10571"/>
            <filter val="10574"/>
            <filter val="11421"/>
            <filter val="10573"/>
            <filter val="11422"/>
            <filter val="11425"/>
            <filter val="11424"/>
            <filter val="9711"/>
            <filter val="9712"/>
            <filter val="10581"/>
            <filter val="9710"/>
            <filter val="10107"/>
            <filter val="11438"/>
            <filter val="10106"/>
            <filter val="11437"/>
            <filter val="10109"/>
            <filter val="10108"/>
            <filter val="11439"/>
            <filter val="11430"/>
            <filter val="10582"/>
            <filter val="9702"/>
            <filter val="10585"/>
            <filter val="11432"/>
            <filter val="12760"/>
            <filter val="9703"/>
            <filter val="11431"/>
            <filter val="9708"/>
            <filter val="10103"/>
            <filter val="10587"/>
            <filter val="9709"/>
            <filter val="10102"/>
            <filter val="10105"/>
            <filter val="11436"/>
            <filter val="9707"/>
            <filter val="10104"/>
            <filter val="10588"/>
            <filter val="9723"/>
            <filter val="9720"/>
            <filter val="10558"/>
            <filter val="11405"/>
            <filter val="11889"/>
            <filter val="10557"/>
            <filter val="11404"/>
            <filter val="11888"/>
            <filter val="12735"/>
            <filter val="10559"/>
            <filter val="11406"/>
            <filter val="9715"/>
            <filter val="10550"/>
            <filter val="11881"/>
            <filter val="9716"/>
            <filter val="9713"/>
            <filter val="10552"/>
            <filter val="11883"/>
            <filter val="9714"/>
            <filter val="10551"/>
            <filter val="9719"/>
            <filter val="11401"/>
            <filter val="11885"/>
            <filter val="10553"/>
            <filter val="11400"/>
            <filter val="9717"/>
            <filter val="11403"/>
            <filter val="9718"/>
            <filter val="10555"/>
            <filter val="11402"/>
            <filter val="11886"/>
            <filter val="9733"/>
            <filter val="9734"/>
            <filter val="11890"/>
            <filter val="9732"/>
            <filter val="10569"/>
            <filter val="11416"/>
            <filter val="11418"/>
            <filter val="11417"/>
            <filter val="11419"/>
            <filter val="10561"/>
            <filter val="11892"/>
            <filter val="9727"/>
            <filter val="10560"/>
            <filter val="11891"/>
            <filter val="9724"/>
            <filter val="11410"/>
            <filter val="9725"/>
            <filter val="10562"/>
            <filter val="10565"/>
            <filter val="11412"/>
            <filter val="10564"/>
            <filter val="11411"/>
            <filter val="9728"/>
            <filter val="10567"/>
            <filter val="9729"/>
            <filter val="10566"/>
            <filter val="11413"/>
            <filter val="9740"/>
            <filter val="10091"/>
            <filter val="9741"/>
            <filter val="10090"/>
            <filter val="10093"/>
            <filter val="12271"/>
            <filter val="10092"/>
            <filter val="12270"/>
            <filter val="9744"/>
            <filter val="10095"/>
            <filter val="12273"/>
            <filter val="9745"/>
            <filter val="10094"/>
            <filter val="12272"/>
            <filter val="9742"/>
            <filter val="12275"/>
            <filter val="9743"/>
            <filter val="10096"/>
            <filter val="12274"/>
            <filter val="12277"/>
            <filter val="9735"/>
            <filter val="9736"/>
            <filter val="12278"/>
            <filter val="9751"/>
            <filter val="12280"/>
            <filter val="9752"/>
            <filter val="9750"/>
            <filter val="12281"/>
            <filter val="9755"/>
            <filter val="12284"/>
            <filter val="9756"/>
            <filter val="9753"/>
            <filter val="12286"/>
            <filter val="9754"/>
            <filter val="12285"/>
            <filter val="9748"/>
            <filter val="12288"/>
            <filter val="9749"/>
            <filter val="12287"/>
            <filter val="12289"/>
            <filter val="9760"/>
            <filter val="10071"/>
            <filter val="10070"/>
            <filter val="10073"/>
            <filter val="10072"/>
            <filter val="12250"/>
            <filter val="10074"/>
            <filter val="12252"/>
            <filter val="9759"/>
            <filter val="12255"/>
            <filter val="12254"/>
            <filter val="12257"/>
            <filter val="10079"/>
            <filter val="9758"/>
            <filter val="10078"/>
            <filter val="12256"/>
            <filter val="12259"/>
            <filter val="9763- 10421"/>
            <filter val="12258"/>
            <filter val="9773"/>
            <filter val="10080"/>
            <filter val="9774"/>
            <filter val="9771"/>
            <filter val="10082"/>
            <filter val="9772"/>
            <filter val="10081"/>
            <filter val="12262"/>
            <filter val="9778"/>
            <filter val="12261"/>
            <filter val="9775"/>
            <filter val="10086"/>
            <filter val="12264"/>
            <filter val="10085"/>
            <filter val="12263"/>
            <filter val="9770"/>
            <filter val="12266"/>
            <filter val="10087"/>
            <filter val="12265"/>
            <filter val="12268"/>
            <filter val="12267"/>
            <filter val="12269"/>
            <filter val="9784"/>
            <filter val="9785"/>
            <filter val="9782"/>
            <filter val="11380"/>
            <filter val="9788"/>
            <filter val="10051"/>
            <filter val="9789"/>
            <filter val="11381"/>
            <filter val="9786"/>
            <filter val="10053"/>
            <filter val="11384"/>
            <filter val="12231"/>
            <filter val="9787"/>
            <filter val="10052"/>
            <filter val="12230"/>
            <filter val="9780"/>
            <filter val="9781"/>
            <filter val="10055"/>
            <filter val="11386"/>
            <filter val="12233"/>
            <filter val="10054"/>
            <filter val="12232"/>
            <filter val="9779"/>
            <filter val="10057"/>
            <filter val="11388"/>
            <filter val="12235"/>
            <filter val="10056"/>
            <filter val="11387"/>
            <filter val="12234"/>
            <filter val="10059"/>
            <filter val="12237"/>
            <filter val="10058"/>
            <filter val="12236"/>
            <filter val="12239"/>
            <filter val="12238"/>
            <filter val="9795"/>
            <filter val="9793"/>
            <filter val="10060"/>
            <filter val="11391"/>
            <filter val="9794"/>
            <filter val="11390"/>
            <filter val="9799"/>
            <filter val="10062"/>
            <filter val="11393"/>
            <filter val="12240"/>
            <filter val="11392"/>
            <filter val="9797"/>
            <filter val="11395"/>
            <filter val="12242"/>
            <filter val="9798"/>
            <filter val="10063"/>
            <filter val="12241"/>
            <filter val="9791"/>
            <filter val="9792"/>
            <filter val="9790"/>
            <filter val="10066"/>
            <filter val="11397"/>
            <filter val="12244"/>
            <filter val="12243"/>
            <filter val="11396"/>
            <filter val="10068"/>
            <filter val="11399"/>
            <filter val="12246"/>
            <filter val="10067"/>
            <filter val="11398"/>
            <filter val="12245"/>
            <filter val="12248"/>
            <filter val="10069"/>
            <filter val="12247"/>
            <filter val="9746-9747 - 35"/>
            <filter val="12249"/>
            <filter val="11360"/>
            <filter val="11361"/>
            <filter val="12219"/>
            <filter val="12218"/>
            <filter val="9809-10215"/>
            <filter val="12211"/>
            <filter val="12210"/>
            <filter val="12694"/>
            <filter val="11366"/>
            <filter val="11365"/>
            <filter val="12212"/>
            <filter val="11368"/>
            <filter val="12215"/>
            <filter val="11367"/>
            <filter val="12214"/>
            <filter val="10039"/>
            <filter val="12217"/>
            <filter val="10038"/>
            <filter val="11369"/>
            <filter val="12216"/>
            <filter val="10040"/>
            <filter val="11371"/>
            <filter val="11370"/>
            <filter val="10042"/>
            <filter val="12220"/>
            <filter val="10041"/>
            <filter val="11372"/>
            <filter val="12229"/>
            <filter val="10044"/>
            <filter val="12222"/>
            <filter val="10043"/>
            <filter val="11374"/>
            <filter val="11377"/>
            <filter val="12224"/>
            <filter val="11376"/>
            <filter val="12223"/>
            <filter val="10048"/>
            <filter val="11379"/>
            <filter val="12226"/>
            <filter val="10047"/>
            <filter val="11378"/>
            <filter val="12228"/>
            <filter val="10049"/>
            <filter val="12227"/>
            <filter val="1910 - PJ"/>
            <filter val="10929"/>
            <filter val="10928"/>
            <filter val="10932"/>
            <filter val="10931"/>
            <filter val="10934"/>
            <filter val="10933"/>
            <filter val="10936"/>
            <filter val="10935"/>
            <filter val="10938"/>
            <filter val="10937"/>
            <filter val="10930"/>
            <filter val="14061"/>
            <filter val="10939"/>
            <filter val="10943"/>
            <filter val="10942"/>
            <filter val="10945"/>
            <filter val="10947"/>
            <filter val="10946"/>
            <filter val="10949"/>
            <filter val="10948"/>
            <filter val="10941"/>
            <filter val="10940"/>
            <filter val="10907"/>
            <filter val="10906"/>
            <filter val="10909"/>
            <filter val="10908"/>
            <filter val="10910"/>
            <filter val="10912"/>
            <filter val="10911"/>
            <filter val="10914"/>
            <filter val="10913"/>
            <filter val="10916"/>
            <filter val="10915"/>
            <filter val="10919"/>
            <filter val="10921"/>
            <filter val="10920"/>
            <filter val="10923"/>
            <filter val="10922"/>
            <filter val="10925"/>
            <filter val="10924"/>
            <filter val="10927"/>
            <filter val="10926"/>
            <filter val="11156-"/>
            <filter val="10901"/>
            <filter val="10900"/>
            <filter val="10902"/>
            <filter val="10905"/>
            <filter val="10904"/>
            <filter val="12291"/>
            <filter val="12290"/>
            <filter val="12293"/>
            <filter val="12292"/>
            <filter val="12295"/>
            <filter val="12294"/>
            <filter val="12297"/>
            <filter val="12296"/>
            <filter val="63842"/>
            <filter val="-11385"/>
            <filter val="12299"/>
            <filter val="12298"/>
            <filter val="15332"/>
            <filter val="13152"/>
          </filters>
        </filterColumn>
        <filterColumn colId="9">
          <filters>
            <filter val="MERCADO LIVRE"/>
            <filter val="TW"/>
            <filter val="MOVVI"/>
            <filter val="DISK &amp; TENHA"/>
            <filter val="EXPRESSO LEOMAR"/>
            <filter val="NOVA ERA"/>
            <filter val="ALIANÇA"/>
            <filter val="PLAMAX"/>
            <filter val="EXP. LEOMAR"/>
            <filter val="MARIO DICK"/>
            <filter val="RETIRA NA FRABRICA"/>
            <filter val="V2"/>
            <filter val="ND EXPRESS"/>
            <filter val="RODONAVES"/>
            <filter val="SEM TRANSPORTE"/>
            <filter val="JAMEF"/>
            <filter val="TRANSAPUCARANA"/>
            <filter val="EXPRESSO M.LOG"/>
            <filter val="BRASSPRESS"/>
            <filter val="DESTAK"/>
            <filter val="MASTER FROMTHERM"/>
            <filter val="BRUSVILLE"/>
            <filter val="ALFA"/>
            <filter val="TRD TRANSPORTE"/>
            <filter val="EXPRESSO SAO MIGUEL"/>
            <filter val="RENATO"/>
          </filters>
        </filterColumn>
      </autoFilter>
    </customSheetView>
    <customSheetView guid="{3D5A84D9-0263-4841-AC82-9641E9CA2702}" filter="1" showAutoFilter="1">
      <autoFilter ref="$A$1:$O$2041">
        <filterColumn colId="8">
          <filters>
            <filter val="ENTREGA FUTURA"/>
          </filters>
        </filterColumn>
      </autoFilter>
    </customSheetView>
    <customSheetView guid="{8A6A61C5-EE80-46F9-BD52-4E0C578F95E4}" filter="1" showAutoFilter="1">
      <autoFilter ref="$A$1:$O$2041">
        <filterColumn colId="0">
          <filters>
            <filter val="15501-B"/>
            <filter val="15501-A"/>
            <filter val="15491-N"/>
            <filter val="15491-M"/>
            <filter val="15491-P"/>
            <filter val="15491-O"/>
            <filter val="15491-R"/>
            <filter val="15491-Q"/>
            <filter val="15491-T"/>
            <filter val="15491-S"/>
            <filter val="15491-F"/>
            <filter val="15491-E"/>
            <filter val="15491-J"/>
            <filter val="15491-L"/>
            <filter val="15491-K"/>
            <filter val="15491-B"/>
            <filter val="15491-A"/>
            <filter val="15491-D"/>
            <filter val="15491-C"/>
            <filter val="15327-A"/>
            <filter val="15327-B"/>
            <filter val="15327-C"/>
            <filter val="15327-D"/>
            <filter val="15612-A"/>
            <filter val="15612-D"/>
            <filter val="15612-E"/>
            <filter val="15612-B"/>
            <filter val="15612-C"/>
            <filter val="15669-A"/>
            <filter val="15669-B"/>
            <filter val="R14817"/>
            <filter val="15403-A"/>
            <filter val="15634-A"/>
            <filter val="15634-B"/>
            <filter val="15403-B"/>
            <filter val="15362-A"/>
            <filter val="15518-A"/>
            <filter val="15518-B"/>
            <filter val="15518-C"/>
            <filter val="15518-D"/>
            <filter val="15518-E"/>
            <filter val="15518-F"/>
            <filter val="15593-A"/>
            <filter val="15593-B"/>
            <filter val="15362-B"/>
            <filter val="15638-A"/>
            <filter val="15638-B"/>
            <filter val="15425"/>
            <filter val="15424"/>
            <filter val="15423"/>
            <filter val="15422"/>
            <filter val="15429"/>
            <filter val="15428"/>
            <filter val="15427"/>
            <filter val="15426"/>
            <filter val="15432"/>
            <filter val="15430"/>
            <filter val="15367-A"/>
            <filter val="15367-B"/>
            <filter val="15436"/>
            <filter val="15434"/>
            <filter val="15439"/>
            <filter val="15409"/>
            <filter val="15408"/>
            <filter val="15402"/>
            <filter val="15401"/>
            <filter val="15400"/>
            <filter val="15407"/>
            <filter val="15406"/>
            <filter val="15410"/>
            <filter val="15345-B"/>
            <filter val="15345-A"/>
            <filter val="15414"/>
            <filter val="15413"/>
            <filter val="15411"/>
            <filter val="15416"/>
            <filter val="15617-A"/>
            <filter val="15617-B"/>
            <filter val="15376-A"/>
            <filter val="15376-B"/>
            <filter val="16713"/>
            <filter val="15598-B"/>
            <filter val="15598-A"/>
            <filter val="16728"/>
            <filter val="15354-B"/>
            <filter val="15354-A"/>
            <filter val="15354-C"/>
            <filter val="15452-C"/>
            <filter val="15452-B"/>
            <filter val="15452-A"/>
            <filter val="15389-B"/>
            <filter val="15389-A"/>
            <filter val="15589-B"/>
            <filter val="15589-A"/>
            <filter val="15336-A"/>
            <filter val="15336-B"/>
            <filter val="15589-C"/>
            <filter val="15469-B"/>
            <filter val="15469-C"/>
            <filter val="15469-D"/>
            <filter val="15469-A"/>
            <filter val="15487"/>
            <filter val="15412-A"/>
            <filter val="15412-B"/>
            <filter val="15489"/>
            <filter val="15488"/>
            <filter val="15349-B"/>
            <filter val="15494"/>
            <filter val="15349-A"/>
            <filter val="15349-C"/>
            <filter val="15498"/>
            <filter val="15497"/>
            <filter val="15496"/>
            <filter val="15495"/>
            <filter val="15490"/>
            <filter val="15499"/>
            <filter val="16792"/>
            <filter val="15461"/>
            <filter val="15460"/>
            <filter val="15545-B"/>
            <filter val="15545-A"/>
            <filter val="15465"/>
            <filter val="15464"/>
            <filter val="15462"/>
            <filter val="15545-H"/>
            <filter val="15545-G"/>
            <filter val="15545-J"/>
            <filter val="15545-I"/>
            <filter val="15545-D"/>
            <filter val="15545-C"/>
            <filter val="15545-F"/>
            <filter val="15545-E"/>
            <filter val="15467"/>
            <filter val="15472"/>
            <filter val="15510-A"/>
            <filter val="15510-B"/>
            <filter val="15470"/>
            <filter val="15510-C"/>
            <filter val="17654"/>
            <filter val="15510-D"/>
            <filter val="15475"/>
            <filter val="15474"/>
            <filter val="15443"/>
            <filter val="15442"/>
            <filter val="15441"/>
            <filter val="14599"/>
            <filter val="15447"/>
            <filter val="15446"/>
            <filter val="15445"/>
            <filter val="15449"/>
            <filter val="15458"/>
            <filter val="15457"/>
            <filter val="15456"/>
            <filter val="15459"/>
            <filter val="15415-C"/>
            <filter val="15668-A"/>
            <filter val="15415-D"/>
            <filter val="15668-B"/>
            <filter val="15415-A"/>
            <filter val="15415-B"/>
            <filter val="15633-B"/>
            <filter val="15633-A"/>
            <filter val="15370-A"/>
            <filter val="15370-B"/>
            <filter val="15500-C"/>
            <filter val="15500-B"/>
            <filter val="15500-A"/>
            <filter val="15500-E"/>
            <filter val="15500-D"/>
            <filter val="15624-C"/>
            <filter val="15624-A"/>
            <filter val="15624-B"/>
            <filter val="15437-E"/>
            <filter val="15437-C"/>
            <filter val="15437-D"/>
            <filter val="15437-A"/>
            <filter val="15437-B"/>
            <filter val="15419-E"/>
            <filter val="15419-C"/>
            <filter val="15419-D"/>
            <filter val="15419-A"/>
            <filter val="15419-B"/>
            <filter val="15539-B"/>
            <filter val="15539-A"/>
            <filter val="15504-C"/>
            <filter val="15504-B"/>
            <filter val="15504-A"/>
            <filter val="15504-F"/>
            <filter val="15504-E"/>
            <filter val="15504-D"/>
            <filter val="15450-B"/>
            <filter val="15450-A"/>
            <filter val="15361-M"/>
            <filter val="15361-N"/>
            <filter val="15361-K"/>
            <filter val="15361-L"/>
            <filter val="15361-Q"/>
            <filter val="15361-R"/>
            <filter val="15361-O"/>
            <filter val="15361-P"/>
            <filter val="15361-E"/>
            <filter val="15361-F"/>
            <filter val="15361-C"/>
            <filter val="15361-D"/>
            <filter val="15361-J"/>
            <filter val="15361-G"/>
            <filter val="15361-H"/>
            <filter val="15361-A"/>
            <filter val="15361-B"/>
            <filter val="15570-A"/>
            <filter val="15570-B"/>
            <filter val="15517-B"/>
            <filter val="15517-A"/>
            <filter val="13832"/>
            <filter val="15542"/>
            <filter val="15541"/>
            <filter val="15540"/>
            <filter val="15546"/>
            <filter val="15543"/>
            <filter val="15549"/>
            <filter val="15547"/>
            <filter val="15553"/>
            <filter val="15552"/>
            <filter val="15551"/>
            <filter val="15550"/>
            <filter val="15557"/>
            <filter val="15556"/>
            <filter val="16401"/>
            <filter val="15554"/>
            <filter val="15559"/>
            <filter val="15558"/>
            <filter val="15379-D"/>
            <filter val="15584-D"/>
            <filter val="15520"/>
            <filter val="15584-C"/>
            <filter val="15584-B"/>
            <filter val="15584-A"/>
            <filter val="15379-B"/>
            <filter val="15379-C"/>
            <filter val="15379-A"/>
            <filter val="15529"/>
            <filter val="15524"/>
            <filter val="15523"/>
            <filter val="15528"/>
            <filter val="15527"/>
            <filter val="15531"/>
            <filter val="15530"/>
            <filter val="15322-A"/>
            <filter val="15322-B"/>
            <filter val="15322-C"/>
            <filter val="15420-A"/>
            <filter val="15420-B"/>
            <filter val="15535"/>
            <filter val="15533"/>
            <filter val="15532"/>
            <filter val="15537"/>
            <filter val="15509"/>
            <filter val="15451-B"/>
            <filter val="15451-A"/>
            <filter val="15493-AA"/>
            <filter val="15493-AD"/>
            <filter val="15505"/>
            <filter val="15493-AB"/>
            <filter val="15493-AC"/>
            <filter val="15673-C"/>
            <filter val="15673-D"/>
            <filter val="15673-A"/>
            <filter val="15673-B"/>
            <filter val="15513"/>
            <filter val="15516"/>
            <filter val="15515"/>
            <filter val="15514"/>
            <filter val="15964"/>
            <filter val="15566-B"/>
            <filter val="15566-C"/>
            <filter val="15566-A"/>
            <filter val="15566-F"/>
            <filter val="15566-D"/>
            <filter val="15566-E"/>
            <filter val="16454"/>
            <filter val="15686-A"/>
            <filter val="15582"/>
            <filter val="15581"/>
            <filter val="15580"/>
            <filter val="15586"/>
            <filter val="15585"/>
            <filter val="15583"/>
            <filter val="15455-D"/>
            <filter val="15455-C"/>
            <filter val="15455-B"/>
            <filter val="15455-A"/>
            <filter val="15588"/>
            <filter val="15587"/>
            <filter val="15591"/>
            <filter val="15590"/>
            <filter val="15597"/>
            <filter val="15677-A"/>
            <filter val="15677-B"/>
            <filter val="15560"/>
            <filter val="15562"/>
            <filter val="15561"/>
            <filter val="15568"/>
            <filter val="15567"/>
            <filter val="15569"/>
            <filter val="15571"/>
            <filter val="15575"/>
            <filter val="15572"/>
            <filter val="15579"/>
            <filter val="15578"/>
            <filter val="15576"/>
            <filter val="17042"/>
            <filter val="15329-A"/>
            <filter val="15512-A"/>
            <filter val="15329-B"/>
            <filter val="15512-B"/>
            <filter val="15405-A"/>
            <filter val="15405-C"/>
            <filter val="15405-B"/>
            <filter val="15503-D"/>
            <filter val="15503-C"/>
            <filter val="15503-B"/>
            <filter val="15503-A"/>
            <filter val="15503-F"/>
            <filter val="15503-E"/>
            <filter val="17016"/>
            <filter val="PR177"/>
            <filter val="15538-B"/>
            <filter val="15538-A"/>
            <filter val="15493-T"/>
            <filter val="15493-S"/>
            <filter val="15493-V"/>
            <filter val="15493-U"/>
            <filter val="15493-X"/>
            <filter val="15493-W"/>
            <filter val="15493-Z"/>
            <filter val="15493-Y"/>
            <filter val="15493-L"/>
            <filter val="15493-K"/>
            <filter val="15493-N"/>
            <filter val="15493-M"/>
            <filter val="15493-P"/>
            <filter val="15493-O"/>
            <filter val="15493-R"/>
            <filter val="15493-Q"/>
            <filter val="15493-D"/>
            <filter val="15493-C"/>
            <filter val="15493-F"/>
            <filter val="15493-E"/>
            <filter val="15493-H"/>
            <filter val="15493-G"/>
            <filter val="15493-J"/>
            <filter val="15493-I"/>
            <filter val="15493-B"/>
            <filter val="15493-A"/>
            <filter val="15680-B"/>
            <filter val="15680-A"/>
            <filter val="15680-C"/>
            <filter val="15418-B"/>
            <filter val="15418-A"/>
            <filter val="15662"/>
            <filter val="15661"/>
            <filter val="15660"/>
            <filter val="15667"/>
            <filter val="15665"/>
            <filter val="15664"/>
            <filter val="15670"/>
            <filter val="15674"/>
            <filter val="15672"/>
            <filter val="15671"/>
            <filter val="15321-A"/>
            <filter val="15321-B"/>
            <filter val="15321-C"/>
            <filter val="15694-A"/>
            <filter val="15694-C"/>
            <filter val="15694-B"/>
            <filter val="15678"/>
            <filter val="15676"/>
            <filter val="15675"/>
            <filter val="16528"/>
            <filter val="15679"/>
            <filter val="15641"/>
            <filter val="15640"/>
            <filter val="15454-C"/>
            <filter val="15454-B"/>
            <filter val="15454-A"/>
            <filter val="15645"/>
            <filter val="15644"/>
            <filter val="15642"/>
            <filter val="15606-B"/>
            <filter val="15649"/>
            <filter val="15606-A"/>
            <filter val="15648"/>
            <filter val="15647"/>
            <filter val="15652"/>
            <filter val="15651"/>
            <filter val="15655"/>
            <filter val="15653"/>
            <filter val="15659"/>
            <filter val="15658"/>
            <filter val="15657"/>
            <filter val="15629"/>
            <filter val="15628"/>
            <filter val="15623"/>
            <filter val="15622"/>
            <filter val="15621"/>
            <filter val="15620"/>
            <filter val="15627"/>
            <filter val="15626"/>
            <filter val="15625"/>
            <filter val="15630"/>
            <filter val="15650-B"/>
            <filter val="15650-A"/>
            <filter val="15639"/>
            <filter val="15632"/>
            <filter val="15637"/>
            <filter val="15635"/>
            <filter val="15609"/>
            <filter val="15608"/>
            <filter val="15607"/>
            <filter val="15601"/>
            <filter val="15605"/>
            <filter val="15602"/>
            <filter val="15619"/>
            <filter val="15618"/>
            <filter val="15611"/>
            <filter val="15610"/>
            <filter val="15616"/>
            <filter val="15615"/>
            <filter val="15614"/>
            <filter val="15613"/>
            <filter val="15401-A"/>
            <filter val="15401-C"/>
            <filter val="15401-B"/>
            <filter val="15312-D"/>
            <filter val="15521-A"/>
            <filter val="15681"/>
            <filter val="15312-C"/>
            <filter val="15521-B"/>
            <filter val="15312-B"/>
            <filter val="15521-C"/>
            <filter val="15312-A"/>
            <filter val="15521-D"/>
            <filter val="15684"/>
            <filter val="15683"/>
            <filter val="15682"/>
            <filter val="15312-L"/>
            <filter val="15521-I"/>
            <filter val="15312-K"/>
            <filter val="15521-J"/>
            <filter val="15312-J"/>
            <filter val="15521-K"/>
            <filter val="15312-I"/>
            <filter val="15521-L"/>
            <filter val="15312-H"/>
            <filter val="15521-E"/>
            <filter val="15312-G"/>
            <filter val="15521-F"/>
            <filter val="15312-F"/>
            <filter val="15521-G"/>
            <filter val="15312-E"/>
            <filter val="15521-H"/>
            <filter val="15312-T"/>
            <filter val="15312-S"/>
            <filter val="15312-R"/>
            <filter val="15312-Q"/>
            <filter val="15312-P"/>
            <filter val="15521-M"/>
            <filter val="15312-O"/>
            <filter val="15521-N"/>
            <filter val="15312-N"/>
            <filter val="15312-M"/>
            <filter val="15689"/>
            <filter val="15686"/>
            <filter val="15347-D"/>
            <filter val="15692"/>
            <filter val="15347-C"/>
            <filter val="15690"/>
            <filter val="15696"/>
            <filter val="15695"/>
            <filter val="15693"/>
            <filter val="15347-B"/>
            <filter val="15347-A"/>
            <filter val="15381-B"/>
            <filter val="15381-A"/>
            <filter val="15404-B"/>
            <filter val="15404-A"/>
            <filter val="15394-E"/>
            <filter val="15394-D"/>
            <filter val="15394-C"/>
            <filter val="15492-A"/>
            <filter val="15492-C"/>
            <filter val="15492-B"/>
            <filter val="15394-B"/>
            <filter val="15394-A"/>
            <filter val="15537-A"/>
            <filter val="15537-B"/>
            <filter val="15502-A"/>
            <filter val="15502-B"/>
            <filter val="15328-A"/>
            <filter val="15328-B"/>
            <filter val="15328-C"/>
            <filter val="15328-D"/>
            <filter val="15417-C"/>
            <filter val="15417-A"/>
            <filter val="15417-B"/>
            <filter val="15594-B"/>
            <filter val="15594-A"/>
            <filter val="17181"/>
            <filter val="15453-C"/>
            <filter val="15453-B"/>
            <filter val="15453-A"/>
            <filter val="15595-C"/>
            <filter val="15595-B"/>
            <filter val="15595-A"/>
            <filter val="15466-A"/>
            <filter val="15466-B"/>
            <filter val="15564-B"/>
            <filter val="15564-C"/>
            <filter val="15564-A"/>
            <filter val="15399-A"/>
            <filter val="15399-D"/>
            <filter val="15399-C"/>
            <filter val="15399-B"/>
            <filter val="15662-B"/>
            <filter val="9315"/>
            <filter val="15384"/>
            <filter val="15383"/>
            <filter val="15382"/>
            <filter val="15388"/>
            <filter val="15387"/>
            <filter val="15386"/>
            <filter val="15385"/>
            <filter val="15380"/>
            <filter val="15395"/>
            <filter val="15577-B"/>
            <filter val="15393"/>
            <filter val="15392"/>
            <filter val="15577-A"/>
            <filter val="15398"/>
            <filter val="15397"/>
            <filter val="15396"/>
            <filter val="15390"/>
            <filter val="15360"/>
            <filter val="15366"/>
            <filter val="15365"/>
            <filter val="15364"/>
            <filter val="15363"/>
            <filter val="15369"/>
            <filter val="15368"/>
            <filter val="15372"/>
            <filter val="15377"/>
            <filter val="15375"/>
            <filter val="15374"/>
            <filter val="15378"/>
            <filter val="15311-E"/>
            <filter val="15340"/>
            <filter val="15311-D"/>
            <filter val="15311-C"/>
            <filter val="15311-B"/>
            <filter val="15311-A"/>
            <filter val="15343"/>
            <filter val="15342"/>
            <filter val="15341"/>
            <filter val="15311-M"/>
            <filter val="15311-L"/>
            <filter val="15311-K"/>
            <filter val="15311-J"/>
            <filter val="15311-I"/>
            <filter val="15311-H"/>
            <filter val="15311-G"/>
            <filter val="15311-F"/>
            <filter val="15311-T"/>
            <filter val="15311-S"/>
            <filter val="15666-A"/>
            <filter val="18684-B"/>
            <filter val="15311-R"/>
            <filter val="15666-B"/>
            <filter val="15311-Q"/>
            <filter val="15311-P"/>
            <filter val="15311-O"/>
            <filter val="15311-N"/>
            <filter val="15348"/>
            <filter val="15346"/>
            <filter val="15351"/>
            <filter val="15350"/>
            <filter val="15355"/>
            <filter val="15353"/>
            <filter val="15352"/>
            <filter val="18684-A"/>
            <filter val="15631-B"/>
            <filter val="15631-A"/>
            <filter val="15359"/>
            <filter val="15358"/>
            <filter val="15357"/>
            <filter val="15356"/>
            <filter val="15320"/>
            <filter val="15688-B"/>
            <filter val="15688-A"/>
            <filter val="15326"/>
            <filter val="15325"/>
            <filter val="15323"/>
            <filter val="15463-15534"/>
            <filter val="15333"/>
            <filter val="15332"/>
            <filter val="15331"/>
            <filter val="15330"/>
            <filter val="15324-A"/>
            <filter val="15324-B"/>
            <filter val="15324-C"/>
            <filter val="15337"/>
            <filter val="15335"/>
            <filter val="15334"/>
            <filter val="15339"/>
            <filter val="15338"/>
          </filters>
        </filterColumn>
        <sortState ref="A1:O2041">
          <sortCondition ref="A1:A2041"/>
          <sortCondition descending="1" ref="E1:E2041"/>
        </sortState>
      </autoFilter>
    </customSheetView>
    <customSheetView guid="{F0874127-E7C4-43A8-9E18-0B8478D7D56F}" filter="1" showAutoFilter="1">
      <autoFilter ref="$A$1:$O$2221">
        <filterColumn colId="4">
          <filters blank="1">
            <filter val="FT80F35T"/>
            <filter val="FTI75D40CZ"/>
            <filter val="FT100D35T"/>
            <filter val="FH40D60T"/>
            <filter val="FT120J35T"/>
            <filter val="FT180F35"/>
            <filter val="AMOSTRA FT-20"/>
            <filter val="FT20B35T"/>
            <filter val="FT160H35T"/>
            <filter val="FT240L35T"/>
            <filter val="FH100J45T"/>
            <filter val="FT180J35"/>
            <filter val="FT160F35"/>
            <filter val="FT40B35"/>
            <filter val="FT160J35"/>
            <filter val="FTI125L40CZ"/>
            <filter val="FH50B60T"/>
            <filter val="5"/>
            <filter val="FH160F60"/>
            <filter val="FT20B35"/>
            <filter val="FT180H35T"/>
            <filter val="FH40B60"/>
            <filter val="FH160J60"/>
            <filter val="FT60F35T"/>
            <filter val="FH160L60T"/>
            <filter val="FT180L35T"/>
            <filter val="FT80H35T"/>
            <filter val="FT120L35T"/>
            <filter val="FT50B35T"/>
            <filter val="FTI55D40CZ"/>
            <filter val="FT120D35T"/>
            <filter val="FT80J35"/>
            <filter val="FT80F35"/>
            <filter val="FT240J35T"/>
            <filter val="FT160F35T"/>
            <filter val="AMOSTRA FT-25/40"/>
            <filter val="FH80H60T"/>
            <filter val="FT60L35T"/>
            <filter val="FTI105L40CZ"/>
            <filter val="FT80B35"/>
            <filter val="FT120B35T"/>
            <filter val="FT60D35T"/>
            <filter val="FT120F35"/>
            <filter val="FTI75D40PT"/>
            <filter val="FTI105D40PT"/>
            <filter val="FT60F35"/>
            <filter val="FTI45D40PT"/>
            <filter val="FH240F60T"/>
            <filter val="FT180J35T"/>
            <filter val="FTi25D40PT"/>
            <filter val="FT80B35T"/>
            <filter val="FH100F60T"/>
            <filter val="FT120F35T"/>
            <filter val="FTI105D40CZ"/>
            <filter val="FT100F35"/>
            <filter val="FT100H35T"/>
            <filter val="FT240H35T"/>
            <filter val="FH160J45T"/>
            <filter val="FH100F60"/>
            <filter val="FT80J35T"/>
            <filter val="FH100J60"/>
            <filter val="FT40D35T"/>
            <filter val="FH80F60T"/>
            <filter val="FT70D35T"/>
            <filter val="FT60J35T"/>
            <filter val="FH160H60T"/>
            <filter val="FH240L60T"/>
            <filter val="FTI125L40PT"/>
            <filter val="FTI125D40CZ"/>
            <filter val="FH40B60T"/>
            <filter val="FT80D35T"/>
            <filter val="FT100B35T"/>
            <filter val="FT120H35T"/>
            <filter val="FH100H60T"/>
            <filter val="FT70J35"/>
            <filter val="FT100J35T"/>
            <filter val="FT80L35T"/>
            <filter val="FT240F35T"/>
            <filter val="FH80L60T"/>
            <filter val="FTI55DPTBR"/>
            <filter val="FTI35D40PT"/>
            <filter val="FT240F35"/>
            <filter val="FT70B35T"/>
            <filter val="FT240J35"/>
            <filter val="FT70J35T"/>
            <filter val="FTI105L40PT"/>
            <filter val="FT70B35"/>
            <filter val="FTI145DPTBR"/>
            <filter val="FT180F35T"/>
            <filter val="FH160F60T"/>
            <filter val="FT60H35T"/>
          </filters>
        </filterColumn>
        <filterColumn colId="8">
          <filters/>
        </filterColumn>
      </autoFilter>
    </customSheetView>
    <customSheetView guid="{8B736A10-A4AF-4443-A63F-B576747451BE}" filter="1" showAutoFilter="1">
      <autoFilter ref="$A$1:$AB$3204">
        <filterColumn colId="1">
          <filters blank="1">
            <filter val="DS CONFORTO"/>
            <filter val="MAI PISCINAS PREMIUM LTDA"/>
            <filter val="ELESOLTEC E PISCINAS"/>
            <filter val="Y. H. M. VERGANI SERVICOS EM PISCINAS LTDA"/>
            <filter val="SOL E AR COMERCIAL LTDA"/>
            <filter val="SOLUCOES D' AGUA LTDA"/>
            <filter val="JOAO MACEDO"/>
            <filter val="HOTEL SAN SILVESTRE"/>
            <filter val="BERCHA E TENCIANO LTDA"/>
            <filter val="CENTER POOL PISCINAS E AQUECEDORES"/>
            <filter val="MERGULHOS PISCINAS"/>
            <filter val="GM PISCINAS"/>
            <filter val="PORTOBELLO SISTEMAS DE AQUECIMENTO EIRELI"/>
            <filter val="RICARDO ALEXANDRE LEITE ROCHA 31458205835"/>
            <filter val="JL CARVALHO PISCINAS LTDA"/>
            <filter val="André Marques Machado"/>
            <filter val="BSB PISCINAS"/>
            <filter val="ENGESAN"/>
            <filter val="FABIO PAES ALVIM"/>
            <filter val="ADRIANO SOARES GUMS"/>
            <filter val="AVIZ"/>
            <filter val="AQUALAR"/>
            <filter val="STILLO D'AGUA COMERCIO DE BANHEIRAS E ACESSORIOS LTDA"/>
            <filter val="ARCO-IRIS COM. DE PISCINAS LTDA"/>
            <filter val="CASA &amp; VERDE- ARTIGOS PARA LAZER LTDA"/>
            <filter val="GRAU INSTALACOES DE GAS"/>
            <filter val="MICHEL ANGELO PETENUCI"/>
            <filter val="FG SISTEMAS DE AQUECIMENTO LTDA"/>
            <filter val="AQUAFIX EQUIPAMENTOS PARA PISCINAS"/>
            <filter val="LUMAR COMERCIO E MANUTENCAO DE MAQUINAS INDUSTRIAIS LTDA"/>
            <filter val="TUMA INDUSTRIAL LTDA"/>
            <filter val="GARDEN BLU PISCINAS"/>
            <filter val="ACQUANEW PISCINAS LTDA"/>
            <filter val="NASCENTE SERV E COM"/>
            <filter val="FLUMINENSE FOOTBALL CLUB"/>
            <filter val="NCC CERTIFICACOES"/>
            <filter val="SOBRE HIDRAULICA"/>
            <filter val="MACHADO &amp; MORAES EMPREENDIMENTOS IMOBILIARIOS LTDA"/>
            <filter val="RAY 82 EMPREENDIMENTOS EIRELI"/>
            <filter val="ELIZABETH KOPPE JORGE"/>
            <filter val="PISCINA LIMPA"/>
            <filter val="NEO ENERGY"/>
            <filter val="PISCINAS CAMPO LARGO LTDA - ME"/>
            <filter val="R&amp;J MATERIAIS TERMICOS LTDA"/>
            <filter val="ELEV CONSTRUÇÕES LTDA"/>
            <filter val="PB Saunas"/>
            <filter val="ASSOCIACAO PRO-ENSINO EM SANTA CRUZ DO SUL - APESC"/>
            <filter val="CASA NOBRE STORE"/>
            <filter val="CHAMA INDUSTRIA COMERCIO E INSTALAÇÕES LTDA"/>
            <filter val="STEINFIBER PISCINAS"/>
            <filter val="AQUAMIX PISCINAS"/>
            <filter val="S E S INVESTIMENTOS IMOBILIARIOS LTDA"/>
            <filter val="DEPOSITO DE MATERIAIS PARA CONSTRUCAO BEIRA RIO"/>
            <filter val="IVANA GERMANO"/>
            <filter val="Alexandre Cezar Bezerra Costa"/>
            <filter val="AGUA AZUL MANUTENCAO DE PISCINA"/>
            <filter val="SOLAGUA COMERCIO E SERVIÇOS"/>
            <filter val="Deise Ana Schneider"/>
            <filter val="FERNANDO AQUEDEDORES"/>
            <filter val="Hidroeste Piscinas"/>
            <filter val="PLAY POOL PISCINAS E EQUIPAMENTOS LTDA"/>
            <filter val="JAPEMY INDUSTRIA COMERCIO E SERVICOS LTDA"/>
            <filter val="GLOBAL PISCINAS"/>
            <filter val="DE TUDO E MAIS UM POUCO PECAS E ACESSORIOS LTDA"/>
            <filter val="MULTISERV AQUECEDORES"/>
            <filter val="HIPERPOOL COMERCIO DE PISCINAS LTDA"/>
            <filter val="PLANETA PISCINAS"/>
            <filter val="SUN MANUTENÇÕES SERVIÇOS E COMERCIOS EIRELI"/>
            <filter val="JEFERSON DA ROCHA DIAS"/>
            <filter val="MAS COMERCIO E PRESTACAO DE SERVICOS"/>
            <filter val="CASA DA PISCINA"/>
            <filter val="26.936.440 LEONARDO DA SILVA PASSOS"/>
            <filter val="MACABI CYMA"/>
            <filter val="FRANCISCO PEDRO DA SILVA LTDA"/>
            <filter val="CONDOMINIO DO EDIFÍCIO SION ABSOLUTE"/>
            <filter val="MIRANDA PISCINAS LTDA"/>
            <filter val="STEINFIBER BANHEIRAS, PISCINAS E PRODUTOS DE FIBRA LTDA"/>
            <filter val="CLAVE INCORPORACOES E CONSTRUCOES LTDA"/>
            <filter val="BR SUL COMERCIO E DISTRIBUICAO"/>
            <filter val="FLIPPER COMERCIO DE PISCINAS LTDA"/>
            <filter val="NAUGLASMAR PISCINAS LTDA"/>
            <filter val="SANTINA DE FENDI"/>
            <filter val="MERGULHOS COMERCIO DE PISCINAS LTDA"/>
            <filter val="EDUARDO SCHERER KABAIDE"/>
            <filter val="CÁSSIO BOBSIN MACHADO"/>
            <filter val="JM GUARAPARI"/>
            <filter val="ESPACO PATRICIA BRASILERO"/>
            <filter val="ARCA PISCINAS"/>
            <filter val="KYP COMERCIO DE EQUIPAMENTOS PARA PISCINAS EIRELI"/>
            <filter val="ARCO IRIS PISCINAS"/>
            <filter val="EQUIPER ENGENHARIA ELETRICA LTDA M.E"/>
            <filter val="MARLYN AZUL PISCINAS"/>
            <filter val="COSTAO DO SANTINHO TURISMO E LAZER S.A."/>
            <filter val="PABLO MENDONÇA"/>
            <filter val="O REI DAS PISCINAS"/>
            <filter val="AGUABOA PISCINAS E BANHEIRAS LTDA"/>
            <filter val="AGUA MARINHA PISCINAS"/>
            <filter val="Diane"/>
            <filter val="DECKER PISCINAS"/>
            <filter val="ROGER A.D BOARO"/>
            <filter val="AGUA AZUL PISCINA"/>
            <filter val="ELTON REGIS CORDEIRO SPODE"/>
            <filter val="TROPICAL VARANDAS E PISCINAS"/>
            <filter val="CLOROMINAS PISCINAS"/>
            <filter val="HIDRO AQUECE"/>
            <filter val="DIL PISCINAS"/>
            <filter val="CASA NOBRE STORE LTDA"/>
            <filter val="LITORAL PISCINAS LTDA"/>
            <filter val="Marcelo Alvarenga do Carmo"/>
            <filter val="ELETRO COELHO"/>
            <filter val="ISAAC AURELIO DE VASCONCELOS"/>
            <filter val="PISCINACENTER COMERCIO DE PRODUTOS PARA PISCINAS"/>
            <filter val="MSV TUBOS E CONEXOES LTDA"/>
            <filter val="PISCINAS E CIA LTDA"/>
            <filter val="SMP PISCINAS"/>
            <filter val="R R TOFFOLO &amp; CIA LTDA"/>
            <filter val="STILLO DAGUA COMERCIO DE BANHEIRAS E ACESSORIOS LTDA"/>
            <filter val="TAMACA INVESTIMENTOS"/>
            <filter val="STILLO D'AGUA"/>
            <filter val="HOTEL RECANTO MAESTRO LTDA"/>
            <filter val="CS3 TERMOTECNOLOGIA SP LTDA"/>
            <filter val="COMERCIAL AGUA E LAZER LTDA"/>
            <filter val="FRIGEMAR"/>
            <filter val="DONATTI PISCINAS LTDA"/>
            <filter val="R&amp;J MATERIAIS TERMICOS LTDA ME"/>
            <filter val="BIGUACU PISCINAS"/>
            <filter val="PISCINAS GLOBO"/>
            <filter val="ESPACO LAZER COMERCIO LTDA"/>
            <filter val="AGUAS E VAPORES COMERCIO VAREJISTA DE MATERIAIS HIDRAULICOS"/>
            <filter val="Francisco Angelo de Queiroz Chaves"/>
            <filter val="CARLOS ALBERTO ODORISSI"/>
            <filter val="MAX PISCINAS"/>
            <filter val="FONTINI SPA"/>
            <filter val="AMD SERVIÇOS DE INSTALAÇÃO LTDA"/>
            <filter val="BLK"/>
            <filter val="Ricardo Alexandre Dantas de Macedo"/>
            <filter val="TORPEDO ESCOLA DE NATAÇÃO"/>
            <filter val="SIMOES E SEIXAS PROJETOS E CONSULTORIA LTDA"/>
            <filter val="AGUA VIVA PISCINAS"/>
            <filter val="PAULO ROBERTO T FERREIRA PISCINAS"/>
            <filter val="R R TOFFOLO"/>
            <filter val="CYRELA BAHIA EMPREENDIMENTOS IMOBILIARIOS LTDA"/>
            <filter val="MARCOS EVALDO PANDOLFI"/>
            <filter val="PLIMAR PISCINAS"/>
            <filter val="SHIRLE BEZAGIO E SOUZA GRAU CALIANI"/>
            <filter val="MAIS EMPREENDIMENTOS HOTELEIROS LTDA"/>
            <filter val="ELETRO STAR EQUIPAMENTOS E PRODUTOS PARA PISCINA LTDA"/>
            <filter val="R D R FERNANDES COMERCIO DE PISCINAS"/>
            <filter val="SG PISCINAS"/>
            <filter val="PEROLA AZUL PISCINAS"/>
            <filter val="FIRMIANO PISCINAS"/>
            <filter val="Spa Piscinas"/>
            <filter val="RICTERM"/>
            <filter val="HIDRAULICA JABO"/>
            <filter val="PISCINAS PORTO RICO"/>
            <filter val="CHAMA ALTERNATIVA"/>
            <filter val="DE BONA COMERCIAL LTDA"/>
            <filter val="AQUASOL BANHEIRAS E PISCINAS LTDA"/>
            <filter val="GLOBAL IMPERLESTE IMPERMEABILIZACOES EIRELI"/>
            <filter val="CBR 081 EMPREENDIMENTOS IMOBILIARIOS"/>
            <filter val="EQUIPA COMERCIO DE PISCINAS LTDA"/>
            <filter val="PISCINA E LAZER"/>
            <filter val="SOLAR E PISCINAS"/>
            <filter val="ACQUACLEAN PRODUTOS DE PISCINA LTDA"/>
            <filter val="FABIO RAFAEL DOS SANTOS RIGO"/>
            <filter val="RAMIRO PISCINAS"/>
            <filter val="AG INCORPORADORA DE IMOVEIS LTDA"/>
            <filter val="ENGEVILLE CONSTRUÇÕES"/>
            <filter val="DAYANE SCOPEL FERRAZZA"/>
            <filter val="Laboratório do Sol Aquecedores"/>
            <filter val="CASA DO ELETRICISTA"/>
            <filter val="DORIVAL DELFINO - PISCINAS LTDA"/>
            <filter val="FABIO"/>
            <filter val="PONTO DA PISCINA LTDA"/>
            <filter val="VIDA E SOL - COMERCIO DE ARTIGOS DE DECORAÇÃO E LAZER"/>
            <filter val="KISOL BELTRAO COMERCIO DE PISCINAS LTDA"/>
            <filter val="ADS - COMERCIO DE BOMBAS E ACESSORIOS LTDA."/>
            <filter val="ACQUALIFE PISCINAS E AQUECEDORES"/>
            <filter val="GUSTAVO REBELATTO"/>
            <filter val="MESTRIA PROJETOS, INSTALADORA HIDRAULICA E ELETRICA LTDA"/>
            <filter val="MULTCOLOR"/>
            <filter val="LAZER PISCINAS"/>
            <filter val="PRIME PISCINAS"/>
            <filter val="3 L PISCINAS"/>
            <filter val="ACQUA PISCINAS DF EIRELI"/>
            <filter val="SOLAR VWE COMERCIAL"/>
            <filter val="ENGE-FORTE ENGENHARIA E CONSTRUCAO"/>
            <filter val="SOLIS INDUSTRIA E COMERCIO DE AQUECEDOR SOLAR S.A."/>
            <filter val="SUN MANUTENCOES SERVICOS"/>
            <filter val="TECNOSOL"/>
            <filter val="BR SUL COMERCIO E DISTRIBUICAO LTDA"/>
            <filter val="H2O PISCINAS"/>
            <filter val="GRANEL PISCINAS INDÚSTRIA E COMÉRCIO LTDA"/>
            <filter val="VIDALAR PROJETOS E INSTALACOES DE AR CONDICIONADO LTDA"/>
            <filter val="VERANO"/>
            <filter val="RS CONSTRUTORA E ENGENHARIA &amp; DELARA PISCINAS"/>
            <filter val="EMAUS MANUTENCAO E COMERCIO LTDA"/>
            <filter val="CASA DO VERDE"/>
            <filter val="ELETRO STAR EQUIPAMENTOS E PRODUTOS PARA PISCINAS LTDA"/>
            <filter val="ELITON PISCINAS"/>
            <filter val="Md Solar"/>
            <filter val="Loja das Bombas"/>
            <filter val="BERTEN PISCINAS"/>
            <filter val="DE LARA PISCINAS"/>
            <filter val="MULT COLOR"/>
            <filter val="Acqua Bolha"/>
            <filter val="HIDROTOP"/>
            <filter val="HENRIQUE DE JESUS ARAUJO 08018390681"/>
            <filter val="LITORAL PISCINAS"/>
            <filter val="ADRIANI APARECIDA BOTTEGA"/>
            <filter val="MULTISERV COMERCIO DE PRODUTOS E REPARO DE AQUECEDORES EIRELI"/>
            <filter val="ANTONIO BARROS FREITAS 85756580778"/>
            <filter val="HIDRO AMBIENTAL"/>
            <filter val="KRONUS"/>
            <filter val="CALIDA AQUA ENGENHARIA E SISTEMAS DE AQUECIMENTO."/>
            <filter val="AGUA DO VALE PISCINAS E EQUIPAMENTOS LTDA"/>
            <filter val="PENUCI PISCINAS"/>
            <filter val="ANDRADE PISCINAS"/>
            <filter val="AGUA E LAZER"/>
            <filter val="JC DOS SANTOS"/>
            <filter val="SWIMFLORIPA GESTAO ESPORTIVA LTDA"/>
            <filter val="S2 IMPORTACAO E COMERCIO DE AR CONDICIONADO LTDA"/>
            <filter val="ACQUACLEAN PISCINAS"/>
            <filter val="PINHEIRAL PISCINAS"/>
            <filter val="DEEP PISCINAS"/>
            <filter val="OSVALDO  OLIVEIRA DE LARA JUNIOR"/>
            <filter val="RIO DEPOSITO DE MATERIAIS PARA CONSTRUCAO LTDA"/>
            <filter val="DIL PISCINAS LTDA"/>
            <filter val="MASTER PISCINAS LTDA"/>
            <filter val="ACQUA PISCINAS DF EIRELLI"/>
            <filter val="AQUALIFE COMERCIO E MANUTENCAO DE PISCINAS LTDA."/>
            <filter val="GM FIBRAS"/>
            <filter val="BERNHARDT"/>
            <filter val="VINICIUS DE SOUZA DELFINO - PISCINAS"/>
            <filter val="RS PISCINAS - BRENDA SANTOS"/>
            <filter val="UL TESTTECH LAB DE AVALIAÇÕES"/>
            <filter val="POOL ARARAS"/>
            <filter val="LUIZ HENRIQUE FOPPA SOUZA"/>
            <filter val="POLIHIDRO"/>
            <filter val="MEGA PISCINA"/>
            <filter val="AXXO CONSTRUTORA LTDA"/>
            <filter val="12/23/2024"/>
            <filter val="INFRAH HIDRAULICA"/>
            <filter val="CARRAPETA BARRA PISC"/>
            <filter val="POOL VITORIA COMERCIO E SERVICOS LTDA."/>
            <filter val="HIGH TECH SOLAR BANHEIRAS E PISCINAS"/>
            <filter val="AMPLISOL PISCINAS E AQUECIMENTO SOLAR"/>
            <filter val="POOL VITORIA"/>
            <filter val="DS CONFORTO E LAZER LTDA"/>
            <filter val="37.826.803 CARLOS ANDRE TEIXEIRA MAIA"/>
            <filter val="FRANCAPAS E ACESSÓRIOS PARA PISCINA"/>
            <filter val="CHAMA ALTERNATIVA ATACADISTA"/>
            <filter val="KRONUS INDÚSTRIA DE MÁQUINAS E EQUIPAMENTOS LTDA."/>
            <filter val="DAGUA PISCINAS E AQUECIMENTO"/>
            <filter val="GLAITON MARQUES FIGUEIREDO"/>
            <filter val="H-POOL PISCINAS E EQUIPAMENTOS"/>
            <filter val="10568348 LAZER &amp; CIA COMERCIO DE PISCINAS EIRELI"/>
            <filter val="BRASIL PISCINAS E SERVIÇOS EIRELI ME"/>
            <filter val="JATO DAGUA PISCINAS"/>
            <filter val="ACQUA BRASILIA COMERCIO VAREJISTA DE PISCINAS LTDA-ME"/>
            <filter val="EQP BOMBAS E SOLUCOES LTDA"/>
            <filter val="PHD PISCINAS LTDA"/>
            <filter val="CONSTRUFUERTE PISCINAS"/>
            <filter val="ERICLEPTO DE OLIVEIRA ROJANSKI 08179791904"/>
            <filter val="PISCINAS ANDERLE"/>
            <filter val="Cláudia Kelly Contareli de Souza"/>
            <filter val="MINEIA IZIS OJCZENASZ"/>
            <filter val="AGUA QUENTE"/>
            <filter val="R DOS SANTOS SCHAFF LTDA"/>
            <filter val="PARAISO DAS PISCINAS"/>
            <filter val="SOLUCOES NF COMERCIO E REPRESENTACOES E SEVICOS LTDA"/>
            <filter val="ALFA MATERIAL DE PISCINA, TINTA E LIMPEZA LTDA"/>
            <filter val="IGREJA MISSIONARIA JESUS ESTA VOLTANDO"/>
            <filter val="STILLO DAGUA"/>
            <filter val="HIDRO AMBIENTAL PISC"/>
            <filter val="Silvia Lisboa de Freitas"/>
            <filter val="LARA E SANTOS"/>
            <filter val="ASSISTERM AQUECEDORES LTDA"/>
            <filter val="HOTEL MERCURE GUARULHOS"/>
            <filter val="CLAIR RODRIGO PEREIRA DO VALE"/>
            <filter val="JATO D&amp;apos;AGUA BANHEIRAS E PISCINAS LTDA"/>
            <filter val="Loteamento Bom Futuro"/>
            <filter val="DB PISCINAS"/>
            <filter val="ECOVOLT ENGENHARIA ELETRICA LTDA"/>
            <filter val="DE TUDO UM POUCO"/>
            <filter val="MARIA CAROLINA DE LIMA THEODORO LAUAR"/>
            <filter val="MILENA LOPES AGUIAR XAVIER"/>
            <filter val="ALCATÉIA PRODUTOS E SERVIÇOS MEI"/>
            <filter val="A&amp;C ENERGIA SOLAR LTDA"/>
            <filter val="ROGER JOSÉ DE AMORIM 89158520600"/>
            <filter val="IRMAOS MARQUES COMERCIO E SERVICOS LTDA"/>
            <filter val="CASA E PISCINA UMUAR"/>
            <filter val="LIMPA MAIS"/>
            <filter val="ROGERIO PISCINAS ESPORTES E LAZER LTDA"/>
            <filter val="VISUAL PISCINAS"/>
            <filter val="CONTROLLE SOLUÇÕES INDUSTRIAIS LTDA"/>
            <filter val="OCEANE PISCINAS"/>
            <filter val="DE TUDO E MAIS UM POUCO PECAS E ACESSORIOS LTD"/>
            <filter val="TERMOCLIMA AQUECIMENTOS E REFRIGERACOES LTDA"/>
            <filter val="MARC SANDER COMERCIO DE MATERIAIS HIDRAULICOS E ELETRICOS E"/>
            <filter val="HIDROESTE PISCINAS E AQUECIMENTO LTDA"/>
            <filter val="RANCHO SOBERBO POUSADA LTDA"/>
            <filter val="IOHANA DE BRUM KROTH PISCINAS &amp; CIA"/>
            <filter val="ESPACO COMERCIO DE PISCINAS LTDA"/>
            <filter val="IBIZA PISCINAS"/>
            <filter val="Belas Aguas Piscinas"/>
            <filter val="NAUSSAT PISCINAS LDTA ME"/>
            <filter val="FARNEZZI MATERIAIS DE CONTRUÇÃO LTDA"/>
            <filter val="AQUAMEC IND E COMERCIO DE EQUIPAMENTOS TERMICOS LTDA"/>
            <filter val="ESPACO PISCINAS"/>
            <filter val="AGS PISCINA E LAZER"/>
            <filter val="TRAMPOLIM PISCINAS LTDA"/>
            <filter val="QUIMIPOOL COMERCIO DE PRODUTOS PARA PISCINAS E SERVICOS LTDA"/>
            <filter val="CLAUDIO ANTONIO SILVA DO NASCIMENTO"/>
            <filter val="LAMINA D AGUA PISCINAS LTDA"/>
            <filter val="OURO SOLAR LTDA"/>
            <filter val="HYDRONIC SOLUTIONS"/>
            <filter val="CFP PISCINAS"/>
            <filter val="MIRANDA PISCINAS - EIRELI"/>
            <filter val="PAISAGISMO E PISCINAS CARAPIA DE GUARATIBA LTDA"/>
            <filter val="GAROPABA PISCINAS"/>
            <filter val="APENG SERVIÇOS E CONTRUÇÕES LTDA"/>
            <filter val="CONDOMINIO DO VIVACE"/>
            <filter val="GLADSON RAMALHO DE OLIVEIRA"/>
            <filter val="CLARA BEZERRA DE MEDEIROS"/>
            <filter val="SOL E LAZER AQUECIMENTO SOLAR"/>
            <filter val="ELETRICA COSTA OESTE"/>
            <filter val="SOBRE HIDRAULICA E LAZER LTDA"/>
            <filter val="GLOBAL TECH BRASIL COMERCIO ELETRONICO LTDA"/>
            <filter val="HOTEL BHALLY"/>
            <filter val="J Z PISCINAS LTDA"/>
            <filter val="AQUAVIL PISCINAS LTDA"/>
            <filter val="AKAMAI ENGENHARIA INTELIGENTE LTDA"/>
            <filter val="WELLINGTON LUIS ALESSI"/>
            <filter val="SUZANE LURDES DALTROZO ROBERTI"/>
            <filter val="FAP PISCINAS LTDA. - ME"/>
            <filter val="SOL E AR COMERCIAL EIRELI"/>
            <filter val="PLUG SOLAR ENERGIA"/>
            <filter val="POLO SUL LTDA"/>
            <filter val="ANA PAULA SILVA DA ROSA FACTORY POOL LTDA"/>
            <filter val="PME INSTALACOES E MANUTENCAO"/>
            <filter val="R. FIRMIANO PEREIRA COMERCIO DE PISCINAS EIRELI"/>
            <filter val="Interbrasil"/>
            <filter val="MJ PINHEIRO"/>
            <filter val="DOM PISCINAS"/>
            <filter val="POUSADA FAZENDO DO ENGENHO LTDA"/>
            <filter val="Rayana Alves de Oliveira França"/>
            <filter val="INFRAH ENGENHARIA , INSTALACOES E SISTEMAS DE AQUECIMENTO LTDA"/>
            <filter val="ESPAÇO PISCINAS"/>
            <filter val="CR DOS SANTOS"/>
            <filter val="INFINITY POOL"/>
            <filter val="ROGER TIAGO DA SILVA CARNEIRO SANTOS"/>
            <filter val="JOLLI REPRESENTACOES COMERCIAIS LTDA"/>
            <filter val="DJA COMERCIO DE PISCINAS LTDA - ME"/>
            <filter val="IVSAN TRIVELLATO"/>
            <filter val="RAMIRO COM. DE PISCINAS LTDA EPP"/>
            <filter val="PONTO VERDE ENERGIA SOLAR"/>
            <filter val="JOSÉ CARLOS DE MATOS"/>
            <filter val="Felipe Teixeira Cava"/>
            <filter val="FAST WAY CLEANING"/>
            <filter val="HI-TECH BANHEIRAS E PISCINAS"/>
            <filter val="MAXITEMP SISTEMAS DE AQUECIMENTO EIRELI"/>
            <filter val="G M PISCINAS"/>
            <filter val="VITORIA PISCINAS E ECO JARDIM PRODUTOS, EQUIPAMENTOS E SERVI"/>
            <filter val="GOLD THERM PISCINAS LTDA"/>
            <filter val="VITAL PISCINAS COMERCIO DE PRODUTOS PARA PISCINAS LTDA"/>
            <filter val="DIONESIO FORTES DOS SANTOS 02832190090"/>
            <filter val="CHAMA ALTERNATIVA COMERCIO VAREJISTA DE AQUECEDORES LTDA"/>
            <filter val="AQUATICA"/>
            <filter val="TOP GAVEA EQUIPAMENTOS E SERVICOS DE LAZER LTDA"/>
            <filter val="SPECIAN PISCINAS"/>
            <filter val="FAP PISCINAS EIRELI"/>
            <filter val="ERDMANN EMPREENDIMENTOS E INCORPORACOES LTDA"/>
            <filter val="SUPER TEC LAR E LAZER"/>
            <filter val="SOL E PISCINA LTDA"/>
            <filter val="EDSON SERINEU SCHIMIDT SOCIEDADE UNIPESSOAL LTDA"/>
            <filter val="JRG CONSTRUÇÕES LTDA - ME"/>
            <filter val="FRIGEMAR SISTEMAS PARA CLIMATIZAÇÃO E AQUECIMENTO DE AGUA"/>
            <filter val="CASA DO ELETRICISTA MCR"/>
            <filter val="VERTICAL SOLAR SERVICOS LTDA"/>
            <filter val="NORDESTE CONSTRUÇÃO E MANUTENÇÃO INDUSTRIAL LTDA"/>
            <filter val="JACSON COMÉRCIO DE PISCINAS E JARDINS LTDA."/>
            <filter val="CARLOS ROBERTO DE SA GIMENES"/>
            <filter val="Veneza Piscinas"/>
            <filter val="Condomínio Edifício Veneto"/>
            <filter val="NERCI MOREIRA 60785039953"/>
            <filter val="4L IND. E COM. DE PISCINAS LTDA."/>
            <filter val="ACQUANEW PISCINAS MANUTENCAO E REFORMAS LTDA"/>
            <filter val="DR DAS AGUAS"/>
            <filter val="POOL HOME-COMERCIO DE PRODUTOS PARA PISCINA LTDA"/>
            <filter val="WM MAQUINAS E FERRAMENTAS"/>
            <filter val="CMIX 7 - SOLUCOES EM CONSTRUCAO EIRELI'"/>
            <filter val="COSTA LIMA COMERCIO DE PISCINAS"/>
            <filter val="BASALTO PISCINAS"/>
            <filter val="AF CONSTRUTORA LTDA"/>
            <filter val="Leo Piscinas Comercio E Servicos"/>
            <filter val="CAMILA VANZIN PAVANI"/>
            <filter val="NAUSSAT PISCINAS"/>
            <filter val="UNIAO BR DE EDUCACAO E ASSITENCIA PUCRS"/>
            <filter val="BOLHA AZUL COMERCIO VAREJISTA DE PISCINAS E EQUIPAMENTOS PAR"/>
            <filter val="Condominio Syline"/>
            <filter val="MELNICK PITANGUEIRA"/>
            <filter val="SYLVIA RODRIGUES DE CARVALHO &amp; CIA LTDA - ME"/>
            <filter val="LEANDRO REIS MARCOS"/>
            <filter val="ANDRE LUIS DO AMARAL 11134642911"/>
            <filter val="GOLDEN FOX REPRESENTAÇÕES COMERCIAIS LTDA"/>
            <filter val="PHD PISCINAS LTDA - ME"/>
            <filter val="LUIZ FERNANDO SOTO MORAEYA"/>
            <filter val="MARCELO KORNER"/>
            <filter val="CONNECTA AQUECIMENTO SOLAR E HIDRAULICA EIRELI"/>
            <filter val="DECARLI ANGELI BERNARDI 01691477974"/>
            <filter val="HIDRAULICA JABO LTDA"/>
            <filter val="CONDOMINIO DO GRUPAMENTO RESIDENCIAL PACO REAL"/>
            <filter val="OURO SOLAR"/>
            <filter val="José Hubner de Miranda"/>
            <filter val="ODY PARK"/>
            <filter val="MARETTI GARDEN CENTER LTDA"/>
            <filter val="HIDROTOP PISCINAS LTDA"/>
            <filter val="CRISTAL PISCINAS EIRELI"/>
            <filter val="EMPREENDIMENTOS FL LTDA"/>
            <filter val="DELMAR SALTON JUNIOR"/>
            <filter val="CLUBE RECREATIVO INDUSTRIAL - CRI"/>
            <filter val="AGUA QUENTE SOLAR EIRELI - EPP"/>
            <filter val="Gilvan Nunes Soares"/>
            <filter val="SPECIAN LUZ PISCINAS"/>
            <filter val="CARRAPETA BARRA PISCINAS LTDA"/>
            <filter val="TIAGO DE ALENCAR BORGES"/>
            <filter val="DPI INSTALACOES, LOCACOES E COMERCIO EIRELI"/>
            <filter val="HDR SOLUÇÕES"/>
            <filter val="BK INDÚSTRIA E COMÉRCIO LTDA"/>
            <filter val="Ibiza Piscinas"/>
            <filter val="WAGNER OZIO PISCINAS"/>
            <filter val="SPG ENERGIA LTDA"/>
            <filter val="Maringa Energy Ltda"/>
            <filter val="LS BOMBAS E ASSISTENCIA TECNICA LTDA"/>
            <filter val="RAIAR DO SOL PISCINAS"/>
            <filter val="DAIANE ROBERTA DE ANDRADE 09747909901"/>
            <filter val="DEPOSITO BEIRA RIO"/>
            <filter val="SÓ LAZER PISCINAS"/>
            <filter val="ACQUARELLA PISCINAS"/>
            <filter val="COMERCIAL AGUA MARIN"/>
            <filter val="CLEDIANE BANDEIRA"/>
            <filter val="DINAMICA SOLAR"/>
            <filter val="HIPER POOL COMERCIO DE PISCINAS LTDA"/>
            <filter val="FAP PISCINAS LTDA"/>
            <filter val="HIGH TECH SOLAR BANHEIRAS E PISCINAS LTDA"/>
            <filter val="CASA DA PISCINA E PRODUTOS PETS LTDA"/>
            <filter val="Leonardo de Moura"/>
            <filter val="AVIZ MATERIAIS DE CONSTRUCAO LTDA"/>
            <filter val="BOLHA AZUL COM. VAREJISTA DE PISCINAS"/>
            <filter val="32.015.864 RODRIGO CARVALHO MEDEIROS"/>
            <filter val="DEA PISCINAS"/>
            <filter val="SENSOR LIGHT SAUDE AMBIENTAL E DO LAR LTDA - ME"/>
            <filter val="DONATTI DISTRIBUIDORA LTDA"/>
            <filter val="TAINAN DA SILVEIRA RODRIGUES"/>
            <filter val="PETENUCI PISCINAS"/>
            <filter val="SOL &amp; LAZER PISCINAS LTDA"/>
            <filter val="MONIQUE REZENDE DA SILVA INSTALAÇÃO DE MÁQUINAS E EQUIPAMENTOS INDUSTRIAIS"/>
            <filter val="RINO PISCINAS E PETS"/>
            <filter val="SPLASH PISCINAS"/>
            <filter val="Mariano Ademar Petracco Neto"/>
            <filter val="TOP PISCINAS COMERCIO E SERVICOS LTDA"/>
            <filter val="PONTO DO LAZER"/>
            <filter val="RUDIMAR CAPRA"/>
            <filter val="PASETTO COMÉRCIO E TRANSPORTE LTDA"/>
            <filter val="EXPRESSO SAO MIGUEL"/>
            <filter val="SIMONE COMÉRCIO DE PISCINAS EIRELLI"/>
            <filter val="Francisco Cabral de Oliveira"/>
            <filter val="JK EQUIPAMENTO E SERVICOS"/>
            <filter val="EQUIPER ENGENHARIA"/>
            <filter val="COSTRUFACIL LTDA"/>
            <filter val="COND. RES.  SOLAR JOAO E MARILDA FERREIRA DE SOUZA"/>
            <filter val="DE BONA DINO"/>
            <filter val="HL INSTALACOES"/>
            <filter val="CONDOMINIO EDIFICIO MAESTRO"/>
            <filter val="ACQUA PORTO"/>
            <filter val="Luiz Alberto Miranda"/>
            <filter val="EMERSON MARTINS"/>
            <filter val="BOLHA AZUL"/>
            <filter val="ESSENCIAL CASA LAZER LTDA"/>
            <filter val="ADRIANA DA FONTE PORTO CARREIRO"/>
            <filter val="SIN AR CONDICIONADO LTDA"/>
            <filter val="7484 PISCINAS E MAT CONSTRUÇAO"/>
            <filter val="FLIPPER PISCINAS"/>
            <filter val="COMERCIAL ÁGUA E LAZER LTDA"/>
            <filter val="HIDROWILL"/>
            <filter val="LAR PISCINAS"/>
            <filter val="EMAUS MANUTENÇÃO E COMÉRCIO LTDA"/>
            <filter val="VERTICAL SOLAR PISCINAS E AQUECEDORES"/>
            <filter val="DAN PISCINAS"/>
            <filter val="MONTE PASCOAL HOTEIS LTDA"/>
            <filter val="CHAMA ALTERNATIVA ATACADISTA DA CONSTRUCAO LTDA"/>
            <filter val="AQUECEBEM COMERCIO DE AQUECEDORES LTDA"/>
            <filter val="Hibritec"/>
            <filter val="JO PISCINAS"/>
            <filter val="LM REFRIGERACAO E AQUECIMENTO SOLAR LTDA"/>
            <filter val="SOLARINI SERVIÇOS ELETRICOS LTDA"/>
            <filter val="CONDOMINIO EDIFICIO PERSONALITE BELA VISTA"/>
            <filter val="CURITIBA TERMOTECK"/>
            <filter val="POOL HOME"/>
            <filter val="CERT Engenharia e Tecnologia"/>
            <filter val="HIPERCLIMA SISTEMAS DE CLIMATIZACAO"/>
            <filter val="PRO LAZER"/>
            <filter val="AMANDA C. B. ZEN"/>
            <filter val="JOSE EUSTAQUIO DA SILVA 04569301673"/>
            <filter val="PISCINAS H2O LTDA"/>
            <filter val="AGUAS E VAPORES"/>
            <filter val="STEINFIBER"/>
            <filter val="HIDROTOP PISCINAS"/>
            <filter val="BR CERT LABORATORIOS LTDA."/>
            <filter val="Alessandra Carvalho de Lima Vila"/>
            <filter val="IT HOME DESIGN E DECORAÇÃO EIRELI"/>
            <filter val="VILLAGE BELLATORRES"/>
            <filter val="REAL PISCINAS LTDA"/>
            <filter val="RESOLVE INSTALACOES ELETRICAS LTDA"/>
            <filter val="JD CONSTRUTORA"/>
            <filter val="BSB COMERCIO DE PISCINAS E INSTALACAO DE EQUIPAMENTOS LTDA"/>
            <filter val="PODYUM LANCAMENTOS"/>
            <filter val="CELSO COLMAN VERA 03248975105"/>
            <filter val="FRANCIELLE DE PAULA 07701656995"/>
            <filter val="AQS ENERGIA E AQUECIMENTO SOLAR"/>
            <filter val="NEOENERGY BRASIL ENGENHARIA LTDA"/>
            <filter val="ACQUATHERM"/>
            <filter val="LAR LAPEANO DE SAUDE LTDA"/>
            <filter val="JK SOLARES"/>
            <filter val="RODRIGO LANA DOMINGUES"/>
            <filter val="IRMÃOS MARQUES COMÉRCIO E SERVIÇOS LTDA"/>
            <filter val="EDSON LUIZ BROCH 47060930582"/>
            <filter val="ANP COMERCIO E SERVICOS DE PISCINAS LTDA"/>
            <filter val="49.618.364 LUCIELE APARECIDA VALAU BRO"/>
            <filter val="HIDROFASE"/>
            <filter val="TENCIANO PISCINAS"/>
            <filter val="SOS PISCINAS"/>
            <filter val="GOTA D'AGUA SOLUCOES."/>
            <filter val="MARILIA BUSS BRUNE"/>
            <filter val="PISCINAS CAMPO LARGO"/>
            <filter val="MBDJ BOMBAS E SOLUCOES"/>
            <filter val="ARCO-IRIS PISCINAS"/>
            <filter val="AGUA VIVA PISCINAS E LIMPEZA"/>
            <filter val="SUNS AQUECEDORES"/>
            <filter val="JATO D AGUA BANHEIRAS E PISCINAS LTDA"/>
            <filter val="JOÃO MIGUEL TOLOTTI"/>
            <filter val="CLAUDIA RIOS DE MELLO SANTOS"/>
            <filter val="AMUR FERREIRA JUNIOR"/>
            <filter val="IRMAOS ROTTA COMERCIO E MANUTENCAO DE PISCINAS E LAZER LTDA"/>
            <filter val="AQUATEC PISCINAS"/>
            <filter val="CLAUDIO PISCINAS"/>
            <filter val="AGUA VIVA INSTALACOES HIDRAULICAS"/>
            <filter val="E PROCOPIO PISCINA"/>
            <filter val="SOLAR BH"/>
            <filter val="THAYNARA PIRES DE ANDRADES - PISCINAS E AQUECEDORES LTDA"/>
            <filter val="RAANAS PISCINAS"/>
            <filter val="BOLHA AZUL CAPAS PARA PISCINA"/>
            <filter val="ULTRASOL EQUIPAMETNOS PARA AQUECEDORES E PISCINAS LTDA"/>
            <filter val="YNOV DISTRIBUICAO DE PRODUTOS EIRELI"/>
            <filter val="Estúdio M2 Lazer Piscinas"/>
            <filter val="NERCI MOREIRA"/>
            <filter val="7484 PISCINAS E MATERIAIS DE CONSTRUCAO LTDA"/>
            <filter val="Bruno Perrout Suhet Silva"/>
            <filter val="BENE E BENI COMÉRCIO DE PISCINAS LTDA"/>
            <filter val="LAZER PISCINAS MODULAGO"/>
            <filter val="LWR PISCINAS"/>
            <filter val="DOLMIRA CANDIDA MOTTA DIAS"/>
            <filter val="Patricio Andre de Sousa Freire"/>
            <filter val="ERLAN DOS SANTOS FARIA COMERCIO E SERVICOS"/>
            <filter val="JATO D'AGUA BANHEIRAS E PISCINAS LTDA"/>
            <filter val="EQUIPAGUA EQUIPAMENTOS PARA AGUA LTDA"/>
            <filter val="PISCINACENTER COMERCIO E PRODUTOS PARA PISCINAS LTDA"/>
            <filter val="Acquasul"/>
            <filter val="SOCIAL POOL LTDA"/>
            <filter val="PLAMAX"/>
            <filter val="VIDA E SOL"/>
            <filter val="ACADEMIA NOVA GERACAO LTDA"/>
            <filter val="ESPACO DAS PISCINAS"/>
            <filter val="B Y D Info"/>
            <filter val="STUDIO CRIARTE LTDA"/>
            <filter val="SOL &amp; LAZER PISCINAS"/>
            <filter val="SIN AR CONDICIONADO"/>
            <filter val="ROBERTO C MARCAL COMERCIO DE ARTIGOS HIDRAULICOS"/>
            <filter val="JUNCAO REFRIGERACAO E AQUECIMENTO SOLAR LTDA"/>
            <filter val="ACQUADEL"/>
            <filter val="APARELHOS TERMICOS TECNOSOL LTDA"/>
            <filter val="CESAR HASS"/>
            <filter val="FABIANO SCHOMMER KERBER"/>
            <filter val="NATAL DUNNAS HOTEL"/>
            <filter val="TECPISCINAS"/>
            <filter val="ECOTEC SISTEMAS"/>
            <filter val="M.J PINHEIRO"/>
            <filter val="DONATTI DISTRIBUIDORA"/>
            <filter val="ILHA MAR PISCINAS"/>
            <filter val="AGUA DO VALE"/>
            <filter val="SPG ENERGIA SOLAR"/>
            <filter val="CONDOMÍNIO DO GRUPAMENTO RESIDENCIAL PAÇO REAL"/>
            <filter val="CSG PISCINAS"/>
            <filter val="BOMBAS DE CALOR E AQUECEDORES LTDA ME"/>
            <filter val="ILUSTRE SISTEMA DE ILUMINACAO"/>
            <filter val="MARCELO MOREIRA MORAES"/>
            <filter val="Rogério Nery da Camara"/>
            <filter val="ECO CLIMA CLIMATIZACAO SUSTENTAVEL LTDA"/>
            <filter val="SIDNEI PISCINAS"/>
            <filter val="CONDOMINIO VIVACE"/>
            <filter val="DE BONA - DINO"/>
            <filter val="CS3 TERMOTECNOLOGIA SP LTDA EPP"/>
            <filter val="UEME CONSTRUCAO CIVIL LTDA"/>
            <filter val="CONSTRUTORA GOMES"/>
            <filter val="FL PISCINAS"/>
            <filter val="BK INDUSTRIA E COMERCIO LTDA"/>
            <filter val="PRWT ARTIGOS PARA PISCINAS E LAZER LTDA"/>
            <filter val="RENATO RIBEIRO ALVES"/>
            <filter val="AQUALINE COM.DE ACESSORIOS E EQUIPAMENTOS PARA PISCINAS LTDA"/>
            <filter val="TOP PISCINAS"/>
            <filter val="Gil Martinelli Milbratz"/>
            <filter val="LAR PISCINAS SERVICOS E COMERCIO LTDA"/>
            <filter val="PRWT ARTIGOS PARA PISCINAS E LAZER EIRELI"/>
            <filter val="SPA PISCINAS"/>
            <filter val="LWR COMERCIO E SERVICOS LTDA"/>
            <filter val="BROGNONI &amp; BASSO CONSTRUCOES DE PISCINAS LTDA"/>
            <filter val="COSTA LIMA COMERCIO DE PISCINAS LTDA"/>
            <filter val="MEGAWATTS Soluções Elétricas Ltda"/>
            <filter val="SONDA SISTEMAS DE CALEFACAO"/>
            <filter val="TRI FRONTEIRA COMERCIO DE PISCINAS LTDA"/>
            <filter val="F-OZON COM. DE MAT. ELÉTRICOS LTDA"/>
            <filter val="PISCINAS HIDROTEC LTDA"/>
            <filter val="FABIANE MARKS DUARTE"/>
            <filter val="M da Silva Mouraes da Penha ME"/>
            <filter val="AQUALIFE COMERCIO E MANUTENCAO DE PISCINAS LTDA"/>
            <filter val="MARLISE"/>
            <filter val="OCEANO PISCINAS"/>
            <filter val="ANDRADES PISCINAS E AQUECEDORES LTDA"/>
            <filter val="ESFERA SOLAR"/>
            <filter val="S.C COIMBRA COMERCIO"/>
            <filter val="CIA DAS PISCINAS - OZIO"/>
            <filter val="PRONTOFAZ HIDROTERAPIA E LAZER LTDA"/>
            <filter val="EMPORIO PISCINAS"/>
            <filter val="SOL E AR"/>
            <filter val="FENSI INC EMPREENDIMENTOS LTDA"/>
            <filter val="IGUI UBERABA"/>
            <filter val="CLEISLA DIAS FERREIRA - PB SAUNAS AQUECIMENTO"/>
            <filter val="Império do Ar"/>
            <filter val="GEFIN"/>
            <filter val="JOLLI REPRESENTACOES COMERCIAIS"/>
            <filter val="GLOBALTECH BRASIL COMERCIO ELETRONICO"/>
            <filter val="LIMPA MAIS PISCINAS LTDA"/>
            <filter val="MULTICOLOR"/>
            <filter val="IMPERIO COMERCIO DE PISCINAS E PRODUTOS"/>
            <filter val="CARRAPETA BARRA PISCINAS EIRELI  BR116"/>
            <filter val="CAREGNATO"/>
            <filter val="MAGMA"/>
            <filter val="WILLIAN RAFAEL ALVES 06251787694"/>
            <filter val="S2 IMPORTAÇÃO E COMÉRCIO DE AR CONDICIONADO EPP"/>
            <filter val="AQUALY PISCINAS"/>
            <filter val="VANDERLEI SOELA"/>
            <filter val="LAZER &amp; CIA COMERCIO DE PISCINAS EIRELI"/>
            <filter val="PLUG SOLAR ENERGIA LTDA"/>
            <filter val="Thais Emannuelle Martins dos Reis Mafra"/>
            <filter val="PISCINA E LAZER GUARATUBA"/>
            <filter val="MAIS EMPREENDIMENTOS HOTELARIA LTDA"/>
            <filter val="JULIANA DANTAS DE ARAÚJO SANTOS CAMARGO"/>
            <filter val="ROMANHOLI SUPRIMENTOS INDUSTRIAIS LTDA"/>
            <filter val="Algarve Piscinas"/>
            <filter val="AGRO MAQUINÁS LTDA"/>
            <filter val="Izenilde Nascimento Mattos"/>
            <filter val="LAPINHA SPA"/>
            <filter val="DJA COMERCIO DE PISCINAS LTDA"/>
            <filter val="RODRIGO THIESEN FLORES"/>
            <filter val="JD CONSTRUTORA DE OBRAS E PISCINAS LTDA"/>
            <filter val="MESTRIA PROJETOS, INSTALADORA HIDRAULICA E ELETRICA LTD"/>
            <filter val="DARCI DE LIMA JUNIOR"/>
            <filter val="H2O PISCINAS LTDA"/>
            <filter val="SOLFORT AQUECIMENTO E ENERGIA"/>
            <filter val="TECNO LAZER"/>
            <filter val="EQUIPA COMÉRCIO DE PISCINAS LTDA"/>
            <filter val="GM FIBRAS IRATI LTDA"/>
            <filter val="BOMBAS DE CALOR E AQUECEDORES"/>
            <filter val="JOÃO CARLOS DI DOMÊNICO"/>
            <filter val="NADE PISCINAS LTDA"/>
            <filter val="Luizinho  Piscinas"/>
            <filter val="Edna de Andrade Nery"/>
            <filter val="J V R DE OLIVEIRA SERVICOS E COM. DE PISCINAS"/>
            <filter val="NAKAX PRODUÇÕES ARTISTICAS"/>
            <filter val="ANA PAULA SILVA DA ROSA FACTORY POOL"/>
            <filter val="Grázia Pimentel Lima Valladares"/>
            <filter val="CARLOS ANDRE TEIXEIRA MAIA"/>
            <filter val="SÉRGIO R. HANG"/>
            <filter val="S.O.S PISCINAS"/>
            <filter val="Sowshop Casa e Construcao"/>
            <filter val="MACHADO PAIVA PARTICIPACOES LTDA"/>
            <filter val="PISCINAS BALNEÁRIO LTDA"/>
            <filter val="PISCINAR PISCINAS E SPAS"/>
            <filter val="BRUNO AGOSTINI QUINTÃO"/>
            <filter val="AQUALAR E/OU AQUALAR WATER SOLUTIONS"/>
            <filter val="VR MOTOS MAQUINAS E EQUIPAMENTOS AGRICOLAS"/>
            <filter val="SANDRA CINI BONATTO"/>
            <filter val="AQUATEC"/>
            <filter val="MARCO ANTONIO MARQUES"/>
            <filter val="L&amp;S ACABAMENTOS - JOSIANE YARA GENSKE"/>
            <filter val="PLANETA PISCINAS COMERCIO LTDA"/>
            <filter val="LUIZ CARLOS CANHESTO PEREIRA 10318102773"/>
            <filter val="ELETRIC SECURITY"/>
            <filter val="MMK PISCINAS LTDA"/>
            <filter val="Ricardo Piscinas"/>
            <filter val="AQUALY LIMPEZA E COSERVACAO DE PISCINAS LTDA"/>
            <filter val="LEONARDO BICALHO CARDOSO"/>
            <filter val="GUILHERME PARREIRAS PASSOS"/>
            <filter val="DISK PISCINAS"/>
            <filter val="AGUAPE PISCINAS"/>
            <filter val="NOLANDIS EMPR. E PART. LTDA"/>
            <filter val="PISCINA E CIA - MJ PINHEIRO"/>
            <filter val="JUNIOR PISCINAS"/>
            <filter val="PISCINAS MUNDIAL"/>
            <filter val="HIBRITEC EQUIPAMENTOS E SERVICOS LTDA"/>
            <filter val="AGUA E SOL"/>
            <filter val="POUSADA DOS AQUECEDORES"/>
            <filter val="RECOL COMÉRCIO E ENERGIA"/>
            <filter val="SONDA CLIMA"/>
            <filter val="CMIX"/>
            <filter val="F O MARTINS COMERCIO PISCINAS EIRELLI"/>
            <filter val="TUTI BOM CHOCOLATARIA LTDA"/>
            <filter val="AMD SERVICOS DE INSTALACAO LTDA"/>
            <filter val="NARDI PISCINAS"/>
            <filter val="VITORIA PISCINAS E ECO JARDIM PROD EQUIP"/>
            <filter val="CIPRIANI ENGENHARIA ELETRICA EIRELI"/>
            <filter val="SPA - PISCINAS E CONSTRUCOES LTDA"/>
            <filter val="José Maria de Pinho Bicalho"/>
            <filter val="UNIVERSIDADE LUTERANA DO BRASIL - CAMPUS CANOAS"/>
            <filter val="NEHRING"/>
            <filter val="VEM QUE TEM ELETRICA"/>
            <filter val="SOLUÇÃO PRODUTOS SOLARES LTDA"/>
            <filter val="THERMOCOP"/>
            <filter val="Marysol Piscinas"/>
            <filter val="ITA FILTROS AQUECIMENTO E PRESSURIZAÇÃO"/>
            <filter val="HOTEL PREMIUM NORTE"/>
            <filter val="ELIANE MARIA DOS SANTOS PINHEIRO"/>
            <filter val="CONSTRUTORA JN"/>
            <filter val="J L C JUNIOR STAGNUM"/>
            <filter val="RUSTFER MOVEIS ARTESANAIS"/>
            <filter val="S.C. COIMBRA BAZAR"/>
            <filter val="BRASIL PISCINAS E SERVICOS LTDA"/>
            <filter val="COND HORIZONTAL DE LOTES PLAYA VISTA"/>
            <filter val="ROJANSKI"/>
            <filter val="SOLARPLUS IND E COMERCIO EIRELI"/>
            <filter val="ACQUA TUBARÃO PISCINAS E BANHEIRAS"/>
            <filter val="Luiz Felipe da Silva Freitas"/>
            <filter val="NAVI ENGENHARIA"/>
            <filter val="DS CONFORTO E LAZER LTDA."/>
            <filter val="JORGE MAFFEZZOLLI"/>
            <filter val="HIDROSHOP MATERIAIS DE CONSTRUCAO"/>
            <filter val="VITAL PISCINAS"/>
            <filter val="H20 PISCINAS LTDA"/>
            <filter val="HELTON LUIZ MEDEIROS"/>
            <filter val="PISCINAS &amp; CIA"/>
            <filter val="FAITH POOL"/>
            <filter val="TIMBRE PARTICIPAÇÕES LTDA"/>
            <filter val="AD PISCINAS"/>
            <filter val="CM PISCINAS"/>
            <filter val="RAY 82 EMPREENDIMENTOS LTDA"/>
            <filter val="JOSIANE YARA GENSKE"/>
            <filter val="TREME PISCINAS"/>
            <filter val="SPECIAN LUZ PISCINAS LTDA"/>
            <filter val="VERTICAL SOLAR SERVI"/>
            <filter val="GIFT STORE"/>
            <filter val="BK FIBRAS"/>
            <filter val="G2 PISCINAS E AQUECEDORES"/>
            <filter val="PRONTOFAZ"/>
            <filter val="CLAUDIO PISCINAS LTDA"/>
            <filter val="ALEXANDRO DIAS ARAUJO 90260589691"/>
            <filter val="FRANCISCO PEDRO DA SILVA EIRELI"/>
            <filter val="WELTER EMPREENDIMENTOS IMOBILIARIOS LTDA."/>
            <filter val="GLOBALTECH BRASIL COMERCIO ELETRÔNICO EIRELI"/>
            <filter val="JAPEMY BRASIL SOLUCOES HIDRAULICAS LTDA"/>
            <filter val="ALGARVE PISCINAS"/>
            <filter val="JOÃO CARLOS SOUZA DA SILVA LTDA"/>
            <filter val="DREFORMA"/>
            <filter val="TECPOOL PISCINAS LTDA"/>
            <filter val="AQUAFAN EDUCACAO AQUATICA"/>
            <filter val="CR DOS SANTOS CANUTO SOC UNIPESSOAL LTDA"/>
            <filter val="Isabel Fett Behrend"/>
            <filter val="Okpiscinas Colombo PR"/>
            <filter val="PODYUM CONSTRUCOES E PISCINAS LTDA - ME"/>
            <filter val="CONDOMINIO EDIFICIO PANTHEON"/>
            <filter val="C. I. ENERGIA SOLAR"/>
            <filter val="AGUAS CRISTALINAS"/>
            <filter val="M M DOS SANTOS COMERCIO DE INFORMATICA"/>
            <filter val="Rozo Engenharia"/>
            <filter val="CHICO PISCINAS"/>
            <filter val="START SHOP CATALAO"/>
            <filter val="HDR AQUECEDOR SOLAR"/>
            <filter val="AQUECEDORES E PISCINAS AGUA VIVA LTDA"/>
            <filter val="AQUECEBEM COMERCIO DE AQUECEDORES LTDA ME"/>
            <filter val="HIDRA MAR"/>
            <filter val="JL CARVALHO PISCINAS LTDA EPP"/>
            <filter val="MARKS PISCINAS"/>
            <filter val="MERGULHO ' S COMERCIO DE PISCINAS LTDA"/>
            <filter val="ANDRÉ DANTAS DE OLIVEIRA"/>
            <filter val="MD ELETROTECNICA"/>
            <filter val="LUZIANNA ADMINISTRADORA E INCORPORADORA DE IMOVEIS LTDA"/>
          </filters>
        </filterColumn>
        <filterColumn colId="8">
          <filters/>
        </filterColumn>
        <filterColumn colId="9">
          <filters>
            <filter val="MERCADO LIVRE"/>
            <filter val="TW"/>
            <filter val="MOVVI"/>
            <filter val="DISK &amp; TENHA"/>
            <filter val="EXPRESSO LEOMAR"/>
            <filter val="NOVA ERA"/>
            <filter val="ALIANÇA"/>
            <filter val="PLAMAX"/>
            <filter val="EXP. LEOMAR"/>
            <filter val="MARIO DICK"/>
            <filter val="RETIRA NA FRABRICA"/>
            <filter val="V2"/>
            <filter val="ND EXPRESS"/>
            <filter val="RODONAVES"/>
            <filter val="ACEVILLE"/>
            <filter val="SEM TRANSPORTE"/>
            <filter val="JAMEF"/>
            <filter val="TRANSAPUCARANA"/>
            <filter val="EXPRESSO M.LOG"/>
            <filter val="BRASSPRESS"/>
            <filter val="DESTAK"/>
            <filter val="MASTER FROMTHERM"/>
            <filter val="BRUSVILLE"/>
            <filter val="ALFA"/>
            <filter val="TRD TRANSPORTE"/>
            <filter val="EXPRESSO SAO MIGUEL"/>
            <filter val="RENATO"/>
          </filters>
        </filterColumn>
        <filterColumn colId="4">
          <filters blank="1">
            <filter val="FTI75D40CZ"/>
            <filter val="FT100D35T"/>
            <filter val="FH40D60T"/>
            <filter val="FT120J35T"/>
            <filter val="FT180F35"/>
            <filter val="AMOSTRA FT-20"/>
            <filter val="FTI145DBR"/>
            <filter val="FT20B35T"/>
            <filter val="FT160H35T"/>
            <filter val="FT240L35T"/>
            <filter val="FH100J45T"/>
            <filter val="FT180J35"/>
            <filter val="FT160F35"/>
            <filter val="FH80J60T"/>
            <filter val="FT40B35"/>
            <filter val="FT160J35"/>
            <filter val="FTI125L40CZ"/>
            <filter val="FTI35DPTBR"/>
            <filter val="FH50B60T"/>
            <filter val="FTI125D40PT"/>
            <filter val="5"/>
            <filter val="FH160F60"/>
            <filter val="FTI25D40PT"/>
            <filter val="FTI55D40PT"/>
            <filter val="FT20B35"/>
            <filter val="FT180H35T"/>
            <filter val="FH40B60"/>
            <filter val="FH160J60"/>
            <filter val="FT60F35T"/>
            <filter val="FH160L60T"/>
            <filter val="FT180L35T"/>
            <filter val="FT80H35T"/>
            <filter val="FT120L35T"/>
            <filter val="FT60B35"/>
            <filter val="FT50B35T"/>
            <filter val="FTI55D40CZ"/>
            <filter val="FT120D35T"/>
            <filter val="FT80J35"/>
            <filter val="FT80F35"/>
            <filter val="FT100F35T"/>
            <filter val="FT240J35T"/>
            <filter val="FT160F35T"/>
            <filter val="AMOSTRA FT-25/40"/>
            <filter val="FH80H60T"/>
            <filter val="FT60L35T"/>
            <filter val="FTI105L40CZ"/>
            <filter val="FT80B35"/>
            <filter val="BDC105A125PT - BANDEJA"/>
            <filter val="FT120B35T"/>
            <filter val="FT60D35T"/>
            <filter val="FH160J60T"/>
            <filter val="FT120F35"/>
            <filter val="FTI75D40PT"/>
            <filter val="FTI105D40PT"/>
            <filter val="FT120J35"/>
            <filter val="FT60F35"/>
            <filter val="FTI115DPTBR"/>
            <filter val="FT60J35"/>
            <filter val="FTI45D40PT"/>
            <filter val="FH240F60T"/>
            <filter val="FT180J35T"/>
            <filter val="FT50D35T"/>
            <filter val="FTi25D40PT"/>
            <filter val="FH100F60T"/>
            <filter val="FT120F35T"/>
            <filter val="FTI105D40CZ"/>
            <filter val="FT100F35"/>
            <filter val="FT160L35T"/>
            <filter val="FT100H35T"/>
            <filter val="FT240H35T"/>
            <filter val="FH160J45T"/>
            <filter val="FH100F60"/>
            <filter val="FT80J35T"/>
            <filter val="FH100J60"/>
            <filter val="FT100J35"/>
            <filter val="FT40D35T"/>
            <filter val="FH80F60T"/>
            <filter val="FT70D35T"/>
            <filter val="FH100L60T"/>
            <filter val="FT25B35T"/>
            <filter val="FT60J35T"/>
            <filter val="FH160H60T"/>
            <filter val="FH240L60T"/>
            <filter val="FTI125L40PT"/>
            <filter val="FT60B35T"/>
            <filter val="FTI125D40CZ"/>
            <filter val="FH40B60T"/>
            <filter val="FT80D35T"/>
            <filter val="FT100B35T"/>
            <filter val="FT120H35T"/>
            <filter val="FH100H60T"/>
            <filter val="FTI45DPTBR"/>
            <filter val="FT70J35"/>
            <filter val="FT100J35T"/>
            <filter val="BDC25A75PT - BANDEJA"/>
            <filter val="FT160J35T"/>
            <filter val="FT25B35"/>
            <filter val="FT50B35"/>
            <filter val="FT80L35T"/>
            <filter val="FT240F35T"/>
            <filter val="FH80L60T"/>
            <filter val="FTI55DPTBR"/>
            <filter val="FTI35D40PT"/>
            <filter val="FT40B35T"/>
            <filter val="FT240F35"/>
            <filter val="FT70B35T"/>
            <filter val="FT240J35"/>
            <filter val="FT70J35T"/>
            <filter val="FTI105L40PT"/>
            <filter val="FTI115DBR"/>
            <filter val="FT70B35"/>
            <filter val="CARCACA AMOSTRA FTIBR"/>
            <filter val="FTI145DPTBR"/>
            <filter val="FT180F35T"/>
            <filter val="FH160F60T"/>
            <filter val="FT60H35T"/>
          </filters>
        </filterColumn>
        <sortState ref="A1:AB3204">
          <sortCondition ref="A1:A3204"/>
          <sortCondition ref="E1:E3204"/>
          <sortCondition ref="J1:J3204"/>
        </sortState>
      </autoFilter>
    </customSheetView>
    <customSheetView guid="{72EA36B5-9AFA-4388-8F9C-275476250A23}" filter="1" showAutoFilter="1">
      <autoFilter ref="$A$1:$O$2041">
        <filterColumn colId="8">
          <filters/>
        </filterColumn>
      </autoFilter>
    </customSheetView>
    <customSheetView guid="{ED81DAA4-7466-48B8-8815-7F8D8F4BFC00}" filter="1" showAutoFilter="1">
      <autoFilter ref="$A$1:$O$2041"/>
    </customSheetView>
    <customSheetView guid="{6C612A31-3EDB-4DAA-8AD6-0C1C6CD2309B}" filter="1" showAutoFilter="1">
      <autoFilter ref="$A$1:$AB$3212">
        <filterColumn colId="9">
          <filters>
            <filter val="FITLOG"/>
            <filter val="SEM TRANSPORTE"/>
          </filters>
        </filterColumn>
        <filterColumn colId="8">
          <filters/>
        </filterColumn>
        <filterColumn colId="4">
          <filters blank="1">
            <filter val="FT80F35T"/>
            <filter val="FTI75D40CZ"/>
            <filter val="FT100D35T"/>
            <filter val="FH40D60T"/>
            <filter val="FT120J35T"/>
            <filter val="FT180F35"/>
            <filter val="AMOSTRA FT-20"/>
            <filter val="FTI145DBR"/>
            <filter val="FT20B35T"/>
            <filter val="FT160H35T"/>
            <filter val="FT240L35T"/>
            <filter val="FH100J45T"/>
            <filter val="FT180J35"/>
            <filter val="FT160F35"/>
            <filter val="FH80J60T"/>
            <filter val="FT40B35"/>
            <filter val="FT160J35"/>
            <filter val="FTI125L40CZ"/>
            <filter val="FTI35DPTBR"/>
            <filter val="FH50B60T"/>
            <filter val="FTI125D40PT"/>
            <filter val="5"/>
            <filter val="FH160F60"/>
            <filter val="FTI25D40PT"/>
            <filter val="FTI55D40PT"/>
            <filter val="FT20B35"/>
            <filter val="FT180H35T"/>
            <filter val="FH40B60"/>
            <filter val="FH160J60"/>
            <filter val="FT60F35T"/>
            <filter val="FH160L60T"/>
            <filter val="FT180L35T"/>
            <filter val="FT80H35T"/>
            <filter val="FT120L35T"/>
            <filter val="FT60B35"/>
            <filter val="FT50B35T"/>
            <filter val="FTI55D40CZ"/>
            <filter val="FT120D35T"/>
            <filter val="FT80J35"/>
            <filter val="FT80F35"/>
            <filter val="FTI75DPTBR"/>
            <filter val="FT100F35T"/>
            <filter val="FT240J35T"/>
            <filter val="FT160F35T"/>
            <filter val="AMOSTRA FT-25/40"/>
            <filter val="FH80H60T"/>
            <filter val="FT60L35T"/>
            <filter val="FTI105L40CZ"/>
            <filter val="FT80B35"/>
            <filter val="BDC105A125PT - BANDEJA"/>
            <filter val="FT120B35T"/>
            <filter val="FT60D35T"/>
            <filter val="FH160J60T"/>
            <filter val="FT120F35"/>
            <filter val="FTI75D40PT"/>
            <filter val="FTI105D40PT"/>
            <filter val="FT120J35"/>
            <filter val="FT60F35"/>
            <filter val="FTI115DPTBR"/>
            <filter val="FT60J35"/>
            <filter val="FTI45D40PT"/>
            <filter val="FH240F60T"/>
            <filter val="FT180J35T"/>
            <filter val="FT50D35T"/>
            <filter val="FTi25D40PT"/>
            <filter val="FT80B35T"/>
            <filter val="FH100F60T"/>
            <filter val="FT120F35T"/>
            <filter val="FTI105D40CZ"/>
            <filter val="FT100F35"/>
            <filter val="FT160L35T"/>
            <filter val="FT100H35T"/>
            <filter val="FT240H35T"/>
            <filter val="FH160J45T"/>
            <filter val="FH100F60"/>
            <filter val="FT80J35T"/>
            <filter val="FH100J60"/>
            <filter val="FT100J35"/>
            <filter val="FT40D35T"/>
            <filter val="FH80F60T"/>
            <filter val="FT70D35T"/>
            <filter val="FH100L60T"/>
            <filter val="FT25B35T"/>
            <filter val="FT60J35T"/>
            <filter val="FH160H60T"/>
            <filter val="FH240L60T"/>
            <filter val="FTI125L40PT"/>
            <filter val="FT60B35T"/>
            <filter val="FTI125D40CZ"/>
            <filter val="FH40B60T"/>
            <filter val="FT80D35T"/>
            <filter val="FT100B35T"/>
            <filter val="FT120H35T"/>
            <filter val="FH100H60T"/>
            <filter val="FTI45DPTBR"/>
            <filter val="FT70J35"/>
            <filter val="FT100J35T"/>
            <filter val="BDC25A75PT - BANDEJA"/>
            <filter val="FT160J35T"/>
            <filter val="FT25B35"/>
            <filter val="FT50B35"/>
            <filter val="FT80L35T"/>
            <filter val="FT240F35T"/>
            <filter val="FH80L60T"/>
            <filter val="FTI55DPTBR"/>
            <filter val="FTI35D40PT"/>
            <filter val="FT40B35T"/>
            <filter val="FT240F35"/>
            <filter val="FT70B35T"/>
            <filter val="FT240J35"/>
            <filter val="FT70J35T"/>
            <filter val="FTI105L40PT"/>
            <filter val="FTI115DBR"/>
            <filter val="FT70B35"/>
            <filter val="CARCACA AMOSTRA FTIBR"/>
            <filter val="FTI145DPTBR"/>
            <filter val="FT180F35T"/>
            <filter val="FH160F60T"/>
            <filter val="FT60H35T"/>
          </filters>
        </filterColumn>
        <filterColumn colId="11">
          <filters blank="1">
            <filter val="10657"/>
            <filter val="11504"/>
            <filter val="11988"/>
            <filter val="10656"/>
            <filter val="11503"/>
            <filter val="10659"/>
            <filter val="11506"/>
            <filter val="10658"/>
            <filter val="11505"/>
            <filter val="11989"/>
            <filter val="11508"/>
            <filter val="11507"/>
            <filter val="11509"/>
            <filter val="10651"/>
            <filter val="11982"/>
            <filter val="10650"/>
            <filter val="11984"/>
            <filter val="10652"/>
            <filter val="11983"/>
            <filter val="10655"/>
            <filter val="11502"/>
            <filter val="11501"/>
            <filter val="11985"/>
            <filter val="9765-10213"/>
            <filter val="10668"/>
            <filter val="11515"/>
            <filter val="10667"/>
            <filter val="11514"/>
            <filter val="1"/>
            <filter val="11998"/>
            <filter val="9812-10297"/>
            <filter val="11517"/>
            <filter val="2"/>
            <filter val="10669"/>
            <filter val="11516"/>
            <filter val="3"/>
            <filter val="11519"/>
            <filter val="11518"/>
            <filter val="11991"/>
            <filter val="11990"/>
            <filter val="10662"/>
            <filter val="10664"/>
            <filter val="11511"/>
            <filter val="11995"/>
            <filter val="10663"/>
            <filter val="11510"/>
            <filter val="11994"/>
            <filter val="10666"/>
            <filter val="11513"/>
            <filter val="12841"/>
            <filter val="11997"/>
            <filter val="10665"/>
            <filter val="11512"/>
            <filter val="11996"/>
            <filter val="15089"/>
            <filter val="11966"/>
            <filter val="11965"/>
            <filter val="10637"/>
            <filter val="11968"/>
            <filter val="11967"/>
            <filter val="10639"/>
            <filter val="11969"/>
            <filter val="10638"/>
            <filter val="11960"/>
            <filter val="10631"/>
            <filter val="11962"/>
            <filter val="10630"/>
            <filter val="11961"/>
            <filter val="10633"/>
            <filter val="11964"/>
            <filter val="10632"/>
            <filter val="11963"/>
            <filter val="10646"/>
            <filter val="10645"/>
            <filter val="10648"/>
            <filter val="10647"/>
            <filter val="10649"/>
            <filter val="10640"/>
            <filter val="10642"/>
            <filter val="10641"/>
            <filter val="11972"/>
            <filter val="10644"/>
            <filter val="10643"/>
            <filter val="10609"/>
            <filter val="10613"/>
            <filter val="11944"/>
            <filter val="10612"/>
            <filter val="11943"/>
            <filter val="10615"/>
            <filter val="11946"/>
            <filter val="9808-10251"/>
            <filter val="10614"/>
            <filter val="11945"/>
            <filter val="10617"/>
            <filter val="11948"/>
            <filter val="1014"/>
            <filter val="10616"/>
            <filter val="11947"/>
            <filter val="10619"/>
            <filter val="10618"/>
            <filter val="11949"/>
            <filter val="11940"/>
            <filter val="10611"/>
            <filter val="11942"/>
            <filter val="10610"/>
            <filter val="11941"/>
            <filter val="10624"/>
            <filter val="11955"/>
            <filter val="10623"/>
            <filter val="11954"/>
            <filter val="10626"/>
            <filter val="11957"/>
            <filter val="10625"/>
            <filter val="11956"/>
            <filter val="10628"/>
            <filter val="11959"/>
            <filter val="10627"/>
            <filter val="11958"/>
            <filter val="10629"/>
            <filter val="11951"/>
            <filter val="11953"/>
            <filter val="11952"/>
            <filter val="15042"/>
            <filter val="15041"/>
            <filter val="11919"/>
            <filter val="11922"/>
            <filter val="9850- 10416"/>
            <filter val="11921"/>
            <filter val="11924"/>
            <filter val="11923"/>
            <filter val="11928"/>
            <filter val="11920"/>
            <filter val="15052"/>
            <filter val="11929"/>
            <filter val="11933"/>
            <filter val="10602"/>
            <filter val="10601"/>
            <filter val="11932"/>
            <filter val="10604"/>
            <filter val="11935"/>
            <filter val="10603"/>
            <filter val="11934"/>
            <filter val="10606"/>
            <filter val="11937"/>
            <filter val="10605"/>
            <filter val="11936"/>
            <filter val="11939"/>
            <filter val="11938"/>
            <filter val="10600"/>
            <filter val="11931"/>
            <filter val="11930"/>
            <filter val="11580"/>
            <filter val="11581"/>
            <filter val="11108"/>
            <filter val="11107"/>
            <filter val="11109"/>
            <filter val="10253"/>
            <filter val="11100"/>
            <filter val="11584"/>
            <filter val="10252"/>
            <filter val="11583"/>
            <filter val="10255"/>
            <filter val="11102"/>
            <filter val="11586"/>
            <filter val="10254"/>
            <filter val="11101"/>
            <filter val="11585"/>
            <filter val="10257"/>
            <filter val="11104"/>
            <filter val="10256"/>
            <filter val="11103"/>
            <filter val="10259"/>
            <filter val="11106"/>
            <filter val="10258"/>
            <filter val="11105"/>
            <filter val="11589"/>
            <filter val="10260"/>
            <filter val="11590"/>
            <filter val="10262"/>
            <filter val="10261"/>
            <filter val="11118"/>
            <filter val="11111"/>
            <filter val="10263"/>
            <filter val="11110"/>
            <filter val="11594"/>
            <filter val="10266"/>
            <filter val="11113"/>
            <filter val="11597"/>
            <filter val="10265"/>
            <filter val="11112"/>
            <filter val="11596"/>
            <filter val="10268"/>
            <filter val="11115"/>
            <filter val="11599"/>
            <filter val="12447"/>
            <filter val="10267"/>
            <filter val="11114"/>
            <filter val="11598"/>
            <filter val="11117"/>
            <filter val="10269"/>
            <filter val="11116"/>
            <filter val="9800"/>
            <filter val="11560"/>
            <filter val="10239"/>
            <filter val="10238"/>
            <filter val="11569"/>
            <filter val="12416"/>
            <filter val="10231"/>
            <filter val="11562"/>
            <filter val="-11745"/>
            <filter val="11561"/>
            <filter val="-11744"/>
            <filter val="10235"/>
            <filter val="11566"/>
            <filter val="11565"/>
            <filter val="10237"/>
            <filter val="11568"/>
            <filter val="11570"/>
            <filter val="-11752"/>
            <filter val="9803"/>
            <filter val="11573"/>
            <filter val="9804"/>
            <filter val="10241"/>
            <filter val="9801"/>
            <filter val="10244"/>
            <filter val="11575"/>
            <filter val="9802"/>
            <filter val="9807"/>
            <filter val="11577"/>
            <filter val="10245"/>
            <filter val="11576"/>
            <filter val="9805"/>
            <filter val="10248"/>
            <filter val="11579"/>
            <filter val="9806"/>
            <filter val="10247"/>
            <filter val="11578"/>
            <filter val="9821"/>
            <filter val="9822"/>
            <filter val="10691"/>
            <filter val="9820"/>
            <filter val="10690"/>
            <filter val="10045-10286"/>
            <filter val="11548"/>
            <filter val="11547"/>
            <filter val="11549"/>
            <filter val="10693"/>
            <filter val="11540"/>
            <filter val="9815"/>
            <filter val="10692"/>
            <filter val="11541"/>
            <filter val="10697"/>
            <filter val="9819"/>
            <filter val="10696"/>
            <filter val="11543"/>
            <filter val="10699"/>
            <filter val="11546"/>
            <filter val="9817"/>
            <filter val="11545"/>
            <filter val="9832"/>
            <filter val="9833"/>
            <filter val="9830"/>
            <filter val="9831"/>
            <filter val="10228"/>
            <filter val="10227"/>
            <filter val="12409"/>
            <filter val="10220"/>
            <filter val="9825"/>
            <filter val="11551"/>
            <filter val="11550"/>
            <filter val="10222"/>
            <filter val="9823"/>
            <filter val="11553"/>
            <filter val="9824"/>
            <filter val="10221"/>
            <filter val="11552"/>
            <filter val="9829"/>
            <filter val="11555"/>
            <filter val="11554"/>
            <filter val="11557"/>
            <filter val="9828"/>
            <filter val="10225"/>
            <filter val="11556"/>
            <filter val="12402"/>
            <filter val="9840"/>
            <filter val="9843"/>
            <filter val="9844"/>
            <filter val="9841"/>
            <filter val="9842"/>
            <filter val="10679"/>
            <filter val="11526"/>
            <filter val="10678"/>
            <filter val="11528"/>
            <filter val="11527"/>
            <filter val="11529"/>
            <filter val="10671"/>
            <filter val="10670"/>
            <filter val="9834"/>
            <filter val="11520"/>
            <filter val="9835"/>
            <filter val="10675"/>
            <filter val="11522"/>
            <filter val="10674"/>
            <filter val="11521"/>
            <filter val="9838"/>
            <filter val="10677"/>
            <filter val="11524"/>
            <filter val="9839"/>
            <filter val="10676"/>
            <filter val="11523"/>
            <filter val="9851"/>
            <filter val="9854"/>
            <filter val="9855"/>
            <filter val="9852"/>
            <filter val="10680"/>
            <filter val="9853"/>
            <filter val="10206"/>
            <filter val="11537"/>
            <filter val="10205"/>
            <filter val="10689"/>
            <filter val="11536"/>
            <filter val="10208"/>
            <filter val="11539"/>
            <filter val="10207"/>
            <filter val="11538"/>
            <filter val="9848"/>
            <filter val="9845"/>
            <filter val="10200"/>
            <filter val="10684"/>
            <filter val="9846"/>
            <filter val="11530"/>
            <filter val="10202"/>
            <filter val="10686"/>
            <filter val="10201"/>
            <filter val="10685"/>
            <filter val="9849"/>
            <filter val="10204"/>
            <filter val="10688"/>
            <filter val="10203"/>
            <filter val="10687"/>
            <filter val="9861"/>
            <filter val="11061"/>
            <filter val="9860"/>
            <filter val="11060"/>
            <filter val="9865"/>
            <filter val="11063"/>
            <filter val="12396"/>
            <filter val="11062"/>
            <filter val="9863"/>
            <filter val="11065"/>
            <filter val="12393"/>
            <filter val="9864"/>
            <filter val="11064"/>
            <filter val="12394"/>
            <filter val="9858"/>
            <filter val="11067"/>
            <filter val="9859"/>
            <filter val="11066"/>
            <filter val="9856"/>
            <filter val="11069"/>
            <filter val="12397"/>
            <filter val="9857"/>
            <filter val="11068"/>
            <filter val="9872"/>
            <filter val="11070"/>
            <filter val="9873"/>
            <filter val="9870"/>
            <filter val="11072"/>
            <filter val="9871"/>
            <filter val="11071"/>
            <filter val="9876"/>
            <filter val="11074"/>
            <filter val="9877"/>
            <filter val="9874"/>
            <filter val="11076"/>
            <filter val="9875"/>
            <filter val="11075"/>
            <filter val="10075-10232"/>
            <filter val="SEM NF"/>
            <filter val="9869"/>
            <filter val="11078"/>
            <filter val="11077"/>
            <filter val="9867"/>
            <filter val="9868"/>
            <filter val="11079"/>
            <filter val="9883"/>
            <filter val="9884"/>
            <filter val="12370"/>
            <filter val="9881"/>
            <filter val="10192"/>
            <filter val="9882"/>
            <filter val="9887"/>
            <filter val="10194"/>
            <filter val="11041"/>
            <filter val="9888"/>
            <filter val="10193"/>
            <filter val="11040"/>
            <filter val="9885"/>
            <filter val="11043"/>
            <filter val="9886"/>
            <filter val="11042"/>
            <filter val="12372"/>
            <filter val="9880"/>
            <filter val="11045"/>
            <filter val="12375"/>
            <filter val="9879"/>
            <filter val="11046"/>
            <filter val="11049"/>
            <filter val="11048"/>
            <filter val="9894"/>
            <filter val="9895"/>
            <filter val="11050"/>
            <filter val="9893"/>
            <filter val="9898"/>
            <filter val="11052"/>
            <filter val="9899"/>
            <filter val="11051"/>
            <filter val="9896"/>
            <filter val="9897"/>
            <filter val="11053"/>
            <filter val="11056"/>
            <filter val="12386"/>
            <filter val="11057"/>
            <filter val="10170"/>
            <filter val="10172"/>
            <filter val="12351"/>
            <filter val="10171"/>
            <filter val="12352"/>
            <filter val="10174"/>
            <filter val="10173"/>
            <filter val="12350"/>
            <filter val="10176"/>
            <filter val="11023"/>
            <filter val="12355"/>
            <filter val="10175"/>
            <filter val="11022"/>
            <filter val="12356"/>
            <filter val="10178"/>
            <filter val="11025"/>
            <filter val="12353"/>
            <filter val="10177"/>
            <filter val="11024"/>
            <filter val="12354"/>
            <filter val="11027"/>
            <filter val="12359"/>
            <filter val="10179"/>
            <filter val="11026"/>
            <filter val="11029"/>
            <filter val="12357"/>
            <filter val="11028"/>
            <filter val="12358"/>
            <filter val="10183"/>
            <filter val="11030"/>
            <filter val="10182"/>
            <filter val="10185"/>
            <filter val="11032"/>
            <filter val="10184"/>
            <filter val="11031"/>
            <filter val="11034"/>
            <filter val="12366"/>
            <filter val="11033"/>
            <filter val="12367"/>
            <filter val="11036"/>
            <filter val="12364"/>
            <filter val="11035"/>
            <filter val="11038"/>
            <filter val="11037"/>
            <filter val="12368"/>
            <filter val="11039"/>
            <filter val="12369"/>
            <filter val="10150"/>
            <filter val="11481"/>
            <filter val="11480"/>
            <filter val="10152"/>
            <filter val="11483"/>
            <filter val="10151"/>
            <filter val="11482"/>
            <filter val="10029-10278"/>
            <filter val="11008"/>
            <filter val="10154"/>
            <filter val="12333"/>
            <filter val="10153"/>
            <filter val="11000"/>
            <filter val="11484"/>
            <filter val="12334"/>
            <filter val="10156"/>
            <filter val="11003"/>
            <filter val="10155"/>
            <filter val="11002"/>
            <filter val="12332"/>
            <filter val="10158"/>
            <filter val="11005"/>
            <filter val="11489"/>
            <filter val="12337"/>
            <filter val="10157"/>
            <filter val="11004"/>
            <filter val="11488"/>
            <filter val="11007"/>
            <filter val="12335"/>
            <filter val="10159"/>
            <filter val="11006"/>
            <filter val="11490"/>
            <filter val="10161"/>
            <filter val="10160"/>
            <filter val="10163"/>
            <filter val="10162"/>
            <filter val="12344"/>
            <filter val="10164"/>
            <filter val="12345"/>
            <filter val="10166"/>
            <filter val="12343"/>
            <filter val="12348"/>
            <filter val="12349"/>
            <filter val="12346"/>
            <filter val="12347"/>
            <filter val="11902"/>
            <filter val="11904"/>
            <filter val="11905"/>
            <filter val="11907"/>
            <filter val="11909"/>
            <filter val="11911"/>
            <filter val="11910"/>
            <filter val="11913"/>
            <filter val="11912"/>
            <filter val="11914"/>
            <filter val="11916"/>
            <filter val="9810-10296"/>
            <filter val="10024-10233"/>
            <filter val="11081"/>
            <filter val="11080"/>
            <filter val="11083"/>
            <filter val="11082"/>
            <filter val="11085"/>
            <filter val="14111"/>
            <filter val="11084"/>
            <filter val="11087"/>
            <filter val="11086"/>
            <filter val="11088"/>
            <filter val="11092"/>
            <filter val="11094"/>
            <filter val="11093"/>
            <filter val="11096"/>
            <filter val="11095"/>
            <filter val="11098"/>
            <filter val="11097"/>
            <filter val="10778"/>
            <filter val="11625"/>
            <filter val="10777"/>
            <filter val="11624"/>
            <filter val="11627"/>
            <filter val="10779"/>
            <filter val="11626"/>
            <filter val="11629"/>
            <filter val="11628"/>
            <filter val="10770"/>
            <filter val="10772"/>
            <filter val="10771"/>
            <filter val="10774"/>
            <filter val="11621"/>
            <filter val="11620"/>
            <filter val="10776"/>
            <filter val="11623"/>
            <filter val="11622"/>
            <filter val="10305"/>
            <filter val="10789"/>
            <filter val="11636"/>
            <filter val="10304"/>
            <filter val="11635"/>
            <filter val="10307"/>
            <filter val="11638"/>
            <filter val="11637"/>
            <filter val="10309"/>
            <filter val="10308"/>
            <filter val="11639"/>
            <filter val="10781"/>
            <filter val="10780"/>
            <filter val="10783"/>
            <filter val="11630"/>
            <filter val="10782"/>
            <filter val="10785"/>
            <filter val="11632"/>
            <filter val="9763-10246"/>
            <filter val="11631"/>
            <filter val="10303"/>
            <filter val="10787"/>
            <filter val="11634"/>
            <filter val="10786"/>
            <filter val="11633"/>
            <filter val="11603"/>
            <filter val="10755"/>
            <filter val="11602"/>
            <filter val="11605"/>
            <filter val="11604"/>
            <filter val="11607"/>
            <filter val="10759"/>
            <filter val="11606"/>
            <filter val="11609"/>
            <filter val="11608"/>
            <filter val="10750"/>
            <filter val="10752"/>
            <filter val="10751"/>
            <filter val="10754"/>
            <filter val="11601"/>
            <filter val="10753"/>
            <filter val="11600"/>
            <filter val="10767"/>
            <filter val="11614"/>
            <filter val="10766"/>
            <filter val="11613"/>
            <filter val="10769"/>
            <filter val="11616"/>
            <filter val="11615"/>
            <filter val="11618"/>
            <filter val="11617"/>
            <filter val="11619"/>
            <filter val="10761"/>
            <filter val="10760"/>
            <filter val="11610"/>
            <filter val="10762"/>
            <filter val="10765"/>
            <filter val="10764"/>
            <filter val="11611"/>
            <filter val="10734"/>
            <filter val="10733"/>
            <filter val="10735"/>
            <filter val="10737"/>
            <filter val="10730"/>
            <filter val="10732"/>
            <filter val="10744"/>
            <filter val="10747"/>
            <filter val="10748"/>
            <filter val="10741"/>
            <filter val="10742"/>
            <filter val="10708"/>
            <filter val="10712"/>
            <filter val="10714"/>
            <filter val="10713"/>
            <filter val="10716"/>
            <filter val="10715"/>
            <filter val="10717"/>
            <filter val="10719"/>
            <filter val="10723"/>
            <filter val="10722"/>
            <filter val="10725"/>
            <filter val="10726"/>
            <filter val="10729"/>
            <filter val="10728"/>
            <filter val="10721"/>
            <filter val="10720"/>
            <filter val="10370"/>
            <filter val="10372"/>
            <filter val="10371"/>
            <filter val="11229"/>
            <filter val="11228"/>
            <filter val="10374"/>
            <filter val="12554"/>
            <filter val="10373"/>
            <filter val="11220"/>
            <filter val="10376"/>
            <filter val="10375"/>
            <filter val="10378"/>
            <filter val="11225"/>
            <filter val="10377"/>
            <filter val="11227"/>
            <filter val="10379"/>
            <filter val="11226"/>
            <filter val="10381"/>
            <filter val="10380"/>
            <filter val="10383"/>
            <filter val="10382"/>
            <filter val="2045"/>
            <filter val="2043"/>
            <filter val="2042"/>
            <filter val="9908"/>
            <filter val="9909"/>
            <filter val="10385"/>
            <filter val="11232"/>
            <filter val="10384"/>
            <filter val="11231"/>
            <filter val="9900"/>
            <filter val="10387"/>
            <filter val="11234"/>
            <filter val="11233"/>
            <filter val="9906"/>
            <filter val="10389"/>
            <filter val="11236"/>
            <filter val="9907"/>
            <filter val="10388"/>
            <filter val="11235"/>
            <filter val="9904"/>
            <filter val="11238"/>
            <filter val="9905"/>
            <filter val="11237"/>
            <filter val="9921"/>
            <filter val="11681"/>
            <filter val="11680"/>
            <filter val="11207"/>
            <filter val="10359"/>
            <filter val="11206"/>
            <filter val="11209"/>
            <filter val="11208"/>
            <filter val="10352"/>
            <filter val="11683"/>
            <filter val="11682"/>
            <filter val="10354"/>
            <filter val="11201"/>
            <filter val="11685"/>
            <filter val="9912"/>
            <filter val="10353"/>
            <filter val="11200"/>
            <filter val="11684"/>
            <filter val="9917"/>
            <filter val="10356"/>
            <filter val="11687"/>
            <filter val="9918"/>
            <filter val="10355"/>
            <filter val="11202"/>
            <filter val="11686"/>
            <filter val="10358"/>
            <filter val="11205"/>
            <filter val="11689"/>
            <filter val="9916"/>
            <filter val="10357"/>
            <filter val="11688"/>
            <filter val="9931"/>
            <filter val="11690"/>
            <filter val="11692"/>
            <filter val="9930"/>
            <filter val="10360"/>
            <filter val="11691"/>
            <filter val="2066"/>
            <filter val="11218"/>
            <filter val="11217"/>
            <filter val="12548"/>
            <filter val="11219"/>
            <filter val="9924"/>
            <filter val="10363"/>
            <filter val="11210"/>
            <filter val="11694"/>
            <filter val="9925"/>
            <filter val="10362"/>
            <filter val="9922"/>
            <filter val="10365"/>
            <filter val="11696"/>
            <filter val="9923"/>
            <filter val="10364"/>
            <filter val="11211"/>
            <filter val="11695"/>
            <filter val="9928"/>
            <filter val="11698"/>
            <filter val="9929"/>
            <filter val="10366"/>
            <filter val="11213"/>
            <filter val="11697"/>
            <filter val="10369"/>
            <filter val="11216"/>
            <filter val="9927"/>
            <filter val="10368"/>
            <filter val="12545"/>
            <filter val="11215"/>
            <filter val="11699"/>
            <filter val="9942"/>
            <filter val="9943"/>
            <filter val="11669"/>
            <filter val="10337"/>
            <filter val="11668"/>
            <filter val="10339"/>
            <filter val="9935"/>
            <filter val="11661"/>
            <filter val="9936"/>
            <filter val="12510"/>
            <filter val="9933"/>
            <filter val="11663"/>
            <filter val="9934"/>
            <filter val="11662"/>
            <filter val="10334"/>
            <filter val="10333"/>
            <filter val="11664"/>
            <filter val="9937"/>
            <filter val="10336"/>
            <filter val="11667"/>
            <filter val="9938"/>
            <filter val="11666"/>
            <filter val="9950"/>
            <filter val="9953"/>
            <filter val="9954"/>
            <filter val="9951"/>
            <filter val="11670"/>
            <filter val="9952"/>
            <filter val="10349"/>
            <filter val="10348"/>
            <filter val="11672"/>
            <filter val="9947"/>
            <filter val="11671"/>
            <filter val="9944"/>
            <filter val="10343"/>
            <filter val="11674"/>
            <filter val="9945"/>
            <filter val="10342"/>
            <filter val="10345"/>
            <filter val="10344"/>
            <filter val="11675"/>
            <filter val="9948"/>
            <filter val="10347"/>
            <filter val="11678"/>
            <filter val="9949"/>
            <filter val="10346"/>
            <filter val="9960"/>
            <filter val="9961"/>
            <filter val="9964"/>
            <filter val="9965"/>
            <filter val="9962"/>
            <filter val="10790"/>
            <filter val="9963"/>
            <filter val="10027 - 10224"/>
            <filter val="11647"/>
            <filter val="10315"/>
            <filter val="10799"/>
            <filter val="11646"/>
            <filter val="10318"/>
            <filter val="11649"/>
            <filter val="10317"/>
            <filter val="11648"/>
            <filter val="10319"/>
            <filter val="9957"/>
            <filter val="10792"/>
            <filter val="9958"/>
            <filter val="10791"/>
            <filter val="9955"/>
            <filter val="10310"/>
            <filter val="10794"/>
            <filter val="11641"/>
            <filter val="9956"/>
            <filter val="11640"/>
            <filter val="10312"/>
            <filter val="10796"/>
            <filter val="11643"/>
            <filter val="10311"/>
            <filter val="10795"/>
            <filter val="11642"/>
            <filter val="10314"/>
            <filter val="11645"/>
            <filter val="10313"/>
            <filter val="11644"/>
            <filter val="9972"/>
            <filter val="9970"/>
            <filter val="9975"/>
            <filter val="9976"/>
            <filter val="9974"/>
            <filter val="10326"/>
            <filter val="11657"/>
            <filter val="10328"/>
            <filter val="11659"/>
            <filter val="12509"/>
            <filter val="9968"/>
            <filter val="11650"/>
            <filter val="9969"/>
            <filter val="1908 PJ"/>
            <filter val="9966"/>
            <filter val="10321"/>
            <filter val="11652"/>
            <filter val="9967"/>
            <filter val="10320"/>
            <filter val="11651"/>
            <filter val="10323"/>
            <filter val="11654"/>
            <filter val="10322"/>
            <filter val="11653"/>
            <filter val="10325"/>
            <filter val="11656"/>
            <filter val="10324"/>
            <filter val="12501"/>
            <filter val="11655"/>
            <filter val="9982"/>
            <filter val="11180"/>
            <filter val="9983"/>
            <filter val="10030-10226"/>
            <filter val="9980"/>
            <filter val="9981"/>
            <filter val="11184"/>
            <filter val="9987"/>
            <filter val="11183"/>
            <filter val="9984"/>
            <filter val="11186"/>
            <filter val="9985"/>
            <filter val="9979"/>
            <filter val="11188"/>
            <filter val="11187"/>
            <filter val="9977"/>
            <filter val="9978"/>
            <filter val="11189"/>
            <filter val="9993"/>
            <filter val="11191"/>
            <filter val="9991"/>
            <filter val="11193"/>
            <filter val="12040"/>
            <filter val="11192"/>
            <filter val="11195"/>
            <filter val="12042"/>
            <filter val="11194"/>
            <filter val="12041"/>
            <filter val="11197"/>
            <filter val="11196"/>
            <filter val="11199"/>
            <filter val="12046"/>
            <filter val="11198"/>
            <filter val="12045"/>
            <filter val="9988"/>
            <filter val="13376"/>
            <filter val="12048"/>
            <filter val="12047"/>
            <filter val="12049"/>
            <filter val="12491"/>
            <filter val="11160"/>
            <filter val="11162"/>
            <filter val="27"/>
            <filter val="11161"/>
            <filter val="11163"/>
            <filter val="11166"/>
            <filter val="10035-10218"/>
            <filter val="11165"/>
            <filter val="9999"/>
            <filter val="12015"/>
            <filter val="12017"/>
            <filter val="12016"/>
            <filter val="12018"/>
            <filter val="11171"/>
            <filter val="11170"/>
            <filter val="11173"/>
            <filter val="12020"/>
            <filter val="11172"/>
            <filter val="11175"/>
            <filter val="12022"/>
            <filter val="11174"/>
            <filter val="12021"/>
            <filter val="11177"/>
            <filter val="11176"/>
            <filter val="12023"/>
            <filter val="11179"/>
            <filter val="11178"/>
            <filter val="10291"/>
            <filter val="10290"/>
            <filter val="10293"/>
            <filter val="11142"/>
            <filter val="10294"/>
            <filter val="11144"/>
            <filter val="11143"/>
            <filter val="12477"/>
            <filter val="10299"/>
            <filter val="11145"/>
            <filter val="11148"/>
            <filter val="11151"/>
            <filter val="11150"/>
            <filter val="11153"/>
            <filter val="12000"/>
            <filter val="12009"/>
            <filter val="11155"/>
            <filter val="11154"/>
            <filter val="12001"/>
            <filter val="10191-"/>
            <filter val="11157"/>
            <filter val="12003"/>
            <filter val="12486"/>
            <filter val="11159"/>
            <filter val="12006"/>
            <filter val="11158"/>
            <filter val="12005"/>
            <filter val="12008"/>
            <filter val="12007"/>
            <filter val="10271"/>
            <filter val="10270"/>
            <filter val="10272"/>
            <filter val="11129"/>
            <filter val="10275"/>
            <filter val="11122"/>
            <filter val="10274"/>
            <filter val="11121"/>
            <filter val="11124"/>
            <filter val="11123"/>
            <filter val="10279"/>
            <filter val="11126"/>
            <filter val="11125"/>
            <filter val="11128"/>
            <filter val="11127"/>
            <filter val="10280"/>
            <filter val="10282"/>
            <filter val="10281"/>
            <filter val="10284"/>
            <filter val="11131"/>
            <filter val="10283"/>
            <filter val="11130"/>
            <filter val="11133"/>
            <filter val="11132"/>
            <filter val="10288"/>
            <filter val="11135"/>
            <filter val="10287"/>
            <filter val="11134"/>
            <filter val="11137"/>
            <filter val="10289"/>
            <filter val="11136"/>
            <filter val="11139"/>
            <filter val="11138"/>
            <filter val="9767-10223"/>
            <filter val="15151"/>
            <filter val="10701"/>
            <filter val="10700"/>
            <filter val="10703"/>
            <filter val="10702"/>
            <filter val="10704"/>
            <filter val="10707"/>
            <filter val="12093"/>
            <filter val="12092"/>
            <filter val="12098"/>
            <filter val="12091"/>
            <filter val="12090"/>
            <filter val="1914 - PJ"/>
            <filter val="12073"/>
            <filter val="12072"/>
            <filter val="12075"/>
            <filter val="12074"/>
            <filter val="12077"/>
            <filter val="12076"/>
            <filter val="10031-10243"/>
            <filter val="12079"/>
            <filter val="12084"/>
            <filter val="12086"/>
            <filter val="12088"/>
            <filter val="12087"/>
            <filter val="OBS: Aguardar"/>
            <filter val="12089"/>
            <filter val="9764-10273"/>
            <filter val="12050"/>
            <filter val="12053"/>
            <filter val="12055"/>
            <filter val="12054"/>
            <filter val="12058"/>
            <filter val="12062"/>
            <filter val="12064"/>
            <filter val="12063"/>
            <filter val="12066"/>
            <filter val="12065"/>
            <filter val="12067"/>
            <filter val="12069"/>
            <filter val="10899"/>
            <filter val="10414"/>
            <filter val="10898"/>
            <filter val="10417"/>
            <filter val="11748"/>
            <filter val="11747"/>
            <filter val="10419"/>
            <filter val="10418"/>
            <filter val="10891"/>
            <filter val="10890"/>
            <filter val="10893"/>
            <filter val="10892"/>
            <filter val="10411"/>
            <filter val="10895"/>
            <filter val="11742"/>
            <filter val="10410"/>
            <filter val="10894"/>
            <filter val="11741"/>
            <filter val="10413"/>
            <filter val="10897"/>
            <filter val="10412"/>
            <filter val="10896"/>
            <filter val="11743"/>
            <filter val="10426"/>
            <filter val="11757"/>
            <filter val="10425"/>
            <filter val="11756"/>
            <filter val="10427"/>
            <filter val="10429"/>
            <filter val="10420"/>
            <filter val="10422"/>
            <filter val="10424"/>
            <filter val="10877"/>
            <filter val="11724"/>
            <filter val="10876"/>
            <filter val="11723"/>
            <filter val="10879"/>
            <filter val="11726"/>
            <filter val="10878"/>
            <filter val="11725"/>
            <filter val="11728"/>
            <filter val="11727"/>
            <filter val="11729"/>
            <filter val="10871"/>
            <filter val="10870"/>
            <filter val="10873"/>
            <filter val="11720"/>
            <filter val="10872"/>
            <filter val="11722"/>
            <filter val="10875"/>
            <filter val="10874"/>
            <filter val="11721"/>
            <filter val="10188-10415"/>
            <filter val="10404"/>
            <filter val="11735"/>
            <filter val="10028-10230"/>
            <filter val="10403"/>
            <filter val="11734"/>
            <filter val="10405"/>
            <filter val="11736"/>
            <filter val="10408"/>
            <filter val="10407"/>
            <filter val="11738"/>
            <filter val="10409"/>
            <filter val="10880"/>
            <filter val="9862-10216"/>
            <filter val="10882"/>
            <filter val="10881"/>
            <filter val="10400"/>
            <filter val="10884"/>
            <filter val="11731"/>
            <filter val="10883"/>
            <filter val="11730"/>
            <filter val="10402"/>
            <filter val="11733"/>
            <filter val="10885"/>
            <filter val="11732"/>
            <filter val="10855"/>
            <filter val="11702"/>
            <filter val="10854"/>
            <filter val="11701"/>
            <filter val="11704"/>
            <filter val="10856"/>
            <filter val="11703"/>
            <filter val="10859"/>
            <filter val="11706"/>
            <filter val="10858"/>
            <filter val="11705"/>
            <filter val="11708"/>
            <filter val="11707"/>
            <filter val="9811-10214"/>
            <filter val="10851"/>
            <filter val="10853"/>
            <filter val="11700"/>
            <filter val="10852"/>
            <filter val="11709"/>
            <filter val="10866"/>
            <filter val="10865"/>
            <filter val="10868"/>
            <filter val="10869"/>
            <filter val="11716"/>
            <filter val="11718"/>
            <filter val="10860"/>
            <filter val="10862"/>
            <filter val="10861"/>
            <filter val="11711"/>
            <filter val="10863"/>
            <filter val="11710"/>
            <filter val="10829"/>
            <filter val="10833"/>
            <filter val="10832"/>
            <filter val="10835"/>
            <filter val="10837"/>
            <filter val="10836"/>
            <filter val="10839"/>
            <filter val="10838"/>
            <filter val="10831"/>
            <filter val="10830"/>
            <filter val="10844"/>
            <filter val="10843"/>
            <filter val="10846"/>
            <filter val="10845"/>
            <filter val="10849"/>
            <filter val="541 AK"/>
            <filter val="10840"/>
            <filter val="10842"/>
            <filter val="10841"/>
            <filter val="10491"/>
            <filter val="10493"/>
            <filter val="11340"/>
            <filter val="10492"/>
            <filter val="10019"/>
            <filter val="10018"/>
            <filter val="11349"/>
            <filter val="10011"/>
            <filter val="10495"/>
            <filter val="11342"/>
            <filter val="10010"/>
            <filter val="10494"/>
            <filter val="11341"/>
            <filter val="10013"/>
            <filter val="10497"/>
            <filter val="11344"/>
            <filter val="10012"/>
            <filter val="10496"/>
            <filter val="10015"/>
            <filter val="10499"/>
            <filter val="11346"/>
            <filter val="10014"/>
            <filter val="10498"/>
            <filter val="11345"/>
            <filter val="10017"/>
            <filter val="10016"/>
            <filter val="11347"/>
            <filter val="10020"/>
            <filter val="11350"/>
            <filter val="12207"/>
            <filter val="12209"/>
            <filter val="10022"/>
            <filter val="11353"/>
            <filter val="12200"/>
            <filter val="10021"/>
            <filter val="11355"/>
            <filter val="12202"/>
            <filter val="10023"/>
            <filter val="11356"/>
            <filter val="12203"/>
            <filter val="12206"/>
            <filter val="12205"/>
            <filter val="10471"/>
            <filter val="11328"/>
            <filter val="11327"/>
            <filter val="11329"/>
            <filter val="11320"/>
            <filter val="10472"/>
            <filter val="10475"/>
            <filter val="11322"/>
            <filter val="10474"/>
            <filter val="11321"/>
            <filter val="10477"/>
            <filter val="11324"/>
            <filter val="10476"/>
            <filter val="11323"/>
            <filter val="10479"/>
            <filter val="11326"/>
            <filter val="10478"/>
            <filter val="11325"/>
            <filter val="10480"/>
            <filter val="10482"/>
            <filter val="10481"/>
            <filter val="10008"/>
            <filter val="11339"/>
            <filter val="10007"/>
            <filter val="10009"/>
            <filter val="10000"/>
            <filter val="10484"/>
            <filter val="11331"/>
            <filter val="10483"/>
            <filter val="11330"/>
            <filter val="10002"/>
            <filter val="10486"/>
            <filter val="10001"/>
            <filter val="10485"/>
            <filter val="11332"/>
            <filter val="10004"/>
            <filter val="10003"/>
            <filter val="10487"/>
            <filter val="10005"/>
            <filter val="10489"/>
            <filter val="12666"/>
            <filter val="11780"/>
            <filter val="10459"/>
            <filter val="10458"/>
            <filter val="11789"/>
            <filter val="11309"/>
            <filter val="1907 PJ"/>
            <filter val="10451"/>
            <filter val="11782"/>
            <filter val="11781"/>
            <filter val="10453"/>
            <filter val="11784"/>
            <filter val="10452"/>
            <filter val="11783"/>
            <filter val="10455"/>
            <filter val="11302"/>
            <filter val="11786"/>
            <filter val="10454"/>
            <filter val="11301"/>
            <filter val="12635"/>
            <filter val="11785"/>
            <filter val="11788"/>
            <filter val="10456"/>
            <filter val="11787"/>
            <filter val="10460"/>
            <filter val="11317"/>
            <filter val="11318"/>
            <filter val="10462"/>
            <filter val="11793"/>
            <filter val="10461"/>
            <filter val="11792"/>
            <filter val="10464"/>
            <filter val="11795"/>
            <filter val="11794"/>
            <filter val="10466"/>
            <filter val="11313"/>
            <filter val="12645"/>
            <filter val="11797"/>
            <filter val="10465"/>
            <filter val="11312"/>
            <filter val="11796"/>
            <filter val="11315"/>
            <filter val="11799"/>
            <filter val="10467"/>
            <filter val="11314"/>
            <filter val="11798"/>
            <filter val="11,882"/>
            <filter val="1913 - PJ"/>
            <filter val="10437"/>
            <filter val="11768"/>
            <filter val="10436"/>
            <filter val="11767"/>
            <filter val="10439"/>
            <filter val="10438"/>
            <filter val="11769"/>
            <filter val="11760"/>
            <filter val="10431"/>
            <filter val="11762"/>
            <filter val="10430"/>
            <filter val="11764"/>
            <filter val="11763"/>
            <filter val="10435"/>
            <filter val="11766"/>
            <filter val="11765"/>
            <filter val="10448"/>
            <filter val="11779"/>
            <filter val="10447"/>
            <filter val="10449"/>
            <filter val="NF DE BONIFICAÇÃO"/>
            <filter val="10440"/>
            <filter val="11771"/>
            <filter val="11770"/>
            <filter val="10442"/>
            <filter val="11773"/>
            <filter val="10441"/>
            <filter val="11772"/>
            <filter val="11775"/>
            <filter val="10443"/>
            <filter val="11774"/>
            <filter val="11777"/>
            <filter val="11776"/>
            <filter val="12150"/>
            <filter val="12152"/>
            <filter val="12151"/>
            <filter val="12154"/>
            <filter val="12153"/>
            <filter val="12156"/>
            <filter val="12155"/>
            <filter val="12158"/>
            <filter val="12157"/>
            <filter val="12159"/>
            <filter val="11281"/>
            <filter val="11280"/>
            <filter val="11283"/>
            <filter val="11282"/>
            <filter val="12132"/>
            <filter val="12131"/>
            <filter val="11284"/>
            <filter val="11287"/>
            <filter val="12134"/>
            <filter val="11286"/>
            <filter val="12133"/>
            <filter val="12136"/>
            <filter val="12137"/>
            <filter val="11290"/>
            <filter val="11292"/>
            <filter val="11291"/>
            <filter val="12141"/>
            <filter val="11293"/>
            <filter val="12140"/>
            <filter val="12143"/>
            <filter val="11295"/>
            <filter val="12145"/>
            <filter val="12144"/>
            <filter val="12147"/>
            <filter val="12146"/>
            <filter val="12149"/>
            <filter val="12148"/>
            <filter val="11261"/>
            <filter val="9668"/>
            <filter val="11260"/>
            <filter val="11263"/>
            <filter val="12119"/>
            <filter val="11265"/>
            <filter val="11264"/>
            <filter val="12111"/>
            <filter val="11267"/>
            <filter val="11266"/>
            <filter val="11269"/>
            <filter val="12116"/>
            <filter val="11268"/>
            <filter val="12115"/>
            <filter val="12118"/>
            <filter val="12117"/>
            <filter val="11270"/>
            <filter val="9678"/>
            <filter val="11272"/>
            <filter val="11271"/>
            <filter val="11274"/>
            <filter val="12121"/>
            <filter val="9677"/>
            <filter val="11273"/>
            <filter val="1915 - PJ"/>
            <filter val="11276"/>
            <filter val="11275"/>
            <filter val="11278"/>
            <filter val="11277"/>
            <filter val="11279"/>
            <filter val="9686"/>
            <filter val="9683"/>
            <filter val="10390"/>
            <filter val="10392"/>
            <filter val="11241"/>
            <filter val="11240"/>
            <filter val="9681"/>
            <filter val="9682"/>
            <filter val="9813-10212"/>
            <filter val="11242"/>
            <filter val="10398"/>
            <filter val="11245"/>
            <filter val="11244"/>
            <filter val="11247"/>
            <filter val="11246"/>
            <filter val="11249"/>
            <filter val="11248"/>
            <filter val="9696"/>
            <filter val="9697"/>
            <filter val="9694"/>
            <filter val="9695"/>
            <filter val="11250"/>
            <filter val="12580"/>
            <filter val="9698"/>
            <filter val="11252"/>
            <filter val="9699"/>
            <filter val="11251"/>
            <filter val="9692"/>
            <filter val="9693"/>
            <filter val="9691"/>
            <filter val="11254"/>
            <filter val="11253"/>
            <filter val="11255"/>
            <filter val="11258"/>
            <filter val="11257"/>
            <filter val="12107"/>
            <filter val="10811"/>
            <filter val="10810"/>
            <filter val="10813"/>
            <filter val="10812"/>
            <filter val="10815"/>
            <filter val="10814"/>
            <filter val="10817"/>
            <filter val="10816"/>
            <filter val="10819"/>
            <filter val="10818"/>
            <filter val="10822"/>
            <filter val="10821"/>
            <filter val="10824"/>
            <filter val="10823"/>
            <filter val="10826"/>
            <filter val="10959-10985"/>
            <filter val="10825"/>
            <filter val="10828"/>
            <filter val="10827"/>
            <filter val="10820"/>
            <filter val="10800"/>
            <filter val="11118/nf conserto 11394"/>
            <filter val="10801"/>
            <filter val="10804"/>
            <filter val="10805"/>
            <filter val="12191"/>
            <filter val="12194"/>
            <filter val="12193"/>
            <filter val="12196"/>
            <filter val="12198"/>
            <filter val="12197"/>
            <filter val="12190"/>
            <filter val="10188-10473"/>
            <filter val="-11496"/>
            <filter val="10026-10234"/>
            <filter val="12172"/>
            <filter val="12171"/>
            <filter val="12174"/>
            <filter val="12173"/>
            <filter val="12176"/>
            <filter val="12175"/>
            <filter val="12178"/>
            <filter val="12179"/>
            <filter val="1909 - PJ"/>
            <filter val="12186"/>
            <filter val="10536"/>
            <filter val="11867"/>
            <filter val="11866"/>
            <filter val="11869"/>
            <filter val="10537"/>
            <filter val="11868"/>
            <filter val="10530"/>
            <filter val="11860"/>
            <filter val="10531"/>
            <filter val="11865"/>
            <filter val="10533"/>
            <filter val="11864"/>
            <filter val="10547"/>
            <filter val="11878"/>
            <filter val="10546"/>
            <filter val="11877"/>
            <filter val="10549"/>
            <filter val="10548"/>
            <filter val="11879"/>
            <filter val="11870"/>
            <filter val="10541"/>
            <filter val="11872"/>
            <filter val="10543"/>
            <filter val="11874"/>
            <filter val="11873"/>
            <filter val="10545"/>
            <filter val="11876"/>
            <filter val="10544"/>
            <filter val="11875"/>
            <filter val="10514"/>
            <filter val="10998"/>
            <filter val="11845"/>
            <filter val="10513"/>
            <filter val="11844"/>
            <filter val="11847"/>
            <filter val="10999"/>
            <filter val="11849"/>
            <filter val="10517"/>
            <filter val="11848"/>
            <filter val="10992"/>
            <filter val="10510"/>
            <filter val="10994"/>
            <filter val="11841"/>
            <filter val="10993"/>
            <filter val="11840"/>
            <filter val="10512"/>
            <filter val="10996"/>
            <filter val="11843"/>
            <filter val="10511"/>
            <filter val="10995"/>
            <filter val="9814-10249"/>
            <filter val="11856"/>
            <filter val="12705"/>
            <filter val="10524"/>
            <filter val="11855"/>
            <filter val="11858"/>
            <filter val="10526"/>
            <filter val="11857"/>
            <filter val="10529"/>
            <filter val="10528"/>
            <filter val="11859"/>
            <filter val="11850"/>
            <filter val="11852"/>
            <filter val="11851"/>
            <filter val="11854"/>
            <filter val="11853"/>
            <filter val="9687-10250"/>
            <filter val="11819"/>
            <filter val="10976"/>
            <filter val="11823"/>
            <filter val="10975"/>
            <filter val="11822"/>
            <filter val="10978"/>
            <filter val="11825"/>
            <filter val="10977"/>
            <filter val="11824"/>
            <filter val="11827"/>
            <filter val="10979"/>
            <filter val="11826"/>
            <filter val="11829"/>
            <filter val="11828"/>
            <filter val="10970"/>
            <filter val="10972"/>
            <filter val="10971"/>
            <filter val="10974"/>
            <filter val="11821"/>
            <filter val="10973"/>
            <filter val="11820"/>
            <filter val="10503"/>
            <filter val="10502"/>
            <filter val="10986"/>
            <filter val="10989"/>
            <filter val="10504"/>
            <filter val="10988"/>
            <filter val="10507"/>
            <filter val="11838"/>
            <filter val="10506"/>
            <filter val="11837"/>
            <filter val="10509"/>
            <filter val="11839"/>
            <filter val="10981"/>
            <filter val="10980"/>
            <filter val="10983"/>
            <filter val="11830"/>
            <filter val="10982"/>
            <filter val="10501"/>
            <filter val="10500"/>
            <filter val="10984"/>
            <filter val="11831"/>
            <filter val="10954"/>
            <filter val="11801"/>
            <filter val="10953"/>
            <filter val="11800"/>
            <filter val="10956"/>
            <filter val="11803"/>
            <filter val="10955"/>
            <filter val="11802"/>
            <filter val="10958"/>
            <filter val="11805"/>
            <filter val="10957"/>
            <filter val="11804"/>
            <filter val="11807"/>
            <filter val="11806"/>
            <filter val="10950"/>
            <filter val="10952"/>
            <filter val="10951"/>
            <filter val="9705-9757"/>
            <filter val="11809"/>
            <filter val="11808"/>
            <filter val="10965"/>
            <filter val="11812"/>
            <filter val="10964"/>
            <filter val="11811"/>
            <filter val="10967"/>
            <filter val="11814"/>
            <filter val="10966"/>
            <filter val="11813"/>
            <filter val="10969"/>
            <filter val="11816"/>
            <filter val="10968"/>
            <filter val="11815"/>
            <filter val="11818"/>
            <filter val="11817"/>
            <filter val="10961"/>
            <filter val="10960"/>
            <filter val="10963"/>
            <filter val="11810"/>
            <filter val="10962"/>
            <filter val="10130"/>
            <filter val="11461"/>
            <filter val="11460"/>
            <filter val="12318"/>
            <filter val="10139"/>
            <filter val="12317"/>
            <filter val="12310"/>
            <filter val="10131"/>
            <filter val="11462"/>
            <filter val="12312"/>
            <filter val="12311"/>
            <filter val="10136"/>
            <filter val="11467"/>
            <filter val="12314"/>
            <filter val="10135"/>
            <filter val="12313"/>
            <filter val="10138"/>
            <filter val="11469"/>
            <filter val="12316"/>
            <filter val="10137"/>
            <filter val="11468"/>
            <filter val="12315"/>
            <filter val="11470"/>
            <filter val="11472"/>
            <filter val="10141"/>
            <filter val="10140"/>
            <filter val="11471"/>
            <filter val="12329"/>
            <filter val="10143"/>
            <filter val="11474"/>
            <filter val="10142"/>
            <filter val="11473"/>
            <filter val="10145"/>
            <filter val="10144"/>
            <filter val="10147"/>
            <filter val="12325"/>
            <filter val="10146"/>
            <filter val="12324"/>
            <filter val="10149"/>
            <filter val="12327"/>
            <filter val="1906 PJ"/>
            <filter val="10148"/>
            <filter val="12326"/>
            <filter val="10590"/>
            <filter val="10592"/>
            <filter val="10591"/>
            <filter val="10118"/>
            <filter val="11449"/>
            <filter val="10117"/>
            <filter val="11448"/>
            <filter val="10119"/>
            <filter val="10110"/>
            <filter val="11441"/>
            <filter val="10593"/>
            <filter val="11440"/>
            <filter val="10112"/>
            <filter val="10596"/>
            <filter val="11443"/>
            <filter val="10111"/>
            <filter val="10595"/>
            <filter val="11442"/>
            <filter val="10598"/>
            <filter val="11445"/>
            <filter val="10113"/>
            <filter val="10597"/>
            <filter val="11444"/>
            <filter val="10116"/>
            <filter val="11447"/>
            <filter val="10115"/>
            <filter val="10599"/>
            <filter val="11446"/>
            <filter val="11450"/>
            <filter val="10129"/>
            <filter val="12307"/>
            <filter val="10128"/>
            <filter val="11459"/>
            <filter val="12306"/>
            <filter val="12309"/>
            <filter val="12308"/>
            <filter val="10121"/>
            <filter val="11452"/>
            <filter val="10120"/>
            <filter val="10123"/>
            <filter val="11454"/>
            <filter val="12301"/>
            <filter val="10122"/>
            <filter val="11453"/>
            <filter val="12300"/>
            <filter val="10125"/>
            <filter val="11456"/>
            <filter val="12303"/>
            <filter val="11455"/>
            <filter val="12302"/>
            <filter val="10127"/>
            <filter val="11458"/>
            <filter val="12305"/>
            <filter val="10126"/>
            <filter val="11457"/>
            <filter val="10570"/>
            <filter val="9688-10219"/>
            <filter val="11427"/>
            <filter val="11426"/>
            <filter val="11429"/>
            <filter val="11428"/>
            <filter val="10572"/>
            <filter val="10571"/>
            <filter val="10574"/>
            <filter val="11421"/>
            <filter val="10573"/>
            <filter val="11422"/>
            <filter val="11425"/>
            <filter val="11424"/>
            <filter val="9711"/>
            <filter val="9712"/>
            <filter val="10581"/>
            <filter val="9710"/>
            <filter val="10107"/>
            <filter val="11438"/>
            <filter val="10106"/>
            <filter val="11437"/>
            <filter val="10109"/>
            <filter val="10108"/>
            <filter val="11439"/>
            <filter val="11430"/>
            <filter val="10582"/>
            <filter val="9702"/>
            <filter val="10585"/>
            <filter val="11432"/>
            <filter val="12760"/>
            <filter val="9703"/>
            <filter val="11431"/>
            <filter val="9708"/>
            <filter val="10103"/>
            <filter val="10587"/>
            <filter val="9709"/>
            <filter val="10102"/>
            <filter val="10105"/>
            <filter val="11436"/>
            <filter val="9707"/>
            <filter val="10104"/>
            <filter val="10588"/>
            <filter val="9723"/>
            <filter val="9720"/>
            <filter val="10558"/>
            <filter val="11405"/>
            <filter val="11889"/>
            <filter val="10557"/>
            <filter val="11404"/>
            <filter val="11888"/>
            <filter val="12735"/>
            <filter val="10559"/>
            <filter val="11406"/>
            <filter val="9715"/>
            <filter val="10550"/>
            <filter val="11881"/>
            <filter val="9716"/>
            <filter val="9713"/>
            <filter val="10552"/>
            <filter val="11883"/>
            <filter val="9714"/>
            <filter val="10551"/>
            <filter val="9719"/>
            <filter val="11401"/>
            <filter val="11885"/>
            <filter val="10553"/>
            <filter val="11400"/>
            <filter val="9717"/>
            <filter val="11403"/>
            <filter val="9718"/>
            <filter val="10555"/>
            <filter val="11402"/>
            <filter val="11886"/>
            <filter val="9733"/>
            <filter val="9734"/>
            <filter val="11890"/>
            <filter val="9732"/>
            <filter val="10569"/>
            <filter val="11416"/>
            <filter val="11418"/>
            <filter val="11417"/>
            <filter val="11419"/>
            <filter val="10561"/>
            <filter val="11892"/>
            <filter val="9727"/>
            <filter val="10560"/>
            <filter val="11891"/>
            <filter val="9724"/>
            <filter val="11410"/>
            <filter val="9725"/>
            <filter val="10562"/>
            <filter val="10565"/>
            <filter val="11412"/>
            <filter val="10564"/>
            <filter val="11411"/>
            <filter val="9728"/>
            <filter val="10567"/>
            <filter val="9729"/>
            <filter val="10566"/>
            <filter val="11413"/>
            <filter val="9740"/>
            <filter val="10091"/>
            <filter val="9741"/>
            <filter val="10090"/>
            <filter val="10093"/>
            <filter val="12271"/>
            <filter val="10092"/>
            <filter val="12270"/>
            <filter val="9744"/>
            <filter val="10095"/>
            <filter val="12273"/>
            <filter val="9745"/>
            <filter val="10094"/>
            <filter val="12272"/>
            <filter val="9742"/>
            <filter val="12275"/>
            <filter val="9743"/>
            <filter val="10096"/>
            <filter val="12274"/>
            <filter val="12277"/>
            <filter val="9735"/>
            <filter val="9736"/>
            <filter val="12278"/>
            <filter val="9751"/>
            <filter val="12280"/>
            <filter val="9752"/>
            <filter val="9750"/>
            <filter val="12281"/>
            <filter val="9755"/>
            <filter val="12284"/>
            <filter val="9756"/>
            <filter val="9753"/>
            <filter val="12286"/>
            <filter val="9754"/>
            <filter val="12285"/>
            <filter val="9748"/>
            <filter val="12288"/>
            <filter val="9749"/>
            <filter val="12287"/>
            <filter val="12289"/>
            <filter val="9760"/>
            <filter val="10071"/>
            <filter val="10070"/>
            <filter val="10073"/>
            <filter val="10072"/>
            <filter val="12250"/>
            <filter val="10074"/>
            <filter val="12252"/>
            <filter val="9759"/>
            <filter val="12255"/>
            <filter val="12254"/>
            <filter val="12257"/>
            <filter val="10079"/>
            <filter val="9758"/>
            <filter val="10078"/>
            <filter val="12256"/>
            <filter val="12259"/>
            <filter val="9763- 10421"/>
            <filter val="12258"/>
            <filter val="9773"/>
            <filter val="10080"/>
            <filter val="9774"/>
            <filter val="9771"/>
            <filter val="10082"/>
            <filter val="9772"/>
            <filter val="10081"/>
            <filter val="12262"/>
            <filter val="9778"/>
            <filter val="12261"/>
            <filter val="9775"/>
            <filter val="10086"/>
            <filter val="12264"/>
            <filter val="10085"/>
            <filter val="12263"/>
            <filter val="9770"/>
            <filter val="12266"/>
            <filter val="10087"/>
            <filter val="12265"/>
            <filter val="12268"/>
            <filter val="12267"/>
            <filter val="12269"/>
            <filter val="9784"/>
            <filter val="9785"/>
            <filter val="9782"/>
            <filter val="11380"/>
            <filter val="9788"/>
            <filter val="10051"/>
            <filter val="9789"/>
            <filter val="11381"/>
            <filter val="9786"/>
            <filter val="10053"/>
            <filter val="11384"/>
            <filter val="12231"/>
            <filter val="9787"/>
            <filter val="10052"/>
            <filter val="12230"/>
            <filter val="9780"/>
            <filter val="9781"/>
            <filter val="10055"/>
            <filter val="11386"/>
            <filter val="12233"/>
            <filter val="10054"/>
            <filter val="12232"/>
            <filter val="9779"/>
            <filter val="10057"/>
            <filter val="11388"/>
            <filter val="12235"/>
            <filter val="10056"/>
            <filter val="11387"/>
            <filter val="12234"/>
            <filter val="10059"/>
            <filter val="12237"/>
            <filter val="10058"/>
            <filter val="12236"/>
            <filter val="12239"/>
            <filter val="12238"/>
            <filter val="9795"/>
            <filter val="9793"/>
            <filter val="10060"/>
            <filter val="11391"/>
            <filter val="9794"/>
            <filter val="11390"/>
            <filter val="9799"/>
            <filter val="10062"/>
            <filter val="11393"/>
            <filter val="12240"/>
            <filter val="11392"/>
            <filter val="9797"/>
            <filter val="11395"/>
            <filter val="12242"/>
            <filter val="9798"/>
            <filter val="10063"/>
            <filter val="12241"/>
            <filter val="9791"/>
            <filter val="9792"/>
            <filter val="9790"/>
            <filter val="10066"/>
            <filter val="11397"/>
            <filter val="12244"/>
            <filter val="12243"/>
            <filter val="11396"/>
            <filter val="10068"/>
            <filter val="11399"/>
            <filter val="12246"/>
            <filter val="10067"/>
            <filter val="11398"/>
            <filter val="12245"/>
            <filter val="12248"/>
            <filter val="10069"/>
            <filter val="12247"/>
            <filter val="9746-9747 - 35"/>
            <filter val="12249"/>
            <filter val="11360"/>
            <filter val="11361"/>
            <filter val="12219"/>
            <filter val="12218"/>
            <filter val="9809-10215"/>
            <filter val="12211"/>
            <filter val="12210"/>
            <filter val="12694"/>
            <filter val="11366"/>
            <filter val="11365"/>
            <filter val="12212"/>
            <filter val="11368"/>
            <filter val="12215"/>
            <filter val="11367"/>
            <filter val="12214"/>
            <filter val="10039"/>
            <filter val="12217"/>
            <filter val="10038"/>
            <filter val="11369"/>
            <filter val="12216"/>
            <filter val="10040"/>
            <filter val="11371"/>
            <filter val="11370"/>
            <filter val="10042"/>
            <filter val="12220"/>
            <filter val="10041"/>
            <filter val="11372"/>
            <filter val="12229"/>
            <filter val="10044"/>
            <filter val="12222"/>
            <filter val="10043"/>
            <filter val="11374"/>
            <filter val="11377"/>
            <filter val="12224"/>
            <filter val="11376"/>
            <filter val="12223"/>
            <filter val="10048"/>
            <filter val="11379"/>
            <filter val="12226"/>
            <filter val="10047"/>
            <filter val="11378"/>
            <filter val="12228"/>
            <filter val="10049"/>
            <filter val="12227"/>
            <filter val="1910 - PJ"/>
            <filter val="10929"/>
            <filter val="10928"/>
            <filter val="10932"/>
            <filter val="10931"/>
            <filter val="10934"/>
            <filter val="10933"/>
            <filter val="10936"/>
            <filter val="10935"/>
            <filter val="10938"/>
            <filter val="10937"/>
            <filter val="10930"/>
            <filter val="14061"/>
            <filter val="10939"/>
            <filter val="10943"/>
            <filter val="10942"/>
            <filter val="10945"/>
            <filter val="10947"/>
            <filter val="10946"/>
            <filter val="10949"/>
            <filter val="10948"/>
            <filter val="10941"/>
            <filter val="10940"/>
            <filter val="10907"/>
            <filter val="10906"/>
            <filter val="10909"/>
            <filter val="10908"/>
            <filter val="10910"/>
            <filter val="10912"/>
            <filter val="10911"/>
            <filter val="10914"/>
            <filter val="10913"/>
            <filter val="10916"/>
            <filter val="10915"/>
            <filter val="10919"/>
            <filter val="10921"/>
            <filter val="10920"/>
            <filter val="10923"/>
            <filter val="10922"/>
            <filter val="10925"/>
            <filter val="10924"/>
            <filter val="10927"/>
            <filter val="10926"/>
            <filter val="11156-"/>
            <filter val="10901"/>
            <filter val="10900"/>
            <filter val="10902"/>
            <filter val="10905"/>
            <filter val="10904"/>
            <filter val="12291"/>
            <filter val="12290"/>
            <filter val="12293"/>
            <filter val="12292"/>
            <filter val="12295"/>
            <filter val="12294"/>
            <filter val="12297"/>
            <filter val="12296"/>
            <filter val="63842"/>
            <filter val="-11385"/>
            <filter val="12299"/>
            <filter val="12298"/>
            <filter val="15332"/>
            <filter val="13152"/>
          </filters>
        </filterColumn>
        <sortState ref="A1:AB3212">
          <sortCondition ref="E1:E3212"/>
        </sortState>
      </autoFilter>
    </customSheetView>
  </customSheetViews>
  <conditionalFormatting sqref="A2:A7 A3926:A5893">
    <cfRule type="expression" dxfId="0" priority="1">
      <formula>$Q2="PRÉ-EMBALAGEM"</formula>
    </cfRule>
  </conditionalFormatting>
  <conditionalFormatting sqref="A2:A7 A3926:A5893">
    <cfRule type="expression" dxfId="1" priority="2">
      <formula>$Q2="RETORNO DE CONSERTO"</formula>
    </cfRule>
  </conditionalFormatting>
  <conditionalFormatting sqref="A2:A7 A3926:A5893">
    <cfRule type="expression" dxfId="2" priority="3">
      <formula>$Q2="CONSIGNADO FINALIZADO"</formula>
    </cfRule>
  </conditionalFormatting>
  <conditionalFormatting sqref="A2:A7 A3926:A5893">
    <cfRule type="expression" dxfId="3" priority="4">
      <formula>$Q2="AGUARDAR CONTAINER"</formula>
    </cfRule>
  </conditionalFormatting>
  <conditionalFormatting sqref="D2:D7 D2793 D2901 D3202 D3758 D3865 D4097 D4162:D5893">
    <cfRule type="expression" dxfId="4" priority="5">
      <formula>COUNTIF(D:D,D2)&gt;1</formula>
    </cfRule>
  </conditionalFormatting>
  <conditionalFormatting sqref="A2:A5893">
    <cfRule type="expression" dxfId="5" priority="6">
      <formula>COUNTIF(A:A,A2)&gt;1</formula>
    </cfRule>
  </conditionalFormatting>
  <conditionalFormatting sqref="A1940">
    <cfRule type="expression" dxfId="3" priority="7">
      <formula>$I1940="AGUARDAR CONTAINER"</formula>
    </cfRule>
  </conditionalFormatting>
  <conditionalFormatting sqref="A2:A7 A1940 I2100:I2108 I2251 I2257 I2261 I2275 I2277 I2279 I2296 I2305 I2328:I2329 I2339 I2371 I2380 I2397 I2438 I2455:I2456 I2467 I2469 I2486 I2507 I2509 I2550 I2561 A3926:A5893">
    <cfRule type="expression" dxfId="6" priority="8">
      <formula>$I2="TESTAR"</formula>
    </cfRule>
  </conditionalFormatting>
  <conditionalFormatting sqref="A2:A7 A1940 I2100:I2108 I2251 I2257 I2261 I2275 I2277 I2279 I2296 I2305 I2328:I2329 I2339 I2371 I2380 I2397 I2438 I2455:I2456 I2467 I2469 I2486 I2507 I2509 I2550 I2561 A3926:A5893">
    <cfRule type="expression" dxfId="7" priority="9">
      <formula>$I2="EM ABERTO IGUI"</formula>
    </cfRule>
  </conditionalFormatting>
  <conditionalFormatting sqref="A1940 I2100:I2108 I2251 I2257 I2261 I2275 I2277 I2279 I2296 I2305 I2328:I2329 I2339 I2371 I2380 I2397 I2438 I2455:I2456 I2467 I2469 I2486 I2507 I2509 I2550 I2561">
    <cfRule type="expression" dxfId="0" priority="10">
      <formula>$I1940="PRÉ-EMBALAGEM"</formula>
    </cfRule>
  </conditionalFormatting>
  <conditionalFormatting sqref="A1940 I2100:I2108 I2251 I2257 I2261 I2275 I2277 I2279 I2296 I2305 I2328:I2329 I2339 I2371 I2380 I2397 I2438 I2455:I2456 I2467 I2469 I2486 I2507 I2509 I2550 I2561">
    <cfRule type="expression" dxfId="1" priority="11">
      <formula>$I1940="RETORNO DE CONSERTO"</formula>
    </cfRule>
  </conditionalFormatting>
  <conditionalFormatting sqref="A1940 I2100:I2108 I2251 I2257 I2261 I2275 I2277 I2279 I2296 I2305 I2328:I2329 I2339 I2371 I2380 I2397 I2438 I2455:I2456 I2467 I2469 I2486 I2507 I2509 I2550 I2561">
    <cfRule type="expression" dxfId="2" priority="12">
      <formula>$I1940="CONSIGNADO FINALIZADO"</formula>
    </cfRule>
  </conditionalFormatting>
  <conditionalFormatting sqref="A2:A7 A1940 I2100:I2108 I2251 I2257 I2261 I2275 I2277 I2279 I2296 I2305 I2328:I2329 I2339 I2371 I2380 I2397 I2438 I2455:I2456 I2467 I2469 I2486 I2507 I2509 I2550 I2561 A3926:A5893">
    <cfRule type="expression" dxfId="8" priority="13">
      <formula>$I2="PRIORIDADE"</formula>
    </cfRule>
  </conditionalFormatting>
  <conditionalFormatting sqref="P2:P5893 Y2:AC5893">
    <cfRule type="expression" dxfId="9" priority="14">
      <formula>REGEXMATCH(UPPER($P2),"TROCA")=TRUE</formula>
    </cfRule>
  </conditionalFormatting>
  <conditionalFormatting sqref="P2:P5893 Y2:AC5893">
    <cfRule type="expression" dxfId="10" priority="15">
      <formula>REGEXMATCH(UPPER($P2),"REDESP(\.| |$)?|REDES( |$)?")</formula>
    </cfRule>
  </conditionalFormatting>
  <conditionalFormatting sqref="P2:P5893 Y2:AC5893">
    <cfRule type="expression" dxfId="11" priority="16">
      <formula>REGEXMATCH(UPPER($P2),"ENDEREÇO")=TRUE</formula>
    </cfRule>
  </conditionalFormatting>
  <conditionalFormatting sqref="D2:D5893">
    <cfRule type="expression" dxfId="12" priority="17">
      <formula>COUNTIF(D:D,D2)&gt;1</formula>
    </cfRule>
  </conditionalFormatting>
  <conditionalFormatting sqref="A2:L5893 M2:M3582 N2:N5893 O2:O3625 P2:P5893 Y2:AC5893 V1773 M3584:M5893 O3627:O5893 T3647">
    <cfRule type="expression" dxfId="13" priority="18">
      <formula>$I2="ENTREGUE"</formula>
    </cfRule>
  </conditionalFormatting>
  <conditionalFormatting sqref="P2:P5893 Y2:AC5893">
    <cfRule type="expression" dxfId="14" priority="19">
      <formula>REGEXMATCH(UPPER($P2),"SOBREPOR")=TRUE</formula>
    </cfRule>
  </conditionalFormatting>
  <conditionalFormatting sqref="P2:P5893 Y2:AC5893">
    <cfRule type="expression" dxfId="15" priority="20">
      <formula>REGEXMATCH(UPPER($P2),"EMBUTIR")=TRUE</formula>
    </cfRule>
  </conditionalFormatting>
  <conditionalFormatting sqref="H1:H5893 I2677">
    <cfRule type="cellIs" dxfId="8" priority="21" operator="equal">
      <formula>"SIM"</formula>
    </cfRule>
  </conditionalFormatting>
  <conditionalFormatting sqref="A2:L5893 M2:M3582 N2:N5893 O2:O3625 V1773 Y3170 Y3180 M3584:M5893 O3627:O5893 T3647">
    <cfRule type="expression" dxfId="16" priority="22">
      <formula>$I2="A PAGAR"</formula>
    </cfRule>
  </conditionalFormatting>
  <conditionalFormatting sqref="A2:L5893 M2:M3582 N2:N5893 O2:O3625 V1773 Y3170 Y3180 M3584:M5893 O3627:O5893 T3647">
    <cfRule type="expression" dxfId="16" priority="23">
      <formula>$I2=" A PAGAR"</formula>
    </cfRule>
  </conditionalFormatting>
  <conditionalFormatting sqref="A2:L5893 M2:M3582 N2:N5893 O2:O3625 V1773 Y3170 Y3180 M3584:M5893 O3627:O5893 T3647">
    <cfRule type="expression" dxfId="17" priority="24">
      <formula>$I2="ENTREGA FUTURA"</formula>
    </cfRule>
  </conditionalFormatting>
  <conditionalFormatting sqref="A2:L5893 M2:M3582 N2:N5893 O2:O3625 V1773 Y3170 Y3180 M3584:M5893 O3627:O5893 T3647">
    <cfRule type="expression" dxfId="18" priority="25">
      <formula>$I2="EM APROVAÇÃO"</formula>
    </cfRule>
  </conditionalFormatting>
  <conditionalFormatting sqref="A2:L5893 M2:M3582 N2:N5893 O2:O3625 V1773 Y3170 Y3180 M3584:M5893 O3627:O5893 T3647">
    <cfRule type="expression" dxfId="19" priority="26">
      <formula>$I2="FINALIZADO"</formula>
    </cfRule>
  </conditionalFormatting>
  <conditionalFormatting sqref="A2:L5893 M2:M3582 N2:N5893 O2:O3625 V1773 Y3170 Y3180 M3584:M5893 O3627:O5893 T3647">
    <cfRule type="expression" dxfId="20" priority="27">
      <formula>$I2="EM ABERTO"</formula>
    </cfRule>
  </conditionalFormatting>
  <conditionalFormatting sqref="A2:L5893 M2:M3582 N2:N5893 O2:O3625 V1773 Y3170 Y3180 M3584:M5893 O3627:O5893 T3647">
    <cfRule type="expression" dxfId="21" priority="28">
      <formula>$I2="PRODUÇÃO"</formula>
    </cfRule>
  </conditionalFormatting>
  <conditionalFormatting sqref="A2:L5893 M2:M3582 N2:N5893 O2:O3625 V1773 Y3170 Y3180 M3584:M5893 O3627:O5893 T3647">
    <cfRule type="expression" dxfId="22" priority="29">
      <formula>$I2="TESTAR"</formula>
    </cfRule>
  </conditionalFormatting>
  <conditionalFormatting sqref="A2:L5893 M2:M3582 N2:N5893 O2:O3625 V1773 Y3170 Y3180 M3584:M5893 O3627:O5893 T3647">
    <cfRule type="expression" dxfId="23" priority="30">
      <formula>$I2="PRIORIDADE"</formula>
    </cfRule>
  </conditionalFormatting>
  <conditionalFormatting sqref="A2:L5893 M2:M3582 N2:N5893 O2:O3625 V1773 Y3170 Y3180 M3584:M5893 O3627:O5893 T3647">
    <cfRule type="expression" dxfId="24" priority="31">
      <formula>$I2="CANCELADO"</formula>
    </cfRule>
  </conditionalFormatting>
  <conditionalFormatting sqref="A2:L5893 M2:M3582 N2:N5893 O2:O3625 V1773 Y3170 Y3180 M3584:M5893 O3627:O5893 T3647">
    <cfRule type="expression" dxfId="25" priority="32">
      <formula>$I2="FILIAL PARANA"</formula>
    </cfRule>
  </conditionalFormatting>
  <conditionalFormatting sqref="A2:L5893 M2:M3582 N2:N5893 O2:O3625 V1773 Y3170 Y3180 M3584:M5893 O3627:O5893 T3647">
    <cfRule type="expression" dxfId="26" priority="33">
      <formula>$I2="DEVOLVIDO"</formula>
    </cfRule>
  </conditionalFormatting>
  <conditionalFormatting sqref="A2:L5893 M2:M3582 N2:N5893 O2:O3625 V1773 Y3170 Y3180 M3584:M5893 O3627:O5893 T3647">
    <cfRule type="expression" dxfId="21" priority="34">
      <formula>$I2="PRODUÇÃO"</formula>
    </cfRule>
  </conditionalFormatting>
  <conditionalFormatting sqref="A2:L5893 M2:M3582 N2:N5893 O2:O3625 V1773 Y3170 Y3180 M3584:M5893 O3627:O5893 T3647">
    <cfRule type="expression" dxfId="20" priority="35">
      <formula>$I2="EM ABERTO"</formula>
    </cfRule>
  </conditionalFormatting>
  <conditionalFormatting sqref="A2:L5893 M2:M3582 N2:N5893 O2:O3625 V1773 Y3170 Y3180 M3584:M5893 O3627:O5893 T3647">
    <cfRule type="expression" dxfId="27" priority="36">
      <formula>$I2="AGUARDAR CONTAINER"</formula>
    </cfRule>
  </conditionalFormatting>
  <conditionalFormatting sqref="A2:L5893 M2:M3582 N2:N5893 O2:O3625 V1773 Y3170 Y3180 M3584:M5893 O3627:O5893 T3647">
    <cfRule type="expression" dxfId="28" priority="37">
      <formula>$I2="EM APROVAÇÃO - CD SAO PAULO"</formula>
    </cfRule>
  </conditionalFormatting>
  <hyperlinks>
    <hyperlink r:id="rId1" ref="AB333"/>
    <hyperlink r:id="rId2" ref="AB487"/>
    <hyperlink r:id="rId3" ref="AB758"/>
    <hyperlink r:id="rId4" ref="AB760"/>
    <hyperlink r:id="rId5" ref="AB860"/>
    <hyperlink r:id="rId6" ref="AB1063"/>
    <hyperlink r:id="rId7" ref="D1342"/>
    <hyperlink r:id="rId8" ref="AB2010"/>
    <hyperlink r:id="rId9" ref="P2482"/>
    <hyperlink r:id="rId10" ref="P2558"/>
    <hyperlink r:id="rId11" ref="AB2604"/>
    <hyperlink r:id="rId12" ref="AB2786"/>
    <hyperlink r:id="rId13" ref="AB2856"/>
    <hyperlink r:id="rId14" ref="AB2924"/>
    <hyperlink r:id="rId15" ref="AB3029"/>
    <hyperlink r:id="rId16" ref="AB4252"/>
    <hyperlink r:id="rId17" ref="AB4537"/>
    <hyperlink r:id="rId18" ref="AB4814"/>
    <hyperlink r:id="rId19" ref="AB4931"/>
    <hyperlink r:id="rId20" ref="AB5228"/>
    <hyperlink r:id="rId21" ref="AB5289"/>
    <hyperlink r:id="rId22" ref="AB5297"/>
    <hyperlink r:id="rId23" ref="AB5484"/>
  </hyperlinks>
  <printOptions horizontalCentered="1" verticalCentered="1"/>
  <pageMargins bottom="0.75" footer="0.0" header="0.0" left="0.25" right="0.25" top="0.75"/>
  <pageSetup paperSize="9" orientation="portrait"/>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43"/>
    <col customWidth="1" min="2" max="2" width="44.43"/>
    <col customWidth="1" min="3" max="3" width="4.86"/>
    <col customWidth="1" min="4" max="4" width="38.0"/>
    <col customWidth="1" min="5" max="5" width="15.43"/>
    <col customWidth="1" hidden="1" min="6" max="6" width="20.0"/>
    <col customWidth="1" min="7" max="7" width="11.29"/>
    <col customWidth="1" min="8" max="8" width="5.43"/>
    <col customWidth="1" min="9" max="9" width="13.71"/>
    <col customWidth="1" min="10" max="10" width="20.43"/>
    <col customWidth="1" min="11" max="11" width="22.43"/>
    <col customWidth="1" hidden="1" min="12" max="12" width="7.86"/>
    <col customWidth="1" hidden="1" min="13" max="13" width="13.57"/>
    <col customWidth="1" hidden="1" min="14" max="14" width="10.29"/>
    <col customWidth="1" hidden="1" min="15" max="15" width="20.0"/>
    <col customWidth="1" min="16" max="16" width="692.86"/>
    <col customWidth="1" hidden="1" min="17" max="17" width="13.29"/>
    <col customWidth="1" hidden="1" min="18" max="18" width="23.0"/>
    <col customWidth="1" hidden="1" min="19" max="19" width="18.71"/>
    <col customWidth="1" hidden="1" min="20" max="20" width="14.57"/>
    <col customWidth="1" min="21" max="21" width="21.14"/>
    <col customWidth="1" hidden="1" min="22" max="22" width="10.71"/>
    <col customWidth="1" hidden="1" min="23" max="23" width="10.43"/>
    <col customWidth="1" hidden="1" min="24" max="24" width="11.14"/>
    <col customWidth="1" hidden="1" min="25" max="25" width="3.29"/>
    <col customWidth="1" hidden="1" min="26" max="26" width="10.0"/>
    <col customWidth="1" hidden="1" min="27" max="27" width="30.86"/>
    <col customWidth="1" hidden="1" min="28" max="28" width="106.57"/>
    <col customWidth="1" hidden="1" min="29" max="29" width="90.43"/>
  </cols>
  <sheetData>
    <row r="1" ht="45.75" customHeight="1">
      <c r="A1" s="233" t="s">
        <v>23305</v>
      </c>
      <c r="B1" s="234" t="s">
        <v>23306</v>
      </c>
      <c r="C1" s="233" t="s">
        <v>2</v>
      </c>
      <c r="D1" s="233" t="s">
        <v>23307</v>
      </c>
      <c r="E1" s="235" t="s">
        <v>4</v>
      </c>
      <c r="F1" s="236" t="s">
        <v>5</v>
      </c>
      <c r="G1" s="236" t="s">
        <v>23308</v>
      </c>
      <c r="H1" s="233" t="s">
        <v>7</v>
      </c>
      <c r="I1" s="237" t="s">
        <v>23309</v>
      </c>
      <c r="J1" s="237" t="s">
        <v>9</v>
      </c>
      <c r="K1" s="237" t="s">
        <v>10</v>
      </c>
      <c r="L1" s="238" t="s">
        <v>23310</v>
      </c>
      <c r="M1" s="239" t="s">
        <v>12</v>
      </c>
      <c r="N1" s="236" t="s">
        <v>13</v>
      </c>
      <c r="O1" s="240" t="s">
        <v>23311</v>
      </c>
      <c r="P1" s="237" t="s">
        <v>15</v>
      </c>
      <c r="Q1" s="241" t="s">
        <v>23312</v>
      </c>
      <c r="R1" s="241" t="s">
        <v>17</v>
      </c>
      <c r="S1" s="241" t="s">
        <v>18</v>
      </c>
      <c r="T1" s="242" t="s">
        <v>23313</v>
      </c>
      <c r="U1" s="243" t="s">
        <v>23314</v>
      </c>
      <c r="V1" s="244" t="s">
        <v>23315</v>
      </c>
      <c r="W1" s="245" t="s">
        <v>27</v>
      </c>
      <c r="X1" s="246" t="s">
        <v>23316</v>
      </c>
      <c r="Y1" s="247" t="s">
        <v>23317</v>
      </c>
      <c r="Z1" s="248" t="s">
        <v>23318</v>
      </c>
      <c r="AA1" s="249" t="s">
        <v>23319</v>
      </c>
      <c r="AB1" s="250" t="s">
        <v>23320</v>
      </c>
      <c r="AC1" s="237" t="s">
        <v>23321</v>
      </c>
    </row>
    <row r="2" ht="16.5" customHeight="1">
      <c r="A2" s="251" t="str">
        <f>IFERROR(__xludf.DUMMYFUNCTION("SORT(FILTER(PEDIDOS!A1:P547,(PEDIDOS!I1:I547=""PRODUÇÃO"")+(PEDIDOS!I1:I547=""EM ABERTO"")+(PEDIDOS!I1:I547=""PRIORIDADE"")+(PEDIDOS!I1:I547=""TESTAR"")),9,TRUE
)"),"18788-B")</f>
        <v>18788-B</v>
      </c>
      <c r="B2" s="252" t="str">
        <f>IFERROR(__xludf.DUMMYFUNCTION("""COMPUTED_VALUE"""),"PRO LAZER")</f>
        <v>PRO LAZER</v>
      </c>
      <c r="C2" s="253">
        <f>IFERROR(__xludf.DUMMYFUNCTION("""COMPUTED_VALUE"""),0.0)</f>
        <v>0</v>
      </c>
      <c r="D2" s="253" t="str">
        <f>IFERROR(__xludf.DUMMYFUNCTION("""COMPUTED_VALUE"""),"20374")</f>
        <v>20374</v>
      </c>
      <c r="E2" s="253" t="str">
        <f>IFERROR(__xludf.DUMMYFUNCTION("""COMPUTED_VALUE"""),"FTI145DPTBR")</f>
        <v>FTI145DPTBR</v>
      </c>
      <c r="F2" s="254" t="str">
        <f>IFERROR(__xludf.DUMMYFUNCTION("""COMPUTED_VALUE"""),"WI-FI")</f>
        <v>WI-FI</v>
      </c>
      <c r="G2" s="255" t="str">
        <f>IFERROR(__xludf.DUMMYFUNCTION("""COMPUTED_VALUE"""),"NAO")</f>
        <v>NAO</v>
      </c>
      <c r="H2" s="254" t="str">
        <f>IFERROR(__xludf.DUMMYFUNCTION("""COMPUTED_VALUE"""),"NAO")</f>
        <v>NAO</v>
      </c>
      <c r="I2" s="256" t="str">
        <f>IFERROR(__xludf.DUMMYFUNCTION("""COMPUTED_VALUE"""),"EM ABERTO")</f>
        <v>EM ABERTO</v>
      </c>
      <c r="J2" s="257" t="str">
        <f>IFERROR(__xludf.DUMMYFUNCTION("""COMPUTED_VALUE"""),"MINUANO")</f>
        <v>MINUANO</v>
      </c>
      <c r="K2" s="258" t="str">
        <f>IFERROR(__xludf.DUMMYFUNCTION("""COMPUTED_VALUE"""),"SEM REDESPACHO")</f>
        <v>SEM REDESPACHO</v>
      </c>
      <c r="L2" s="259"/>
      <c r="M2" s="251"/>
      <c r="N2" s="260"/>
      <c r="O2" s="260"/>
      <c r="P2" s="261" t="str">
        <f>IFERROR(__xludf.DUMMYFUNCTION("""COMPUTED_VALUE"""),"EXPRESSO SAO MIGUEL S/A / (049) 3361-6627Obs.Interna: Prazo de acordo com Mario via wats app. 
aguardar cliente confirmar transportadora.
informar prazo de entrega/ fabricação das máquinas / E-mail para nota fiscal: , E-mail de cobrança: , Telefone para c"&amp;"ontato")</f>
        <v>EXPRESSO SAO MIGUEL S/A / (049) 3361-6627Obs.Interna: Prazo de acordo com Mario via wats app. 
aguardar cliente confirmar transportadora.
informar prazo de entrega/ fabricação das máquinas / E-mail para nota fiscal: , E-mail de cobrança: , Telefone para contato</v>
      </c>
      <c r="Q2" s="262"/>
      <c r="R2" s="261"/>
      <c r="S2" s="263"/>
      <c r="T2" s="264"/>
      <c r="U2" s="261"/>
      <c r="V2" s="265"/>
      <c r="W2" s="266"/>
      <c r="X2" s="267"/>
      <c r="Y2" s="267"/>
      <c r="Z2" s="268"/>
      <c r="AA2" s="267"/>
      <c r="AB2" s="267"/>
      <c r="AC2" s="269"/>
    </row>
    <row r="3" ht="16.5" customHeight="1">
      <c r="A3" s="251" t="str">
        <f>IFERROR(__xludf.DUMMYFUNCTION("""COMPUTED_VALUE"""),"18812")</f>
        <v>18812</v>
      </c>
      <c r="B3" s="252" t="str">
        <f>IFERROR(__xludf.DUMMYFUNCTION("""COMPUTED_VALUE"""),"LOJA DAS PISCINAS")</f>
        <v>LOJA DAS PISCINAS</v>
      </c>
      <c r="C3" s="253">
        <f>IFERROR(__xludf.DUMMYFUNCTION("""COMPUTED_VALUE"""),0.0)</f>
        <v>0</v>
      </c>
      <c r="D3" s="253"/>
      <c r="E3" s="253" t="str">
        <f>IFERROR(__xludf.DUMMYFUNCTION("""COMPUTED_VALUE"""),"FTI45DPTBR")</f>
        <v>FTI45DPTBR</v>
      </c>
      <c r="F3" s="254" t="str">
        <f>IFERROR(__xludf.DUMMYFUNCTION("""COMPUTED_VALUE"""),"WI-FI")</f>
        <v>WI-FI</v>
      </c>
      <c r="G3" s="255" t="str">
        <f>IFERROR(__xludf.DUMMYFUNCTION("""COMPUTED_VALUE"""),"NAO")</f>
        <v>NAO</v>
      </c>
      <c r="H3" s="254" t="str">
        <f>IFERROR(__xludf.DUMMYFUNCTION("""COMPUTED_VALUE"""),"NAO")</f>
        <v>NAO</v>
      </c>
      <c r="I3" s="256" t="str">
        <f>IFERROR(__xludf.DUMMYFUNCTION("""COMPUTED_VALUE"""),"EM ABERTO")</f>
        <v>EM ABERTO</v>
      </c>
      <c r="J3" s="257" t="str">
        <f>IFERROR(__xludf.DUMMYFUNCTION("""COMPUTED_VALUE"""),"EXPRESSO SAO MIGUEL")</f>
        <v>EXPRESSO SAO MIGUEL</v>
      </c>
      <c r="K3" s="258" t="str">
        <f>IFERROR(__xludf.DUMMYFUNCTION("""COMPUTED_VALUE"""),"SEM REDESPACHO")</f>
        <v>SEM REDESPACHO</v>
      </c>
      <c r="L3" s="259"/>
      <c r="M3" s="251"/>
      <c r="N3" s="260"/>
      <c r="O3" s="260"/>
      <c r="P3" s="261" t="str">
        <f>IFERROR(__xludf.DUMMYFUNCTION("""COMPUTED_VALUE"""),"EXPRESSO SAO MIGUEL S/A / (051) 3586-2013E-mail para nota fiscal: , E-mail de cobrança: , Telefone para contato")</f>
        <v>EXPRESSO SAO MIGUEL S/A / (051) 3586-2013E-mail para nota fiscal: , E-mail de cobrança: , Telefone para contato</v>
      </c>
      <c r="Q3" s="262"/>
      <c r="R3" s="261"/>
      <c r="S3" s="263"/>
      <c r="T3" s="264"/>
      <c r="U3" s="261"/>
      <c r="V3" s="265"/>
      <c r="W3" s="266"/>
      <c r="X3" s="267"/>
      <c r="Y3" s="267"/>
      <c r="Z3" s="268"/>
      <c r="AA3" s="267"/>
      <c r="AB3" s="267"/>
      <c r="AC3" s="269"/>
    </row>
    <row r="4" ht="13.5" customHeight="1">
      <c r="A4" s="251" t="str">
        <f>IFERROR(__xludf.DUMMYFUNCTION("""COMPUTED_VALUE"""),"18857-A")</f>
        <v>18857-A</v>
      </c>
      <c r="B4" s="252" t="str">
        <f>IFERROR(__xludf.DUMMYFUNCTION("""COMPUTED_VALUE"""),"CASA DA PISCINA MATO GROSSO")</f>
        <v>CASA DA PISCINA MATO GROSSO</v>
      </c>
      <c r="C4" s="253">
        <f>IFERROR(__xludf.DUMMYFUNCTION("""COMPUTED_VALUE"""),0.0)</f>
        <v>0</v>
      </c>
      <c r="D4" s="253"/>
      <c r="E4" s="253" t="str">
        <f>IFERROR(__xludf.DUMMYFUNCTION("""COMPUTED_VALUE"""),"FH40B60T")</f>
        <v>FH40B60T</v>
      </c>
      <c r="F4" s="254" t="str">
        <f>IFERROR(__xludf.DUMMYFUNCTION("""COMPUTED_VALUE"""),"TOUCH")</f>
        <v>TOUCH</v>
      </c>
      <c r="G4" s="255" t="str">
        <f>IFERROR(__xludf.DUMMYFUNCTION("""COMPUTED_VALUE"""),"SOBREPOR")</f>
        <v>SOBREPOR</v>
      </c>
      <c r="H4" s="254" t="str">
        <f>IFERROR(__xludf.DUMMYFUNCTION("""COMPUTED_VALUE"""),"NAO")</f>
        <v>NAO</v>
      </c>
      <c r="I4" s="256" t="str">
        <f>IFERROR(__xludf.DUMMYFUNCTION("""COMPUTED_VALUE"""),"EM ABERTO")</f>
        <v>EM ABERTO</v>
      </c>
      <c r="J4" s="257" t="str">
        <f>IFERROR(__xludf.DUMMYFUNCTION("""COMPUTED_VALUE"""),"RODONAVES")</f>
        <v>RODONAVES</v>
      </c>
      <c r="K4" s="258" t="str">
        <f>IFERROR(__xludf.DUMMYFUNCTION("""COMPUTED_VALUE"""),"SEM REDESPACHO")</f>
        <v>SEM REDESPACHO</v>
      </c>
      <c r="L4" s="259"/>
      <c r="M4" s="251"/>
      <c r="N4" s="260"/>
      <c r="O4" s="260"/>
      <c r="P4" s="261" t="str">
        <f>IFERROR(__xludf.DUMMYFUNCTION("""COMPUTED_VALUE"""),"EXPRESSO SAO MIGUEL S/A / (051) 3586-2013Informação Adicional: TRANSPORTADORA: PICCOLI TRANSPORTES- CNPJ 01.496.359/0002-45 - Rua Viela Urga-nº557 -Bairro Vila Nova Bonsucesso- Guarulhos -cep 07175-332 SP - 1139880170  / Obs.Interna: AVISAR PRODUÇÃO- QUAD"&amp;"RO DESLOCADO .  / E-mail para nota fiscal: , E-mail de cobrança: , Telefone para contato")</f>
        <v>EXPRESSO SAO MIGUEL S/A / (051) 3586-2013Informação Adicional: TRANSPORTADORA: PICCOLI TRANSPORTES- CNPJ 01.496.359/0002-45 - Rua Viela Urga-nº557 -Bairro Vila Nova Bonsucesso- Guarulhos -cep 07175-332 SP - 1139880170  / Obs.Interna: AVISAR PRODUÇÃO- QUADRO DESLOCADO .  / E-mail para nota fiscal: , E-mail de cobrança: , Telefone para contato</v>
      </c>
      <c r="Q4" s="262"/>
      <c r="R4" s="261"/>
      <c r="S4" s="263"/>
      <c r="T4" s="264"/>
      <c r="U4" s="261"/>
      <c r="V4" s="265"/>
      <c r="W4" s="266"/>
      <c r="X4" s="267"/>
      <c r="Y4" s="267"/>
      <c r="Z4" s="268"/>
      <c r="AA4" s="267"/>
      <c r="AB4" s="267"/>
      <c r="AC4" s="269"/>
    </row>
    <row r="5" ht="15.0" customHeight="1">
      <c r="A5" s="251" t="str">
        <f>IFERROR(__xludf.DUMMYFUNCTION("""COMPUTED_VALUE"""),"18857-B")</f>
        <v>18857-B</v>
      </c>
      <c r="B5" s="252" t="str">
        <f>IFERROR(__xludf.DUMMYFUNCTION("""COMPUTED_VALUE"""),"CASA DA PISCINA MATO GROSSO")</f>
        <v>CASA DA PISCINA MATO GROSSO</v>
      </c>
      <c r="C5" s="253">
        <f>IFERROR(__xludf.DUMMYFUNCTION("""COMPUTED_VALUE"""),0.0)</f>
        <v>0</v>
      </c>
      <c r="D5" s="253">
        <f>IFERROR(__xludf.DUMMYFUNCTION("""COMPUTED_VALUE"""),20435.0)</f>
        <v>20435</v>
      </c>
      <c r="E5" s="253" t="str">
        <f>IFERROR(__xludf.DUMMYFUNCTION("""COMPUTED_VALUE"""),"FH80B60T")</f>
        <v>FH80B60T</v>
      </c>
      <c r="F5" s="254" t="str">
        <f>IFERROR(__xludf.DUMMYFUNCTION("""COMPUTED_VALUE"""),"TOUCH")</f>
        <v>TOUCH</v>
      </c>
      <c r="G5" s="255" t="str">
        <f>IFERROR(__xludf.DUMMYFUNCTION("""COMPUTED_VALUE"""),"SOBREPOR")</f>
        <v>SOBREPOR</v>
      </c>
      <c r="H5" s="254" t="str">
        <f>IFERROR(__xludf.DUMMYFUNCTION("""COMPUTED_VALUE"""),"NAO")</f>
        <v>NAO</v>
      </c>
      <c r="I5" s="256" t="str">
        <f>IFERROR(__xludf.DUMMYFUNCTION("""COMPUTED_VALUE"""),"EM ABERTO")</f>
        <v>EM ABERTO</v>
      </c>
      <c r="J5" s="257" t="str">
        <f>IFERROR(__xludf.DUMMYFUNCTION("""COMPUTED_VALUE"""),"RODONAVES")</f>
        <v>RODONAVES</v>
      </c>
      <c r="K5" s="258" t="str">
        <f>IFERROR(__xludf.DUMMYFUNCTION("""COMPUTED_VALUE"""),"SEM REDESPACHO")</f>
        <v>SEM REDESPACHO</v>
      </c>
      <c r="L5" s="259"/>
      <c r="M5" s="251"/>
      <c r="N5" s="260"/>
      <c r="O5" s="260"/>
      <c r="P5" s="261" t="str">
        <f>IFERROR(__xludf.DUMMYFUNCTION("""COMPUTED_VALUE"""),"EXPRESSO SAO MIGUEL S/A / (051) 3586-2013Informação Adicional: TRANSPORTADORA: PICCOLI TRANSPORTES- CNPJ 01.496.359/0002-45 - Rua Viela Urga-nº557 -Bairro Vila Nova Bonsucesso- Guarulhos -cep 07175-332 SP - 1139880170  / Obs.Interna: AVISAR PRODUÇÃO- QUAD"&amp;"RO DESLOCADO .  / E-mail para nota fiscal: , E-mail de cobrança: , Telefone para contato")</f>
        <v>EXPRESSO SAO MIGUEL S/A / (051) 3586-2013Informação Adicional: TRANSPORTADORA: PICCOLI TRANSPORTES- CNPJ 01.496.359/0002-45 - Rua Viela Urga-nº557 -Bairro Vila Nova Bonsucesso- Guarulhos -cep 07175-332 SP - 1139880170  / Obs.Interna: AVISAR PRODUÇÃO- QUADRO DESLOCADO .  / E-mail para nota fiscal: , E-mail de cobrança: , Telefone para contato</v>
      </c>
      <c r="Q5" s="262"/>
      <c r="R5" s="261"/>
      <c r="S5" s="263"/>
      <c r="T5" s="264"/>
      <c r="U5" s="261"/>
      <c r="V5" s="265"/>
      <c r="W5" s="266"/>
      <c r="X5" s="267"/>
      <c r="Y5" s="267"/>
      <c r="Z5" s="268"/>
      <c r="AA5" s="267"/>
      <c r="AB5" s="267"/>
      <c r="AC5" s="269"/>
    </row>
    <row r="6" ht="14.25" customHeight="1">
      <c r="A6" s="251" t="str">
        <f>IFERROR(__xludf.DUMMYFUNCTION("""COMPUTED_VALUE"""),"18859")</f>
        <v>18859</v>
      </c>
      <c r="B6" s="270" t="str">
        <f>IFERROR(__xludf.DUMMYFUNCTION("""COMPUTED_VALUE"""),"AQUAVIL PISCINAS LTDA")</f>
        <v>AQUAVIL PISCINAS LTDA</v>
      </c>
      <c r="C6" s="253">
        <f>IFERROR(__xludf.DUMMYFUNCTION("""COMPUTED_VALUE"""),0.0)</f>
        <v>0</v>
      </c>
      <c r="D6" s="253" t="str">
        <f>IFERROR(__xludf.DUMMYFUNCTION("""COMPUTED_VALUE"""),"20373")</f>
        <v>20373</v>
      </c>
      <c r="E6" s="253" t="str">
        <f>IFERROR(__xludf.DUMMYFUNCTION("""COMPUTED_VALUE"""),"FTI145DPTBR")</f>
        <v>FTI145DPTBR</v>
      </c>
      <c r="F6" s="254" t="str">
        <f>IFERROR(__xludf.DUMMYFUNCTION("""COMPUTED_VALUE"""),"WI-FI")</f>
        <v>WI-FI</v>
      </c>
      <c r="G6" s="255" t="str">
        <f>IFERROR(__xludf.DUMMYFUNCTION("""COMPUTED_VALUE"""),"NAO")</f>
        <v>NAO</v>
      </c>
      <c r="H6" s="254" t="str">
        <f>IFERROR(__xludf.DUMMYFUNCTION("""COMPUTED_VALUE"""),"NAO")</f>
        <v>NAO</v>
      </c>
      <c r="I6" s="256" t="str">
        <f>IFERROR(__xludf.DUMMYFUNCTION("""COMPUTED_VALUE"""),"EM ABERTO")</f>
        <v>EM ABERTO</v>
      </c>
      <c r="J6" s="257" t="str">
        <f>IFERROR(__xludf.DUMMYFUNCTION("""COMPUTED_VALUE"""),"FITLOG")</f>
        <v>FITLOG</v>
      </c>
      <c r="K6" s="258" t="str">
        <f>IFERROR(__xludf.DUMMYFUNCTION("""COMPUTED_VALUE"""),"SEM REDESPACHO")</f>
        <v>SEM REDESPACHO</v>
      </c>
      <c r="L6" s="259"/>
      <c r="M6" s="251"/>
      <c r="N6" s="260"/>
      <c r="O6" s="260"/>
      <c r="P6" s="261" t="str">
        <f>IFERROR(__xludf.DUMMYFUNCTION("""COMPUTED_VALUE"""),"FITLOG TRANSPORTES E LOGISTICA LTDA / (048) 996277956E-mail para nota fiscal: , E-mail de cobrança: , Telefone para contato")</f>
        <v>FITLOG TRANSPORTES E LOGISTICA LTDA / (048) 996277956E-mail para nota fiscal: , E-mail de cobrança: , Telefone para contato</v>
      </c>
      <c r="Q6" s="262"/>
      <c r="R6" s="261"/>
      <c r="S6" s="263"/>
      <c r="T6" s="264"/>
      <c r="U6" s="261"/>
      <c r="V6" s="265"/>
      <c r="W6" s="266"/>
      <c r="X6" s="267"/>
      <c r="Y6" s="267"/>
      <c r="Z6" s="268"/>
      <c r="AA6" s="267"/>
      <c r="AB6" s="267"/>
      <c r="AC6" s="269"/>
    </row>
    <row r="7" ht="16.5" customHeight="1">
      <c r="A7" s="251" t="str">
        <f>IFERROR(__xludf.DUMMYFUNCTION("""COMPUTED_VALUE"""),"18862")</f>
        <v>18862</v>
      </c>
      <c r="B7" s="252" t="str">
        <f>IFERROR(__xludf.DUMMYFUNCTION("""COMPUTED_VALUE"""),"2 CORACOES PISCINAS E DECORACOES")</f>
        <v>2 CORACOES PISCINAS E DECORACOES</v>
      </c>
      <c r="C7" s="253">
        <f>IFERROR(__xludf.DUMMYFUNCTION("""COMPUTED_VALUE"""),0.0)</f>
        <v>0</v>
      </c>
      <c r="D7" s="271"/>
      <c r="E7" s="253" t="str">
        <f>IFERROR(__xludf.DUMMYFUNCTION("""COMPUTED_VALUE"""),"FTI45DPTBR")</f>
        <v>FTI45DPTBR</v>
      </c>
      <c r="F7" s="254" t="str">
        <f>IFERROR(__xludf.DUMMYFUNCTION("""COMPUTED_VALUE"""),"WI-FI")</f>
        <v>WI-FI</v>
      </c>
      <c r="G7" s="255" t="str">
        <f>IFERROR(__xludf.DUMMYFUNCTION("""COMPUTED_VALUE"""),"NAO")</f>
        <v>NAO</v>
      </c>
      <c r="H7" s="254" t="str">
        <f>IFERROR(__xludf.DUMMYFUNCTION("""COMPUTED_VALUE"""),"NAO")</f>
        <v>NAO</v>
      </c>
      <c r="I7" s="256" t="str">
        <f>IFERROR(__xludf.DUMMYFUNCTION("""COMPUTED_VALUE"""),"EM ABERTO")</f>
        <v>EM ABERTO</v>
      </c>
      <c r="J7" s="257" t="str">
        <f>IFERROR(__xludf.DUMMYFUNCTION("""COMPUTED_VALUE"""),"EXPRESSO SAO MIGUEL")</f>
        <v>EXPRESSO SAO MIGUEL</v>
      </c>
      <c r="K7" s="258" t="str">
        <f>IFERROR(__xludf.DUMMYFUNCTION("""COMPUTED_VALUE"""),"SEM REDESPACHO")</f>
        <v>SEM REDESPACHO</v>
      </c>
      <c r="L7" s="259"/>
      <c r="M7" s="272"/>
      <c r="N7" s="260"/>
      <c r="O7" s="260"/>
      <c r="P7" s="261" t="str">
        <f>IFERROR(__xludf.DUMMYFUNCTION("""COMPUTED_VALUE"""),"EXPRESSO SAO MIGUEL S/A / (051) 3586-2013E-mail para nota fiscal: , E-mail de cobrança: , Telefone para contato")</f>
        <v>EXPRESSO SAO MIGUEL S/A / (051) 3586-2013E-mail para nota fiscal: , E-mail de cobrança: , Telefone para contato</v>
      </c>
      <c r="Q7" s="262"/>
      <c r="R7" s="261"/>
      <c r="S7" s="263"/>
      <c r="T7" s="264"/>
      <c r="U7" s="261"/>
      <c r="V7" s="265"/>
      <c r="W7" s="266"/>
      <c r="X7" s="267"/>
      <c r="Y7" s="267"/>
      <c r="Z7" s="268"/>
      <c r="AA7" s="267"/>
      <c r="AB7" s="267"/>
      <c r="AC7" s="269"/>
    </row>
    <row r="8" ht="16.5" customHeight="1">
      <c r="A8" s="251" t="str">
        <f>IFERROR(__xludf.DUMMYFUNCTION("""COMPUTED_VALUE"""),"18867-A")</f>
        <v>18867-A</v>
      </c>
      <c r="B8" s="252" t="str">
        <f>IFERROR(__xludf.DUMMYFUNCTION("""COMPUTED_VALUE"""),"DJA COMERCIO DE PISCINAS LTDA - ME")</f>
        <v>DJA COMERCIO DE PISCINAS LTDA - ME</v>
      </c>
      <c r="C8" s="253">
        <f>IFERROR(__xludf.DUMMYFUNCTION("""COMPUTED_VALUE"""),0.0)</f>
        <v>0</v>
      </c>
      <c r="D8" s="253"/>
      <c r="E8" s="253" t="str">
        <f>IFERROR(__xludf.DUMMYFUNCTION("""COMPUTED_VALUE"""),"FTI145DPTBR")</f>
        <v>FTI145DPTBR</v>
      </c>
      <c r="F8" s="254" t="str">
        <f>IFERROR(__xludf.DUMMYFUNCTION("""COMPUTED_VALUE"""),"WI-FI")</f>
        <v>WI-FI</v>
      </c>
      <c r="G8" s="255" t="str">
        <f>IFERROR(__xludf.DUMMYFUNCTION("""COMPUTED_VALUE"""),"NAO")</f>
        <v>NAO</v>
      </c>
      <c r="H8" s="254" t="str">
        <f>IFERROR(__xludf.DUMMYFUNCTION("""COMPUTED_VALUE"""),"NAO")</f>
        <v>NAO</v>
      </c>
      <c r="I8" s="256" t="str">
        <f>IFERROR(__xludf.DUMMYFUNCTION("""COMPUTED_VALUE"""),"EM ABERTO")</f>
        <v>EM ABERTO</v>
      </c>
      <c r="J8" s="257" t="str">
        <f>IFERROR(__xludf.DUMMYFUNCTION("""COMPUTED_VALUE"""),"FITLOG")</f>
        <v>FITLOG</v>
      </c>
      <c r="K8" s="258" t="str">
        <f>IFERROR(__xludf.DUMMYFUNCTION("""COMPUTED_VALUE"""),"SEM REDESPACHO")</f>
        <v>SEM REDESPACHO</v>
      </c>
      <c r="L8" s="259"/>
      <c r="M8" s="251"/>
      <c r="N8" s="260"/>
      <c r="O8" s="260"/>
      <c r="P8" s="261" t="str">
        <f>IFERROR(__xludf.DUMMYFUNCTION("""COMPUTED_VALUE"""),"FITLOG TRANSPORTES E LOGISTICA LTDA / (048) 996277956Informação Adicional: Frete CIF / E-mail para nota fiscal: , E-mail de cobrança: , Telefone para contato")</f>
        <v>FITLOG TRANSPORTES E LOGISTICA LTDA / (048) 996277956Informação Adicional: Frete CIF / E-mail para nota fiscal: , E-mail de cobrança: , Telefone para contato</v>
      </c>
      <c r="Q8" s="262"/>
      <c r="R8" s="261"/>
      <c r="S8" s="263"/>
      <c r="T8" s="264"/>
      <c r="U8" s="261"/>
      <c r="V8" s="265"/>
      <c r="W8" s="266"/>
      <c r="X8" s="267"/>
      <c r="Y8" s="267"/>
      <c r="Z8" s="268"/>
      <c r="AA8" s="267"/>
      <c r="AB8" s="267"/>
      <c r="AC8" s="269"/>
    </row>
    <row r="9" ht="16.5" customHeight="1">
      <c r="A9" s="251" t="str">
        <f>IFERROR(__xludf.DUMMYFUNCTION("""COMPUTED_VALUE"""),"18867-B")</f>
        <v>18867-B</v>
      </c>
      <c r="B9" s="252" t="str">
        <f>IFERROR(__xludf.DUMMYFUNCTION("""COMPUTED_VALUE"""),"DJA COMERCIO DE PISCINAS LTDA - ME")</f>
        <v>DJA COMERCIO DE PISCINAS LTDA - ME</v>
      </c>
      <c r="C9" s="253">
        <f>IFERROR(__xludf.DUMMYFUNCTION("""COMPUTED_VALUE"""),0.0)</f>
        <v>0</v>
      </c>
      <c r="D9" s="253"/>
      <c r="E9" s="253" t="str">
        <f>IFERROR(__xludf.DUMMYFUNCTION("""COMPUTED_VALUE"""),"FTI145DPTBR")</f>
        <v>FTI145DPTBR</v>
      </c>
      <c r="F9" s="254" t="str">
        <f>IFERROR(__xludf.DUMMYFUNCTION("""COMPUTED_VALUE"""),"WI-FI")</f>
        <v>WI-FI</v>
      </c>
      <c r="G9" s="255" t="str">
        <f>IFERROR(__xludf.DUMMYFUNCTION("""COMPUTED_VALUE"""),"NAO")</f>
        <v>NAO</v>
      </c>
      <c r="H9" s="254" t="str">
        <f>IFERROR(__xludf.DUMMYFUNCTION("""COMPUTED_VALUE"""),"NAO")</f>
        <v>NAO</v>
      </c>
      <c r="I9" s="256" t="str">
        <f>IFERROR(__xludf.DUMMYFUNCTION("""COMPUTED_VALUE"""),"EM ABERTO")</f>
        <v>EM ABERTO</v>
      </c>
      <c r="J9" s="257" t="str">
        <f>IFERROR(__xludf.DUMMYFUNCTION("""COMPUTED_VALUE"""),"FITLOG")</f>
        <v>FITLOG</v>
      </c>
      <c r="K9" s="258" t="str">
        <f>IFERROR(__xludf.DUMMYFUNCTION("""COMPUTED_VALUE"""),"SEM REDESPACHO")</f>
        <v>SEM REDESPACHO</v>
      </c>
      <c r="L9" s="259"/>
      <c r="M9" s="251"/>
      <c r="N9" s="260"/>
      <c r="O9" s="260"/>
      <c r="P9" s="261" t="str">
        <f>IFERROR(__xludf.DUMMYFUNCTION("""COMPUTED_VALUE"""),"FITLOG TRANSPORTES E LOGISTICA LTDA / (048) 996277956Informação Adicional: Frete CIF / E-mail para nota fiscal: , E-mail de cobrança: , Telefone para contato")</f>
        <v>FITLOG TRANSPORTES E LOGISTICA LTDA / (048) 996277956Informação Adicional: Frete CIF / E-mail para nota fiscal: , E-mail de cobrança: , Telefone para contato</v>
      </c>
      <c r="Q9" s="262"/>
      <c r="R9" s="261"/>
      <c r="S9" s="263"/>
      <c r="T9" s="264"/>
      <c r="U9" s="261"/>
      <c r="V9" s="265"/>
      <c r="W9" s="266"/>
      <c r="X9" s="267"/>
      <c r="Y9" s="267"/>
      <c r="Z9" s="268"/>
      <c r="AA9" s="267"/>
      <c r="AB9" s="267"/>
      <c r="AC9" s="269"/>
    </row>
    <row r="10" ht="16.5" customHeight="1">
      <c r="A10" s="251" t="str">
        <f>IFERROR(__xludf.DUMMYFUNCTION("""COMPUTED_VALUE"""),"18871-B")</f>
        <v>18871-B</v>
      </c>
      <c r="B10" s="252" t="str">
        <f>IFERROR(__xludf.DUMMYFUNCTION("""COMPUTED_VALUE"""),"STEINFIBER")</f>
        <v>STEINFIBER</v>
      </c>
      <c r="C10" s="253">
        <f>IFERROR(__xludf.DUMMYFUNCTION("""COMPUTED_VALUE"""),0.0)</f>
        <v>0</v>
      </c>
      <c r="D10" s="253"/>
      <c r="E10" s="273" t="str">
        <f>IFERROR(__xludf.DUMMYFUNCTION("""COMPUTED_VALUE"""),"FTI145LPTBR")</f>
        <v>FTI145LPTBR</v>
      </c>
      <c r="F10" s="254" t="str">
        <f>IFERROR(__xludf.DUMMYFUNCTION("""COMPUTED_VALUE"""),"WI-FI")</f>
        <v>WI-FI</v>
      </c>
      <c r="G10" s="255" t="str">
        <f>IFERROR(__xludf.DUMMYFUNCTION("""COMPUTED_VALUE"""),"NAO")</f>
        <v>NAO</v>
      </c>
      <c r="H10" s="254" t="str">
        <f>IFERROR(__xludf.DUMMYFUNCTION("""COMPUTED_VALUE"""),"NAO")</f>
        <v>NAO</v>
      </c>
      <c r="I10" s="256" t="str">
        <f>IFERROR(__xludf.DUMMYFUNCTION("""COMPUTED_VALUE"""),"EM ABERTO")</f>
        <v>EM ABERTO</v>
      </c>
      <c r="J10" s="257" t="str">
        <f>IFERROR(__xludf.DUMMYFUNCTION("""COMPUTED_VALUE"""),"RETIRA")</f>
        <v>RETIRA</v>
      </c>
      <c r="K10" s="258" t="str">
        <f>IFERROR(__xludf.DUMMYFUNCTION("""COMPUTED_VALUE"""),"SEM REDESPACHO")</f>
        <v>SEM REDESPACHO</v>
      </c>
      <c r="L10" s="259"/>
      <c r="M10" s="251"/>
      <c r="N10" s="260"/>
      <c r="O10" s="260"/>
      <c r="P10" s="261" t="str">
        <f>IFERROR(__xludf.DUMMYFUNCTION("""COMPUTED_VALUE"""),"CLIENTE RETIRA / (0) Informação Adicional: PREÇO NEGOCIADO R$ 18.600,00 - ALTERAR NO PEDIDO   - AUTORIZADO POR PRISCILLA
ENTREGA: 01 MÁQUINA DIA 20/10 E AS OUTRAS 06 MAXIMO DIA 05/11 / E-mail para nota fiscal: , E-mail de cobrança: , Telefone para contat"&amp;"o")</f>
        <v>CLIENTE RETIRA / (0) Informação Adicional: PREÇO NEGOCIADO R$ 18.600,00 - ALTERAR NO PEDIDO   - AUTORIZADO POR PRISCILLA
ENTREGA: 01 MÁQUINA DIA 20/10 E AS OUTRAS 06 MAXIMO DIA 05/11 / E-mail para nota fiscal: , E-mail de cobrança: , Telefone para contato</v>
      </c>
      <c r="Q10" s="262"/>
      <c r="R10" s="261"/>
      <c r="S10" s="263"/>
      <c r="T10" s="264"/>
      <c r="U10" s="261"/>
      <c r="V10" s="265"/>
      <c r="W10" s="266"/>
      <c r="X10" s="267"/>
      <c r="Y10" s="267"/>
      <c r="Z10" s="268"/>
      <c r="AA10" s="267"/>
      <c r="AB10" s="267"/>
      <c r="AC10" s="269"/>
    </row>
    <row r="11" ht="16.5" customHeight="1">
      <c r="A11" s="251" t="str">
        <f>IFERROR(__xludf.DUMMYFUNCTION("""COMPUTED_VALUE"""),"18871-C")</f>
        <v>18871-C</v>
      </c>
      <c r="B11" s="252" t="str">
        <f>IFERROR(__xludf.DUMMYFUNCTION("""COMPUTED_VALUE"""),"STEINFIBER")</f>
        <v>STEINFIBER</v>
      </c>
      <c r="C11" s="253">
        <f>IFERROR(__xludf.DUMMYFUNCTION("""COMPUTED_VALUE"""),0.0)</f>
        <v>0</v>
      </c>
      <c r="D11" s="253"/>
      <c r="E11" s="229" t="str">
        <f>IFERROR(__xludf.DUMMYFUNCTION("""COMPUTED_VALUE"""),"FTI145LPTBR")</f>
        <v>FTI145LPTBR</v>
      </c>
      <c r="F11" s="254" t="str">
        <f>IFERROR(__xludf.DUMMYFUNCTION("""COMPUTED_VALUE"""),"WI-FI")</f>
        <v>WI-FI</v>
      </c>
      <c r="G11" s="255" t="str">
        <f>IFERROR(__xludf.DUMMYFUNCTION("""COMPUTED_VALUE"""),"NAO")</f>
        <v>NAO</v>
      </c>
      <c r="H11" s="254" t="str">
        <f>IFERROR(__xludf.DUMMYFUNCTION("""COMPUTED_VALUE"""),"NAO")</f>
        <v>NAO</v>
      </c>
      <c r="I11" s="256" t="str">
        <f>IFERROR(__xludf.DUMMYFUNCTION("""COMPUTED_VALUE"""),"EM ABERTO")</f>
        <v>EM ABERTO</v>
      </c>
      <c r="J11" s="257" t="str">
        <f>IFERROR(__xludf.DUMMYFUNCTION("""COMPUTED_VALUE"""),"RETIRA")</f>
        <v>RETIRA</v>
      </c>
      <c r="K11" s="258" t="str">
        <f>IFERROR(__xludf.DUMMYFUNCTION("""COMPUTED_VALUE"""),"SEM REDESPACHO")</f>
        <v>SEM REDESPACHO</v>
      </c>
      <c r="L11" s="259"/>
      <c r="M11" s="251"/>
      <c r="N11" s="260"/>
      <c r="O11" s="260"/>
      <c r="P11" s="261" t="str">
        <f>IFERROR(__xludf.DUMMYFUNCTION("""COMPUTED_VALUE"""),"CLIENTE RETIRA / (0) Informação Adicional: PREÇO NEGOCIADO R$ 18.600,00 - ALTERAR NO PEDIDO   - AUTORIZADO POR PRISCILLA
ENTREGA: 01 MÁQUINA DIA 20/10 E AS OUTRAS 06 MAXIMO DIA 05/11 / E-mail para nota fiscal: , E-mail de cobrança: , Telefone para contat"&amp;"o")</f>
        <v>CLIENTE RETIRA / (0) Informação Adicional: PREÇO NEGOCIADO R$ 18.600,00 - ALTERAR NO PEDIDO   - AUTORIZADO POR PRISCILLA
ENTREGA: 01 MÁQUINA DIA 20/10 E AS OUTRAS 06 MAXIMO DIA 05/11 / E-mail para nota fiscal: , E-mail de cobrança: , Telefone para contato</v>
      </c>
      <c r="Q11" s="262"/>
      <c r="R11" s="261"/>
      <c r="S11" s="263"/>
      <c r="T11" s="264"/>
      <c r="U11" s="261"/>
      <c r="V11" s="265"/>
      <c r="W11" s="266"/>
      <c r="X11" s="267"/>
      <c r="Y11" s="267"/>
      <c r="Z11" s="268"/>
      <c r="AA11" s="267"/>
      <c r="AB11" s="267"/>
      <c r="AC11" s="269"/>
    </row>
    <row r="12" ht="16.5" customHeight="1">
      <c r="A12" s="251" t="str">
        <f>IFERROR(__xludf.DUMMYFUNCTION("""COMPUTED_VALUE"""),"18871-D")</f>
        <v>18871-D</v>
      </c>
      <c r="B12" s="252" t="str">
        <f>IFERROR(__xludf.DUMMYFUNCTION("""COMPUTED_VALUE"""),"STEINFIBER")</f>
        <v>STEINFIBER</v>
      </c>
      <c r="C12" s="253">
        <f>IFERROR(__xludf.DUMMYFUNCTION("""COMPUTED_VALUE"""),0.0)</f>
        <v>0</v>
      </c>
      <c r="D12" s="253"/>
      <c r="E12" s="253" t="str">
        <f>IFERROR(__xludf.DUMMYFUNCTION("""COMPUTED_VALUE"""),"FTI145LPTBR")</f>
        <v>FTI145LPTBR</v>
      </c>
      <c r="F12" s="254" t="str">
        <f>IFERROR(__xludf.DUMMYFUNCTION("""COMPUTED_VALUE"""),"WI-FI")</f>
        <v>WI-FI</v>
      </c>
      <c r="G12" s="255" t="str">
        <f>IFERROR(__xludf.DUMMYFUNCTION("""COMPUTED_VALUE"""),"NAO")</f>
        <v>NAO</v>
      </c>
      <c r="H12" s="254" t="str">
        <f>IFERROR(__xludf.DUMMYFUNCTION("""COMPUTED_VALUE"""),"NAO")</f>
        <v>NAO</v>
      </c>
      <c r="I12" s="256" t="str">
        <f>IFERROR(__xludf.DUMMYFUNCTION("""COMPUTED_VALUE"""),"EM ABERTO")</f>
        <v>EM ABERTO</v>
      </c>
      <c r="J12" s="257" t="str">
        <f>IFERROR(__xludf.DUMMYFUNCTION("""COMPUTED_VALUE"""),"RETIRA")</f>
        <v>RETIRA</v>
      </c>
      <c r="K12" s="258" t="str">
        <f>IFERROR(__xludf.DUMMYFUNCTION("""COMPUTED_VALUE"""),"SEM REDESPACHO")</f>
        <v>SEM REDESPACHO</v>
      </c>
      <c r="L12" s="259"/>
      <c r="M12" s="251"/>
      <c r="N12" s="260"/>
      <c r="O12" s="260"/>
      <c r="P12" s="261" t="str">
        <f>IFERROR(__xludf.DUMMYFUNCTION("""COMPUTED_VALUE"""),"CLIENTE RETIRA / (0) Informação Adicional: PREÇO NEGOCIADO R$ 18.600,00 - ALTERAR NO PEDIDO   - AUTORIZADO POR PRISCILLA
ENTREGA: 01 MÁQUINA DIA 20/10 E AS OUTRAS 06 MAXIMO DIA 05/11 / E-mail para nota fiscal: , E-mail de cobrança: , Telefone para contat"&amp;"o")</f>
        <v>CLIENTE RETIRA / (0) Informação Adicional: PREÇO NEGOCIADO R$ 18.600,00 - ALTERAR NO PEDIDO   - AUTORIZADO POR PRISCILLA
ENTREGA: 01 MÁQUINA DIA 20/10 E AS OUTRAS 06 MAXIMO DIA 05/11 / E-mail para nota fiscal: , E-mail de cobrança: , Telefone para contato</v>
      </c>
      <c r="Q12" s="262"/>
      <c r="R12" s="261"/>
      <c r="S12" s="263"/>
      <c r="T12" s="264"/>
      <c r="U12" s="261"/>
      <c r="V12" s="265"/>
      <c r="W12" s="266"/>
      <c r="X12" s="267"/>
      <c r="Y12" s="267"/>
      <c r="Z12" s="268"/>
      <c r="AA12" s="267"/>
      <c r="AB12" s="267"/>
      <c r="AC12" s="269"/>
    </row>
    <row r="13" ht="16.5" customHeight="1">
      <c r="A13" s="251" t="str">
        <f>IFERROR(__xludf.DUMMYFUNCTION("""COMPUTED_VALUE"""),"18871-E")</f>
        <v>18871-E</v>
      </c>
      <c r="B13" s="252" t="str">
        <f>IFERROR(__xludf.DUMMYFUNCTION("""COMPUTED_VALUE"""),"STEINFIBER")</f>
        <v>STEINFIBER</v>
      </c>
      <c r="C13" s="253">
        <f>IFERROR(__xludf.DUMMYFUNCTION("""COMPUTED_VALUE"""),0.0)</f>
        <v>0</v>
      </c>
      <c r="D13" s="253"/>
      <c r="E13" s="253" t="str">
        <f>IFERROR(__xludf.DUMMYFUNCTION("""COMPUTED_VALUE"""),"FTI145LPTBR")</f>
        <v>FTI145LPTBR</v>
      </c>
      <c r="F13" s="254" t="str">
        <f>IFERROR(__xludf.DUMMYFUNCTION("""COMPUTED_VALUE"""),"WI-FI")</f>
        <v>WI-FI</v>
      </c>
      <c r="G13" s="255" t="str">
        <f>IFERROR(__xludf.DUMMYFUNCTION("""COMPUTED_VALUE"""),"NAO")</f>
        <v>NAO</v>
      </c>
      <c r="H13" s="254" t="str">
        <f>IFERROR(__xludf.DUMMYFUNCTION("""COMPUTED_VALUE"""),"NAO")</f>
        <v>NAO</v>
      </c>
      <c r="I13" s="256" t="str">
        <f>IFERROR(__xludf.DUMMYFUNCTION("""COMPUTED_VALUE"""),"EM ABERTO")</f>
        <v>EM ABERTO</v>
      </c>
      <c r="J13" s="257" t="str">
        <f>IFERROR(__xludf.DUMMYFUNCTION("""COMPUTED_VALUE"""),"RETIRA")</f>
        <v>RETIRA</v>
      </c>
      <c r="K13" s="258" t="str">
        <f>IFERROR(__xludf.DUMMYFUNCTION("""COMPUTED_VALUE"""),"SEM REDESPACHO")</f>
        <v>SEM REDESPACHO</v>
      </c>
      <c r="L13" s="259"/>
      <c r="M13" s="251"/>
      <c r="N13" s="260"/>
      <c r="O13" s="260"/>
      <c r="P13" s="261" t="str">
        <f>IFERROR(__xludf.DUMMYFUNCTION("""COMPUTED_VALUE"""),"CLIENTE RETIRA / (0) Informação Adicional: PREÇO NEGOCIADO R$ 18.600,00 - ALTERAR NO PEDIDO   - AUTORIZADO POR PRISCILLA
ENTREGA: 01 MÁQUINA DIA 20/10 E AS OUTRAS 06 MAXIMO DIA 05/11 / E-mail para nota fiscal: , E-mail de cobrança: , Telefone para contat"&amp;"o")</f>
        <v>CLIENTE RETIRA / (0) Informação Adicional: PREÇO NEGOCIADO R$ 18.600,00 - ALTERAR NO PEDIDO   - AUTORIZADO POR PRISCILLA
ENTREGA: 01 MÁQUINA DIA 20/10 E AS OUTRAS 06 MAXIMO DIA 05/11 / E-mail para nota fiscal: , E-mail de cobrança: , Telefone para contato</v>
      </c>
      <c r="Q13" s="262"/>
      <c r="R13" s="261"/>
      <c r="S13" s="263"/>
      <c r="T13" s="264"/>
      <c r="U13" s="261"/>
      <c r="V13" s="265"/>
      <c r="W13" s="266"/>
      <c r="X13" s="267"/>
      <c r="Y13" s="267"/>
      <c r="Z13" s="268"/>
      <c r="AA13" s="267"/>
      <c r="AB13" s="267"/>
      <c r="AC13" s="269"/>
    </row>
    <row r="14" ht="16.5" customHeight="1">
      <c r="A14" s="251" t="str">
        <f>IFERROR(__xludf.DUMMYFUNCTION("""COMPUTED_VALUE"""),"18871-F")</f>
        <v>18871-F</v>
      </c>
      <c r="B14" s="252" t="str">
        <f>IFERROR(__xludf.DUMMYFUNCTION("""COMPUTED_VALUE"""),"STEINFIBER")</f>
        <v>STEINFIBER</v>
      </c>
      <c r="C14" s="253">
        <f>IFERROR(__xludf.DUMMYFUNCTION("""COMPUTED_VALUE"""),0.0)</f>
        <v>0</v>
      </c>
      <c r="D14" s="253"/>
      <c r="E14" s="253" t="str">
        <f>IFERROR(__xludf.DUMMYFUNCTION("""COMPUTED_VALUE"""),"FTI145LPTBR")</f>
        <v>FTI145LPTBR</v>
      </c>
      <c r="F14" s="254" t="str">
        <f>IFERROR(__xludf.DUMMYFUNCTION("""COMPUTED_VALUE"""),"WI-FI")</f>
        <v>WI-FI</v>
      </c>
      <c r="G14" s="255" t="str">
        <f>IFERROR(__xludf.DUMMYFUNCTION("""COMPUTED_VALUE"""),"NAO")</f>
        <v>NAO</v>
      </c>
      <c r="H14" s="254" t="str">
        <f>IFERROR(__xludf.DUMMYFUNCTION("""COMPUTED_VALUE"""),"NAO")</f>
        <v>NAO</v>
      </c>
      <c r="I14" s="256" t="str">
        <f>IFERROR(__xludf.DUMMYFUNCTION("""COMPUTED_VALUE"""),"EM ABERTO")</f>
        <v>EM ABERTO</v>
      </c>
      <c r="J14" s="257" t="str">
        <f>IFERROR(__xludf.DUMMYFUNCTION("""COMPUTED_VALUE"""),"RETIRA")</f>
        <v>RETIRA</v>
      </c>
      <c r="K14" s="258" t="str">
        <f>IFERROR(__xludf.DUMMYFUNCTION("""COMPUTED_VALUE"""),"SEM REDESPACHO")</f>
        <v>SEM REDESPACHO</v>
      </c>
      <c r="L14" s="259"/>
      <c r="M14" s="251"/>
      <c r="N14" s="260"/>
      <c r="O14" s="260"/>
      <c r="P14" s="261" t="str">
        <f>IFERROR(__xludf.DUMMYFUNCTION("""COMPUTED_VALUE"""),"CLIENTE RETIRA / (0) Informação Adicional: PREÇO NEGOCIADO R$ 18.600,00 - ALTERAR NO PEDIDO   - AUTORIZADO POR PRISCILLA
ENTREGA: 01 MÁQUINA DIA 20/10 E AS OUTRAS 06 MAXIMO DIA 05/11 / E-mail para nota fiscal: , E-mail de cobrança: , Telefone para contat"&amp;"o")</f>
        <v>CLIENTE RETIRA / (0) Informação Adicional: PREÇO NEGOCIADO R$ 18.600,00 - ALTERAR NO PEDIDO   - AUTORIZADO POR PRISCILLA
ENTREGA: 01 MÁQUINA DIA 20/10 E AS OUTRAS 06 MAXIMO DIA 05/11 / E-mail para nota fiscal: , E-mail de cobrança: , Telefone para contato</v>
      </c>
      <c r="Q14" s="262"/>
      <c r="R14" s="261"/>
      <c r="S14" s="263"/>
      <c r="T14" s="264"/>
      <c r="U14" s="261"/>
      <c r="V14" s="265"/>
      <c r="W14" s="266"/>
      <c r="X14" s="267"/>
      <c r="Y14" s="267"/>
      <c r="Z14" s="268"/>
      <c r="AA14" s="267"/>
      <c r="AB14" s="267"/>
      <c r="AC14" s="269"/>
    </row>
    <row r="15" ht="16.5" customHeight="1">
      <c r="A15" s="251" t="str">
        <f>IFERROR(__xludf.DUMMYFUNCTION("""COMPUTED_VALUE"""),"18871-G")</f>
        <v>18871-G</v>
      </c>
      <c r="B15" s="252" t="str">
        <f>IFERROR(__xludf.DUMMYFUNCTION("""COMPUTED_VALUE"""),"STEINFIBER")</f>
        <v>STEINFIBER</v>
      </c>
      <c r="C15" s="253">
        <f>IFERROR(__xludf.DUMMYFUNCTION("""COMPUTED_VALUE"""),0.0)</f>
        <v>0</v>
      </c>
      <c r="D15" s="253"/>
      <c r="E15" s="253" t="str">
        <f>IFERROR(__xludf.DUMMYFUNCTION("""COMPUTED_VALUE"""),"FTI145LPTBR")</f>
        <v>FTI145LPTBR</v>
      </c>
      <c r="F15" s="254" t="str">
        <f>IFERROR(__xludf.DUMMYFUNCTION("""COMPUTED_VALUE"""),"WI-FI")</f>
        <v>WI-FI</v>
      </c>
      <c r="G15" s="255" t="str">
        <f>IFERROR(__xludf.DUMMYFUNCTION("""COMPUTED_VALUE"""),"NAO")</f>
        <v>NAO</v>
      </c>
      <c r="H15" s="254" t="str">
        <f>IFERROR(__xludf.DUMMYFUNCTION("""COMPUTED_VALUE"""),"NAO")</f>
        <v>NAO</v>
      </c>
      <c r="I15" s="256" t="str">
        <f>IFERROR(__xludf.DUMMYFUNCTION("""COMPUTED_VALUE"""),"EM ABERTO")</f>
        <v>EM ABERTO</v>
      </c>
      <c r="J15" s="257" t="str">
        <f>IFERROR(__xludf.DUMMYFUNCTION("""COMPUTED_VALUE"""),"RETIRA")</f>
        <v>RETIRA</v>
      </c>
      <c r="K15" s="258" t="str">
        <f>IFERROR(__xludf.DUMMYFUNCTION("""COMPUTED_VALUE"""),"SEM REDESPACHO")</f>
        <v>SEM REDESPACHO</v>
      </c>
      <c r="L15" s="259"/>
      <c r="M15" s="251"/>
      <c r="N15" s="260"/>
      <c r="O15" s="260"/>
      <c r="P15" s="261" t="str">
        <f>IFERROR(__xludf.DUMMYFUNCTION("""COMPUTED_VALUE"""),"CLIENTE RETIRA / (0) Informação Adicional: PREÇO NEGOCIADO R$ 18.600,00 - ALTERAR NO PEDIDO   - AUTORIZADO POR PRISCILLA
ENTREGA: 01 MÁQUINA DIA 20/10 E AS OUTRAS 06 MAXIMO DIA 05/11 / E-mail para nota fiscal: , E-mail de cobrança: , Telefone para contat"&amp;"o")</f>
        <v>CLIENTE RETIRA / (0) Informação Adicional: PREÇO NEGOCIADO R$ 18.600,00 - ALTERAR NO PEDIDO   - AUTORIZADO POR PRISCILLA
ENTREGA: 01 MÁQUINA DIA 20/10 E AS OUTRAS 06 MAXIMO DIA 05/11 / E-mail para nota fiscal: , E-mail de cobrança: , Telefone para contato</v>
      </c>
      <c r="Q15" s="262"/>
      <c r="R15" s="261"/>
      <c r="S15" s="263"/>
      <c r="T15" s="264"/>
      <c r="U15" s="261"/>
      <c r="V15" s="265"/>
      <c r="W15" s="266"/>
      <c r="X15" s="267"/>
      <c r="Y15" s="267"/>
      <c r="Z15" s="268"/>
      <c r="AA15" s="267"/>
      <c r="AB15" s="267"/>
      <c r="AC15" s="269"/>
    </row>
    <row r="16" ht="16.5" customHeight="1">
      <c r="A16" s="251" t="str">
        <f>IFERROR(__xludf.DUMMYFUNCTION("""COMPUTED_VALUE"""),"18886")</f>
        <v>18886</v>
      </c>
      <c r="B16" s="252" t="str">
        <f>IFERROR(__xludf.DUMMYFUNCTION("""COMPUTED_VALUE"""),"VITAL PISCINAS")</f>
        <v>VITAL PISCINAS</v>
      </c>
      <c r="C16" s="253">
        <f>IFERROR(__xludf.DUMMYFUNCTION("""COMPUTED_VALUE"""),0.0)</f>
        <v>0</v>
      </c>
      <c r="D16" s="253">
        <f>IFERROR(__xludf.DUMMYFUNCTION("""COMPUTED_VALUE"""),20375.0)</f>
        <v>20375</v>
      </c>
      <c r="E16" s="253" t="str">
        <f>IFERROR(__xludf.DUMMYFUNCTION("""COMPUTED_VALUE"""),"FTI145DPTBR")</f>
        <v>FTI145DPTBR</v>
      </c>
      <c r="F16" s="254" t="str">
        <f>IFERROR(__xludf.DUMMYFUNCTION("""COMPUTED_VALUE"""),"WI-FI")</f>
        <v>WI-FI</v>
      </c>
      <c r="G16" s="255" t="str">
        <f>IFERROR(__xludf.DUMMYFUNCTION("""COMPUTED_VALUE"""),"NAO")</f>
        <v>NAO</v>
      </c>
      <c r="H16" s="254" t="str">
        <f>IFERROR(__xludf.DUMMYFUNCTION("""COMPUTED_VALUE"""),"NAO")</f>
        <v>NAO</v>
      </c>
      <c r="I16" s="256" t="str">
        <f>IFERROR(__xludf.DUMMYFUNCTION("""COMPUTED_VALUE"""),"EM ABERTO")</f>
        <v>EM ABERTO</v>
      </c>
      <c r="J16" s="257" t="str">
        <f>IFERROR(__xludf.DUMMYFUNCTION("""COMPUTED_VALUE"""),"ACEVILLE")</f>
        <v>ACEVILLE</v>
      </c>
      <c r="K16" s="258" t="str">
        <f>IFERROR(__xludf.DUMMYFUNCTION("""COMPUTED_VALUE"""),"SEM REDESPACHO")</f>
        <v>SEM REDESPACHO</v>
      </c>
      <c r="L16" s="259"/>
      <c r="M16" s="251"/>
      <c r="N16" s="260"/>
      <c r="O16" s="260"/>
      <c r="P16" s="261" t="str">
        <f>IFERROR(__xludf.DUMMYFUNCTION("""COMPUTED_VALUE"""),"ACEVILLE TRANSPORTES LTDA / (048) 99823-5770E-mail para nota fiscal: , E-mail de cobrança: , Telefone para contato")</f>
        <v>ACEVILLE TRANSPORTES LTDA / (048) 99823-5770E-mail para nota fiscal: , E-mail de cobrança: , Telefone para contato</v>
      </c>
      <c r="Q16" s="262"/>
      <c r="R16" s="261"/>
      <c r="S16" s="263"/>
      <c r="T16" s="264"/>
      <c r="U16" s="261"/>
      <c r="V16" s="265"/>
      <c r="W16" s="266"/>
      <c r="X16" s="267"/>
      <c r="Y16" s="267"/>
      <c r="Z16" s="268"/>
      <c r="AA16" s="267"/>
      <c r="AB16" s="267"/>
      <c r="AC16" s="269"/>
    </row>
    <row r="17" ht="16.5" customHeight="1">
      <c r="A17" s="251" t="str">
        <f>IFERROR(__xludf.DUMMYFUNCTION("""COMPUTED_VALUE"""),"18911")</f>
        <v>18911</v>
      </c>
      <c r="B17" s="252" t="str">
        <f>IFERROR(__xludf.DUMMYFUNCTION("""COMPUTED_VALUE"""),"DEPOSITO BEIRA RIO")</f>
        <v>DEPOSITO BEIRA RIO</v>
      </c>
      <c r="C17" s="253">
        <f>IFERROR(__xludf.DUMMYFUNCTION("""COMPUTED_VALUE"""),0.0)</f>
        <v>0</v>
      </c>
      <c r="D17" s="253"/>
      <c r="E17" s="253" t="str">
        <f>IFERROR(__xludf.DUMMYFUNCTION("""COMPUTED_VALUE"""),"FTI45DPTBR")</f>
        <v>FTI45DPTBR</v>
      </c>
      <c r="F17" s="254" t="str">
        <f>IFERROR(__xludf.DUMMYFUNCTION("""COMPUTED_VALUE"""),"WI-FI")</f>
        <v>WI-FI</v>
      </c>
      <c r="G17" s="255" t="str">
        <f>IFERROR(__xludf.DUMMYFUNCTION("""COMPUTED_VALUE"""),"NAO")</f>
        <v>NAO</v>
      </c>
      <c r="H17" s="254" t="str">
        <f>IFERROR(__xludf.DUMMYFUNCTION("""COMPUTED_VALUE"""),"NAO")</f>
        <v>NAO</v>
      </c>
      <c r="I17" s="256" t="str">
        <f>IFERROR(__xludf.DUMMYFUNCTION("""COMPUTED_VALUE"""),"EM ABERTO")</f>
        <v>EM ABERTO</v>
      </c>
      <c r="J17" s="257" t="str">
        <f>IFERROR(__xludf.DUMMYFUNCTION("""COMPUTED_VALUE"""),"RODONAVES")</f>
        <v>RODONAVES</v>
      </c>
      <c r="K17" s="258" t="str">
        <f>IFERROR(__xludf.DUMMYFUNCTION("""COMPUTED_VALUE"""),"SEM REDESPACHO")</f>
        <v>SEM REDESPACHO</v>
      </c>
      <c r="L17" s="259"/>
      <c r="M17" s="251"/>
      <c r="N17" s="260"/>
      <c r="O17" s="260"/>
      <c r="P17" s="261" t="str">
        <f>IFERROR(__xludf.DUMMYFUNCTION("""COMPUTED_VALUE"""),"Pedido gerado através do PedidoEletronico.com - Transportadora / telefone: RODONAVES TRANSPORTES E ENCOMENDAS LTDA / (016) 3965-2141E-mail para nota fiscal: , E-mail de cobrança: , Telefone para contato")</f>
        <v>Pedido gerado através do PedidoEletronico.com - Transportadora / telefone: RODONAVES TRANSPORTES E ENCOMENDAS LTDA / (016) 3965-2141E-mail para nota fiscal: , E-mail de cobrança: , Telefone para contato</v>
      </c>
      <c r="Q17" s="262"/>
      <c r="R17" s="261"/>
      <c r="S17" s="263"/>
      <c r="T17" s="264"/>
      <c r="U17" s="261"/>
      <c r="V17" s="265"/>
      <c r="W17" s="266"/>
      <c r="X17" s="267"/>
      <c r="Y17" s="267"/>
      <c r="Z17" s="268"/>
      <c r="AA17" s="267"/>
      <c r="AB17" s="267"/>
      <c r="AC17" s="269"/>
    </row>
    <row r="18" ht="16.5" customHeight="1">
      <c r="A18" s="251" t="str">
        <f>IFERROR(__xludf.DUMMYFUNCTION("""COMPUTED_VALUE"""),"18923-A")</f>
        <v>18923-A</v>
      </c>
      <c r="B18" s="252" t="str">
        <f>IFERROR(__xludf.DUMMYFUNCTION("""COMPUTED_VALUE"""),"HYDRONIC SOLUTIONS")</f>
        <v>HYDRONIC SOLUTIONS</v>
      </c>
      <c r="C18" s="253">
        <f>IFERROR(__xludf.DUMMYFUNCTION("""COMPUTED_VALUE"""),0.0)</f>
        <v>0</v>
      </c>
      <c r="D18" s="253"/>
      <c r="E18" s="253" t="str">
        <f>IFERROR(__xludf.DUMMYFUNCTION("""COMPUTED_VALUE"""),"FH80F60W")</f>
        <v>FH80F60W</v>
      </c>
      <c r="F18" s="254"/>
      <c r="G18" s="255" t="str">
        <f>IFERROR(__xludf.DUMMYFUNCTION("""COMPUTED_VALUE"""),"NAO")</f>
        <v>NAO</v>
      </c>
      <c r="H18" s="254" t="str">
        <f>IFERROR(__xludf.DUMMYFUNCTION("""COMPUTED_VALUE"""),"NAO")</f>
        <v>NAO</v>
      </c>
      <c r="I18" s="256" t="str">
        <f>IFERROR(__xludf.DUMMYFUNCTION("""COMPUTED_VALUE"""),"EM ABERTO")</f>
        <v>EM ABERTO</v>
      </c>
      <c r="J18" s="257" t="str">
        <f>IFERROR(__xludf.DUMMYFUNCTION("""COMPUTED_VALUE"""),"FITLOG")</f>
        <v>FITLOG</v>
      </c>
      <c r="K18" s="258" t="str">
        <f>IFERROR(__xludf.DUMMYFUNCTION("""COMPUTED_VALUE"""),"SEM REDESPACHO")</f>
        <v>SEM REDESPACHO</v>
      </c>
      <c r="L18" s="259"/>
      <c r="M18" s="251"/>
      <c r="N18" s="260"/>
      <c r="O18" s="260"/>
      <c r="P18" s="261" t="str">
        <f>IFERROR(__xludf.DUMMYFUNCTION("""COMPUTED_VALUE"""),"Pedido gerado através do PedidoEletronico.com - Transportadora / telefone: FITLOG TRANSPORTES E LOGISTICA LTDA / (048) 996277956Obs.Interna: entrega futura. Entregar  hotel BIARRITZ COPACABANA Rua Aires Saldanha 54  Copacabana cep 22440 032 RJ . Maquinas "&amp;"ja implantadas anteriormente. Pedido para correção de endereço de entrega . Ligar para o Luiz antes de entregar 21 9 6518 9999 / E-mail para nota fiscal: , E-mail de cobrança: , Telefone para contato")</f>
        <v>Pedido gerado através do PedidoEletronico.com - Transportadora / telefone: FITLOG TRANSPORTES E LOGISTICA LTDA / (048) 996277956Obs.Interna: entrega futura. Entregar  hotel BIARRITZ COPACABANA Rua Aires Saldanha 54  Copacabana cep 22440 032 RJ . Maquinas ja implantadas anteriormente. Pedido para correção de endereço de entrega . Ligar para o Luiz antes de entregar 21 9 6518 9999 / E-mail para nota fiscal: , E-mail de cobrança: , Telefone para contato</v>
      </c>
      <c r="Q18" s="262"/>
      <c r="R18" s="261"/>
      <c r="S18" s="263"/>
      <c r="T18" s="264"/>
      <c r="U18" s="261"/>
      <c r="V18" s="265"/>
      <c r="W18" s="266"/>
      <c r="X18" s="267"/>
      <c r="Y18" s="267"/>
      <c r="Z18" s="268"/>
      <c r="AA18" s="267"/>
      <c r="AB18" s="267"/>
      <c r="AC18" s="269"/>
    </row>
    <row r="19" ht="16.5" customHeight="1">
      <c r="A19" s="251" t="str">
        <f>IFERROR(__xludf.DUMMYFUNCTION("""COMPUTED_VALUE"""),"18932-A")</f>
        <v>18932-A</v>
      </c>
      <c r="B19" s="252" t="str">
        <f>IFERROR(__xludf.DUMMYFUNCTION("""COMPUTED_VALUE"""),"INFRAH ENGENHARIA , INSTALACOES E SISTEMAS DE AQUECIMENTO LTDA")</f>
        <v>INFRAH ENGENHARIA , INSTALACOES E SISTEMAS DE AQUECIMENTO LTDA</v>
      </c>
      <c r="C19" s="253">
        <f>IFERROR(__xludf.DUMMYFUNCTION("""COMPUTED_VALUE"""),0.0)</f>
        <v>0</v>
      </c>
      <c r="D19" s="253"/>
      <c r="E19" s="253" t="str">
        <f>IFERROR(__xludf.DUMMYFUNCTION("""COMPUTED_VALUE"""),"FH160L60T")</f>
        <v>FH160L60T</v>
      </c>
      <c r="F19" s="254" t="str">
        <f>IFERROR(__xludf.DUMMYFUNCTION("""COMPUTED_VALUE"""),"TOUCH")</f>
        <v>TOUCH</v>
      </c>
      <c r="G19" s="255" t="str">
        <f>IFERROR(__xludf.DUMMYFUNCTION("""COMPUTED_VALUE"""),"NAO")</f>
        <v>NAO</v>
      </c>
      <c r="H19" s="254" t="str">
        <f>IFERROR(__xludf.DUMMYFUNCTION("""COMPUTED_VALUE"""),"NAO")</f>
        <v>NAO</v>
      </c>
      <c r="I19" s="256" t="str">
        <f>IFERROR(__xludf.DUMMYFUNCTION("""COMPUTED_VALUE"""),"EM ABERTO")</f>
        <v>EM ABERTO</v>
      </c>
      <c r="J19" s="257" t="str">
        <f>IFERROR(__xludf.DUMMYFUNCTION("""COMPUTED_VALUE"""),"FITLOG")</f>
        <v>FITLOG</v>
      </c>
      <c r="K19" s="258" t="str">
        <f>IFERROR(__xludf.DUMMYFUNCTION("""COMPUTED_VALUE"""),"SEM REDESPACHO")</f>
        <v>SEM REDESPACHO</v>
      </c>
      <c r="L19" s="259"/>
      <c r="M19" s="251"/>
      <c r="N19" s="260"/>
      <c r="O19" s="260"/>
      <c r="P19" s="261" t="str">
        <f>IFERROR(__xludf.DUMMYFUNCTION("""COMPUTED_VALUE"""),"Pedido reprocessado ao alterar dados do cliente 21/10/2025 14:08:08 usuário: P000697112
ABATER O VALOR DE R$ 60.000,00 DA COMISSÃO QUE A INFRAH TEM A RECEBER DO HOTEL VILLA LOBOS E PARCELAR O RESTANTE. CONVERSAR COM A PRISCILLA, POIS ESSE PEDIDO SAIRÁ CO"&amp;"M UM VALOR DE NF. MENOR.
Pedido gerado através do PedidoEletronico.com - Transportadora / telefone: FITLOG TRANSPORTES E LOGISTICA LTDA / (048) 996277956Informação Adicional: ENDEREÇO DE ENTREGA: HOTEL ÍBIS BUDGET PAULISTA - RUA DA CONSOLAÇÃO, 2.303 - CO"&amp;"NSOLAÇÃO - SÃO PAULO - SP - CEP: 01301-100, LIGAR PARA O ALISSON ANTES DE ENTREGAR - (11) 9 9473 5150. / E-mail para nota fiscal: , E-mail de cobrança: , Telefone para contato")</f>
        <v>Pedido reprocessado ao alterar dados do cliente 21/10/2025 14:08:08 usuário: P000697112
ABATER O VALOR DE R$ 60.000,00 DA COMISSÃO QUE A INFRAH TEM A RECEBER DO HOTEL VILLA LOBOS E PARCELAR O RESTANTE. CONVERSAR COM A PRISCILLA, POIS ESSE PEDIDO SAIRÁ COM UM VALOR DE NF. MENOR.
Pedido gerado através do PedidoEletronico.com - Transportadora / telefone: FITLOG TRANSPORTES E LOGISTICA LTDA / (048) 996277956Informação Adicional: ENDEREÇO DE ENTREGA: HOTEL ÍBIS BUDGET PAULISTA - RUA DA CONSOLAÇÃO, 2.303 - CONSOLAÇÃO - SÃO PAULO - SP - CEP: 01301-100, LIGAR PARA O ALISSON ANTES DE ENTREGAR - (11) 9 9473 5150. / E-mail para nota fiscal: , E-mail de cobrança: , Telefone para contato</v>
      </c>
      <c r="Q19" s="262"/>
      <c r="R19" s="261"/>
      <c r="S19" s="263"/>
      <c r="T19" s="264"/>
      <c r="U19" s="261"/>
      <c r="V19" s="265"/>
      <c r="W19" s="266"/>
      <c r="X19" s="267"/>
      <c r="Y19" s="267"/>
      <c r="Z19" s="268"/>
      <c r="AA19" s="267"/>
      <c r="AB19" s="267"/>
      <c r="AC19" s="269"/>
    </row>
    <row r="20" ht="16.5" customHeight="1">
      <c r="A20" s="251" t="str">
        <f>IFERROR(__xludf.DUMMYFUNCTION("""COMPUTED_VALUE"""),"18932-B")</f>
        <v>18932-B</v>
      </c>
      <c r="B20" s="252" t="str">
        <f>IFERROR(__xludf.DUMMYFUNCTION("""COMPUTED_VALUE"""),"INFRAH ENGENHARIA , INSTALACOES E SISTEMAS DE AQUECIMENTO LTDA")</f>
        <v>INFRAH ENGENHARIA , INSTALACOES E SISTEMAS DE AQUECIMENTO LTDA</v>
      </c>
      <c r="C20" s="253">
        <f>IFERROR(__xludf.DUMMYFUNCTION("""COMPUTED_VALUE"""),0.0)</f>
        <v>0</v>
      </c>
      <c r="D20" s="253"/>
      <c r="E20" s="253" t="str">
        <f>IFERROR(__xludf.DUMMYFUNCTION("""COMPUTED_VALUE"""),"FH160L60T")</f>
        <v>FH160L60T</v>
      </c>
      <c r="F20" s="254" t="str">
        <f>IFERROR(__xludf.DUMMYFUNCTION("""COMPUTED_VALUE"""),"TOUCH")</f>
        <v>TOUCH</v>
      </c>
      <c r="G20" s="255" t="str">
        <f>IFERROR(__xludf.DUMMYFUNCTION("""COMPUTED_VALUE"""),"NAO")</f>
        <v>NAO</v>
      </c>
      <c r="H20" s="254" t="str">
        <f>IFERROR(__xludf.DUMMYFUNCTION("""COMPUTED_VALUE"""),"NAO")</f>
        <v>NAO</v>
      </c>
      <c r="I20" s="256" t="str">
        <f>IFERROR(__xludf.DUMMYFUNCTION("""COMPUTED_VALUE"""),"EM ABERTO")</f>
        <v>EM ABERTO</v>
      </c>
      <c r="J20" s="257" t="str">
        <f>IFERROR(__xludf.DUMMYFUNCTION("""COMPUTED_VALUE"""),"FITLOG")</f>
        <v>FITLOG</v>
      </c>
      <c r="K20" s="258" t="str">
        <f>IFERROR(__xludf.DUMMYFUNCTION("""COMPUTED_VALUE"""),"SEM REDESPACHO")</f>
        <v>SEM REDESPACHO</v>
      </c>
      <c r="L20" s="259"/>
      <c r="M20" s="251"/>
      <c r="N20" s="260"/>
      <c r="O20" s="260"/>
      <c r="P20" s="261" t="str">
        <f>IFERROR(__xludf.DUMMYFUNCTION("""COMPUTED_VALUE"""),"Pedido reprocessado ao alterar dados do cliente 21/10/2025 14:08:08 usuário: P000697112
ABATER O VALOR DE R$ 60.000,00 DA COMISSÃO QUE A INFRAH TEM A RECEBER DO HOTEL VILLA LOBOS E PARCELAR O RESTANTE. CONVERSAR COM A PRISCILLA, POIS ESSE PEDIDO SAIRÁ CO"&amp;"M UM VALOR DE NF. MENOR.
Pedido gerado através do PedidoEletronico.com - Transportadora / telefone: FITLOG TRANSPORTES E LOGISTICA LTDA / (048) 996277956Informação Adicional: ENDEREÇO DE ENTREGA: HOTEL ÍBIS BUDGET PAULISTA - RUA DA CONSOLAÇÃO, 2.303 - CO"&amp;"NSOLAÇÃO - SÃO PAULO - SP - CEP: 01301-100, LIGAR PARA O ALISSON ANTES DE ENTREGAR - (11) 9 9473 5150. / E-mail para nota fiscal: , E-mail de cobrança: , Telefone para contato")</f>
        <v>Pedido reprocessado ao alterar dados do cliente 21/10/2025 14:08:08 usuário: P000697112
ABATER O VALOR DE R$ 60.000,00 DA COMISSÃO QUE A INFRAH TEM A RECEBER DO HOTEL VILLA LOBOS E PARCELAR O RESTANTE. CONVERSAR COM A PRISCILLA, POIS ESSE PEDIDO SAIRÁ COM UM VALOR DE NF. MENOR.
Pedido gerado através do PedidoEletronico.com - Transportadora / telefone: FITLOG TRANSPORTES E LOGISTICA LTDA / (048) 996277956Informação Adicional: ENDEREÇO DE ENTREGA: HOTEL ÍBIS BUDGET PAULISTA - RUA DA CONSOLAÇÃO, 2.303 - CONSOLAÇÃO - SÃO PAULO - SP - CEP: 01301-100, LIGAR PARA O ALISSON ANTES DE ENTREGAR - (11) 9 9473 5150. / E-mail para nota fiscal: , E-mail de cobrança: , Telefone para contato</v>
      </c>
      <c r="Q20" s="262"/>
      <c r="R20" s="261"/>
      <c r="S20" s="263"/>
      <c r="T20" s="264"/>
      <c r="U20" s="261"/>
      <c r="V20" s="265"/>
      <c r="W20" s="266"/>
      <c r="X20" s="267"/>
      <c r="Y20" s="267"/>
      <c r="Z20" s="268"/>
      <c r="AA20" s="267"/>
      <c r="AB20" s="267"/>
      <c r="AC20" s="269"/>
    </row>
    <row r="21" ht="16.5" customHeight="1">
      <c r="A21" s="251" t="str">
        <f>IFERROR(__xludf.DUMMYFUNCTION("""COMPUTED_VALUE"""),"18932-C")</f>
        <v>18932-C</v>
      </c>
      <c r="B21" s="252" t="str">
        <f>IFERROR(__xludf.DUMMYFUNCTION("""COMPUTED_VALUE"""),"INFRAH ENGENHARIA , INSTALACOES E SISTEMAS DE AQUECIMENTO LTDA")</f>
        <v>INFRAH ENGENHARIA , INSTALACOES E SISTEMAS DE AQUECIMENTO LTDA</v>
      </c>
      <c r="C21" s="253">
        <f>IFERROR(__xludf.DUMMYFUNCTION("""COMPUTED_VALUE"""),0.0)</f>
        <v>0</v>
      </c>
      <c r="D21" s="253"/>
      <c r="E21" s="253" t="str">
        <f>IFERROR(__xludf.DUMMYFUNCTION("""COMPUTED_VALUE"""),"FH160L60T")</f>
        <v>FH160L60T</v>
      </c>
      <c r="F21" s="254" t="str">
        <f>IFERROR(__xludf.DUMMYFUNCTION("""COMPUTED_VALUE"""),"TOUCH")</f>
        <v>TOUCH</v>
      </c>
      <c r="G21" s="255" t="str">
        <f>IFERROR(__xludf.DUMMYFUNCTION("""COMPUTED_VALUE"""),"NAO")</f>
        <v>NAO</v>
      </c>
      <c r="H21" s="254" t="str">
        <f>IFERROR(__xludf.DUMMYFUNCTION("""COMPUTED_VALUE"""),"NAO")</f>
        <v>NAO</v>
      </c>
      <c r="I21" s="256" t="str">
        <f>IFERROR(__xludf.DUMMYFUNCTION("""COMPUTED_VALUE"""),"EM ABERTO")</f>
        <v>EM ABERTO</v>
      </c>
      <c r="J21" s="257" t="str">
        <f>IFERROR(__xludf.DUMMYFUNCTION("""COMPUTED_VALUE"""),"FITLOG")</f>
        <v>FITLOG</v>
      </c>
      <c r="K21" s="258" t="str">
        <f>IFERROR(__xludf.DUMMYFUNCTION("""COMPUTED_VALUE"""),"SEM REDESPACHO")</f>
        <v>SEM REDESPACHO</v>
      </c>
      <c r="L21" s="259"/>
      <c r="M21" s="251"/>
      <c r="N21" s="260"/>
      <c r="O21" s="260"/>
      <c r="P21" s="261" t="str">
        <f>IFERROR(__xludf.DUMMYFUNCTION("""COMPUTED_VALUE"""),"Pedido reprocessado ao alterar dados do cliente 21/10/2025 14:08:08 usuário: P000697112
ABATER O VALOR DE R$ 60.000,00 DA COMISSÃO QUE A INFRAH TEM A RECEBER DO HOTEL VILLA LOBOS E PARCELAR O RESTANTE. CONVERSAR COM A PRISCILLA, POIS ESSE PEDIDO SAIRÁ CO"&amp;"M UM VALOR DE NF. MENOR.
Pedido gerado através do PedidoEletronico.com - Transportadora / telefone: FITLOG TRANSPORTES E LOGISTICA LTDA / (048) 996277956Informação Adicional: ENDEREÇO DE ENTREGA: HOTEL ÍBIS BUDGET PAULISTA - RUA DA CONSOLAÇÃO, 2.303 - CO"&amp;"NSOLAÇÃO - SÃO PAULO - SP - CEP: 01301-100, LIGAR PARA O ALISSON ANTES DE ENTREGAR - (11) 9 9473 5150. / E-mail para nota fiscal: , E-mail de cobrança: , Telefone para contato")</f>
        <v>Pedido reprocessado ao alterar dados do cliente 21/10/2025 14:08:08 usuário: P000697112
ABATER O VALOR DE R$ 60.000,00 DA COMISSÃO QUE A INFRAH TEM A RECEBER DO HOTEL VILLA LOBOS E PARCELAR O RESTANTE. CONVERSAR COM A PRISCILLA, POIS ESSE PEDIDO SAIRÁ COM UM VALOR DE NF. MENOR.
Pedido gerado através do PedidoEletronico.com - Transportadora / telefone: FITLOG TRANSPORTES E LOGISTICA LTDA / (048) 996277956Informação Adicional: ENDEREÇO DE ENTREGA: HOTEL ÍBIS BUDGET PAULISTA - RUA DA CONSOLAÇÃO, 2.303 - CONSOLAÇÃO - SÃO PAULO - SP - CEP: 01301-100, LIGAR PARA O ALISSON ANTES DE ENTREGAR - (11) 9 9473 5150. / E-mail para nota fiscal: , E-mail de cobrança: , Telefone para contato</v>
      </c>
      <c r="Q21" s="262"/>
      <c r="R21" s="261"/>
      <c r="S21" s="263"/>
      <c r="T21" s="264"/>
      <c r="U21" s="261"/>
      <c r="V21" s="265"/>
      <c r="W21" s="266"/>
      <c r="X21" s="267"/>
      <c r="Y21" s="267"/>
      <c r="Z21" s="268"/>
      <c r="AA21" s="267"/>
      <c r="AB21" s="267"/>
      <c r="AC21" s="269"/>
    </row>
    <row r="22" ht="16.5" customHeight="1">
      <c r="A22" s="251" t="str">
        <f>IFERROR(__xludf.DUMMYFUNCTION("""COMPUTED_VALUE"""),"18932-D")</f>
        <v>18932-D</v>
      </c>
      <c r="B22" s="252" t="str">
        <f>IFERROR(__xludf.DUMMYFUNCTION("""COMPUTED_VALUE"""),"INFRAH ENGENHARIA , INSTALACOES E SISTEMAS DE AQUECIMENTO LTDA")</f>
        <v>INFRAH ENGENHARIA , INSTALACOES E SISTEMAS DE AQUECIMENTO LTDA</v>
      </c>
      <c r="C22" s="253">
        <f>IFERROR(__xludf.DUMMYFUNCTION("""COMPUTED_VALUE"""),0.0)</f>
        <v>0</v>
      </c>
      <c r="D22" s="253"/>
      <c r="E22" s="253" t="str">
        <f>IFERROR(__xludf.DUMMYFUNCTION("""COMPUTED_VALUE"""),"FH160L60T")</f>
        <v>FH160L60T</v>
      </c>
      <c r="F22" s="254" t="str">
        <f>IFERROR(__xludf.DUMMYFUNCTION("""COMPUTED_VALUE"""),"TOUCH")</f>
        <v>TOUCH</v>
      </c>
      <c r="G22" s="255" t="str">
        <f>IFERROR(__xludf.DUMMYFUNCTION("""COMPUTED_VALUE"""),"NAO")</f>
        <v>NAO</v>
      </c>
      <c r="H22" s="254" t="str">
        <f>IFERROR(__xludf.DUMMYFUNCTION("""COMPUTED_VALUE"""),"NAO")</f>
        <v>NAO</v>
      </c>
      <c r="I22" s="256" t="str">
        <f>IFERROR(__xludf.DUMMYFUNCTION("""COMPUTED_VALUE"""),"EM ABERTO")</f>
        <v>EM ABERTO</v>
      </c>
      <c r="J22" s="257" t="str">
        <f>IFERROR(__xludf.DUMMYFUNCTION("""COMPUTED_VALUE"""),"FITLOG")</f>
        <v>FITLOG</v>
      </c>
      <c r="K22" s="258" t="str">
        <f>IFERROR(__xludf.DUMMYFUNCTION("""COMPUTED_VALUE"""),"SEM REDESPACHO")</f>
        <v>SEM REDESPACHO</v>
      </c>
      <c r="L22" s="259"/>
      <c r="M22" s="251"/>
      <c r="N22" s="260"/>
      <c r="O22" s="260"/>
      <c r="P22" s="261" t="str">
        <f>IFERROR(__xludf.DUMMYFUNCTION("""COMPUTED_VALUE"""),"Pedido reprocessado ao alterar dados do cliente 21/10/2025 14:08:08 usuário: P000697112
ABATER O VALOR DE R$ 60.000,00 DA COMISSÃO QUE A INFRAH TEM A RECEBER DO HOTEL VILLA LOBOS E PARCELAR O RESTANTE. CONVERSAR COM A PRISCILLA, POIS ESSE PEDIDO SAIRÁ CO"&amp;"M UM VALOR DE NF. MENOR.
Pedido gerado através do PedidoEletronico.com - Transportadora / telefone: FITLOG TRANSPORTES E LOGISTICA LTDA / (048) 996277956Informação Adicional: ENDEREÇO DE ENTREGA: HOTEL ÍBIS BUDGET PAULISTA - RUA DA CONSOLAÇÃO, 2.303 - CO"&amp;"NSOLAÇÃO - SÃO PAULO - SP - CEP: 01301-100, LIGAR PARA O ALISSON ANTES DE ENTREGAR - (11) 9 9473 5150. / E-mail para nota fiscal: , E-mail de cobrança: , Telefone para contato")</f>
        <v>Pedido reprocessado ao alterar dados do cliente 21/10/2025 14:08:08 usuário: P000697112
ABATER O VALOR DE R$ 60.000,00 DA COMISSÃO QUE A INFRAH TEM A RECEBER DO HOTEL VILLA LOBOS E PARCELAR O RESTANTE. CONVERSAR COM A PRISCILLA, POIS ESSE PEDIDO SAIRÁ COM UM VALOR DE NF. MENOR.
Pedido gerado através do PedidoEletronico.com - Transportadora / telefone: FITLOG TRANSPORTES E LOGISTICA LTDA / (048) 996277956Informação Adicional: ENDEREÇO DE ENTREGA: HOTEL ÍBIS BUDGET PAULISTA - RUA DA CONSOLAÇÃO, 2.303 - CONSOLAÇÃO - SÃO PAULO - SP - CEP: 01301-100, LIGAR PARA O ALISSON ANTES DE ENTREGAR - (11) 9 9473 5150. / E-mail para nota fiscal: , E-mail de cobrança: , Telefone para contato</v>
      </c>
      <c r="Q22" s="262"/>
      <c r="R22" s="261"/>
      <c r="S22" s="263"/>
      <c r="T22" s="264"/>
      <c r="U22" s="261"/>
      <c r="V22" s="265"/>
      <c r="W22" s="266"/>
      <c r="X22" s="267"/>
      <c r="Y22" s="267"/>
      <c r="Z22" s="268"/>
      <c r="AA22" s="267"/>
      <c r="AB22" s="267"/>
      <c r="AC22" s="269"/>
    </row>
    <row r="23" ht="16.5" customHeight="1">
      <c r="A23" s="251" t="str">
        <f>IFERROR(__xludf.DUMMYFUNCTION("""COMPUTED_VALUE"""),"18923-B")</f>
        <v>18923-B</v>
      </c>
      <c r="B23" s="252" t="str">
        <f>IFERROR(__xludf.DUMMYFUNCTION("""COMPUTED_VALUE"""),"HYDRONIC SOLUTIONS")</f>
        <v>HYDRONIC SOLUTIONS</v>
      </c>
      <c r="C23" s="253">
        <f>IFERROR(__xludf.DUMMYFUNCTION("""COMPUTED_VALUE"""),0.0)</f>
        <v>0</v>
      </c>
      <c r="D23" s="253"/>
      <c r="E23" s="253" t="str">
        <f>IFERROR(__xludf.DUMMYFUNCTION("""COMPUTED_VALUE"""),"FH80F60W")</f>
        <v>FH80F60W</v>
      </c>
      <c r="F23" s="254"/>
      <c r="G23" s="255" t="str">
        <f>IFERROR(__xludf.DUMMYFUNCTION("""COMPUTED_VALUE"""),"NAO")</f>
        <v>NAO</v>
      </c>
      <c r="H23" s="254" t="str">
        <f>IFERROR(__xludf.DUMMYFUNCTION("""COMPUTED_VALUE"""),"NAO")</f>
        <v>NAO</v>
      </c>
      <c r="I23" s="256" t="str">
        <f>IFERROR(__xludf.DUMMYFUNCTION("""COMPUTED_VALUE"""),"EM ABERTO")</f>
        <v>EM ABERTO</v>
      </c>
      <c r="J23" s="257" t="str">
        <f>IFERROR(__xludf.DUMMYFUNCTION("""COMPUTED_VALUE"""),"FITLOG")</f>
        <v>FITLOG</v>
      </c>
      <c r="K23" s="258" t="str">
        <f>IFERROR(__xludf.DUMMYFUNCTION("""COMPUTED_VALUE"""),"SEM REDESPACHO")</f>
        <v>SEM REDESPACHO</v>
      </c>
      <c r="L23" s="259"/>
      <c r="M23" s="251"/>
      <c r="N23" s="260"/>
      <c r="O23" s="260"/>
      <c r="P23" s="261" t="str">
        <f>IFERROR(__xludf.DUMMYFUNCTION("""COMPUTED_VALUE"""),"Pedido gerado através do PedidoEletronico.com - Transportadora / telefone: FITLOG TRANSPORTES E LOGISTICA LTDA / (048) 996277956Obs.Interna: entrega futura. Entregar  hotel BIARRITZ COPACABANA Rua Aires Saldanha 54  Copacabana cep 22440 032 RJ . Maquinas "&amp;"ja implantadas anteriormente. Pedido para correção de endereço de entrega . Ligar para o Luiz antes de entregar 21 9 6518 9999 / E-mail para nota fiscal: , E-mail de cobrança: , Telefone para contato")</f>
        <v>Pedido gerado através do PedidoEletronico.com - Transportadora / telefone: FITLOG TRANSPORTES E LOGISTICA LTDA / (048) 996277956Obs.Interna: entrega futura. Entregar  hotel BIARRITZ COPACABANA Rua Aires Saldanha 54  Copacabana cep 22440 032 RJ . Maquinas ja implantadas anteriormente. Pedido para correção de endereço de entrega . Ligar para o Luiz antes de entregar 21 9 6518 9999 / E-mail para nota fiscal: , E-mail de cobrança: , Telefone para contato</v>
      </c>
      <c r="Q23" s="262"/>
      <c r="R23" s="261"/>
      <c r="S23" s="263"/>
      <c r="T23" s="264"/>
      <c r="U23" s="261"/>
      <c r="V23" s="265"/>
      <c r="W23" s="266"/>
      <c r="X23" s="267"/>
      <c r="Y23" s="267"/>
      <c r="Z23" s="268"/>
      <c r="AA23" s="267"/>
      <c r="AB23" s="267"/>
      <c r="AC23" s="269"/>
    </row>
    <row r="24" ht="16.5" customHeight="1">
      <c r="A24" s="251" t="str">
        <f>IFERROR(__xludf.DUMMYFUNCTION("""COMPUTED_VALUE"""),"18793")</f>
        <v>18793</v>
      </c>
      <c r="B24" s="252" t="str">
        <f>IFERROR(__xludf.DUMMYFUNCTION("""COMPUTED_VALUE"""),"DESJOYAUX ES")</f>
        <v>DESJOYAUX ES</v>
      </c>
      <c r="C24" s="229">
        <f>IFERROR(__xludf.DUMMYFUNCTION("""COMPUTED_VALUE"""),1.0)</f>
        <v>1</v>
      </c>
      <c r="D24" s="253">
        <f>IFERROR(__xludf.DUMMYFUNCTION("""COMPUTED_VALUE"""),20433.0)</f>
        <v>20433</v>
      </c>
      <c r="E24" s="253" t="str">
        <f>IFERROR(__xludf.DUMMYFUNCTION("""COMPUTED_VALUE"""),"FTI75DPTBR")</f>
        <v>FTI75DPTBR</v>
      </c>
      <c r="F24" s="254" t="str">
        <f>IFERROR(__xludf.DUMMYFUNCTION("""COMPUTED_VALUE"""),"WI-FI")</f>
        <v>WI-FI</v>
      </c>
      <c r="G24" s="255" t="str">
        <f>IFERROR(__xludf.DUMMYFUNCTION("""COMPUTED_VALUE"""),"NAO")</f>
        <v>NAO</v>
      </c>
      <c r="H24" s="254" t="str">
        <f>IFERROR(__xludf.DUMMYFUNCTION("""COMPUTED_VALUE"""),"NAO")</f>
        <v>NAO</v>
      </c>
      <c r="I24" s="256" t="str">
        <f>IFERROR(__xludf.DUMMYFUNCTION("""COMPUTED_VALUE"""),"PRODUÇÃO")</f>
        <v>PRODUÇÃO</v>
      </c>
      <c r="J24" s="257" t="str">
        <f>IFERROR(__xludf.DUMMYFUNCTION("""COMPUTED_VALUE"""),"FITLOG")</f>
        <v>FITLOG</v>
      </c>
      <c r="K24" s="258" t="str">
        <f>IFERROR(__xludf.DUMMYFUNCTION("""COMPUTED_VALUE"""),"SEM REDESPACHO")</f>
        <v>SEM REDESPACHO</v>
      </c>
      <c r="L24" s="259"/>
      <c r="M24" s="251"/>
      <c r="N24" s="260"/>
      <c r="O24" s="260"/>
      <c r="P24" s="261" t="str">
        <f>IFERROR(__xludf.DUMMYFUNCTION("""COMPUTED_VALUE"""),"FITLOG TRANSPORTES E LOGISTICA LTDA / (048) 996277956Informação Adicional: CAROLINA  / E-mail para nota fiscal: , E-mail de cobrança: , Telefone para contato")</f>
        <v>FITLOG TRANSPORTES E LOGISTICA LTDA / (048) 996277956Informação Adicional: CAROLINA  / E-mail para nota fiscal: , E-mail de cobrança: , Telefone para contato</v>
      </c>
      <c r="Q24" s="262"/>
      <c r="R24" s="261"/>
      <c r="S24" s="263"/>
      <c r="T24" s="264"/>
      <c r="U24" s="261"/>
      <c r="V24" s="265"/>
      <c r="W24" s="266"/>
      <c r="X24" s="267"/>
      <c r="Y24" s="267"/>
      <c r="Z24" s="268"/>
      <c r="AA24" s="267"/>
      <c r="AB24" s="267"/>
      <c r="AC24" s="269"/>
    </row>
    <row r="25" ht="21.75" customHeight="1">
      <c r="A25" s="251" t="str">
        <f>IFERROR(__xludf.DUMMYFUNCTION("""COMPUTED_VALUE"""),"18871-A")</f>
        <v>18871-A</v>
      </c>
      <c r="B25" s="252" t="str">
        <f>IFERROR(__xludf.DUMMYFUNCTION("""COMPUTED_VALUE"""),"STEINFIBER")</f>
        <v>STEINFIBER</v>
      </c>
      <c r="C25" s="253">
        <f>IFERROR(__xludf.DUMMYFUNCTION("""COMPUTED_VALUE"""),0.0)</f>
        <v>0</v>
      </c>
      <c r="D25" s="253">
        <f>IFERROR(__xludf.DUMMYFUNCTION("""COMPUTED_VALUE"""),20385.0)</f>
        <v>20385</v>
      </c>
      <c r="E25" s="253" t="str">
        <f>IFERROR(__xludf.DUMMYFUNCTION("""COMPUTED_VALUE"""),"FTI145LPTBR")</f>
        <v>FTI145LPTBR</v>
      </c>
      <c r="F25" s="254" t="str">
        <f>IFERROR(__xludf.DUMMYFUNCTION("""COMPUTED_VALUE"""),"WI-FI")</f>
        <v>WI-FI</v>
      </c>
      <c r="G25" s="255" t="str">
        <f>IFERROR(__xludf.DUMMYFUNCTION("""COMPUTED_VALUE"""),"NAO")</f>
        <v>NAO</v>
      </c>
      <c r="H25" s="254" t="str">
        <f>IFERROR(__xludf.DUMMYFUNCTION("""COMPUTED_VALUE"""),"NAO")</f>
        <v>NAO</v>
      </c>
      <c r="I25" s="256" t="str">
        <f>IFERROR(__xludf.DUMMYFUNCTION("""COMPUTED_VALUE"""),"PRODUÇÃO")</f>
        <v>PRODUÇÃO</v>
      </c>
      <c r="J25" s="257" t="str">
        <f>IFERROR(__xludf.DUMMYFUNCTION("""COMPUTED_VALUE"""),"RETIRA")</f>
        <v>RETIRA</v>
      </c>
      <c r="K25" s="258" t="str">
        <f>IFERROR(__xludf.DUMMYFUNCTION("""COMPUTED_VALUE"""),"SEM REDESPACHO")</f>
        <v>SEM REDESPACHO</v>
      </c>
      <c r="L25" s="259"/>
      <c r="M25" s="251"/>
      <c r="N25" s="260"/>
      <c r="O25" s="260"/>
      <c r="P25" s="261" t="str">
        <f>IFERROR(__xludf.DUMMYFUNCTION("""COMPUTED_VALUE"""),"CLIENTE RETIRA / (0) Informação Adicional: PREÇO NEGOCIADO R$ 18.600,00 - ALTERAR NO PEDIDO   - AUTORIZADO POR PRISCILLA
ENTREGA: 01 MÁQUINA DIA 20/10 E AS OUTRAS 06 MAXIMO DIA 05/11 / E-mail para nota fiscal: , E-mail de cobrança: , Telefone para contat"&amp;"o")</f>
        <v>CLIENTE RETIRA / (0) Informação Adicional: PREÇO NEGOCIADO R$ 18.600,00 - ALTERAR NO PEDIDO   - AUTORIZADO POR PRISCILLA
ENTREGA: 01 MÁQUINA DIA 20/10 E AS OUTRAS 06 MAXIMO DIA 05/11 / E-mail para nota fiscal: , E-mail de cobrança: , Telefone para contato</v>
      </c>
      <c r="Q25" s="262"/>
      <c r="R25" s="261"/>
      <c r="S25" s="263"/>
      <c r="T25" s="264"/>
      <c r="U25" s="261"/>
      <c r="V25" s="265"/>
      <c r="W25" s="266"/>
      <c r="X25" s="267"/>
      <c r="Y25" s="267"/>
      <c r="Z25" s="268"/>
      <c r="AA25" s="267"/>
      <c r="AB25" s="267"/>
      <c r="AC25" s="269"/>
    </row>
    <row r="26" ht="16.5" customHeight="1">
      <c r="A26" s="251" t="str">
        <f>IFERROR(__xludf.DUMMYFUNCTION("""COMPUTED_VALUE"""),"18891")</f>
        <v>18891</v>
      </c>
      <c r="B26" s="252" t="str">
        <f>IFERROR(__xludf.DUMMYFUNCTION("""COMPUTED_VALUE"""),"KYP COMERCIO DE EQUIPAMENTOS PARA PISCINAS LTDA")</f>
        <v>KYP COMERCIO DE EQUIPAMENTOS PARA PISCINAS LTDA</v>
      </c>
      <c r="C26" s="253">
        <f>IFERROR(__xludf.DUMMYFUNCTION("""COMPUTED_VALUE"""),0.0)</f>
        <v>0</v>
      </c>
      <c r="D26" s="253">
        <f>IFERROR(__xludf.DUMMYFUNCTION("""COMPUTED_VALUE"""),20377.0)</f>
        <v>20377</v>
      </c>
      <c r="E26" s="253" t="str">
        <f>IFERROR(__xludf.DUMMYFUNCTION("""COMPUTED_VALUE"""),"FT80B35W")</f>
        <v>FT80B35W</v>
      </c>
      <c r="F26" s="254" t="str">
        <f>IFERROR(__xludf.DUMMYFUNCTION("""COMPUTED_VALUE"""),"WI-FI")</f>
        <v>WI-FI</v>
      </c>
      <c r="G26" s="255" t="str">
        <f>IFERROR(__xludf.DUMMYFUNCTION("""COMPUTED_VALUE"""),"NAO")</f>
        <v>NAO</v>
      </c>
      <c r="H26" s="254" t="str">
        <f>IFERROR(__xludf.DUMMYFUNCTION("""COMPUTED_VALUE"""),"NAO")</f>
        <v>NAO</v>
      </c>
      <c r="I26" s="256" t="str">
        <f>IFERROR(__xludf.DUMMYFUNCTION("""COMPUTED_VALUE"""),"TESTAR")</f>
        <v>TESTAR</v>
      </c>
      <c r="J26" s="257" t="str">
        <f>IFERROR(__xludf.DUMMYFUNCTION("""COMPUTED_VALUE"""),"FITLOG")</f>
        <v>FITLOG</v>
      </c>
      <c r="K26" s="258" t="str">
        <f>IFERROR(__xludf.DUMMYFUNCTION("""COMPUTED_VALUE"""),"SEM REDESPACHO")</f>
        <v>SEM REDESPACHO</v>
      </c>
      <c r="L26" s="259"/>
      <c r="M26" s="251"/>
      <c r="N26" s="260"/>
      <c r="O26" s="260"/>
      <c r="P26" s="261" t="str">
        <f>IFERROR(__xludf.DUMMYFUNCTION("""COMPUTED_VALUE"""),"FITLOG TRANSPORTES E LOGISTICA LTDA / (048) 996277956E-mail para nota fiscal: , E-mail de cobrança: , Telefone para contato")</f>
        <v>FITLOG TRANSPORTES E LOGISTICA LTDA / (048) 996277956E-mail para nota fiscal: , E-mail de cobrança: , Telefone para contato</v>
      </c>
      <c r="Q26" s="262"/>
      <c r="R26" s="261"/>
      <c r="S26" s="263"/>
      <c r="T26" s="264"/>
      <c r="U26" s="261"/>
      <c r="V26" s="265"/>
      <c r="W26" s="266"/>
      <c r="X26" s="267"/>
      <c r="Y26" s="267"/>
      <c r="Z26" s="268"/>
      <c r="AA26" s="267"/>
      <c r="AB26" s="267"/>
      <c r="AC26" s="269"/>
    </row>
    <row r="27" ht="16.5" customHeight="1">
      <c r="A27" s="251" t="str">
        <f>IFERROR(__xludf.DUMMYFUNCTION("""COMPUTED_VALUE"""),"18912")</f>
        <v>18912</v>
      </c>
      <c r="B27" s="252" t="str">
        <f>IFERROR(__xludf.DUMMYFUNCTION("""COMPUTED_VALUE"""),"D.K. SOLUÇÕES")</f>
        <v>D.K. SOLUÇÕES</v>
      </c>
      <c r="C27" s="253">
        <f>IFERROR(__xludf.DUMMYFUNCTION("""COMPUTED_VALUE"""),90.0)</f>
        <v>90</v>
      </c>
      <c r="D27" s="253"/>
      <c r="E27" s="253" t="str">
        <f>IFERROR(__xludf.DUMMYFUNCTION("""COMPUTED_VALUE"""),"FTI75D40PT")</f>
        <v>FTI75D40PT</v>
      </c>
      <c r="F27" s="254" t="str">
        <f>IFERROR(__xludf.DUMMYFUNCTION("""COMPUTED_VALUE"""),"WI-FI")</f>
        <v>WI-FI</v>
      </c>
      <c r="G27" s="255" t="str">
        <f>IFERROR(__xludf.DUMMYFUNCTION("""COMPUTED_VALUE"""),"NAO")</f>
        <v>NAO</v>
      </c>
      <c r="H27" s="254" t="str">
        <f>IFERROR(__xludf.DUMMYFUNCTION("""COMPUTED_VALUE"""),"NAO")</f>
        <v>NAO</v>
      </c>
      <c r="I27" s="256" t="str">
        <f>IFERROR(__xludf.DUMMYFUNCTION("""COMPUTED_VALUE"""),"TESTAR")</f>
        <v>TESTAR</v>
      </c>
      <c r="J27" s="257" t="str">
        <f>IFERROR(__xludf.DUMMYFUNCTION("""COMPUTED_VALUE"""),"RETIRA")</f>
        <v>RETIRA</v>
      </c>
      <c r="K27" s="258" t="str">
        <f>IFERROR(__xludf.DUMMYFUNCTION("""COMPUTED_VALUE"""),"SEM REDESPACHO")</f>
        <v>SEM REDESPACHO</v>
      </c>
      <c r="L27" s="259"/>
      <c r="M27" s="251"/>
      <c r="N27" s="260"/>
      <c r="O27" s="260"/>
      <c r="P27" s="261" t="str">
        <f>IFERROR(__xludf.DUMMYFUNCTION("""COMPUTED_VALUE"""),"Pedido gerado através do PedidoEletronico.com - Transportadora / telefone: CLIENTE RETIRA / (0) Informação Adicional: cliente retira / E-mail para nota fiscal: , E-mail de cobrança: , Telefone para contato")</f>
        <v>Pedido gerado através do PedidoEletronico.com - Transportadora / telefone: CLIENTE RETIRA / (0) Informação Adicional: cliente retira / E-mail para nota fiscal: , E-mail de cobrança: , Telefone para contato</v>
      </c>
      <c r="Q27" s="262"/>
      <c r="R27" s="261"/>
      <c r="S27" s="263"/>
      <c r="T27" s="264"/>
      <c r="U27" s="261"/>
      <c r="V27" s="265"/>
      <c r="W27" s="266"/>
      <c r="X27" s="267"/>
      <c r="Y27" s="267"/>
      <c r="Z27" s="268"/>
      <c r="AA27" s="267"/>
      <c r="AB27" s="267"/>
      <c r="AC27" s="269"/>
    </row>
    <row r="28" ht="16.5" customHeight="1">
      <c r="A28" s="251" t="str">
        <f>IFERROR(__xludf.DUMMYFUNCTION("""COMPUTED_VALUE"""),"18930")</f>
        <v>18930</v>
      </c>
      <c r="B28" s="252" t="str">
        <f>IFERROR(__xludf.DUMMYFUNCTION("""COMPUTED_VALUE"""),"52.540.567 DARLENE BATISTA DE JESUS")</f>
        <v>52.540.567 DARLENE BATISTA DE JESUS</v>
      </c>
      <c r="C28" s="253">
        <f>IFERROR(__xludf.DUMMYFUNCTION("""COMPUTED_VALUE"""),137.0)</f>
        <v>137</v>
      </c>
      <c r="D28" s="253"/>
      <c r="E28" s="253" t="str">
        <f>IFERROR(__xludf.DUMMYFUNCTION("""COMPUTED_VALUE"""),"FTI55D40PT")</f>
        <v>FTI55D40PT</v>
      </c>
      <c r="F28" s="254" t="str">
        <f>IFERROR(__xludf.DUMMYFUNCTION("""COMPUTED_VALUE"""),"WI-FI")</f>
        <v>WI-FI</v>
      </c>
      <c r="G28" s="255" t="str">
        <f>IFERROR(__xludf.DUMMYFUNCTION("""COMPUTED_VALUE"""),"NAO")</f>
        <v>NAO</v>
      </c>
      <c r="H28" s="254" t="str">
        <f>IFERROR(__xludf.DUMMYFUNCTION("""COMPUTED_VALUE"""),"NAO")</f>
        <v>NAO</v>
      </c>
      <c r="I28" s="256" t="str">
        <f>IFERROR(__xludf.DUMMYFUNCTION("""COMPUTED_VALUE"""),"TESTAR")</f>
        <v>TESTAR</v>
      </c>
      <c r="J28" s="257" t="str">
        <f>IFERROR(__xludf.DUMMYFUNCTION("""COMPUTED_VALUE"""),"EXPRESSO SAO MIGUEL")</f>
        <v>EXPRESSO SAO MIGUEL</v>
      </c>
      <c r="K28" s="258" t="str">
        <f>IFERROR(__xludf.DUMMYFUNCTION("""COMPUTED_VALUE"""),"SEM REDESPACHO")</f>
        <v>SEM REDESPACHO</v>
      </c>
      <c r="L28" s="259"/>
      <c r="M28" s="251"/>
      <c r="N28" s="260"/>
      <c r="O28" s="260"/>
      <c r="P28" s="261" t="str">
        <f>IFERROR(__xludf.DUMMYFUNCTION("""COMPUTED_VALUE"""),"Pedido reprocessado ao alterar dados do cliente 21/10/2025 11:52:24 usuário: JULIANA VIEIRA DA SILVA
Pedido gerado através do PedidoEletronico.com - Transportadora / telefone: EXPRESSO SAO MIGUEL S/A / (049) 3361-6627E-mail para nota fiscal: , E-mail de "&amp;"cobrança: , Telefone para contato")</f>
        <v>Pedido reprocessado ao alterar dados do cliente 21/10/2025 11:52:24 usuário: JULIANA VIEIRA DA SILVA
Pedido gerado através do PedidoEletronico.com - Transportadora / telefone: EXPRESSO SAO MIGUEL S/A / (049) 3361-6627E-mail para nota fiscal: , E-mail de cobrança: , Telefone para contato</v>
      </c>
      <c r="Q28" s="262"/>
      <c r="R28" s="261"/>
      <c r="S28" s="263"/>
      <c r="T28" s="264"/>
      <c r="U28" s="261"/>
      <c r="V28" s="265"/>
      <c r="W28" s="266"/>
      <c r="X28" s="267"/>
      <c r="Y28" s="267"/>
      <c r="Z28" s="268"/>
      <c r="AA28" s="267"/>
      <c r="AB28" s="267"/>
      <c r="AC28" s="269"/>
    </row>
    <row r="29" ht="16.5" customHeight="1">
      <c r="A29" s="251" t="str">
        <f>IFERROR(__xludf.DUMMYFUNCTION("""COMPUTED_VALUE"""),"18928-A")</f>
        <v>18928-A</v>
      </c>
      <c r="B29" s="252" t="str">
        <f>IFERROR(__xludf.DUMMYFUNCTION("""COMPUTED_VALUE"""),"C NUNES &amp; CIA LTDA")</f>
        <v>C NUNES &amp; CIA LTDA</v>
      </c>
      <c r="C29" s="253">
        <f>IFERROR(__xludf.DUMMYFUNCTION("""COMPUTED_VALUE"""),90.0)</f>
        <v>90</v>
      </c>
      <c r="D29" s="253"/>
      <c r="E29" s="253" t="str">
        <f>IFERROR(__xludf.DUMMYFUNCTION("""COMPUTED_VALUE"""),"FTI75D40PT")</f>
        <v>FTI75D40PT</v>
      </c>
      <c r="F29" s="254" t="str">
        <f>IFERROR(__xludf.DUMMYFUNCTION("""COMPUTED_VALUE"""),"WI-FI")</f>
        <v>WI-FI</v>
      </c>
      <c r="G29" s="255" t="str">
        <f>IFERROR(__xludf.DUMMYFUNCTION("""COMPUTED_VALUE"""),"NAO")</f>
        <v>NAO</v>
      </c>
      <c r="H29" s="254" t="str">
        <f>IFERROR(__xludf.DUMMYFUNCTION("""COMPUTED_VALUE"""),"NAO")</f>
        <v>NAO</v>
      </c>
      <c r="I29" s="256" t="str">
        <f>IFERROR(__xludf.DUMMYFUNCTION("""COMPUTED_VALUE"""),"TESTAR")</f>
        <v>TESTAR</v>
      </c>
      <c r="J29" s="257" t="str">
        <f>IFERROR(__xludf.DUMMYFUNCTION("""COMPUTED_VALUE"""),"EXPRESSO SAO MIGUEL")</f>
        <v>EXPRESSO SAO MIGUEL</v>
      </c>
      <c r="K29" s="258" t="str">
        <f>IFERROR(__xludf.DUMMYFUNCTION("""COMPUTED_VALUE"""),"SEM REDESPACHO")</f>
        <v>SEM REDESPACHO</v>
      </c>
      <c r="L29" s="259"/>
      <c r="M29" s="251"/>
      <c r="N29" s="260"/>
      <c r="O29" s="260"/>
      <c r="P29" s="261" t="str">
        <f>IFERROR(__xludf.DUMMYFUNCTION("""COMPUTED_VALUE"""),"Pedido gerado através do PedidoEletronico.com - Transportadora / telefone: EXPRESSO SAO MIGUEL S/A / (051) 3586-2013Informação Adicional: FAVOR CORRIGIR O VALOR DA MAQUINA 75 R$8.915,67 E 125 R$14.400,18
AUTORIZADO PELO MARIO DICK / Obs.Interna: Mario-El"&amp;"ine autorizado para esse cliente .  / E-mail para nota fiscal: , E-mail de cobrança: , Telefone para contato")</f>
        <v>Pedido gerado através do PedidoEletronico.com - Transportadora / telefone: EXPRESSO SAO MIGUEL S/A / (051) 3586-2013Informação Adicional: FAVOR CORRIGIR O VALOR DA MAQUINA 75 R$8.915,67 E 125 R$14.400,18
AUTORIZADO PELO MARIO DICK / Obs.Interna: Mario-Eline autorizado para esse cliente .  / E-mail para nota fiscal: , E-mail de cobrança: , Telefone para contato</v>
      </c>
      <c r="Q29" s="262"/>
      <c r="R29" s="261"/>
      <c r="S29" s="263"/>
      <c r="T29" s="264"/>
      <c r="U29" s="261"/>
      <c r="V29" s="265"/>
      <c r="W29" s="266"/>
      <c r="X29" s="267"/>
      <c r="Y29" s="267"/>
      <c r="Z29" s="268"/>
      <c r="AA29" s="267"/>
      <c r="AB29" s="267"/>
      <c r="AC29" s="269"/>
    </row>
    <row r="30" ht="16.5" customHeight="1">
      <c r="A30" s="251" t="str">
        <f>IFERROR(__xludf.DUMMYFUNCTION("""COMPUTED_VALUE"""),"18928-B")</f>
        <v>18928-B</v>
      </c>
      <c r="B30" s="252" t="str">
        <f>IFERROR(__xludf.DUMMYFUNCTION("""COMPUTED_VALUE"""),"C NUNES &amp; CIA LTDA")</f>
        <v>C NUNES &amp; CIA LTDA</v>
      </c>
      <c r="C30" s="253">
        <f>IFERROR(__xludf.DUMMYFUNCTION("""COMPUTED_VALUE"""),34.0)</f>
        <v>34</v>
      </c>
      <c r="D30" s="253"/>
      <c r="E30" s="253" t="str">
        <f>IFERROR(__xludf.DUMMYFUNCTION("""COMPUTED_VALUE"""),"FTI125D40PT")</f>
        <v>FTI125D40PT</v>
      </c>
      <c r="F30" s="254" t="str">
        <f>IFERROR(__xludf.DUMMYFUNCTION("""COMPUTED_VALUE"""),"WI-FI")</f>
        <v>WI-FI</v>
      </c>
      <c r="G30" s="255" t="str">
        <f>IFERROR(__xludf.DUMMYFUNCTION("""COMPUTED_VALUE"""),"NAO")</f>
        <v>NAO</v>
      </c>
      <c r="H30" s="254" t="str">
        <f>IFERROR(__xludf.DUMMYFUNCTION("""COMPUTED_VALUE"""),"NAO")</f>
        <v>NAO</v>
      </c>
      <c r="I30" s="256" t="str">
        <f>IFERROR(__xludf.DUMMYFUNCTION("""COMPUTED_VALUE"""),"TESTAR")</f>
        <v>TESTAR</v>
      </c>
      <c r="J30" s="257" t="str">
        <f>IFERROR(__xludf.DUMMYFUNCTION("""COMPUTED_VALUE"""),"EXPRESSO SAO MIGUEL")</f>
        <v>EXPRESSO SAO MIGUEL</v>
      </c>
      <c r="K30" s="258" t="str">
        <f>IFERROR(__xludf.DUMMYFUNCTION("""COMPUTED_VALUE"""),"SEM REDESPACHO")</f>
        <v>SEM REDESPACHO</v>
      </c>
      <c r="L30" s="259"/>
      <c r="M30" s="251"/>
      <c r="N30" s="260"/>
      <c r="O30" s="260"/>
      <c r="P30" s="261" t="str">
        <f>IFERROR(__xludf.DUMMYFUNCTION("""COMPUTED_VALUE"""),"Pedido gerado através do PedidoEletronico.com - Transportadora / telefone: EXPRESSO SAO MIGUEL S/A / (051) 3586-2013Informação Adicional: FAVOR CORRIGIR O VALOR DA MAQUINA 75 R$8.915,67 E 125 R$14.400,18
AUTORIZADO PELO MARIO DICK / Obs.Interna: Mario-El"&amp;"ine autorizado para esse cliente .  / E-mail para nota fiscal: , E-mail de cobrança: , Telefone para contato")</f>
        <v>Pedido gerado através do PedidoEletronico.com - Transportadora / telefone: EXPRESSO SAO MIGUEL S/A / (051) 3586-2013Informação Adicional: FAVOR CORRIGIR O VALOR DA MAQUINA 75 R$8.915,67 E 125 R$14.400,18
AUTORIZADO PELO MARIO DICK / Obs.Interna: Mario-Eline autorizado para esse cliente .  / E-mail para nota fiscal: , E-mail de cobrança: , Telefone para contato</v>
      </c>
      <c r="Q30" s="262"/>
      <c r="R30" s="261"/>
      <c r="S30" s="263"/>
      <c r="T30" s="264"/>
      <c r="U30" s="261"/>
      <c r="V30" s="265"/>
      <c r="W30" s="266"/>
      <c r="X30" s="267"/>
      <c r="Y30" s="267"/>
      <c r="Z30" s="268"/>
      <c r="AA30" s="267"/>
      <c r="AB30" s="267"/>
      <c r="AC30" s="269"/>
    </row>
    <row r="31" ht="16.5" customHeight="1">
      <c r="A31" s="251"/>
      <c r="B31" s="252"/>
      <c r="C31" s="253"/>
      <c r="D31" s="253"/>
      <c r="E31" s="253"/>
      <c r="F31" s="254"/>
      <c r="G31" s="255"/>
      <c r="H31" s="254"/>
      <c r="I31" s="256"/>
      <c r="J31" s="257"/>
      <c r="K31" s="258"/>
      <c r="L31" s="259"/>
      <c r="M31" s="251"/>
      <c r="N31" s="260"/>
      <c r="O31" s="260"/>
      <c r="P31" s="261"/>
      <c r="Q31" s="262"/>
      <c r="R31" s="261"/>
      <c r="S31" s="263"/>
      <c r="T31" s="264"/>
      <c r="U31" s="261"/>
      <c r="V31" s="265"/>
      <c r="W31" s="266"/>
      <c r="X31" s="267"/>
      <c r="Y31" s="267"/>
      <c r="Z31" s="268"/>
      <c r="AA31" s="267"/>
      <c r="AB31" s="267"/>
      <c r="AC31" s="269"/>
    </row>
    <row r="32" ht="16.5" customHeight="1">
      <c r="A32" s="251"/>
      <c r="B32" s="252"/>
      <c r="C32" s="253"/>
      <c r="D32" s="253"/>
      <c r="E32" s="253"/>
      <c r="F32" s="254"/>
      <c r="G32" s="255"/>
      <c r="H32" s="254"/>
      <c r="I32" s="256"/>
      <c r="J32" s="257"/>
      <c r="K32" s="258"/>
      <c r="L32" s="259"/>
      <c r="M32" s="251"/>
      <c r="N32" s="260"/>
      <c r="O32" s="260"/>
      <c r="P32" s="261"/>
      <c r="Q32" s="262"/>
      <c r="R32" s="261"/>
      <c r="S32" s="263"/>
      <c r="T32" s="264"/>
      <c r="U32" s="261"/>
      <c r="V32" s="265"/>
      <c r="W32" s="266"/>
      <c r="X32" s="267"/>
      <c r="Y32" s="267"/>
      <c r="Z32" s="268"/>
      <c r="AA32" s="267"/>
      <c r="AB32" s="267"/>
      <c r="AC32" s="269"/>
    </row>
    <row r="33" ht="16.5" customHeight="1">
      <c r="A33" s="251"/>
      <c r="B33" s="252"/>
      <c r="C33" s="253"/>
      <c r="D33" s="253"/>
      <c r="E33" s="253"/>
      <c r="F33" s="254"/>
      <c r="G33" s="255"/>
      <c r="H33" s="254"/>
      <c r="I33" s="256"/>
      <c r="J33" s="257"/>
      <c r="K33" s="258"/>
      <c r="L33" s="259"/>
      <c r="M33" s="251"/>
      <c r="N33" s="260"/>
      <c r="O33" s="260"/>
      <c r="P33" s="261"/>
      <c r="Q33" s="262"/>
      <c r="R33" s="261"/>
      <c r="S33" s="263"/>
      <c r="T33" s="264"/>
      <c r="U33" s="261"/>
      <c r="V33" s="265"/>
      <c r="W33" s="266"/>
      <c r="X33" s="267"/>
      <c r="Y33" s="267"/>
      <c r="Z33" s="268"/>
      <c r="AA33" s="267"/>
      <c r="AB33" s="267"/>
      <c r="AC33" s="269"/>
    </row>
    <row r="34" ht="16.5" customHeight="1">
      <c r="A34" s="251"/>
      <c r="B34" s="252"/>
      <c r="C34" s="253"/>
      <c r="D34" s="253"/>
      <c r="E34" s="253"/>
      <c r="F34" s="254"/>
      <c r="G34" s="255"/>
      <c r="H34" s="254"/>
      <c r="I34" s="256"/>
      <c r="J34" s="257"/>
      <c r="K34" s="258"/>
      <c r="L34" s="259"/>
      <c r="M34" s="251"/>
      <c r="N34" s="260"/>
      <c r="O34" s="260"/>
      <c r="P34" s="261"/>
      <c r="Q34" s="262"/>
      <c r="R34" s="261"/>
      <c r="S34" s="263"/>
      <c r="T34" s="264"/>
      <c r="U34" s="261"/>
      <c r="V34" s="265"/>
      <c r="W34" s="266"/>
      <c r="X34" s="267"/>
      <c r="Y34" s="267"/>
      <c r="Z34" s="268"/>
      <c r="AA34" s="267"/>
      <c r="AB34" s="267"/>
      <c r="AC34" s="269"/>
    </row>
    <row r="35" ht="16.5" customHeight="1">
      <c r="A35" s="274"/>
      <c r="B35" s="275"/>
      <c r="C35" s="276"/>
      <c r="D35" s="276"/>
      <c r="E35" s="276"/>
      <c r="F35" s="277"/>
      <c r="G35" s="278"/>
      <c r="H35" s="277"/>
      <c r="I35" s="279"/>
      <c r="J35" s="280"/>
      <c r="K35" s="281"/>
      <c r="L35" s="282"/>
      <c r="M35" s="274"/>
      <c r="N35" s="283"/>
      <c r="O35" s="283"/>
      <c r="P35" s="267"/>
      <c r="Q35" s="284"/>
      <c r="R35" s="267"/>
      <c r="S35" s="285"/>
      <c r="T35" s="286"/>
      <c r="U35" s="267"/>
      <c r="V35" s="265"/>
      <c r="W35" s="266"/>
      <c r="X35" s="267"/>
      <c r="Y35" s="267"/>
      <c r="Z35" s="268"/>
      <c r="AA35" s="267"/>
      <c r="AB35" s="267"/>
      <c r="AC35" s="269"/>
    </row>
    <row r="36" ht="16.5" customHeight="1">
      <c r="A36" s="274"/>
      <c r="B36" s="275"/>
      <c r="C36" s="276"/>
      <c r="D36" s="276"/>
      <c r="E36" s="276"/>
      <c r="F36" s="277"/>
      <c r="G36" s="278"/>
      <c r="H36" s="277"/>
      <c r="I36" s="279"/>
      <c r="J36" s="280"/>
      <c r="K36" s="281"/>
      <c r="L36" s="282"/>
      <c r="M36" s="274"/>
      <c r="N36" s="283"/>
      <c r="O36" s="283"/>
      <c r="P36" s="267"/>
      <c r="Q36" s="284"/>
      <c r="R36" s="267"/>
      <c r="S36" s="285"/>
      <c r="T36" s="286"/>
      <c r="U36" s="267"/>
      <c r="V36" s="265"/>
      <c r="W36" s="266"/>
      <c r="X36" s="267"/>
      <c r="Y36" s="267"/>
      <c r="Z36" s="268"/>
      <c r="AA36" s="267"/>
      <c r="AB36" s="267"/>
      <c r="AC36" s="269"/>
    </row>
    <row r="37" ht="16.5" customHeight="1">
      <c r="A37" s="274"/>
      <c r="B37" s="275"/>
      <c r="C37" s="276"/>
      <c r="D37" s="276"/>
      <c r="E37" s="276"/>
      <c r="F37" s="277"/>
      <c r="G37" s="278"/>
      <c r="H37" s="277"/>
      <c r="I37" s="279"/>
      <c r="J37" s="280"/>
      <c r="K37" s="281"/>
      <c r="L37" s="282"/>
      <c r="M37" s="274"/>
      <c r="N37" s="283"/>
      <c r="O37" s="283"/>
      <c r="P37" s="267"/>
      <c r="Q37" s="284"/>
      <c r="R37" s="267"/>
      <c r="S37" s="285"/>
      <c r="T37" s="286"/>
      <c r="U37" s="267"/>
      <c r="V37" s="265"/>
      <c r="W37" s="266"/>
      <c r="X37" s="267"/>
      <c r="Y37" s="267"/>
      <c r="Z37" s="268"/>
      <c r="AA37" s="267"/>
      <c r="AB37" s="267"/>
      <c r="AC37" s="269"/>
    </row>
    <row r="38" ht="16.5" customHeight="1">
      <c r="A38" s="274"/>
      <c r="B38" s="275"/>
      <c r="C38" s="276"/>
      <c r="D38" s="276"/>
      <c r="E38" s="276"/>
      <c r="F38" s="277"/>
      <c r="G38" s="278"/>
      <c r="H38" s="277"/>
      <c r="I38" s="279"/>
      <c r="J38" s="280"/>
      <c r="K38" s="281"/>
      <c r="L38" s="282"/>
      <c r="M38" s="274"/>
      <c r="N38" s="283"/>
      <c r="O38" s="283"/>
      <c r="P38" s="267"/>
      <c r="Q38" s="284"/>
      <c r="R38" s="267"/>
      <c r="S38" s="285"/>
      <c r="T38" s="286"/>
      <c r="U38" s="267"/>
      <c r="V38" s="265"/>
      <c r="W38" s="266"/>
      <c r="X38" s="267"/>
      <c r="Y38" s="267"/>
      <c r="Z38" s="268"/>
      <c r="AA38" s="267"/>
      <c r="AB38" s="267"/>
      <c r="AC38" s="269"/>
    </row>
    <row r="39" ht="16.5" customHeight="1">
      <c r="A39" s="274"/>
      <c r="B39" s="275"/>
      <c r="C39" s="276"/>
      <c r="D39" s="276"/>
      <c r="E39" s="276"/>
      <c r="F39" s="277"/>
      <c r="G39" s="278"/>
      <c r="H39" s="277"/>
      <c r="I39" s="279"/>
      <c r="J39" s="280"/>
      <c r="K39" s="281"/>
      <c r="L39" s="282"/>
      <c r="M39" s="274"/>
      <c r="N39" s="283"/>
      <c r="O39" s="283"/>
      <c r="P39" s="267"/>
      <c r="Q39" s="284"/>
      <c r="R39" s="267"/>
      <c r="S39" s="285"/>
      <c r="T39" s="286"/>
      <c r="U39" s="267"/>
      <c r="V39" s="265"/>
      <c r="W39" s="266"/>
      <c r="X39" s="267"/>
      <c r="Y39" s="267"/>
      <c r="Z39" s="268"/>
      <c r="AA39" s="267"/>
      <c r="AB39" s="267"/>
      <c r="AC39" s="269"/>
    </row>
    <row r="40" ht="16.5" customHeight="1">
      <c r="A40" s="274"/>
      <c r="B40" s="275"/>
      <c r="C40" s="276"/>
      <c r="D40" s="276"/>
      <c r="E40" s="276"/>
      <c r="F40" s="277"/>
      <c r="G40" s="278"/>
      <c r="H40" s="277"/>
      <c r="I40" s="279"/>
      <c r="J40" s="280"/>
      <c r="K40" s="281"/>
      <c r="L40" s="282"/>
      <c r="M40" s="274"/>
      <c r="N40" s="283"/>
      <c r="O40" s="283"/>
      <c r="P40" s="267"/>
      <c r="Q40" s="284"/>
      <c r="R40" s="267"/>
      <c r="S40" s="285"/>
      <c r="T40" s="286"/>
      <c r="U40" s="267"/>
      <c r="V40" s="265"/>
      <c r="W40" s="266"/>
      <c r="X40" s="267"/>
      <c r="Y40" s="267"/>
      <c r="Z40" s="268"/>
      <c r="AA40" s="267"/>
      <c r="AB40" s="267"/>
      <c r="AC40" s="269"/>
    </row>
    <row r="41" ht="16.5" customHeight="1">
      <c r="A41" s="274"/>
      <c r="B41" s="275"/>
      <c r="C41" s="276"/>
      <c r="D41" s="276"/>
      <c r="E41" s="276"/>
      <c r="F41" s="277"/>
      <c r="G41" s="278"/>
      <c r="H41" s="277"/>
      <c r="I41" s="279"/>
      <c r="J41" s="280"/>
      <c r="K41" s="281"/>
      <c r="L41" s="282"/>
      <c r="M41" s="274"/>
      <c r="N41" s="283"/>
      <c r="O41" s="283"/>
      <c r="P41" s="267"/>
      <c r="Q41" s="284"/>
      <c r="R41" s="267"/>
      <c r="S41" s="285"/>
      <c r="T41" s="286"/>
      <c r="U41" s="267"/>
      <c r="V41" s="265"/>
      <c r="W41" s="266"/>
      <c r="X41" s="267"/>
      <c r="Y41" s="267"/>
      <c r="Z41" s="268"/>
      <c r="AA41" s="267"/>
      <c r="AB41" s="267"/>
      <c r="AC41" s="269"/>
    </row>
    <row r="42" ht="16.5" customHeight="1">
      <c r="A42" s="274"/>
      <c r="B42" s="275"/>
      <c r="C42" s="276"/>
      <c r="D42" s="276"/>
      <c r="E42" s="276"/>
      <c r="F42" s="277"/>
      <c r="G42" s="278"/>
      <c r="H42" s="277"/>
      <c r="I42" s="279"/>
      <c r="J42" s="280"/>
      <c r="K42" s="281"/>
      <c r="L42" s="282"/>
      <c r="M42" s="274"/>
      <c r="N42" s="283"/>
      <c r="O42" s="283"/>
      <c r="P42" s="267"/>
      <c r="Q42" s="284"/>
      <c r="R42" s="267"/>
      <c r="S42" s="285"/>
      <c r="T42" s="286"/>
      <c r="U42" s="267"/>
      <c r="V42" s="265"/>
      <c r="W42" s="266"/>
      <c r="X42" s="267"/>
      <c r="Y42" s="267"/>
      <c r="Z42" s="268"/>
      <c r="AA42" s="267"/>
      <c r="AB42" s="267"/>
      <c r="AC42" s="269"/>
    </row>
    <row r="43" ht="16.5" customHeight="1">
      <c r="A43" s="274"/>
      <c r="B43" s="275"/>
      <c r="C43" s="276"/>
      <c r="D43" s="276"/>
      <c r="E43" s="276"/>
      <c r="F43" s="277"/>
      <c r="G43" s="278"/>
      <c r="H43" s="277"/>
      <c r="I43" s="279"/>
      <c r="J43" s="280"/>
      <c r="K43" s="281"/>
      <c r="L43" s="282"/>
      <c r="M43" s="274"/>
      <c r="N43" s="283"/>
      <c r="O43" s="283"/>
      <c r="P43" s="267"/>
      <c r="Q43" s="284"/>
      <c r="R43" s="267"/>
      <c r="S43" s="285"/>
      <c r="T43" s="286"/>
      <c r="U43" s="267"/>
      <c r="V43" s="265"/>
      <c r="W43" s="266"/>
      <c r="X43" s="267"/>
      <c r="Y43" s="267"/>
      <c r="Z43" s="268"/>
      <c r="AA43" s="267"/>
      <c r="AB43" s="267"/>
      <c r="AC43" s="269"/>
    </row>
    <row r="44" ht="16.5" customHeight="1">
      <c r="A44" s="274"/>
      <c r="B44" s="275"/>
      <c r="C44" s="276"/>
      <c r="D44" s="276"/>
      <c r="E44" s="276"/>
      <c r="F44" s="277"/>
      <c r="G44" s="278"/>
      <c r="H44" s="277"/>
      <c r="I44" s="279"/>
      <c r="J44" s="280"/>
      <c r="K44" s="281"/>
      <c r="L44" s="282"/>
      <c r="M44" s="274"/>
      <c r="N44" s="283"/>
      <c r="O44" s="283"/>
      <c r="P44" s="267"/>
      <c r="Q44" s="284"/>
      <c r="R44" s="267"/>
      <c r="S44" s="285"/>
      <c r="T44" s="286"/>
      <c r="U44" s="267"/>
      <c r="V44" s="265"/>
      <c r="W44" s="266"/>
      <c r="X44" s="267"/>
      <c r="Y44" s="267"/>
      <c r="Z44" s="268"/>
      <c r="AA44" s="267"/>
      <c r="AB44" s="267"/>
      <c r="AC44" s="269"/>
    </row>
    <row r="45" ht="16.5" customHeight="1">
      <c r="A45" s="274"/>
      <c r="B45" s="275"/>
      <c r="C45" s="276"/>
      <c r="D45" s="276"/>
      <c r="E45" s="276"/>
      <c r="F45" s="277"/>
      <c r="G45" s="278"/>
      <c r="H45" s="277"/>
      <c r="I45" s="279"/>
      <c r="J45" s="280"/>
      <c r="K45" s="281"/>
      <c r="L45" s="282"/>
      <c r="M45" s="274"/>
      <c r="N45" s="283"/>
      <c r="O45" s="283"/>
      <c r="P45" s="267"/>
      <c r="Q45" s="284"/>
      <c r="R45" s="267"/>
      <c r="S45" s="285"/>
      <c r="T45" s="286"/>
      <c r="U45" s="267"/>
      <c r="V45" s="265"/>
      <c r="W45" s="266"/>
      <c r="X45" s="267"/>
      <c r="Y45" s="267"/>
      <c r="Z45" s="268"/>
      <c r="AA45" s="267"/>
      <c r="AB45" s="267"/>
      <c r="AC45" s="269"/>
    </row>
    <row r="46" ht="16.5" customHeight="1">
      <c r="A46" s="274"/>
      <c r="B46" s="275"/>
      <c r="C46" s="276"/>
      <c r="D46" s="276"/>
      <c r="E46" s="276"/>
      <c r="F46" s="277"/>
      <c r="G46" s="278"/>
      <c r="H46" s="277"/>
      <c r="I46" s="279"/>
      <c r="J46" s="280"/>
      <c r="K46" s="281"/>
      <c r="L46" s="282"/>
      <c r="M46" s="274"/>
      <c r="N46" s="283"/>
      <c r="O46" s="283"/>
      <c r="P46" s="267"/>
      <c r="Q46" s="284"/>
      <c r="R46" s="267"/>
      <c r="S46" s="285"/>
      <c r="T46" s="286"/>
      <c r="U46" s="267"/>
      <c r="V46" s="265"/>
      <c r="W46" s="266"/>
      <c r="X46" s="267"/>
      <c r="Y46" s="267"/>
      <c r="Z46" s="268"/>
      <c r="AA46" s="267"/>
      <c r="AB46" s="267"/>
      <c r="AC46" s="269"/>
    </row>
    <row r="47" ht="16.5" customHeight="1">
      <c r="A47" s="274"/>
      <c r="B47" s="275"/>
      <c r="C47" s="276"/>
      <c r="D47" s="276"/>
      <c r="E47" s="276"/>
      <c r="F47" s="277"/>
      <c r="G47" s="278"/>
      <c r="H47" s="277"/>
      <c r="I47" s="279"/>
      <c r="J47" s="280"/>
      <c r="K47" s="281"/>
      <c r="L47" s="282"/>
      <c r="M47" s="274"/>
      <c r="N47" s="283"/>
      <c r="O47" s="283"/>
      <c r="P47" s="267"/>
      <c r="Q47" s="284"/>
      <c r="R47" s="267"/>
      <c r="S47" s="285"/>
      <c r="T47" s="286"/>
      <c r="U47" s="267"/>
      <c r="V47" s="265"/>
      <c r="W47" s="266"/>
      <c r="X47" s="267"/>
      <c r="Y47" s="267"/>
      <c r="Z47" s="268"/>
      <c r="AA47" s="267"/>
      <c r="AB47" s="267"/>
      <c r="AC47" s="269"/>
    </row>
    <row r="48" ht="16.5" customHeight="1">
      <c r="A48" s="274"/>
      <c r="B48" s="275"/>
      <c r="C48" s="276"/>
      <c r="D48" s="276"/>
      <c r="E48" s="276"/>
      <c r="F48" s="277"/>
      <c r="G48" s="278"/>
      <c r="H48" s="277"/>
      <c r="I48" s="279"/>
      <c r="J48" s="280"/>
      <c r="K48" s="281"/>
      <c r="L48" s="282"/>
      <c r="M48" s="274"/>
      <c r="N48" s="283"/>
      <c r="O48" s="283"/>
      <c r="P48" s="267"/>
      <c r="Q48" s="284"/>
      <c r="R48" s="267"/>
      <c r="S48" s="285"/>
      <c r="T48" s="286"/>
      <c r="U48" s="267"/>
      <c r="V48" s="265"/>
      <c r="W48" s="266"/>
      <c r="X48" s="267"/>
      <c r="Y48" s="267"/>
      <c r="Z48" s="268"/>
      <c r="AA48" s="267"/>
      <c r="AB48" s="267"/>
      <c r="AC48" s="269"/>
    </row>
    <row r="49" ht="16.5" customHeight="1">
      <c r="A49" s="274"/>
      <c r="B49" s="275"/>
      <c r="C49" s="276"/>
      <c r="D49" s="276"/>
      <c r="E49" s="276"/>
      <c r="F49" s="277"/>
      <c r="G49" s="278"/>
      <c r="H49" s="277"/>
      <c r="I49" s="279"/>
      <c r="J49" s="280"/>
      <c r="K49" s="281"/>
      <c r="L49" s="282"/>
      <c r="M49" s="274"/>
      <c r="N49" s="283"/>
      <c r="O49" s="283"/>
      <c r="P49" s="267"/>
      <c r="Q49" s="284"/>
      <c r="R49" s="267"/>
      <c r="S49" s="285"/>
      <c r="T49" s="286"/>
      <c r="U49" s="267"/>
      <c r="V49" s="265"/>
      <c r="W49" s="266"/>
      <c r="X49" s="267"/>
      <c r="Y49" s="267"/>
      <c r="Z49" s="268"/>
      <c r="AA49" s="267"/>
      <c r="AB49" s="267"/>
      <c r="AC49" s="269"/>
    </row>
    <row r="50" ht="16.5" customHeight="1">
      <c r="A50" s="274"/>
      <c r="B50" s="275"/>
      <c r="C50" s="276"/>
      <c r="D50" s="276"/>
      <c r="E50" s="276"/>
      <c r="F50" s="277"/>
      <c r="G50" s="278"/>
      <c r="H50" s="277"/>
      <c r="I50" s="279"/>
      <c r="J50" s="280"/>
      <c r="K50" s="281"/>
      <c r="L50" s="282"/>
      <c r="M50" s="274"/>
      <c r="N50" s="283"/>
      <c r="O50" s="283"/>
      <c r="P50" s="267"/>
      <c r="Q50" s="284"/>
      <c r="R50" s="267"/>
      <c r="S50" s="285"/>
      <c r="T50" s="286"/>
      <c r="U50" s="267"/>
      <c r="V50" s="265"/>
      <c r="W50" s="266"/>
      <c r="X50" s="267"/>
      <c r="Y50" s="267"/>
      <c r="Z50" s="268"/>
      <c r="AA50" s="267"/>
      <c r="AB50" s="267"/>
      <c r="AC50" s="269"/>
    </row>
    <row r="51" ht="16.5" customHeight="1">
      <c r="A51" s="274"/>
      <c r="B51" s="275"/>
      <c r="C51" s="276"/>
      <c r="D51" s="276"/>
      <c r="E51" s="276"/>
      <c r="F51" s="277"/>
      <c r="G51" s="278"/>
      <c r="H51" s="277"/>
      <c r="I51" s="279"/>
      <c r="J51" s="280"/>
      <c r="K51" s="281"/>
      <c r="L51" s="282"/>
      <c r="M51" s="274"/>
      <c r="N51" s="283"/>
      <c r="O51" s="283"/>
      <c r="P51" s="267"/>
      <c r="Q51" s="284"/>
      <c r="R51" s="267"/>
      <c r="S51" s="285"/>
      <c r="T51" s="286"/>
      <c r="U51" s="267"/>
      <c r="V51" s="265"/>
      <c r="W51" s="266"/>
      <c r="X51" s="267"/>
      <c r="Y51" s="267"/>
      <c r="Z51" s="268"/>
      <c r="AA51" s="267"/>
      <c r="AB51" s="267"/>
      <c r="AC51" s="269"/>
    </row>
    <row r="52" ht="16.5" customHeight="1">
      <c r="A52" s="274"/>
      <c r="B52" s="275"/>
      <c r="C52" s="276"/>
      <c r="D52" s="276"/>
      <c r="E52" s="276"/>
      <c r="F52" s="277"/>
      <c r="G52" s="278"/>
      <c r="H52" s="277"/>
      <c r="I52" s="279"/>
      <c r="J52" s="280"/>
      <c r="K52" s="281"/>
      <c r="L52" s="282"/>
      <c r="M52" s="274"/>
      <c r="N52" s="283"/>
      <c r="O52" s="283"/>
      <c r="P52" s="267"/>
      <c r="Q52" s="284"/>
      <c r="R52" s="267"/>
      <c r="S52" s="285"/>
      <c r="T52" s="286"/>
      <c r="U52" s="267"/>
      <c r="V52" s="265"/>
      <c r="W52" s="266"/>
      <c r="X52" s="267"/>
      <c r="Y52" s="267"/>
      <c r="Z52" s="268"/>
      <c r="AA52" s="267"/>
      <c r="AB52" s="267"/>
      <c r="AC52" s="269"/>
    </row>
    <row r="53" ht="16.5" customHeight="1">
      <c r="A53" s="274"/>
      <c r="B53" s="275"/>
      <c r="C53" s="276"/>
      <c r="D53" s="276"/>
      <c r="E53" s="276"/>
      <c r="F53" s="277"/>
      <c r="G53" s="278"/>
      <c r="H53" s="277"/>
      <c r="I53" s="279"/>
      <c r="J53" s="280"/>
      <c r="K53" s="281"/>
      <c r="L53" s="282"/>
      <c r="M53" s="274"/>
      <c r="N53" s="283"/>
      <c r="O53" s="283"/>
      <c r="P53" s="267"/>
      <c r="Q53" s="284"/>
      <c r="R53" s="267"/>
      <c r="S53" s="285"/>
      <c r="T53" s="286"/>
      <c r="U53" s="267"/>
      <c r="V53" s="265"/>
      <c r="W53" s="266"/>
      <c r="X53" s="267"/>
      <c r="Y53" s="267"/>
      <c r="Z53" s="268"/>
      <c r="AA53" s="267"/>
      <c r="AB53" s="267"/>
      <c r="AC53" s="269"/>
    </row>
    <row r="54" ht="16.5" customHeight="1">
      <c r="A54" s="274"/>
      <c r="B54" s="275"/>
      <c r="C54" s="276"/>
      <c r="D54" s="276"/>
      <c r="E54" s="276"/>
      <c r="F54" s="277"/>
      <c r="G54" s="278"/>
      <c r="H54" s="277"/>
      <c r="I54" s="279"/>
      <c r="J54" s="280"/>
      <c r="K54" s="281"/>
      <c r="L54" s="282"/>
      <c r="M54" s="274"/>
      <c r="N54" s="283"/>
      <c r="O54" s="283"/>
      <c r="P54" s="267"/>
      <c r="Q54" s="284"/>
      <c r="R54" s="267"/>
      <c r="S54" s="285"/>
      <c r="T54" s="286"/>
      <c r="U54" s="267"/>
      <c r="V54" s="265"/>
      <c r="W54" s="266"/>
      <c r="X54" s="267"/>
      <c r="Y54" s="267"/>
      <c r="Z54" s="268"/>
      <c r="AA54" s="267"/>
      <c r="AB54" s="267"/>
      <c r="AC54" s="269"/>
    </row>
    <row r="55" ht="16.5" customHeight="1">
      <c r="A55" s="274"/>
      <c r="B55" s="275"/>
      <c r="C55" s="276"/>
      <c r="D55" s="276"/>
      <c r="E55" s="276"/>
      <c r="F55" s="277"/>
      <c r="G55" s="278"/>
      <c r="H55" s="277"/>
      <c r="I55" s="279"/>
      <c r="J55" s="280"/>
      <c r="K55" s="281"/>
      <c r="L55" s="282"/>
      <c r="M55" s="274"/>
      <c r="N55" s="283"/>
      <c r="O55" s="283"/>
      <c r="P55" s="267"/>
      <c r="Q55" s="284"/>
      <c r="R55" s="267"/>
      <c r="S55" s="285"/>
      <c r="T55" s="286"/>
      <c r="U55" s="267"/>
      <c r="V55" s="265"/>
      <c r="W55" s="266"/>
      <c r="X55" s="267"/>
      <c r="Y55" s="267"/>
      <c r="Z55" s="268"/>
      <c r="AA55" s="267"/>
      <c r="AB55" s="267"/>
      <c r="AC55" s="269"/>
    </row>
    <row r="56" ht="16.5" customHeight="1">
      <c r="A56" s="274"/>
      <c r="B56" s="275"/>
      <c r="C56" s="276"/>
      <c r="D56" s="276"/>
      <c r="E56" s="276"/>
      <c r="F56" s="277"/>
      <c r="G56" s="278"/>
      <c r="H56" s="277"/>
      <c r="I56" s="279"/>
      <c r="J56" s="280"/>
      <c r="K56" s="281"/>
      <c r="L56" s="282"/>
      <c r="M56" s="274"/>
      <c r="N56" s="283"/>
      <c r="O56" s="283"/>
      <c r="P56" s="267"/>
      <c r="Q56" s="284"/>
      <c r="R56" s="267"/>
      <c r="S56" s="285"/>
      <c r="T56" s="286"/>
      <c r="U56" s="267"/>
      <c r="V56" s="265"/>
      <c r="W56" s="266"/>
      <c r="X56" s="267"/>
      <c r="Y56" s="267"/>
      <c r="Z56" s="268"/>
      <c r="AA56" s="267"/>
      <c r="AB56" s="267"/>
      <c r="AC56" s="269"/>
    </row>
    <row r="57" ht="16.5" customHeight="1">
      <c r="A57" s="274"/>
      <c r="B57" s="275"/>
      <c r="C57" s="276"/>
      <c r="D57" s="276"/>
      <c r="E57" s="276"/>
      <c r="F57" s="277"/>
      <c r="G57" s="278"/>
      <c r="H57" s="277"/>
      <c r="I57" s="279"/>
      <c r="J57" s="280"/>
      <c r="K57" s="281"/>
      <c r="L57" s="282"/>
      <c r="M57" s="274"/>
      <c r="N57" s="283"/>
      <c r="O57" s="283"/>
      <c r="P57" s="267"/>
      <c r="Q57" s="284"/>
      <c r="R57" s="267"/>
      <c r="S57" s="285"/>
      <c r="T57" s="286"/>
      <c r="U57" s="267"/>
      <c r="V57" s="265"/>
      <c r="W57" s="266"/>
      <c r="X57" s="267"/>
      <c r="Y57" s="267"/>
      <c r="Z57" s="268"/>
      <c r="AA57" s="267"/>
      <c r="AB57" s="267"/>
      <c r="AC57" s="269"/>
    </row>
    <row r="58" ht="16.5" customHeight="1">
      <c r="A58" s="274"/>
      <c r="B58" s="275"/>
      <c r="C58" s="276"/>
      <c r="D58" s="276"/>
      <c r="E58" s="276"/>
      <c r="F58" s="277"/>
      <c r="G58" s="278"/>
      <c r="H58" s="277"/>
      <c r="I58" s="279"/>
      <c r="J58" s="280"/>
      <c r="K58" s="281"/>
      <c r="L58" s="282"/>
      <c r="M58" s="274"/>
      <c r="N58" s="283"/>
      <c r="O58" s="283"/>
      <c r="P58" s="267"/>
      <c r="Q58" s="284"/>
      <c r="R58" s="267"/>
      <c r="S58" s="285"/>
      <c r="T58" s="286"/>
      <c r="U58" s="267"/>
      <c r="V58" s="265"/>
      <c r="W58" s="266"/>
      <c r="X58" s="267"/>
      <c r="Y58" s="267"/>
      <c r="Z58" s="268"/>
      <c r="AA58" s="267"/>
      <c r="AB58" s="267"/>
      <c r="AC58" s="269"/>
    </row>
    <row r="59" ht="16.5" customHeight="1">
      <c r="A59" s="274"/>
      <c r="B59" s="275"/>
      <c r="C59" s="276"/>
      <c r="D59" s="276"/>
      <c r="E59" s="276"/>
      <c r="F59" s="277"/>
      <c r="G59" s="278"/>
      <c r="H59" s="277"/>
      <c r="I59" s="279"/>
      <c r="J59" s="280"/>
      <c r="K59" s="281"/>
      <c r="L59" s="282"/>
      <c r="M59" s="274"/>
      <c r="N59" s="283"/>
      <c r="O59" s="283"/>
      <c r="P59" s="267"/>
      <c r="Q59" s="284"/>
      <c r="R59" s="267"/>
      <c r="S59" s="285"/>
      <c r="T59" s="286"/>
      <c r="U59" s="267"/>
      <c r="V59" s="265"/>
      <c r="W59" s="266"/>
      <c r="X59" s="267"/>
      <c r="Y59" s="267"/>
      <c r="Z59" s="268"/>
      <c r="AA59" s="267"/>
      <c r="AB59" s="267"/>
      <c r="AC59" s="269"/>
    </row>
    <row r="60" ht="16.5" customHeight="1">
      <c r="A60" s="274"/>
      <c r="B60" s="275"/>
      <c r="C60" s="276"/>
      <c r="D60" s="276"/>
      <c r="E60" s="276"/>
      <c r="F60" s="277"/>
      <c r="G60" s="278"/>
      <c r="H60" s="277"/>
      <c r="I60" s="279"/>
      <c r="J60" s="280"/>
      <c r="K60" s="281"/>
      <c r="L60" s="282"/>
      <c r="M60" s="274"/>
      <c r="N60" s="283"/>
      <c r="O60" s="283"/>
      <c r="P60" s="267"/>
      <c r="Q60" s="284"/>
      <c r="R60" s="267"/>
      <c r="S60" s="285"/>
      <c r="T60" s="286"/>
      <c r="U60" s="267"/>
      <c r="V60" s="265"/>
      <c r="W60" s="266"/>
      <c r="X60" s="267"/>
      <c r="Y60" s="267"/>
      <c r="Z60" s="268"/>
      <c r="AA60" s="267"/>
      <c r="AB60" s="267"/>
      <c r="AC60" s="269"/>
    </row>
    <row r="61" ht="16.5" customHeight="1">
      <c r="A61" s="274"/>
      <c r="B61" s="275"/>
      <c r="C61" s="276"/>
      <c r="D61" s="276"/>
      <c r="E61" s="276"/>
      <c r="F61" s="277"/>
      <c r="G61" s="278"/>
      <c r="H61" s="277"/>
      <c r="I61" s="279"/>
      <c r="J61" s="280"/>
      <c r="K61" s="281"/>
      <c r="L61" s="282"/>
      <c r="M61" s="274"/>
      <c r="N61" s="283"/>
      <c r="O61" s="283"/>
      <c r="P61" s="267"/>
      <c r="Q61" s="284"/>
      <c r="R61" s="267"/>
      <c r="S61" s="285"/>
      <c r="T61" s="286"/>
      <c r="U61" s="267"/>
      <c r="V61" s="265"/>
      <c r="W61" s="266"/>
      <c r="X61" s="267"/>
      <c r="Y61" s="267"/>
      <c r="Z61" s="268"/>
      <c r="AA61" s="267"/>
      <c r="AB61" s="267"/>
      <c r="AC61" s="269"/>
    </row>
    <row r="62" ht="16.5" customHeight="1">
      <c r="A62" s="274"/>
      <c r="B62" s="275"/>
      <c r="C62" s="276"/>
      <c r="D62" s="276"/>
      <c r="E62" s="276"/>
      <c r="F62" s="277"/>
      <c r="G62" s="278"/>
      <c r="H62" s="277"/>
      <c r="I62" s="279"/>
      <c r="J62" s="280"/>
      <c r="K62" s="281"/>
      <c r="L62" s="282"/>
      <c r="M62" s="274"/>
      <c r="N62" s="283"/>
      <c r="O62" s="283"/>
      <c r="P62" s="267"/>
      <c r="Q62" s="284"/>
      <c r="R62" s="267"/>
      <c r="S62" s="285"/>
      <c r="T62" s="286"/>
      <c r="U62" s="267"/>
      <c r="V62" s="265"/>
      <c r="W62" s="266"/>
      <c r="X62" s="267"/>
      <c r="Y62" s="267"/>
      <c r="Z62" s="268"/>
      <c r="AA62" s="267"/>
      <c r="AB62" s="267"/>
      <c r="AC62" s="269"/>
    </row>
    <row r="63" ht="16.5" customHeight="1">
      <c r="A63" s="274"/>
      <c r="B63" s="275"/>
      <c r="C63" s="276"/>
      <c r="D63" s="276"/>
      <c r="E63" s="276"/>
      <c r="F63" s="277"/>
      <c r="G63" s="278"/>
      <c r="H63" s="277"/>
      <c r="I63" s="279"/>
      <c r="J63" s="280"/>
      <c r="K63" s="281"/>
      <c r="L63" s="282"/>
      <c r="M63" s="274"/>
      <c r="N63" s="283"/>
      <c r="O63" s="283"/>
      <c r="P63" s="267"/>
      <c r="Q63" s="284"/>
      <c r="R63" s="267"/>
      <c r="S63" s="285"/>
      <c r="T63" s="286"/>
      <c r="U63" s="267"/>
      <c r="V63" s="265"/>
      <c r="W63" s="266"/>
      <c r="X63" s="267"/>
      <c r="Y63" s="267"/>
      <c r="Z63" s="268"/>
      <c r="AA63" s="267"/>
      <c r="AB63" s="267"/>
      <c r="AC63" s="269"/>
    </row>
    <row r="64" ht="16.5" customHeight="1">
      <c r="A64" s="274"/>
      <c r="B64" s="275"/>
      <c r="C64" s="276"/>
      <c r="D64" s="276"/>
      <c r="E64" s="276"/>
      <c r="F64" s="277"/>
      <c r="G64" s="278"/>
      <c r="H64" s="277"/>
      <c r="I64" s="279"/>
      <c r="J64" s="280"/>
      <c r="K64" s="281"/>
      <c r="L64" s="282"/>
      <c r="M64" s="274"/>
      <c r="N64" s="283"/>
      <c r="O64" s="283"/>
      <c r="P64" s="267"/>
      <c r="Q64" s="284"/>
      <c r="R64" s="267"/>
      <c r="S64" s="285"/>
      <c r="T64" s="286"/>
      <c r="U64" s="267"/>
      <c r="V64" s="265"/>
      <c r="W64" s="266"/>
      <c r="X64" s="267"/>
      <c r="Y64" s="267"/>
      <c r="Z64" s="268"/>
      <c r="AA64" s="267"/>
      <c r="AB64" s="267"/>
      <c r="AC64" s="269"/>
    </row>
    <row r="65" ht="16.5" customHeight="1">
      <c r="A65" s="274"/>
      <c r="B65" s="275"/>
      <c r="C65" s="276"/>
      <c r="D65" s="276"/>
      <c r="E65" s="276"/>
      <c r="F65" s="277"/>
      <c r="G65" s="278"/>
      <c r="H65" s="277"/>
      <c r="I65" s="279"/>
      <c r="J65" s="280"/>
      <c r="K65" s="281"/>
      <c r="L65" s="282"/>
      <c r="M65" s="274"/>
      <c r="N65" s="283"/>
      <c r="O65" s="283"/>
      <c r="P65" s="267"/>
      <c r="Q65" s="284"/>
      <c r="R65" s="267"/>
      <c r="S65" s="285"/>
      <c r="T65" s="286"/>
      <c r="U65" s="267"/>
      <c r="V65" s="265"/>
      <c r="W65" s="266"/>
      <c r="X65" s="267"/>
      <c r="Y65" s="267"/>
      <c r="Z65" s="268"/>
      <c r="AA65" s="267"/>
      <c r="AB65" s="267"/>
      <c r="AC65" s="269"/>
    </row>
    <row r="66" ht="16.5" customHeight="1">
      <c r="A66" s="274"/>
      <c r="B66" s="275"/>
      <c r="C66" s="276"/>
      <c r="D66" s="276"/>
      <c r="E66" s="276"/>
      <c r="F66" s="277"/>
      <c r="G66" s="278"/>
      <c r="H66" s="277"/>
      <c r="I66" s="279"/>
      <c r="J66" s="280"/>
      <c r="K66" s="281"/>
      <c r="L66" s="282"/>
      <c r="M66" s="274"/>
      <c r="N66" s="283"/>
      <c r="O66" s="283"/>
      <c r="P66" s="267"/>
      <c r="Q66" s="284"/>
      <c r="R66" s="267"/>
      <c r="S66" s="285"/>
      <c r="T66" s="286"/>
      <c r="U66" s="267"/>
      <c r="V66" s="265"/>
      <c r="W66" s="266"/>
      <c r="X66" s="267"/>
      <c r="Y66" s="267"/>
      <c r="Z66" s="268"/>
      <c r="AA66" s="267"/>
      <c r="AB66" s="267"/>
      <c r="AC66" s="269"/>
    </row>
    <row r="67" ht="16.5" customHeight="1">
      <c r="A67" s="274"/>
      <c r="B67" s="275"/>
      <c r="C67" s="276"/>
      <c r="D67" s="276"/>
      <c r="E67" s="276"/>
      <c r="F67" s="277"/>
      <c r="G67" s="278"/>
      <c r="H67" s="277"/>
      <c r="I67" s="279"/>
      <c r="J67" s="280"/>
      <c r="K67" s="281"/>
      <c r="L67" s="282"/>
      <c r="M67" s="274"/>
      <c r="N67" s="283"/>
      <c r="O67" s="283"/>
      <c r="P67" s="267"/>
      <c r="Q67" s="284"/>
      <c r="R67" s="267"/>
      <c r="S67" s="285"/>
      <c r="T67" s="286"/>
      <c r="U67" s="267"/>
      <c r="V67" s="265"/>
      <c r="W67" s="266"/>
      <c r="X67" s="267"/>
      <c r="Y67" s="267"/>
      <c r="Z67" s="268"/>
      <c r="AA67" s="267"/>
      <c r="AB67" s="267"/>
      <c r="AC67" s="269"/>
    </row>
    <row r="68" ht="16.5" customHeight="1">
      <c r="A68" s="274"/>
      <c r="B68" s="275"/>
      <c r="C68" s="276"/>
      <c r="D68" s="276"/>
      <c r="E68" s="276"/>
      <c r="F68" s="277"/>
      <c r="G68" s="278"/>
      <c r="H68" s="277"/>
      <c r="I68" s="279"/>
      <c r="J68" s="280"/>
      <c r="K68" s="281"/>
      <c r="L68" s="282"/>
      <c r="M68" s="274"/>
      <c r="N68" s="283"/>
      <c r="O68" s="283"/>
      <c r="P68" s="267"/>
      <c r="Q68" s="284"/>
      <c r="R68" s="267"/>
      <c r="S68" s="285"/>
      <c r="T68" s="286"/>
      <c r="U68" s="267"/>
      <c r="V68" s="265"/>
      <c r="W68" s="266"/>
      <c r="X68" s="267"/>
      <c r="Y68" s="267"/>
      <c r="Z68" s="268"/>
      <c r="AA68" s="267"/>
      <c r="AB68" s="267"/>
      <c r="AC68" s="269"/>
    </row>
    <row r="69" ht="16.5" customHeight="1">
      <c r="A69" s="274"/>
      <c r="B69" s="275"/>
      <c r="C69" s="276"/>
      <c r="D69" s="276"/>
      <c r="E69" s="276"/>
      <c r="F69" s="277"/>
      <c r="G69" s="278"/>
      <c r="H69" s="277"/>
      <c r="I69" s="279"/>
      <c r="J69" s="280"/>
      <c r="K69" s="281"/>
      <c r="L69" s="282"/>
      <c r="M69" s="274"/>
      <c r="N69" s="283"/>
      <c r="O69" s="283"/>
      <c r="P69" s="267"/>
      <c r="Q69" s="284"/>
      <c r="R69" s="267"/>
      <c r="S69" s="285"/>
      <c r="T69" s="286"/>
      <c r="U69" s="267"/>
      <c r="V69" s="265"/>
      <c r="W69" s="266"/>
      <c r="X69" s="267"/>
      <c r="Y69" s="267"/>
      <c r="Z69" s="268"/>
      <c r="AA69" s="267"/>
      <c r="AB69" s="267"/>
      <c r="AC69" s="269"/>
    </row>
    <row r="70" ht="16.5" customHeight="1">
      <c r="A70" s="274"/>
      <c r="B70" s="275"/>
      <c r="C70" s="276"/>
      <c r="D70" s="276"/>
      <c r="E70" s="276"/>
      <c r="F70" s="277"/>
      <c r="G70" s="278"/>
      <c r="H70" s="277"/>
      <c r="I70" s="279"/>
      <c r="J70" s="280"/>
      <c r="K70" s="281"/>
      <c r="L70" s="282"/>
      <c r="M70" s="274"/>
      <c r="N70" s="283"/>
      <c r="O70" s="283"/>
      <c r="P70" s="267"/>
      <c r="Q70" s="284"/>
      <c r="R70" s="267"/>
      <c r="S70" s="285"/>
      <c r="T70" s="286"/>
      <c r="U70" s="267"/>
      <c r="V70" s="265"/>
      <c r="W70" s="266"/>
      <c r="X70" s="267"/>
      <c r="Y70" s="267"/>
      <c r="Z70" s="268"/>
      <c r="AA70" s="267"/>
      <c r="AB70" s="267"/>
      <c r="AC70" s="269"/>
    </row>
    <row r="71" ht="16.5" customHeight="1">
      <c r="A71" s="274"/>
      <c r="B71" s="275"/>
      <c r="C71" s="276"/>
      <c r="D71" s="276"/>
      <c r="E71" s="276"/>
      <c r="F71" s="277"/>
      <c r="G71" s="278"/>
      <c r="H71" s="277"/>
      <c r="I71" s="279"/>
      <c r="J71" s="280"/>
      <c r="K71" s="281"/>
      <c r="L71" s="282"/>
      <c r="M71" s="274"/>
      <c r="N71" s="283"/>
      <c r="O71" s="283"/>
      <c r="P71" s="267"/>
      <c r="Q71" s="284"/>
      <c r="R71" s="267"/>
      <c r="S71" s="285"/>
      <c r="T71" s="286"/>
      <c r="U71" s="267"/>
      <c r="V71" s="265"/>
      <c r="W71" s="266"/>
      <c r="X71" s="267"/>
      <c r="Y71" s="267"/>
      <c r="Z71" s="268"/>
      <c r="AA71" s="267"/>
      <c r="AB71" s="267"/>
      <c r="AC71" s="269"/>
    </row>
    <row r="72" ht="16.5" customHeight="1">
      <c r="A72" s="274"/>
      <c r="B72" s="275"/>
      <c r="C72" s="276"/>
      <c r="D72" s="276"/>
      <c r="E72" s="276"/>
      <c r="F72" s="277"/>
      <c r="G72" s="278"/>
      <c r="H72" s="277"/>
      <c r="I72" s="279"/>
      <c r="J72" s="280"/>
      <c r="K72" s="281"/>
      <c r="L72" s="282"/>
      <c r="M72" s="274"/>
      <c r="N72" s="283"/>
      <c r="O72" s="283"/>
      <c r="P72" s="267"/>
      <c r="Q72" s="284"/>
      <c r="R72" s="267"/>
      <c r="S72" s="285"/>
      <c r="T72" s="286"/>
      <c r="U72" s="267"/>
      <c r="V72" s="265"/>
      <c r="W72" s="266"/>
      <c r="X72" s="267"/>
      <c r="Y72" s="267"/>
      <c r="Z72" s="268"/>
      <c r="AA72" s="267"/>
      <c r="AB72" s="267"/>
      <c r="AC72" s="269"/>
    </row>
    <row r="73" ht="16.5" customHeight="1">
      <c r="A73" s="274"/>
      <c r="B73" s="275"/>
      <c r="C73" s="276"/>
      <c r="D73" s="276"/>
      <c r="E73" s="276"/>
      <c r="F73" s="277"/>
      <c r="G73" s="278"/>
      <c r="H73" s="277"/>
      <c r="I73" s="279"/>
      <c r="J73" s="280"/>
      <c r="K73" s="281"/>
      <c r="L73" s="282"/>
      <c r="M73" s="274"/>
      <c r="N73" s="283"/>
      <c r="O73" s="283"/>
      <c r="P73" s="267"/>
      <c r="Q73" s="284"/>
      <c r="R73" s="267"/>
      <c r="S73" s="285"/>
      <c r="T73" s="286"/>
      <c r="U73" s="267"/>
      <c r="V73" s="265"/>
      <c r="W73" s="266"/>
      <c r="X73" s="267"/>
      <c r="Y73" s="267"/>
      <c r="Z73" s="268"/>
      <c r="AA73" s="267"/>
      <c r="AB73" s="267"/>
      <c r="AC73" s="269"/>
    </row>
    <row r="74" ht="16.5" customHeight="1">
      <c r="A74" s="274"/>
      <c r="B74" s="275"/>
      <c r="C74" s="276"/>
      <c r="D74" s="276"/>
      <c r="E74" s="276"/>
      <c r="F74" s="277"/>
      <c r="G74" s="278"/>
      <c r="H74" s="277"/>
      <c r="I74" s="279"/>
      <c r="J74" s="280"/>
      <c r="K74" s="281"/>
      <c r="L74" s="282"/>
      <c r="M74" s="274"/>
      <c r="N74" s="283"/>
      <c r="O74" s="283"/>
      <c r="P74" s="267"/>
      <c r="Q74" s="284"/>
      <c r="R74" s="267"/>
      <c r="S74" s="285"/>
      <c r="T74" s="286"/>
      <c r="U74" s="267"/>
      <c r="V74" s="265"/>
      <c r="W74" s="266"/>
      <c r="X74" s="267"/>
      <c r="Y74" s="267"/>
      <c r="Z74" s="268"/>
      <c r="AA74" s="267"/>
      <c r="AB74" s="267"/>
      <c r="AC74" s="269"/>
    </row>
    <row r="75" ht="16.5" customHeight="1">
      <c r="A75" s="274"/>
      <c r="B75" s="275"/>
      <c r="C75" s="276"/>
      <c r="D75" s="276"/>
      <c r="E75" s="276"/>
      <c r="F75" s="277"/>
      <c r="G75" s="278"/>
      <c r="H75" s="277"/>
      <c r="I75" s="279"/>
      <c r="J75" s="280"/>
      <c r="K75" s="281"/>
      <c r="L75" s="282"/>
      <c r="M75" s="274"/>
      <c r="N75" s="283"/>
      <c r="O75" s="283"/>
      <c r="P75" s="267"/>
      <c r="Q75" s="284"/>
      <c r="R75" s="267"/>
      <c r="S75" s="285"/>
      <c r="T75" s="286"/>
      <c r="U75" s="267"/>
      <c r="V75" s="265"/>
      <c r="W75" s="266"/>
      <c r="X75" s="267"/>
      <c r="Y75" s="267"/>
      <c r="Z75" s="268"/>
      <c r="AA75" s="267"/>
      <c r="AB75" s="267"/>
      <c r="AC75" s="269"/>
    </row>
    <row r="76" ht="16.5" customHeight="1">
      <c r="A76" s="274"/>
      <c r="B76" s="275"/>
      <c r="C76" s="276"/>
      <c r="D76" s="276"/>
      <c r="E76" s="276"/>
      <c r="F76" s="277"/>
      <c r="G76" s="278"/>
      <c r="H76" s="277"/>
      <c r="I76" s="279"/>
      <c r="J76" s="280"/>
      <c r="K76" s="281"/>
      <c r="L76" s="282"/>
      <c r="M76" s="274"/>
      <c r="N76" s="283"/>
      <c r="O76" s="283"/>
      <c r="P76" s="267"/>
      <c r="Q76" s="284"/>
      <c r="R76" s="267"/>
      <c r="S76" s="285"/>
      <c r="T76" s="286"/>
      <c r="U76" s="267"/>
      <c r="V76" s="265"/>
      <c r="W76" s="266"/>
      <c r="X76" s="267"/>
      <c r="Y76" s="267"/>
      <c r="Z76" s="268"/>
      <c r="AA76" s="267"/>
      <c r="AB76" s="267"/>
      <c r="AC76" s="269"/>
    </row>
    <row r="77" ht="16.5" customHeight="1">
      <c r="A77" s="274"/>
      <c r="B77" s="275"/>
      <c r="C77" s="276"/>
      <c r="D77" s="276"/>
      <c r="E77" s="276"/>
      <c r="F77" s="277"/>
      <c r="G77" s="278"/>
      <c r="H77" s="277"/>
      <c r="I77" s="279"/>
      <c r="J77" s="280"/>
      <c r="K77" s="281"/>
      <c r="L77" s="282"/>
      <c r="M77" s="274"/>
      <c r="N77" s="283"/>
      <c r="O77" s="283"/>
      <c r="P77" s="267"/>
      <c r="Q77" s="284"/>
      <c r="R77" s="267"/>
      <c r="S77" s="285"/>
      <c r="T77" s="286"/>
      <c r="U77" s="267"/>
      <c r="V77" s="265"/>
      <c r="W77" s="266"/>
      <c r="X77" s="267"/>
      <c r="Y77" s="267"/>
      <c r="Z77" s="268"/>
      <c r="AA77" s="267"/>
      <c r="AB77" s="267"/>
      <c r="AC77" s="269"/>
    </row>
    <row r="78" ht="16.5" customHeight="1">
      <c r="A78" s="274"/>
      <c r="B78" s="275"/>
      <c r="C78" s="276"/>
      <c r="D78" s="276"/>
      <c r="E78" s="276"/>
      <c r="F78" s="277"/>
      <c r="G78" s="278"/>
      <c r="H78" s="277"/>
      <c r="I78" s="279"/>
      <c r="J78" s="280"/>
      <c r="K78" s="281"/>
      <c r="L78" s="282"/>
      <c r="M78" s="274"/>
      <c r="N78" s="283"/>
      <c r="O78" s="283"/>
      <c r="P78" s="267"/>
      <c r="Q78" s="284"/>
      <c r="R78" s="267"/>
      <c r="S78" s="285"/>
      <c r="T78" s="286"/>
      <c r="U78" s="267"/>
      <c r="V78" s="265"/>
      <c r="W78" s="266"/>
      <c r="X78" s="267"/>
      <c r="Y78" s="267"/>
      <c r="Z78" s="268"/>
      <c r="AA78" s="267"/>
      <c r="AB78" s="267"/>
      <c r="AC78" s="269"/>
    </row>
    <row r="79" ht="16.5" customHeight="1">
      <c r="A79" s="274"/>
      <c r="B79" s="275"/>
      <c r="C79" s="276"/>
      <c r="D79" s="276"/>
      <c r="E79" s="276"/>
      <c r="F79" s="277"/>
      <c r="G79" s="278"/>
      <c r="H79" s="277"/>
      <c r="I79" s="279"/>
      <c r="J79" s="280"/>
      <c r="K79" s="281"/>
      <c r="L79" s="282"/>
      <c r="M79" s="274"/>
      <c r="N79" s="283"/>
      <c r="O79" s="283"/>
      <c r="P79" s="267"/>
      <c r="Q79" s="284"/>
      <c r="R79" s="267"/>
      <c r="S79" s="285"/>
      <c r="T79" s="286"/>
      <c r="U79" s="267"/>
      <c r="V79" s="265"/>
      <c r="W79" s="266"/>
      <c r="X79" s="267"/>
      <c r="Y79" s="267"/>
      <c r="Z79" s="268"/>
      <c r="AA79" s="267"/>
      <c r="AB79" s="267"/>
      <c r="AC79" s="269"/>
    </row>
    <row r="80" ht="16.5" customHeight="1">
      <c r="A80" s="274"/>
      <c r="B80" s="275"/>
      <c r="C80" s="276"/>
      <c r="D80" s="276"/>
      <c r="E80" s="276"/>
      <c r="F80" s="277"/>
      <c r="G80" s="278"/>
      <c r="H80" s="277"/>
      <c r="I80" s="279"/>
      <c r="J80" s="280"/>
      <c r="K80" s="281"/>
      <c r="L80" s="282"/>
      <c r="M80" s="274"/>
      <c r="N80" s="283"/>
      <c r="O80" s="283"/>
      <c r="P80" s="267"/>
      <c r="Q80" s="284"/>
      <c r="R80" s="267"/>
      <c r="S80" s="285"/>
      <c r="T80" s="286"/>
      <c r="U80" s="267"/>
      <c r="V80" s="265"/>
      <c r="W80" s="266"/>
      <c r="X80" s="267"/>
      <c r="Y80" s="267"/>
      <c r="Z80" s="268"/>
      <c r="AA80" s="267"/>
      <c r="AB80" s="267"/>
      <c r="AC80" s="269"/>
    </row>
    <row r="81" ht="16.5" customHeight="1">
      <c r="A81" s="274"/>
      <c r="B81" s="275"/>
      <c r="C81" s="276"/>
      <c r="D81" s="276"/>
      <c r="E81" s="276"/>
      <c r="F81" s="277"/>
      <c r="G81" s="278"/>
      <c r="H81" s="277"/>
      <c r="I81" s="279"/>
      <c r="J81" s="280"/>
      <c r="K81" s="281"/>
      <c r="L81" s="282"/>
      <c r="M81" s="274"/>
      <c r="N81" s="283"/>
      <c r="O81" s="283"/>
      <c r="P81" s="267"/>
      <c r="Q81" s="284"/>
      <c r="R81" s="267"/>
      <c r="S81" s="285"/>
      <c r="T81" s="286"/>
      <c r="U81" s="267"/>
      <c r="V81" s="265"/>
      <c r="W81" s="266"/>
      <c r="X81" s="267"/>
      <c r="Y81" s="267"/>
      <c r="Z81" s="268"/>
      <c r="AA81" s="267"/>
      <c r="AB81" s="267"/>
      <c r="AC81" s="269"/>
    </row>
    <row r="82" ht="16.5" customHeight="1">
      <c r="A82" s="274"/>
      <c r="B82" s="275"/>
      <c r="C82" s="276"/>
      <c r="D82" s="276"/>
      <c r="E82" s="276"/>
      <c r="F82" s="277"/>
      <c r="G82" s="278"/>
      <c r="H82" s="277"/>
      <c r="I82" s="279"/>
      <c r="J82" s="280"/>
      <c r="K82" s="281"/>
      <c r="L82" s="282"/>
      <c r="M82" s="274"/>
      <c r="N82" s="283"/>
      <c r="O82" s="283"/>
      <c r="P82" s="267"/>
      <c r="Q82" s="284"/>
      <c r="R82" s="267"/>
      <c r="S82" s="285"/>
      <c r="T82" s="286"/>
      <c r="U82" s="267"/>
      <c r="V82" s="265"/>
      <c r="W82" s="266"/>
      <c r="X82" s="267"/>
      <c r="Y82" s="267"/>
      <c r="Z82" s="268"/>
      <c r="AA82" s="267"/>
      <c r="AB82" s="267"/>
      <c r="AC82" s="269"/>
    </row>
    <row r="83" ht="16.5" customHeight="1">
      <c r="A83" s="274"/>
      <c r="B83" s="275"/>
      <c r="C83" s="276"/>
      <c r="D83" s="276"/>
      <c r="E83" s="276"/>
      <c r="F83" s="277"/>
      <c r="G83" s="278"/>
      <c r="H83" s="277"/>
      <c r="I83" s="279"/>
      <c r="J83" s="280"/>
      <c r="K83" s="281"/>
      <c r="L83" s="282"/>
      <c r="M83" s="274"/>
      <c r="N83" s="283"/>
      <c r="O83" s="283"/>
      <c r="P83" s="267"/>
      <c r="Q83" s="284"/>
      <c r="R83" s="267"/>
      <c r="S83" s="285"/>
      <c r="T83" s="286"/>
      <c r="U83" s="267"/>
      <c r="V83" s="265"/>
      <c r="W83" s="266"/>
      <c r="X83" s="267"/>
      <c r="Y83" s="267"/>
      <c r="Z83" s="268"/>
      <c r="AA83" s="267"/>
      <c r="AB83" s="267"/>
      <c r="AC83" s="269"/>
    </row>
    <row r="84" ht="16.5" customHeight="1">
      <c r="A84" s="274"/>
      <c r="B84" s="275"/>
      <c r="C84" s="276"/>
      <c r="D84" s="276"/>
      <c r="E84" s="276"/>
      <c r="F84" s="277"/>
      <c r="G84" s="278"/>
      <c r="H84" s="277"/>
      <c r="I84" s="279"/>
      <c r="J84" s="280"/>
      <c r="K84" s="281"/>
      <c r="L84" s="282"/>
      <c r="M84" s="274"/>
      <c r="N84" s="283"/>
      <c r="O84" s="283"/>
      <c r="P84" s="267"/>
      <c r="Q84" s="284"/>
      <c r="R84" s="267"/>
      <c r="S84" s="285"/>
      <c r="T84" s="286"/>
      <c r="U84" s="267"/>
      <c r="V84" s="265"/>
      <c r="W84" s="266"/>
      <c r="X84" s="267"/>
      <c r="Y84" s="267"/>
      <c r="Z84" s="268"/>
      <c r="AA84" s="267"/>
      <c r="AB84" s="267"/>
      <c r="AC84" s="269"/>
    </row>
    <row r="85" ht="16.5" customHeight="1">
      <c r="A85" s="274"/>
      <c r="B85" s="275"/>
      <c r="C85" s="276"/>
      <c r="D85" s="276"/>
      <c r="E85" s="276"/>
      <c r="F85" s="277"/>
      <c r="G85" s="278"/>
      <c r="H85" s="277"/>
      <c r="I85" s="279"/>
      <c r="J85" s="280"/>
      <c r="K85" s="281"/>
      <c r="L85" s="282"/>
      <c r="M85" s="274"/>
      <c r="N85" s="283"/>
      <c r="O85" s="283"/>
      <c r="P85" s="267"/>
      <c r="Q85" s="284"/>
      <c r="R85" s="267"/>
      <c r="S85" s="285"/>
      <c r="T85" s="286"/>
      <c r="U85" s="267"/>
      <c r="V85" s="265"/>
      <c r="W85" s="266"/>
      <c r="X85" s="267"/>
      <c r="Y85" s="267"/>
      <c r="Z85" s="268"/>
      <c r="AA85" s="267"/>
      <c r="AB85" s="267"/>
      <c r="AC85" s="269"/>
    </row>
    <row r="86" ht="16.5" customHeight="1">
      <c r="A86" s="274"/>
      <c r="B86" s="275"/>
      <c r="C86" s="276"/>
      <c r="D86" s="276"/>
      <c r="E86" s="276"/>
      <c r="F86" s="277"/>
      <c r="G86" s="278"/>
      <c r="H86" s="277"/>
      <c r="I86" s="279"/>
      <c r="J86" s="280"/>
      <c r="K86" s="281"/>
      <c r="L86" s="282"/>
      <c r="M86" s="274"/>
      <c r="N86" s="283"/>
      <c r="O86" s="283"/>
      <c r="P86" s="267"/>
      <c r="Q86" s="284"/>
      <c r="R86" s="267"/>
      <c r="S86" s="285"/>
      <c r="T86" s="286"/>
      <c r="U86" s="267"/>
      <c r="V86" s="265"/>
      <c r="W86" s="266"/>
      <c r="X86" s="267"/>
      <c r="Y86" s="267"/>
      <c r="Z86" s="268"/>
      <c r="AA86" s="267"/>
      <c r="AB86" s="267"/>
      <c r="AC86" s="269"/>
    </row>
    <row r="87" ht="16.5" customHeight="1">
      <c r="A87" s="274"/>
      <c r="B87" s="275"/>
      <c r="C87" s="276"/>
      <c r="D87" s="276"/>
      <c r="E87" s="276"/>
      <c r="F87" s="277"/>
      <c r="G87" s="278"/>
      <c r="H87" s="277"/>
      <c r="I87" s="279"/>
      <c r="J87" s="280"/>
      <c r="K87" s="281"/>
      <c r="L87" s="282"/>
      <c r="M87" s="274"/>
      <c r="N87" s="283"/>
      <c r="O87" s="283"/>
      <c r="P87" s="267"/>
      <c r="Q87" s="284"/>
      <c r="R87" s="267"/>
      <c r="S87" s="285"/>
      <c r="T87" s="286"/>
      <c r="U87" s="267"/>
      <c r="V87" s="265"/>
      <c r="W87" s="266"/>
      <c r="X87" s="267"/>
      <c r="Y87" s="267"/>
      <c r="Z87" s="268"/>
      <c r="AA87" s="267"/>
      <c r="AB87" s="267"/>
      <c r="AC87" s="269"/>
    </row>
    <row r="88" ht="16.5" customHeight="1">
      <c r="A88" s="274"/>
      <c r="B88" s="275"/>
      <c r="C88" s="276"/>
      <c r="D88" s="276"/>
      <c r="E88" s="276"/>
      <c r="F88" s="277"/>
      <c r="G88" s="278"/>
      <c r="H88" s="277"/>
      <c r="I88" s="279"/>
      <c r="J88" s="280"/>
      <c r="K88" s="281"/>
      <c r="L88" s="282"/>
      <c r="M88" s="274"/>
      <c r="N88" s="283"/>
      <c r="O88" s="283"/>
      <c r="P88" s="267"/>
      <c r="Q88" s="284"/>
      <c r="R88" s="267"/>
      <c r="S88" s="285"/>
      <c r="T88" s="286"/>
      <c r="U88" s="267"/>
      <c r="V88" s="265"/>
      <c r="W88" s="266"/>
      <c r="X88" s="267"/>
      <c r="Y88" s="267"/>
      <c r="Z88" s="268"/>
      <c r="AA88" s="267"/>
      <c r="AB88" s="267"/>
      <c r="AC88" s="269"/>
    </row>
    <row r="89" ht="16.5" customHeight="1">
      <c r="A89" s="274"/>
      <c r="B89" s="275"/>
      <c r="C89" s="276"/>
      <c r="D89" s="276"/>
      <c r="E89" s="276"/>
      <c r="F89" s="277"/>
      <c r="G89" s="278"/>
      <c r="H89" s="277"/>
      <c r="I89" s="279"/>
      <c r="J89" s="280"/>
      <c r="K89" s="281"/>
      <c r="L89" s="282"/>
      <c r="M89" s="274"/>
      <c r="N89" s="283"/>
      <c r="O89" s="283"/>
      <c r="P89" s="267"/>
      <c r="Q89" s="284"/>
      <c r="R89" s="267"/>
      <c r="S89" s="285"/>
      <c r="T89" s="286"/>
      <c r="U89" s="267"/>
      <c r="V89" s="265"/>
      <c r="W89" s="266"/>
      <c r="X89" s="267"/>
      <c r="Y89" s="267"/>
      <c r="Z89" s="268"/>
      <c r="AA89" s="267"/>
      <c r="AB89" s="267"/>
      <c r="AC89" s="269"/>
    </row>
    <row r="90" ht="16.5" customHeight="1">
      <c r="A90" s="274"/>
      <c r="B90" s="275"/>
      <c r="C90" s="276"/>
      <c r="D90" s="276"/>
      <c r="E90" s="276"/>
      <c r="F90" s="277"/>
      <c r="G90" s="278"/>
      <c r="H90" s="277"/>
      <c r="I90" s="279"/>
      <c r="J90" s="280"/>
      <c r="K90" s="281"/>
      <c r="L90" s="282"/>
      <c r="M90" s="274"/>
      <c r="N90" s="283"/>
      <c r="O90" s="283"/>
      <c r="P90" s="267"/>
      <c r="Q90" s="284"/>
      <c r="R90" s="267"/>
      <c r="S90" s="285"/>
      <c r="T90" s="286"/>
      <c r="U90" s="267"/>
      <c r="V90" s="265"/>
      <c r="W90" s="266"/>
      <c r="X90" s="267"/>
      <c r="Y90" s="267"/>
      <c r="Z90" s="268"/>
      <c r="AA90" s="267"/>
      <c r="AB90" s="267"/>
      <c r="AC90" s="269"/>
    </row>
    <row r="91" ht="16.5" customHeight="1">
      <c r="A91" s="274"/>
      <c r="B91" s="275"/>
      <c r="C91" s="276"/>
      <c r="D91" s="276"/>
      <c r="E91" s="276"/>
      <c r="F91" s="277"/>
      <c r="G91" s="278"/>
      <c r="H91" s="277"/>
      <c r="I91" s="279"/>
      <c r="J91" s="280"/>
      <c r="K91" s="281"/>
      <c r="L91" s="282"/>
      <c r="M91" s="274"/>
      <c r="N91" s="283"/>
      <c r="O91" s="283"/>
      <c r="P91" s="267"/>
      <c r="Q91" s="284"/>
      <c r="R91" s="267"/>
      <c r="S91" s="285"/>
      <c r="T91" s="286"/>
      <c r="U91" s="267"/>
      <c r="V91" s="265"/>
      <c r="W91" s="266"/>
      <c r="X91" s="267"/>
      <c r="Y91" s="267"/>
      <c r="Z91" s="268"/>
      <c r="AA91" s="267"/>
      <c r="AB91" s="267"/>
      <c r="AC91" s="269"/>
    </row>
    <row r="92" ht="16.5" customHeight="1">
      <c r="A92" s="274"/>
      <c r="B92" s="275"/>
      <c r="C92" s="276"/>
      <c r="D92" s="276"/>
      <c r="E92" s="276"/>
      <c r="F92" s="277"/>
      <c r="G92" s="278"/>
      <c r="H92" s="277"/>
      <c r="I92" s="279"/>
      <c r="J92" s="280"/>
      <c r="K92" s="281"/>
      <c r="L92" s="282"/>
      <c r="M92" s="274"/>
      <c r="N92" s="283"/>
      <c r="O92" s="283"/>
      <c r="P92" s="267"/>
      <c r="Q92" s="284"/>
      <c r="R92" s="267"/>
      <c r="S92" s="285"/>
      <c r="T92" s="286"/>
      <c r="U92" s="267"/>
      <c r="V92" s="265"/>
      <c r="W92" s="266"/>
      <c r="X92" s="267"/>
      <c r="Y92" s="267"/>
      <c r="Z92" s="268"/>
      <c r="AA92" s="267"/>
      <c r="AB92" s="267"/>
      <c r="AC92" s="269"/>
    </row>
    <row r="93" ht="16.5" customHeight="1">
      <c r="A93" s="274"/>
      <c r="B93" s="275"/>
      <c r="C93" s="276"/>
      <c r="D93" s="276"/>
      <c r="E93" s="276"/>
      <c r="F93" s="277"/>
      <c r="G93" s="278"/>
      <c r="H93" s="277"/>
      <c r="I93" s="279"/>
      <c r="J93" s="280"/>
      <c r="K93" s="281"/>
      <c r="L93" s="282"/>
      <c r="M93" s="274"/>
      <c r="N93" s="283"/>
      <c r="O93" s="283"/>
      <c r="P93" s="267"/>
      <c r="Q93" s="284"/>
      <c r="R93" s="267"/>
      <c r="S93" s="285"/>
      <c r="T93" s="286"/>
      <c r="U93" s="267"/>
      <c r="V93" s="265"/>
      <c r="W93" s="266"/>
      <c r="X93" s="267"/>
      <c r="Y93" s="267"/>
      <c r="Z93" s="268"/>
      <c r="AA93" s="267"/>
      <c r="AB93" s="267"/>
      <c r="AC93" s="269"/>
    </row>
    <row r="94" ht="16.5" customHeight="1">
      <c r="A94" s="274"/>
      <c r="B94" s="275"/>
      <c r="C94" s="276"/>
      <c r="D94" s="276"/>
      <c r="E94" s="276"/>
      <c r="F94" s="277"/>
      <c r="G94" s="278"/>
      <c r="H94" s="277"/>
      <c r="I94" s="279"/>
      <c r="J94" s="280"/>
      <c r="K94" s="281"/>
      <c r="L94" s="282"/>
      <c r="M94" s="274"/>
      <c r="N94" s="283"/>
      <c r="O94" s="283"/>
      <c r="P94" s="267"/>
      <c r="Q94" s="284"/>
      <c r="R94" s="267"/>
      <c r="S94" s="285"/>
      <c r="T94" s="286"/>
      <c r="U94" s="267"/>
      <c r="V94" s="265"/>
      <c r="W94" s="266"/>
      <c r="X94" s="267"/>
      <c r="Y94" s="267"/>
      <c r="Z94" s="268"/>
      <c r="AA94" s="267"/>
      <c r="AB94" s="267"/>
      <c r="AC94" s="269"/>
    </row>
    <row r="95" ht="16.5" customHeight="1">
      <c r="A95" s="274"/>
      <c r="B95" s="275"/>
      <c r="C95" s="276"/>
      <c r="D95" s="276"/>
      <c r="E95" s="276"/>
      <c r="F95" s="277"/>
      <c r="G95" s="278"/>
      <c r="H95" s="277"/>
      <c r="I95" s="279"/>
      <c r="J95" s="280"/>
      <c r="K95" s="281"/>
      <c r="L95" s="282"/>
      <c r="M95" s="274"/>
      <c r="N95" s="283"/>
      <c r="O95" s="283"/>
      <c r="P95" s="267"/>
      <c r="Q95" s="284"/>
      <c r="R95" s="267"/>
      <c r="S95" s="285"/>
      <c r="T95" s="286"/>
      <c r="U95" s="267"/>
      <c r="V95" s="265"/>
      <c r="W95" s="266"/>
      <c r="X95" s="267"/>
      <c r="Y95" s="267"/>
      <c r="Z95" s="268"/>
      <c r="AA95" s="267"/>
      <c r="AB95" s="267"/>
      <c r="AC95" s="269"/>
    </row>
    <row r="96" ht="16.5" customHeight="1">
      <c r="A96" s="274"/>
      <c r="B96" s="275"/>
      <c r="C96" s="276"/>
      <c r="D96" s="276"/>
      <c r="E96" s="276"/>
      <c r="F96" s="277"/>
      <c r="G96" s="278"/>
      <c r="H96" s="277"/>
      <c r="I96" s="279"/>
      <c r="J96" s="280"/>
      <c r="K96" s="281"/>
      <c r="L96" s="282"/>
      <c r="M96" s="274"/>
      <c r="N96" s="283"/>
      <c r="O96" s="283"/>
      <c r="P96" s="267"/>
      <c r="Q96" s="284"/>
      <c r="R96" s="267"/>
      <c r="S96" s="285"/>
      <c r="T96" s="286"/>
      <c r="U96" s="267"/>
      <c r="V96" s="265"/>
      <c r="W96" s="266"/>
      <c r="X96" s="267"/>
      <c r="Y96" s="267"/>
      <c r="Z96" s="268"/>
      <c r="AA96" s="267"/>
      <c r="AB96" s="267"/>
      <c r="AC96" s="269"/>
    </row>
    <row r="97" ht="16.5" customHeight="1">
      <c r="A97" s="274"/>
      <c r="B97" s="275"/>
      <c r="C97" s="276"/>
      <c r="D97" s="276"/>
      <c r="E97" s="276"/>
      <c r="F97" s="277"/>
      <c r="G97" s="278"/>
      <c r="H97" s="277"/>
      <c r="I97" s="279"/>
      <c r="J97" s="280"/>
      <c r="K97" s="281"/>
      <c r="L97" s="282"/>
      <c r="M97" s="274"/>
      <c r="N97" s="283"/>
      <c r="O97" s="283"/>
      <c r="P97" s="267"/>
      <c r="Q97" s="284"/>
      <c r="R97" s="267"/>
      <c r="S97" s="285"/>
      <c r="T97" s="286"/>
      <c r="U97" s="267"/>
      <c r="V97" s="265"/>
      <c r="W97" s="266"/>
      <c r="X97" s="267"/>
      <c r="Y97" s="267"/>
      <c r="Z97" s="268"/>
      <c r="AA97" s="267"/>
      <c r="AB97" s="267"/>
      <c r="AC97" s="269"/>
    </row>
    <row r="98" ht="16.5" customHeight="1">
      <c r="A98" s="274"/>
      <c r="B98" s="275"/>
      <c r="C98" s="276"/>
      <c r="D98" s="276"/>
      <c r="E98" s="276"/>
      <c r="F98" s="277"/>
      <c r="G98" s="278"/>
      <c r="H98" s="277"/>
      <c r="I98" s="279"/>
      <c r="J98" s="280"/>
      <c r="K98" s="281"/>
      <c r="L98" s="282"/>
      <c r="M98" s="274"/>
      <c r="N98" s="283"/>
      <c r="O98" s="283"/>
      <c r="P98" s="267"/>
      <c r="Q98" s="284"/>
      <c r="R98" s="267"/>
      <c r="S98" s="285"/>
      <c r="T98" s="286"/>
      <c r="U98" s="267"/>
      <c r="V98" s="265"/>
      <c r="W98" s="266"/>
      <c r="X98" s="267"/>
      <c r="Y98" s="267"/>
      <c r="Z98" s="268"/>
      <c r="AA98" s="267"/>
      <c r="AB98" s="267"/>
      <c r="AC98" s="269"/>
    </row>
    <row r="99" ht="16.5" customHeight="1">
      <c r="A99" s="274"/>
      <c r="B99" s="275"/>
      <c r="C99" s="276"/>
      <c r="D99" s="276"/>
      <c r="E99" s="276"/>
      <c r="F99" s="277"/>
      <c r="G99" s="278"/>
      <c r="H99" s="277"/>
      <c r="I99" s="279"/>
      <c r="J99" s="280"/>
      <c r="K99" s="281"/>
      <c r="L99" s="282"/>
      <c r="M99" s="274"/>
      <c r="N99" s="283"/>
      <c r="O99" s="283"/>
      <c r="P99" s="267"/>
      <c r="Q99" s="284"/>
      <c r="R99" s="267"/>
      <c r="S99" s="285"/>
      <c r="T99" s="286"/>
      <c r="U99" s="267"/>
      <c r="V99" s="265"/>
      <c r="W99" s="266"/>
      <c r="X99" s="267"/>
      <c r="Y99" s="267"/>
      <c r="Z99" s="268"/>
      <c r="AA99" s="267"/>
      <c r="AB99" s="267"/>
      <c r="AC99" s="269"/>
    </row>
    <row r="100" ht="16.5" customHeight="1">
      <c r="A100" s="274"/>
      <c r="B100" s="275"/>
      <c r="C100" s="276"/>
      <c r="D100" s="276"/>
      <c r="E100" s="276"/>
      <c r="F100" s="277"/>
      <c r="G100" s="278"/>
      <c r="H100" s="277"/>
      <c r="I100" s="279"/>
      <c r="J100" s="280"/>
      <c r="K100" s="281"/>
      <c r="L100" s="282"/>
      <c r="M100" s="274"/>
      <c r="N100" s="283"/>
      <c r="O100" s="283"/>
      <c r="P100" s="267"/>
      <c r="Q100" s="284"/>
      <c r="R100" s="267"/>
      <c r="S100" s="285"/>
      <c r="T100" s="286"/>
      <c r="U100" s="267"/>
      <c r="V100" s="265"/>
      <c r="W100" s="266"/>
      <c r="X100" s="267"/>
      <c r="Y100" s="267"/>
      <c r="Z100" s="268"/>
      <c r="AA100" s="267"/>
      <c r="AB100" s="267"/>
      <c r="AC100" s="269"/>
    </row>
    <row r="101" ht="16.5" customHeight="1">
      <c r="A101" s="274"/>
      <c r="B101" s="275"/>
      <c r="C101" s="276"/>
      <c r="D101" s="276"/>
      <c r="E101" s="276"/>
      <c r="F101" s="277"/>
      <c r="G101" s="278"/>
      <c r="H101" s="277"/>
      <c r="I101" s="279"/>
      <c r="J101" s="280"/>
      <c r="K101" s="281"/>
      <c r="L101" s="282"/>
      <c r="M101" s="274"/>
      <c r="N101" s="283"/>
      <c r="O101" s="283"/>
      <c r="P101" s="267"/>
      <c r="Q101" s="284"/>
      <c r="R101" s="267"/>
      <c r="S101" s="285"/>
      <c r="T101" s="286"/>
      <c r="U101" s="267"/>
      <c r="V101" s="265"/>
      <c r="W101" s="266"/>
      <c r="X101" s="267"/>
      <c r="Y101" s="267"/>
      <c r="Z101" s="268"/>
      <c r="AA101" s="267"/>
      <c r="AB101" s="267"/>
      <c r="AC101" s="269"/>
    </row>
    <row r="102" ht="16.5" customHeight="1">
      <c r="A102" s="274"/>
      <c r="B102" s="275"/>
      <c r="C102" s="276"/>
      <c r="D102" s="276"/>
      <c r="E102" s="276"/>
      <c r="F102" s="277"/>
      <c r="G102" s="278"/>
      <c r="H102" s="277"/>
      <c r="I102" s="279"/>
      <c r="J102" s="280"/>
      <c r="K102" s="281"/>
      <c r="L102" s="282"/>
      <c r="M102" s="274"/>
      <c r="N102" s="283"/>
      <c r="O102" s="283"/>
      <c r="P102" s="267"/>
      <c r="Q102" s="284"/>
      <c r="R102" s="267"/>
      <c r="S102" s="285"/>
      <c r="T102" s="286"/>
      <c r="U102" s="267"/>
      <c r="V102" s="265"/>
      <c r="W102" s="266"/>
      <c r="X102" s="267"/>
      <c r="Y102" s="267"/>
      <c r="Z102" s="268"/>
      <c r="AA102" s="267"/>
      <c r="AB102" s="267"/>
      <c r="AC102" s="269"/>
    </row>
    <row r="103" ht="16.5" customHeight="1">
      <c r="A103" s="274"/>
      <c r="B103" s="275"/>
      <c r="C103" s="276"/>
      <c r="D103" s="276"/>
      <c r="E103" s="276"/>
      <c r="F103" s="277"/>
      <c r="G103" s="278"/>
      <c r="H103" s="277"/>
      <c r="I103" s="279"/>
      <c r="J103" s="280"/>
      <c r="K103" s="281"/>
      <c r="L103" s="282"/>
      <c r="M103" s="274"/>
      <c r="N103" s="283"/>
      <c r="O103" s="283"/>
      <c r="P103" s="267"/>
      <c r="Q103" s="284"/>
      <c r="R103" s="267"/>
      <c r="S103" s="285"/>
      <c r="T103" s="286"/>
      <c r="U103" s="267"/>
      <c r="V103" s="265"/>
      <c r="W103" s="266"/>
      <c r="X103" s="267"/>
      <c r="Y103" s="267"/>
      <c r="Z103" s="268"/>
      <c r="AA103" s="267"/>
      <c r="AB103" s="267"/>
      <c r="AC103" s="269"/>
    </row>
    <row r="104" ht="16.5" customHeight="1">
      <c r="A104" s="274"/>
      <c r="B104" s="275"/>
      <c r="C104" s="276"/>
      <c r="D104" s="276"/>
      <c r="E104" s="276"/>
      <c r="F104" s="277"/>
      <c r="G104" s="278"/>
      <c r="H104" s="277"/>
      <c r="I104" s="279"/>
      <c r="J104" s="280"/>
      <c r="K104" s="281"/>
      <c r="L104" s="282"/>
      <c r="M104" s="274"/>
      <c r="N104" s="283"/>
      <c r="O104" s="283"/>
      <c r="P104" s="267"/>
      <c r="Q104" s="284"/>
      <c r="R104" s="267"/>
      <c r="S104" s="285"/>
      <c r="T104" s="286"/>
      <c r="U104" s="267"/>
      <c r="V104" s="265"/>
      <c r="W104" s="266"/>
      <c r="X104" s="267"/>
      <c r="Y104" s="267"/>
      <c r="Z104" s="268"/>
      <c r="AA104" s="267"/>
      <c r="AB104" s="267"/>
      <c r="AC104" s="269"/>
    </row>
    <row r="105" ht="16.5" customHeight="1">
      <c r="A105" s="274"/>
      <c r="B105" s="275"/>
      <c r="C105" s="276"/>
      <c r="D105" s="276"/>
      <c r="E105" s="276"/>
      <c r="F105" s="277"/>
      <c r="G105" s="278"/>
      <c r="H105" s="277"/>
      <c r="I105" s="279"/>
      <c r="J105" s="280"/>
      <c r="K105" s="281"/>
      <c r="L105" s="282"/>
      <c r="M105" s="274"/>
      <c r="N105" s="283"/>
      <c r="O105" s="283"/>
      <c r="P105" s="267"/>
      <c r="Q105" s="284"/>
      <c r="R105" s="267"/>
      <c r="S105" s="285"/>
      <c r="T105" s="286"/>
      <c r="U105" s="267"/>
      <c r="V105" s="265"/>
      <c r="W105" s="266"/>
      <c r="X105" s="267"/>
      <c r="Y105" s="267"/>
      <c r="Z105" s="268"/>
      <c r="AA105" s="267"/>
      <c r="AB105" s="267"/>
      <c r="AC105" s="269"/>
    </row>
    <row r="106" ht="16.5" customHeight="1">
      <c r="A106" s="274"/>
      <c r="B106" s="275"/>
      <c r="C106" s="276"/>
      <c r="D106" s="276"/>
      <c r="E106" s="276"/>
      <c r="F106" s="277"/>
      <c r="G106" s="278"/>
      <c r="H106" s="277"/>
      <c r="I106" s="279"/>
      <c r="J106" s="280"/>
      <c r="K106" s="281"/>
      <c r="L106" s="282"/>
      <c r="M106" s="274"/>
      <c r="N106" s="283"/>
      <c r="O106" s="283"/>
      <c r="P106" s="267"/>
      <c r="Q106" s="284"/>
      <c r="R106" s="267"/>
      <c r="S106" s="285"/>
      <c r="T106" s="286"/>
      <c r="U106" s="267"/>
      <c r="V106" s="265"/>
      <c r="W106" s="266"/>
      <c r="X106" s="267"/>
      <c r="Y106" s="267"/>
      <c r="Z106" s="268"/>
      <c r="AA106" s="267"/>
      <c r="AB106" s="267"/>
      <c r="AC106" s="269"/>
    </row>
    <row r="107" ht="16.5" customHeight="1">
      <c r="A107" s="274"/>
      <c r="B107" s="275"/>
      <c r="C107" s="276"/>
      <c r="D107" s="276"/>
      <c r="E107" s="276"/>
      <c r="F107" s="277"/>
      <c r="G107" s="278"/>
      <c r="H107" s="277"/>
      <c r="I107" s="279"/>
      <c r="J107" s="280"/>
      <c r="K107" s="281"/>
      <c r="L107" s="282"/>
      <c r="M107" s="274"/>
      <c r="N107" s="283"/>
      <c r="O107" s="283"/>
      <c r="P107" s="267"/>
      <c r="Q107" s="284"/>
      <c r="R107" s="267"/>
      <c r="S107" s="285"/>
      <c r="T107" s="286"/>
      <c r="U107" s="267"/>
      <c r="V107" s="265"/>
      <c r="W107" s="266"/>
      <c r="X107" s="267"/>
      <c r="Y107" s="267"/>
      <c r="Z107" s="268"/>
      <c r="AA107" s="267"/>
      <c r="AB107" s="267"/>
      <c r="AC107" s="269"/>
    </row>
    <row r="108" ht="16.5" customHeight="1">
      <c r="A108" s="274"/>
      <c r="B108" s="275"/>
      <c r="C108" s="276"/>
      <c r="D108" s="276"/>
      <c r="E108" s="276"/>
      <c r="F108" s="277"/>
      <c r="G108" s="278"/>
      <c r="H108" s="277"/>
      <c r="I108" s="279"/>
      <c r="J108" s="280"/>
      <c r="K108" s="281"/>
      <c r="L108" s="282"/>
      <c r="M108" s="274"/>
      <c r="N108" s="283"/>
      <c r="O108" s="283"/>
      <c r="P108" s="267"/>
      <c r="Q108" s="284"/>
      <c r="R108" s="267"/>
      <c r="S108" s="285"/>
      <c r="T108" s="286"/>
      <c r="U108" s="267"/>
      <c r="V108" s="265"/>
      <c r="W108" s="266"/>
      <c r="X108" s="267"/>
      <c r="Y108" s="267"/>
      <c r="Z108" s="268"/>
      <c r="AA108" s="267"/>
      <c r="AB108" s="267"/>
      <c r="AC108" s="269"/>
    </row>
    <row r="109" ht="16.5" customHeight="1">
      <c r="A109" s="274"/>
      <c r="B109" s="275"/>
      <c r="C109" s="276"/>
      <c r="D109" s="276"/>
      <c r="E109" s="276"/>
      <c r="F109" s="277"/>
      <c r="G109" s="278"/>
      <c r="H109" s="277"/>
      <c r="I109" s="279"/>
      <c r="J109" s="280"/>
      <c r="K109" s="281"/>
      <c r="L109" s="282"/>
      <c r="M109" s="274"/>
      <c r="N109" s="283"/>
      <c r="O109" s="283"/>
      <c r="P109" s="267"/>
      <c r="Q109" s="284"/>
      <c r="R109" s="267"/>
      <c r="S109" s="285"/>
      <c r="T109" s="286"/>
      <c r="U109" s="267"/>
      <c r="V109" s="265"/>
      <c r="W109" s="266"/>
      <c r="X109" s="267"/>
      <c r="Y109" s="267"/>
      <c r="Z109" s="268"/>
      <c r="AA109" s="267"/>
      <c r="AB109" s="267"/>
      <c r="AC109" s="269"/>
    </row>
    <row r="110" ht="16.5" customHeight="1">
      <c r="A110" s="274"/>
      <c r="B110" s="275"/>
      <c r="C110" s="276"/>
      <c r="D110" s="276"/>
      <c r="E110" s="276"/>
      <c r="F110" s="277"/>
      <c r="G110" s="278"/>
      <c r="H110" s="277"/>
      <c r="I110" s="279"/>
      <c r="J110" s="280"/>
      <c r="K110" s="281"/>
      <c r="L110" s="282"/>
      <c r="M110" s="274"/>
      <c r="N110" s="283"/>
      <c r="O110" s="283"/>
      <c r="P110" s="267"/>
      <c r="Q110" s="284"/>
      <c r="R110" s="267"/>
      <c r="S110" s="285"/>
      <c r="T110" s="286"/>
      <c r="U110" s="267"/>
      <c r="V110" s="265"/>
      <c r="W110" s="266"/>
      <c r="X110" s="267"/>
      <c r="Y110" s="267"/>
      <c r="Z110" s="268"/>
      <c r="AA110" s="267"/>
      <c r="AB110" s="267"/>
      <c r="AC110" s="269"/>
    </row>
    <row r="111" ht="16.5" customHeight="1">
      <c r="A111" s="274"/>
      <c r="B111" s="275"/>
      <c r="C111" s="276"/>
      <c r="D111" s="276"/>
      <c r="E111" s="276"/>
      <c r="F111" s="277"/>
      <c r="G111" s="278"/>
      <c r="H111" s="277"/>
      <c r="I111" s="279"/>
      <c r="J111" s="280"/>
      <c r="K111" s="281"/>
      <c r="L111" s="282"/>
      <c r="M111" s="274"/>
      <c r="N111" s="283"/>
      <c r="O111" s="283"/>
      <c r="P111" s="267"/>
      <c r="Q111" s="284"/>
      <c r="R111" s="267"/>
      <c r="S111" s="285"/>
      <c r="T111" s="286"/>
      <c r="U111" s="267"/>
      <c r="V111" s="265"/>
      <c r="W111" s="266"/>
      <c r="X111" s="267"/>
      <c r="Y111" s="267"/>
      <c r="Z111" s="268"/>
      <c r="AA111" s="267"/>
      <c r="AB111" s="267"/>
      <c r="AC111" s="269"/>
    </row>
    <row r="112" ht="16.5" customHeight="1">
      <c r="A112" s="274"/>
      <c r="B112" s="275"/>
      <c r="C112" s="276"/>
      <c r="D112" s="276"/>
      <c r="E112" s="276"/>
      <c r="F112" s="277"/>
      <c r="G112" s="278"/>
      <c r="H112" s="277"/>
      <c r="I112" s="279"/>
      <c r="J112" s="280"/>
      <c r="K112" s="281"/>
      <c r="L112" s="282"/>
      <c r="M112" s="274"/>
      <c r="N112" s="283"/>
      <c r="O112" s="283"/>
      <c r="P112" s="267"/>
      <c r="Q112" s="284"/>
      <c r="R112" s="267"/>
      <c r="S112" s="285"/>
      <c r="T112" s="286"/>
      <c r="U112" s="267"/>
      <c r="V112" s="265"/>
      <c r="W112" s="266"/>
      <c r="X112" s="267"/>
      <c r="Y112" s="267"/>
      <c r="Z112" s="268"/>
      <c r="AA112" s="267"/>
      <c r="AB112" s="267"/>
      <c r="AC112" s="269"/>
    </row>
    <row r="113" ht="16.5" customHeight="1">
      <c r="A113" s="274"/>
      <c r="B113" s="275"/>
      <c r="C113" s="276"/>
      <c r="D113" s="276"/>
      <c r="E113" s="276"/>
      <c r="F113" s="277"/>
      <c r="G113" s="278"/>
      <c r="H113" s="277"/>
      <c r="I113" s="279"/>
      <c r="J113" s="280"/>
      <c r="K113" s="281"/>
      <c r="L113" s="282"/>
      <c r="M113" s="274"/>
      <c r="N113" s="283"/>
      <c r="O113" s="283"/>
      <c r="P113" s="267"/>
      <c r="Q113" s="284"/>
      <c r="R113" s="267"/>
      <c r="S113" s="285"/>
      <c r="T113" s="286"/>
      <c r="U113" s="267"/>
      <c r="V113" s="265"/>
      <c r="W113" s="266"/>
      <c r="X113" s="267"/>
      <c r="Y113" s="267"/>
      <c r="Z113" s="268"/>
      <c r="AA113" s="267"/>
      <c r="AB113" s="267"/>
      <c r="AC113" s="269"/>
    </row>
    <row r="114" ht="16.5" customHeight="1">
      <c r="A114" s="274"/>
      <c r="B114" s="275"/>
      <c r="C114" s="276"/>
      <c r="D114" s="276"/>
      <c r="E114" s="276"/>
      <c r="F114" s="277"/>
      <c r="G114" s="278"/>
      <c r="H114" s="277"/>
      <c r="I114" s="279"/>
      <c r="J114" s="280"/>
      <c r="K114" s="281"/>
      <c r="L114" s="282"/>
      <c r="M114" s="274"/>
      <c r="N114" s="283"/>
      <c r="O114" s="283"/>
      <c r="P114" s="267"/>
      <c r="Q114" s="284"/>
      <c r="R114" s="267"/>
      <c r="S114" s="285"/>
      <c r="T114" s="286"/>
      <c r="U114" s="267"/>
      <c r="V114" s="265"/>
      <c r="W114" s="266"/>
      <c r="X114" s="267"/>
      <c r="Y114" s="267"/>
      <c r="Z114" s="268"/>
      <c r="AA114" s="267"/>
      <c r="AB114" s="267"/>
      <c r="AC114" s="269"/>
    </row>
    <row r="115" ht="16.5" customHeight="1">
      <c r="A115" s="274"/>
      <c r="B115" s="275"/>
      <c r="C115" s="276"/>
      <c r="D115" s="276"/>
      <c r="E115" s="276"/>
      <c r="F115" s="277"/>
      <c r="G115" s="278"/>
      <c r="H115" s="277"/>
      <c r="I115" s="279"/>
      <c r="J115" s="280"/>
      <c r="K115" s="281"/>
      <c r="L115" s="282"/>
      <c r="M115" s="274"/>
      <c r="N115" s="283"/>
      <c r="O115" s="283"/>
      <c r="P115" s="267"/>
      <c r="Q115" s="284"/>
      <c r="R115" s="267"/>
      <c r="S115" s="285"/>
      <c r="T115" s="286"/>
      <c r="U115" s="267"/>
      <c r="V115" s="265"/>
      <c r="W115" s="266"/>
      <c r="X115" s="267"/>
      <c r="Y115" s="267"/>
      <c r="Z115" s="268"/>
      <c r="AA115" s="267"/>
      <c r="AB115" s="267"/>
      <c r="AC115" s="269"/>
    </row>
    <row r="116" ht="16.5" customHeight="1">
      <c r="A116" s="274"/>
      <c r="B116" s="275"/>
      <c r="C116" s="276"/>
      <c r="D116" s="276"/>
      <c r="E116" s="276"/>
      <c r="F116" s="277"/>
      <c r="G116" s="278"/>
      <c r="H116" s="277"/>
      <c r="I116" s="279"/>
      <c r="J116" s="280"/>
      <c r="K116" s="281"/>
      <c r="L116" s="282"/>
      <c r="M116" s="274"/>
      <c r="N116" s="283"/>
      <c r="O116" s="283"/>
      <c r="P116" s="267"/>
      <c r="Q116" s="284"/>
      <c r="R116" s="267"/>
      <c r="S116" s="285"/>
      <c r="T116" s="286"/>
      <c r="U116" s="267"/>
      <c r="V116" s="265"/>
      <c r="W116" s="266"/>
      <c r="X116" s="267"/>
      <c r="Y116" s="267"/>
      <c r="Z116" s="268"/>
      <c r="AA116" s="267"/>
      <c r="AB116" s="267"/>
      <c r="AC116" s="269"/>
    </row>
    <row r="117" ht="16.5" customHeight="1">
      <c r="A117" s="274"/>
      <c r="B117" s="275"/>
      <c r="C117" s="276"/>
      <c r="D117" s="276"/>
      <c r="E117" s="276"/>
      <c r="F117" s="277"/>
      <c r="G117" s="278"/>
      <c r="H117" s="277"/>
      <c r="I117" s="279"/>
      <c r="J117" s="280"/>
      <c r="K117" s="281"/>
      <c r="L117" s="282"/>
      <c r="M117" s="274"/>
      <c r="N117" s="283"/>
      <c r="O117" s="283"/>
      <c r="P117" s="267"/>
      <c r="Q117" s="284"/>
      <c r="R117" s="267"/>
      <c r="S117" s="285"/>
      <c r="T117" s="286"/>
      <c r="U117" s="267"/>
      <c r="V117" s="265"/>
      <c r="W117" s="266"/>
      <c r="X117" s="267"/>
      <c r="Y117" s="267"/>
      <c r="Z117" s="268"/>
      <c r="AA117" s="267"/>
      <c r="AB117" s="267"/>
      <c r="AC117" s="269"/>
    </row>
    <row r="118" ht="16.5" customHeight="1">
      <c r="A118" s="274"/>
      <c r="B118" s="275"/>
      <c r="C118" s="276"/>
      <c r="D118" s="276"/>
      <c r="E118" s="276"/>
      <c r="F118" s="277"/>
      <c r="G118" s="278"/>
      <c r="H118" s="277"/>
      <c r="I118" s="279"/>
      <c r="J118" s="280"/>
      <c r="K118" s="281"/>
      <c r="L118" s="282"/>
      <c r="M118" s="274"/>
      <c r="N118" s="283"/>
      <c r="O118" s="283"/>
      <c r="P118" s="267"/>
      <c r="Q118" s="284"/>
      <c r="R118" s="267"/>
      <c r="S118" s="285"/>
      <c r="T118" s="286"/>
      <c r="U118" s="267"/>
      <c r="V118" s="265"/>
      <c r="W118" s="266"/>
      <c r="X118" s="267"/>
      <c r="Y118" s="267"/>
      <c r="Z118" s="268"/>
      <c r="AA118" s="267"/>
      <c r="AB118" s="267"/>
      <c r="AC118" s="269"/>
    </row>
    <row r="119" ht="16.5" customHeight="1">
      <c r="A119" s="274"/>
      <c r="B119" s="275"/>
      <c r="C119" s="276"/>
      <c r="D119" s="276"/>
      <c r="E119" s="276"/>
      <c r="F119" s="277"/>
      <c r="G119" s="278"/>
      <c r="H119" s="277"/>
      <c r="I119" s="279"/>
      <c r="J119" s="280"/>
      <c r="K119" s="281"/>
      <c r="L119" s="282"/>
      <c r="M119" s="274"/>
      <c r="N119" s="283"/>
      <c r="O119" s="283"/>
      <c r="P119" s="267"/>
      <c r="Q119" s="284"/>
      <c r="R119" s="267"/>
      <c r="S119" s="285"/>
      <c r="T119" s="286"/>
      <c r="U119" s="267"/>
      <c r="V119" s="265"/>
      <c r="W119" s="266"/>
      <c r="X119" s="267"/>
      <c r="Y119" s="267"/>
      <c r="Z119" s="268"/>
      <c r="AA119" s="267"/>
      <c r="AB119" s="267"/>
      <c r="AC119" s="269"/>
    </row>
    <row r="120" ht="16.5" customHeight="1">
      <c r="A120" s="274"/>
      <c r="B120" s="275"/>
      <c r="C120" s="276"/>
      <c r="D120" s="276"/>
      <c r="E120" s="276"/>
      <c r="F120" s="277"/>
      <c r="G120" s="278"/>
      <c r="H120" s="277"/>
      <c r="I120" s="279"/>
      <c r="J120" s="280"/>
      <c r="K120" s="281"/>
      <c r="L120" s="282"/>
      <c r="M120" s="274"/>
      <c r="N120" s="283"/>
      <c r="O120" s="283"/>
      <c r="P120" s="267"/>
      <c r="Q120" s="284"/>
      <c r="R120" s="267"/>
      <c r="S120" s="285"/>
      <c r="T120" s="286"/>
      <c r="U120" s="267"/>
      <c r="V120" s="265"/>
      <c r="W120" s="266"/>
      <c r="X120" s="267"/>
      <c r="Y120" s="267"/>
      <c r="Z120" s="268"/>
      <c r="AA120" s="267"/>
      <c r="AB120" s="267"/>
      <c r="AC120" s="269"/>
    </row>
    <row r="121" ht="16.5" customHeight="1">
      <c r="A121" s="274"/>
      <c r="B121" s="275"/>
      <c r="C121" s="276"/>
      <c r="D121" s="276"/>
      <c r="E121" s="276"/>
      <c r="F121" s="277"/>
      <c r="G121" s="278"/>
      <c r="H121" s="277"/>
      <c r="I121" s="279"/>
      <c r="J121" s="280"/>
      <c r="K121" s="281"/>
      <c r="L121" s="282"/>
      <c r="M121" s="274"/>
      <c r="N121" s="283"/>
      <c r="O121" s="283"/>
      <c r="P121" s="267"/>
      <c r="Q121" s="284"/>
      <c r="R121" s="267"/>
      <c r="S121" s="285"/>
      <c r="T121" s="286"/>
      <c r="U121" s="267"/>
      <c r="V121" s="265"/>
      <c r="W121" s="266"/>
      <c r="X121" s="267"/>
      <c r="Y121" s="267"/>
      <c r="Z121" s="268"/>
      <c r="AA121" s="267"/>
      <c r="AB121" s="267"/>
      <c r="AC121" s="269"/>
    </row>
    <row r="122" ht="16.5" customHeight="1">
      <c r="A122" s="274"/>
      <c r="B122" s="275"/>
      <c r="C122" s="276"/>
      <c r="D122" s="276"/>
      <c r="E122" s="276"/>
      <c r="F122" s="277"/>
      <c r="G122" s="278"/>
      <c r="H122" s="277"/>
      <c r="I122" s="279"/>
      <c r="J122" s="280"/>
      <c r="K122" s="281"/>
      <c r="L122" s="282"/>
      <c r="M122" s="274"/>
      <c r="N122" s="283"/>
      <c r="O122" s="283"/>
      <c r="P122" s="267"/>
      <c r="Q122" s="284"/>
      <c r="R122" s="267"/>
      <c r="S122" s="285"/>
      <c r="T122" s="286"/>
      <c r="U122" s="267"/>
      <c r="V122" s="265"/>
      <c r="W122" s="266"/>
      <c r="X122" s="267"/>
      <c r="Y122" s="267"/>
      <c r="Z122" s="268"/>
      <c r="AA122" s="267"/>
      <c r="AB122" s="267"/>
      <c r="AC122" s="269"/>
    </row>
    <row r="123" ht="16.5" customHeight="1">
      <c r="A123" s="274"/>
      <c r="B123" s="275"/>
      <c r="C123" s="276"/>
      <c r="D123" s="276"/>
      <c r="E123" s="276"/>
      <c r="F123" s="277"/>
      <c r="G123" s="278"/>
      <c r="H123" s="277"/>
      <c r="I123" s="279"/>
      <c r="J123" s="280"/>
      <c r="K123" s="281"/>
      <c r="L123" s="282"/>
      <c r="M123" s="274"/>
      <c r="N123" s="283"/>
      <c r="O123" s="283"/>
      <c r="P123" s="267"/>
      <c r="Q123" s="284"/>
      <c r="R123" s="267"/>
      <c r="S123" s="285"/>
      <c r="T123" s="286"/>
      <c r="U123" s="267"/>
      <c r="V123" s="265"/>
      <c r="W123" s="266"/>
      <c r="X123" s="267"/>
      <c r="Y123" s="267"/>
      <c r="Z123" s="268"/>
      <c r="AA123" s="267"/>
      <c r="AB123" s="267"/>
      <c r="AC123" s="269"/>
    </row>
    <row r="124" ht="16.5" customHeight="1">
      <c r="A124" s="274"/>
      <c r="B124" s="275"/>
      <c r="C124" s="276"/>
      <c r="D124" s="276"/>
      <c r="E124" s="276"/>
      <c r="F124" s="277"/>
      <c r="G124" s="278"/>
      <c r="H124" s="277"/>
      <c r="I124" s="279"/>
      <c r="J124" s="280"/>
      <c r="K124" s="281"/>
      <c r="L124" s="282"/>
      <c r="M124" s="274"/>
      <c r="N124" s="283"/>
      <c r="O124" s="283"/>
      <c r="P124" s="267"/>
      <c r="Q124" s="284"/>
      <c r="R124" s="267"/>
      <c r="S124" s="285"/>
      <c r="T124" s="286"/>
      <c r="U124" s="267"/>
      <c r="V124" s="265"/>
      <c r="W124" s="266"/>
      <c r="X124" s="267"/>
      <c r="Y124" s="267"/>
      <c r="Z124" s="268"/>
      <c r="AA124" s="267"/>
      <c r="AB124" s="267"/>
      <c r="AC124" s="269"/>
    </row>
    <row r="125" ht="16.5" customHeight="1">
      <c r="A125" s="274"/>
      <c r="B125" s="275"/>
      <c r="C125" s="276"/>
      <c r="D125" s="276"/>
      <c r="E125" s="276"/>
      <c r="F125" s="277"/>
      <c r="G125" s="278"/>
      <c r="H125" s="277"/>
      <c r="I125" s="279"/>
      <c r="J125" s="280"/>
      <c r="K125" s="281"/>
      <c r="L125" s="282"/>
      <c r="M125" s="274"/>
      <c r="N125" s="283"/>
      <c r="O125" s="283"/>
      <c r="P125" s="267"/>
      <c r="Q125" s="284"/>
      <c r="R125" s="267"/>
      <c r="S125" s="285"/>
      <c r="T125" s="286"/>
      <c r="U125" s="267"/>
      <c r="V125" s="265"/>
      <c r="W125" s="266"/>
      <c r="X125" s="267"/>
      <c r="Y125" s="267"/>
      <c r="Z125" s="268"/>
      <c r="AA125" s="267"/>
      <c r="AB125" s="267"/>
      <c r="AC125" s="269"/>
    </row>
    <row r="126" ht="16.5" customHeight="1">
      <c r="A126" s="274"/>
      <c r="B126" s="275"/>
      <c r="C126" s="276"/>
      <c r="D126" s="276"/>
      <c r="E126" s="276"/>
      <c r="F126" s="277"/>
      <c r="G126" s="278"/>
      <c r="H126" s="277"/>
      <c r="I126" s="279"/>
      <c r="J126" s="280"/>
      <c r="K126" s="281"/>
      <c r="L126" s="282"/>
      <c r="M126" s="274"/>
      <c r="N126" s="283"/>
      <c r="O126" s="283"/>
      <c r="P126" s="267"/>
      <c r="Q126" s="284"/>
      <c r="R126" s="267"/>
      <c r="S126" s="285"/>
      <c r="T126" s="286"/>
      <c r="U126" s="267"/>
      <c r="V126" s="265"/>
      <c r="W126" s="266"/>
      <c r="X126" s="267"/>
      <c r="Y126" s="267"/>
      <c r="Z126" s="268"/>
      <c r="AA126" s="267"/>
      <c r="AB126" s="267"/>
      <c r="AC126" s="269"/>
    </row>
    <row r="127" ht="16.5" customHeight="1">
      <c r="A127" s="274"/>
      <c r="B127" s="275"/>
      <c r="C127" s="276"/>
      <c r="D127" s="276"/>
      <c r="E127" s="276"/>
      <c r="F127" s="277"/>
      <c r="G127" s="278"/>
      <c r="H127" s="277"/>
      <c r="I127" s="279"/>
      <c r="J127" s="280"/>
      <c r="K127" s="281"/>
      <c r="L127" s="282"/>
      <c r="M127" s="274"/>
      <c r="N127" s="283"/>
      <c r="O127" s="283"/>
      <c r="P127" s="267"/>
      <c r="Q127" s="284"/>
      <c r="R127" s="267"/>
      <c r="S127" s="285"/>
      <c r="T127" s="286"/>
      <c r="U127" s="267"/>
      <c r="V127" s="265"/>
      <c r="W127" s="266"/>
      <c r="X127" s="267"/>
      <c r="Y127" s="267"/>
      <c r="Z127" s="268"/>
      <c r="AA127" s="267"/>
      <c r="AB127" s="267"/>
      <c r="AC127" s="269"/>
    </row>
    <row r="128" ht="16.5" customHeight="1">
      <c r="A128" s="274"/>
      <c r="B128" s="275"/>
      <c r="C128" s="276"/>
      <c r="D128" s="276"/>
      <c r="E128" s="276"/>
      <c r="F128" s="277"/>
      <c r="G128" s="278"/>
      <c r="H128" s="277"/>
      <c r="I128" s="279"/>
      <c r="J128" s="280"/>
      <c r="K128" s="281"/>
      <c r="L128" s="282"/>
      <c r="M128" s="274"/>
      <c r="N128" s="283"/>
      <c r="O128" s="283"/>
      <c r="P128" s="267"/>
      <c r="Q128" s="284"/>
      <c r="R128" s="267"/>
      <c r="S128" s="285"/>
      <c r="T128" s="286"/>
      <c r="U128" s="267"/>
      <c r="V128" s="265"/>
      <c r="W128" s="266"/>
      <c r="X128" s="267"/>
      <c r="Y128" s="267"/>
      <c r="Z128" s="268"/>
      <c r="AA128" s="267"/>
      <c r="AB128" s="267"/>
      <c r="AC128" s="269"/>
    </row>
    <row r="129" ht="16.5" customHeight="1">
      <c r="A129" s="274"/>
      <c r="B129" s="275"/>
      <c r="C129" s="276"/>
      <c r="D129" s="276"/>
      <c r="E129" s="276"/>
      <c r="F129" s="277"/>
      <c r="G129" s="278"/>
      <c r="H129" s="277"/>
      <c r="I129" s="279"/>
      <c r="J129" s="280"/>
      <c r="K129" s="281"/>
      <c r="L129" s="282"/>
      <c r="M129" s="274"/>
      <c r="N129" s="283"/>
      <c r="O129" s="283"/>
      <c r="P129" s="267"/>
      <c r="Q129" s="284"/>
      <c r="R129" s="267"/>
      <c r="S129" s="285"/>
      <c r="T129" s="286"/>
      <c r="U129" s="267"/>
      <c r="V129" s="265"/>
      <c r="W129" s="266"/>
      <c r="X129" s="267"/>
      <c r="Y129" s="267"/>
      <c r="Z129" s="268"/>
      <c r="AA129" s="267"/>
      <c r="AB129" s="267"/>
      <c r="AC129" s="269"/>
    </row>
    <row r="130" ht="16.5" customHeight="1">
      <c r="A130" s="274"/>
      <c r="B130" s="275"/>
      <c r="C130" s="276"/>
      <c r="D130" s="276"/>
      <c r="E130" s="276"/>
      <c r="F130" s="277"/>
      <c r="G130" s="278"/>
      <c r="H130" s="277"/>
      <c r="I130" s="279"/>
      <c r="J130" s="280"/>
      <c r="K130" s="281"/>
      <c r="L130" s="282"/>
      <c r="M130" s="274"/>
      <c r="N130" s="283"/>
      <c r="O130" s="283"/>
      <c r="P130" s="267"/>
      <c r="Q130" s="284"/>
      <c r="R130" s="267"/>
      <c r="S130" s="285"/>
      <c r="T130" s="286"/>
      <c r="U130" s="267"/>
      <c r="V130" s="265"/>
      <c r="W130" s="266"/>
      <c r="X130" s="267"/>
      <c r="Y130" s="267"/>
      <c r="Z130" s="268"/>
      <c r="AA130" s="267"/>
      <c r="AB130" s="267"/>
      <c r="AC130" s="269"/>
    </row>
    <row r="131" ht="16.5" customHeight="1">
      <c r="A131" s="274"/>
      <c r="B131" s="275"/>
      <c r="C131" s="276"/>
      <c r="D131" s="276"/>
      <c r="E131" s="276"/>
      <c r="F131" s="277"/>
      <c r="G131" s="278"/>
      <c r="H131" s="277"/>
      <c r="I131" s="279"/>
      <c r="J131" s="280"/>
      <c r="K131" s="281"/>
      <c r="L131" s="282"/>
      <c r="M131" s="274"/>
      <c r="N131" s="283"/>
      <c r="O131" s="283"/>
      <c r="P131" s="267"/>
      <c r="Q131" s="284"/>
      <c r="R131" s="267"/>
      <c r="S131" s="285"/>
      <c r="T131" s="286"/>
      <c r="U131" s="267"/>
      <c r="V131" s="265"/>
      <c r="W131" s="266"/>
      <c r="X131" s="267"/>
      <c r="Y131" s="267"/>
      <c r="Z131" s="268"/>
      <c r="AA131" s="267"/>
      <c r="AB131" s="267"/>
      <c r="AC131" s="269"/>
    </row>
    <row r="132" ht="16.5" customHeight="1">
      <c r="A132" s="274"/>
      <c r="B132" s="275"/>
      <c r="C132" s="276"/>
      <c r="D132" s="276"/>
      <c r="E132" s="276"/>
      <c r="F132" s="277"/>
      <c r="G132" s="278"/>
      <c r="H132" s="277"/>
      <c r="I132" s="279"/>
      <c r="J132" s="280"/>
      <c r="K132" s="281"/>
      <c r="L132" s="282"/>
      <c r="M132" s="274"/>
      <c r="N132" s="283"/>
      <c r="O132" s="283"/>
      <c r="P132" s="267"/>
      <c r="Q132" s="284"/>
      <c r="R132" s="267"/>
      <c r="S132" s="285"/>
      <c r="T132" s="286"/>
      <c r="U132" s="267"/>
      <c r="V132" s="265"/>
      <c r="W132" s="266"/>
      <c r="X132" s="267"/>
      <c r="Y132" s="267"/>
      <c r="Z132" s="268"/>
      <c r="AA132" s="267"/>
      <c r="AB132" s="267"/>
      <c r="AC132" s="269"/>
    </row>
    <row r="133" ht="16.5" customHeight="1">
      <c r="A133" s="274"/>
      <c r="B133" s="275"/>
      <c r="C133" s="276"/>
      <c r="D133" s="276"/>
      <c r="E133" s="276"/>
      <c r="F133" s="277"/>
      <c r="G133" s="278"/>
      <c r="H133" s="277"/>
      <c r="I133" s="279"/>
      <c r="J133" s="280"/>
      <c r="K133" s="281"/>
      <c r="L133" s="282"/>
      <c r="M133" s="274"/>
      <c r="N133" s="283"/>
      <c r="O133" s="283"/>
      <c r="P133" s="267"/>
      <c r="Q133" s="284"/>
      <c r="R133" s="267"/>
      <c r="S133" s="285"/>
      <c r="T133" s="286"/>
      <c r="U133" s="267"/>
      <c r="V133" s="265"/>
      <c r="W133" s="266"/>
      <c r="X133" s="267"/>
      <c r="Y133" s="267"/>
      <c r="Z133" s="268"/>
      <c r="AA133" s="267"/>
      <c r="AB133" s="267"/>
      <c r="AC133" s="269"/>
    </row>
    <row r="134" ht="16.5" customHeight="1">
      <c r="A134" s="274"/>
      <c r="B134" s="275"/>
      <c r="C134" s="276"/>
      <c r="D134" s="276"/>
      <c r="E134" s="276"/>
      <c r="F134" s="277"/>
      <c r="G134" s="278"/>
      <c r="H134" s="277"/>
      <c r="I134" s="279"/>
      <c r="J134" s="280"/>
      <c r="K134" s="281"/>
      <c r="L134" s="282"/>
      <c r="M134" s="274"/>
      <c r="N134" s="283"/>
      <c r="O134" s="283"/>
      <c r="P134" s="267"/>
      <c r="Q134" s="284"/>
      <c r="R134" s="267"/>
      <c r="S134" s="285"/>
      <c r="T134" s="286"/>
      <c r="U134" s="267"/>
      <c r="V134" s="265"/>
      <c r="W134" s="266"/>
      <c r="X134" s="267"/>
      <c r="Y134" s="267"/>
      <c r="Z134" s="268"/>
      <c r="AA134" s="267"/>
      <c r="AB134" s="267"/>
      <c r="AC134" s="269"/>
    </row>
    <row r="135" ht="16.5" customHeight="1">
      <c r="A135" s="274"/>
      <c r="B135" s="275"/>
      <c r="C135" s="276"/>
      <c r="D135" s="276"/>
      <c r="E135" s="276"/>
      <c r="F135" s="277"/>
      <c r="G135" s="278"/>
      <c r="H135" s="277"/>
      <c r="I135" s="279"/>
      <c r="J135" s="280"/>
      <c r="K135" s="281"/>
      <c r="L135" s="282"/>
      <c r="M135" s="274"/>
      <c r="N135" s="283"/>
      <c r="O135" s="283"/>
      <c r="P135" s="267"/>
      <c r="Q135" s="284"/>
      <c r="R135" s="267"/>
      <c r="S135" s="285"/>
      <c r="T135" s="286"/>
      <c r="U135" s="267"/>
      <c r="V135" s="265"/>
      <c r="W135" s="266"/>
      <c r="X135" s="267"/>
      <c r="Y135" s="267"/>
      <c r="Z135" s="268"/>
      <c r="AA135" s="267"/>
      <c r="AB135" s="267"/>
      <c r="AC135" s="269"/>
    </row>
    <row r="136" ht="16.5" customHeight="1">
      <c r="A136" s="274"/>
      <c r="B136" s="275"/>
      <c r="C136" s="276"/>
      <c r="D136" s="276"/>
      <c r="E136" s="276"/>
      <c r="F136" s="277"/>
      <c r="G136" s="278"/>
      <c r="H136" s="277"/>
      <c r="I136" s="279"/>
      <c r="J136" s="280"/>
      <c r="K136" s="281"/>
      <c r="L136" s="282"/>
      <c r="M136" s="274"/>
      <c r="N136" s="283"/>
      <c r="O136" s="283"/>
      <c r="P136" s="267"/>
      <c r="Q136" s="284"/>
      <c r="R136" s="267"/>
      <c r="S136" s="285"/>
      <c r="T136" s="286"/>
      <c r="U136" s="267"/>
      <c r="V136" s="265"/>
      <c r="W136" s="266"/>
      <c r="X136" s="267"/>
      <c r="Y136" s="267"/>
      <c r="Z136" s="268"/>
      <c r="AA136" s="267"/>
      <c r="AB136" s="267"/>
      <c r="AC136" s="269"/>
    </row>
    <row r="137" ht="16.5" customHeight="1">
      <c r="A137" s="274"/>
      <c r="B137" s="275"/>
      <c r="C137" s="276"/>
      <c r="D137" s="276"/>
      <c r="E137" s="276"/>
      <c r="F137" s="277"/>
      <c r="G137" s="278"/>
      <c r="H137" s="277"/>
      <c r="I137" s="279"/>
      <c r="J137" s="280"/>
      <c r="K137" s="281"/>
      <c r="L137" s="282"/>
      <c r="M137" s="274"/>
      <c r="N137" s="283"/>
      <c r="O137" s="283"/>
      <c r="P137" s="267"/>
      <c r="Q137" s="284"/>
      <c r="R137" s="267"/>
      <c r="S137" s="285"/>
      <c r="T137" s="286"/>
      <c r="U137" s="267"/>
      <c r="V137" s="265"/>
      <c r="W137" s="266"/>
      <c r="X137" s="267"/>
      <c r="Y137" s="267"/>
      <c r="Z137" s="268"/>
      <c r="AA137" s="267"/>
      <c r="AB137" s="267"/>
      <c r="AC137" s="269"/>
    </row>
    <row r="138" ht="16.5" customHeight="1">
      <c r="A138" s="274"/>
      <c r="B138" s="275"/>
      <c r="C138" s="276"/>
      <c r="D138" s="276"/>
      <c r="E138" s="276"/>
      <c r="F138" s="277"/>
      <c r="G138" s="278"/>
      <c r="H138" s="277"/>
      <c r="I138" s="279"/>
      <c r="J138" s="280"/>
      <c r="K138" s="281"/>
      <c r="L138" s="282"/>
      <c r="M138" s="274"/>
      <c r="N138" s="283"/>
      <c r="O138" s="283"/>
      <c r="P138" s="267"/>
      <c r="Q138" s="284"/>
      <c r="R138" s="267"/>
      <c r="S138" s="285"/>
      <c r="T138" s="286"/>
      <c r="U138" s="267"/>
      <c r="V138" s="265"/>
      <c r="W138" s="266"/>
      <c r="X138" s="267"/>
      <c r="Y138" s="267"/>
      <c r="Z138" s="268"/>
      <c r="AA138" s="267"/>
      <c r="AB138" s="267"/>
      <c r="AC138" s="269"/>
    </row>
    <row r="139" ht="16.5" customHeight="1">
      <c r="A139" s="274"/>
      <c r="B139" s="275"/>
      <c r="C139" s="276"/>
      <c r="D139" s="276"/>
      <c r="E139" s="276"/>
      <c r="F139" s="277"/>
      <c r="G139" s="278"/>
      <c r="H139" s="277"/>
      <c r="I139" s="279"/>
      <c r="J139" s="280"/>
      <c r="K139" s="281"/>
      <c r="L139" s="282"/>
      <c r="M139" s="274"/>
      <c r="N139" s="283"/>
      <c r="O139" s="283"/>
      <c r="P139" s="267"/>
      <c r="Q139" s="284"/>
      <c r="R139" s="267"/>
      <c r="S139" s="285"/>
      <c r="T139" s="286"/>
      <c r="U139" s="267"/>
      <c r="V139" s="265"/>
      <c r="W139" s="266"/>
      <c r="X139" s="267"/>
      <c r="Y139" s="267"/>
      <c r="Z139" s="268"/>
      <c r="AA139" s="267"/>
      <c r="AB139" s="267"/>
      <c r="AC139" s="269"/>
    </row>
    <row r="140" ht="16.5" customHeight="1">
      <c r="A140" s="274"/>
      <c r="B140" s="275"/>
      <c r="C140" s="276"/>
      <c r="D140" s="276"/>
      <c r="E140" s="276"/>
      <c r="F140" s="277"/>
      <c r="G140" s="278"/>
      <c r="H140" s="277"/>
      <c r="I140" s="279"/>
      <c r="J140" s="280"/>
      <c r="K140" s="281"/>
      <c r="L140" s="282"/>
      <c r="M140" s="274"/>
      <c r="N140" s="283"/>
      <c r="O140" s="283"/>
      <c r="P140" s="267"/>
      <c r="Q140" s="284"/>
      <c r="R140" s="267"/>
      <c r="S140" s="285"/>
      <c r="T140" s="286"/>
      <c r="U140" s="267"/>
      <c r="V140" s="265"/>
      <c r="W140" s="266"/>
      <c r="X140" s="267"/>
      <c r="Y140" s="267"/>
      <c r="Z140" s="268"/>
      <c r="AA140" s="267"/>
      <c r="AB140" s="267"/>
      <c r="AC140" s="269"/>
    </row>
    <row r="141" ht="16.5" customHeight="1">
      <c r="A141" s="274"/>
      <c r="B141" s="275"/>
      <c r="C141" s="276"/>
      <c r="D141" s="276"/>
      <c r="E141" s="276"/>
      <c r="F141" s="277"/>
      <c r="G141" s="278"/>
      <c r="H141" s="277"/>
      <c r="I141" s="279"/>
      <c r="J141" s="280"/>
      <c r="K141" s="281"/>
      <c r="L141" s="282"/>
      <c r="M141" s="274"/>
      <c r="N141" s="283"/>
      <c r="O141" s="283"/>
      <c r="P141" s="267"/>
      <c r="Q141" s="284"/>
      <c r="R141" s="267"/>
      <c r="S141" s="285"/>
      <c r="T141" s="286"/>
      <c r="U141" s="267"/>
      <c r="V141" s="265"/>
      <c r="W141" s="266"/>
      <c r="X141" s="267"/>
      <c r="Y141" s="267"/>
      <c r="Z141" s="268"/>
      <c r="AA141" s="267"/>
      <c r="AB141" s="267"/>
      <c r="AC141" s="269"/>
    </row>
    <row r="142" ht="16.5" customHeight="1">
      <c r="A142" s="274"/>
      <c r="B142" s="275"/>
      <c r="C142" s="276"/>
      <c r="D142" s="276"/>
      <c r="E142" s="276"/>
      <c r="F142" s="277"/>
      <c r="G142" s="278"/>
      <c r="H142" s="277"/>
      <c r="I142" s="279"/>
      <c r="J142" s="280"/>
      <c r="K142" s="281"/>
      <c r="L142" s="282"/>
      <c r="M142" s="274"/>
      <c r="N142" s="283"/>
      <c r="O142" s="283"/>
      <c r="P142" s="267"/>
      <c r="Q142" s="284"/>
      <c r="R142" s="267"/>
      <c r="S142" s="285"/>
      <c r="T142" s="286"/>
      <c r="U142" s="267"/>
      <c r="V142" s="265"/>
      <c r="W142" s="266"/>
      <c r="X142" s="267"/>
      <c r="Y142" s="267"/>
      <c r="Z142" s="268"/>
      <c r="AA142" s="267"/>
      <c r="AB142" s="267"/>
      <c r="AC142" s="269"/>
    </row>
    <row r="143" ht="16.5" customHeight="1">
      <c r="A143" s="274"/>
      <c r="B143" s="275"/>
      <c r="C143" s="276"/>
      <c r="D143" s="276"/>
      <c r="E143" s="276"/>
      <c r="F143" s="277"/>
      <c r="G143" s="278"/>
      <c r="H143" s="277"/>
      <c r="I143" s="279"/>
      <c r="J143" s="280"/>
      <c r="K143" s="281"/>
      <c r="L143" s="282"/>
      <c r="M143" s="274"/>
      <c r="N143" s="283"/>
      <c r="O143" s="283"/>
      <c r="P143" s="267"/>
      <c r="Q143" s="284"/>
      <c r="R143" s="267"/>
      <c r="S143" s="285"/>
      <c r="T143" s="286"/>
      <c r="U143" s="267"/>
      <c r="V143" s="265"/>
      <c r="W143" s="266"/>
      <c r="X143" s="267"/>
      <c r="Y143" s="267"/>
      <c r="Z143" s="268"/>
      <c r="AA143" s="267"/>
      <c r="AB143" s="267"/>
      <c r="AC143" s="269"/>
    </row>
    <row r="144" ht="16.5" customHeight="1">
      <c r="A144" s="274"/>
      <c r="B144" s="275"/>
      <c r="C144" s="276"/>
      <c r="D144" s="276"/>
      <c r="E144" s="276"/>
      <c r="F144" s="277"/>
      <c r="G144" s="278"/>
      <c r="H144" s="277"/>
      <c r="I144" s="279"/>
      <c r="J144" s="280"/>
      <c r="K144" s="281"/>
      <c r="L144" s="282"/>
      <c r="M144" s="274"/>
      <c r="N144" s="283"/>
      <c r="O144" s="283"/>
      <c r="P144" s="267"/>
      <c r="Q144" s="284"/>
      <c r="R144" s="267"/>
      <c r="S144" s="285"/>
      <c r="T144" s="286"/>
      <c r="U144" s="267"/>
      <c r="V144" s="265"/>
      <c r="W144" s="266"/>
      <c r="X144" s="267"/>
      <c r="Y144" s="267"/>
      <c r="Z144" s="268"/>
      <c r="AA144" s="267"/>
      <c r="AB144" s="267"/>
      <c r="AC144" s="269"/>
    </row>
    <row r="145" ht="16.5" customHeight="1">
      <c r="A145" s="274"/>
      <c r="B145" s="275"/>
      <c r="C145" s="276"/>
      <c r="D145" s="276"/>
      <c r="E145" s="276"/>
      <c r="F145" s="277"/>
      <c r="G145" s="278"/>
      <c r="H145" s="277"/>
      <c r="I145" s="279"/>
      <c r="J145" s="280"/>
      <c r="K145" s="281"/>
      <c r="L145" s="282"/>
      <c r="M145" s="274"/>
      <c r="N145" s="283"/>
      <c r="O145" s="283"/>
      <c r="P145" s="267"/>
      <c r="Q145" s="284"/>
      <c r="R145" s="267"/>
      <c r="S145" s="285"/>
      <c r="T145" s="286"/>
      <c r="U145" s="267"/>
      <c r="V145" s="265"/>
      <c r="W145" s="266"/>
      <c r="X145" s="267"/>
      <c r="Y145" s="267"/>
      <c r="Z145" s="268"/>
      <c r="AA145" s="267"/>
      <c r="AB145" s="267"/>
      <c r="AC145" s="269"/>
    </row>
    <row r="146" ht="16.5" customHeight="1">
      <c r="A146" s="274"/>
      <c r="B146" s="275"/>
      <c r="C146" s="276"/>
      <c r="D146" s="276"/>
      <c r="E146" s="276"/>
      <c r="F146" s="277"/>
      <c r="G146" s="278"/>
      <c r="H146" s="277"/>
      <c r="I146" s="279"/>
      <c r="J146" s="280"/>
      <c r="K146" s="281"/>
      <c r="L146" s="282"/>
      <c r="M146" s="274"/>
      <c r="N146" s="283"/>
      <c r="O146" s="283"/>
      <c r="P146" s="267"/>
      <c r="Q146" s="284"/>
      <c r="R146" s="267"/>
      <c r="S146" s="285"/>
      <c r="T146" s="286"/>
      <c r="U146" s="267"/>
      <c r="V146" s="265"/>
      <c r="W146" s="266"/>
      <c r="X146" s="267"/>
      <c r="Y146" s="267"/>
      <c r="Z146" s="268"/>
      <c r="AA146" s="267"/>
      <c r="AB146" s="267"/>
      <c r="AC146" s="269"/>
    </row>
    <row r="147" ht="16.5" customHeight="1">
      <c r="A147" s="274"/>
      <c r="B147" s="275"/>
      <c r="C147" s="276"/>
      <c r="D147" s="276"/>
      <c r="E147" s="276"/>
      <c r="F147" s="277"/>
      <c r="G147" s="278"/>
      <c r="H147" s="277"/>
      <c r="I147" s="279"/>
      <c r="J147" s="280"/>
      <c r="K147" s="281"/>
      <c r="L147" s="282"/>
      <c r="M147" s="274"/>
      <c r="N147" s="283"/>
      <c r="O147" s="283"/>
      <c r="P147" s="267"/>
      <c r="Q147" s="284"/>
      <c r="R147" s="267"/>
      <c r="S147" s="285"/>
      <c r="T147" s="286"/>
      <c r="U147" s="267"/>
      <c r="V147" s="265"/>
      <c r="W147" s="266"/>
      <c r="X147" s="267"/>
      <c r="Y147" s="267"/>
      <c r="Z147" s="268"/>
      <c r="AA147" s="267"/>
      <c r="AB147" s="267"/>
      <c r="AC147" s="269"/>
    </row>
    <row r="148" ht="16.5" customHeight="1">
      <c r="A148" s="274"/>
      <c r="B148" s="275"/>
      <c r="C148" s="276"/>
      <c r="D148" s="276"/>
      <c r="E148" s="276"/>
      <c r="F148" s="277"/>
      <c r="G148" s="278"/>
      <c r="H148" s="277"/>
      <c r="I148" s="279"/>
      <c r="J148" s="280"/>
      <c r="K148" s="281"/>
      <c r="L148" s="282"/>
      <c r="M148" s="274"/>
      <c r="N148" s="283"/>
      <c r="O148" s="283"/>
      <c r="P148" s="267"/>
      <c r="Q148" s="284"/>
      <c r="R148" s="267"/>
      <c r="S148" s="285"/>
      <c r="T148" s="286"/>
      <c r="U148" s="267"/>
      <c r="V148" s="265"/>
      <c r="W148" s="266"/>
      <c r="X148" s="267"/>
      <c r="Y148" s="267"/>
      <c r="Z148" s="268"/>
      <c r="AA148" s="267"/>
      <c r="AB148" s="267"/>
      <c r="AC148" s="269"/>
    </row>
    <row r="149" ht="16.5" customHeight="1">
      <c r="A149" s="274"/>
      <c r="B149" s="275"/>
      <c r="C149" s="276"/>
      <c r="D149" s="276"/>
      <c r="E149" s="276"/>
      <c r="F149" s="277"/>
      <c r="G149" s="278"/>
      <c r="H149" s="277"/>
      <c r="I149" s="279"/>
      <c r="J149" s="280"/>
      <c r="K149" s="281"/>
      <c r="L149" s="282"/>
      <c r="M149" s="274"/>
      <c r="N149" s="283"/>
      <c r="O149" s="283"/>
      <c r="P149" s="267"/>
      <c r="Q149" s="284"/>
      <c r="R149" s="267"/>
      <c r="S149" s="285"/>
      <c r="T149" s="286"/>
      <c r="U149" s="267"/>
      <c r="V149" s="265"/>
      <c r="W149" s="266"/>
      <c r="X149" s="267"/>
      <c r="Y149" s="267"/>
      <c r="Z149" s="268"/>
      <c r="AA149" s="267"/>
      <c r="AB149" s="267"/>
      <c r="AC149" s="269"/>
    </row>
    <row r="150" ht="16.5" customHeight="1">
      <c r="A150" s="274"/>
      <c r="B150" s="275"/>
      <c r="C150" s="276"/>
      <c r="D150" s="276"/>
      <c r="E150" s="276"/>
      <c r="F150" s="277"/>
      <c r="G150" s="278"/>
      <c r="H150" s="277"/>
      <c r="I150" s="279"/>
      <c r="J150" s="280"/>
      <c r="K150" s="281"/>
      <c r="L150" s="282"/>
      <c r="M150" s="274"/>
      <c r="N150" s="283"/>
      <c r="O150" s="283"/>
      <c r="P150" s="267"/>
      <c r="Q150" s="284"/>
      <c r="R150" s="267"/>
      <c r="S150" s="285"/>
      <c r="T150" s="286"/>
      <c r="U150" s="267"/>
      <c r="V150" s="265"/>
      <c r="W150" s="266"/>
      <c r="X150" s="267"/>
      <c r="Y150" s="267"/>
      <c r="Z150" s="268"/>
      <c r="AA150" s="267"/>
      <c r="AB150" s="267"/>
      <c r="AC150" s="269"/>
    </row>
    <row r="151" ht="16.5" customHeight="1">
      <c r="A151" s="274"/>
      <c r="B151" s="275"/>
      <c r="C151" s="276"/>
      <c r="D151" s="276"/>
      <c r="E151" s="276"/>
      <c r="F151" s="277"/>
      <c r="G151" s="278"/>
      <c r="H151" s="277"/>
      <c r="I151" s="279"/>
      <c r="J151" s="280"/>
      <c r="K151" s="281"/>
      <c r="L151" s="282"/>
      <c r="M151" s="274"/>
      <c r="N151" s="283"/>
      <c r="O151" s="283"/>
      <c r="P151" s="267"/>
      <c r="Q151" s="284"/>
      <c r="R151" s="267"/>
      <c r="S151" s="285"/>
      <c r="T151" s="286"/>
      <c r="U151" s="267"/>
      <c r="V151" s="265"/>
      <c r="W151" s="266"/>
      <c r="X151" s="267"/>
      <c r="Y151" s="267"/>
      <c r="Z151" s="268"/>
      <c r="AA151" s="267"/>
      <c r="AB151" s="267"/>
      <c r="AC151" s="269"/>
    </row>
    <row r="152" ht="16.5" customHeight="1">
      <c r="A152" s="274"/>
      <c r="B152" s="275"/>
      <c r="C152" s="276"/>
      <c r="D152" s="276"/>
      <c r="E152" s="276"/>
      <c r="F152" s="277"/>
      <c r="G152" s="278"/>
      <c r="H152" s="277"/>
      <c r="I152" s="279"/>
      <c r="J152" s="280"/>
      <c r="K152" s="281"/>
      <c r="L152" s="282"/>
      <c r="M152" s="274"/>
      <c r="N152" s="283"/>
      <c r="O152" s="283"/>
      <c r="P152" s="267"/>
      <c r="Q152" s="284"/>
      <c r="R152" s="267"/>
      <c r="S152" s="285"/>
      <c r="T152" s="286"/>
      <c r="U152" s="267"/>
      <c r="V152" s="265"/>
      <c r="W152" s="266"/>
      <c r="X152" s="267"/>
      <c r="Y152" s="267"/>
      <c r="Z152" s="268"/>
      <c r="AA152" s="267"/>
      <c r="AB152" s="267"/>
      <c r="AC152" s="269"/>
    </row>
    <row r="153" ht="16.5" customHeight="1">
      <c r="A153" s="274"/>
      <c r="B153" s="275"/>
      <c r="C153" s="276"/>
      <c r="D153" s="276"/>
      <c r="E153" s="276"/>
      <c r="F153" s="277"/>
      <c r="G153" s="278"/>
      <c r="H153" s="277"/>
      <c r="I153" s="279"/>
      <c r="J153" s="280"/>
      <c r="K153" s="281"/>
      <c r="L153" s="282"/>
      <c r="M153" s="274"/>
      <c r="N153" s="283"/>
      <c r="O153" s="283"/>
      <c r="P153" s="267"/>
      <c r="Q153" s="284"/>
      <c r="R153" s="267"/>
      <c r="S153" s="285"/>
      <c r="T153" s="286"/>
      <c r="U153" s="267"/>
      <c r="V153" s="265"/>
      <c r="W153" s="266"/>
      <c r="X153" s="267"/>
      <c r="Y153" s="267"/>
      <c r="Z153" s="268"/>
      <c r="AA153" s="267"/>
      <c r="AB153" s="267"/>
      <c r="AC153" s="269"/>
    </row>
    <row r="154" ht="16.5" customHeight="1">
      <c r="A154" s="274"/>
      <c r="B154" s="275"/>
      <c r="C154" s="276"/>
      <c r="D154" s="276"/>
      <c r="E154" s="276"/>
      <c r="F154" s="277"/>
      <c r="G154" s="278"/>
      <c r="H154" s="277"/>
      <c r="I154" s="279"/>
      <c r="J154" s="280"/>
      <c r="K154" s="281"/>
      <c r="L154" s="282"/>
      <c r="M154" s="274"/>
      <c r="N154" s="283"/>
      <c r="O154" s="283"/>
      <c r="P154" s="267"/>
      <c r="Q154" s="284"/>
      <c r="R154" s="267"/>
      <c r="S154" s="285"/>
      <c r="T154" s="286"/>
      <c r="U154" s="267"/>
      <c r="V154" s="265"/>
      <c r="W154" s="266"/>
      <c r="X154" s="267"/>
      <c r="Y154" s="267"/>
      <c r="Z154" s="268"/>
      <c r="AA154" s="267"/>
      <c r="AB154" s="267"/>
      <c r="AC154" s="269"/>
    </row>
    <row r="155" ht="16.5" customHeight="1">
      <c r="A155" s="274"/>
      <c r="B155" s="275"/>
      <c r="C155" s="276"/>
      <c r="D155" s="276"/>
      <c r="E155" s="276"/>
      <c r="F155" s="277"/>
      <c r="G155" s="278"/>
      <c r="H155" s="277"/>
      <c r="I155" s="279"/>
      <c r="J155" s="280"/>
      <c r="K155" s="281"/>
      <c r="L155" s="282"/>
      <c r="M155" s="274"/>
      <c r="N155" s="283"/>
      <c r="O155" s="283"/>
      <c r="P155" s="267"/>
      <c r="Q155" s="284"/>
      <c r="R155" s="267"/>
      <c r="S155" s="285"/>
      <c r="T155" s="286"/>
      <c r="U155" s="267"/>
      <c r="V155" s="265"/>
      <c r="W155" s="266"/>
      <c r="X155" s="267"/>
      <c r="Y155" s="267"/>
      <c r="Z155" s="268"/>
      <c r="AA155" s="267"/>
      <c r="AB155" s="267"/>
      <c r="AC155" s="269"/>
    </row>
    <row r="156" ht="16.5" customHeight="1">
      <c r="A156" s="274"/>
      <c r="B156" s="275"/>
      <c r="C156" s="276"/>
      <c r="D156" s="276"/>
      <c r="E156" s="276"/>
      <c r="F156" s="277"/>
      <c r="G156" s="278"/>
      <c r="H156" s="277"/>
      <c r="I156" s="279"/>
      <c r="J156" s="280"/>
      <c r="K156" s="281"/>
      <c r="L156" s="282"/>
      <c r="M156" s="274"/>
      <c r="N156" s="283"/>
      <c r="O156" s="283"/>
      <c r="P156" s="267"/>
      <c r="Q156" s="284"/>
      <c r="R156" s="267"/>
      <c r="S156" s="285"/>
      <c r="T156" s="286"/>
      <c r="U156" s="267"/>
      <c r="V156" s="265"/>
      <c r="W156" s="266"/>
      <c r="X156" s="267"/>
      <c r="Y156" s="267"/>
      <c r="Z156" s="268"/>
      <c r="AA156" s="267"/>
      <c r="AB156" s="267"/>
      <c r="AC156" s="269"/>
    </row>
    <row r="157" ht="16.5" customHeight="1">
      <c r="A157" s="274"/>
      <c r="B157" s="275"/>
      <c r="C157" s="276"/>
      <c r="D157" s="276"/>
      <c r="E157" s="276"/>
      <c r="F157" s="277"/>
      <c r="G157" s="278"/>
      <c r="H157" s="277"/>
      <c r="I157" s="279"/>
      <c r="J157" s="280"/>
      <c r="K157" s="281"/>
      <c r="L157" s="282"/>
      <c r="M157" s="274"/>
      <c r="N157" s="283"/>
      <c r="O157" s="283"/>
      <c r="P157" s="267"/>
      <c r="Q157" s="284"/>
      <c r="R157" s="267"/>
      <c r="S157" s="285"/>
      <c r="T157" s="286"/>
      <c r="U157" s="267"/>
      <c r="V157" s="265"/>
      <c r="W157" s="266"/>
      <c r="X157" s="267"/>
      <c r="Y157" s="267"/>
      <c r="Z157" s="268"/>
      <c r="AA157" s="267"/>
      <c r="AB157" s="267"/>
      <c r="AC157" s="269"/>
    </row>
    <row r="158" ht="16.5" customHeight="1">
      <c r="A158" s="274"/>
      <c r="B158" s="275"/>
      <c r="C158" s="276"/>
      <c r="D158" s="276"/>
      <c r="E158" s="276"/>
      <c r="F158" s="277"/>
      <c r="G158" s="278"/>
      <c r="H158" s="277"/>
      <c r="I158" s="279"/>
      <c r="J158" s="280"/>
      <c r="K158" s="281"/>
      <c r="L158" s="282"/>
      <c r="M158" s="274"/>
      <c r="N158" s="283"/>
      <c r="O158" s="283"/>
      <c r="P158" s="267"/>
      <c r="Q158" s="284"/>
      <c r="R158" s="267"/>
      <c r="S158" s="285"/>
      <c r="T158" s="286"/>
      <c r="U158" s="267"/>
      <c r="V158" s="265"/>
      <c r="W158" s="266"/>
      <c r="X158" s="267"/>
      <c r="Y158" s="267"/>
      <c r="Z158" s="268"/>
      <c r="AA158" s="267"/>
      <c r="AB158" s="267"/>
      <c r="AC158" s="269"/>
    </row>
    <row r="159" ht="16.5" customHeight="1">
      <c r="A159" s="274"/>
      <c r="B159" s="275"/>
      <c r="C159" s="276"/>
      <c r="D159" s="276"/>
      <c r="E159" s="276"/>
      <c r="F159" s="277"/>
      <c r="G159" s="278"/>
      <c r="H159" s="277"/>
      <c r="I159" s="279"/>
      <c r="J159" s="280"/>
      <c r="K159" s="281"/>
      <c r="L159" s="282"/>
      <c r="M159" s="274"/>
      <c r="N159" s="283"/>
      <c r="O159" s="283"/>
      <c r="P159" s="267"/>
      <c r="Q159" s="284"/>
      <c r="R159" s="267"/>
      <c r="S159" s="285"/>
      <c r="T159" s="286"/>
      <c r="U159" s="267"/>
      <c r="V159" s="265"/>
      <c r="W159" s="266"/>
      <c r="X159" s="267"/>
      <c r="Y159" s="267"/>
      <c r="Z159" s="268"/>
      <c r="AA159" s="267"/>
      <c r="AB159" s="267"/>
      <c r="AC159" s="269"/>
    </row>
    <row r="160" ht="16.5" customHeight="1">
      <c r="A160" s="274"/>
      <c r="B160" s="275"/>
      <c r="C160" s="276"/>
      <c r="D160" s="276"/>
      <c r="E160" s="276"/>
      <c r="F160" s="277"/>
      <c r="G160" s="278"/>
      <c r="H160" s="277"/>
      <c r="I160" s="279"/>
      <c r="J160" s="280"/>
      <c r="K160" s="281"/>
      <c r="L160" s="282"/>
      <c r="M160" s="274"/>
      <c r="N160" s="283"/>
      <c r="O160" s="283"/>
      <c r="P160" s="267"/>
      <c r="Q160" s="284"/>
      <c r="R160" s="267"/>
      <c r="S160" s="285"/>
      <c r="T160" s="286"/>
      <c r="U160" s="267"/>
      <c r="V160" s="265"/>
      <c r="W160" s="266"/>
      <c r="X160" s="267"/>
      <c r="Y160" s="267"/>
      <c r="Z160" s="268"/>
      <c r="AA160" s="267"/>
      <c r="AB160" s="267"/>
      <c r="AC160" s="269"/>
    </row>
    <row r="161" ht="16.5" customHeight="1">
      <c r="A161" s="274"/>
      <c r="B161" s="275"/>
      <c r="C161" s="276"/>
      <c r="D161" s="276"/>
      <c r="E161" s="276"/>
      <c r="F161" s="277"/>
      <c r="G161" s="278"/>
      <c r="H161" s="277"/>
      <c r="I161" s="279"/>
      <c r="J161" s="280"/>
      <c r="K161" s="281"/>
      <c r="L161" s="282"/>
      <c r="M161" s="274"/>
      <c r="N161" s="283"/>
      <c r="O161" s="283"/>
      <c r="P161" s="267"/>
      <c r="Q161" s="284"/>
      <c r="R161" s="267"/>
      <c r="S161" s="285"/>
      <c r="T161" s="286"/>
      <c r="U161" s="267"/>
      <c r="V161" s="265"/>
      <c r="W161" s="266"/>
      <c r="X161" s="267"/>
      <c r="Y161" s="267"/>
      <c r="Z161" s="268"/>
      <c r="AA161" s="267"/>
      <c r="AB161" s="267"/>
      <c r="AC161" s="269"/>
    </row>
    <row r="162" ht="16.5" customHeight="1">
      <c r="A162" s="274"/>
      <c r="B162" s="275"/>
      <c r="C162" s="276"/>
      <c r="D162" s="276"/>
      <c r="E162" s="276"/>
      <c r="F162" s="277"/>
      <c r="G162" s="278"/>
      <c r="H162" s="277"/>
      <c r="I162" s="279"/>
      <c r="J162" s="280"/>
      <c r="K162" s="281"/>
      <c r="L162" s="282"/>
      <c r="M162" s="274"/>
      <c r="N162" s="283"/>
      <c r="O162" s="283"/>
      <c r="P162" s="267"/>
      <c r="Q162" s="284"/>
      <c r="R162" s="267"/>
      <c r="S162" s="285"/>
      <c r="T162" s="286"/>
      <c r="U162" s="267"/>
      <c r="V162" s="265"/>
      <c r="W162" s="266"/>
      <c r="X162" s="267"/>
      <c r="Y162" s="267"/>
      <c r="Z162" s="268"/>
      <c r="AA162" s="267"/>
      <c r="AB162" s="267"/>
      <c r="AC162" s="269"/>
    </row>
    <row r="163" ht="16.5" customHeight="1">
      <c r="A163" s="274"/>
      <c r="B163" s="275"/>
      <c r="C163" s="276"/>
      <c r="D163" s="276"/>
      <c r="E163" s="276"/>
      <c r="F163" s="277"/>
      <c r="G163" s="278"/>
      <c r="H163" s="277"/>
      <c r="I163" s="279"/>
      <c r="J163" s="280"/>
      <c r="K163" s="281"/>
      <c r="L163" s="282"/>
      <c r="M163" s="274"/>
      <c r="N163" s="283"/>
      <c r="O163" s="283"/>
      <c r="P163" s="267"/>
      <c r="Q163" s="284"/>
      <c r="R163" s="267"/>
      <c r="S163" s="285"/>
      <c r="T163" s="286"/>
      <c r="U163" s="267"/>
      <c r="V163" s="265"/>
      <c r="W163" s="266"/>
      <c r="X163" s="267"/>
      <c r="Y163" s="267"/>
      <c r="Z163" s="268"/>
      <c r="AA163" s="267"/>
      <c r="AB163" s="267"/>
      <c r="AC163" s="269"/>
    </row>
    <row r="164" ht="16.5" customHeight="1">
      <c r="A164" s="274"/>
      <c r="B164" s="275"/>
      <c r="C164" s="276"/>
      <c r="D164" s="276"/>
      <c r="E164" s="276"/>
      <c r="F164" s="277"/>
      <c r="G164" s="278"/>
      <c r="H164" s="277"/>
      <c r="I164" s="279"/>
      <c r="J164" s="280"/>
      <c r="K164" s="281"/>
      <c r="L164" s="282"/>
      <c r="M164" s="274"/>
      <c r="N164" s="283"/>
      <c r="O164" s="283"/>
      <c r="P164" s="267"/>
      <c r="Q164" s="284"/>
      <c r="R164" s="267"/>
      <c r="S164" s="285"/>
      <c r="T164" s="286"/>
      <c r="U164" s="267"/>
      <c r="V164" s="265"/>
      <c r="W164" s="266"/>
      <c r="X164" s="267"/>
      <c r="Y164" s="267"/>
      <c r="Z164" s="268"/>
      <c r="AA164" s="267"/>
      <c r="AB164" s="267"/>
      <c r="AC164" s="269"/>
    </row>
    <row r="165" ht="16.5" customHeight="1">
      <c r="A165" s="274"/>
      <c r="B165" s="275"/>
      <c r="C165" s="276"/>
      <c r="D165" s="276"/>
      <c r="E165" s="276"/>
      <c r="F165" s="277"/>
      <c r="G165" s="278"/>
      <c r="H165" s="277"/>
      <c r="I165" s="279"/>
      <c r="J165" s="280"/>
      <c r="K165" s="281"/>
      <c r="L165" s="282"/>
      <c r="M165" s="274"/>
      <c r="N165" s="283"/>
      <c r="O165" s="283"/>
      <c r="P165" s="267"/>
      <c r="Q165" s="284"/>
      <c r="R165" s="267"/>
      <c r="S165" s="285"/>
      <c r="T165" s="286"/>
      <c r="U165" s="267"/>
      <c r="V165" s="265"/>
      <c r="W165" s="266"/>
      <c r="X165" s="267"/>
      <c r="Y165" s="267"/>
      <c r="Z165" s="268"/>
      <c r="AA165" s="267"/>
      <c r="AB165" s="267"/>
      <c r="AC165" s="269"/>
    </row>
    <row r="166" ht="16.5" customHeight="1">
      <c r="A166" s="274"/>
      <c r="B166" s="275"/>
      <c r="C166" s="276"/>
      <c r="D166" s="276"/>
      <c r="E166" s="276"/>
      <c r="F166" s="277"/>
      <c r="G166" s="278"/>
      <c r="H166" s="277"/>
      <c r="I166" s="279"/>
      <c r="J166" s="280"/>
      <c r="K166" s="281"/>
      <c r="L166" s="282"/>
      <c r="M166" s="274"/>
      <c r="N166" s="283"/>
      <c r="O166" s="283"/>
      <c r="P166" s="267"/>
      <c r="Q166" s="284"/>
      <c r="R166" s="267"/>
      <c r="S166" s="285"/>
      <c r="T166" s="286"/>
      <c r="U166" s="267"/>
      <c r="V166" s="265"/>
      <c r="W166" s="266"/>
      <c r="X166" s="267"/>
      <c r="Y166" s="267"/>
      <c r="Z166" s="268"/>
      <c r="AA166" s="267"/>
      <c r="AB166" s="267"/>
      <c r="AC166" s="269"/>
    </row>
    <row r="167" ht="16.5" customHeight="1">
      <c r="A167" s="274"/>
      <c r="B167" s="275"/>
      <c r="C167" s="276"/>
      <c r="D167" s="276"/>
      <c r="E167" s="276"/>
      <c r="F167" s="277"/>
      <c r="G167" s="278"/>
      <c r="H167" s="277"/>
      <c r="I167" s="279"/>
      <c r="J167" s="280"/>
      <c r="K167" s="281"/>
      <c r="L167" s="282"/>
      <c r="M167" s="274"/>
      <c r="N167" s="283"/>
      <c r="O167" s="283"/>
      <c r="P167" s="267"/>
      <c r="Q167" s="284"/>
      <c r="R167" s="267"/>
      <c r="S167" s="285"/>
      <c r="T167" s="286"/>
      <c r="U167" s="267"/>
      <c r="V167" s="265"/>
      <c r="W167" s="266"/>
      <c r="X167" s="267"/>
      <c r="Y167" s="267"/>
      <c r="Z167" s="268"/>
      <c r="AA167" s="267"/>
      <c r="AB167" s="267"/>
      <c r="AC167" s="269"/>
    </row>
    <row r="168" ht="16.5" customHeight="1">
      <c r="A168" s="274"/>
      <c r="B168" s="275"/>
      <c r="C168" s="276"/>
      <c r="D168" s="276"/>
      <c r="E168" s="276"/>
      <c r="F168" s="277"/>
      <c r="G168" s="278"/>
      <c r="H168" s="277"/>
      <c r="I168" s="279"/>
      <c r="J168" s="280"/>
      <c r="K168" s="281"/>
      <c r="L168" s="282"/>
      <c r="M168" s="274"/>
      <c r="N168" s="283"/>
      <c r="O168" s="283"/>
      <c r="P168" s="267"/>
      <c r="Q168" s="284"/>
      <c r="R168" s="267"/>
      <c r="S168" s="285"/>
      <c r="T168" s="286"/>
      <c r="U168" s="267"/>
      <c r="V168" s="265"/>
      <c r="W168" s="266"/>
      <c r="X168" s="267"/>
      <c r="Y168" s="267"/>
      <c r="Z168" s="268"/>
      <c r="AA168" s="267"/>
      <c r="AB168" s="267"/>
      <c r="AC168" s="269"/>
    </row>
    <row r="169" ht="16.5" customHeight="1">
      <c r="A169" s="274"/>
      <c r="B169" s="275"/>
      <c r="C169" s="276"/>
      <c r="D169" s="276"/>
      <c r="E169" s="276"/>
      <c r="F169" s="277"/>
      <c r="G169" s="278"/>
      <c r="H169" s="277"/>
      <c r="I169" s="279"/>
      <c r="J169" s="280"/>
      <c r="K169" s="281"/>
      <c r="L169" s="282"/>
      <c r="M169" s="274"/>
      <c r="N169" s="283"/>
      <c r="O169" s="283"/>
      <c r="P169" s="267"/>
      <c r="Q169" s="284"/>
      <c r="R169" s="267"/>
      <c r="S169" s="285"/>
      <c r="T169" s="286"/>
      <c r="U169" s="267"/>
      <c r="V169" s="265"/>
      <c r="W169" s="266"/>
      <c r="X169" s="267"/>
      <c r="Y169" s="267"/>
      <c r="Z169" s="268"/>
      <c r="AA169" s="267"/>
      <c r="AB169" s="267"/>
      <c r="AC169" s="269"/>
    </row>
    <row r="170" ht="16.5" customHeight="1">
      <c r="A170" s="274"/>
      <c r="B170" s="275"/>
      <c r="C170" s="276"/>
      <c r="D170" s="276"/>
      <c r="E170" s="276"/>
      <c r="F170" s="277"/>
      <c r="G170" s="278"/>
      <c r="H170" s="277"/>
      <c r="I170" s="279"/>
      <c r="J170" s="280"/>
      <c r="K170" s="281"/>
      <c r="L170" s="282"/>
      <c r="M170" s="274"/>
      <c r="N170" s="283"/>
      <c r="O170" s="283"/>
      <c r="P170" s="267"/>
      <c r="Q170" s="284"/>
      <c r="R170" s="267"/>
      <c r="S170" s="285"/>
      <c r="T170" s="286"/>
      <c r="U170" s="267"/>
      <c r="V170" s="265"/>
      <c r="W170" s="266"/>
      <c r="X170" s="267"/>
      <c r="Y170" s="267"/>
      <c r="Z170" s="268"/>
      <c r="AA170" s="267"/>
      <c r="AB170" s="267"/>
      <c r="AC170" s="269"/>
    </row>
    <row r="171" ht="16.5" customHeight="1">
      <c r="A171" s="274"/>
      <c r="B171" s="275"/>
      <c r="C171" s="276"/>
      <c r="D171" s="276"/>
      <c r="E171" s="276"/>
      <c r="F171" s="277"/>
      <c r="G171" s="278"/>
      <c r="H171" s="277"/>
      <c r="I171" s="279"/>
      <c r="J171" s="280"/>
      <c r="K171" s="281"/>
      <c r="L171" s="282"/>
      <c r="M171" s="274"/>
      <c r="N171" s="283"/>
      <c r="O171" s="283"/>
      <c r="P171" s="267"/>
      <c r="Q171" s="284"/>
      <c r="R171" s="267"/>
      <c r="S171" s="285"/>
      <c r="T171" s="286"/>
      <c r="U171" s="267"/>
      <c r="V171" s="265"/>
      <c r="W171" s="266"/>
      <c r="X171" s="267"/>
      <c r="Y171" s="267"/>
      <c r="Z171" s="268"/>
      <c r="AA171" s="267"/>
      <c r="AB171" s="267"/>
      <c r="AC171" s="269"/>
    </row>
    <row r="172" ht="16.5" customHeight="1">
      <c r="A172" s="274"/>
      <c r="B172" s="275"/>
      <c r="C172" s="276"/>
      <c r="D172" s="276"/>
      <c r="E172" s="276"/>
      <c r="F172" s="277"/>
      <c r="G172" s="278"/>
      <c r="H172" s="277"/>
      <c r="I172" s="279"/>
      <c r="J172" s="280"/>
      <c r="K172" s="281"/>
      <c r="L172" s="282"/>
      <c r="M172" s="274"/>
      <c r="N172" s="283"/>
      <c r="O172" s="283"/>
      <c r="P172" s="267"/>
      <c r="Q172" s="284"/>
      <c r="R172" s="267"/>
      <c r="S172" s="285"/>
      <c r="T172" s="286"/>
      <c r="U172" s="267"/>
      <c r="V172" s="265"/>
      <c r="W172" s="266"/>
      <c r="X172" s="267"/>
      <c r="Y172" s="267"/>
      <c r="Z172" s="268"/>
      <c r="AA172" s="267"/>
      <c r="AB172" s="267"/>
      <c r="AC172" s="269"/>
    </row>
    <row r="173" ht="16.5" customHeight="1">
      <c r="A173" s="274"/>
      <c r="B173" s="275"/>
      <c r="C173" s="276"/>
      <c r="D173" s="276"/>
      <c r="E173" s="276"/>
      <c r="F173" s="277"/>
      <c r="G173" s="278"/>
      <c r="H173" s="277"/>
      <c r="I173" s="279"/>
      <c r="J173" s="280"/>
      <c r="K173" s="281"/>
      <c r="L173" s="282"/>
      <c r="M173" s="274"/>
      <c r="N173" s="283"/>
      <c r="O173" s="283"/>
      <c r="P173" s="267"/>
      <c r="Q173" s="284"/>
      <c r="R173" s="267"/>
      <c r="S173" s="285"/>
      <c r="T173" s="286"/>
      <c r="U173" s="267"/>
      <c r="V173" s="265"/>
      <c r="W173" s="266"/>
      <c r="X173" s="267"/>
      <c r="Y173" s="267"/>
      <c r="Z173" s="268"/>
      <c r="AA173" s="267"/>
      <c r="AB173" s="267"/>
      <c r="AC173" s="269"/>
    </row>
    <row r="174" ht="16.5" customHeight="1">
      <c r="A174" s="274"/>
      <c r="B174" s="275"/>
      <c r="C174" s="276"/>
      <c r="D174" s="276"/>
      <c r="E174" s="276"/>
      <c r="F174" s="277"/>
      <c r="G174" s="278"/>
      <c r="H174" s="277"/>
      <c r="I174" s="279"/>
      <c r="J174" s="280"/>
      <c r="K174" s="281"/>
      <c r="L174" s="282"/>
      <c r="M174" s="274"/>
      <c r="N174" s="283"/>
      <c r="O174" s="283"/>
      <c r="P174" s="267"/>
      <c r="Q174" s="284"/>
      <c r="R174" s="267"/>
      <c r="S174" s="285"/>
      <c r="T174" s="286"/>
      <c r="U174" s="267"/>
      <c r="V174" s="265"/>
      <c r="W174" s="266"/>
      <c r="X174" s="267"/>
      <c r="Y174" s="267"/>
      <c r="Z174" s="268"/>
      <c r="AA174" s="267"/>
      <c r="AB174" s="267"/>
      <c r="AC174" s="269"/>
    </row>
    <row r="175" ht="16.5" customHeight="1">
      <c r="A175" s="274"/>
      <c r="B175" s="275"/>
      <c r="C175" s="276"/>
      <c r="D175" s="276"/>
      <c r="E175" s="276"/>
      <c r="F175" s="277"/>
      <c r="G175" s="278"/>
      <c r="H175" s="277"/>
      <c r="I175" s="279"/>
      <c r="J175" s="280"/>
      <c r="K175" s="281"/>
      <c r="L175" s="282"/>
      <c r="M175" s="274"/>
      <c r="N175" s="283"/>
      <c r="O175" s="283"/>
      <c r="P175" s="267"/>
      <c r="Q175" s="284"/>
      <c r="R175" s="267"/>
      <c r="S175" s="285"/>
      <c r="T175" s="286"/>
      <c r="U175" s="267"/>
      <c r="V175" s="265"/>
      <c r="W175" s="266"/>
      <c r="X175" s="267"/>
      <c r="Y175" s="267"/>
      <c r="Z175" s="268"/>
      <c r="AA175" s="267"/>
      <c r="AB175" s="267"/>
      <c r="AC175" s="269"/>
    </row>
    <row r="176" ht="16.5" customHeight="1">
      <c r="A176" s="274"/>
      <c r="B176" s="275"/>
      <c r="C176" s="276"/>
      <c r="D176" s="276"/>
      <c r="E176" s="276"/>
      <c r="F176" s="277"/>
      <c r="G176" s="278"/>
      <c r="H176" s="277"/>
      <c r="I176" s="279"/>
      <c r="J176" s="280"/>
      <c r="K176" s="281"/>
      <c r="L176" s="282"/>
      <c r="M176" s="274"/>
      <c r="N176" s="283"/>
      <c r="O176" s="283"/>
      <c r="P176" s="267"/>
      <c r="Q176" s="284"/>
      <c r="R176" s="267"/>
      <c r="S176" s="285"/>
      <c r="T176" s="286"/>
      <c r="U176" s="267"/>
      <c r="V176" s="265"/>
      <c r="W176" s="266"/>
      <c r="X176" s="267"/>
      <c r="Y176" s="267"/>
      <c r="Z176" s="268"/>
      <c r="AA176" s="267"/>
      <c r="AB176" s="267"/>
      <c r="AC176" s="269"/>
    </row>
    <row r="177" ht="16.5" customHeight="1">
      <c r="A177" s="274"/>
      <c r="B177" s="275"/>
      <c r="C177" s="276"/>
      <c r="D177" s="276"/>
      <c r="E177" s="276"/>
      <c r="F177" s="277"/>
      <c r="G177" s="278"/>
      <c r="H177" s="277"/>
      <c r="I177" s="279"/>
      <c r="J177" s="280"/>
      <c r="K177" s="281"/>
      <c r="L177" s="282"/>
      <c r="M177" s="274"/>
      <c r="N177" s="283"/>
      <c r="O177" s="283"/>
      <c r="P177" s="267"/>
      <c r="Q177" s="284"/>
      <c r="R177" s="267"/>
      <c r="S177" s="285"/>
      <c r="T177" s="286"/>
      <c r="U177" s="267"/>
      <c r="V177" s="265"/>
      <c r="W177" s="266"/>
      <c r="X177" s="267"/>
      <c r="Y177" s="267"/>
      <c r="Z177" s="268"/>
      <c r="AA177" s="267"/>
      <c r="AB177" s="267"/>
      <c r="AC177" s="269"/>
    </row>
    <row r="178" ht="16.5" customHeight="1">
      <c r="A178" s="274"/>
      <c r="B178" s="275"/>
      <c r="C178" s="276"/>
      <c r="D178" s="276"/>
      <c r="E178" s="276"/>
      <c r="F178" s="277"/>
      <c r="G178" s="278"/>
      <c r="H178" s="277"/>
      <c r="I178" s="279"/>
      <c r="J178" s="280"/>
      <c r="K178" s="281"/>
      <c r="L178" s="282"/>
      <c r="M178" s="274"/>
      <c r="N178" s="283"/>
      <c r="O178" s="283"/>
      <c r="P178" s="267"/>
      <c r="Q178" s="284"/>
      <c r="R178" s="267"/>
      <c r="S178" s="285"/>
      <c r="T178" s="286"/>
      <c r="U178" s="267"/>
      <c r="V178" s="265"/>
      <c r="W178" s="266"/>
      <c r="X178" s="267"/>
      <c r="Y178" s="267"/>
      <c r="Z178" s="268"/>
      <c r="AA178" s="267"/>
      <c r="AB178" s="267"/>
      <c r="AC178" s="269"/>
    </row>
    <row r="179" ht="16.5" customHeight="1">
      <c r="A179" s="274"/>
      <c r="B179" s="275"/>
      <c r="C179" s="276"/>
      <c r="D179" s="276"/>
      <c r="E179" s="276"/>
      <c r="F179" s="277"/>
      <c r="G179" s="278"/>
      <c r="H179" s="277"/>
      <c r="I179" s="279"/>
      <c r="J179" s="280"/>
      <c r="K179" s="281"/>
      <c r="L179" s="282"/>
      <c r="M179" s="274"/>
      <c r="N179" s="283"/>
      <c r="O179" s="283"/>
      <c r="P179" s="267"/>
      <c r="Q179" s="284"/>
      <c r="R179" s="267"/>
      <c r="S179" s="285"/>
      <c r="T179" s="286"/>
      <c r="U179" s="267"/>
      <c r="V179" s="265"/>
      <c r="W179" s="266"/>
      <c r="X179" s="267"/>
      <c r="Y179" s="267"/>
      <c r="Z179" s="268"/>
      <c r="AA179" s="267"/>
      <c r="AB179" s="267"/>
      <c r="AC179" s="269"/>
    </row>
    <row r="180" ht="16.5" customHeight="1">
      <c r="A180" s="274"/>
      <c r="B180" s="275"/>
      <c r="C180" s="276"/>
      <c r="D180" s="276"/>
      <c r="E180" s="276"/>
      <c r="F180" s="277"/>
      <c r="G180" s="278"/>
      <c r="H180" s="277"/>
      <c r="I180" s="279"/>
      <c r="J180" s="280"/>
      <c r="K180" s="281"/>
      <c r="L180" s="282"/>
      <c r="M180" s="274"/>
      <c r="N180" s="283"/>
      <c r="O180" s="283"/>
      <c r="P180" s="267"/>
      <c r="Q180" s="284"/>
      <c r="R180" s="267"/>
      <c r="S180" s="285"/>
      <c r="T180" s="286"/>
      <c r="U180" s="267"/>
      <c r="V180" s="265"/>
      <c r="W180" s="266"/>
      <c r="X180" s="267"/>
      <c r="Y180" s="267"/>
      <c r="Z180" s="268"/>
      <c r="AA180" s="267"/>
      <c r="AB180" s="267"/>
      <c r="AC180" s="269"/>
    </row>
    <row r="181" ht="16.5" customHeight="1">
      <c r="A181" s="274"/>
      <c r="B181" s="275"/>
      <c r="C181" s="276"/>
      <c r="D181" s="276"/>
      <c r="E181" s="276"/>
      <c r="F181" s="277"/>
      <c r="G181" s="278"/>
      <c r="H181" s="277"/>
      <c r="I181" s="279"/>
      <c r="J181" s="280"/>
      <c r="K181" s="281"/>
      <c r="L181" s="282"/>
      <c r="M181" s="274"/>
      <c r="N181" s="283"/>
      <c r="O181" s="283"/>
      <c r="P181" s="267"/>
      <c r="Q181" s="284"/>
      <c r="R181" s="267"/>
      <c r="S181" s="285"/>
      <c r="T181" s="286"/>
      <c r="U181" s="267"/>
      <c r="V181" s="265"/>
      <c r="W181" s="266"/>
      <c r="X181" s="267"/>
      <c r="Y181" s="267"/>
      <c r="Z181" s="268"/>
      <c r="AA181" s="267"/>
      <c r="AB181" s="267"/>
      <c r="AC181" s="269"/>
    </row>
    <row r="182" ht="16.5" customHeight="1">
      <c r="A182" s="274"/>
      <c r="B182" s="275"/>
      <c r="C182" s="276"/>
      <c r="D182" s="276"/>
      <c r="E182" s="276"/>
      <c r="F182" s="277"/>
      <c r="G182" s="278"/>
      <c r="H182" s="277"/>
      <c r="I182" s="279"/>
      <c r="J182" s="280"/>
      <c r="K182" s="281"/>
      <c r="L182" s="282"/>
      <c r="M182" s="274"/>
      <c r="N182" s="283"/>
      <c r="O182" s="283"/>
      <c r="P182" s="267"/>
      <c r="Q182" s="284"/>
      <c r="R182" s="267"/>
      <c r="S182" s="285"/>
      <c r="T182" s="286"/>
      <c r="U182" s="267"/>
      <c r="V182" s="265"/>
      <c r="W182" s="266"/>
      <c r="X182" s="267"/>
      <c r="Y182" s="267"/>
      <c r="Z182" s="268"/>
      <c r="AA182" s="267"/>
      <c r="AB182" s="267"/>
      <c r="AC182" s="269"/>
    </row>
    <row r="183" ht="16.5" customHeight="1">
      <c r="A183" s="274"/>
      <c r="B183" s="275"/>
      <c r="C183" s="276"/>
      <c r="D183" s="276"/>
      <c r="E183" s="276"/>
      <c r="F183" s="277"/>
      <c r="G183" s="278"/>
      <c r="H183" s="277"/>
      <c r="I183" s="279"/>
      <c r="J183" s="280"/>
      <c r="K183" s="281"/>
      <c r="L183" s="282"/>
      <c r="M183" s="274"/>
      <c r="N183" s="283"/>
      <c r="O183" s="283"/>
      <c r="P183" s="267"/>
      <c r="Q183" s="284"/>
      <c r="R183" s="267"/>
      <c r="S183" s="285"/>
      <c r="T183" s="286"/>
      <c r="U183" s="267"/>
      <c r="V183" s="265"/>
      <c r="W183" s="266"/>
      <c r="X183" s="267"/>
      <c r="Y183" s="267"/>
      <c r="Z183" s="268"/>
      <c r="AA183" s="267"/>
      <c r="AB183" s="267"/>
      <c r="AC183" s="269"/>
    </row>
    <row r="184" ht="16.5" customHeight="1">
      <c r="A184" s="274"/>
      <c r="B184" s="275"/>
      <c r="C184" s="276"/>
      <c r="D184" s="276"/>
      <c r="E184" s="276"/>
      <c r="F184" s="277"/>
      <c r="G184" s="278"/>
      <c r="H184" s="277"/>
      <c r="I184" s="279"/>
      <c r="J184" s="280"/>
      <c r="K184" s="281"/>
      <c r="L184" s="282"/>
      <c r="M184" s="274"/>
      <c r="N184" s="283"/>
      <c r="O184" s="283"/>
      <c r="P184" s="267"/>
      <c r="Q184" s="284"/>
      <c r="R184" s="267"/>
      <c r="S184" s="285"/>
      <c r="T184" s="286"/>
      <c r="U184" s="267"/>
      <c r="V184" s="265"/>
      <c r="W184" s="266"/>
      <c r="X184" s="267"/>
      <c r="Y184" s="267"/>
      <c r="Z184" s="268"/>
      <c r="AA184" s="267"/>
      <c r="AB184" s="267"/>
      <c r="AC184" s="269"/>
    </row>
    <row r="185" ht="16.5" customHeight="1">
      <c r="A185" s="274"/>
      <c r="B185" s="275"/>
      <c r="C185" s="276"/>
      <c r="D185" s="276"/>
      <c r="E185" s="276"/>
      <c r="F185" s="277"/>
      <c r="G185" s="278"/>
      <c r="H185" s="277"/>
      <c r="I185" s="279"/>
      <c r="J185" s="280"/>
      <c r="K185" s="281"/>
      <c r="L185" s="282"/>
      <c r="M185" s="274"/>
      <c r="N185" s="283"/>
      <c r="O185" s="283"/>
      <c r="P185" s="267"/>
      <c r="Q185" s="284"/>
      <c r="R185" s="267"/>
      <c r="S185" s="285"/>
      <c r="T185" s="286"/>
      <c r="U185" s="267"/>
      <c r="V185" s="265"/>
      <c r="W185" s="266"/>
      <c r="X185" s="267"/>
      <c r="Y185" s="267"/>
      <c r="Z185" s="268"/>
      <c r="AA185" s="267"/>
      <c r="AB185" s="267"/>
      <c r="AC185" s="269"/>
    </row>
    <row r="186" ht="16.5" customHeight="1">
      <c r="A186" s="274"/>
      <c r="B186" s="275"/>
      <c r="C186" s="276"/>
      <c r="D186" s="276"/>
      <c r="E186" s="276"/>
      <c r="F186" s="277"/>
      <c r="G186" s="278"/>
      <c r="H186" s="277"/>
      <c r="I186" s="279"/>
      <c r="J186" s="280"/>
      <c r="K186" s="281"/>
      <c r="L186" s="282"/>
      <c r="M186" s="274"/>
      <c r="N186" s="283"/>
      <c r="O186" s="283"/>
      <c r="P186" s="267"/>
      <c r="Q186" s="284"/>
      <c r="R186" s="267"/>
      <c r="S186" s="285"/>
      <c r="T186" s="286"/>
      <c r="U186" s="267"/>
      <c r="V186" s="265"/>
      <c r="W186" s="266"/>
      <c r="X186" s="267"/>
      <c r="Y186" s="267"/>
      <c r="Z186" s="268"/>
      <c r="AA186" s="267"/>
      <c r="AB186" s="267"/>
      <c r="AC186" s="269"/>
    </row>
    <row r="187" ht="16.5" customHeight="1">
      <c r="A187" s="274"/>
      <c r="B187" s="275"/>
      <c r="C187" s="276"/>
      <c r="D187" s="276"/>
      <c r="E187" s="276"/>
      <c r="F187" s="277"/>
      <c r="G187" s="278"/>
      <c r="H187" s="277"/>
      <c r="I187" s="279"/>
      <c r="J187" s="280"/>
      <c r="K187" s="281"/>
      <c r="L187" s="282"/>
      <c r="M187" s="274"/>
      <c r="N187" s="283"/>
      <c r="O187" s="283"/>
      <c r="P187" s="267"/>
      <c r="Q187" s="284"/>
      <c r="R187" s="267"/>
      <c r="S187" s="285"/>
      <c r="T187" s="286"/>
      <c r="U187" s="267"/>
      <c r="V187" s="265"/>
      <c r="W187" s="266"/>
      <c r="X187" s="267"/>
      <c r="Y187" s="267"/>
      <c r="Z187" s="268"/>
      <c r="AA187" s="267"/>
      <c r="AB187" s="267"/>
      <c r="AC187" s="269"/>
    </row>
    <row r="188" ht="16.5" customHeight="1">
      <c r="A188" s="274"/>
      <c r="B188" s="275"/>
      <c r="C188" s="276"/>
      <c r="D188" s="276"/>
      <c r="E188" s="276"/>
      <c r="F188" s="277"/>
      <c r="G188" s="278"/>
      <c r="H188" s="277"/>
      <c r="I188" s="279"/>
      <c r="J188" s="280"/>
      <c r="K188" s="281"/>
      <c r="L188" s="282"/>
      <c r="M188" s="274"/>
      <c r="N188" s="283"/>
      <c r="O188" s="283"/>
      <c r="P188" s="267"/>
      <c r="Q188" s="284"/>
      <c r="R188" s="267"/>
      <c r="S188" s="285"/>
      <c r="T188" s="286"/>
      <c r="U188" s="267"/>
      <c r="V188" s="265"/>
      <c r="W188" s="266"/>
      <c r="X188" s="267"/>
      <c r="Y188" s="267"/>
      <c r="Z188" s="268"/>
      <c r="AA188" s="267"/>
      <c r="AB188" s="267"/>
      <c r="AC188" s="269"/>
    </row>
    <row r="189" ht="16.5" customHeight="1">
      <c r="A189" s="274"/>
      <c r="B189" s="275"/>
      <c r="C189" s="276"/>
      <c r="D189" s="276"/>
      <c r="E189" s="276"/>
      <c r="F189" s="277"/>
      <c r="G189" s="278"/>
      <c r="H189" s="277"/>
      <c r="I189" s="279"/>
      <c r="J189" s="280"/>
      <c r="K189" s="281"/>
      <c r="L189" s="282"/>
      <c r="M189" s="274"/>
      <c r="N189" s="283"/>
      <c r="O189" s="283"/>
      <c r="P189" s="267"/>
      <c r="Q189" s="284"/>
      <c r="R189" s="267"/>
      <c r="S189" s="285"/>
      <c r="T189" s="286"/>
      <c r="U189" s="267"/>
      <c r="V189" s="265"/>
      <c r="W189" s="266"/>
      <c r="X189" s="267"/>
      <c r="Y189" s="267"/>
      <c r="Z189" s="268"/>
      <c r="AA189" s="267"/>
      <c r="AB189" s="267"/>
      <c r="AC189" s="269"/>
    </row>
    <row r="190" ht="16.5" customHeight="1">
      <c r="A190" s="274"/>
      <c r="B190" s="275"/>
      <c r="C190" s="276"/>
      <c r="D190" s="276"/>
      <c r="E190" s="276"/>
      <c r="F190" s="277"/>
      <c r="G190" s="278"/>
      <c r="H190" s="277"/>
      <c r="I190" s="279"/>
      <c r="J190" s="280"/>
      <c r="K190" s="281"/>
      <c r="L190" s="282"/>
      <c r="M190" s="274"/>
      <c r="N190" s="283"/>
      <c r="O190" s="283"/>
      <c r="P190" s="267"/>
      <c r="Q190" s="284"/>
      <c r="R190" s="267"/>
      <c r="S190" s="285"/>
      <c r="T190" s="286"/>
      <c r="U190" s="267"/>
      <c r="V190" s="265"/>
      <c r="W190" s="266"/>
      <c r="X190" s="267"/>
      <c r="Y190" s="267"/>
      <c r="Z190" s="268"/>
      <c r="AA190" s="267"/>
      <c r="AB190" s="267"/>
      <c r="AC190" s="269"/>
    </row>
    <row r="191" ht="16.5" customHeight="1">
      <c r="A191" s="274"/>
      <c r="B191" s="275"/>
      <c r="C191" s="276"/>
      <c r="D191" s="276"/>
      <c r="E191" s="276"/>
      <c r="F191" s="277"/>
      <c r="G191" s="278"/>
      <c r="H191" s="277"/>
      <c r="I191" s="279"/>
      <c r="J191" s="280"/>
      <c r="K191" s="281"/>
      <c r="L191" s="282"/>
      <c r="M191" s="274"/>
      <c r="N191" s="283"/>
      <c r="O191" s="283"/>
      <c r="P191" s="267"/>
      <c r="Q191" s="284"/>
      <c r="R191" s="267"/>
      <c r="S191" s="285"/>
      <c r="T191" s="286"/>
      <c r="U191" s="267"/>
      <c r="V191" s="265"/>
      <c r="W191" s="266"/>
      <c r="X191" s="267"/>
      <c r="Y191" s="267"/>
      <c r="Z191" s="268"/>
      <c r="AA191" s="267"/>
      <c r="AB191" s="267"/>
      <c r="AC191" s="269"/>
    </row>
    <row r="192" ht="16.5" customHeight="1">
      <c r="A192" s="274"/>
      <c r="B192" s="275"/>
      <c r="C192" s="276"/>
      <c r="D192" s="276"/>
      <c r="E192" s="276"/>
      <c r="F192" s="277"/>
      <c r="G192" s="278"/>
      <c r="H192" s="277"/>
      <c r="I192" s="279"/>
      <c r="J192" s="280"/>
      <c r="K192" s="281"/>
      <c r="L192" s="282"/>
      <c r="M192" s="274"/>
      <c r="N192" s="283"/>
      <c r="O192" s="283"/>
      <c r="P192" s="267"/>
      <c r="Q192" s="284"/>
      <c r="R192" s="267"/>
      <c r="S192" s="285"/>
      <c r="T192" s="286"/>
      <c r="U192" s="267"/>
      <c r="V192" s="265"/>
      <c r="W192" s="266"/>
      <c r="X192" s="267"/>
      <c r="Y192" s="267"/>
      <c r="Z192" s="268"/>
      <c r="AA192" s="267"/>
      <c r="AB192" s="267"/>
      <c r="AC192" s="269"/>
    </row>
    <row r="193" ht="16.5" customHeight="1">
      <c r="A193" s="274"/>
      <c r="B193" s="275"/>
      <c r="C193" s="276"/>
      <c r="D193" s="276"/>
      <c r="E193" s="276"/>
      <c r="F193" s="277"/>
      <c r="G193" s="278"/>
      <c r="H193" s="277"/>
      <c r="I193" s="279"/>
      <c r="J193" s="280"/>
      <c r="K193" s="281"/>
      <c r="L193" s="282"/>
      <c r="M193" s="274"/>
      <c r="N193" s="283"/>
      <c r="O193" s="283"/>
      <c r="P193" s="267"/>
      <c r="Q193" s="284"/>
      <c r="R193" s="267"/>
      <c r="S193" s="285"/>
      <c r="T193" s="286"/>
      <c r="U193" s="267"/>
      <c r="V193" s="265"/>
      <c r="W193" s="266"/>
      <c r="X193" s="267"/>
      <c r="Y193" s="267"/>
      <c r="Z193" s="268"/>
      <c r="AA193" s="267"/>
      <c r="AB193" s="267"/>
      <c r="AC193" s="269"/>
    </row>
    <row r="194" ht="16.5" customHeight="1">
      <c r="A194" s="274"/>
      <c r="B194" s="275"/>
      <c r="C194" s="276"/>
      <c r="D194" s="276"/>
      <c r="E194" s="276"/>
      <c r="F194" s="277"/>
      <c r="G194" s="278"/>
      <c r="H194" s="277"/>
      <c r="I194" s="279"/>
      <c r="J194" s="280"/>
      <c r="K194" s="281"/>
      <c r="L194" s="282"/>
      <c r="M194" s="274"/>
      <c r="N194" s="283"/>
      <c r="O194" s="283"/>
      <c r="P194" s="267"/>
      <c r="Q194" s="284"/>
      <c r="R194" s="267"/>
      <c r="S194" s="285"/>
      <c r="T194" s="286"/>
      <c r="U194" s="267"/>
      <c r="V194" s="265"/>
      <c r="W194" s="266"/>
      <c r="X194" s="267"/>
      <c r="Y194" s="267"/>
      <c r="Z194" s="268"/>
      <c r="AA194" s="267"/>
      <c r="AB194" s="267"/>
      <c r="AC194" s="269"/>
    </row>
    <row r="195" ht="16.5" customHeight="1">
      <c r="A195" s="274"/>
      <c r="B195" s="275"/>
      <c r="C195" s="276"/>
      <c r="D195" s="276"/>
      <c r="E195" s="276"/>
      <c r="F195" s="277"/>
      <c r="G195" s="278"/>
      <c r="H195" s="277"/>
      <c r="I195" s="279"/>
      <c r="J195" s="280"/>
      <c r="K195" s="281"/>
      <c r="L195" s="282"/>
      <c r="M195" s="274"/>
      <c r="N195" s="283"/>
      <c r="O195" s="283"/>
      <c r="P195" s="267"/>
      <c r="Q195" s="284"/>
      <c r="R195" s="267"/>
      <c r="S195" s="285"/>
      <c r="T195" s="286"/>
      <c r="U195" s="267"/>
      <c r="V195" s="265"/>
      <c r="W195" s="266"/>
      <c r="X195" s="267"/>
      <c r="Y195" s="267"/>
      <c r="Z195" s="268"/>
      <c r="AA195" s="267"/>
      <c r="AB195" s="267"/>
      <c r="AC195" s="269"/>
    </row>
    <row r="196" ht="16.5" customHeight="1">
      <c r="A196" s="274"/>
      <c r="B196" s="275"/>
      <c r="C196" s="276"/>
      <c r="D196" s="276"/>
      <c r="E196" s="276"/>
      <c r="F196" s="277"/>
      <c r="G196" s="278"/>
      <c r="H196" s="277"/>
      <c r="I196" s="279"/>
      <c r="J196" s="280"/>
      <c r="K196" s="281"/>
      <c r="L196" s="282"/>
      <c r="M196" s="274"/>
      <c r="N196" s="283"/>
      <c r="O196" s="283"/>
      <c r="P196" s="267"/>
      <c r="Q196" s="284"/>
      <c r="R196" s="267"/>
      <c r="S196" s="285"/>
      <c r="T196" s="286"/>
      <c r="U196" s="267"/>
      <c r="V196" s="265"/>
      <c r="W196" s="266"/>
      <c r="X196" s="267"/>
      <c r="Y196" s="267"/>
      <c r="Z196" s="268"/>
      <c r="AA196" s="267"/>
      <c r="AB196" s="267"/>
      <c r="AC196" s="269"/>
    </row>
    <row r="197" ht="16.5" customHeight="1">
      <c r="A197" s="274"/>
      <c r="B197" s="275"/>
      <c r="C197" s="276"/>
      <c r="D197" s="276"/>
      <c r="E197" s="276"/>
      <c r="F197" s="277"/>
      <c r="G197" s="278"/>
      <c r="H197" s="277"/>
      <c r="I197" s="279"/>
      <c r="J197" s="280"/>
      <c r="K197" s="281"/>
      <c r="L197" s="282"/>
      <c r="M197" s="274"/>
      <c r="N197" s="283"/>
      <c r="O197" s="283"/>
      <c r="P197" s="267"/>
      <c r="Q197" s="284"/>
      <c r="R197" s="267"/>
      <c r="S197" s="285"/>
      <c r="T197" s="286"/>
      <c r="U197" s="267"/>
      <c r="V197" s="265"/>
      <c r="W197" s="266"/>
      <c r="X197" s="267"/>
      <c r="Y197" s="267"/>
      <c r="Z197" s="268"/>
      <c r="AA197" s="267"/>
      <c r="AB197" s="267"/>
      <c r="AC197" s="269"/>
    </row>
    <row r="198" ht="16.5" customHeight="1">
      <c r="A198" s="274"/>
      <c r="B198" s="275"/>
      <c r="C198" s="276"/>
      <c r="D198" s="276"/>
      <c r="E198" s="276"/>
      <c r="F198" s="277"/>
      <c r="G198" s="278"/>
      <c r="H198" s="277"/>
      <c r="I198" s="279"/>
      <c r="J198" s="280"/>
      <c r="K198" s="281"/>
      <c r="L198" s="282"/>
      <c r="M198" s="274"/>
      <c r="N198" s="283"/>
      <c r="O198" s="283"/>
      <c r="P198" s="267"/>
      <c r="Q198" s="284"/>
      <c r="R198" s="267"/>
      <c r="S198" s="285"/>
      <c r="T198" s="286"/>
      <c r="U198" s="267"/>
      <c r="V198" s="265"/>
      <c r="W198" s="266"/>
      <c r="X198" s="267"/>
      <c r="Y198" s="267"/>
      <c r="Z198" s="268"/>
      <c r="AA198" s="267"/>
      <c r="AB198" s="267"/>
      <c r="AC198" s="269"/>
    </row>
    <row r="199" ht="16.5" customHeight="1">
      <c r="A199" s="274"/>
      <c r="B199" s="275"/>
      <c r="C199" s="276"/>
      <c r="D199" s="276"/>
      <c r="E199" s="276"/>
      <c r="F199" s="277"/>
      <c r="G199" s="278"/>
      <c r="H199" s="277"/>
      <c r="I199" s="279"/>
      <c r="J199" s="280"/>
      <c r="K199" s="281"/>
      <c r="L199" s="282"/>
      <c r="M199" s="274"/>
      <c r="N199" s="283"/>
      <c r="O199" s="283"/>
      <c r="P199" s="267"/>
      <c r="Q199" s="284"/>
      <c r="R199" s="267"/>
      <c r="S199" s="285"/>
      <c r="T199" s="286"/>
      <c r="U199" s="267"/>
      <c r="V199" s="265"/>
      <c r="W199" s="266"/>
      <c r="X199" s="267"/>
      <c r="Y199" s="267"/>
      <c r="Z199" s="268"/>
      <c r="AA199" s="267"/>
      <c r="AB199" s="267"/>
      <c r="AC199" s="269"/>
    </row>
    <row r="200" ht="16.5" customHeight="1">
      <c r="A200" s="274"/>
      <c r="B200" s="275"/>
      <c r="C200" s="276"/>
      <c r="D200" s="276"/>
      <c r="E200" s="276"/>
      <c r="F200" s="277"/>
      <c r="G200" s="278"/>
      <c r="H200" s="277"/>
      <c r="I200" s="279"/>
      <c r="J200" s="280"/>
      <c r="K200" s="281"/>
      <c r="L200" s="282"/>
      <c r="M200" s="274"/>
      <c r="N200" s="283"/>
      <c r="O200" s="283"/>
      <c r="P200" s="267"/>
      <c r="Q200" s="284"/>
      <c r="R200" s="267"/>
      <c r="S200" s="285"/>
      <c r="T200" s="286"/>
      <c r="U200" s="267"/>
      <c r="V200" s="265"/>
      <c r="W200" s="266"/>
      <c r="X200" s="267"/>
      <c r="Y200" s="267"/>
      <c r="Z200" s="268"/>
      <c r="AA200" s="267"/>
      <c r="AB200" s="267"/>
      <c r="AC200" s="269"/>
    </row>
    <row r="201" ht="16.5" customHeight="1">
      <c r="A201" s="274"/>
      <c r="B201" s="275"/>
      <c r="C201" s="276"/>
      <c r="D201" s="276"/>
      <c r="E201" s="276"/>
      <c r="F201" s="277"/>
      <c r="G201" s="278"/>
      <c r="H201" s="277"/>
      <c r="I201" s="279"/>
      <c r="J201" s="280"/>
      <c r="K201" s="281"/>
      <c r="L201" s="282"/>
      <c r="M201" s="274"/>
      <c r="N201" s="283"/>
      <c r="O201" s="283"/>
      <c r="P201" s="267"/>
      <c r="Q201" s="284"/>
      <c r="R201" s="267"/>
      <c r="S201" s="285"/>
      <c r="T201" s="286"/>
      <c r="U201" s="267"/>
      <c r="V201" s="265"/>
      <c r="W201" s="266"/>
      <c r="X201" s="267"/>
      <c r="Y201" s="267"/>
      <c r="Z201" s="268"/>
      <c r="AA201" s="267"/>
      <c r="AB201" s="267"/>
      <c r="AC201" s="269"/>
    </row>
    <row r="202" ht="16.5" customHeight="1">
      <c r="A202" s="274"/>
      <c r="B202" s="275"/>
      <c r="C202" s="276"/>
      <c r="D202" s="276"/>
      <c r="E202" s="276"/>
      <c r="F202" s="277"/>
      <c r="G202" s="278"/>
      <c r="H202" s="277"/>
      <c r="I202" s="279"/>
      <c r="J202" s="280"/>
      <c r="K202" s="281"/>
      <c r="L202" s="282"/>
      <c r="M202" s="274"/>
      <c r="N202" s="283"/>
      <c r="O202" s="283"/>
      <c r="P202" s="267"/>
      <c r="Q202" s="284"/>
      <c r="R202" s="267"/>
      <c r="S202" s="285"/>
      <c r="T202" s="286"/>
      <c r="U202" s="267"/>
      <c r="V202" s="265"/>
      <c r="W202" s="266"/>
      <c r="X202" s="267"/>
      <c r="Y202" s="267"/>
      <c r="Z202" s="268"/>
      <c r="AA202" s="267"/>
      <c r="AB202" s="267"/>
      <c r="AC202" s="269"/>
    </row>
    <row r="203" ht="16.5" customHeight="1">
      <c r="A203" s="274"/>
      <c r="B203" s="275"/>
      <c r="C203" s="276"/>
      <c r="D203" s="276"/>
      <c r="E203" s="276"/>
      <c r="F203" s="277"/>
      <c r="G203" s="278"/>
      <c r="H203" s="277"/>
      <c r="I203" s="279"/>
      <c r="J203" s="280"/>
      <c r="K203" s="281"/>
      <c r="L203" s="282"/>
      <c r="M203" s="274"/>
      <c r="N203" s="283"/>
      <c r="O203" s="283"/>
      <c r="P203" s="267"/>
      <c r="Q203" s="284"/>
      <c r="R203" s="267"/>
      <c r="S203" s="285"/>
      <c r="T203" s="286"/>
      <c r="U203" s="267"/>
      <c r="V203" s="265"/>
      <c r="W203" s="266"/>
      <c r="X203" s="267"/>
      <c r="Y203" s="267"/>
      <c r="Z203" s="268"/>
      <c r="AA203" s="267"/>
      <c r="AB203" s="267"/>
      <c r="AC203" s="269"/>
    </row>
    <row r="204" ht="16.5" customHeight="1">
      <c r="A204" s="274"/>
      <c r="B204" s="275"/>
      <c r="C204" s="276"/>
      <c r="D204" s="276"/>
      <c r="E204" s="276"/>
      <c r="F204" s="277"/>
      <c r="G204" s="278"/>
      <c r="H204" s="277"/>
      <c r="I204" s="279"/>
      <c r="J204" s="280"/>
      <c r="K204" s="281"/>
      <c r="L204" s="282"/>
      <c r="M204" s="274"/>
      <c r="N204" s="283"/>
      <c r="O204" s="283"/>
      <c r="P204" s="267"/>
      <c r="Q204" s="284"/>
      <c r="R204" s="267"/>
      <c r="S204" s="285"/>
      <c r="T204" s="286"/>
      <c r="U204" s="267"/>
      <c r="V204" s="265"/>
      <c r="W204" s="266"/>
      <c r="X204" s="267"/>
      <c r="Y204" s="267"/>
      <c r="Z204" s="268"/>
      <c r="AA204" s="267"/>
      <c r="AB204" s="267"/>
      <c r="AC204" s="269"/>
    </row>
    <row r="205" ht="16.5" customHeight="1">
      <c r="A205" s="274"/>
      <c r="B205" s="275"/>
      <c r="C205" s="276"/>
      <c r="D205" s="276"/>
      <c r="E205" s="276"/>
      <c r="F205" s="277"/>
      <c r="G205" s="278"/>
      <c r="H205" s="277"/>
      <c r="I205" s="279"/>
      <c r="J205" s="280"/>
      <c r="K205" s="281"/>
      <c r="L205" s="282"/>
      <c r="M205" s="274"/>
      <c r="N205" s="283"/>
      <c r="O205" s="283"/>
      <c r="P205" s="267"/>
      <c r="Q205" s="284"/>
      <c r="R205" s="267"/>
      <c r="S205" s="285"/>
      <c r="T205" s="286"/>
      <c r="U205" s="267"/>
      <c r="V205" s="265"/>
      <c r="W205" s="266"/>
      <c r="X205" s="267"/>
      <c r="Y205" s="267"/>
      <c r="Z205" s="268"/>
      <c r="AA205" s="267"/>
      <c r="AB205" s="267"/>
      <c r="AC205" s="269"/>
    </row>
    <row r="206" ht="16.5" customHeight="1">
      <c r="A206" s="274"/>
      <c r="B206" s="275"/>
      <c r="C206" s="276"/>
      <c r="D206" s="276"/>
      <c r="E206" s="276"/>
      <c r="F206" s="277"/>
      <c r="G206" s="278"/>
      <c r="H206" s="277"/>
      <c r="I206" s="279"/>
      <c r="J206" s="280"/>
      <c r="K206" s="281"/>
      <c r="L206" s="282"/>
      <c r="M206" s="274"/>
      <c r="N206" s="283"/>
      <c r="O206" s="283"/>
      <c r="P206" s="267"/>
      <c r="Q206" s="284"/>
      <c r="R206" s="267"/>
      <c r="S206" s="285"/>
      <c r="T206" s="286"/>
      <c r="U206" s="267"/>
      <c r="V206" s="265"/>
      <c r="W206" s="266"/>
      <c r="X206" s="267"/>
      <c r="Y206" s="267"/>
      <c r="Z206" s="268"/>
      <c r="AA206" s="267"/>
      <c r="AB206" s="267"/>
      <c r="AC206" s="269"/>
    </row>
    <row r="207" ht="16.5" customHeight="1">
      <c r="A207" s="274"/>
      <c r="B207" s="275"/>
      <c r="C207" s="276"/>
      <c r="D207" s="276"/>
      <c r="E207" s="276"/>
      <c r="F207" s="277"/>
      <c r="G207" s="278"/>
      <c r="H207" s="277"/>
      <c r="I207" s="279"/>
      <c r="J207" s="280"/>
      <c r="K207" s="281"/>
      <c r="L207" s="282"/>
      <c r="M207" s="274"/>
      <c r="N207" s="283"/>
      <c r="O207" s="283"/>
      <c r="P207" s="267"/>
      <c r="Q207" s="284"/>
      <c r="R207" s="267"/>
      <c r="S207" s="285"/>
      <c r="T207" s="286"/>
      <c r="U207" s="267"/>
      <c r="V207" s="265"/>
      <c r="W207" s="266"/>
      <c r="X207" s="267"/>
      <c r="Y207" s="267"/>
      <c r="Z207" s="268"/>
      <c r="AA207" s="267"/>
      <c r="AB207" s="267"/>
      <c r="AC207" s="269"/>
    </row>
    <row r="208" ht="16.5" customHeight="1">
      <c r="A208" s="274"/>
      <c r="B208" s="275"/>
      <c r="C208" s="276"/>
      <c r="D208" s="276"/>
      <c r="E208" s="276"/>
      <c r="F208" s="277"/>
      <c r="G208" s="278"/>
      <c r="H208" s="277"/>
      <c r="I208" s="279"/>
      <c r="J208" s="280"/>
      <c r="K208" s="281"/>
      <c r="L208" s="282"/>
      <c r="M208" s="274"/>
      <c r="N208" s="283"/>
      <c r="O208" s="283"/>
      <c r="P208" s="267"/>
      <c r="Q208" s="284"/>
      <c r="R208" s="267"/>
      <c r="S208" s="285"/>
      <c r="T208" s="286"/>
      <c r="U208" s="267"/>
      <c r="V208" s="265"/>
      <c r="W208" s="266"/>
      <c r="X208" s="267"/>
      <c r="Y208" s="267"/>
      <c r="Z208" s="268"/>
      <c r="AA208" s="267"/>
      <c r="AB208" s="267"/>
      <c r="AC208" s="269"/>
    </row>
    <row r="209" ht="16.5" customHeight="1">
      <c r="A209" s="274"/>
      <c r="B209" s="275"/>
      <c r="C209" s="276"/>
      <c r="D209" s="276"/>
      <c r="E209" s="276"/>
      <c r="F209" s="277"/>
      <c r="G209" s="278"/>
      <c r="H209" s="277"/>
      <c r="I209" s="279"/>
      <c r="J209" s="280"/>
      <c r="K209" s="281"/>
      <c r="L209" s="282"/>
      <c r="M209" s="274"/>
      <c r="N209" s="283"/>
      <c r="O209" s="283"/>
      <c r="P209" s="267"/>
      <c r="Q209" s="284"/>
      <c r="R209" s="267"/>
      <c r="S209" s="285"/>
      <c r="T209" s="286"/>
      <c r="U209" s="267"/>
      <c r="V209" s="265"/>
      <c r="W209" s="266"/>
      <c r="X209" s="267"/>
      <c r="Y209" s="267"/>
      <c r="Z209" s="268"/>
      <c r="AA209" s="267"/>
      <c r="AB209" s="267"/>
      <c r="AC209" s="269"/>
    </row>
    <row r="210" ht="16.5" customHeight="1">
      <c r="A210" s="274"/>
      <c r="B210" s="275"/>
      <c r="C210" s="276"/>
      <c r="D210" s="276"/>
      <c r="E210" s="276"/>
      <c r="F210" s="277"/>
      <c r="G210" s="278"/>
      <c r="H210" s="277"/>
      <c r="I210" s="279"/>
      <c r="J210" s="280"/>
      <c r="K210" s="281"/>
      <c r="L210" s="282"/>
      <c r="M210" s="274"/>
      <c r="N210" s="283"/>
      <c r="O210" s="283"/>
      <c r="P210" s="267"/>
      <c r="Q210" s="284"/>
      <c r="R210" s="267"/>
      <c r="S210" s="285"/>
      <c r="T210" s="286"/>
      <c r="U210" s="267"/>
      <c r="V210" s="265"/>
      <c r="W210" s="266"/>
      <c r="X210" s="267"/>
      <c r="Y210" s="267"/>
      <c r="Z210" s="268"/>
      <c r="AA210" s="267"/>
      <c r="AB210" s="267"/>
      <c r="AC210" s="269"/>
    </row>
    <row r="211" ht="16.5" customHeight="1">
      <c r="A211" s="274"/>
      <c r="B211" s="275"/>
      <c r="C211" s="276"/>
      <c r="D211" s="276"/>
      <c r="E211" s="276"/>
      <c r="F211" s="277"/>
      <c r="G211" s="278"/>
      <c r="H211" s="277"/>
      <c r="I211" s="279"/>
      <c r="J211" s="280"/>
      <c r="K211" s="281"/>
      <c r="L211" s="282"/>
      <c r="M211" s="274"/>
      <c r="N211" s="283"/>
      <c r="O211" s="283"/>
      <c r="P211" s="267"/>
      <c r="Q211" s="284"/>
      <c r="R211" s="267"/>
      <c r="S211" s="285"/>
      <c r="T211" s="286"/>
      <c r="U211" s="267"/>
      <c r="V211" s="265"/>
      <c r="W211" s="266"/>
      <c r="X211" s="267"/>
      <c r="Y211" s="267"/>
      <c r="Z211" s="268"/>
      <c r="AA211" s="267"/>
      <c r="AB211" s="267"/>
      <c r="AC211" s="269"/>
    </row>
    <row r="212" ht="16.5" customHeight="1">
      <c r="A212" s="274"/>
      <c r="B212" s="275"/>
      <c r="C212" s="276"/>
      <c r="D212" s="276"/>
      <c r="E212" s="276"/>
      <c r="F212" s="277"/>
      <c r="G212" s="278"/>
      <c r="H212" s="277"/>
      <c r="I212" s="279"/>
      <c r="J212" s="280"/>
      <c r="K212" s="281"/>
      <c r="L212" s="282"/>
      <c r="M212" s="274"/>
      <c r="N212" s="283"/>
      <c r="O212" s="283"/>
      <c r="P212" s="267"/>
      <c r="Q212" s="284"/>
      <c r="R212" s="267"/>
      <c r="S212" s="285"/>
      <c r="T212" s="286"/>
      <c r="U212" s="267"/>
      <c r="V212" s="265"/>
      <c r="W212" s="266"/>
      <c r="X212" s="267"/>
      <c r="Y212" s="267"/>
      <c r="Z212" s="268"/>
      <c r="AA212" s="267"/>
      <c r="AB212" s="267"/>
      <c r="AC212" s="269"/>
    </row>
    <row r="213" ht="16.5" customHeight="1">
      <c r="A213" s="274"/>
      <c r="B213" s="275"/>
      <c r="C213" s="276"/>
      <c r="D213" s="276"/>
      <c r="E213" s="276"/>
      <c r="F213" s="277"/>
      <c r="G213" s="278"/>
      <c r="H213" s="277"/>
      <c r="I213" s="279"/>
      <c r="J213" s="280"/>
      <c r="K213" s="281"/>
      <c r="L213" s="282"/>
      <c r="M213" s="274"/>
      <c r="N213" s="283"/>
      <c r="O213" s="283"/>
      <c r="P213" s="267"/>
      <c r="Q213" s="284"/>
      <c r="R213" s="267"/>
      <c r="S213" s="285"/>
      <c r="T213" s="286"/>
      <c r="U213" s="267"/>
      <c r="V213" s="265"/>
      <c r="W213" s="266"/>
      <c r="X213" s="267"/>
      <c r="Y213" s="267"/>
      <c r="Z213" s="268"/>
      <c r="AA213" s="267"/>
      <c r="AB213" s="267"/>
      <c r="AC213" s="269"/>
    </row>
    <row r="214" ht="16.5" customHeight="1">
      <c r="A214" s="274"/>
      <c r="B214" s="275"/>
      <c r="C214" s="276"/>
      <c r="D214" s="276"/>
      <c r="E214" s="276"/>
      <c r="F214" s="277"/>
      <c r="G214" s="278"/>
      <c r="H214" s="277"/>
      <c r="I214" s="279"/>
      <c r="J214" s="280"/>
      <c r="K214" s="281"/>
      <c r="L214" s="282"/>
      <c r="M214" s="274"/>
      <c r="N214" s="283"/>
      <c r="O214" s="283"/>
      <c r="P214" s="267"/>
      <c r="Q214" s="284"/>
      <c r="R214" s="267"/>
      <c r="S214" s="285"/>
      <c r="T214" s="286"/>
      <c r="U214" s="267"/>
      <c r="V214" s="265"/>
      <c r="W214" s="266"/>
      <c r="X214" s="267"/>
      <c r="Y214" s="267"/>
      <c r="Z214" s="268"/>
      <c r="AA214" s="267"/>
      <c r="AB214" s="267"/>
      <c r="AC214" s="269"/>
    </row>
    <row r="215" ht="16.5" customHeight="1">
      <c r="A215" s="274"/>
      <c r="B215" s="275"/>
      <c r="C215" s="276"/>
      <c r="D215" s="276"/>
      <c r="E215" s="276"/>
      <c r="F215" s="277"/>
      <c r="G215" s="278"/>
      <c r="H215" s="277"/>
      <c r="I215" s="279"/>
      <c r="J215" s="280"/>
      <c r="K215" s="281"/>
      <c r="L215" s="282"/>
      <c r="M215" s="274"/>
      <c r="N215" s="283"/>
      <c r="O215" s="283"/>
      <c r="P215" s="267"/>
      <c r="Q215" s="284"/>
      <c r="R215" s="267"/>
      <c r="S215" s="285"/>
      <c r="T215" s="286"/>
      <c r="U215" s="267"/>
      <c r="V215" s="265"/>
      <c r="W215" s="266"/>
      <c r="X215" s="267"/>
      <c r="Y215" s="267"/>
      <c r="Z215" s="268"/>
      <c r="AA215" s="267"/>
      <c r="AB215" s="267"/>
      <c r="AC215" s="269"/>
    </row>
    <row r="216" ht="16.5" customHeight="1">
      <c r="A216" s="274"/>
      <c r="B216" s="275"/>
      <c r="C216" s="276"/>
      <c r="D216" s="276"/>
      <c r="E216" s="276"/>
      <c r="F216" s="277"/>
      <c r="G216" s="278"/>
      <c r="H216" s="277"/>
      <c r="I216" s="279"/>
      <c r="J216" s="280"/>
      <c r="K216" s="281"/>
      <c r="L216" s="282"/>
      <c r="M216" s="274"/>
      <c r="N216" s="283"/>
      <c r="O216" s="283"/>
      <c r="P216" s="267"/>
      <c r="Q216" s="284"/>
      <c r="R216" s="267"/>
      <c r="S216" s="285"/>
      <c r="T216" s="286"/>
      <c r="U216" s="267"/>
      <c r="V216" s="265"/>
      <c r="W216" s="266"/>
      <c r="X216" s="267"/>
      <c r="Y216" s="267"/>
      <c r="Z216" s="268"/>
      <c r="AA216" s="267"/>
      <c r="AB216" s="267"/>
      <c r="AC216" s="269"/>
    </row>
    <row r="217" ht="16.5" customHeight="1">
      <c r="A217" s="274"/>
      <c r="B217" s="275"/>
      <c r="C217" s="276"/>
      <c r="D217" s="276"/>
      <c r="E217" s="276"/>
      <c r="F217" s="277"/>
      <c r="G217" s="278"/>
      <c r="H217" s="277"/>
      <c r="I217" s="279"/>
      <c r="J217" s="280"/>
      <c r="K217" s="281"/>
      <c r="L217" s="282"/>
      <c r="M217" s="274"/>
      <c r="N217" s="283"/>
      <c r="O217" s="283"/>
      <c r="P217" s="267"/>
      <c r="Q217" s="284"/>
      <c r="R217" s="267"/>
      <c r="S217" s="285"/>
      <c r="T217" s="286"/>
      <c r="U217" s="267"/>
      <c r="V217" s="265"/>
      <c r="W217" s="266"/>
      <c r="X217" s="267"/>
      <c r="Y217" s="267"/>
      <c r="Z217" s="268"/>
      <c r="AA217" s="267"/>
      <c r="AB217" s="267"/>
      <c r="AC217" s="269"/>
    </row>
    <row r="218" ht="16.5" customHeight="1">
      <c r="A218" s="274"/>
      <c r="B218" s="275"/>
      <c r="C218" s="276"/>
      <c r="D218" s="276"/>
      <c r="E218" s="276"/>
      <c r="F218" s="277"/>
      <c r="G218" s="278"/>
      <c r="H218" s="277"/>
      <c r="I218" s="279"/>
      <c r="J218" s="280"/>
      <c r="K218" s="281"/>
      <c r="L218" s="282"/>
      <c r="M218" s="274"/>
      <c r="N218" s="283"/>
      <c r="O218" s="283"/>
      <c r="P218" s="267"/>
      <c r="Q218" s="284"/>
      <c r="R218" s="267"/>
      <c r="S218" s="285"/>
      <c r="T218" s="286"/>
      <c r="U218" s="267"/>
      <c r="V218" s="265"/>
      <c r="W218" s="266"/>
      <c r="X218" s="267"/>
      <c r="Y218" s="267"/>
      <c r="Z218" s="268"/>
      <c r="AA218" s="267"/>
      <c r="AB218" s="267"/>
      <c r="AC218" s="269"/>
    </row>
    <row r="219" ht="16.5" customHeight="1">
      <c r="A219" s="274"/>
      <c r="B219" s="275"/>
      <c r="C219" s="276"/>
      <c r="D219" s="276"/>
      <c r="E219" s="276"/>
      <c r="F219" s="277"/>
      <c r="G219" s="278"/>
      <c r="H219" s="277"/>
      <c r="I219" s="279"/>
      <c r="J219" s="280"/>
      <c r="K219" s="281"/>
      <c r="L219" s="282"/>
      <c r="M219" s="274"/>
      <c r="N219" s="283"/>
      <c r="O219" s="283"/>
      <c r="P219" s="267"/>
      <c r="Q219" s="284"/>
      <c r="R219" s="267"/>
      <c r="S219" s="285"/>
      <c r="T219" s="286"/>
      <c r="U219" s="267"/>
      <c r="V219" s="265"/>
      <c r="W219" s="266"/>
      <c r="X219" s="267"/>
      <c r="Y219" s="267"/>
      <c r="Z219" s="268"/>
      <c r="AA219" s="267"/>
      <c r="AB219" s="267"/>
      <c r="AC219" s="269"/>
    </row>
    <row r="220" ht="16.5" customHeight="1">
      <c r="A220" s="274"/>
      <c r="B220" s="275"/>
      <c r="C220" s="276"/>
      <c r="D220" s="276"/>
      <c r="E220" s="276"/>
      <c r="F220" s="277"/>
      <c r="G220" s="278"/>
      <c r="H220" s="277"/>
      <c r="I220" s="279"/>
      <c r="J220" s="280"/>
      <c r="K220" s="281"/>
      <c r="L220" s="282"/>
      <c r="M220" s="274"/>
      <c r="N220" s="283"/>
      <c r="O220" s="283"/>
      <c r="P220" s="267"/>
      <c r="Q220" s="284"/>
      <c r="R220" s="267"/>
      <c r="S220" s="285"/>
      <c r="T220" s="286"/>
      <c r="U220" s="267"/>
      <c r="V220" s="265"/>
      <c r="W220" s="266"/>
      <c r="X220" s="267"/>
      <c r="Y220" s="267"/>
      <c r="Z220" s="268"/>
      <c r="AA220" s="267"/>
      <c r="AB220" s="267"/>
      <c r="AC220" s="269"/>
    </row>
    <row r="221" ht="16.5" customHeight="1">
      <c r="A221" s="274"/>
      <c r="B221" s="275"/>
      <c r="C221" s="276"/>
      <c r="D221" s="276"/>
      <c r="E221" s="276"/>
      <c r="F221" s="277"/>
      <c r="G221" s="278"/>
      <c r="H221" s="277"/>
      <c r="I221" s="279"/>
      <c r="J221" s="280"/>
      <c r="K221" s="281"/>
      <c r="L221" s="282"/>
      <c r="M221" s="274"/>
      <c r="N221" s="283"/>
      <c r="O221" s="283"/>
      <c r="P221" s="267"/>
      <c r="Q221" s="284"/>
      <c r="R221" s="267"/>
      <c r="S221" s="285"/>
      <c r="T221" s="286"/>
      <c r="U221" s="267"/>
      <c r="V221" s="265"/>
      <c r="W221" s="266"/>
      <c r="X221" s="267"/>
      <c r="Y221" s="267"/>
      <c r="Z221" s="268"/>
      <c r="AA221" s="267"/>
      <c r="AB221" s="267"/>
      <c r="AC221" s="269"/>
    </row>
    <row r="222" ht="16.5" customHeight="1">
      <c r="A222" s="274"/>
      <c r="B222" s="275"/>
      <c r="C222" s="276"/>
      <c r="D222" s="276"/>
      <c r="E222" s="276"/>
      <c r="F222" s="277"/>
      <c r="G222" s="278"/>
      <c r="H222" s="277"/>
      <c r="I222" s="279"/>
      <c r="J222" s="280"/>
      <c r="K222" s="281"/>
      <c r="L222" s="282"/>
      <c r="M222" s="274"/>
      <c r="N222" s="283"/>
      <c r="O222" s="283"/>
      <c r="P222" s="267"/>
      <c r="Q222" s="284"/>
      <c r="R222" s="267"/>
      <c r="S222" s="285"/>
      <c r="T222" s="286"/>
      <c r="U222" s="267"/>
      <c r="V222" s="265"/>
      <c r="W222" s="266"/>
      <c r="X222" s="267"/>
      <c r="Y222" s="267"/>
      <c r="Z222" s="268"/>
      <c r="AA222" s="267"/>
      <c r="AB222" s="267"/>
      <c r="AC222" s="269"/>
    </row>
    <row r="223" ht="16.5" customHeight="1">
      <c r="A223" s="274"/>
      <c r="B223" s="275"/>
      <c r="C223" s="276"/>
      <c r="D223" s="276"/>
      <c r="E223" s="276"/>
      <c r="F223" s="277"/>
      <c r="G223" s="278"/>
      <c r="H223" s="277"/>
      <c r="I223" s="279"/>
      <c r="J223" s="280"/>
      <c r="K223" s="281"/>
      <c r="L223" s="282"/>
      <c r="M223" s="274"/>
      <c r="N223" s="283"/>
      <c r="O223" s="283"/>
      <c r="P223" s="267"/>
      <c r="Q223" s="284"/>
      <c r="R223" s="267"/>
      <c r="S223" s="285"/>
      <c r="T223" s="286"/>
      <c r="U223" s="267"/>
      <c r="V223" s="265"/>
      <c r="W223" s="266"/>
      <c r="X223" s="267"/>
      <c r="Y223" s="267"/>
      <c r="Z223" s="268"/>
      <c r="AA223" s="267"/>
      <c r="AB223" s="267"/>
      <c r="AC223" s="269"/>
    </row>
    <row r="224" ht="16.5" customHeight="1">
      <c r="A224" s="274"/>
      <c r="B224" s="275"/>
      <c r="C224" s="276"/>
      <c r="D224" s="276"/>
      <c r="E224" s="276"/>
      <c r="F224" s="277"/>
      <c r="G224" s="278"/>
      <c r="H224" s="277"/>
      <c r="I224" s="279"/>
      <c r="J224" s="280"/>
      <c r="K224" s="281"/>
      <c r="L224" s="282"/>
      <c r="M224" s="274"/>
      <c r="N224" s="283"/>
      <c r="O224" s="283"/>
      <c r="P224" s="267"/>
      <c r="Q224" s="284"/>
      <c r="R224" s="267"/>
      <c r="S224" s="285"/>
      <c r="T224" s="286"/>
      <c r="U224" s="267"/>
      <c r="V224" s="265"/>
      <c r="W224" s="266"/>
      <c r="X224" s="267"/>
      <c r="Y224" s="267"/>
      <c r="Z224" s="268"/>
      <c r="AA224" s="267"/>
      <c r="AB224" s="267"/>
      <c r="AC224" s="269"/>
    </row>
    <row r="225" ht="16.5" customHeight="1">
      <c r="A225" s="274"/>
      <c r="B225" s="275"/>
      <c r="C225" s="276"/>
      <c r="D225" s="276"/>
      <c r="E225" s="276"/>
      <c r="F225" s="277"/>
      <c r="G225" s="278"/>
      <c r="H225" s="277"/>
      <c r="I225" s="279"/>
      <c r="J225" s="280"/>
      <c r="K225" s="281"/>
      <c r="L225" s="282"/>
      <c r="M225" s="274"/>
      <c r="N225" s="283"/>
      <c r="O225" s="283"/>
      <c r="P225" s="267"/>
      <c r="Q225" s="284"/>
      <c r="R225" s="267"/>
      <c r="S225" s="285"/>
      <c r="T225" s="286"/>
      <c r="U225" s="267"/>
      <c r="V225" s="265"/>
      <c r="W225" s="266"/>
      <c r="X225" s="267"/>
      <c r="Y225" s="267"/>
      <c r="Z225" s="268"/>
      <c r="AA225" s="267"/>
      <c r="AB225" s="267"/>
      <c r="AC225" s="269"/>
    </row>
    <row r="226" ht="16.5" customHeight="1">
      <c r="A226" s="274"/>
      <c r="B226" s="275"/>
      <c r="C226" s="276"/>
      <c r="D226" s="276"/>
      <c r="E226" s="276"/>
      <c r="F226" s="277"/>
      <c r="G226" s="278"/>
      <c r="H226" s="277"/>
      <c r="I226" s="279"/>
      <c r="J226" s="280"/>
      <c r="K226" s="281"/>
      <c r="L226" s="282"/>
      <c r="M226" s="274"/>
      <c r="N226" s="283"/>
      <c r="O226" s="283"/>
      <c r="P226" s="267"/>
      <c r="Q226" s="284"/>
      <c r="R226" s="267"/>
      <c r="S226" s="285"/>
      <c r="T226" s="286"/>
      <c r="U226" s="267"/>
      <c r="V226" s="265"/>
      <c r="W226" s="266"/>
      <c r="X226" s="267"/>
      <c r="Y226" s="267"/>
      <c r="Z226" s="268"/>
      <c r="AA226" s="267"/>
      <c r="AB226" s="267"/>
      <c r="AC226" s="269"/>
    </row>
    <row r="227" ht="16.5" customHeight="1">
      <c r="A227" s="274"/>
      <c r="B227" s="275"/>
      <c r="C227" s="276"/>
      <c r="D227" s="276"/>
      <c r="E227" s="276"/>
      <c r="F227" s="277"/>
      <c r="G227" s="278"/>
      <c r="H227" s="277"/>
      <c r="I227" s="279"/>
      <c r="J227" s="280"/>
      <c r="K227" s="281"/>
      <c r="L227" s="282"/>
      <c r="M227" s="274"/>
      <c r="N227" s="283"/>
      <c r="O227" s="283"/>
      <c r="P227" s="267"/>
      <c r="Q227" s="284"/>
      <c r="R227" s="267"/>
      <c r="S227" s="285"/>
      <c r="T227" s="286"/>
      <c r="U227" s="267"/>
      <c r="V227" s="265"/>
      <c r="W227" s="266"/>
      <c r="X227" s="267"/>
      <c r="Y227" s="267"/>
      <c r="Z227" s="268"/>
      <c r="AA227" s="267"/>
      <c r="AB227" s="267"/>
      <c r="AC227" s="269"/>
    </row>
    <row r="228" ht="16.5" customHeight="1">
      <c r="A228" s="274"/>
      <c r="B228" s="275"/>
      <c r="C228" s="276"/>
      <c r="D228" s="276"/>
      <c r="E228" s="276"/>
      <c r="F228" s="277"/>
      <c r="G228" s="278"/>
      <c r="H228" s="277"/>
      <c r="I228" s="279"/>
      <c r="J228" s="280"/>
      <c r="K228" s="281"/>
      <c r="L228" s="282"/>
      <c r="M228" s="274"/>
      <c r="N228" s="283"/>
      <c r="O228" s="283"/>
      <c r="P228" s="267"/>
      <c r="Q228" s="284"/>
      <c r="R228" s="267"/>
      <c r="S228" s="285"/>
      <c r="T228" s="286"/>
      <c r="U228" s="267"/>
      <c r="V228" s="265"/>
      <c r="W228" s="266"/>
      <c r="X228" s="267"/>
      <c r="Y228" s="267"/>
      <c r="Z228" s="268"/>
      <c r="AA228" s="267"/>
      <c r="AB228" s="267"/>
      <c r="AC228" s="269"/>
    </row>
    <row r="229" ht="16.5" customHeight="1">
      <c r="A229" s="274"/>
      <c r="B229" s="275"/>
      <c r="C229" s="276"/>
      <c r="D229" s="276"/>
      <c r="E229" s="276"/>
      <c r="F229" s="277"/>
      <c r="G229" s="278"/>
      <c r="H229" s="277"/>
      <c r="I229" s="279"/>
      <c r="J229" s="280"/>
      <c r="K229" s="281"/>
      <c r="L229" s="282"/>
      <c r="M229" s="274"/>
      <c r="N229" s="283"/>
      <c r="O229" s="283"/>
      <c r="P229" s="267"/>
      <c r="Q229" s="284"/>
      <c r="R229" s="267"/>
      <c r="S229" s="285"/>
      <c r="T229" s="286"/>
      <c r="U229" s="267"/>
      <c r="V229" s="265"/>
      <c r="W229" s="266"/>
      <c r="X229" s="267"/>
      <c r="Y229" s="267"/>
      <c r="Z229" s="268"/>
      <c r="AA229" s="267"/>
      <c r="AB229" s="267"/>
      <c r="AC229" s="269"/>
    </row>
    <row r="230" ht="16.5" customHeight="1">
      <c r="A230" s="274"/>
      <c r="B230" s="275"/>
      <c r="C230" s="276"/>
      <c r="D230" s="276"/>
      <c r="E230" s="276"/>
      <c r="F230" s="277"/>
      <c r="G230" s="278"/>
      <c r="H230" s="277"/>
      <c r="I230" s="279"/>
      <c r="J230" s="280"/>
      <c r="K230" s="281"/>
      <c r="L230" s="282"/>
      <c r="M230" s="274"/>
      <c r="N230" s="283"/>
      <c r="O230" s="283"/>
      <c r="P230" s="267"/>
      <c r="Q230" s="284"/>
      <c r="R230" s="267"/>
      <c r="S230" s="285"/>
      <c r="T230" s="286"/>
      <c r="U230" s="267"/>
      <c r="V230" s="265"/>
      <c r="W230" s="266"/>
      <c r="X230" s="267"/>
      <c r="Y230" s="267"/>
      <c r="Z230" s="268"/>
      <c r="AA230" s="267"/>
      <c r="AB230" s="267"/>
      <c r="AC230" s="269"/>
    </row>
    <row r="231" ht="16.5" customHeight="1">
      <c r="A231" s="274"/>
      <c r="B231" s="275"/>
      <c r="C231" s="276"/>
      <c r="D231" s="276"/>
      <c r="E231" s="276"/>
      <c r="F231" s="277"/>
      <c r="G231" s="278"/>
      <c r="H231" s="277"/>
      <c r="I231" s="279"/>
      <c r="J231" s="280"/>
      <c r="K231" s="281"/>
      <c r="L231" s="282"/>
      <c r="M231" s="274"/>
      <c r="N231" s="283"/>
      <c r="O231" s="283"/>
      <c r="P231" s="267"/>
      <c r="Q231" s="284"/>
      <c r="R231" s="267"/>
      <c r="S231" s="285"/>
      <c r="T231" s="286"/>
      <c r="U231" s="267"/>
      <c r="V231" s="265"/>
      <c r="W231" s="266"/>
      <c r="X231" s="267"/>
      <c r="Y231" s="267"/>
      <c r="Z231" s="268"/>
      <c r="AA231" s="267"/>
      <c r="AB231" s="267"/>
      <c r="AC231" s="269"/>
    </row>
    <row r="232" ht="16.5" customHeight="1">
      <c r="A232" s="274"/>
      <c r="B232" s="275"/>
      <c r="C232" s="276"/>
      <c r="D232" s="276"/>
      <c r="E232" s="276"/>
      <c r="F232" s="277"/>
      <c r="G232" s="278"/>
      <c r="H232" s="277"/>
      <c r="I232" s="279"/>
      <c r="J232" s="280"/>
      <c r="K232" s="281"/>
      <c r="L232" s="282"/>
      <c r="M232" s="274"/>
      <c r="N232" s="283"/>
      <c r="O232" s="283"/>
      <c r="P232" s="267"/>
      <c r="Q232" s="284"/>
      <c r="R232" s="267"/>
      <c r="S232" s="285"/>
      <c r="T232" s="286"/>
      <c r="U232" s="267"/>
      <c r="V232" s="265"/>
      <c r="W232" s="266"/>
      <c r="X232" s="267"/>
      <c r="Y232" s="267"/>
      <c r="Z232" s="268"/>
      <c r="AA232" s="267"/>
      <c r="AB232" s="267"/>
      <c r="AC232" s="269"/>
    </row>
    <row r="233" ht="16.5" customHeight="1">
      <c r="A233" s="274"/>
      <c r="B233" s="275"/>
      <c r="C233" s="276"/>
      <c r="D233" s="276"/>
      <c r="E233" s="276"/>
      <c r="F233" s="277"/>
      <c r="G233" s="278"/>
      <c r="H233" s="277"/>
      <c r="I233" s="279"/>
      <c r="J233" s="280"/>
      <c r="K233" s="281"/>
      <c r="L233" s="282"/>
      <c r="M233" s="274"/>
      <c r="N233" s="283"/>
      <c r="O233" s="283"/>
      <c r="P233" s="267"/>
      <c r="Q233" s="284"/>
      <c r="R233" s="267"/>
      <c r="S233" s="285"/>
      <c r="T233" s="286"/>
      <c r="U233" s="267"/>
      <c r="V233" s="265"/>
      <c r="W233" s="266"/>
      <c r="X233" s="267"/>
      <c r="Y233" s="267"/>
      <c r="Z233" s="268"/>
      <c r="AA233" s="267"/>
      <c r="AB233" s="267"/>
      <c r="AC233" s="269"/>
    </row>
    <row r="234" ht="16.5" customHeight="1">
      <c r="A234" s="274"/>
      <c r="B234" s="275"/>
      <c r="C234" s="276"/>
      <c r="D234" s="276"/>
      <c r="E234" s="276"/>
      <c r="F234" s="277"/>
      <c r="G234" s="278"/>
      <c r="H234" s="277"/>
      <c r="I234" s="279"/>
      <c r="J234" s="280"/>
      <c r="K234" s="281"/>
      <c r="L234" s="282"/>
      <c r="M234" s="274"/>
      <c r="N234" s="283"/>
      <c r="O234" s="283"/>
      <c r="P234" s="267"/>
      <c r="Q234" s="284"/>
      <c r="R234" s="267"/>
      <c r="S234" s="285"/>
      <c r="T234" s="286"/>
      <c r="U234" s="267"/>
      <c r="V234" s="265"/>
      <c r="W234" s="266"/>
      <c r="X234" s="267"/>
      <c r="Y234" s="267"/>
      <c r="Z234" s="268"/>
      <c r="AA234" s="267"/>
      <c r="AB234" s="267"/>
      <c r="AC234" s="269"/>
    </row>
    <row r="235" ht="16.5" customHeight="1">
      <c r="A235" s="274"/>
      <c r="B235" s="275"/>
      <c r="C235" s="276"/>
      <c r="D235" s="276"/>
      <c r="E235" s="276"/>
      <c r="F235" s="277"/>
      <c r="G235" s="278"/>
      <c r="H235" s="277"/>
      <c r="I235" s="279"/>
      <c r="J235" s="280"/>
      <c r="K235" s="281"/>
      <c r="L235" s="282"/>
      <c r="M235" s="274"/>
      <c r="N235" s="283"/>
      <c r="O235" s="283"/>
      <c r="P235" s="267"/>
      <c r="Q235" s="284"/>
      <c r="R235" s="267"/>
      <c r="S235" s="285"/>
      <c r="T235" s="286"/>
      <c r="U235" s="267"/>
      <c r="V235" s="265"/>
      <c r="W235" s="266"/>
      <c r="X235" s="267"/>
      <c r="Y235" s="267"/>
      <c r="Z235" s="268"/>
      <c r="AA235" s="267"/>
      <c r="AB235" s="267"/>
      <c r="AC235" s="269"/>
    </row>
    <row r="236" ht="16.5" customHeight="1">
      <c r="A236" s="274"/>
      <c r="B236" s="275"/>
      <c r="C236" s="276"/>
      <c r="D236" s="276"/>
      <c r="E236" s="276"/>
      <c r="F236" s="277"/>
      <c r="G236" s="278"/>
      <c r="H236" s="277"/>
      <c r="I236" s="279"/>
      <c r="J236" s="280"/>
      <c r="K236" s="281"/>
      <c r="L236" s="282"/>
      <c r="M236" s="274"/>
      <c r="N236" s="283"/>
      <c r="O236" s="283"/>
      <c r="P236" s="267"/>
      <c r="Q236" s="284"/>
      <c r="R236" s="267"/>
      <c r="S236" s="285"/>
      <c r="T236" s="286"/>
      <c r="U236" s="267"/>
      <c r="V236" s="265"/>
      <c r="W236" s="266"/>
      <c r="X236" s="267"/>
      <c r="Y236" s="267"/>
      <c r="Z236" s="268"/>
      <c r="AA236" s="267"/>
      <c r="AB236" s="267"/>
      <c r="AC236" s="269"/>
    </row>
    <row r="237" ht="16.5" customHeight="1">
      <c r="A237" s="274"/>
      <c r="B237" s="275"/>
      <c r="C237" s="276"/>
      <c r="D237" s="276"/>
      <c r="E237" s="276"/>
      <c r="F237" s="277"/>
      <c r="G237" s="278"/>
      <c r="H237" s="277"/>
      <c r="I237" s="279"/>
      <c r="J237" s="280"/>
      <c r="K237" s="281"/>
      <c r="L237" s="282"/>
      <c r="M237" s="274"/>
      <c r="N237" s="283"/>
      <c r="O237" s="283"/>
      <c r="P237" s="267"/>
      <c r="Q237" s="284"/>
      <c r="R237" s="267"/>
      <c r="S237" s="285"/>
      <c r="T237" s="286"/>
      <c r="U237" s="267"/>
      <c r="V237" s="265"/>
      <c r="W237" s="266"/>
      <c r="X237" s="267"/>
      <c r="Y237" s="267"/>
      <c r="Z237" s="268"/>
      <c r="AA237" s="267"/>
      <c r="AB237" s="267"/>
      <c r="AC237" s="269"/>
    </row>
    <row r="238" ht="16.5" customHeight="1">
      <c r="A238" s="274"/>
      <c r="B238" s="275"/>
      <c r="C238" s="276"/>
      <c r="D238" s="276"/>
      <c r="E238" s="276"/>
      <c r="F238" s="277"/>
      <c r="G238" s="278"/>
      <c r="H238" s="277"/>
      <c r="I238" s="279"/>
      <c r="J238" s="280"/>
      <c r="K238" s="281"/>
      <c r="L238" s="282"/>
      <c r="M238" s="274"/>
      <c r="N238" s="283"/>
      <c r="O238" s="283"/>
      <c r="P238" s="267"/>
      <c r="Q238" s="284"/>
      <c r="R238" s="267"/>
      <c r="S238" s="285"/>
      <c r="T238" s="286"/>
      <c r="U238" s="267"/>
      <c r="V238" s="265"/>
      <c r="W238" s="266"/>
      <c r="X238" s="267"/>
      <c r="Y238" s="267"/>
      <c r="Z238" s="268"/>
      <c r="AA238" s="267"/>
      <c r="AB238" s="267"/>
      <c r="AC238" s="269"/>
    </row>
    <row r="239" ht="16.5" customHeight="1">
      <c r="A239" s="274"/>
      <c r="B239" s="275"/>
      <c r="C239" s="276"/>
      <c r="D239" s="276"/>
      <c r="E239" s="276"/>
      <c r="F239" s="277"/>
      <c r="G239" s="278"/>
      <c r="H239" s="277"/>
      <c r="I239" s="279"/>
      <c r="J239" s="280"/>
      <c r="K239" s="281"/>
      <c r="L239" s="282"/>
      <c r="M239" s="274"/>
      <c r="N239" s="283"/>
      <c r="O239" s="283"/>
      <c r="P239" s="267"/>
      <c r="Q239" s="284"/>
      <c r="R239" s="267"/>
      <c r="S239" s="285"/>
      <c r="T239" s="286"/>
      <c r="U239" s="267"/>
      <c r="V239" s="265"/>
      <c r="W239" s="266"/>
      <c r="X239" s="267"/>
      <c r="Y239" s="267"/>
      <c r="Z239" s="268"/>
      <c r="AA239" s="267"/>
      <c r="AB239" s="267"/>
      <c r="AC239" s="269"/>
    </row>
    <row r="240" ht="16.5" customHeight="1">
      <c r="A240" s="274"/>
      <c r="B240" s="275"/>
      <c r="C240" s="276"/>
      <c r="D240" s="276"/>
      <c r="E240" s="276"/>
      <c r="F240" s="277"/>
      <c r="G240" s="278"/>
      <c r="H240" s="277"/>
      <c r="I240" s="279"/>
      <c r="J240" s="280"/>
      <c r="K240" s="281"/>
      <c r="L240" s="282"/>
      <c r="M240" s="274"/>
      <c r="N240" s="283"/>
      <c r="O240" s="283"/>
      <c r="P240" s="267"/>
      <c r="Q240" s="284"/>
      <c r="R240" s="267"/>
      <c r="S240" s="285"/>
      <c r="T240" s="286"/>
      <c r="U240" s="267"/>
      <c r="V240" s="265"/>
      <c r="W240" s="266"/>
      <c r="X240" s="267"/>
      <c r="Y240" s="267"/>
      <c r="Z240" s="268"/>
      <c r="AA240" s="267"/>
      <c r="AB240" s="267"/>
      <c r="AC240" s="269"/>
    </row>
    <row r="241" ht="16.5" customHeight="1">
      <c r="A241" s="274"/>
      <c r="B241" s="275"/>
      <c r="C241" s="276"/>
      <c r="D241" s="276"/>
      <c r="E241" s="276"/>
      <c r="F241" s="277"/>
      <c r="G241" s="278"/>
      <c r="H241" s="277"/>
      <c r="I241" s="279"/>
      <c r="J241" s="280"/>
      <c r="K241" s="281"/>
      <c r="L241" s="282"/>
      <c r="M241" s="274"/>
      <c r="N241" s="283"/>
      <c r="O241" s="283"/>
      <c r="P241" s="267"/>
      <c r="Q241" s="284"/>
      <c r="R241" s="267"/>
      <c r="S241" s="285"/>
      <c r="T241" s="286"/>
      <c r="U241" s="267"/>
      <c r="V241" s="265"/>
      <c r="W241" s="266"/>
      <c r="X241" s="267"/>
      <c r="Y241" s="267"/>
      <c r="Z241" s="268"/>
      <c r="AA241" s="267"/>
      <c r="AB241" s="267"/>
      <c r="AC241" s="269"/>
    </row>
    <row r="242" ht="16.5" customHeight="1">
      <c r="A242" s="274"/>
      <c r="B242" s="275"/>
      <c r="C242" s="276"/>
      <c r="D242" s="276"/>
      <c r="E242" s="276"/>
      <c r="F242" s="277"/>
      <c r="G242" s="278"/>
      <c r="H242" s="277"/>
      <c r="I242" s="279"/>
      <c r="J242" s="280"/>
      <c r="K242" s="281"/>
      <c r="L242" s="282"/>
      <c r="M242" s="274"/>
      <c r="N242" s="283"/>
      <c r="O242" s="283"/>
      <c r="P242" s="267"/>
      <c r="Q242" s="284"/>
      <c r="R242" s="267"/>
      <c r="S242" s="285"/>
      <c r="T242" s="286"/>
      <c r="U242" s="267"/>
      <c r="V242" s="265"/>
      <c r="W242" s="266"/>
      <c r="X242" s="267"/>
      <c r="Y242" s="267"/>
      <c r="Z242" s="268"/>
      <c r="AA242" s="267"/>
      <c r="AB242" s="267"/>
      <c r="AC242" s="269"/>
    </row>
    <row r="243" ht="16.5" customHeight="1">
      <c r="A243" s="274"/>
      <c r="B243" s="275"/>
      <c r="C243" s="276"/>
      <c r="D243" s="276"/>
      <c r="E243" s="276"/>
      <c r="F243" s="277"/>
      <c r="G243" s="278"/>
      <c r="H243" s="277"/>
      <c r="I243" s="279"/>
      <c r="J243" s="280"/>
      <c r="K243" s="281"/>
      <c r="L243" s="282"/>
      <c r="M243" s="274"/>
      <c r="N243" s="283"/>
      <c r="O243" s="283"/>
      <c r="P243" s="267"/>
      <c r="Q243" s="284"/>
      <c r="R243" s="267"/>
      <c r="S243" s="285"/>
      <c r="T243" s="286"/>
      <c r="U243" s="267"/>
      <c r="V243" s="265"/>
      <c r="W243" s="266"/>
      <c r="X243" s="267"/>
      <c r="Y243" s="267"/>
      <c r="Z243" s="268"/>
      <c r="AA243" s="267"/>
      <c r="AB243" s="267"/>
      <c r="AC243" s="269"/>
    </row>
    <row r="244" ht="16.5" customHeight="1">
      <c r="A244" s="274"/>
      <c r="B244" s="275"/>
      <c r="C244" s="276"/>
      <c r="D244" s="276"/>
      <c r="E244" s="276"/>
      <c r="F244" s="277"/>
      <c r="G244" s="278"/>
      <c r="H244" s="277"/>
      <c r="I244" s="279"/>
      <c r="J244" s="280"/>
      <c r="K244" s="281"/>
      <c r="L244" s="282"/>
      <c r="M244" s="274"/>
      <c r="N244" s="283"/>
      <c r="O244" s="283"/>
      <c r="P244" s="267"/>
      <c r="Q244" s="284"/>
      <c r="R244" s="267"/>
      <c r="S244" s="285"/>
      <c r="T244" s="286"/>
      <c r="U244" s="267"/>
      <c r="V244" s="265"/>
      <c r="W244" s="266"/>
      <c r="X244" s="267"/>
      <c r="Y244" s="267"/>
      <c r="Z244" s="268"/>
      <c r="AA244" s="267"/>
      <c r="AB244" s="267"/>
      <c r="AC244" s="269"/>
    </row>
    <row r="245" ht="16.5" customHeight="1">
      <c r="A245" s="274"/>
      <c r="B245" s="275"/>
      <c r="C245" s="276"/>
      <c r="D245" s="276"/>
      <c r="E245" s="276"/>
      <c r="F245" s="277"/>
      <c r="G245" s="278"/>
      <c r="H245" s="277"/>
      <c r="I245" s="279"/>
      <c r="J245" s="280"/>
      <c r="K245" s="281"/>
      <c r="L245" s="282"/>
      <c r="M245" s="274"/>
      <c r="N245" s="283"/>
      <c r="O245" s="283"/>
      <c r="P245" s="267"/>
      <c r="Q245" s="284"/>
      <c r="R245" s="267"/>
      <c r="S245" s="285"/>
      <c r="T245" s="286"/>
      <c r="U245" s="267"/>
      <c r="V245" s="265"/>
      <c r="W245" s="266"/>
      <c r="X245" s="267"/>
      <c r="Y245" s="267"/>
      <c r="Z245" s="268"/>
      <c r="AA245" s="267"/>
      <c r="AB245" s="267"/>
      <c r="AC245" s="269"/>
    </row>
    <row r="246" ht="16.5" customHeight="1">
      <c r="A246" s="274"/>
      <c r="B246" s="275"/>
      <c r="C246" s="276"/>
      <c r="D246" s="276"/>
      <c r="E246" s="276"/>
      <c r="F246" s="277"/>
      <c r="G246" s="278"/>
      <c r="H246" s="277"/>
      <c r="I246" s="279"/>
      <c r="J246" s="280"/>
      <c r="K246" s="281"/>
      <c r="L246" s="282"/>
      <c r="M246" s="274"/>
      <c r="N246" s="283"/>
      <c r="O246" s="283"/>
      <c r="P246" s="267"/>
      <c r="Q246" s="284"/>
      <c r="R246" s="267"/>
      <c r="S246" s="285"/>
      <c r="T246" s="286"/>
      <c r="U246" s="267"/>
      <c r="V246" s="265"/>
      <c r="W246" s="266"/>
      <c r="X246" s="267"/>
      <c r="Y246" s="267"/>
      <c r="Z246" s="268"/>
      <c r="AA246" s="267"/>
      <c r="AB246" s="267"/>
      <c r="AC246" s="269"/>
    </row>
    <row r="247" ht="16.5" customHeight="1">
      <c r="A247" s="274"/>
      <c r="B247" s="275"/>
      <c r="C247" s="276"/>
      <c r="D247" s="276"/>
      <c r="E247" s="276"/>
      <c r="F247" s="277"/>
      <c r="G247" s="278"/>
      <c r="H247" s="277"/>
      <c r="I247" s="279"/>
      <c r="J247" s="280"/>
      <c r="K247" s="281"/>
      <c r="L247" s="282"/>
      <c r="M247" s="274"/>
      <c r="N247" s="283"/>
      <c r="O247" s="283"/>
      <c r="P247" s="267"/>
      <c r="Q247" s="284"/>
      <c r="R247" s="267"/>
      <c r="S247" s="285"/>
      <c r="T247" s="286"/>
      <c r="U247" s="267"/>
      <c r="V247" s="265"/>
      <c r="W247" s="266"/>
      <c r="X247" s="267"/>
      <c r="Y247" s="267"/>
      <c r="Z247" s="268"/>
      <c r="AA247" s="267"/>
      <c r="AB247" s="267"/>
      <c r="AC247" s="269"/>
    </row>
    <row r="248" ht="16.5" customHeight="1">
      <c r="A248" s="274"/>
      <c r="B248" s="275"/>
      <c r="C248" s="276"/>
      <c r="D248" s="276"/>
      <c r="E248" s="276"/>
      <c r="F248" s="277"/>
      <c r="G248" s="278"/>
      <c r="H248" s="277"/>
      <c r="I248" s="279"/>
      <c r="J248" s="280"/>
      <c r="K248" s="281"/>
      <c r="L248" s="282"/>
      <c r="M248" s="274"/>
      <c r="N248" s="283"/>
      <c r="O248" s="283"/>
      <c r="P248" s="267"/>
      <c r="Q248" s="284"/>
      <c r="R248" s="267"/>
      <c r="S248" s="285"/>
      <c r="T248" s="286"/>
      <c r="U248" s="267"/>
      <c r="V248" s="265"/>
      <c r="W248" s="266"/>
      <c r="X248" s="267"/>
      <c r="Y248" s="267"/>
      <c r="Z248" s="268"/>
      <c r="AA248" s="267"/>
      <c r="AB248" s="267"/>
      <c r="AC248" s="269"/>
    </row>
    <row r="249" ht="16.5" customHeight="1">
      <c r="A249" s="274"/>
      <c r="B249" s="275"/>
      <c r="C249" s="276"/>
      <c r="D249" s="276"/>
      <c r="E249" s="276"/>
      <c r="F249" s="277"/>
      <c r="G249" s="278"/>
      <c r="H249" s="277"/>
      <c r="I249" s="279"/>
      <c r="J249" s="280"/>
      <c r="K249" s="281"/>
      <c r="L249" s="282"/>
      <c r="M249" s="274"/>
      <c r="N249" s="283"/>
      <c r="O249" s="283"/>
      <c r="P249" s="267"/>
      <c r="Q249" s="284"/>
      <c r="R249" s="267"/>
      <c r="S249" s="285"/>
      <c r="T249" s="286"/>
      <c r="U249" s="267"/>
      <c r="V249" s="265"/>
      <c r="W249" s="266"/>
      <c r="X249" s="267"/>
      <c r="Y249" s="267"/>
      <c r="Z249" s="268"/>
      <c r="AA249" s="267"/>
      <c r="AB249" s="267"/>
      <c r="AC249" s="269"/>
    </row>
    <row r="250" ht="16.5" customHeight="1">
      <c r="A250" s="274"/>
      <c r="B250" s="275"/>
      <c r="C250" s="276"/>
      <c r="D250" s="276"/>
      <c r="E250" s="276"/>
      <c r="F250" s="277"/>
      <c r="G250" s="278"/>
      <c r="H250" s="277"/>
      <c r="I250" s="279"/>
      <c r="J250" s="280"/>
      <c r="K250" s="281"/>
      <c r="L250" s="282"/>
      <c r="M250" s="274"/>
      <c r="N250" s="283"/>
      <c r="O250" s="283"/>
      <c r="P250" s="267"/>
      <c r="Q250" s="284"/>
      <c r="R250" s="267"/>
      <c r="S250" s="285"/>
      <c r="T250" s="286"/>
      <c r="U250" s="267"/>
      <c r="V250" s="265"/>
      <c r="W250" s="266"/>
      <c r="X250" s="267"/>
      <c r="Y250" s="267"/>
      <c r="Z250" s="268"/>
      <c r="AA250" s="267"/>
      <c r="AB250" s="267"/>
      <c r="AC250" s="269"/>
    </row>
    <row r="251" ht="16.5" customHeight="1">
      <c r="A251" s="274"/>
      <c r="B251" s="275"/>
      <c r="C251" s="276"/>
      <c r="D251" s="276"/>
      <c r="E251" s="276"/>
      <c r="F251" s="277"/>
      <c r="G251" s="278"/>
      <c r="H251" s="277"/>
      <c r="I251" s="279"/>
      <c r="J251" s="280"/>
      <c r="K251" s="281"/>
      <c r="L251" s="282"/>
      <c r="M251" s="274"/>
      <c r="N251" s="283"/>
      <c r="O251" s="283"/>
      <c r="P251" s="267"/>
      <c r="Q251" s="284"/>
      <c r="R251" s="267"/>
      <c r="S251" s="285"/>
      <c r="T251" s="286"/>
      <c r="U251" s="267"/>
      <c r="V251" s="265"/>
      <c r="W251" s="266"/>
      <c r="X251" s="267"/>
      <c r="Y251" s="267"/>
      <c r="Z251" s="268"/>
      <c r="AA251" s="267"/>
      <c r="AB251" s="267"/>
      <c r="AC251" s="269"/>
    </row>
    <row r="252" ht="16.5" customHeight="1">
      <c r="A252" s="274"/>
      <c r="B252" s="275"/>
      <c r="C252" s="276"/>
      <c r="D252" s="276"/>
      <c r="E252" s="276"/>
      <c r="F252" s="277"/>
      <c r="G252" s="278"/>
      <c r="H252" s="277"/>
      <c r="I252" s="279"/>
      <c r="J252" s="280"/>
      <c r="K252" s="281"/>
      <c r="L252" s="282"/>
      <c r="M252" s="274"/>
      <c r="N252" s="283"/>
      <c r="O252" s="283"/>
      <c r="P252" s="267"/>
      <c r="Q252" s="284"/>
      <c r="R252" s="267"/>
      <c r="S252" s="285"/>
      <c r="T252" s="286"/>
      <c r="U252" s="267"/>
      <c r="V252" s="265"/>
      <c r="W252" s="266"/>
      <c r="X252" s="267"/>
      <c r="Y252" s="267"/>
      <c r="Z252" s="268"/>
      <c r="AA252" s="267"/>
      <c r="AB252" s="267"/>
      <c r="AC252" s="269"/>
    </row>
    <row r="253" ht="16.5" customHeight="1">
      <c r="A253" s="274"/>
      <c r="B253" s="275"/>
      <c r="C253" s="276"/>
      <c r="D253" s="276"/>
      <c r="E253" s="276"/>
      <c r="F253" s="277"/>
      <c r="G253" s="278"/>
      <c r="H253" s="277"/>
      <c r="I253" s="279"/>
      <c r="J253" s="280"/>
      <c r="K253" s="281"/>
      <c r="L253" s="282"/>
      <c r="M253" s="274"/>
      <c r="N253" s="283"/>
      <c r="O253" s="283"/>
      <c r="P253" s="267"/>
      <c r="Q253" s="284"/>
      <c r="R253" s="267"/>
      <c r="S253" s="285"/>
      <c r="T253" s="286"/>
      <c r="U253" s="267"/>
      <c r="V253" s="265"/>
      <c r="W253" s="266"/>
      <c r="X253" s="267"/>
      <c r="Y253" s="267"/>
      <c r="Z253" s="268"/>
      <c r="AA253" s="267"/>
      <c r="AB253" s="267"/>
      <c r="AC253" s="269"/>
    </row>
    <row r="254" ht="16.5" customHeight="1">
      <c r="A254" s="274"/>
      <c r="B254" s="275"/>
      <c r="C254" s="276"/>
      <c r="D254" s="276"/>
      <c r="E254" s="276"/>
      <c r="F254" s="277"/>
      <c r="G254" s="278"/>
      <c r="H254" s="277"/>
      <c r="I254" s="279"/>
      <c r="J254" s="280"/>
      <c r="K254" s="281"/>
      <c r="L254" s="282"/>
      <c r="M254" s="274"/>
      <c r="N254" s="283"/>
      <c r="O254" s="283"/>
      <c r="P254" s="267"/>
      <c r="Q254" s="284"/>
      <c r="R254" s="267"/>
      <c r="S254" s="285"/>
      <c r="T254" s="286"/>
      <c r="U254" s="267"/>
      <c r="V254" s="265"/>
      <c r="W254" s="266"/>
      <c r="X254" s="267"/>
      <c r="Y254" s="267"/>
      <c r="Z254" s="268"/>
      <c r="AA254" s="267"/>
      <c r="AB254" s="267"/>
      <c r="AC254" s="269"/>
    </row>
    <row r="255" ht="16.5" customHeight="1">
      <c r="A255" s="274"/>
      <c r="B255" s="275"/>
      <c r="C255" s="276"/>
      <c r="D255" s="276"/>
      <c r="E255" s="276"/>
      <c r="F255" s="277"/>
      <c r="G255" s="278"/>
      <c r="H255" s="277"/>
      <c r="I255" s="279"/>
      <c r="J255" s="280"/>
      <c r="K255" s="281"/>
      <c r="L255" s="282"/>
      <c r="M255" s="274"/>
      <c r="N255" s="283"/>
      <c r="O255" s="283"/>
      <c r="P255" s="267"/>
      <c r="Q255" s="284"/>
      <c r="R255" s="267"/>
      <c r="S255" s="285"/>
      <c r="T255" s="286"/>
      <c r="U255" s="267"/>
      <c r="V255" s="265"/>
      <c r="W255" s="266"/>
      <c r="X255" s="267"/>
      <c r="Y255" s="267"/>
      <c r="Z255" s="268"/>
      <c r="AA255" s="267"/>
      <c r="AB255" s="267"/>
      <c r="AC255" s="269"/>
    </row>
    <row r="256" ht="16.5" customHeight="1">
      <c r="A256" s="274"/>
      <c r="B256" s="275"/>
      <c r="C256" s="276"/>
      <c r="D256" s="276"/>
      <c r="E256" s="276"/>
      <c r="F256" s="277"/>
      <c r="G256" s="278"/>
      <c r="H256" s="277"/>
      <c r="I256" s="279"/>
      <c r="J256" s="280"/>
      <c r="K256" s="281"/>
      <c r="L256" s="282"/>
      <c r="M256" s="274"/>
      <c r="N256" s="283"/>
      <c r="O256" s="283"/>
      <c r="P256" s="267"/>
      <c r="Q256" s="284"/>
      <c r="R256" s="267"/>
      <c r="S256" s="285"/>
      <c r="T256" s="286"/>
      <c r="U256" s="267"/>
      <c r="V256" s="265"/>
      <c r="W256" s="266"/>
      <c r="X256" s="267"/>
      <c r="Y256" s="267"/>
      <c r="Z256" s="268"/>
      <c r="AA256" s="267"/>
      <c r="AB256" s="267"/>
      <c r="AC256" s="269"/>
    </row>
    <row r="257" ht="16.5" customHeight="1">
      <c r="A257" s="274"/>
      <c r="B257" s="275"/>
      <c r="C257" s="276"/>
      <c r="D257" s="276"/>
      <c r="E257" s="276"/>
      <c r="F257" s="277"/>
      <c r="G257" s="278"/>
      <c r="H257" s="277"/>
      <c r="I257" s="279"/>
      <c r="J257" s="280"/>
      <c r="K257" s="281"/>
      <c r="L257" s="282"/>
      <c r="M257" s="274"/>
      <c r="N257" s="283"/>
      <c r="O257" s="283"/>
      <c r="P257" s="267"/>
      <c r="Q257" s="284"/>
      <c r="R257" s="267"/>
      <c r="S257" s="285"/>
      <c r="T257" s="286"/>
      <c r="U257" s="267"/>
      <c r="V257" s="265"/>
      <c r="W257" s="266"/>
      <c r="X257" s="267"/>
      <c r="Y257" s="267"/>
      <c r="Z257" s="268"/>
      <c r="AA257" s="267"/>
      <c r="AB257" s="267"/>
      <c r="AC257" s="269"/>
    </row>
    <row r="258" ht="16.5" customHeight="1">
      <c r="A258" s="274"/>
      <c r="B258" s="275"/>
      <c r="C258" s="276"/>
      <c r="D258" s="276"/>
      <c r="E258" s="276"/>
      <c r="F258" s="277"/>
      <c r="G258" s="278"/>
      <c r="H258" s="277"/>
      <c r="I258" s="279"/>
      <c r="J258" s="280"/>
      <c r="K258" s="281"/>
      <c r="L258" s="282"/>
      <c r="M258" s="274"/>
      <c r="N258" s="283"/>
      <c r="O258" s="283"/>
      <c r="P258" s="267"/>
      <c r="Q258" s="284"/>
      <c r="R258" s="267"/>
      <c r="S258" s="285"/>
      <c r="T258" s="286"/>
      <c r="U258" s="267"/>
      <c r="V258" s="265"/>
      <c r="W258" s="266"/>
      <c r="X258" s="267"/>
      <c r="Y258" s="267"/>
      <c r="Z258" s="268"/>
      <c r="AA258" s="267"/>
      <c r="AB258" s="267"/>
      <c r="AC258" s="269"/>
    </row>
    <row r="259" ht="16.5" customHeight="1">
      <c r="A259" s="274"/>
      <c r="B259" s="275"/>
      <c r="C259" s="276"/>
      <c r="D259" s="276"/>
      <c r="E259" s="276"/>
      <c r="F259" s="277"/>
      <c r="G259" s="278"/>
      <c r="H259" s="277"/>
      <c r="I259" s="279"/>
      <c r="J259" s="280"/>
      <c r="K259" s="281"/>
      <c r="L259" s="282"/>
      <c r="M259" s="274"/>
      <c r="N259" s="283"/>
      <c r="O259" s="283"/>
      <c r="P259" s="267"/>
      <c r="Q259" s="284"/>
      <c r="R259" s="267"/>
      <c r="S259" s="285"/>
      <c r="T259" s="286"/>
      <c r="U259" s="267"/>
      <c r="V259" s="265"/>
      <c r="W259" s="266"/>
      <c r="X259" s="267"/>
      <c r="Y259" s="267"/>
      <c r="Z259" s="268"/>
      <c r="AA259" s="267"/>
      <c r="AB259" s="267"/>
      <c r="AC259" s="269"/>
    </row>
    <row r="260" ht="16.5" customHeight="1">
      <c r="A260" s="274"/>
      <c r="B260" s="275"/>
      <c r="C260" s="276"/>
      <c r="D260" s="276"/>
      <c r="E260" s="276"/>
      <c r="F260" s="277"/>
      <c r="G260" s="278"/>
      <c r="H260" s="277"/>
      <c r="I260" s="279"/>
      <c r="J260" s="280"/>
      <c r="K260" s="281"/>
      <c r="L260" s="282"/>
      <c r="M260" s="274"/>
      <c r="N260" s="283"/>
      <c r="O260" s="283"/>
      <c r="P260" s="267"/>
      <c r="Q260" s="284"/>
      <c r="R260" s="267"/>
      <c r="S260" s="285"/>
      <c r="T260" s="286"/>
      <c r="U260" s="267"/>
      <c r="V260" s="265"/>
      <c r="W260" s="266"/>
      <c r="X260" s="267"/>
      <c r="Y260" s="267"/>
      <c r="Z260" s="268"/>
      <c r="AA260" s="267"/>
      <c r="AB260" s="267"/>
      <c r="AC260" s="269"/>
    </row>
    <row r="261" ht="16.5" customHeight="1">
      <c r="A261" s="274"/>
      <c r="B261" s="275"/>
      <c r="C261" s="276"/>
      <c r="D261" s="276"/>
      <c r="E261" s="276"/>
      <c r="F261" s="277"/>
      <c r="G261" s="278"/>
      <c r="H261" s="277"/>
      <c r="I261" s="279"/>
      <c r="J261" s="280"/>
      <c r="K261" s="281"/>
      <c r="L261" s="282"/>
      <c r="M261" s="274"/>
      <c r="N261" s="283"/>
      <c r="O261" s="283"/>
      <c r="P261" s="267"/>
      <c r="Q261" s="284"/>
      <c r="R261" s="267"/>
      <c r="S261" s="285"/>
      <c r="T261" s="286"/>
      <c r="U261" s="267"/>
      <c r="V261" s="265"/>
      <c r="W261" s="266"/>
      <c r="X261" s="267"/>
      <c r="Y261" s="267"/>
      <c r="Z261" s="268"/>
      <c r="AA261" s="267"/>
      <c r="AB261" s="267"/>
      <c r="AC261" s="269"/>
    </row>
    <row r="262" ht="16.5" customHeight="1">
      <c r="A262" s="274"/>
      <c r="B262" s="275"/>
      <c r="C262" s="276"/>
      <c r="D262" s="276"/>
      <c r="E262" s="276"/>
      <c r="F262" s="277"/>
      <c r="G262" s="278"/>
      <c r="H262" s="277"/>
      <c r="I262" s="279"/>
      <c r="J262" s="280"/>
      <c r="K262" s="281"/>
      <c r="L262" s="282"/>
      <c r="M262" s="274"/>
      <c r="N262" s="283"/>
      <c r="O262" s="283"/>
      <c r="P262" s="267"/>
      <c r="Q262" s="284"/>
      <c r="R262" s="267"/>
      <c r="S262" s="285"/>
      <c r="T262" s="286"/>
      <c r="U262" s="267"/>
      <c r="V262" s="265"/>
      <c r="W262" s="266"/>
      <c r="X262" s="267"/>
      <c r="Y262" s="267"/>
      <c r="Z262" s="268"/>
      <c r="AA262" s="267"/>
      <c r="AB262" s="267"/>
      <c r="AC262" s="269"/>
    </row>
    <row r="263" ht="16.5" customHeight="1">
      <c r="A263" s="274"/>
      <c r="B263" s="275"/>
      <c r="C263" s="276"/>
      <c r="D263" s="276"/>
      <c r="E263" s="276"/>
      <c r="F263" s="277"/>
      <c r="G263" s="278"/>
      <c r="H263" s="277"/>
      <c r="I263" s="279"/>
      <c r="J263" s="280"/>
      <c r="K263" s="281"/>
      <c r="L263" s="282"/>
      <c r="M263" s="274"/>
      <c r="N263" s="283"/>
      <c r="O263" s="283"/>
      <c r="P263" s="267"/>
      <c r="Q263" s="284"/>
      <c r="R263" s="267"/>
      <c r="S263" s="285"/>
      <c r="T263" s="286"/>
      <c r="U263" s="267"/>
      <c r="V263" s="265"/>
      <c r="W263" s="266"/>
      <c r="X263" s="267"/>
      <c r="Y263" s="267"/>
      <c r="Z263" s="268"/>
      <c r="AA263" s="267"/>
      <c r="AB263" s="267"/>
      <c r="AC263" s="269"/>
    </row>
    <row r="264" ht="16.5" customHeight="1">
      <c r="A264" s="274"/>
      <c r="B264" s="275"/>
      <c r="C264" s="276"/>
      <c r="D264" s="276"/>
      <c r="E264" s="276"/>
      <c r="F264" s="277"/>
      <c r="G264" s="278"/>
      <c r="H264" s="277"/>
      <c r="I264" s="279"/>
      <c r="J264" s="280"/>
      <c r="K264" s="281"/>
      <c r="L264" s="282"/>
      <c r="M264" s="274"/>
      <c r="N264" s="283"/>
      <c r="O264" s="283"/>
      <c r="P264" s="267"/>
      <c r="Q264" s="284"/>
      <c r="R264" s="267"/>
      <c r="S264" s="285"/>
      <c r="T264" s="286"/>
      <c r="U264" s="267"/>
      <c r="V264" s="265"/>
      <c r="W264" s="266"/>
      <c r="X264" s="267"/>
      <c r="Y264" s="267"/>
      <c r="Z264" s="268"/>
      <c r="AA264" s="267"/>
      <c r="AB264" s="267"/>
      <c r="AC264" s="269"/>
    </row>
    <row r="265" ht="16.5" customHeight="1">
      <c r="A265" s="274"/>
      <c r="B265" s="275"/>
      <c r="C265" s="276"/>
      <c r="D265" s="276"/>
      <c r="E265" s="276"/>
      <c r="F265" s="277"/>
      <c r="G265" s="278"/>
      <c r="H265" s="277"/>
      <c r="I265" s="279"/>
      <c r="J265" s="280"/>
      <c r="K265" s="281"/>
      <c r="L265" s="282"/>
      <c r="M265" s="274"/>
      <c r="N265" s="283"/>
      <c r="O265" s="283"/>
      <c r="P265" s="267"/>
      <c r="Q265" s="284"/>
      <c r="R265" s="267"/>
      <c r="S265" s="285"/>
      <c r="T265" s="286"/>
      <c r="U265" s="267"/>
      <c r="V265" s="265"/>
      <c r="W265" s="266"/>
      <c r="X265" s="267"/>
      <c r="Y265" s="267"/>
      <c r="Z265" s="268"/>
      <c r="AA265" s="267"/>
      <c r="AB265" s="267"/>
      <c r="AC265" s="269"/>
    </row>
    <row r="266" ht="16.5" customHeight="1">
      <c r="A266" s="274"/>
      <c r="B266" s="275"/>
      <c r="C266" s="276"/>
      <c r="D266" s="276"/>
      <c r="E266" s="276"/>
      <c r="F266" s="277"/>
      <c r="G266" s="278"/>
      <c r="H266" s="277"/>
      <c r="I266" s="279"/>
      <c r="J266" s="280"/>
      <c r="K266" s="281"/>
      <c r="L266" s="282"/>
      <c r="M266" s="274"/>
      <c r="N266" s="283"/>
      <c r="O266" s="283"/>
      <c r="P266" s="267"/>
      <c r="Q266" s="284"/>
      <c r="R266" s="267"/>
      <c r="S266" s="285"/>
      <c r="T266" s="286"/>
      <c r="U266" s="267"/>
      <c r="V266" s="265"/>
      <c r="W266" s="266"/>
      <c r="X266" s="267"/>
      <c r="Y266" s="267"/>
      <c r="Z266" s="268"/>
      <c r="AA266" s="267"/>
      <c r="AB266" s="267"/>
      <c r="AC266" s="269"/>
    </row>
    <row r="267" ht="16.5" customHeight="1">
      <c r="A267" s="274"/>
      <c r="B267" s="275"/>
      <c r="C267" s="276"/>
      <c r="D267" s="276"/>
      <c r="E267" s="276"/>
      <c r="F267" s="277"/>
      <c r="G267" s="278"/>
      <c r="H267" s="277"/>
      <c r="I267" s="279"/>
      <c r="J267" s="280"/>
      <c r="K267" s="281"/>
      <c r="L267" s="282"/>
      <c r="M267" s="274"/>
      <c r="N267" s="283"/>
      <c r="O267" s="283"/>
      <c r="P267" s="267"/>
      <c r="Q267" s="284"/>
      <c r="R267" s="267"/>
      <c r="S267" s="285"/>
      <c r="T267" s="286"/>
      <c r="U267" s="267"/>
      <c r="V267" s="265"/>
      <c r="W267" s="266"/>
      <c r="X267" s="267"/>
      <c r="Y267" s="267"/>
      <c r="Z267" s="268"/>
      <c r="AA267" s="267"/>
      <c r="AB267" s="267"/>
      <c r="AC267" s="269"/>
    </row>
    <row r="268" ht="16.5" customHeight="1">
      <c r="A268" s="274"/>
      <c r="B268" s="275"/>
      <c r="C268" s="276"/>
      <c r="D268" s="276"/>
      <c r="E268" s="276"/>
      <c r="F268" s="277"/>
      <c r="G268" s="278"/>
      <c r="H268" s="277"/>
      <c r="I268" s="279"/>
      <c r="J268" s="280"/>
      <c r="K268" s="281"/>
      <c r="L268" s="282"/>
      <c r="M268" s="274"/>
      <c r="N268" s="283"/>
      <c r="O268" s="283"/>
      <c r="P268" s="267"/>
      <c r="Q268" s="284"/>
      <c r="R268" s="267"/>
      <c r="S268" s="285"/>
      <c r="T268" s="286"/>
      <c r="U268" s="267"/>
      <c r="V268" s="265"/>
      <c r="W268" s="266"/>
      <c r="X268" s="267"/>
      <c r="Y268" s="267"/>
      <c r="Z268" s="268"/>
      <c r="AA268" s="267"/>
      <c r="AB268" s="267"/>
      <c r="AC268" s="269"/>
    </row>
    <row r="269" ht="16.5" customHeight="1">
      <c r="A269" s="274"/>
      <c r="B269" s="275"/>
      <c r="C269" s="276"/>
      <c r="D269" s="276"/>
      <c r="E269" s="276"/>
      <c r="F269" s="277"/>
      <c r="G269" s="278"/>
      <c r="H269" s="277"/>
      <c r="I269" s="279"/>
      <c r="J269" s="280"/>
      <c r="K269" s="281"/>
      <c r="L269" s="282"/>
      <c r="M269" s="274"/>
      <c r="N269" s="283"/>
      <c r="O269" s="283"/>
      <c r="P269" s="267"/>
      <c r="Q269" s="284"/>
      <c r="R269" s="267"/>
      <c r="S269" s="285"/>
      <c r="T269" s="286"/>
      <c r="U269" s="267"/>
      <c r="V269" s="265"/>
      <c r="W269" s="266"/>
      <c r="X269" s="267"/>
      <c r="Y269" s="267"/>
      <c r="Z269" s="268"/>
      <c r="AA269" s="267"/>
      <c r="AB269" s="267"/>
      <c r="AC269" s="269"/>
    </row>
    <row r="270" ht="16.5" customHeight="1">
      <c r="A270" s="274"/>
      <c r="B270" s="275"/>
      <c r="C270" s="276"/>
      <c r="D270" s="276"/>
      <c r="E270" s="276"/>
      <c r="F270" s="277"/>
      <c r="G270" s="278"/>
      <c r="H270" s="277"/>
      <c r="I270" s="279"/>
      <c r="J270" s="280"/>
      <c r="K270" s="281"/>
      <c r="L270" s="282"/>
      <c r="M270" s="274"/>
      <c r="N270" s="283"/>
      <c r="O270" s="283"/>
      <c r="P270" s="267"/>
      <c r="Q270" s="284"/>
      <c r="R270" s="267"/>
      <c r="S270" s="285"/>
      <c r="T270" s="286"/>
      <c r="U270" s="267"/>
      <c r="V270" s="265"/>
      <c r="W270" s="266"/>
      <c r="X270" s="267"/>
      <c r="Y270" s="267"/>
      <c r="Z270" s="268"/>
      <c r="AA270" s="267"/>
      <c r="AB270" s="267"/>
      <c r="AC270" s="269"/>
    </row>
    <row r="271" ht="16.5" customHeight="1">
      <c r="A271" s="274"/>
      <c r="B271" s="275"/>
      <c r="C271" s="276"/>
      <c r="D271" s="276"/>
      <c r="E271" s="276"/>
      <c r="F271" s="277"/>
      <c r="G271" s="278"/>
      <c r="H271" s="277"/>
      <c r="I271" s="279"/>
      <c r="J271" s="280"/>
      <c r="K271" s="281"/>
      <c r="L271" s="282"/>
      <c r="M271" s="274"/>
      <c r="N271" s="283"/>
      <c r="O271" s="283"/>
      <c r="P271" s="267"/>
      <c r="Q271" s="284"/>
      <c r="R271" s="267"/>
      <c r="S271" s="285"/>
      <c r="T271" s="286"/>
      <c r="U271" s="267"/>
      <c r="V271" s="265"/>
      <c r="W271" s="266"/>
      <c r="X271" s="267"/>
      <c r="Y271" s="267"/>
      <c r="Z271" s="268"/>
      <c r="AA271" s="267"/>
      <c r="AB271" s="267"/>
      <c r="AC271" s="269"/>
    </row>
    <row r="272" ht="16.5" customHeight="1">
      <c r="A272" s="274"/>
      <c r="B272" s="275"/>
      <c r="C272" s="276"/>
      <c r="D272" s="276"/>
      <c r="E272" s="276"/>
      <c r="F272" s="277"/>
      <c r="G272" s="278"/>
      <c r="H272" s="277"/>
      <c r="I272" s="279"/>
      <c r="J272" s="280"/>
      <c r="K272" s="281"/>
      <c r="L272" s="282"/>
      <c r="M272" s="274"/>
      <c r="N272" s="283"/>
      <c r="O272" s="283"/>
      <c r="P272" s="267"/>
      <c r="Q272" s="284"/>
      <c r="R272" s="267"/>
      <c r="S272" s="285"/>
      <c r="T272" s="286"/>
      <c r="U272" s="267"/>
      <c r="V272" s="265"/>
      <c r="W272" s="266"/>
      <c r="X272" s="267"/>
      <c r="Y272" s="267"/>
      <c r="Z272" s="268"/>
      <c r="AA272" s="267"/>
      <c r="AB272" s="267"/>
      <c r="AC272" s="269"/>
    </row>
    <row r="273" ht="16.5" customHeight="1">
      <c r="A273" s="274"/>
      <c r="B273" s="275"/>
      <c r="C273" s="276"/>
      <c r="D273" s="276"/>
      <c r="E273" s="276"/>
      <c r="F273" s="277"/>
      <c r="G273" s="278"/>
      <c r="H273" s="277"/>
      <c r="I273" s="279"/>
      <c r="J273" s="280"/>
      <c r="K273" s="281"/>
      <c r="L273" s="282"/>
      <c r="M273" s="274"/>
      <c r="N273" s="283"/>
      <c r="O273" s="283"/>
      <c r="P273" s="267"/>
      <c r="Q273" s="284"/>
      <c r="R273" s="267"/>
      <c r="S273" s="285"/>
      <c r="T273" s="286"/>
      <c r="U273" s="267"/>
      <c r="V273" s="265"/>
      <c r="W273" s="266"/>
      <c r="X273" s="267"/>
      <c r="Y273" s="267"/>
      <c r="Z273" s="268"/>
      <c r="AA273" s="267"/>
      <c r="AB273" s="267"/>
      <c r="AC273" s="269"/>
    </row>
    <row r="274" ht="16.5" customHeight="1">
      <c r="A274" s="274"/>
      <c r="B274" s="275"/>
      <c r="C274" s="276"/>
      <c r="D274" s="276"/>
      <c r="E274" s="276"/>
      <c r="F274" s="277"/>
      <c r="G274" s="278"/>
      <c r="H274" s="277"/>
      <c r="I274" s="279"/>
      <c r="J274" s="280"/>
      <c r="K274" s="281"/>
      <c r="L274" s="282"/>
      <c r="M274" s="274"/>
      <c r="N274" s="283"/>
      <c r="O274" s="283"/>
      <c r="P274" s="267"/>
      <c r="Q274" s="284"/>
      <c r="R274" s="267"/>
      <c r="S274" s="285"/>
      <c r="T274" s="286"/>
      <c r="U274" s="267"/>
      <c r="V274" s="265"/>
      <c r="W274" s="266"/>
      <c r="X274" s="267"/>
      <c r="Y274" s="267"/>
      <c r="Z274" s="268"/>
      <c r="AA274" s="267"/>
      <c r="AB274" s="267"/>
      <c r="AC274" s="269"/>
    </row>
    <row r="275" ht="16.5" customHeight="1">
      <c r="A275" s="274"/>
      <c r="B275" s="275"/>
      <c r="C275" s="276"/>
      <c r="D275" s="276"/>
      <c r="E275" s="276"/>
      <c r="F275" s="277"/>
      <c r="G275" s="278"/>
      <c r="H275" s="277"/>
      <c r="I275" s="279"/>
      <c r="J275" s="280"/>
      <c r="K275" s="281"/>
      <c r="L275" s="282"/>
      <c r="M275" s="274"/>
      <c r="N275" s="283"/>
      <c r="O275" s="283"/>
      <c r="P275" s="267"/>
      <c r="Q275" s="284"/>
      <c r="R275" s="267"/>
      <c r="S275" s="285"/>
      <c r="T275" s="286"/>
      <c r="U275" s="267"/>
      <c r="V275" s="265"/>
      <c r="W275" s="266"/>
      <c r="X275" s="267"/>
      <c r="Y275" s="267"/>
      <c r="Z275" s="268"/>
      <c r="AA275" s="267"/>
      <c r="AB275" s="267"/>
      <c r="AC275" s="269"/>
    </row>
    <row r="276" ht="16.5" customHeight="1">
      <c r="A276" s="274"/>
      <c r="B276" s="275"/>
      <c r="C276" s="276"/>
      <c r="D276" s="276"/>
      <c r="E276" s="276"/>
      <c r="F276" s="277"/>
      <c r="G276" s="278"/>
      <c r="H276" s="277"/>
      <c r="I276" s="279"/>
      <c r="J276" s="280"/>
      <c r="K276" s="281"/>
      <c r="L276" s="282"/>
      <c r="M276" s="274"/>
      <c r="N276" s="283"/>
      <c r="O276" s="283"/>
      <c r="P276" s="267"/>
      <c r="Q276" s="284"/>
      <c r="R276" s="267"/>
      <c r="S276" s="285"/>
      <c r="T276" s="286"/>
      <c r="U276" s="267"/>
      <c r="V276" s="265"/>
      <c r="W276" s="266"/>
      <c r="X276" s="267"/>
      <c r="Y276" s="267"/>
      <c r="Z276" s="268"/>
      <c r="AA276" s="267"/>
      <c r="AB276" s="267"/>
      <c r="AC276" s="269"/>
    </row>
    <row r="277" ht="16.5" customHeight="1">
      <c r="A277" s="274"/>
      <c r="B277" s="275"/>
      <c r="C277" s="276"/>
      <c r="D277" s="276"/>
      <c r="E277" s="276"/>
      <c r="F277" s="277"/>
      <c r="G277" s="278"/>
      <c r="H277" s="277"/>
      <c r="I277" s="279"/>
      <c r="J277" s="280"/>
      <c r="K277" s="281"/>
      <c r="L277" s="282"/>
      <c r="M277" s="274"/>
      <c r="N277" s="283"/>
      <c r="O277" s="283"/>
      <c r="P277" s="267"/>
      <c r="Q277" s="284"/>
      <c r="R277" s="267"/>
      <c r="S277" s="285"/>
      <c r="T277" s="286"/>
      <c r="U277" s="267"/>
      <c r="V277" s="265"/>
      <c r="W277" s="266"/>
      <c r="X277" s="267"/>
      <c r="Y277" s="267"/>
      <c r="Z277" s="268"/>
      <c r="AA277" s="267"/>
      <c r="AB277" s="267"/>
      <c r="AC277" s="269"/>
    </row>
    <row r="278" ht="16.5" customHeight="1">
      <c r="A278" s="274"/>
      <c r="B278" s="275"/>
      <c r="C278" s="276"/>
      <c r="D278" s="276"/>
      <c r="E278" s="276"/>
      <c r="F278" s="277"/>
      <c r="G278" s="278"/>
      <c r="H278" s="277"/>
      <c r="I278" s="279"/>
      <c r="J278" s="280"/>
      <c r="K278" s="281"/>
      <c r="L278" s="282"/>
      <c r="M278" s="274"/>
      <c r="N278" s="283"/>
      <c r="O278" s="283"/>
      <c r="P278" s="267"/>
      <c r="Q278" s="284"/>
      <c r="R278" s="267"/>
      <c r="S278" s="285"/>
      <c r="T278" s="286"/>
      <c r="U278" s="267"/>
      <c r="V278" s="265"/>
      <c r="W278" s="266"/>
      <c r="X278" s="267"/>
      <c r="Y278" s="267"/>
      <c r="Z278" s="268"/>
      <c r="AA278" s="267"/>
      <c r="AB278" s="267"/>
      <c r="AC278" s="269"/>
    </row>
    <row r="279" ht="16.5" customHeight="1">
      <c r="A279" s="274"/>
      <c r="B279" s="275"/>
      <c r="C279" s="276"/>
      <c r="D279" s="276"/>
      <c r="E279" s="276"/>
      <c r="F279" s="277"/>
      <c r="G279" s="278"/>
      <c r="H279" s="277"/>
      <c r="I279" s="279"/>
      <c r="J279" s="280"/>
      <c r="K279" s="281"/>
      <c r="L279" s="282"/>
      <c r="M279" s="274"/>
      <c r="N279" s="283"/>
      <c r="O279" s="283"/>
      <c r="P279" s="267"/>
      <c r="Q279" s="284"/>
      <c r="R279" s="267"/>
      <c r="S279" s="285"/>
      <c r="T279" s="286"/>
      <c r="U279" s="267"/>
      <c r="V279" s="265"/>
      <c r="W279" s="266"/>
      <c r="X279" s="267"/>
      <c r="Y279" s="267"/>
      <c r="Z279" s="268"/>
      <c r="AA279" s="267"/>
      <c r="AB279" s="267"/>
      <c r="AC279" s="269"/>
    </row>
    <row r="280" ht="16.5" customHeight="1">
      <c r="A280" s="274"/>
      <c r="B280" s="275"/>
      <c r="C280" s="276"/>
      <c r="D280" s="276"/>
      <c r="E280" s="276"/>
      <c r="F280" s="277"/>
      <c r="G280" s="278"/>
      <c r="H280" s="277"/>
      <c r="I280" s="279"/>
      <c r="J280" s="280"/>
      <c r="K280" s="281"/>
      <c r="L280" s="282"/>
      <c r="M280" s="274"/>
      <c r="N280" s="283"/>
      <c r="O280" s="283"/>
      <c r="P280" s="267"/>
      <c r="Q280" s="284"/>
      <c r="R280" s="267"/>
      <c r="S280" s="285"/>
      <c r="T280" s="286"/>
      <c r="U280" s="267"/>
      <c r="V280" s="265"/>
      <c r="W280" s="266"/>
      <c r="X280" s="267"/>
      <c r="Y280" s="267"/>
      <c r="Z280" s="268"/>
      <c r="AA280" s="267"/>
      <c r="AB280" s="267"/>
      <c r="AC280" s="269"/>
    </row>
    <row r="281" ht="16.5" customHeight="1">
      <c r="A281" s="274"/>
      <c r="B281" s="275"/>
      <c r="C281" s="276"/>
      <c r="D281" s="276"/>
      <c r="E281" s="276"/>
      <c r="F281" s="277"/>
      <c r="G281" s="278"/>
      <c r="H281" s="277"/>
      <c r="I281" s="279"/>
      <c r="J281" s="280"/>
      <c r="K281" s="281"/>
      <c r="L281" s="282"/>
      <c r="M281" s="274"/>
      <c r="N281" s="283"/>
      <c r="O281" s="283"/>
      <c r="P281" s="267"/>
      <c r="Q281" s="284"/>
      <c r="R281" s="267"/>
      <c r="S281" s="285"/>
      <c r="T281" s="286"/>
      <c r="U281" s="267"/>
      <c r="V281" s="265"/>
      <c r="W281" s="266"/>
      <c r="X281" s="267"/>
      <c r="Y281" s="267"/>
      <c r="Z281" s="268"/>
      <c r="AA281" s="267"/>
      <c r="AB281" s="267"/>
      <c r="AC281" s="269"/>
    </row>
    <row r="282" ht="16.5" customHeight="1">
      <c r="A282" s="274"/>
      <c r="B282" s="275"/>
      <c r="C282" s="276"/>
      <c r="D282" s="276"/>
      <c r="E282" s="276"/>
      <c r="F282" s="277"/>
      <c r="G282" s="278"/>
      <c r="H282" s="277"/>
      <c r="I282" s="279"/>
      <c r="J282" s="280"/>
      <c r="K282" s="281"/>
      <c r="L282" s="282"/>
      <c r="M282" s="274"/>
      <c r="N282" s="283"/>
      <c r="O282" s="283"/>
      <c r="P282" s="267"/>
      <c r="Q282" s="284"/>
      <c r="R282" s="267"/>
      <c r="S282" s="285"/>
      <c r="T282" s="286"/>
      <c r="U282" s="267"/>
      <c r="V282" s="265"/>
      <c r="W282" s="266"/>
      <c r="X282" s="267"/>
      <c r="Y282" s="267"/>
      <c r="Z282" s="268"/>
      <c r="AA282" s="267"/>
      <c r="AB282" s="267"/>
      <c r="AC282" s="269"/>
    </row>
    <row r="283" ht="16.5" customHeight="1">
      <c r="A283" s="274"/>
      <c r="B283" s="275"/>
      <c r="C283" s="276"/>
      <c r="D283" s="276"/>
      <c r="E283" s="276"/>
      <c r="F283" s="277"/>
      <c r="G283" s="278"/>
      <c r="H283" s="277"/>
      <c r="I283" s="279"/>
      <c r="J283" s="280"/>
      <c r="K283" s="281"/>
      <c r="L283" s="282"/>
      <c r="M283" s="274"/>
      <c r="N283" s="283"/>
      <c r="O283" s="283"/>
      <c r="P283" s="267"/>
      <c r="Q283" s="284"/>
      <c r="R283" s="267"/>
      <c r="S283" s="285"/>
      <c r="T283" s="286"/>
      <c r="U283" s="267"/>
      <c r="V283" s="265"/>
      <c r="W283" s="266"/>
      <c r="X283" s="267"/>
      <c r="Y283" s="267"/>
      <c r="Z283" s="268"/>
      <c r="AA283" s="267"/>
      <c r="AB283" s="267"/>
      <c r="AC283" s="269"/>
    </row>
    <row r="284" ht="16.5" customHeight="1">
      <c r="A284" s="274"/>
      <c r="B284" s="275"/>
      <c r="C284" s="276"/>
      <c r="D284" s="276"/>
      <c r="E284" s="276"/>
      <c r="F284" s="277"/>
      <c r="G284" s="278"/>
      <c r="H284" s="277"/>
      <c r="I284" s="279"/>
      <c r="J284" s="280"/>
      <c r="K284" s="281"/>
      <c r="L284" s="282"/>
      <c r="M284" s="274"/>
      <c r="N284" s="283"/>
      <c r="O284" s="283"/>
      <c r="P284" s="267"/>
      <c r="Q284" s="284"/>
      <c r="R284" s="267"/>
      <c r="S284" s="285"/>
      <c r="T284" s="286"/>
      <c r="U284" s="267"/>
      <c r="V284" s="265"/>
      <c r="W284" s="266"/>
      <c r="X284" s="267"/>
      <c r="Y284" s="267"/>
      <c r="Z284" s="268"/>
      <c r="AA284" s="267"/>
      <c r="AB284" s="267"/>
      <c r="AC284" s="269"/>
    </row>
    <row r="285" ht="16.5" customHeight="1">
      <c r="A285" s="274"/>
      <c r="B285" s="275"/>
      <c r="C285" s="276"/>
      <c r="D285" s="276"/>
      <c r="E285" s="276"/>
      <c r="F285" s="277"/>
      <c r="G285" s="278"/>
      <c r="H285" s="277"/>
      <c r="I285" s="279"/>
      <c r="J285" s="280"/>
      <c r="K285" s="281"/>
      <c r="L285" s="282"/>
      <c r="M285" s="274"/>
      <c r="N285" s="283"/>
      <c r="O285" s="283"/>
      <c r="P285" s="267"/>
      <c r="Q285" s="284"/>
      <c r="R285" s="267"/>
      <c r="S285" s="285"/>
      <c r="T285" s="286"/>
      <c r="U285" s="267"/>
      <c r="V285" s="265"/>
      <c r="W285" s="266"/>
      <c r="X285" s="267"/>
      <c r="Y285" s="267"/>
      <c r="Z285" s="268"/>
      <c r="AA285" s="267"/>
      <c r="AB285" s="267"/>
      <c r="AC285" s="269"/>
    </row>
    <row r="286" ht="16.5" customHeight="1">
      <c r="A286" s="274"/>
      <c r="B286" s="275"/>
      <c r="C286" s="276"/>
      <c r="D286" s="276"/>
      <c r="E286" s="276"/>
      <c r="F286" s="277"/>
      <c r="G286" s="278"/>
      <c r="H286" s="277"/>
      <c r="I286" s="279"/>
      <c r="J286" s="280"/>
      <c r="K286" s="281"/>
      <c r="L286" s="282"/>
      <c r="M286" s="274"/>
      <c r="N286" s="283"/>
      <c r="O286" s="283"/>
      <c r="P286" s="267"/>
      <c r="Q286" s="284"/>
      <c r="R286" s="267"/>
      <c r="S286" s="285"/>
      <c r="T286" s="286"/>
      <c r="U286" s="267"/>
      <c r="V286" s="265"/>
      <c r="W286" s="266"/>
      <c r="X286" s="267"/>
      <c r="Y286" s="267"/>
      <c r="Z286" s="268"/>
      <c r="AA286" s="267"/>
      <c r="AB286" s="267"/>
      <c r="AC286" s="269"/>
    </row>
    <row r="287" ht="16.5" customHeight="1">
      <c r="A287" s="274"/>
      <c r="B287" s="275"/>
      <c r="C287" s="276"/>
      <c r="D287" s="276"/>
      <c r="E287" s="276"/>
      <c r="F287" s="277"/>
      <c r="G287" s="278"/>
      <c r="H287" s="277"/>
      <c r="I287" s="279"/>
      <c r="J287" s="280"/>
      <c r="K287" s="281"/>
      <c r="L287" s="282"/>
      <c r="M287" s="274"/>
      <c r="N287" s="283"/>
      <c r="O287" s="283"/>
      <c r="P287" s="267"/>
      <c r="Q287" s="284"/>
      <c r="R287" s="267"/>
      <c r="S287" s="285"/>
      <c r="T287" s="286"/>
      <c r="U287" s="267"/>
      <c r="V287" s="265"/>
      <c r="W287" s="266"/>
      <c r="X287" s="267"/>
      <c r="Y287" s="267"/>
      <c r="Z287" s="268"/>
      <c r="AA287" s="267"/>
      <c r="AB287" s="267"/>
      <c r="AC287" s="269"/>
    </row>
    <row r="288" ht="16.5" customHeight="1">
      <c r="A288" s="274"/>
      <c r="B288" s="275"/>
      <c r="C288" s="276"/>
      <c r="D288" s="276"/>
      <c r="E288" s="276"/>
      <c r="F288" s="277"/>
      <c r="G288" s="278"/>
      <c r="H288" s="277"/>
      <c r="I288" s="279"/>
      <c r="J288" s="280"/>
      <c r="K288" s="281"/>
      <c r="L288" s="282"/>
      <c r="M288" s="274"/>
      <c r="N288" s="283"/>
      <c r="O288" s="283"/>
      <c r="P288" s="267"/>
      <c r="Q288" s="284"/>
      <c r="R288" s="267"/>
      <c r="S288" s="285"/>
      <c r="T288" s="286"/>
      <c r="U288" s="267"/>
      <c r="V288" s="265"/>
      <c r="W288" s="266"/>
      <c r="X288" s="267"/>
      <c r="Y288" s="267"/>
      <c r="Z288" s="268"/>
      <c r="AA288" s="267"/>
      <c r="AB288" s="267"/>
      <c r="AC288" s="269"/>
    </row>
    <row r="289" ht="16.5" customHeight="1">
      <c r="A289" s="274"/>
      <c r="B289" s="275"/>
      <c r="C289" s="276"/>
      <c r="D289" s="276"/>
      <c r="E289" s="276"/>
      <c r="F289" s="277"/>
      <c r="G289" s="278"/>
      <c r="H289" s="277"/>
      <c r="I289" s="279"/>
      <c r="J289" s="280"/>
      <c r="K289" s="281"/>
      <c r="L289" s="282"/>
      <c r="M289" s="274"/>
      <c r="N289" s="283"/>
      <c r="O289" s="283"/>
      <c r="P289" s="267"/>
      <c r="Q289" s="284"/>
      <c r="R289" s="267"/>
      <c r="S289" s="285"/>
      <c r="T289" s="286"/>
      <c r="U289" s="267"/>
      <c r="V289" s="265"/>
      <c r="W289" s="266"/>
      <c r="X289" s="267"/>
      <c r="Y289" s="267"/>
      <c r="Z289" s="268"/>
      <c r="AA289" s="267"/>
      <c r="AB289" s="267"/>
      <c r="AC289" s="269"/>
    </row>
    <row r="290" ht="16.5" customHeight="1">
      <c r="A290" s="274"/>
      <c r="B290" s="275"/>
      <c r="C290" s="276"/>
      <c r="D290" s="276"/>
      <c r="E290" s="276"/>
      <c r="F290" s="277"/>
      <c r="G290" s="278"/>
      <c r="H290" s="277"/>
      <c r="I290" s="279"/>
      <c r="J290" s="280"/>
      <c r="K290" s="281"/>
      <c r="L290" s="282"/>
      <c r="M290" s="274"/>
      <c r="N290" s="283"/>
      <c r="O290" s="283"/>
      <c r="P290" s="267"/>
      <c r="Q290" s="284"/>
      <c r="R290" s="267"/>
      <c r="S290" s="285"/>
      <c r="T290" s="286"/>
      <c r="U290" s="267"/>
      <c r="V290" s="265"/>
      <c r="W290" s="266"/>
      <c r="X290" s="267"/>
      <c r="Y290" s="267"/>
      <c r="Z290" s="268"/>
      <c r="AA290" s="267"/>
      <c r="AB290" s="267"/>
      <c r="AC290" s="269"/>
    </row>
    <row r="291" ht="16.5" customHeight="1">
      <c r="A291" s="274"/>
      <c r="B291" s="275"/>
      <c r="C291" s="276"/>
      <c r="D291" s="276"/>
      <c r="E291" s="276"/>
      <c r="F291" s="277"/>
      <c r="G291" s="278"/>
      <c r="H291" s="277"/>
      <c r="I291" s="279"/>
      <c r="J291" s="280"/>
      <c r="K291" s="281"/>
      <c r="L291" s="282"/>
      <c r="M291" s="274"/>
      <c r="N291" s="283"/>
      <c r="O291" s="283"/>
      <c r="P291" s="267"/>
      <c r="Q291" s="284"/>
      <c r="R291" s="267"/>
      <c r="S291" s="285"/>
      <c r="T291" s="286"/>
      <c r="U291" s="267"/>
      <c r="V291" s="265"/>
      <c r="W291" s="266"/>
      <c r="X291" s="267"/>
      <c r="Y291" s="267"/>
      <c r="Z291" s="268"/>
      <c r="AA291" s="267"/>
      <c r="AB291" s="267"/>
      <c r="AC291" s="269"/>
    </row>
    <row r="292" ht="16.5" customHeight="1">
      <c r="A292" s="274"/>
      <c r="B292" s="275"/>
      <c r="C292" s="276"/>
      <c r="D292" s="276"/>
      <c r="E292" s="276"/>
      <c r="F292" s="277"/>
      <c r="G292" s="278"/>
      <c r="H292" s="277"/>
      <c r="I292" s="279"/>
      <c r="J292" s="280"/>
      <c r="K292" s="281"/>
      <c r="L292" s="282"/>
      <c r="M292" s="274"/>
      <c r="N292" s="283"/>
      <c r="O292" s="283"/>
      <c r="P292" s="267"/>
      <c r="Q292" s="284"/>
      <c r="R292" s="267"/>
      <c r="S292" s="285"/>
      <c r="T292" s="286"/>
      <c r="U292" s="267"/>
      <c r="V292" s="265"/>
      <c r="W292" s="266"/>
      <c r="X292" s="267"/>
      <c r="Y292" s="267"/>
      <c r="Z292" s="268"/>
      <c r="AA292" s="267"/>
      <c r="AB292" s="267"/>
      <c r="AC292" s="269"/>
    </row>
    <row r="293" ht="16.5" customHeight="1">
      <c r="A293" s="274"/>
      <c r="B293" s="275"/>
      <c r="C293" s="276"/>
      <c r="D293" s="276"/>
      <c r="E293" s="276"/>
      <c r="F293" s="277"/>
      <c r="G293" s="278"/>
      <c r="H293" s="277"/>
      <c r="I293" s="279"/>
      <c r="J293" s="280"/>
      <c r="K293" s="281"/>
      <c r="L293" s="282"/>
      <c r="M293" s="274"/>
      <c r="N293" s="283"/>
      <c r="O293" s="283"/>
      <c r="P293" s="267"/>
      <c r="Q293" s="284"/>
      <c r="R293" s="267"/>
      <c r="S293" s="285"/>
      <c r="T293" s="286"/>
      <c r="U293" s="267"/>
      <c r="V293" s="265"/>
      <c r="W293" s="266"/>
      <c r="X293" s="267"/>
      <c r="Y293" s="267"/>
      <c r="Z293" s="268"/>
      <c r="AA293" s="267"/>
      <c r="AB293" s="267"/>
      <c r="AC293" s="269"/>
    </row>
    <row r="294" ht="16.5" customHeight="1">
      <c r="A294" s="274"/>
      <c r="B294" s="275"/>
      <c r="C294" s="276"/>
      <c r="D294" s="276"/>
      <c r="E294" s="276"/>
      <c r="F294" s="277"/>
      <c r="G294" s="278"/>
      <c r="H294" s="277"/>
      <c r="I294" s="279"/>
      <c r="J294" s="280"/>
      <c r="K294" s="281"/>
      <c r="L294" s="282"/>
      <c r="M294" s="274"/>
      <c r="N294" s="283"/>
      <c r="O294" s="283"/>
      <c r="P294" s="267"/>
      <c r="Q294" s="284"/>
      <c r="R294" s="267"/>
      <c r="S294" s="285"/>
      <c r="T294" s="286"/>
      <c r="U294" s="267"/>
      <c r="V294" s="265"/>
      <c r="W294" s="266"/>
      <c r="X294" s="267"/>
      <c r="Y294" s="267"/>
      <c r="Z294" s="268"/>
      <c r="AA294" s="267"/>
      <c r="AB294" s="267"/>
      <c r="AC294" s="269"/>
    </row>
    <row r="295" ht="16.5" customHeight="1">
      <c r="A295" s="274"/>
      <c r="B295" s="275"/>
      <c r="C295" s="276"/>
      <c r="D295" s="276"/>
      <c r="E295" s="276"/>
      <c r="F295" s="277"/>
      <c r="G295" s="278"/>
      <c r="H295" s="277"/>
      <c r="I295" s="279"/>
      <c r="J295" s="280"/>
      <c r="K295" s="281"/>
      <c r="L295" s="282"/>
      <c r="M295" s="274"/>
      <c r="N295" s="283"/>
      <c r="O295" s="283"/>
      <c r="P295" s="267"/>
      <c r="Q295" s="284"/>
      <c r="R295" s="267"/>
      <c r="S295" s="285"/>
      <c r="T295" s="286"/>
      <c r="U295" s="267"/>
      <c r="V295" s="265"/>
      <c r="W295" s="266"/>
      <c r="X295" s="267"/>
      <c r="Y295" s="267"/>
      <c r="Z295" s="268"/>
      <c r="AA295" s="267"/>
      <c r="AB295" s="267"/>
      <c r="AC295" s="269"/>
    </row>
    <row r="296" ht="16.5" customHeight="1">
      <c r="A296" s="274"/>
      <c r="B296" s="275"/>
      <c r="C296" s="276"/>
      <c r="D296" s="276"/>
      <c r="E296" s="276"/>
      <c r="F296" s="277"/>
      <c r="G296" s="278"/>
      <c r="H296" s="277"/>
      <c r="I296" s="279"/>
      <c r="J296" s="280"/>
      <c r="K296" s="281"/>
      <c r="L296" s="282"/>
      <c r="M296" s="274"/>
      <c r="N296" s="283"/>
      <c r="O296" s="283"/>
      <c r="P296" s="267"/>
      <c r="Q296" s="284"/>
      <c r="R296" s="267"/>
      <c r="S296" s="285"/>
      <c r="T296" s="286"/>
      <c r="U296" s="267"/>
      <c r="V296" s="265"/>
      <c r="W296" s="266"/>
      <c r="X296" s="267"/>
      <c r="Y296" s="267"/>
      <c r="Z296" s="268"/>
      <c r="AA296" s="267"/>
      <c r="AB296" s="267"/>
      <c r="AC296" s="269"/>
    </row>
    <row r="297" ht="16.5" customHeight="1">
      <c r="A297" s="274"/>
      <c r="B297" s="275"/>
      <c r="C297" s="276"/>
      <c r="D297" s="276"/>
      <c r="E297" s="276"/>
      <c r="F297" s="277"/>
      <c r="G297" s="278"/>
      <c r="H297" s="277"/>
      <c r="I297" s="279"/>
      <c r="J297" s="280"/>
      <c r="K297" s="281"/>
      <c r="L297" s="282"/>
      <c r="M297" s="274"/>
      <c r="N297" s="283"/>
      <c r="O297" s="283"/>
      <c r="P297" s="267"/>
      <c r="Q297" s="284"/>
      <c r="R297" s="267"/>
      <c r="S297" s="285"/>
      <c r="T297" s="286"/>
      <c r="U297" s="267"/>
      <c r="V297" s="265"/>
      <c r="W297" s="266"/>
      <c r="X297" s="267"/>
      <c r="Y297" s="267"/>
      <c r="Z297" s="268"/>
      <c r="AA297" s="267"/>
      <c r="AB297" s="267"/>
      <c r="AC297" s="269"/>
    </row>
    <row r="298" ht="16.5" customHeight="1">
      <c r="A298" s="274"/>
      <c r="B298" s="275"/>
      <c r="C298" s="276"/>
      <c r="D298" s="276"/>
      <c r="E298" s="276"/>
      <c r="F298" s="277"/>
      <c r="G298" s="278"/>
      <c r="H298" s="277"/>
      <c r="I298" s="279"/>
      <c r="J298" s="280"/>
      <c r="K298" s="281"/>
      <c r="L298" s="282"/>
      <c r="M298" s="274"/>
      <c r="N298" s="283"/>
      <c r="O298" s="283"/>
      <c r="P298" s="267"/>
      <c r="Q298" s="284"/>
      <c r="R298" s="267"/>
      <c r="S298" s="285"/>
      <c r="T298" s="286"/>
      <c r="U298" s="267"/>
      <c r="V298" s="265"/>
      <c r="W298" s="266"/>
      <c r="X298" s="267"/>
      <c r="Y298" s="267"/>
      <c r="Z298" s="268"/>
      <c r="AA298" s="267"/>
      <c r="AB298" s="267"/>
      <c r="AC298" s="269"/>
    </row>
    <row r="299" ht="16.5" customHeight="1">
      <c r="A299" s="274"/>
      <c r="B299" s="275"/>
      <c r="C299" s="276"/>
      <c r="D299" s="276"/>
      <c r="E299" s="276"/>
      <c r="F299" s="277"/>
      <c r="G299" s="278"/>
      <c r="H299" s="277"/>
      <c r="I299" s="279"/>
      <c r="J299" s="280"/>
      <c r="K299" s="281"/>
      <c r="L299" s="282"/>
      <c r="M299" s="274"/>
      <c r="N299" s="283"/>
      <c r="O299" s="283"/>
      <c r="P299" s="267"/>
      <c r="Q299" s="284"/>
      <c r="R299" s="267"/>
      <c r="S299" s="285"/>
      <c r="T299" s="286"/>
      <c r="U299" s="267"/>
      <c r="V299" s="265"/>
      <c r="W299" s="266"/>
      <c r="X299" s="267"/>
      <c r="Y299" s="267"/>
      <c r="Z299" s="268"/>
      <c r="AA299" s="267"/>
      <c r="AB299" s="267"/>
      <c r="AC299" s="269"/>
    </row>
    <row r="300" ht="16.5" customHeight="1">
      <c r="A300" s="274"/>
      <c r="B300" s="275"/>
      <c r="C300" s="276"/>
      <c r="D300" s="276"/>
      <c r="E300" s="276"/>
      <c r="F300" s="277"/>
      <c r="G300" s="278"/>
      <c r="H300" s="277"/>
      <c r="I300" s="279"/>
      <c r="J300" s="280"/>
      <c r="K300" s="281"/>
      <c r="L300" s="282"/>
      <c r="M300" s="274"/>
      <c r="N300" s="283"/>
      <c r="O300" s="283"/>
      <c r="P300" s="267"/>
      <c r="Q300" s="284"/>
      <c r="R300" s="267"/>
      <c r="S300" s="285"/>
      <c r="T300" s="286"/>
      <c r="U300" s="267"/>
      <c r="V300" s="265"/>
      <c r="W300" s="266"/>
      <c r="X300" s="267"/>
      <c r="Y300" s="267"/>
      <c r="Z300" s="268"/>
      <c r="AA300" s="267"/>
      <c r="AB300" s="267"/>
      <c r="AC300" s="269"/>
    </row>
    <row r="301" ht="16.5" customHeight="1">
      <c r="A301" s="274"/>
      <c r="B301" s="275"/>
      <c r="C301" s="276"/>
      <c r="D301" s="276"/>
      <c r="E301" s="276"/>
      <c r="F301" s="277"/>
      <c r="G301" s="278"/>
      <c r="H301" s="277"/>
      <c r="I301" s="279"/>
      <c r="J301" s="280"/>
      <c r="K301" s="281"/>
      <c r="L301" s="282"/>
      <c r="M301" s="274"/>
      <c r="N301" s="283"/>
      <c r="O301" s="283"/>
      <c r="P301" s="267"/>
      <c r="Q301" s="284"/>
      <c r="R301" s="267"/>
      <c r="S301" s="285"/>
      <c r="T301" s="286"/>
      <c r="U301" s="267"/>
      <c r="V301" s="265"/>
      <c r="W301" s="266"/>
      <c r="X301" s="267"/>
      <c r="Y301" s="267"/>
      <c r="Z301" s="268"/>
      <c r="AA301" s="267"/>
      <c r="AB301" s="267"/>
      <c r="AC301" s="269"/>
    </row>
    <row r="302" ht="16.5" customHeight="1">
      <c r="A302" s="274"/>
      <c r="B302" s="275"/>
      <c r="C302" s="276"/>
      <c r="D302" s="276"/>
      <c r="E302" s="276"/>
      <c r="F302" s="277"/>
      <c r="G302" s="278"/>
      <c r="H302" s="277"/>
      <c r="I302" s="279"/>
      <c r="J302" s="280"/>
      <c r="K302" s="281"/>
      <c r="L302" s="282"/>
      <c r="M302" s="274"/>
      <c r="N302" s="283"/>
      <c r="O302" s="283"/>
      <c r="P302" s="267"/>
      <c r="Q302" s="284"/>
      <c r="R302" s="267"/>
      <c r="S302" s="285"/>
      <c r="T302" s="286"/>
      <c r="U302" s="267"/>
      <c r="V302" s="265"/>
      <c r="W302" s="266"/>
      <c r="X302" s="267"/>
      <c r="Y302" s="267"/>
      <c r="Z302" s="268"/>
      <c r="AA302" s="267"/>
      <c r="AB302" s="267"/>
      <c r="AC302" s="269"/>
    </row>
    <row r="303" ht="16.5" customHeight="1">
      <c r="A303" s="274"/>
      <c r="B303" s="275"/>
      <c r="C303" s="276"/>
      <c r="D303" s="276"/>
      <c r="E303" s="276"/>
      <c r="F303" s="277"/>
      <c r="G303" s="278"/>
      <c r="H303" s="277"/>
      <c r="I303" s="279"/>
      <c r="J303" s="280"/>
      <c r="K303" s="281"/>
      <c r="L303" s="282"/>
      <c r="M303" s="274"/>
      <c r="N303" s="283"/>
      <c r="O303" s="283"/>
      <c r="P303" s="267"/>
      <c r="Q303" s="284"/>
      <c r="R303" s="267"/>
      <c r="S303" s="285"/>
      <c r="T303" s="286"/>
      <c r="U303" s="267"/>
      <c r="V303" s="265"/>
      <c r="W303" s="266"/>
      <c r="X303" s="267"/>
      <c r="Y303" s="267"/>
      <c r="Z303" s="268"/>
      <c r="AA303" s="267"/>
      <c r="AB303" s="267"/>
      <c r="AC303" s="269"/>
    </row>
    <row r="304" ht="16.5" customHeight="1">
      <c r="A304" s="274"/>
      <c r="B304" s="275"/>
      <c r="C304" s="276"/>
      <c r="D304" s="276"/>
      <c r="E304" s="276"/>
      <c r="F304" s="277"/>
      <c r="G304" s="278"/>
      <c r="H304" s="277"/>
      <c r="I304" s="279"/>
      <c r="J304" s="280"/>
      <c r="K304" s="281"/>
      <c r="L304" s="282"/>
      <c r="M304" s="274"/>
      <c r="N304" s="283"/>
      <c r="O304" s="283"/>
      <c r="P304" s="267"/>
      <c r="Q304" s="284"/>
      <c r="R304" s="267"/>
      <c r="S304" s="285"/>
      <c r="T304" s="286"/>
      <c r="U304" s="267"/>
      <c r="V304" s="265"/>
      <c r="W304" s="266"/>
      <c r="X304" s="267"/>
      <c r="Y304" s="267"/>
      <c r="Z304" s="268"/>
      <c r="AA304" s="267"/>
      <c r="AB304" s="267"/>
      <c r="AC304" s="269"/>
    </row>
    <row r="305" ht="16.5" customHeight="1">
      <c r="A305" s="274"/>
      <c r="B305" s="275"/>
      <c r="C305" s="276"/>
      <c r="D305" s="276"/>
      <c r="E305" s="276"/>
      <c r="F305" s="277"/>
      <c r="G305" s="278"/>
      <c r="H305" s="277"/>
      <c r="I305" s="279"/>
      <c r="J305" s="280"/>
      <c r="K305" s="281"/>
      <c r="L305" s="282"/>
      <c r="M305" s="274"/>
      <c r="N305" s="283"/>
      <c r="O305" s="283"/>
      <c r="P305" s="267"/>
      <c r="Q305" s="284"/>
      <c r="R305" s="267"/>
      <c r="S305" s="285"/>
      <c r="T305" s="286"/>
      <c r="U305" s="267"/>
      <c r="V305" s="265"/>
      <c r="W305" s="266"/>
      <c r="X305" s="267"/>
      <c r="Y305" s="267"/>
      <c r="Z305" s="268"/>
      <c r="AA305" s="267"/>
      <c r="AB305" s="267"/>
      <c r="AC305" s="269"/>
    </row>
    <row r="306" ht="16.5" customHeight="1">
      <c r="A306" s="274"/>
      <c r="B306" s="275"/>
      <c r="C306" s="276"/>
      <c r="D306" s="276"/>
      <c r="E306" s="276"/>
      <c r="F306" s="277"/>
      <c r="G306" s="278"/>
      <c r="H306" s="277"/>
      <c r="I306" s="279"/>
      <c r="J306" s="280"/>
      <c r="K306" s="281"/>
      <c r="L306" s="282"/>
      <c r="M306" s="274"/>
      <c r="N306" s="283"/>
      <c r="O306" s="283"/>
      <c r="P306" s="267"/>
      <c r="Q306" s="284"/>
      <c r="R306" s="267"/>
      <c r="S306" s="285"/>
      <c r="T306" s="286"/>
      <c r="U306" s="267"/>
      <c r="V306" s="265"/>
      <c r="W306" s="266"/>
      <c r="X306" s="267"/>
      <c r="Y306" s="267"/>
      <c r="Z306" s="268"/>
      <c r="AA306" s="267"/>
      <c r="AB306" s="267"/>
      <c r="AC306" s="269"/>
    </row>
    <row r="307" ht="16.5" customHeight="1">
      <c r="A307" s="274"/>
      <c r="B307" s="275"/>
      <c r="C307" s="276"/>
      <c r="D307" s="276"/>
      <c r="E307" s="276"/>
      <c r="F307" s="277"/>
      <c r="G307" s="278"/>
      <c r="H307" s="277"/>
      <c r="I307" s="279"/>
      <c r="J307" s="280"/>
      <c r="K307" s="281"/>
      <c r="L307" s="282"/>
      <c r="M307" s="274"/>
      <c r="N307" s="283"/>
      <c r="O307" s="283"/>
      <c r="P307" s="267"/>
      <c r="Q307" s="284"/>
      <c r="R307" s="267"/>
      <c r="S307" s="285"/>
      <c r="T307" s="286"/>
      <c r="U307" s="267"/>
      <c r="V307" s="265"/>
      <c r="W307" s="266"/>
      <c r="X307" s="267"/>
      <c r="Y307" s="267"/>
      <c r="Z307" s="268"/>
      <c r="AA307" s="267"/>
      <c r="AB307" s="267"/>
      <c r="AC307" s="269"/>
    </row>
    <row r="308" ht="16.5" customHeight="1">
      <c r="A308" s="274"/>
      <c r="B308" s="275"/>
      <c r="C308" s="276"/>
      <c r="D308" s="276"/>
      <c r="E308" s="276"/>
      <c r="F308" s="277"/>
      <c r="G308" s="278"/>
      <c r="H308" s="277"/>
      <c r="I308" s="279"/>
      <c r="J308" s="280"/>
      <c r="K308" s="281"/>
      <c r="L308" s="282"/>
      <c r="M308" s="274"/>
      <c r="N308" s="283"/>
      <c r="O308" s="283"/>
      <c r="P308" s="267"/>
      <c r="Q308" s="284"/>
      <c r="R308" s="267"/>
      <c r="S308" s="285"/>
      <c r="T308" s="286"/>
      <c r="U308" s="267"/>
      <c r="V308" s="265"/>
      <c r="W308" s="266"/>
      <c r="X308" s="267"/>
      <c r="Y308" s="267"/>
      <c r="Z308" s="268"/>
      <c r="AA308" s="267"/>
      <c r="AB308" s="267"/>
      <c r="AC308" s="269"/>
    </row>
    <row r="309" ht="16.5" customHeight="1">
      <c r="A309" s="274"/>
      <c r="B309" s="275"/>
      <c r="C309" s="276"/>
      <c r="D309" s="276"/>
      <c r="E309" s="276"/>
      <c r="F309" s="277"/>
      <c r="G309" s="278"/>
      <c r="H309" s="277"/>
      <c r="I309" s="279"/>
      <c r="J309" s="280"/>
      <c r="K309" s="281"/>
      <c r="L309" s="282"/>
      <c r="M309" s="274"/>
      <c r="N309" s="283"/>
      <c r="O309" s="283"/>
      <c r="P309" s="267"/>
      <c r="Q309" s="284"/>
      <c r="R309" s="267"/>
      <c r="S309" s="285"/>
      <c r="T309" s="286"/>
      <c r="U309" s="267"/>
      <c r="V309" s="265"/>
      <c r="W309" s="266"/>
      <c r="X309" s="267"/>
      <c r="Y309" s="267"/>
      <c r="Z309" s="268"/>
      <c r="AA309" s="267"/>
      <c r="AB309" s="267"/>
      <c r="AC309" s="269"/>
    </row>
    <row r="310" ht="16.5" customHeight="1">
      <c r="A310" s="274"/>
      <c r="B310" s="275"/>
      <c r="C310" s="276"/>
      <c r="D310" s="276"/>
      <c r="E310" s="276"/>
      <c r="F310" s="277"/>
      <c r="G310" s="278"/>
      <c r="H310" s="277"/>
      <c r="I310" s="279"/>
      <c r="J310" s="280"/>
      <c r="K310" s="281"/>
      <c r="L310" s="282"/>
      <c r="M310" s="274"/>
      <c r="N310" s="283"/>
      <c r="O310" s="283"/>
      <c r="P310" s="267"/>
      <c r="Q310" s="284"/>
      <c r="R310" s="267"/>
      <c r="S310" s="285"/>
      <c r="T310" s="286"/>
      <c r="U310" s="267"/>
      <c r="V310" s="265"/>
      <c r="W310" s="266"/>
      <c r="X310" s="267"/>
      <c r="Y310" s="267"/>
      <c r="Z310" s="268"/>
      <c r="AA310" s="267"/>
      <c r="AB310" s="267"/>
      <c r="AC310" s="269"/>
    </row>
    <row r="311" ht="16.5" customHeight="1">
      <c r="A311" s="274"/>
      <c r="B311" s="275"/>
      <c r="C311" s="276"/>
      <c r="D311" s="276"/>
      <c r="E311" s="276"/>
      <c r="F311" s="277"/>
      <c r="G311" s="278"/>
      <c r="H311" s="277"/>
      <c r="I311" s="279"/>
      <c r="J311" s="280"/>
      <c r="K311" s="281"/>
      <c r="L311" s="282"/>
      <c r="M311" s="274"/>
      <c r="N311" s="283"/>
      <c r="O311" s="283"/>
      <c r="P311" s="267"/>
      <c r="Q311" s="284"/>
      <c r="R311" s="267"/>
      <c r="S311" s="285"/>
      <c r="T311" s="286"/>
      <c r="U311" s="267"/>
      <c r="V311" s="265"/>
      <c r="W311" s="266"/>
      <c r="X311" s="267"/>
      <c r="Y311" s="267"/>
      <c r="Z311" s="268"/>
      <c r="AA311" s="267"/>
      <c r="AB311" s="267"/>
      <c r="AC311" s="269"/>
    </row>
    <row r="312" ht="16.5" customHeight="1">
      <c r="A312" s="274"/>
      <c r="B312" s="275"/>
      <c r="C312" s="276"/>
      <c r="D312" s="276"/>
      <c r="E312" s="276"/>
      <c r="F312" s="277"/>
      <c r="G312" s="278"/>
      <c r="H312" s="277"/>
      <c r="I312" s="279"/>
      <c r="J312" s="280"/>
      <c r="K312" s="281"/>
      <c r="L312" s="282"/>
      <c r="M312" s="274"/>
      <c r="N312" s="283"/>
      <c r="O312" s="283"/>
      <c r="P312" s="267"/>
      <c r="Q312" s="284"/>
      <c r="R312" s="267"/>
      <c r="S312" s="285"/>
      <c r="T312" s="286"/>
      <c r="U312" s="267"/>
      <c r="V312" s="265"/>
      <c r="W312" s="266"/>
      <c r="X312" s="267"/>
      <c r="Y312" s="267"/>
      <c r="Z312" s="268"/>
      <c r="AA312" s="267"/>
      <c r="AB312" s="267"/>
      <c r="AC312" s="269"/>
    </row>
    <row r="313" ht="16.5" customHeight="1">
      <c r="A313" s="274"/>
      <c r="B313" s="275"/>
      <c r="C313" s="276"/>
      <c r="D313" s="276"/>
      <c r="E313" s="276"/>
      <c r="F313" s="277"/>
      <c r="G313" s="278"/>
      <c r="H313" s="277"/>
      <c r="I313" s="279"/>
      <c r="J313" s="280"/>
      <c r="K313" s="281"/>
      <c r="L313" s="282"/>
      <c r="M313" s="274"/>
      <c r="N313" s="283"/>
      <c r="O313" s="283"/>
      <c r="P313" s="267"/>
      <c r="Q313" s="284"/>
      <c r="R313" s="267"/>
      <c r="S313" s="285"/>
      <c r="T313" s="286"/>
      <c r="U313" s="267"/>
      <c r="V313" s="265"/>
      <c r="W313" s="266"/>
      <c r="X313" s="267"/>
      <c r="Y313" s="267"/>
      <c r="Z313" s="268"/>
      <c r="AA313" s="267"/>
      <c r="AB313" s="267"/>
      <c r="AC313" s="269"/>
    </row>
    <row r="314" ht="16.5" customHeight="1">
      <c r="A314" s="274"/>
      <c r="B314" s="275"/>
      <c r="C314" s="276"/>
      <c r="D314" s="276"/>
      <c r="E314" s="276"/>
      <c r="F314" s="277"/>
      <c r="G314" s="278"/>
      <c r="H314" s="277"/>
      <c r="I314" s="279"/>
      <c r="J314" s="280"/>
      <c r="K314" s="281"/>
      <c r="L314" s="282"/>
      <c r="M314" s="274"/>
      <c r="N314" s="283"/>
      <c r="O314" s="283"/>
      <c r="P314" s="267"/>
      <c r="Q314" s="284"/>
      <c r="R314" s="267"/>
      <c r="S314" s="285"/>
      <c r="T314" s="286"/>
      <c r="U314" s="267"/>
      <c r="V314" s="265"/>
      <c r="W314" s="266"/>
      <c r="X314" s="267"/>
      <c r="Y314" s="267"/>
      <c r="Z314" s="268"/>
      <c r="AA314" s="267"/>
      <c r="AB314" s="267"/>
      <c r="AC314" s="269"/>
    </row>
    <row r="315" ht="16.5" customHeight="1">
      <c r="A315" s="274"/>
      <c r="B315" s="275"/>
      <c r="C315" s="276"/>
      <c r="D315" s="276"/>
      <c r="E315" s="276"/>
      <c r="F315" s="277"/>
      <c r="G315" s="278"/>
      <c r="H315" s="277"/>
      <c r="I315" s="279"/>
      <c r="J315" s="280"/>
      <c r="K315" s="281"/>
      <c r="L315" s="282"/>
      <c r="M315" s="274"/>
      <c r="N315" s="283"/>
      <c r="O315" s="283"/>
      <c r="P315" s="267"/>
      <c r="Q315" s="284"/>
      <c r="R315" s="267"/>
      <c r="S315" s="285"/>
      <c r="T315" s="286"/>
      <c r="U315" s="267"/>
      <c r="V315" s="265"/>
      <c r="W315" s="266"/>
      <c r="X315" s="267"/>
      <c r="Y315" s="267"/>
      <c r="Z315" s="268"/>
      <c r="AA315" s="267"/>
      <c r="AB315" s="267"/>
      <c r="AC315" s="269"/>
    </row>
    <row r="316" ht="16.5" customHeight="1">
      <c r="A316" s="274"/>
      <c r="B316" s="275"/>
      <c r="C316" s="276"/>
      <c r="D316" s="276"/>
      <c r="E316" s="276"/>
      <c r="F316" s="277"/>
      <c r="G316" s="278"/>
      <c r="H316" s="277"/>
      <c r="I316" s="279"/>
      <c r="J316" s="280"/>
      <c r="K316" s="281"/>
      <c r="L316" s="282"/>
      <c r="M316" s="274"/>
      <c r="N316" s="283"/>
      <c r="O316" s="283"/>
      <c r="P316" s="267"/>
      <c r="Q316" s="284"/>
      <c r="R316" s="267"/>
      <c r="S316" s="285"/>
      <c r="T316" s="286"/>
      <c r="U316" s="267"/>
      <c r="V316" s="265"/>
      <c r="W316" s="266"/>
      <c r="X316" s="267"/>
      <c r="Y316" s="267"/>
      <c r="Z316" s="268"/>
      <c r="AA316" s="267"/>
      <c r="AB316" s="267"/>
      <c r="AC316" s="269"/>
    </row>
    <row r="317" ht="16.5" customHeight="1">
      <c r="A317" s="274"/>
      <c r="B317" s="275"/>
      <c r="C317" s="276"/>
      <c r="D317" s="276"/>
      <c r="E317" s="276"/>
      <c r="F317" s="277"/>
      <c r="G317" s="278"/>
      <c r="H317" s="277"/>
      <c r="I317" s="279"/>
      <c r="J317" s="280"/>
      <c r="K317" s="281"/>
      <c r="L317" s="282"/>
      <c r="M317" s="274"/>
      <c r="N317" s="283"/>
      <c r="O317" s="283"/>
      <c r="P317" s="267"/>
      <c r="Q317" s="284"/>
      <c r="R317" s="267"/>
      <c r="S317" s="285"/>
      <c r="T317" s="286"/>
      <c r="U317" s="267"/>
      <c r="V317" s="265"/>
      <c r="W317" s="266"/>
      <c r="X317" s="267"/>
      <c r="Y317" s="267"/>
      <c r="Z317" s="268"/>
      <c r="AA317" s="267"/>
      <c r="AB317" s="267"/>
      <c r="AC317" s="269"/>
    </row>
    <row r="318" ht="16.5" customHeight="1">
      <c r="A318" s="274"/>
      <c r="B318" s="275"/>
      <c r="C318" s="276"/>
      <c r="D318" s="276"/>
      <c r="E318" s="276"/>
      <c r="F318" s="277"/>
      <c r="G318" s="278"/>
      <c r="H318" s="277"/>
      <c r="I318" s="279"/>
      <c r="J318" s="280"/>
      <c r="K318" s="281"/>
      <c r="L318" s="282"/>
      <c r="M318" s="274"/>
      <c r="N318" s="283"/>
      <c r="O318" s="283"/>
      <c r="P318" s="267"/>
      <c r="Q318" s="284"/>
      <c r="R318" s="267"/>
      <c r="S318" s="285"/>
      <c r="T318" s="286"/>
      <c r="U318" s="267"/>
      <c r="V318" s="265"/>
      <c r="W318" s="266"/>
      <c r="X318" s="267"/>
      <c r="Y318" s="267"/>
      <c r="Z318" s="268"/>
      <c r="AA318" s="267"/>
      <c r="AB318" s="267"/>
      <c r="AC318" s="269"/>
    </row>
    <row r="319" ht="16.5" customHeight="1">
      <c r="A319" s="274"/>
      <c r="B319" s="275"/>
      <c r="C319" s="276"/>
      <c r="D319" s="276"/>
      <c r="E319" s="276"/>
      <c r="F319" s="277"/>
      <c r="G319" s="278"/>
      <c r="H319" s="277"/>
      <c r="I319" s="279"/>
      <c r="J319" s="280"/>
      <c r="K319" s="281"/>
      <c r="L319" s="282"/>
      <c r="M319" s="274"/>
      <c r="N319" s="283"/>
      <c r="O319" s="283"/>
      <c r="P319" s="267"/>
      <c r="Q319" s="284"/>
      <c r="R319" s="267"/>
      <c r="S319" s="285"/>
      <c r="T319" s="286"/>
      <c r="U319" s="267"/>
      <c r="V319" s="265"/>
      <c r="W319" s="266"/>
      <c r="X319" s="267"/>
      <c r="Y319" s="267"/>
      <c r="Z319" s="268"/>
      <c r="AA319" s="267"/>
      <c r="AB319" s="267"/>
      <c r="AC319" s="269"/>
    </row>
    <row r="320" ht="16.5" customHeight="1">
      <c r="A320" s="274"/>
      <c r="B320" s="275"/>
      <c r="C320" s="276"/>
      <c r="D320" s="276"/>
      <c r="E320" s="276"/>
      <c r="F320" s="277"/>
      <c r="G320" s="278"/>
      <c r="H320" s="277"/>
      <c r="I320" s="279"/>
      <c r="J320" s="280"/>
      <c r="K320" s="281"/>
      <c r="L320" s="282"/>
      <c r="M320" s="274"/>
      <c r="N320" s="283"/>
      <c r="O320" s="283"/>
      <c r="P320" s="267"/>
      <c r="Q320" s="284"/>
      <c r="R320" s="267"/>
      <c r="S320" s="285"/>
      <c r="T320" s="286"/>
      <c r="U320" s="267"/>
      <c r="V320" s="265"/>
      <c r="W320" s="266"/>
      <c r="X320" s="267"/>
      <c r="Y320" s="267"/>
      <c r="Z320" s="268"/>
      <c r="AA320" s="267"/>
      <c r="AB320" s="267"/>
      <c r="AC320" s="269"/>
    </row>
    <row r="321" ht="16.5" customHeight="1">
      <c r="A321" s="274"/>
      <c r="B321" s="275"/>
      <c r="C321" s="276"/>
      <c r="D321" s="276"/>
      <c r="E321" s="276"/>
      <c r="F321" s="277"/>
      <c r="G321" s="278"/>
      <c r="H321" s="277"/>
      <c r="I321" s="279"/>
      <c r="J321" s="280"/>
      <c r="K321" s="281"/>
      <c r="L321" s="282"/>
      <c r="M321" s="274"/>
      <c r="N321" s="283"/>
      <c r="O321" s="283"/>
      <c r="P321" s="267"/>
      <c r="Q321" s="284"/>
      <c r="R321" s="267"/>
      <c r="S321" s="285"/>
      <c r="T321" s="286"/>
      <c r="U321" s="267"/>
      <c r="V321" s="265"/>
      <c r="W321" s="266"/>
      <c r="X321" s="267"/>
      <c r="Y321" s="267"/>
      <c r="Z321" s="268"/>
      <c r="AA321" s="267"/>
      <c r="AB321" s="267"/>
      <c r="AC321" s="269"/>
    </row>
    <row r="322" ht="16.5" customHeight="1">
      <c r="A322" s="274"/>
      <c r="B322" s="275"/>
      <c r="C322" s="276"/>
      <c r="D322" s="276"/>
      <c r="E322" s="276"/>
      <c r="F322" s="277"/>
      <c r="G322" s="278"/>
      <c r="H322" s="277"/>
      <c r="I322" s="279"/>
      <c r="J322" s="280"/>
      <c r="K322" s="281"/>
      <c r="L322" s="282"/>
      <c r="M322" s="274"/>
      <c r="N322" s="283"/>
      <c r="O322" s="283"/>
      <c r="P322" s="267"/>
      <c r="Q322" s="284"/>
      <c r="R322" s="267"/>
      <c r="S322" s="285"/>
      <c r="T322" s="286"/>
      <c r="U322" s="267"/>
      <c r="V322" s="265"/>
      <c r="W322" s="266"/>
      <c r="X322" s="267"/>
      <c r="Y322" s="267"/>
      <c r="Z322" s="268"/>
      <c r="AA322" s="267"/>
      <c r="AB322" s="267"/>
      <c r="AC322" s="269"/>
    </row>
    <row r="323" ht="16.5" customHeight="1">
      <c r="A323" s="274"/>
      <c r="B323" s="275"/>
      <c r="C323" s="276"/>
      <c r="D323" s="276"/>
      <c r="E323" s="276"/>
      <c r="F323" s="277"/>
      <c r="G323" s="278"/>
      <c r="H323" s="277"/>
      <c r="I323" s="279"/>
      <c r="J323" s="280"/>
      <c r="K323" s="281"/>
      <c r="L323" s="282"/>
      <c r="M323" s="274"/>
      <c r="N323" s="283"/>
      <c r="O323" s="283"/>
      <c r="P323" s="267"/>
      <c r="Q323" s="284"/>
      <c r="R323" s="267"/>
      <c r="S323" s="285"/>
      <c r="T323" s="286"/>
      <c r="U323" s="267"/>
      <c r="V323" s="265"/>
      <c r="W323" s="266"/>
      <c r="X323" s="267"/>
      <c r="Y323" s="267"/>
      <c r="Z323" s="268"/>
      <c r="AA323" s="267"/>
      <c r="AB323" s="267"/>
      <c r="AC323" s="269"/>
    </row>
    <row r="324" ht="16.5" customHeight="1">
      <c r="A324" s="274"/>
      <c r="B324" s="275"/>
      <c r="C324" s="276"/>
      <c r="D324" s="276"/>
      <c r="E324" s="276"/>
      <c r="F324" s="277"/>
      <c r="G324" s="278"/>
      <c r="H324" s="277"/>
      <c r="I324" s="279"/>
      <c r="J324" s="280"/>
      <c r="K324" s="281"/>
      <c r="L324" s="282"/>
      <c r="M324" s="274"/>
      <c r="N324" s="283"/>
      <c r="O324" s="283"/>
      <c r="P324" s="267"/>
      <c r="Q324" s="284"/>
      <c r="R324" s="267"/>
      <c r="S324" s="285"/>
      <c r="T324" s="286"/>
      <c r="U324" s="267"/>
      <c r="V324" s="265"/>
      <c r="W324" s="266"/>
      <c r="X324" s="267"/>
      <c r="Y324" s="267"/>
      <c r="Z324" s="268"/>
      <c r="AA324" s="267"/>
      <c r="AB324" s="267"/>
      <c r="AC324" s="269"/>
    </row>
    <row r="325" ht="16.5" customHeight="1">
      <c r="A325" s="274"/>
      <c r="B325" s="275"/>
      <c r="C325" s="276"/>
      <c r="D325" s="276"/>
      <c r="E325" s="276"/>
      <c r="F325" s="277"/>
      <c r="G325" s="278"/>
      <c r="H325" s="277"/>
      <c r="I325" s="279"/>
      <c r="J325" s="280"/>
      <c r="K325" s="281"/>
      <c r="L325" s="282"/>
      <c r="M325" s="274"/>
      <c r="N325" s="283"/>
      <c r="O325" s="283"/>
      <c r="P325" s="267"/>
      <c r="Q325" s="284"/>
      <c r="R325" s="267"/>
      <c r="S325" s="285"/>
      <c r="T325" s="286"/>
      <c r="U325" s="267"/>
      <c r="V325" s="265"/>
      <c r="W325" s="266"/>
      <c r="X325" s="267"/>
      <c r="Y325" s="267"/>
      <c r="Z325" s="268"/>
      <c r="AA325" s="267"/>
      <c r="AB325" s="267"/>
      <c r="AC325" s="269"/>
    </row>
    <row r="326" ht="16.5" customHeight="1">
      <c r="A326" s="274"/>
      <c r="B326" s="275"/>
      <c r="C326" s="276"/>
      <c r="D326" s="276"/>
      <c r="E326" s="276"/>
      <c r="F326" s="277"/>
      <c r="G326" s="278"/>
      <c r="H326" s="277"/>
      <c r="I326" s="279"/>
      <c r="J326" s="280"/>
      <c r="K326" s="281"/>
      <c r="L326" s="282"/>
      <c r="M326" s="274"/>
      <c r="N326" s="283"/>
      <c r="O326" s="283"/>
      <c r="P326" s="267"/>
      <c r="Q326" s="284"/>
      <c r="R326" s="267"/>
      <c r="S326" s="285"/>
      <c r="T326" s="286"/>
      <c r="U326" s="267"/>
      <c r="V326" s="265"/>
      <c r="W326" s="266"/>
      <c r="X326" s="267"/>
      <c r="Y326" s="267"/>
      <c r="Z326" s="268"/>
      <c r="AA326" s="267"/>
      <c r="AB326" s="267"/>
      <c r="AC326" s="269"/>
    </row>
    <row r="327" ht="16.5" customHeight="1">
      <c r="A327" s="274"/>
      <c r="B327" s="275"/>
      <c r="C327" s="276"/>
      <c r="D327" s="276"/>
      <c r="E327" s="276"/>
      <c r="F327" s="277"/>
      <c r="G327" s="278"/>
      <c r="H327" s="277"/>
      <c r="I327" s="279"/>
      <c r="J327" s="280"/>
      <c r="K327" s="281"/>
      <c r="L327" s="282"/>
      <c r="M327" s="274"/>
      <c r="N327" s="283"/>
      <c r="O327" s="283"/>
      <c r="P327" s="267"/>
      <c r="Q327" s="284"/>
      <c r="R327" s="267"/>
      <c r="S327" s="285"/>
      <c r="T327" s="286"/>
      <c r="U327" s="267"/>
      <c r="V327" s="265"/>
      <c r="W327" s="266"/>
      <c r="X327" s="267"/>
      <c r="Y327" s="267"/>
      <c r="Z327" s="268"/>
      <c r="AA327" s="267"/>
      <c r="AB327" s="267"/>
      <c r="AC327" s="269"/>
    </row>
    <row r="328" ht="16.5" customHeight="1">
      <c r="A328" s="274"/>
      <c r="B328" s="275"/>
      <c r="C328" s="276"/>
      <c r="D328" s="276"/>
      <c r="E328" s="276"/>
      <c r="F328" s="277"/>
      <c r="G328" s="278"/>
      <c r="H328" s="277"/>
      <c r="I328" s="279"/>
      <c r="J328" s="280"/>
      <c r="K328" s="281"/>
      <c r="L328" s="282"/>
      <c r="M328" s="274"/>
      <c r="N328" s="283"/>
      <c r="O328" s="283"/>
      <c r="P328" s="267"/>
      <c r="Q328" s="284"/>
      <c r="R328" s="267"/>
      <c r="S328" s="285"/>
      <c r="T328" s="286"/>
      <c r="U328" s="267"/>
      <c r="V328" s="265"/>
      <c r="W328" s="266"/>
      <c r="X328" s="267"/>
      <c r="Y328" s="267"/>
      <c r="Z328" s="268"/>
      <c r="AA328" s="267"/>
      <c r="AB328" s="267"/>
      <c r="AC328" s="269"/>
    </row>
    <row r="329" ht="16.5" customHeight="1">
      <c r="A329" s="274"/>
      <c r="B329" s="275"/>
      <c r="C329" s="276"/>
      <c r="D329" s="276"/>
      <c r="E329" s="276"/>
      <c r="F329" s="277"/>
      <c r="G329" s="278"/>
      <c r="H329" s="277"/>
      <c r="I329" s="279"/>
      <c r="J329" s="280"/>
      <c r="K329" s="281"/>
      <c r="L329" s="282"/>
      <c r="M329" s="274"/>
      <c r="N329" s="283"/>
      <c r="O329" s="283"/>
      <c r="P329" s="267"/>
      <c r="Q329" s="284"/>
      <c r="R329" s="267"/>
      <c r="S329" s="285"/>
      <c r="T329" s="286"/>
      <c r="U329" s="267"/>
      <c r="V329" s="265"/>
      <c r="W329" s="266"/>
      <c r="X329" s="267"/>
      <c r="Y329" s="267"/>
      <c r="Z329" s="268"/>
      <c r="AA329" s="267"/>
      <c r="AB329" s="267"/>
      <c r="AC329" s="269"/>
    </row>
    <row r="330" ht="16.5" customHeight="1">
      <c r="A330" s="274"/>
      <c r="B330" s="275"/>
      <c r="C330" s="276"/>
      <c r="D330" s="276"/>
      <c r="E330" s="276"/>
      <c r="F330" s="277"/>
      <c r="G330" s="278"/>
      <c r="H330" s="277"/>
      <c r="I330" s="279"/>
      <c r="J330" s="280"/>
      <c r="K330" s="281"/>
      <c r="L330" s="282"/>
      <c r="M330" s="274"/>
      <c r="N330" s="283"/>
      <c r="O330" s="283"/>
      <c r="P330" s="267"/>
      <c r="Q330" s="284"/>
      <c r="R330" s="267"/>
      <c r="S330" s="285"/>
      <c r="T330" s="286"/>
      <c r="U330" s="267"/>
      <c r="V330" s="265"/>
      <c r="W330" s="266"/>
      <c r="X330" s="267"/>
      <c r="Y330" s="267"/>
      <c r="Z330" s="268"/>
      <c r="AA330" s="267"/>
      <c r="AB330" s="267"/>
      <c r="AC330" s="269"/>
    </row>
    <row r="331" ht="16.5" customHeight="1">
      <c r="A331" s="274"/>
      <c r="B331" s="275"/>
      <c r="C331" s="276"/>
      <c r="D331" s="276"/>
      <c r="E331" s="276"/>
      <c r="F331" s="277"/>
      <c r="G331" s="278"/>
      <c r="H331" s="277"/>
      <c r="I331" s="279"/>
      <c r="J331" s="280"/>
      <c r="K331" s="281"/>
      <c r="L331" s="282"/>
      <c r="M331" s="274"/>
      <c r="N331" s="283"/>
      <c r="O331" s="283"/>
      <c r="P331" s="267"/>
      <c r="Q331" s="284"/>
      <c r="R331" s="267"/>
      <c r="S331" s="285"/>
      <c r="T331" s="286"/>
      <c r="U331" s="267"/>
      <c r="V331" s="265"/>
      <c r="W331" s="266"/>
      <c r="X331" s="267"/>
      <c r="Y331" s="267"/>
      <c r="Z331" s="268"/>
      <c r="AA331" s="267"/>
      <c r="AB331" s="267"/>
      <c r="AC331" s="269"/>
    </row>
    <row r="332" ht="16.5" customHeight="1">
      <c r="A332" s="274"/>
      <c r="B332" s="275"/>
      <c r="C332" s="276"/>
      <c r="D332" s="276"/>
      <c r="E332" s="276"/>
      <c r="F332" s="277"/>
      <c r="G332" s="278"/>
      <c r="H332" s="277"/>
      <c r="I332" s="279"/>
      <c r="J332" s="280"/>
      <c r="K332" s="281"/>
      <c r="L332" s="282"/>
      <c r="M332" s="274"/>
      <c r="N332" s="283"/>
      <c r="O332" s="283"/>
      <c r="P332" s="267"/>
      <c r="Q332" s="284"/>
      <c r="R332" s="267"/>
      <c r="S332" s="285"/>
      <c r="T332" s="286"/>
      <c r="U332" s="267"/>
      <c r="V332" s="265"/>
      <c r="W332" s="266"/>
      <c r="X332" s="267"/>
      <c r="Y332" s="267"/>
      <c r="Z332" s="268"/>
      <c r="AA332" s="267"/>
      <c r="AB332" s="267"/>
      <c r="AC332" s="269"/>
    </row>
    <row r="333" ht="16.5" customHeight="1">
      <c r="A333" s="274"/>
      <c r="B333" s="275"/>
      <c r="C333" s="276"/>
      <c r="D333" s="276"/>
      <c r="E333" s="276"/>
      <c r="F333" s="277"/>
      <c r="G333" s="278"/>
      <c r="H333" s="277"/>
      <c r="I333" s="279"/>
      <c r="J333" s="280"/>
      <c r="K333" s="281"/>
      <c r="L333" s="282"/>
      <c r="M333" s="274"/>
      <c r="N333" s="283"/>
      <c r="O333" s="283"/>
      <c r="P333" s="267"/>
      <c r="Q333" s="284"/>
      <c r="R333" s="267"/>
      <c r="S333" s="285"/>
      <c r="T333" s="286"/>
      <c r="U333" s="267"/>
      <c r="V333" s="265"/>
      <c r="W333" s="266"/>
      <c r="X333" s="267"/>
      <c r="Y333" s="267"/>
      <c r="Z333" s="268"/>
      <c r="AA333" s="267"/>
      <c r="AB333" s="267"/>
      <c r="AC333" s="269"/>
    </row>
    <row r="334" ht="16.5" customHeight="1">
      <c r="A334" s="274"/>
      <c r="B334" s="275"/>
      <c r="C334" s="276"/>
      <c r="D334" s="276"/>
      <c r="E334" s="276"/>
      <c r="F334" s="277"/>
      <c r="G334" s="278"/>
      <c r="H334" s="277"/>
      <c r="I334" s="279"/>
      <c r="J334" s="280"/>
      <c r="K334" s="281"/>
      <c r="L334" s="282"/>
      <c r="M334" s="274"/>
      <c r="N334" s="283"/>
      <c r="O334" s="283"/>
      <c r="P334" s="267"/>
      <c r="Q334" s="284"/>
      <c r="R334" s="267"/>
      <c r="S334" s="285"/>
      <c r="T334" s="286"/>
      <c r="U334" s="267"/>
      <c r="V334" s="265"/>
      <c r="W334" s="266"/>
      <c r="X334" s="267"/>
      <c r="Y334" s="267"/>
      <c r="Z334" s="268"/>
      <c r="AA334" s="267"/>
      <c r="AB334" s="267"/>
      <c r="AC334" s="269"/>
    </row>
    <row r="335" ht="16.5" customHeight="1">
      <c r="A335" s="274"/>
      <c r="B335" s="275"/>
      <c r="C335" s="276"/>
      <c r="D335" s="276"/>
      <c r="E335" s="276"/>
      <c r="F335" s="277"/>
      <c r="G335" s="278"/>
      <c r="H335" s="277"/>
      <c r="I335" s="279"/>
      <c r="J335" s="280"/>
      <c r="K335" s="281"/>
      <c r="L335" s="282"/>
      <c r="M335" s="274"/>
      <c r="N335" s="283"/>
      <c r="O335" s="283"/>
      <c r="P335" s="267"/>
      <c r="Q335" s="284"/>
      <c r="R335" s="267"/>
      <c r="S335" s="285"/>
      <c r="T335" s="286"/>
      <c r="U335" s="267"/>
      <c r="V335" s="265"/>
      <c r="W335" s="266"/>
      <c r="X335" s="267"/>
      <c r="Y335" s="267"/>
      <c r="Z335" s="268"/>
      <c r="AA335" s="267"/>
      <c r="AB335" s="267"/>
      <c r="AC335" s="269"/>
    </row>
    <row r="336" ht="16.5" customHeight="1">
      <c r="A336" s="274"/>
      <c r="B336" s="275"/>
      <c r="C336" s="276"/>
      <c r="D336" s="276"/>
      <c r="E336" s="276"/>
      <c r="F336" s="277"/>
      <c r="G336" s="278"/>
      <c r="H336" s="277"/>
      <c r="I336" s="279"/>
      <c r="J336" s="280"/>
      <c r="K336" s="281"/>
      <c r="L336" s="282"/>
      <c r="M336" s="274"/>
      <c r="N336" s="283"/>
      <c r="O336" s="283"/>
      <c r="P336" s="267"/>
      <c r="Q336" s="284"/>
      <c r="R336" s="267"/>
      <c r="S336" s="285"/>
      <c r="T336" s="286"/>
      <c r="U336" s="267"/>
      <c r="V336" s="265"/>
      <c r="W336" s="266"/>
      <c r="X336" s="267"/>
      <c r="Y336" s="267"/>
      <c r="Z336" s="268"/>
      <c r="AA336" s="267"/>
      <c r="AB336" s="267"/>
      <c r="AC336" s="269"/>
    </row>
    <row r="337" ht="16.5" customHeight="1">
      <c r="A337" s="274"/>
      <c r="B337" s="275"/>
      <c r="C337" s="276"/>
      <c r="D337" s="276"/>
      <c r="E337" s="276"/>
      <c r="F337" s="277"/>
      <c r="G337" s="278"/>
      <c r="H337" s="277"/>
      <c r="I337" s="279"/>
      <c r="J337" s="280"/>
      <c r="K337" s="281"/>
      <c r="L337" s="282"/>
      <c r="M337" s="274"/>
      <c r="N337" s="283"/>
      <c r="O337" s="283"/>
      <c r="P337" s="267"/>
      <c r="Q337" s="284"/>
      <c r="R337" s="267"/>
      <c r="S337" s="285"/>
      <c r="T337" s="286"/>
      <c r="U337" s="267"/>
      <c r="V337" s="265"/>
      <c r="W337" s="266"/>
      <c r="X337" s="267"/>
      <c r="Y337" s="267"/>
      <c r="Z337" s="268"/>
      <c r="AA337" s="267"/>
      <c r="AB337" s="267"/>
      <c r="AC337" s="269"/>
    </row>
    <row r="338" ht="16.5" customHeight="1">
      <c r="A338" s="274"/>
      <c r="B338" s="275"/>
      <c r="C338" s="276"/>
      <c r="D338" s="276"/>
      <c r="E338" s="276"/>
      <c r="F338" s="277"/>
      <c r="G338" s="278"/>
      <c r="H338" s="277"/>
      <c r="I338" s="279"/>
      <c r="J338" s="280"/>
      <c r="K338" s="281"/>
      <c r="L338" s="282"/>
      <c r="M338" s="274"/>
      <c r="N338" s="283"/>
      <c r="O338" s="283"/>
      <c r="P338" s="267"/>
      <c r="Q338" s="284"/>
      <c r="R338" s="267"/>
      <c r="S338" s="285"/>
      <c r="T338" s="286"/>
      <c r="U338" s="267"/>
      <c r="V338" s="265"/>
      <c r="W338" s="266"/>
      <c r="X338" s="267"/>
      <c r="Y338" s="267"/>
      <c r="Z338" s="268"/>
      <c r="AA338" s="267"/>
      <c r="AB338" s="267"/>
      <c r="AC338" s="269"/>
    </row>
    <row r="339" ht="16.5" customHeight="1">
      <c r="A339" s="274"/>
      <c r="B339" s="275"/>
      <c r="C339" s="276"/>
      <c r="D339" s="276"/>
      <c r="E339" s="276"/>
      <c r="F339" s="277"/>
      <c r="G339" s="278"/>
      <c r="H339" s="277"/>
      <c r="I339" s="279"/>
      <c r="J339" s="280"/>
      <c r="K339" s="281"/>
      <c r="L339" s="282"/>
      <c r="M339" s="274"/>
      <c r="N339" s="283"/>
      <c r="O339" s="283"/>
      <c r="P339" s="267"/>
      <c r="Q339" s="284"/>
      <c r="R339" s="267"/>
      <c r="S339" s="285"/>
      <c r="T339" s="286"/>
      <c r="U339" s="267"/>
      <c r="V339" s="265"/>
      <c r="W339" s="266"/>
      <c r="X339" s="267"/>
      <c r="Y339" s="267"/>
      <c r="Z339" s="268"/>
      <c r="AA339" s="267"/>
      <c r="AB339" s="267"/>
      <c r="AC339" s="269"/>
    </row>
    <row r="340" ht="16.5" customHeight="1">
      <c r="A340" s="274"/>
      <c r="B340" s="275"/>
      <c r="C340" s="276"/>
      <c r="D340" s="276"/>
      <c r="E340" s="276"/>
      <c r="F340" s="277"/>
      <c r="G340" s="278"/>
      <c r="H340" s="277"/>
      <c r="I340" s="279"/>
      <c r="J340" s="280"/>
      <c r="K340" s="281"/>
      <c r="L340" s="282"/>
      <c r="M340" s="274"/>
      <c r="N340" s="283"/>
      <c r="O340" s="283"/>
      <c r="P340" s="267"/>
      <c r="Q340" s="284"/>
      <c r="R340" s="267"/>
      <c r="S340" s="285"/>
      <c r="T340" s="286"/>
      <c r="U340" s="267"/>
      <c r="V340" s="265"/>
      <c r="W340" s="266"/>
      <c r="X340" s="267"/>
      <c r="Y340" s="267"/>
      <c r="Z340" s="268"/>
      <c r="AA340" s="267"/>
      <c r="AB340" s="267"/>
      <c r="AC340" s="269"/>
    </row>
    <row r="341" ht="16.5" customHeight="1">
      <c r="A341" s="274"/>
      <c r="B341" s="275"/>
      <c r="C341" s="276"/>
      <c r="D341" s="276"/>
      <c r="E341" s="276"/>
      <c r="F341" s="277"/>
      <c r="G341" s="278"/>
      <c r="H341" s="277"/>
      <c r="I341" s="279"/>
      <c r="J341" s="280"/>
      <c r="K341" s="281"/>
      <c r="L341" s="282"/>
      <c r="M341" s="274"/>
      <c r="N341" s="283"/>
      <c r="O341" s="283"/>
      <c r="P341" s="267"/>
      <c r="Q341" s="284"/>
      <c r="R341" s="267"/>
      <c r="S341" s="285"/>
      <c r="T341" s="286"/>
      <c r="U341" s="267"/>
      <c r="V341" s="265"/>
      <c r="W341" s="266"/>
      <c r="X341" s="267"/>
      <c r="Y341" s="267"/>
      <c r="Z341" s="268"/>
      <c r="AA341" s="267"/>
      <c r="AB341" s="267"/>
      <c r="AC341" s="269"/>
    </row>
    <row r="342" ht="16.5" customHeight="1">
      <c r="A342" s="274"/>
      <c r="B342" s="275"/>
      <c r="C342" s="276"/>
      <c r="D342" s="276"/>
      <c r="E342" s="276"/>
      <c r="F342" s="277"/>
      <c r="G342" s="278"/>
      <c r="H342" s="277"/>
      <c r="I342" s="279"/>
      <c r="J342" s="280"/>
      <c r="K342" s="281"/>
      <c r="L342" s="282"/>
      <c r="M342" s="274"/>
      <c r="N342" s="283"/>
      <c r="O342" s="283"/>
      <c r="P342" s="267"/>
      <c r="Q342" s="284"/>
      <c r="R342" s="267"/>
      <c r="S342" s="285"/>
      <c r="T342" s="286"/>
      <c r="U342" s="267"/>
      <c r="V342" s="265"/>
      <c r="W342" s="266"/>
      <c r="X342" s="267"/>
      <c r="Y342" s="267"/>
      <c r="Z342" s="268"/>
      <c r="AA342" s="267"/>
      <c r="AB342" s="267"/>
      <c r="AC342" s="269"/>
    </row>
    <row r="343" ht="16.5" customHeight="1">
      <c r="A343" s="274"/>
      <c r="B343" s="275"/>
      <c r="C343" s="276"/>
      <c r="D343" s="276"/>
      <c r="E343" s="276"/>
      <c r="F343" s="277"/>
      <c r="G343" s="278"/>
      <c r="H343" s="277"/>
      <c r="I343" s="279"/>
      <c r="J343" s="280"/>
      <c r="K343" s="281"/>
      <c r="L343" s="282"/>
      <c r="M343" s="274"/>
      <c r="N343" s="283"/>
      <c r="O343" s="283"/>
      <c r="P343" s="267"/>
      <c r="Q343" s="284"/>
      <c r="R343" s="267"/>
      <c r="S343" s="285"/>
      <c r="T343" s="286"/>
      <c r="U343" s="267"/>
      <c r="V343" s="265"/>
      <c r="W343" s="266"/>
      <c r="X343" s="267"/>
      <c r="Y343" s="267"/>
      <c r="Z343" s="268"/>
      <c r="AA343" s="267"/>
      <c r="AB343" s="267"/>
      <c r="AC343" s="269"/>
    </row>
    <row r="344" ht="16.5" customHeight="1">
      <c r="A344" s="274"/>
      <c r="B344" s="275"/>
      <c r="C344" s="276"/>
      <c r="D344" s="276"/>
      <c r="E344" s="276"/>
      <c r="F344" s="277"/>
      <c r="G344" s="278"/>
      <c r="H344" s="277"/>
      <c r="I344" s="279"/>
      <c r="J344" s="280"/>
      <c r="K344" s="281"/>
      <c r="L344" s="282"/>
      <c r="M344" s="274"/>
      <c r="N344" s="283"/>
      <c r="O344" s="283"/>
      <c r="P344" s="267"/>
      <c r="Q344" s="284"/>
      <c r="R344" s="267"/>
      <c r="S344" s="285"/>
      <c r="T344" s="286"/>
      <c r="U344" s="267"/>
      <c r="V344" s="265"/>
      <c r="W344" s="266"/>
      <c r="X344" s="267"/>
      <c r="Y344" s="267"/>
      <c r="Z344" s="268"/>
      <c r="AA344" s="267"/>
      <c r="AB344" s="267"/>
      <c r="AC344" s="269"/>
    </row>
    <row r="345" ht="16.5" customHeight="1">
      <c r="A345" s="274"/>
      <c r="B345" s="275"/>
      <c r="C345" s="276"/>
      <c r="D345" s="276"/>
      <c r="E345" s="276"/>
      <c r="F345" s="277"/>
      <c r="G345" s="278"/>
      <c r="H345" s="277"/>
      <c r="I345" s="279"/>
      <c r="J345" s="280"/>
      <c r="K345" s="281"/>
      <c r="L345" s="282"/>
      <c r="M345" s="274"/>
      <c r="N345" s="283"/>
      <c r="O345" s="283"/>
      <c r="P345" s="267"/>
      <c r="Q345" s="284"/>
      <c r="R345" s="267"/>
      <c r="S345" s="285"/>
      <c r="T345" s="286"/>
      <c r="U345" s="267"/>
      <c r="V345" s="265"/>
      <c r="W345" s="266"/>
      <c r="X345" s="267"/>
      <c r="Y345" s="267"/>
      <c r="Z345" s="268"/>
      <c r="AA345" s="267"/>
      <c r="AB345" s="267"/>
      <c r="AC345" s="269"/>
    </row>
    <row r="346" ht="16.5" customHeight="1">
      <c r="A346" s="274"/>
      <c r="B346" s="275"/>
      <c r="C346" s="276"/>
      <c r="D346" s="276"/>
      <c r="E346" s="276"/>
      <c r="F346" s="277"/>
      <c r="G346" s="278"/>
      <c r="H346" s="277"/>
      <c r="I346" s="279"/>
      <c r="J346" s="280"/>
      <c r="K346" s="281"/>
      <c r="L346" s="282"/>
      <c r="M346" s="274"/>
      <c r="N346" s="283"/>
      <c r="O346" s="283"/>
      <c r="P346" s="267"/>
      <c r="Q346" s="284"/>
      <c r="R346" s="267"/>
      <c r="S346" s="285"/>
      <c r="T346" s="286"/>
      <c r="U346" s="267"/>
      <c r="V346" s="265"/>
      <c r="W346" s="266"/>
      <c r="X346" s="267"/>
      <c r="Y346" s="267"/>
      <c r="Z346" s="268"/>
      <c r="AA346" s="267"/>
      <c r="AB346" s="267"/>
      <c r="AC346" s="269"/>
    </row>
    <row r="347" ht="16.5" customHeight="1">
      <c r="A347" s="274"/>
      <c r="B347" s="275"/>
      <c r="C347" s="276"/>
      <c r="D347" s="276"/>
      <c r="E347" s="276"/>
      <c r="F347" s="277"/>
      <c r="G347" s="278"/>
      <c r="H347" s="277"/>
      <c r="I347" s="279"/>
      <c r="J347" s="280"/>
      <c r="K347" s="281"/>
      <c r="L347" s="282"/>
      <c r="M347" s="274"/>
      <c r="N347" s="283"/>
      <c r="O347" s="283"/>
      <c r="P347" s="267"/>
      <c r="Q347" s="284"/>
      <c r="R347" s="267"/>
      <c r="S347" s="285"/>
      <c r="T347" s="286"/>
      <c r="U347" s="267"/>
      <c r="V347" s="265"/>
      <c r="W347" s="266"/>
      <c r="X347" s="267"/>
      <c r="Y347" s="267"/>
      <c r="Z347" s="268"/>
      <c r="AA347" s="267"/>
      <c r="AB347" s="267"/>
      <c r="AC347" s="269"/>
    </row>
    <row r="348" ht="16.5" customHeight="1">
      <c r="A348" s="274"/>
      <c r="B348" s="275"/>
      <c r="C348" s="276"/>
      <c r="D348" s="276"/>
      <c r="E348" s="276"/>
      <c r="F348" s="277"/>
      <c r="G348" s="278"/>
      <c r="H348" s="277"/>
      <c r="I348" s="279"/>
      <c r="J348" s="280"/>
      <c r="K348" s="281"/>
      <c r="L348" s="282"/>
      <c r="M348" s="274"/>
      <c r="N348" s="283"/>
      <c r="O348" s="283"/>
      <c r="P348" s="267"/>
      <c r="Q348" s="284"/>
      <c r="R348" s="267"/>
      <c r="S348" s="285"/>
      <c r="T348" s="286"/>
      <c r="U348" s="267"/>
      <c r="V348" s="265"/>
      <c r="W348" s="266"/>
      <c r="X348" s="267"/>
      <c r="Y348" s="267"/>
      <c r="Z348" s="268"/>
      <c r="AA348" s="267"/>
      <c r="AB348" s="267"/>
      <c r="AC348" s="269"/>
    </row>
    <row r="349" ht="16.5" customHeight="1">
      <c r="A349" s="274"/>
      <c r="B349" s="275"/>
      <c r="C349" s="276"/>
      <c r="D349" s="276"/>
      <c r="E349" s="276"/>
      <c r="F349" s="277"/>
      <c r="G349" s="278"/>
      <c r="H349" s="277"/>
      <c r="I349" s="279"/>
      <c r="J349" s="280"/>
      <c r="K349" s="281"/>
      <c r="L349" s="282"/>
      <c r="M349" s="274"/>
      <c r="N349" s="283"/>
      <c r="O349" s="283"/>
      <c r="P349" s="267"/>
      <c r="Q349" s="284"/>
      <c r="R349" s="267"/>
      <c r="S349" s="285"/>
      <c r="T349" s="286"/>
      <c r="U349" s="267"/>
      <c r="V349" s="265"/>
      <c r="W349" s="266"/>
      <c r="X349" s="267"/>
      <c r="Y349" s="267"/>
      <c r="Z349" s="268"/>
      <c r="AA349" s="267"/>
      <c r="AB349" s="267"/>
      <c r="AC349" s="269"/>
    </row>
    <row r="350" ht="16.5" customHeight="1">
      <c r="A350" s="274"/>
      <c r="B350" s="275"/>
      <c r="C350" s="276"/>
      <c r="D350" s="276"/>
      <c r="E350" s="276"/>
      <c r="F350" s="277"/>
      <c r="G350" s="278"/>
      <c r="H350" s="277"/>
      <c r="I350" s="279"/>
      <c r="J350" s="280"/>
      <c r="K350" s="281"/>
      <c r="L350" s="282"/>
      <c r="M350" s="274"/>
      <c r="N350" s="283"/>
      <c r="O350" s="283"/>
      <c r="P350" s="267"/>
      <c r="Q350" s="284"/>
      <c r="R350" s="267"/>
      <c r="S350" s="285"/>
      <c r="T350" s="286"/>
      <c r="U350" s="267"/>
      <c r="V350" s="265"/>
      <c r="W350" s="266"/>
      <c r="X350" s="267"/>
      <c r="Y350" s="267"/>
      <c r="Z350" s="268"/>
      <c r="AA350" s="267"/>
      <c r="AB350" s="267"/>
      <c r="AC350" s="269"/>
    </row>
    <row r="351" ht="16.5" customHeight="1">
      <c r="A351" s="274"/>
      <c r="B351" s="275"/>
      <c r="C351" s="276"/>
      <c r="D351" s="276"/>
      <c r="E351" s="276"/>
      <c r="F351" s="277"/>
      <c r="G351" s="278"/>
      <c r="H351" s="277"/>
      <c r="I351" s="279"/>
      <c r="J351" s="280"/>
      <c r="K351" s="281"/>
      <c r="L351" s="282"/>
      <c r="M351" s="274"/>
      <c r="N351" s="283"/>
      <c r="O351" s="283"/>
      <c r="P351" s="267"/>
      <c r="Q351" s="284"/>
      <c r="R351" s="267"/>
      <c r="S351" s="285"/>
      <c r="T351" s="286"/>
      <c r="U351" s="267"/>
      <c r="V351" s="265"/>
      <c r="W351" s="266"/>
      <c r="X351" s="267"/>
      <c r="Y351" s="267"/>
      <c r="Z351" s="268"/>
      <c r="AA351" s="267"/>
      <c r="AB351" s="267"/>
      <c r="AC351" s="269"/>
    </row>
    <row r="352" ht="16.5" customHeight="1">
      <c r="A352" s="274"/>
      <c r="B352" s="275"/>
      <c r="C352" s="276"/>
      <c r="D352" s="276"/>
      <c r="E352" s="276"/>
      <c r="F352" s="277"/>
      <c r="G352" s="278"/>
      <c r="H352" s="277"/>
      <c r="I352" s="279"/>
      <c r="J352" s="280"/>
      <c r="K352" s="281"/>
      <c r="L352" s="282"/>
      <c r="M352" s="274"/>
      <c r="N352" s="283"/>
      <c r="O352" s="283"/>
      <c r="P352" s="267"/>
      <c r="Q352" s="284"/>
      <c r="R352" s="267"/>
      <c r="S352" s="285"/>
      <c r="T352" s="286"/>
      <c r="U352" s="267"/>
      <c r="V352" s="265"/>
      <c r="W352" s="266"/>
      <c r="X352" s="267"/>
      <c r="Y352" s="267"/>
      <c r="Z352" s="268"/>
      <c r="AA352" s="267"/>
      <c r="AB352" s="267"/>
      <c r="AC352" s="269"/>
    </row>
    <row r="353" ht="16.5" customHeight="1">
      <c r="A353" s="274"/>
      <c r="B353" s="275"/>
      <c r="C353" s="276"/>
      <c r="D353" s="276"/>
      <c r="E353" s="276"/>
      <c r="F353" s="277"/>
      <c r="G353" s="278"/>
      <c r="H353" s="277"/>
      <c r="I353" s="279"/>
      <c r="J353" s="280"/>
      <c r="K353" s="281"/>
      <c r="L353" s="282"/>
      <c r="M353" s="274"/>
      <c r="N353" s="283"/>
      <c r="O353" s="283"/>
      <c r="P353" s="267"/>
      <c r="Q353" s="284"/>
      <c r="R353" s="267"/>
      <c r="S353" s="285"/>
      <c r="T353" s="286"/>
      <c r="U353" s="267"/>
      <c r="V353" s="265"/>
      <c r="W353" s="266"/>
      <c r="X353" s="267"/>
      <c r="Y353" s="267"/>
      <c r="Z353" s="268"/>
      <c r="AA353" s="267"/>
      <c r="AB353" s="267"/>
      <c r="AC353" s="269"/>
    </row>
    <row r="354" ht="16.5" customHeight="1">
      <c r="A354" s="274"/>
      <c r="B354" s="275"/>
      <c r="C354" s="276"/>
      <c r="D354" s="276"/>
      <c r="E354" s="276"/>
      <c r="F354" s="277"/>
      <c r="G354" s="278"/>
      <c r="H354" s="277"/>
      <c r="I354" s="279"/>
      <c r="J354" s="280"/>
      <c r="K354" s="281"/>
      <c r="L354" s="282"/>
      <c r="M354" s="274"/>
      <c r="N354" s="283"/>
      <c r="O354" s="283"/>
      <c r="P354" s="267"/>
      <c r="Q354" s="284"/>
      <c r="R354" s="267"/>
      <c r="S354" s="285"/>
      <c r="T354" s="286"/>
      <c r="U354" s="267"/>
      <c r="V354" s="265"/>
      <c r="W354" s="266"/>
      <c r="X354" s="267"/>
      <c r="Y354" s="267"/>
      <c r="Z354" s="268"/>
      <c r="AA354" s="267"/>
      <c r="AB354" s="267"/>
      <c r="AC354" s="269"/>
    </row>
    <row r="355" ht="16.5" customHeight="1">
      <c r="A355" s="274"/>
      <c r="B355" s="275"/>
      <c r="C355" s="276"/>
      <c r="D355" s="276"/>
      <c r="E355" s="276"/>
      <c r="F355" s="277"/>
      <c r="G355" s="278"/>
      <c r="H355" s="277"/>
      <c r="I355" s="279"/>
      <c r="J355" s="280"/>
      <c r="K355" s="281"/>
      <c r="L355" s="282"/>
      <c r="M355" s="274"/>
      <c r="N355" s="283"/>
      <c r="O355" s="283"/>
      <c r="P355" s="267"/>
      <c r="Q355" s="284"/>
      <c r="R355" s="267"/>
      <c r="S355" s="285"/>
      <c r="T355" s="286"/>
      <c r="U355" s="267"/>
      <c r="V355" s="265"/>
      <c r="W355" s="266"/>
      <c r="X355" s="267"/>
      <c r="Y355" s="267"/>
      <c r="Z355" s="268"/>
      <c r="AA355" s="267"/>
      <c r="AB355" s="267"/>
      <c r="AC355" s="269"/>
    </row>
    <row r="356" ht="16.5" customHeight="1">
      <c r="A356" s="274"/>
      <c r="B356" s="275"/>
      <c r="C356" s="276"/>
      <c r="D356" s="276"/>
      <c r="E356" s="276"/>
      <c r="F356" s="277"/>
      <c r="G356" s="278"/>
      <c r="H356" s="277"/>
      <c r="I356" s="279"/>
      <c r="J356" s="280"/>
      <c r="K356" s="281"/>
      <c r="L356" s="282"/>
      <c r="M356" s="274"/>
      <c r="N356" s="283"/>
      <c r="O356" s="283"/>
      <c r="P356" s="267"/>
      <c r="Q356" s="284"/>
      <c r="R356" s="267"/>
      <c r="S356" s="285"/>
      <c r="T356" s="286"/>
      <c r="U356" s="267"/>
      <c r="V356" s="265"/>
      <c r="W356" s="266"/>
      <c r="X356" s="267"/>
      <c r="Y356" s="267"/>
      <c r="Z356" s="268"/>
      <c r="AA356" s="267"/>
      <c r="AB356" s="267"/>
      <c r="AC356" s="269"/>
    </row>
    <row r="357" ht="16.5" customHeight="1">
      <c r="A357" s="274"/>
      <c r="B357" s="275"/>
      <c r="C357" s="276"/>
      <c r="D357" s="276"/>
      <c r="E357" s="276"/>
      <c r="F357" s="277"/>
      <c r="G357" s="278"/>
      <c r="H357" s="277"/>
      <c r="I357" s="279"/>
      <c r="J357" s="280"/>
      <c r="K357" s="281"/>
      <c r="L357" s="282"/>
      <c r="M357" s="274"/>
      <c r="N357" s="283"/>
      <c r="O357" s="283"/>
      <c r="P357" s="267"/>
      <c r="Q357" s="284"/>
      <c r="R357" s="267"/>
      <c r="S357" s="285"/>
      <c r="T357" s="286"/>
      <c r="U357" s="267"/>
      <c r="V357" s="265"/>
      <c r="W357" s="266"/>
      <c r="X357" s="267"/>
      <c r="Y357" s="267"/>
      <c r="Z357" s="268"/>
      <c r="AA357" s="267"/>
      <c r="AB357" s="267"/>
      <c r="AC357" s="269"/>
    </row>
    <row r="358" ht="16.5" customHeight="1">
      <c r="A358" s="274"/>
      <c r="B358" s="275"/>
      <c r="C358" s="276"/>
      <c r="D358" s="276"/>
      <c r="E358" s="276"/>
      <c r="F358" s="277"/>
      <c r="G358" s="278"/>
      <c r="H358" s="277"/>
      <c r="I358" s="279"/>
      <c r="J358" s="280"/>
      <c r="K358" s="281"/>
      <c r="L358" s="282"/>
      <c r="M358" s="274"/>
      <c r="N358" s="283"/>
      <c r="O358" s="283"/>
      <c r="P358" s="267"/>
      <c r="Q358" s="284"/>
      <c r="R358" s="267"/>
      <c r="S358" s="285"/>
      <c r="T358" s="286"/>
      <c r="U358" s="267"/>
      <c r="V358" s="265"/>
      <c r="W358" s="266"/>
      <c r="X358" s="267"/>
      <c r="Y358" s="267"/>
      <c r="Z358" s="268"/>
      <c r="AA358" s="267"/>
      <c r="AB358" s="267"/>
      <c r="AC358" s="269"/>
    </row>
    <row r="359" ht="16.5" customHeight="1">
      <c r="A359" s="274"/>
      <c r="B359" s="275"/>
      <c r="C359" s="276"/>
      <c r="D359" s="276"/>
      <c r="E359" s="276"/>
      <c r="F359" s="277"/>
      <c r="G359" s="278"/>
      <c r="H359" s="277"/>
      <c r="I359" s="279"/>
      <c r="J359" s="280"/>
      <c r="K359" s="281"/>
      <c r="L359" s="282"/>
      <c r="M359" s="274"/>
      <c r="N359" s="283"/>
      <c r="O359" s="283"/>
      <c r="P359" s="267"/>
      <c r="Q359" s="284"/>
      <c r="R359" s="267"/>
      <c r="S359" s="285"/>
      <c r="T359" s="286"/>
      <c r="U359" s="267"/>
      <c r="V359" s="265"/>
      <c r="W359" s="266"/>
      <c r="X359" s="267"/>
      <c r="Y359" s="267"/>
      <c r="Z359" s="268"/>
      <c r="AA359" s="267"/>
      <c r="AB359" s="267"/>
      <c r="AC359" s="269"/>
    </row>
    <row r="360" ht="16.5" customHeight="1">
      <c r="A360" s="274"/>
      <c r="B360" s="275"/>
      <c r="C360" s="276"/>
      <c r="D360" s="276"/>
      <c r="E360" s="276"/>
      <c r="F360" s="277"/>
      <c r="G360" s="278"/>
      <c r="H360" s="277"/>
      <c r="I360" s="279"/>
      <c r="J360" s="280"/>
      <c r="K360" s="281"/>
      <c r="L360" s="282"/>
      <c r="M360" s="274"/>
      <c r="N360" s="283"/>
      <c r="O360" s="283"/>
      <c r="P360" s="267"/>
      <c r="Q360" s="284"/>
      <c r="R360" s="267"/>
      <c r="S360" s="285"/>
      <c r="T360" s="286"/>
      <c r="U360" s="267"/>
      <c r="V360" s="265"/>
      <c r="W360" s="266"/>
      <c r="X360" s="267"/>
      <c r="Y360" s="267"/>
      <c r="Z360" s="268"/>
      <c r="AA360" s="267"/>
      <c r="AB360" s="267"/>
      <c r="AC360" s="269"/>
    </row>
    <row r="361" ht="16.5" customHeight="1">
      <c r="A361" s="274"/>
      <c r="B361" s="275"/>
      <c r="C361" s="276"/>
      <c r="D361" s="276"/>
      <c r="E361" s="276"/>
      <c r="F361" s="277"/>
      <c r="G361" s="278"/>
      <c r="H361" s="277"/>
      <c r="I361" s="279"/>
      <c r="J361" s="280"/>
      <c r="K361" s="281"/>
      <c r="L361" s="282"/>
      <c r="M361" s="274"/>
      <c r="N361" s="283"/>
      <c r="O361" s="283"/>
      <c r="P361" s="267"/>
      <c r="Q361" s="284"/>
      <c r="R361" s="267"/>
      <c r="S361" s="285"/>
      <c r="T361" s="286"/>
      <c r="U361" s="267"/>
      <c r="V361" s="265"/>
      <c r="W361" s="266"/>
      <c r="X361" s="267"/>
      <c r="Y361" s="267"/>
      <c r="Z361" s="268"/>
      <c r="AA361" s="267"/>
      <c r="AB361" s="267"/>
      <c r="AC361" s="269"/>
    </row>
    <row r="362" ht="16.5" customHeight="1">
      <c r="A362" s="274"/>
      <c r="B362" s="275"/>
      <c r="C362" s="276"/>
      <c r="D362" s="276"/>
      <c r="E362" s="276"/>
      <c r="F362" s="277"/>
      <c r="G362" s="278"/>
      <c r="H362" s="277"/>
      <c r="I362" s="279"/>
      <c r="J362" s="280"/>
      <c r="K362" s="281"/>
      <c r="L362" s="282"/>
      <c r="M362" s="274"/>
      <c r="N362" s="283"/>
      <c r="O362" s="283"/>
      <c r="P362" s="267"/>
      <c r="Q362" s="284"/>
      <c r="R362" s="267"/>
      <c r="S362" s="285"/>
      <c r="T362" s="286"/>
      <c r="U362" s="267"/>
      <c r="V362" s="265"/>
      <c r="W362" s="266"/>
      <c r="X362" s="267"/>
      <c r="Y362" s="267"/>
      <c r="Z362" s="268"/>
      <c r="AA362" s="267"/>
      <c r="AB362" s="267"/>
      <c r="AC362" s="269"/>
    </row>
    <row r="363" ht="16.5" customHeight="1">
      <c r="A363" s="274"/>
      <c r="B363" s="275"/>
      <c r="C363" s="276"/>
      <c r="D363" s="276"/>
      <c r="E363" s="276"/>
      <c r="F363" s="277"/>
      <c r="G363" s="278"/>
      <c r="H363" s="277"/>
      <c r="I363" s="279"/>
      <c r="J363" s="280"/>
      <c r="K363" s="281"/>
      <c r="L363" s="282"/>
      <c r="M363" s="274"/>
      <c r="N363" s="283"/>
      <c r="O363" s="283"/>
      <c r="P363" s="267"/>
      <c r="Q363" s="284"/>
      <c r="R363" s="267"/>
      <c r="S363" s="285"/>
      <c r="T363" s="286"/>
      <c r="U363" s="267"/>
      <c r="V363" s="265"/>
      <c r="W363" s="266"/>
      <c r="X363" s="267"/>
      <c r="Y363" s="267"/>
      <c r="Z363" s="268"/>
      <c r="AA363" s="267"/>
      <c r="AB363" s="267"/>
      <c r="AC363" s="269"/>
    </row>
    <row r="364" ht="16.5" customHeight="1">
      <c r="A364" s="274"/>
      <c r="B364" s="275"/>
      <c r="C364" s="276"/>
      <c r="D364" s="276"/>
      <c r="E364" s="276"/>
      <c r="F364" s="277"/>
      <c r="G364" s="278"/>
      <c r="H364" s="277"/>
      <c r="I364" s="279"/>
      <c r="J364" s="280"/>
      <c r="K364" s="281"/>
      <c r="L364" s="282"/>
      <c r="M364" s="274"/>
      <c r="N364" s="283"/>
      <c r="O364" s="283"/>
      <c r="P364" s="267"/>
      <c r="Q364" s="284"/>
      <c r="R364" s="267"/>
      <c r="S364" s="285"/>
      <c r="T364" s="286"/>
      <c r="U364" s="267"/>
      <c r="V364" s="265"/>
      <c r="W364" s="266"/>
      <c r="X364" s="267"/>
      <c r="Y364" s="267"/>
      <c r="Z364" s="268"/>
      <c r="AA364" s="267"/>
      <c r="AB364" s="267"/>
      <c r="AC364" s="269"/>
    </row>
    <row r="365" ht="16.5" customHeight="1">
      <c r="A365" s="274"/>
      <c r="B365" s="275"/>
      <c r="C365" s="276"/>
      <c r="D365" s="276"/>
      <c r="E365" s="276"/>
      <c r="F365" s="277"/>
      <c r="G365" s="278"/>
      <c r="H365" s="277"/>
      <c r="I365" s="279"/>
      <c r="J365" s="280"/>
      <c r="K365" s="281"/>
      <c r="L365" s="282"/>
      <c r="M365" s="274"/>
      <c r="N365" s="283"/>
      <c r="O365" s="283"/>
      <c r="P365" s="267"/>
      <c r="Q365" s="284"/>
      <c r="R365" s="267"/>
      <c r="S365" s="285"/>
      <c r="T365" s="286"/>
      <c r="U365" s="267"/>
      <c r="V365" s="265"/>
      <c r="W365" s="266"/>
      <c r="X365" s="267"/>
      <c r="Y365" s="267"/>
      <c r="Z365" s="268"/>
      <c r="AA365" s="267"/>
      <c r="AB365" s="267"/>
      <c r="AC365" s="269"/>
    </row>
    <row r="366" ht="16.5" customHeight="1">
      <c r="A366" s="274"/>
      <c r="B366" s="275"/>
      <c r="C366" s="276"/>
      <c r="D366" s="276"/>
      <c r="E366" s="276"/>
      <c r="F366" s="277"/>
      <c r="G366" s="278"/>
      <c r="H366" s="277"/>
      <c r="I366" s="279"/>
      <c r="J366" s="280"/>
      <c r="K366" s="281"/>
      <c r="L366" s="282"/>
      <c r="M366" s="274"/>
      <c r="N366" s="283"/>
      <c r="O366" s="283"/>
      <c r="P366" s="267"/>
      <c r="Q366" s="284"/>
      <c r="R366" s="267"/>
      <c r="S366" s="285"/>
      <c r="T366" s="286"/>
      <c r="U366" s="267"/>
      <c r="V366" s="265"/>
      <c r="W366" s="266"/>
      <c r="X366" s="267"/>
      <c r="Y366" s="267"/>
      <c r="Z366" s="268"/>
      <c r="AA366" s="267"/>
      <c r="AB366" s="267"/>
      <c r="AC366" s="269"/>
    </row>
    <row r="367" ht="16.5" customHeight="1">
      <c r="A367" s="274"/>
      <c r="B367" s="275"/>
      <c r="C367" s="276"/>
      <c r="D367" s="276"/>
      <c r="E367" s="276"/>
      <c r="F367" s="277"/>
      <c r="G367" s="278"/>
      <c r="H367" s="277"/>
      <c r="I367" s="279"/>
      <c r="J367" s="280"/>
      <c r="K367" s="281"/>
      <c r="L367" s="282"/>
      <c r="M367" s="274"/>
      <c r="N367" s="283"/>
      <c r="O367" s="283"/>
      <c r="P367" s="267"/>
      <c r="Q367" s="284"/>
      <c r="R367" s="267"/>
      <c r="S367" s="285"/>
      <c r="T367" s="286"/>
      <c r="U367" s="267"/>
      <c r="V367" s="265"/>
      <c r="W367" s="266"/>
      <c r="X367" s="267"/>
      <c r="Y367" s="267"/>
      <c r="Z367" s="268"/>
      <c r="AA367" s="267"/>
      <c r="AB367" s="267"/>
      <c r="AC367" s="269"/>
    </row>
    <row r="368" ht="16.5" customHeight="1">
      <c r="A368" s="274"/>
      <c r="B368" s="275"/>
      <c r="C368" s="276"/>
      <c r="D368" s="276"/>
      <c r="E368" s="276"/>
      <c r="F368" s="277"/>
      <c r="G368" s="278"/>
      <c r="H368" s="277"/>
      <c r="I368" s="279"/>
      <c r="J368" s="280"/>
      <c r="K368" s="281"/>
      <c r="L368" s="282"/>
      <c r="M368" s="274"/>
      <c r="N368" s="283"/>
      <c r="O368" s="283"/>
      <c r="P368" s="267"/>
      <c r="Q368" s="284"/>
      <c r="R368" s="267"/>
      <c r="S368" s="285"/>
      <c r="T368" s="286"/>
      <c r="U368" s="267"/>
      <c r="V368" s="265"/>
      <c r="W368" s="266"/>
      <c r="X368" s="267"/>
      <c r="Y368" s="267"/>
      <c r="Z368" s="268"/>
      <c r="AA368" s="267"/>
      <c r="AB368" s="267"/>
      <c r="AC368" s="269"/>
    </row>
    <row r="369" ht="16.5" customHeight="1">
      <c r="A369" s="274"/>
      <c r="B369" s="275"/>
      <c r="C369" s="276"/>
      <c r="D369" s="276"/>
      <c r="E369" s="276"/>
      <c r="F369" s="277"/>
      <c r="G369" s="278"/>
      <c r="H369" s="277"/>
      <c r="I369" s="279"/>
      <c r="J369" s="280"/>
      <c r="K369" s="281"/>
      <c r="L369" s="282"/>
      <c r="M369" s="274"/>
      <c r="N369" s="283"/>
      <c r="O369" s="283"/>
      <c r="P369" s="267"/>
      <c r="Q369" s="284"/>
      <c r="R369" s="267"/>
      <c r="S369" s="285"/>
      <c r="T369" s="286"/>
      <c r="U369" s="267"/>
      <c r="V369" s="265"/>
      <c r="W369" s="266"/>
      <c r="X369" s="267"/>
      <c r="Y369" s="267"/>
      <c r="Z369" s="268"/>
      <c r="AA369" s="267"/>
      <c r="AB369" s="267"/>
      <c r="AC369" s="269"/>
    </row>
    <row r="370" ht="16.5" customHeight="1">
      <c r="A370" s="274"/>
      <c r="B370" s="275"/>
      <c r="C370" s="276"/>
      <c r="D370" s="276"/>
      <c r="E370" s="276"/>
      <c r="F370" s="277"/>
      <c r="G370" s="278"/>
      <c r="H370" s="277"/>
      <c r="I370" s="279"/>
      <c r="J370" s="280"/>
      <c r="K370" s="281"/>
      <c r="L370" s="282"/>
      <c r="M370" s="274"/>
      <c r="N370" s="283"/>
      <c r="O370" s="283"/>
      <c r="P370" s="267"/>
      <c r="Q370" s="284"/>
      <c r="R370" s="267"/>
      <c r="S370" s="285"/>
      <c r="T370" s="286"/>
      <c r="U370" s="267"/>
      <c r="V370" s="265"/>
      <c r="W370" s="266"/>
      <c r="X370" s="267"/>
      <c r="Y370" s="267"/>
      <c r="Z370" s="268"/>
      <c r="AA370" s="267"/>
      <c r="AB370" s="267"/>
      <c r="AC370" s="269"/>
    </row>
    <row r="371" ht="16.5" customHeight="1">
      <c r="A371" s="274"/>
      <c r="B371" s="275"/>
      <c r="C371" s="276"/>
      <c r="D371" s="276"/>
      <c r="E371" s="276"/>
      <c r="F371" s="277"/>
      <c r="G371" s="278"/>
      <c r="H371" s="277"/>
      <c r="I371" s="279"/>
      <c r="J371" s="280"/>
      <c r="K371" s="281"/>
      <c r="L371" s="282"/>
      <c r="M371" s="274"/>
      <c r="N371" s="283"/>
      <c r="O371" s="283"/>
      <c r="P371" s="267"/>
      <c r="Q371" s="284"/>
      <c r="R371" s="267"/>
      <c r="S371" s="285"/>
      <c r="T371" s="286"/>
      <c r="U371" s="267"/>
      <c r="V371" s="265"/>
      <c r="W371" s="266"/>
      <c r="X371" s="267"/>
      <c r="Y371" s="267"/>
      <c r="Z371" s="268"/>
      <c r="AA371" s="267"/>
      <c r="AB371" s="267"/>
      <c r="AC371" s="269"/>
    </row>
    <row r="372" ht="16.5" customHeight="1">
      <c r="A372" s="274"/>
      <c r="B372" s="275"/>
      <c r="C372" s="276"/>
      <c r="D372" s="276"/>
      <c r="E372" s="276"/>
      <c r="F372" s="277"/>
      <c r="G372" s="278"/>
      <c r="H372" s="277"/>
      <c r="I372" s="279"/>
      <c r="J372" s="280"/>
      <c r="K372" s="281"/>
      <c r="L372" s="282"/>
      <c r="M372" s="274"/>
      <c r="N372" s="283"/>
      <c r="O372" s="283"/>
      <c r="P372" s="267"/>
      <c r="Q372" s="284"/>
      <c r="R372" s="267"/>
      <c r="S372" s="285"/>
      <c r="T372" s="286"/>
      <c r="U372" s="267"/>
      <c r="V372" s="265"/>
      <c r="W372" s="266"/>
      <c r="X372" s="267"/>
      <c r="Y372" s="267"/>
      <c r="Z372" s="268"/>
      <c r="AA372" s="267"/>
      <c r="AB372" s="267"/>
      <c r="AC372" s="269"/>
    </row>
    <row r="373" ht="16.5" customHeight="1">
      <c r="A373" s="274"/>
      <c r="B373" s="275"/>
      <c r="C373" s="276"/>
      <c r="D373" s="276"/>
      <c r="E373" s="276"/>
      <c r="F373" s="277"/>
      <c r="G373" s="278"/>
      <c r="H373" s="277"/>
      <c r="I373" s="279"/>
      <c r="J373" s="280"/>
      <c r="K373" s="281"/>
      <c r="L373" s="282"/>
      <c r="M373" s="274"/>
      <c r="N373" s="283"/>
      <c r="O373" s="283"/>
      <c r="P373" s="267"/>
      <c r="Q373" s="284"/>
      <c r="R373" s="267"/>
      <c r="S373" s="285"/>
      <c r="T373" s="286"/>
      <c r="U373" s="267"/>
      <c r="V373" s="265"/>
      <c r="W373" s="266"/>
      <c r="X373" s="267"/>
      <c r="Y373" s="267"/>
      <c r="Z373" s="268"/>
      <c r="AA373" s="267"/>
      <c r="AB373" s="267"/>
      <c r="AC373" s="269"/>
    </row>
    <row r="374" ht="16.5" customHeight="1">
      <c r="A374" s="274"/>
      <c r="B374" s="275"/>
      <c r="C374" s="276"/>
      <c r="D374" s="276"/>
      <c r="E374" s="276"/>
      <c r="F374" s="277"/>
      <c r="G374" s="278"/>
      <c r="H374" s="277"/>
      <c r="I374" s="279"/>
      <c r="J374" s="280"/>
      <c r="K374" s="281"/>
      <c r="L374" s="282"/>
      <c r="M374" s="274"/>
      <c r="N374" s="283"/>
      <c r="O374" s="283"/>
      <c r="P374" s="267"/>
      <c r="Q374" s="284"/>
      <c r="R374" s="267"/>
      <c r="S374" s="285"/>
      <c r="T374" s="286"/>
      <c r="U374" s="267"/>
      <c r="V374" s="265"/>
      <c r="W374" s="266"/>
      <c r="X374" s="267"/>
      <c r="Y374" s="267"/>
      <c r="Z374" s="268"/>
      <c r="AA374" s="267"/>
      <c r="AB374" s="267"/>
      <c r="AC374" s="269"/>
    </row>
    <row r="375" ht="16.5" customHeight="1">
      <c r="A375" s="274"/>
      <c r="B375" s="275"/>
      <c r="C375" s="276"/>
      <c r="D375" s="276"/>
      <c r="E375" s="276"/>
      <c r="F375" s="277"/>
      <c r="G375" s="278"/>
      <c r="H375" s="277"/>
      <c r="I375" s="279"/>
      <c r="J375" s="280"/>
      <c r="K375" s="281"/>
      <c r="L375" s="282"/>
      <c r="M375" s="274"/>
      <c r="N375" s="283"/>
      <c r="O375" s="283"/>
      <c r="P375" s="267"/>
      <c r="Q375" s="284"/>
      <c r="R375" s="267"/>
      <c r="S375" s="285"/>
      <c r="T375" s="286"/>
      <c r="U375" s="267"/>
      <c r="V375" s="265"/>
      <c r="W375" s="266"/>
      <c r="X375" s="267"/>
      <c r="Y375" s="267"/>
      <c r="Z375" s="268"/>
      <c r="AA375" s="267"/>
      <c r="AB375" s="267"/>
      <c r="AC375" s="269"/>
    </row>
    <row r="376" ht="16.5" customHeight="1">
      <c r="A376" s="274"/>
      <c r="B376" s="275"/>
      <c r="C376" s="276"/>
      <c r="D376" s="276"/>
      <c r="E376" s="276"/>
      <c r="F376" s="277"/>
      <c r="G376" s="278"/>
      <c r="H376" s="277"/>
      <c r="I376" s="279"/>
      <c r="J376" s="280"/>
      <c r="K376" s="281"/>
      <c r="L376" s="282"/>
      <c r="M376" s="274"/>
      <c r="N376" s="283"/>
      <c r="O376" s="283"/>
      <c r="P376" s="267"/>
      <c r="Q376" s="284"/>
      <c r="R376" s="267"/>
      <c r="S376" s="285"/>
      <c r="T376" s="286"/>
      <c r="U376" s="267"/>
      <c r="V376" s="265"/>
      <c r="W376" s="266"/>
      <c r="X376" s="267"/>
      <c r="Y376" s="267"/>
      <c r="Z376" s="268"/>
      <c r="AA376" s="267"/>
      <c r="AB376" s="267"/>
      <c r="AC376" s="269"/>
    </row>
    <row r="377" ht="16.5" customHeight="1">
      <c r="A377" s="274"/>
      <c r="B377" s="275"/>
      <c r="C377" s="276"/>
      <c r="D377" s="276"/>
      <c r="E377" s="276"/>
      <c r="F377" s="277"/>
      <c r="G377" s="278"/>
      <c r="H377" s="277"/>
      <c r="I377" s="279"/>
      <c r="J377" s="280"/>
      <c r="K377" s="281"/>
      <c r="L377" s="282"/>
      <c r="M377" s="274"/>
      <c r="N377" s="283"/>
      <c r="O377" s="283"/>
      <c r="P377" s="267"/>
      <c r="Q377" s="284"/>
      <c r="R377" s="267"/>
      <c r="S377" s="285"/>
      <c r="T377" s="286"/>
      <c r="U377" s="267"/>
      <c r="V377" s="265"/>
      <c r="W377" s="266"/>
      <c r="X377" s="267"/>
      <c r="Y377" s="267"/>
      <c r="Z377" s="268"/>
      <c r="AA377" s="267"/>
      <c r="AB377" s="267"/>
      <c r="AC377" s="269"/>
    </row>
    <row r="378" ht="16.5" customHeight="1">
      <c r="A378" s="274"/>
      <c r="B378" s="275"/>
      <c r="C378" s="276"/>
      <c r="D378" s="276"/>
      <c r="E378" s="276"/>
      <c r="F378" s="277"/>
      <c r="G378" s="278"/>
      <c r="H378" s="277"/>
      <c r="I378" s="279"/>
      <c r="J378" s="280"/>
      <c r="K378" s="281"/>
      <c r="L378" s="282"/>
      <c r="M378" s="274"/>
      <c r="N378" s="283"/>
      <c r="O378" s="283"/>
      <c r="P378" s="267"/>
      <c r="Q378" s="284"/>
      <c r="R378" s="267"/>
      <c r="S378" s="285"/>
      <c r="T378" s="286"/>
      <c r="U378" s="267"/>
      <c r="V378" s="265"/>
      <c r="W378" s="266"/>
      <c r="X378" s="267"/>
      <c r="Y378" s="267"/>
      <c r="Z378" s="268"/>
      <c r="AA378" s="267"/>
      <c r="AB378" s="267"/>
      <c r="AC378" s="269"/>
    </row>
    <row r="379" ht="16.5" customHeight="1">
      <c r="A379" s="274"/>
      <c r="B379" s="275"/>
      <c r="C379" s="276"/>
      <c r="D379" s="276"/>
      <c r="E379" s="276"/>
      <c r="F379" s="277"/>
      <c r="G379" s="278"/>
      <c r="H379" s="277"/>
      <c r="I379" s="279"/>
      <c r="J379" s="280"/>
      <c r="K379" s="281"/>
      <c r="L379" s="282"/>
      <c r="M379" s="274"/>
      <c r="N379" s="283"/>
      <c r="O379" s="283"/>
      <c r="P379" s="267"/>
      <c r="Q379" s="284"/>
      <c r="R379" s="267"/>
      <c r="S379" s="285"/>
      <c r="T379" s="286"/>
      <c r="U379" s="267"/>
      <c r="V379" s="265"/>
      <c r="W379" s="266"/>
      <c r="X379" s="267"/>
      <c r="Y379" s="267"/>
      <c r="Z379" s="268"/>
      <c r="AA379" s="267"/>
      <c r="AB379" s="267"/>
      <c r="AC379" s="269"/>
    </row>
    <row r="380" ht="16.5" customHeight="1">
      <c r="A380" s="274"/>
      <c r="B380" s="275"/>
      <c r="C380" s="276"/>
      <c r="D380" s="276"/>
      <c r="E380" s="276"/>
      <c r="F380" s="277"/>
      <c r="G380" s="278"/>
      <c r="H380" s="277"/>
      <c r="I380" s="279"/>
      <c r="J380" s="280"/>
      <c r="K380" s="281"/>
      <c r="L380" s="282"/>
      <c r="M380" s="274"/>
      <c r="N380" s="283"/>
      <c r="O380" s="283"/>
      <c r="P380" s="267"/>
      <c r="Q380" s="284"/>
      <c r="R380" s="267"/>
      <c r="S380" s="285"/>
      <c r="T380" s="286"/>
      <c r="U380" s="267"/>
      <c r="V380" s="265"/>
      <c r="W380" s="266"/>
      <c r="X380" s="267"/>
      <c r="Y380" s="267"/>
      <c r="Z380" s="268"/>
      <c r="AA380" s="267"/>
      <c r="AB380" s="267"/>
      <c r="AC380" s="269"/>
    </row>
    <row r="381" ht="16.5" customHeight="1">
      <c r="A381" s="274"/>
      <c r="B381" s="275"/>
      <c r="C381" s="276"/>
      <c r="D381" s="276"/>
      <c r="E381" s="276"/>
      <c r="F381" s="277"/>
      <c r="G381" s="278"/>
      <c r="H381" s="277"/>
      <c r="I381" s="279"/>
      <c r="J381" s="280"/>
      <c r="K381" s="281"/>
      <c r="L381" s="282"/>
      <c r="M381" s="274"/>
      <c r="N381" s="283"/>
      <c r="O381" s="283"/>
      <c r="P381" s="267"/>
      <c r="Q381" s="284"/>
      <c r="R381" s="267"/>
      <c r="S381" s="285"/>
      <c r="T381" s="286"/>
      <c r="U381" s="267"/>
      <c r="V381" s="265"/>
      <c r="W381" s="266"/>
      <c r="X381" s="267"/>
      <c r="Y381" s="267"/>
      <c r="Z381" s="268"/>
      <c r="AA381" s="267"/>
      <c r="AB381" s="267"/>
      <c r="AC381" s="269"/>
    </row>
    <row r="382" ht="16.5" customHeight="1">
      <c r="A382" s="274"/>
      <c r="B382" s="275"/>
      <c r="C382" s="276"/>
      <c r="D382" s="276"/>
      <c r="E382" s="276"/>
      <c r="F382" s="277"/>
      <c r="G382" s="278"/>
      <c r="H382" s="277"/>
      <c r="I382" s="279"/>
      <c r="J382" s="280"/>
      <c r="K382" s="281"/>
      <c r="L382" s="282"/>
      <c r="M382" s="274"/>
      <c r="N382" s="283"/>
      <c r="O382" s="283"/>
      <c r="P382" s="267"/>
      <c r="Q382" s="284"/>
      <c r="R382" s="267"/>
      <c r="S382" s="285"/>
      <c r="T382" s="286"/>
      <c r="U382" s="267"/>
      <c r="V382" s="265"/>
      <c r="W382" s="266"/>
      <c r="X382" s="267"/>
      <c r="Y382" s="267"/>
      <c r="Z382" s="268"/>
      <c r="AA382" s="267"/>
      <c r="AB382" s="267"/>
      <c r="AC382" s="269"/>
    </row>
    <row r="383" ht="16.5" customHeight="1">
      <c r="A383" s="274"/>
      <c r="B383" s="275"/>
      <c r="C383" s="276"/>
      <c r="D383" s="276"/>
      <c r="E383" s="276"/>
      <c r="F383" s="277"/>
      <c r="G383" s="278"/>
      <c r="H383" s="277"/>
      <c r="I383" s="279"/>
      <c r="J383" s="280"/>
      <c r="K383" s="281"/>
      <c r="L383" s="282"/>
      <c r="M383" s="274"/>
      <c r="N383" s="283"/>
      <c r="O383" s="283"/>
      <c r="P383" s="267"/>
      <c r="Q383" s="284"/>
      <c r="R383" s="267"/>
      <c r="S383" s="285"/>
      <c r="T383" s="286"/>
      <c r="U383" s="267"/>
      <c r="V383" s="265"/>
      <c r="W383" s="266"/>
      <c r="X383" s="267"/>
      <c r="Y383" s="267"/>
      <c r="Z383" s="268"/>
      <c r="AA383" s="267"/>
      <c r="AB383" s="267"/>
      <c r="AC383" s="269"/>
    </row>
    <row r="384" ht="16.5" customHeight="1">
      <c r="A384" s="274"/>
      <c r="B384" s="275"/>
      <c r="C384" s="276"/>
      <c r="D384" s="276"/>
      <c r="E384" s="276"/>
      <c r="F384" s="277"/>
      <c r="G384" s="278"/>
      <c r="H384" s="277"/>
      <c r="I384" s="279"/>
      <c r="J384" s="280"/>
      <c r="K384" s="281"/>
      <c r="L384" s="282"/>
      <c r="M384" s="274"/>
      <c r="N384" s="283"/>
      <c r="O384" s="283"/>
      <c r="P384" s="267"/>
      <c r="Q384" s="284"/>
      <c r="R384" s="267"/>
      <c r="S384" s="285"/>
      <c r="T384" s="286"/>
      <c r="U384" s="267"/>
      <c r="V384" s="265"/>
      <c r="W384" s="266"/>
      <c r="X384" s="267"/>
      <c r="Y384" s="267"/>
      <c r="Z384" s="268"/>
      <c r="AA384" s="267"/>
      <c r="AB384" s="267"/>
      <c r="AC384" s="269"/>
    </row>
    <row r="385" ht="16.5" customHeight="1">
      <c r="A385" s="274"/>
      <c r="B385" s="275"/>
      <c r="C385" s="276"/>
      <c r="D385" s="276"/>
      <c r="E385" s="276"/>
      <c r="F385" s="277"/>
      <c r="G385" s="278"/>
      <c r="H385" s="277"/>
      <c r="I385" s="279"/>
      <c r="J385" s="280"/>
      <c r="K385" s="281"/>
      <c r="L385" s="282"/>
      <c r="M385" s="274"/>
      <c r="N385" s="283"/>
      <c r="O385" s="283"/>
      <c r="P385" s="267"/>
      <c r="Q385" s="284"/>
      <c r="R385" s="267"/>
      <c r="S385" s="285"/>
      <c r="T385" s="286"/>
      <c r="U385" s="267"/>
      <c r="V385" s="265"/>
      <c r="W385" s="266"/>
      <c r="X385" s="267"/>
      <c r="Y385" s="267"/>
      <c r="Z385" s="268"/>
      <c r="AA385" s="267"/>
      <c r="AB385" s="267"/>
      <c r="AC385" s="269"/>
    </row>
    <row r="386" ht="16.5" customHeight="1">
      <c r="A386" s="274"/>
      <c r="B386" s="275"/>
      <c r="C386" s="276"/>
      <c r="D386" s="276"/>
      <c r="E386" s="276"/>
      <c r="F386" s="277"/>
      <c r="G386" s="278"/>
      <c r="H386" s="277"/>
      <c r="I386" s="279"/>
      <c r="J386" s="280"/>
      <c r="K386" s="281"/>
      <c r="L386" s="282"/>
      <c r="M386" s="274"/>
      <c r="N386" s="283"/>
      <c r="O386" s="283"/>
      <c r="P386" s="267"/>
      <c r="Q386" s="284"/>
      <c r="R386" s="267"/>
      <c r="S386" s="285"/>
      <c r="T386" s="286"/>
      <c r="U386" s="267"/>
      <c r="V386" s="265"/>
      <c r="W386" s="266"/>
      <c r="X386" s="267"/>
      <c r="Y386" s="267"/>
      <c r="Z386" s="268"/>
      <c r="AA386" s="267"/>
      <c r="AB386" s="267"/>
      <c r="AC386" s="269"/>
    </row>
    <row r="387" ht="16.5" customHeight="1">
      <c r="A387" s="274"/>
      <c r="B387" s="275"/>
      <c r="C387" s="276"/>
      <c r="D387" s="276"/>
      <c r="E387" s="276"/>
      <c r="F387" s="277"/>
      <c r="G387" s="278"/>
      <c r="H387" s="277"/>
      <c r="I387" s="279"/>
      <c r="J387" s="280"/>
      <c r="K387" s="281"/>
      <c r="L387" s="282"/>
      <c r="M387" s="274"/>
      <c r="N387" s="283"/>
      <c r="O387" s="283"/>
      <c r="P387" s="267"/>
      <c r="Q387" s="284"/>
      <c r="R387" s="267"/>
      <c r="S387" s="285"/>
      <c r="T387" s="286"/>
      <c r="U387" s="267"/>
      <c r="V387" s="265"/>
      <c r="W387" s="266"/>
      <c r="X387" s="267"/>
      <c r="Y387" s="267"/>
      <c r="Z387" s="268"/>
      <c r="AA387" s="267"/>
      <c r="AB387" s="267"/>
      <c r="AC387" s="269"/>
    </row>
    <row r="388" ht="16.5" customHeight="1">
      <c r="A388" s="274"/>
      <c r="B388" s="275"/>
      <c r="C388" s="276"/>
      <c r="D388" s="276"/>
      <c r="E388" s="276"/>
      <c r="F388" s="277"/>
      <c r="G388" s="278"/>
      <c r="H388" s="277"/>
      <c r="I388" s="279"/>
      <c r="J388" s="280"/>
      <c r="K388" s="281"/>
      <c r="L388" s="282"/>
      <c r="M388" s="274"/>
      <c r="N388" s="283"/>
      <c r="O388" s="283"/>
      <c r="P388" s="267"/>
      <c r="Q388" s="284"/>
      <c r="R388" s="267"/>
      <c r="S388" s="285"/>
      <c r="T388" s="286"/>
      <c r="U388" s="267"/>
      <c r="V388" s="265"/>
      <c r="W388" s="266"/>
      <c r="X388" s="267"/>
      <c r="Y388" s="267"/>
      <c r="Z388" s="268"/>
      <c r="AA388" s="267"/>
      <c r="AB388" s="267"/>
      <c r="AC388" s="269"/>
    </row>
    <row r="389" ht="16.5" customHeight="1">
      <c r="A389" s="274"/>
      <c r="B389" s="275"/>
      <c r="C389" s="276"/>
      <c r="D389" s="276"/>
      <c r="E389" s="276"/>
      <c r="F389" s="277"/>
      <c r="G389" s="278"/>
      <c r="H389" s="277"/>
      <c r="I389" s="279"/>
      <c r="J389" s="280"/>
      <c r="K389" s="281"/>
      <c r="L389" s="282"/>
      <c r="M389" s="274"/>
      <c r="N389" s="283"/>
      <c r="O389" s="283"/>
      <c r="P389" s="267"/>
      <c r="Q389" s="284"/>
      <c r="R389" s="267"/>
      <c r="S389" s="285"/>
      <c r="T389" s="286"/>
      <c r="U389" s="267"/>
      <c r="V389" s="265"/>
      <c r="W389" s="266"/>
      <c r="X389" s="267"/>
      <c r="Y389" s="267"/>
      <c r="Z389" s="268"/>
      <c r="AA389" s="267"/>
      <c r="AB389" s="267"/>
      <c r="AC389" s="269"/>
    </row>
    <row r="390" ht="16.5" customHeight="1">
      <c r="A390" s="274"/>
      <c r="B390" s="275"/>
      <c r="C390" s="276"/>
      <c r="D390" s="276"/>
      <c r="E390" s="276"/>
      <c r="F390" s="277"/>
      <c r="G390" s="278"/>
      <c r="H390" s="277"/>
      <c r="I390" s="279"/>
      <c r="J390" s="280"/>
      <c r="K390" s="281"/>
      <c r="L390" s="282"/>
      <c r="M390" s="274"/>
      <c r="N390" s="283"/>
      <c r="O390" s="283"/>
      <c r="P390" s="267"/>
      <c r="Q390" s="284"/>
      <c r="R390" s="267"/>
      <c r="S390" s="285"/>
      <c r="T390" s="286"/>
      <c r="U390" s="267"/>
      <c r="V390" s="265"/>
      <c r="W390" s="266"/>
      <c r="X390" s="267"/>
      <c r="Y390" s="267"/>
      <c r="Z390" s="268"/>
      <c r="AA390" s="267"/>
      <c r="AB390" s="267"/>
      <c r="AC390" s="269"/>
    </row>
    <row r="391" ht="16.5" customHeight="1">
      <c r="A391" s="274"/>
      <c r="B391" s="275"/>
      <c r="C391" s="276"/>
      <c r="D391" s="276"/>
      <c r="E391" s="276"/>
      <c r="F391" s="277"/>
      <c r="G391" s="278"/>
      <c r="H391" s="277"/>
      <c r="I391" s="279"/>
      <c r="J391" s="280"/>
      <c r="K391" s="281"/>
      <c r="L391" s="282"/>
      <c r="M391" s="274"/>
      <c r="N391" s="283"/>
      <c r="O391" s="283"/>
      <c r="P391" s="267"/>
      <c r="Q391" s="284"/>
      <c r="R391" s="267"/>
      <c r="S391" s="285"/>
      <c r="T391" s="286"/>
      <c r="U391" s="267"/>
      <c r="V391" s="265"/>
      <c r="W391" s="266"/>
      <c r="X391" s="267"/>
      <c r="Y391" s="267"/>
      <c r="Z391" s="268"/>
      <c r="AA391" s="267"/>
      <c r="AB391" s="267"/>
      <c r="AC391" s="269"/>
    </row>
    <row r="392" ht="16.5" customHeight="1">
      <c r="A392" s="274"/>
      <c r="B392" s="275"/>
      <c r="C392" s="276"/>
      <c r="D392" s="276"/>
      <c r="E392" s="276"/>
      <c r="F392" s="277"/>
      <c r="G392" s="278"/>
      <c r="H392" s="277"/>
      <c r="I392" s="279"/>
      <c r="J392" s="280"/>
      <c r="K392" s="281"/>
      <c r="L392" s="282"/>
      <c r="M392" s="274"/>
      <c r="N392" s="283"/>
      <c r="O392" s="283"/>
      <c r="P392" s="267"/>
      <c r="Q392" s="284"/>
      <c r="R392" s="267"/>
      <c r="S392" s="285"/>
      <c r="T392" s="286"/>
      <c r="U392" s="267"/>
      <c r="V392" s="265"/>
      <c r="W392" s="266"/>
      <c r="X392" s="267"/>
      <c r="Y392" s="267"/>
      <c r="Z392" s="268"/>
      <c r="AA392" s="267"/>
      <c r="AB392" s="267"/>
      <c r="AC392" s="269"/>
    </row>
    <row r="393" ht="16.5" customHeight="1">
      <c r="A393" s="274"/>
      <c r="B393" s="275"/>
      <c r="C393" s="276"/>
      <c r="D393" s="276"/>
      <c r="E393" s="276"/>
      <c r="F393" s="277"/>
      <c r="G393" s="278"/>
      <c r="H393" s="277"/>
      <c r="I393" s="279"/>
      <c r="J393" s="280"/>
      <c r="K393" s="281"/>
      <c r="L393" s="282"/>
      <c r="M393" s="274"/>
      <c r="N393" s="283"/>
      <c r="O393" s="283"/>
      <c r="P393" s="267"/>
      <c r="Q393" s="284"/>
      <c r="R393" s="267"/>
      <c r="S393" s="285"/>
      <c r="T393" s="286"/>
      <c r="U393" s="267"/>
      <c r="V393" s="265"/>
      <c r="W393" s="266"/>
      <c r="X393" s="267"/>
      <c r="Y393" s="267"/>
      <c r="Z393" s="268"/>
      <c r="AA393" s="267"/>
      <c r="AB393" s="267"/>
      <c r="AC393" s="269"/>
    </row>
    <row r="394" ht="16.5" customHeight="1">
      <c r="A394" s="274"/>
      <c r="B394" s="275"/>
      <c r="C394" s="276"/>
      <c r="D394" s="276"/>
      <c r="E394" s="276"/>
      <c r="F394" s="277"/>
      <c r="G394" s="278"/>
      <c r="H394" s="277"/>
      <c r="I394" s="279"/>
      <c r="J394" s="280"/>
      <c r="K394" s="281"/>
      <c r="L394" s="282"/>
      <c r="M394" s="274"/>
      <c r="N394" s="283"/>
      <c r="O394" s="283"/>
      <c r="P394" s="267"/>
      <c r="Q394" s="284"/>
      <c r="R394" s="267"/>
      <c r="S394" s="285"/>
      <c r="T394" s="286"/>
      <c r="U394" s="267"/>
      <c r="V394" s="265"/>
      <c r="W394" s="266"/>
      <c r="X394" s="267"/>
      <c r="Y394" s="267"/>
      <c r="Z394" s="268"/>
      <c r="AA394" s="267"/>
      <c r="AB394" s="267"/>
      <c r="AC394" s="269"/>
    </row>
    <row r="395" ht="16.5" customHeight="1">
      <c r="A395" s="274"/>
      <c r="B395" s="275"/>
      <c r="C395" s="276"/>
      <c r="D395" s="276"/>
      <c r="E395" s="276"/>
      <c r="F395" s="277"/>
      <c r="G395" s="278"/>
      <c r="H395" s="277"/>
      <c r="I395" s="279"/>
      <c r="J395" s="280"/>
      <c r="K395" s="281"/>
      <c r="L395" s="282"/>
      <c r="M395" s="274"/>
      <c r="N395" s="283"/>
      <c r="O395" s="283"/>
      <c r="P395" s="267"/>
      <c r="Q395" s="284"/>
      <c r="R395" s="267"/>
      <c r="S395" s="285"/>
      <c r="T395" s="286"/>
      <c r="U395" s="267"/>
      <c r="V395" s="265"/>
      <c r="W395" s="266"/>
      <c r="X395" s="267"/>
      <c r="Y395" s="267"/>
      <c r="Z395" s="268"/>
      <c r="AA395" s="267"/>
      <c r="AB395" s="267"/>
      <c r="AC395" s="269"/>
    </row>
    <row r="396" ht="16.5" customHeight="1">
      <c r="A396" s="274"/>
      <c r="B396" s="275"/>
      <c r="C396" s="276"/>
      <c r="D396" s="276"/>
      <c r="E396" s="276"/>
      <c r="F396" s="277"/>
      <c r="G396" s="278"/>
      <c r="H396" s="277"/>
      <c r="I396" s="279"/>
      <c r="J396" s="280"/>
      <c r="K396" s="281"/>
      <c r="L396" s="282"/>
      <c r="M396" s="274"/>
      <c r="N396" s="283"/>
      <c r="O396" s="283"/>
      <c r="P396" s="267"/>
      <c r="Q396" s="284"/>
      <c r="R396" s="267"/>
      <c r="S396" s="285"/>
      <c r="T396" s="286"/>
      <c r="U396" s="267"/>
      <c r="V396" s="265"/>
      <c r="W396" s="266"/>
      <c r="X396" s="267"/>
      <c r="Y396" s="267"/>
      <c r="Z396" s="268"/>
      <c r="AA396" s="267"/>
      <c r="AB396" s="267"/>
      <c r="AC396" s="269"/>
    </row>
    <row r="397" ht="16.5" customHeight="1">
      <c r="A397" s="274"/>
      <c r="B397" s="275"/>
      <c r="C397" s="276"/>
      <c r="D397" s="276"/>
      <c r="E397" s="276"/>
      <c r="F397" s="277"/>
      <c r="G397" s="278"/>
      <c r="H397" s="277"/>
      <c r="I397" s="279"/>
      <c r="J397" s="280"/>
      <c r="K397" s="281"/>
      <c r="L397" s="282"/>
      <c r="M397" s="274"/>
      <c r="N397" s="283"/>
      <c r="O397" s="283"/>
      <c r="P397" s="267"/>
      <c r="Q397" s="284"/>
      <c r="R397" s="267"/>
      <c r="S397" s="285"/>
      <c r="T397" s="286"/>
      <c r="U397" s="267"/>
      <c r="V397" s="265"/>
      <c r="W397" s="266"/>
      <c r="X397" s="267"/>
      <c r="Y397" s="267"/>
      <c r="Z397" s="268"/>
      <c r="AA397" s="267"/>
      <c r="AB397" s="267"/>
      <c r="AC397" s="269"/>
    </row>
    <row r="398" ht="16.5" customHeight="1">
      <c r="A398" s="274"/>
      <c r="B398" s="275"/>
      <c r="C398" s="276"/>
      <c r="D398" s="276"/>
      <c r="E398" s="276"/>
      <c r="F398" s="277"/>
      <c r="G398" s="278"/>
      <c r="H398" s="277"/>
      <c r="I398" s="279"/>
      <c r="J398" s="280"/>
      <c r="K398" s="281"/>
      <c r="L398" s="282"/>
      <c r="M398" s="274"/>
      <c r="N398" s="283"/>
      <c r="O398" s="283"/>
      <c r="P398" s="267"/>
      <c r="Q398" s="284"/>
      <c r="R398" s="267"/>
      <c r="S398" s="285"/>
      <c r="T398" s="286"/>
      <c r="U398" s="267"/>
      <c r="V398" s="265"/>
      <c r="W398" s="266"/>
      <c r="X398" s="267"/>
      <c r="Y398" s="267"/>
      <c r="Z398" s="268"/>
      <c r="AA398" s="267"/>
      <c r="AB398" s="267"/>
      <c r="AC398" s="269"/>
    </row>
    <row r="399" ht="16.5" customHeight="1">
      <c r="A399" s="274"/>
      <c r="B399" s="275"/>
      <c r="C399" s="276"/>
      <c r="D399" s="276"/>
      <c r="E399" s="276"/>
      <c r="F399" s="277"/>
      <c r="G399" s="278"/>
      <c r="H399" s="277"/>
      <c r="I399" s="279"/>
      <c r="J399" s="280"/>
      <c r="K399" s="281"/>
      <c r="L399" s="282"/>
      <c r="M399" s="274"/>
      <c r="N399" s="283"/>
      <c r="O399" s="283"/>
      <c r="P399" s="267"/>
      <c r="Q399" s="284"/>
      <c r="R399" s="267"/>
      <c r="S399" s="285"/>
      <c r="T399" s="286"/>
      <c r="U399" s="267"/>
      <c r="V399" s="265"/>
      <c r="W399" s="266"/>
      <c r="X399" s="267"/>
      <c r="Y399" s="267"/>
      <c r="Z399" s="268"/>
      <c r="AA399" s="267"/>
      <c r="AB399" s="267"/>
      <c r="AC399" s="269"/>
    </row>
    <row r="400" ht="16.5" customHeight="1">
      <c r="A400" s="274"/>
      <c r="B400" s="275"/>
      <c r="C400" s="276"/>
      <c r="D400" s="276"/>
      <c r="E400" s="276"/>
      <c r="F400" s="277"/>
      <c r="G400" s="278"/>
      <c r="H400" s="277"/>
      <c r="I400" s="279"/>
      <c r="J400" s="280"/>
      <c r="K400" s="281"/>
      <c r="L400" s="282"/>
      <c r="M400" s="274"/>
      <c r="N400" s="283"/>
      <c r="O400" s="283"/>
      <c r="P400" s="267"/>
      <c r="Q400" s="284"/>
      <c r="R400" s="267"/>
      <c r="S400" s="285"/>
      <c r="T400" s="286"/>
      <c r="U400" s="267"/>
      <c r="V400" s="265"/>
      <c r="W400" s="266"/>
      <c r="X400" s="267"/>
      <c r="Y400" s="267"/>
      <c r="Z400" s="268"/>
      <c r="AA400" s="267"/>
      <c r="AB400" s="267"/>
      <c r="AC400" s="269"/>
    </row>
    <row r="401" ht="16.5" customHeight="1">
      <c r="A401" s="274"/>
      <c r="B401" s="275"/>
      <c r="C401" s="276"/>
      <c r="D401" s="276"/>
      <c r="E401" s="276"/>
      <c r="F401" s="277"/>
      <c r="G401" s="278"/>
      <c r="H401" s="277"/>
      <c r="I401" s="279"/>
      <c r="J401" s="280"/>
      <c r="K401" s="281"/>
      <c r="L401" s="282"/>
      <c r="M401" s="274"/>
      <c r="N401" s="283"/>
      <c r="O401" s="283"/>
      <c r="P401" s="267"/>
      <c r="Q401" s="284"/>
      <c r="R401" s="267"/>
      <c r="S401" s="285"/>
      <c r="T401" s="286"/>
      <c r="U401" s="267"/>
      <c r="V401" s="265"/>
      <c r="W401" s="266"/>
      <c r="X401" s="267"/>
      <c r="Y401" s="267"/>
      <c r="Z401" s="268"/>
      <c r="AA401" s="267"/>
      <c r="AB401" s="267"/>
      <c r="AC401" s="269"/>
    </row>
    <row r="402" ht="16.5" customHeight="1">
      <c r="A402" s="274"/>
      <c r="B402" s="275"/>
      <c r="C402" s="276"/>
      <c r="D402" s="276"/>
      <c r="E402" s="276"/>
      <c r="F402" s="277"/>
      <c r="G402" s="278"/>
      <c r="H402" s="277"/>
      <c r="I402" s="279"/>
      <c r="J402" s="280"/>
      <c r="K402" s="281"/>
      <c r="L402" s="282"/>
      <c r="M402" s="274"/>
      <c r="N402" s="283"/>
      <c r="O402" s="283"/>
      <c r="P402" s="267"/>
      <c r="Q402" s="284"/>
      <c r="R402" s="267"/>
      <c r="S402" s="285"/>
      <c r="T402" s="286"/>
      <c r="U402" s="267"/>
      <c r="V402" s="265"/>
      <c r="W402" s="266"/>
      <c r="X402" s="267"/>
      <c r="Y402" s="267"/>
      <c r="Z402" s="268"/>
      <c r="AA402" s="267"/>
      <c r="AB402" s="267"/>
      <c r="AC402" s="269"/>
    </row>
    <row r="403" ht="16.5" customHeight="1">
      <c r="A403" s="274"/>
      <c r="B403" s="275"/>
      <c r="C403" s="276"/>
      <c r="D403" s="276"/>
      <c r="E403" s="276"/>
      <c r="F403" s="277"/>
      <c r="G403" s="278"/>
      <c r="H403" s="277"/>
      <c r="I403" s="279"/>
      <c r="J403" s="280"/>
      <c r="K403" s="281"/>
      <c r="L403" s="282"/>
      <c r="M403" s="274"/>
      <c r="N403" s="283"/>
      <c r="O403" s="283"/>
      <c r="P403" s="267"/>
      <c r="Q403" s="284"/>
      <c r="R403" s="267"/>
      <c r="S403" s="285"/>
      <c r="T403" s="286"/>
      <c r="U403" s="267"/>
      <c r="V403" s="265"/>
      <c r="W403" s="266"/>
      <c r="X403" s="267"/>
      <c r="Y403" s="267"/>
      <c r="Z403" s="268"/>
      <c r="AA403" s="267"/>
      <c r="AB403" s="267"/>
      <c r="AC403" s="269"/>
    </row>
    <row r="404" ht="16.5" customHeight="1">
      <c r="A404" s="274"/>
      <c r="B404" s="275"/>
      <c r="C404" s="276"/>
      <c r="D404" s="276"/>
      <c r="E404" s="276"/>
      <c r="F404" s="277"/>
      <c r="G404" s="278"/>
      <c r="H404" s="277"/>
      <c r="I404" s="279"/>
      <c r="J404" s="280"/>
      <c r="K404" s="281"/>
      <c r="L404" s="282"/>
      <c r="M404" s="274"/>
      <c r="N404" s="283"/>
      <c r="O404" s="283"/>
      <c r="P404" s="267"/>
      <c r="Q404" s="284"/>
      <c r="R404" s="267"/>
      <c r="S404" s="285"/>
      <c r="T404" s="286"/>
      <c r="U404" s="267"/>
      <c r="V404" s="265"/>
      <c r="W404" s="266"/>
      <c r="X404" s="267"/>
      <c r="Y404" s="267"/>
      <c r="Z404" s="268"/>
      <c r="AA404" s="267"/>
      <c r="AB404" s="267"/>
      <c r="AC404" s="269"/>
    </row>
    <row r="405" ht="16.5" customHeight="1">
      <c r="A405" s="274"/>
      <c r="B405" s="275"/>
      <c r="C405" s="276"/>
      <c r="D405" s="276"/>
      <c r="E405" s="276"/>
      <c r="F405" s="277"/>
      <c r="G405" s="278"/>
      <c r="H405" s="277"/>
      <c r="I405" s="279"/>
      <c r="J405" s="280"/>
      <c r="K405" s="281"/>
      <c r="L405" s="282"/>
      <c r="M405" s="274"/>
      <c r="N405" s="283"/>
      <c r="O405" s="283"/>
      <c r="P405" s="267"/>
      <c r="Q405" s="284"/>
      <c r="R405" s="267"/>
      <c r="S405" s="285"/>
      <c r="T405" s="286"/>
      <c r="U405" s="267"/>
      <c r="V405" s="265"/>
      <c r="W405" s="266"/>
      <c r="X405" s="267"/>
      <c r="Y405" s="267"/>
      <c r="Z405" s="268"/>
      <c r="AA405" s="267"/>
      <c r="AB405" s="267"/>
      <c r="AC405" s="269"/>
    </row>
    <row r="406" ht="16.5" customHeight="1">
      <c r="A406" s="274"/>
      <c r="B406" s="275"/>
      <c r="C406" s="276"/>
      <c r="D406" s="276"/>
      <c r="E406" s="276"/>
      <c r="F406" s="277"/>
      <c r="G406" s="278"/>
      <c r="H406" s="277"/>
      <c r="I406" s="279"/>
      <c r="J406" s="280"/>
      <c r="K406" s="281"/>
      <c r="L406" s="282"/>
      <c r="M406" s="274"/>
      <c r="N406" s="283"/>
      <c r="O406" s="283"/>
      <c r="P406" s="267"/>
      <c r="Q406" s="284"/>
      <c r="R406" s="267"/>
      <c r="S406" s="285"/>
      <c r="T406" s="286"/>
      <c r="U406" s="267"/>
      <c r="V406" s="265"/>
      <c r="W406" s="266"/>
      <c r="X406" s="267"/>
      <c r="Y406" s="267"/>
      <c r="Z406" s="268"/>
      <c r="AA406" s="267"/>
      <c r="AB406" s="267"/>
      <c r="AC406" s="269"/>
    </row>
    <row r="407" ht="16.5" customHeight="1">
      <c r="A407" s="274"/>
      <c r="B407" s="275"/>
      <c r="C407" s="276"/>
      <c r="D407" s="276"/>
      <c r="E407" s="276"/>
      <c r="F407" s="277"/>
      <c r="G407" s="278"/>
      <c r="H407" s="277"/>
      <c r="I407" s="279"/>
      <c r="J407" s="280"/>
      <c r="K407" s="281"/>
      <c r="L407" s="282"/>
      <c r="M407" s="274"/>
      <c r="N407" s="283"/>
      <c r="O407" s="283"/>
      <c r="P407" s="267"/>
      <c r="Q407" s="284"/>
      <c r="R407" s="267"/>
      <c r="S407" s="285"/>
      <c r="T407" s="286"/>
      <c r="U407" s="267"/>
      <c r="V407" s="265"/>
      <c r="W407" s="266"/>
      <c r="X407" s="267"/>
      <c r="Y407" s="267"/>
      <c r="Z407" s="268"/>
      <c r="AA407" s="267"/>
      <c r="AB407" s="267"/>
      <c r="AC407" s="269"/>
    </row>
    <row r="408" ht="16.5" customHeight="1">
      <c r="A408" s="274"/>
      <c r="B408" s="275"/>
      <c r="C408" s="276"/>
      <c r="D408" s="276"/>
      <c r="E408" s="276"/>
      <c r="F408" s="277"/>
      <c r="G408" s="278"/>
      <c r="H408" s="277"/>
      <c r="I408" s="279"/>
      <c r="J408" s="280"/>
      <c r="K408" s="281"/>
      <c r="L408" s="282"/>
      <c r="M408" s="274"/>
      <c r="N408" s="283"/>
      <c r="O408" s="283"/>
      <c r="P408" s="267"/>
      <c r="Q408" s="284"/>
      <c r="R408" s="267"/>
      <c r="S408" s="285"/>
      <c r="T408" s="286"/>
      <c r="U408" s="267"/>
      <c r="V408" s="265"/>
      <c r="W408" s="266"/>
      <c r="X408" s="267"/>
      <c r="Y408" s="267"/>
      <c r="Z408" s="268"/>
      <c r="AA408" s="267"/>
      <c r="AB408" s="267"/>
      <c r="AC408" s="269"/>
    </row>
    <row r="409" ht="16.5" customHeight="1">
      <c r="A409" s="274"/>
      <c r="B409" s="275"/>
      <c r="C409" s="276"/>
      <c r="D409" s="276"/>
      <c r="E409" s="276"/>
      <c r="F409" s="277"/>
      <c r="G409" s="278"/>
      <c r="H409" s="277"/>
      <c r="I409" s="279"/>
      <c r="J409" s="280"/>
      <c r="K409" s="281"/>
      <c r="L409" s="282"/>
      <c r="M409" s="274"/>
      <c r="N409" s="283"/>
      <c r="O409" s="283"/>
      <c r="P409" s="267"/>
      <c r="Q409" s="284"/>
      <c r="R409" s="267"/>
      <c r="S409" s="285"/>
      <c r="T409" s="286"/>
      <c r="U409" s="267"/>
      <c r="V409" s="265"/>
      <c r="W409" s="266"/>
      <c r="X409" s="267"/>
      <c r="Y409" s="267"/>
      <c r="Z409" s="268"/>
      <c r="AA409" s="267"/>
      <c r="AB409" s="267"/>
      <c r="AC409" s="269"/>
    </row>
    <row r="410" ht="16.5" customHeight="1">
      <c r="A410" s="274"/>
      <c r="B410" s="275"/>
      <c r="C410" s="276"/>
      <c r="D410" s="276"/>
      <c r="E410" s="276"/>
      <c r="F410" s="277"/>
      <c r="G410" s="278"/>
      <c r="H410" s="277"/>
      <c r="I410" s="279"/>
      <c r="J410" s="280"/>
      <c r="K410" s="281"/>
      <c r="L410" s="282"/>
      <c r="M410" s="274"/>
      <c r="N410" s="283"/>
      <c r="O410" s="283"/>
      <c r="P410" s="267"/>
      <c r="Q410" s="284"/>
      <c r="R410" s="267"/>
      <c r="S410" s="285"/>
      <c r="T410" s="286"/>
      <c r="U410" s="267"/>
      <c r="V410" s="265"/>
      <c r="W410" s="266"/>
      <c r="X410" s="267"/>
      <c r="Y410" s="267"/>
      <c r="Z410" s="268"/>
      <c r="AA410" s="267"/>
      <c r="AB410" s="267"/>
      <c r="AC410" s="269"/>
    </row>
    <row r="411" ht="16.5" customHeight="1">
      <c r="A411" s="274"/>
      <c r="B411" s="275"/>
      <c r="C411" s="276"/>
      <c r="D411" s="276"/>
      <c r="E411" s="276"/>
      <c r="F411" s="277"/>
      <c r="G411" s="278"/>
      <c r="H411" s="277"/>
      <c r="I411" s="279"/>
      <c r="J411" s="280"/>
      <c r="K411" s="281"/>
      <c r="L411" s="282"/>
      <c r="M411" s="274"/>
      <c r="N411" s="283"/>
      <c r="O411" s="283"/>
      <c r="P411" s="267"/>
      <c r="Q411" s="284"/>
      <c r="R411" s="267"/>
      <c r="S411" s="285"/>
      <c r="T411" s="286"/>
      <c r="U411" s="267"/>
      <c r="V411" s="265"/>
      <c r="W411" s="266"/>
      <c r="X411" s="267"/>
      <c r="Y411" s="267"/>
      <c r="Z411" s="268"/>
      <c r="AA411" s="267"/>
      <c r="AB411" s="267"/>
      <c r="AC411" s="269"/>
    </row>
    <row r="412" ht="16.5" customHeight="1">
      <c r="A412" s="274"/>
      <c r="B412" s="275"/>
      <c r="C412" s="276"/>
      <c r="D412" s="276"/>
      <c r="E412" s="276"/>
      <c r="F412" s="277"/>
      <c r="G412" s="278"/>
      <c r="H412" s="277"/>
      <c r="I412" s="279"/>
      <c r="J412" s="280"/>
      <c r="K412" s="281"/>
      <c r="L412" s="282"/>
      <c r="M412" s="274"/>
      <c r="N412" s="283"/>
      <c r="O412" s="283"/>
      <c r="P412" s="267"/>
      <c r="Q412" s="284"/>
      <c r="R412" s="267"/>
      <c r="S412" s="285"/>
      <c r="T412" s="286"/>
      <c r="U412" s="267"/>
      <c r="V412" s="265"/>
      <c r="W412" s="266"/>
      <c r="X412" s="267"/>
      <c r="Y412" s="267"/>
      <c r="Z412" s="268"/>
      <c r="AA412" s="267"/>
      <c r="AB412" s="267"/>
      <c r="AC412" s="269"/>
    </row>
    <row r="413" ht="16.5" customHeight="1">
      <c r="A413" s="274"/>
      <c r="B413" s="275"/>
      <c r="C413" s="276"/>
      <c r="D413" s="276"/>
      <c r="E413" s="276"/>
      <c r="F413" s="277"/>
      <c r="G413" s="278"/>
      <c r="H413" s="277"/>
      <c r="I413" s="279"/>
      <c r="J413" s="280"/>
      <c r="K413" s="281"/>
      <c r="L413" s="282"/>
      <c r="M413" s="274"/>
      <c r="N413" s="283"/>
      <c r="O413" s="283"/>
      <c r="P413" s="267"/>
      <c r="Q413" s="284"/>
      <c r="R413" s="267"/>
      <c r="S413" s="285"/>
      <c r="T413" s="286"/>
      <c r="U413" s="267"/>
      <c r="V413" s="265"/>
      <c r="W413" s="266"/>
      <c r="X413" s="267"/>
      <c r="Y413" s="267"/>
      <c r="Z413" s="268"/>
      <c r="AA413" s="267"/>
      <c r="AB413" s="267"/>
      <c r="AC413" s="269"/>
    </row>
    <row r="414" ht="16.5" customHeight="1">
      <c r="A414" s="274"/>
      <c r="B414" s="275"/>
      <c r="C414" s="276"/>
      <c r="D414" s="276"/>
      <c r="E414" s="276"/>
      <c r="F414" s="277"/>
      <c r="G414" s="278"/>
      <c r="H414" s="277"/>
      <c r="I414" s="279"/>
      <c r="J414" s="280"/>
      <c r="K414" s="281"/>
      <c r="L414" s="282"/>
      <c r="M414" s="274"/>
      <c r="N414" s="283"/>
      <c r="O414" s="283"/>
      <c r="P414" s="267"/>
      <c r="Q414" s="284"/>
      <c r="R414" s="267"/>
      <c r="S414" s="285"/>
      <c r="T414" s="286"/>
      <c r="U414" s="267"/>
      <c r="V414" s="265"/>
      <c r="W414" s="266"/>
      <c r="X414" s="267"/>
      <c r="Y414" s="267"/>
      <c r="Z414" s="268"/>
      <c r="AA414" s="267"/>
      <c r="AB414" s="267"/>
      <c r="AC414" s="269"/>
    </row>
    <row r="415" ht="16.5" customHeight="1">
      <c r="A415" s="274"/>
      <c r="B415" s="275"/>
      <c r="C415" s="276"/>
      <c r="D415" s="276"/>
      <c r="E415" s="276"/>
      <c r="F415" s="277"/>
      <c r="G415" s="278"/>
      <c r="H415" s="277"/>
      <c r="I415" s="279"/>
      <c r="J415" s="280"/>
      <c r="K415" s="281"/>
      <c r="L415" s="282"/>
      <c r="M415" s="274"/>
      <c r="N415" s="283"/>
      <c r="O415" s="283"/>
      <c r="P415" s="267"/>
      <c r="Q415" s="284"/>
      <c r="R415" s="267"/>
      <c r="S415" s="285"/>
      <c r="T415" s="286"/>
      <c r="U415" s="267"/>
      <c r="V415" s="265"/>
      <c r="W415" s="266"/>
      <c r="X415" s="267"/>
      <c r="Y415" s="267"/>
      <c r="Z415" s="268"/>
      <c r="AA415" s="267"/>
      <c r="AB415" s="267"/>
      <c r="AC415" s="269"/>
    </row>
    <row r="416" ht="16.5" customHeight="1">
      <c r="A416" s="274"/>
      <c r="B416" s="275"/>
      <c r="C416" s="276"/>
      <c r="D416" s="276"/>
      <c r="E416" s="276"/>
      <c r="F416" s="277"/>
      <c r="G416" s="278"/>
      <c r="H416" s="277"/>
      <c r="I416" s="279"/>
      <c r="J416" s="280"/>
      <c r="K416" s="281"/>
      <c r="L416" s="282"/>
      <c r="M416" s="274"/>
      <c r="N416" s="283"/>
      <c r="O416" s="283"/>
      <c r="P416" s="267"/>
      <c r="Q416" s="284"/>
      <c r="R416" s="267"/>
      <c r="S416" s="285"/>
      <c r="T416" s="286"/>
      <c r="U416" s="267"/>
      <c r="V416" s="265"/>
      <c r="W416" s="266"/>
      <c r="X416" s="267"/>
      <c r="Y416" s="267"/>
      <c r="Z416" s="268"/>
      <c r="AA416" s="267"/>
      <c r="AB416" s="267"/>
      <c r="AC416" s="269"/>
    </row>
    <row r="417" ht="16.5" customHeight="1">
      <c r="A417" s="274"/>
      <c r="B417" s="275"/>
      <c r="C417" s="276"/>
      <c r="D417" s="276"/>
      <c r="E417" s="276"/>
      <c r="F417" s="277"/>
      <c r="G417" s="278"/>
      <c r="H417" s="277"/>
      <c r="I417" s="279"/>
      <c r="J417" s="280"/>
      <c r="K417" s="281"/>
      <c r="L417" s="282"/>
      <c r="M417" s="274"/>
      <c r="N417" s="283"/>
      <c r="O417" s="283"/>
      <c r="P417" s="267"/>
      <c r="Q417" s="284"/>
      <c r="R417" s="267"/>
      <c r="S417" s="285"/>
      <c r="T417" s="286"/>
      <c r="U417" s="267"/>
      <c r="V417" s="265"/>
      <c r="W417" s="266"/>
      <c r="X417" s="267"/>
      <c r="Y417" s="267"/>
      <c r="Z417" s="268"/>
      <c r="AA417" s="267"/>
      <c r="AB417" s="267"/>
      <c r="AC417" s="269"/>
    </row>
    <row r="418" ht="16.5" customHeight="1">
      <c r="A418" s="274"/>
      <c r="B418" s="275"/>
      <c r="C418" s="276"/>
      <c r="D418" s="276"/>
      <c r="E418" s="276"/>
      <c r="F418" s="277"/>
      <c r="G418" s="278"/>
      <c r="H418" s="277"/>
      <c r="I418" s="279"/>
      <c r="J418" s="280"/>
      <c r="K418" s="281"/>
      <c r="L418" s="282"/>
      <c r="M418" s="274"/>
      <c r="N418" s="283"/>
      <c r="O418" s="283"/>
      <c r="P418" s="267"/>
      <c r="Q418" s="284"/>
      <c r="R418" s="267"/>
      <c r="S418" s="285"/>
      <c r="T418" s="286"/>
      <c r="U418" s="267"/>
      <c r="V418" s="265"/>
      <c r="W418" s="266"/>
      <c r="X418" s="267"/>
      <c r="Y418" s="267"/>
      <c r="Z418" s="268"/>
      <c r="AA418" s="267"/>
      <c r="AB418" s="267"/>
      <c r="AC418" s="269"/>
    </row>
    <row r="419" ht="16.5" customHeight="1">
      <c r="A419" s="274"/>
      <c r="B419" s="275"/>
      <c r="C419" s="276"/>
      <c r="D419" s="276"/>
      <c r="E419" s="276"/>
      <c r="F419" s="277"/>
      <c r="G419" s="278"/>
      <c r="H419" s="277"/>
      <c r="I419" s="279"/>
      <c r="J419" s="280"/>
      <c r="K419" s="281"/>
      <c r="L419" s="282"/>
      <c r="M419" s="274"/>
      <c r="N419" s="283"/>
      <c r="O419" s="283"/>
      <c r="P419" s="267"/>
      <c r="Q419" s="284"/>
      <c r="R419" s="267"/>
      <c r="S419" s="285"/>
      <c r="T419" s="286"/>
      <c r="U419" s="267"/>
      <c r="V419" s="265"/>
      <c r="W419" s="266"/>
      <c r="X419" s="267"/>
      <c r="Y419" s="267"/>
      <c r="Z419" s="268"/>
      <c r="AA419" s="267"/>
      <c r="AB419" s="267"/>
      <c r="AC419" s="269"/>
    </row>
    <row r="420" ht="16.5" customHeight="1">
      <c r="A420" s="274"/>
      <c r="B420" s="275"/>
      <c r="C420" s="276"/>
      <c r="D420" s="276"/>
      <c r="E420" s="276"/>
      <c r="F420" s="277"/>
      <c r="G420" s="278"/>
      <c r="H420" s="277"/>
      <c r="I420" s="279"/>
      <c r="J420" s="280"/>
      <c r="K420" s="281"/>
      <c r="L420" s="282"/>
      <c r="M420" s="274"/>
      <c r="N420" s="283"/>
      <c r="O420" s="283"/>
      <c r="P420" s="267"/>
      <c r="Q420" s="284"/>
      <c r="R420" s="267"/>
      <c r="S420" s="285"/>
      <c r="T420" s="286"/>
      <c r="U420" s="267"/>
      <c r="V420" s="265"/>
      <c r="W420" s="266"/>
      <c r="X420" s="267"/>
      <c r="Y420" s="267"/>
      <c r="Z420" s="268"/>
      <c r="AA420" s="267"/>
      <c r="AB420" s="267"/>
      <c r="AC420" s="269"/>
    </row>
    <row r="421" ht="16.5" customHeight="1">
      <c r="A421" s="274"/>
      <c r="B421" s="275"/>
      <c r="C421" s="276"/>
      <c r="D421" s="276"/>
      <c r="E421" s="276"/>
      <c r="F421" s="277"/>
      <c r="G421" s="278"/>
      <c r="H421" s="277"/>
      <c r="I421" s="279"/>
      <c r="J421" s="280"/>
      <c r="K421" s="281"/>
      <c r="L421" s="282"/>
      <c r="M421" s="274"/>
      <c r="N421" s="283"/>
      <c r="O421" s="283"/>
      <c r="P421" s="267"/>
      <c r="Q421" s="284"/>
      <c r="R421" s="267"/>
      <c r="S421" s="285"/>
      <c r="T421" s="286"/>
      <c r="U421" s="267"/>
      <c r="V421" s="265"/>
      <c r="W421" s="266"/>
      <c r="X421" s="267"/>
      <c r="Y421" s="267"/>
      <c r="Z421" s="268"/>
      <c r="AA421" s="267"/>
      <c r="AB421" s="267"/>
      <c r="AC421" s="269"/>
    </row>
    <row r="422" ht="16.5" customHeight="1">
      <c r="A422" s="274"/>
      <c r="B422" s="275"/>
      <c r="C422" s="276"/>
      <c r="D422" s="276"/>
      <c r="E422" s="276"/>
      <c r="F422" s="277"/>
      <c r="G422" s="278"/>
      <c r="H422" s="277"/>
      <c r="I422" s="279"/>
      <c r="J422" s="280"/>
      <c r="K422" s="281"/>
      <c r="L422" s="282"/>
      <c r="M422" s="274"/>
      <c r="N422" s="283"/>
      <c r="O422" s="283"/>
      <c r="P422" s="267"/>
      <c r="Q422" s="284"/>
      <c r="R422" s="267"/>
      <c r="S422" s="285"/>
      <c r="T422" s="286"/>
      <c r="U422" s="267"/>
      <c r="V422" s="265"/>
      <c r="W422" s="266"/>
      <c r="X422" s="267"/>
      <c r="Y422" s="267"/>
      <c r="Z422" s="268"/>
      <c r="AA422" s="267"/>
      <c r="AB422" s="267"/>
      <c r="AC422" s="269"/>
    </row>
    <row r="423" ht="16.5" customHeight="1">
      <c r="A423" s="274"/>
      <c r="B423" s="275"/>
      <c r="C423" s="276"/>
      <c r="D423" s="276"/>
      <c r="E423" s="276"/>
      <c r="F423" s="277"/>
      <c r="G423" s="278"/>
      <c r="H423" s="277"/>
      <c r="I423" s="279"/>
      <c r="J423" s="280"/>
      <c r="K423" s="281"/>
      <c r="L423" s="282"/>
      <c r="M423" s="274"/>
      <c r="N423" s="283"/>
      <c r="O423" s="283"/>
      <c r="P423" s="267"/>
      <c r="Q423" s="284"/>
      <c r="R423" s="267"/>
      <c r="S423" s="285"/>
      <c r="T423" s="286"/>
      <c r="U423" s="267"/>
      <c r="V423" s="265"/>
      <c r="W423" s="266"/>
      <c r="X423" s="267"/>
      <c r="Y423" s="267"/>
      <c r="Z423" s="268"/>
      <c r="AA423" s="267"/>
      <c r="AB423" s="267"/>
      <c r="AC423" s="269"/>
    </row>
    <row r="424" ht="16.5" customHeight="1">
      <c r="A424" s="274"/>
      <c r="B424" s="275"/>
      <c r="C424" s="276"/>
      <c r="D424" s="276"/>
      <c r="E424" s="276"/>
      <c r="F424" s="277"/>
      <c r="G424" s="278"/>
      <c r="H424" s="277"/>
      <c r="I424" s="279"/>
      <c r="J424" s="280"/>
      <c r="K424" s="281"/>
      <c r="L424" s="282"/>
      <c r="M424" s="274"/>
      <c r="N424" s="283"/>
      <c r="O424" s="283"/>
      <c r="P424" s="267"/>
      <c r="Q424" s="284"/>
      <c r="R424" s="267"/>
      <c r="S424" s="285"/>
      <c r="T424" s="286"/>
      <c r="U424" s="267"/>
      <c r="V424" s="265"/>
      <c r="W424" s="266"/>
      <c r="X424" s="267"/>
      <c r="Y424" s="267"/>
      <c r="Z424" s="268"/>
      <c r="AA424" s="267"/>
      <c r="AB424" s="267"/>
      <c r="AC424" s="269"/>
    </row>
    <row r="425" ht="16.5" customHeight="1">
      <c r="A425" s="274"/>
      <c r="B425" s="275"/>
      <c r="C425" s="276"/>
      <c r="D425" s="276"/>
      <c r="E425" s="276"/>
      <c r="F425" s="277"/>
      <c r="G425" s="278"/>
      <c r="H425" s="277"/>
      <c r="I425" s="279"/>
      <c r="J425" s="280"/>
      <c r="K425" s="281"/>
      <c r="L425" s="282"/>
      <c r="M425" s="274"/>
      <c r="N425" s="283"/>
      <c r="O425" s="283"/>
      <c r="P425" s="267"/>
      <c r="Q425" s="284"/>
      <c r="R425" s="267"/>
      <c r="S425" s="285"/>
      <c r="T425" s="286"/>
      <c r="U425" s="267"/>
      <c r="V425" s="265"/>
      <c r="W425" s="266"/>
      <c r="X425" s="267"/>
      <c r="Y425" s="267"/>
      <c r="Z425" s="268"/>
      <c r="AA425" s="267"/>
      <c r="AB425" s="267"/>
      <c r="AC425" s="269"/>
    </row>
    <row r="426" ht="16.5" customHeight="1">
      <c r="A426" s="274"/>
      <c r="B426" s="275"/>
      <c r="C426" s="276"/>
      <c r="D426" s="276"/>
      <c r="E426" s="276"/>
      <c r="F426" s="277"/>
      <c r="G426" s="278"/>
      <c r="H426" s="277"/>
      <c r="I426" s="279"/>
      <c r="J426" s="280"/>
      <c r="K426" s="281"/>
      <c r="L426" s="282"/>
      <c r="M426" s="274"/>
      <c r="N426" s="283"/>
      <c r="O426" s="283"/>
      <c r="P426" s="267"/>
      <c r="Q426" s="284"/>
      <c r="R426" s="267"/>
      <c r="S426" s="285"/>
      <c r="T426" s="286"/>
      <c r="U426" s="267"/>
      <c r="V426" s="265"/>
      <c r="W426" s="266"/>
      <c r="X426" s="267"/>
      <c r="Y426" s="267"/>
      <c r="Z426" s="268"/>
      <c r="AA426" s="267"/>
      <c r="AB426" s="267"/>
      <c r="AC426" s="269"/>
    </row>
    <row r="427" ht="16.5" customHeight="1">
      <c r="A427" s="274"/>
      <c r="B427" s="275"/>
      <c r="C427" s="276"/>
      <c r="D427" s="276"/>
      <c r="E427" s="276"/>
      <c r="F427" s="277"/>
      <c r="G427" s="278"/>
      <c r="H427" s="277"/>
      <c r="I427" s="279"/>
      <c r="J427" s="280"/>
      <c r="K427" s="281"/>
      <c r="L427" s="282"/>
      <c r="M427" s="274"/>
      <c r="N427" s="283"/>
      <c r="O427" s="283"/>
      <c r="P427" s="267"/>
      <c r="Q427" s="284"/>
      <c r="R427" s="267"/>
      <c r="S427" s="285"/>
      <c r="T427" s="286"/>
      <c r="U427" s="267"/>
      <c r="V427" s="265"/>
      <c r="W427" s="266"/>
      <c r="X427" s="267"/>
      <c r="Y427" s="267"/>
      <c r="Z427" s="268"/>
      <c r="AA427" s="267"/>
      <c r="AB427" s="267"/>
      <c r="AC427" s="269"/>
    </row>
    <row r="428" ht="16.5" customHeight="1">
      <c r="A428" s="274"/>
      <c r="B428" s="275"/>
      <c r="C428" s="276"/>
      <c r="D428" s="276"/>
      <c r="E428" s="276"/>
      <c r="F428" s="277"/>
      <c r="G428" s="278"/>
      <c r="H428" s="277"/>
      <c r="I428" s="279"/>
      <c r="J428" s="280"/>
      <c r="K428" s="281"/>
      <c r="L428" s="282"/>
      <c r="M428" s="274"/>
      <c r="N428" s="283"/>
      <c r="O428" s="283"/>
      <c r="P428" s="267"/>
      <c r="Q428" s="284"/>
      <c r="R428" s="267"/>
      <c r="S428" s="285"/>
      <c r="T428" s="286"/>
      <c r="U428" s="267"/>
      <c r="V428" s="265"/>
      <c r="W428" s="266"/>
      <c r="X428" s="267"/>
      <c r="Y428" s="267"/>
      <c r="Z428" s="268"/>
      <c r="AA428" s="267"/>
      <c r="AB428" s="267"/>
      <c r="AC428" s="269"/>
    </row>
    <row r="429" ht="16.5" customHeight="1">
      <c r="A429" s="274"/>
      <c r="B429" s="275"/>
      <c r="C429" s="276"/>
      <c r="D429" s="276"/>
      <c r="E429" s="276"/>
      <c r="F429" s="277"/>
      <c r="G429" s="278"/>
      <c r="H429" s="277"/>
      <c r="I429" s="279"/>
      <c r="J429" s="280"/>
      <c r="K429" s="281"/>
      <c r="L429" s="282"/>
      <c r="M429" s="274"/>
      <c r="N429" s="283"/>
      <c r="O429" s="283"/>
      <c r="P429" s="267"/>
      <c r="Q429" s="284"/>
      <c r="R429" s="267"/>
      <c r="S429" s="285"/>
      <c r="T429" s="286"/>
      <c r="U429" s="267"/>
      <c r="V429" s="265"/>
      <c r="W429" s="266"/>
      <c r="X429" s="267"/>
      <c r="Y429" s="267"/>
      <c r="Z429" s="268"/>
      <c r="AA429" s="267"/>
      <c r="AB429" s="267"/>
      <c r="AC429" s="269"/>
    </row>
    <row r="430" ht="16.5" customHeight="1">
      <c r="A430" s="274"/>
      <c r="B430" s="275"/>
      <c r="C430" s="276"/>
      <c r="D430" s="276"/>
      <c r="E430" s="276"/>
      <c r="F430" s="277"/>
      <c r="G430" s="278"/>
      <c r="H430" s="277"/>
      <c r="I430" s="279"/>
      <c r="J430" s="280"/>
      <c r="K430" s="281"/>
      <c r="L430" s="282"/>
      <c r="M430" s="274"/>
      <c r="N430" s="283"/>
      <c r="O430" s="283"/>
      <c r="P430" s="267"/>
      <c r="Q430" s="284"/>
      <c r="R430" s="267"/>
      <c r="S430" s="285"/>
      <c r="T430" s="286"/>
      <c r="U430" s="267"/>
      <c r="V430" s="265"/>
      <c r="W430" s="266"/>
      <c r="X430" s="267"/>
      <c r="Y430" s="267"/>
      <c r="Z430" s="268"/>
      <c r="AA430" s="267"/>
      <c r="AB430" s="267"/>
      <c r="AC430" s="269"/>
    </row>
    <row r="431" ht="16.5" customHeight="1">
      <c r="A431" s="274"/>
      <c r="B431" s="275"/>
      <c r="C431" s="276"/>
      <c r="D431" s="276"/>
      <c r="E431" s="276"/>
      <c r="F431" s="277"/>
      <c r="G431" s="278"/>
      <c r="H431" s="277"/>
      <c r="I431" s="279"/>
      <c r="J431" s="280"/>
      <c r="K431" s="281"/>
      <c r="L431" s="282"/>
      <c r="M431" s="274"/>
      <c r="N431" s="283"/>
      <c r="O431" s="283"/>
      <c r="P431" s="267"/>
      <c r="Q431" s="284"/>
      <c r="R431" s="267"/>
      <c r="S431" s="285"/>
      <c r="T431" s="286"/>
      <c r="U431" s="267"/>
      <c r="V431" s="265"/>
      <c r="W431" s="266"/>
      <c r="X431" s="267"/>
      <c r="Y431" s="267"/>
      <c r="Z431" s="268"/>
      <c r="AA431" s="267"/>
      <c r="AB431" s="267"/>
      <c r="AC431" s="269"/>
    </row>
    <row r="432" ht="16.5" customHeight="1">
      <c r="A432" s="274"/>
      <c r="B432" s="275"/>
      <c r="C432" s="276"/>
      <c r="D432" s="276"/>
      <c r="E432" s="276"/>
      <c r="F432" s="277"/>
      <c r="G432" s="278"/>
      <c r="H432" s="277"/>
      <c r="I432" s="279"/>
      <c r="J432" s="280"/>
      <c r="K432" s="281"/>
      <c r="L432" s="282"/>
      <c r="M432" s="274"/>
      <c r="N432" s="283"/>
      <c r="O432" s="283"/>
      <c r="P432" s="267"/>
      <c r="Q432" s="284"/>
      <c r="R432" s="267"/>
      <c r="S432" s="285"/>
      <c r="T432" s="286"/>
      <c r="U432" s="267"/>
      <c r="V432" s="265"/>
      <c r="W432" s="266"/>
      <c r="X432" s="267"/>
      <c r="Y432" s="267"/>
      <c r="Z432" s="268"/>
      <c r="AA432" s="267"/>
      <c r="AB432" s="267"/>
      <c r="AC432" s="269"/>
    </row>
    <row r="433" ht="16.5" customHeight="1">
      <c r="A433" s="274"/>
      <c r="B433" s="275"/>
      <c r="C433" s="276"/>
      <c r="D433" s="276"/>
      <c r="E433" s="276"/>
      <c r="F433" s="277"/>
      <c r="G433" s="278"/>
      <c r="H433" s="277"/>
      <c r="I433" s="279"/>
      <c r="J433" s="280"/>
      <c r="K433" s="281"/>
      <c r="L433" s="282"/>
      <c r="M433" s="274"/>
      <c r="N433" s="283"/>
      <c r="O433" s="283"/>
      <c r="P433" s="267"/>
      <c r="Q433" s="284"/>
      <c r="R433" s="267"/>
      <c r="S433" s="285"/>
      <c r="T433" s="286"/>
      <c r="U433" s="267"/>
      <c r="V433" s="265"/>
      <c r="W433" s="266"/>
      <c r="X433" s="267"/>
      <c r="Y433" s="267"/>
      <c r="Z433" s="268"/>
      <c r="AA433" s="267"/>
      <c r="AB433" s="267"/>
      <c r="AC433" s="269"/>
    </row>
    <row r="434" ht="16.5" customHeight="1">
      <c r="A434" s="274"/>
      <c r="B434" s="275"/>
      <c r="C434" s="276"/>
      <c r="D434" s="276"/>
      <c r="E434" s="276"/>
      <c r="F434" s="277"/>
      <c r="G434" s="278"/>
      <c r="H434" s="277"/>
      <c r="I434" s="279"/>
      <c r="J434" s="280"/>
      <c r="K434" s="281"/>
      <c r="L434" s="282"/>
      <c r="M434" s="274"/>
      <c r="N434" s="283"/>
      <c r="O434" s="283"/>
      <c r="P434" s="267"/>
      <c r="Q434" s="284"/>
      <c r="R434" s="267"/>
      <c r="S434" s="285"/>
      <c r="T434" s="286"/>
      <c r="U434" s="267"/>
      <c r="V434" s="265"/>
      <c r="W434" s="266"/>
      <c r="X434" s="267"/>
      <c r="Y434" s="267"/>
      <c r="Z434" s="268"/>
      <c r="AA434" s="267"/>
      <c r="AB434" s="267"/>
      <c r="AC434" s="269"/>
    </row>
    <row r="435" ht="16.5" customHeight="1">
      <c r="A435" s="274"/>
      <c r="B435" s="275"/>
      <c r="C435" s="276"/>
      <c r="D435" s="276"/>
      <c r="E435" s="276"/>
      <c r="F435" s="277"/>
      <c r="G435" s="278"/>
      <c r="H435" s="277"/>
      <c r="I435" s="279"/>
      <c r="J435" s="280"/>
      <c r="K435" s="281"/>
      <c r="L435" s="282"/>
      <c r="M435" s="274"/>
      <c r="N435" s="283"/>
      <c r="O435" s="283"/>
      <c r="P435" s="267"/>
      <c r="Q435" s="284"/>
      <c r="R435" s="267"/>
      <c r="S435" s="285"/>
      <c r="T435" s="286"/>
      <c r="U435" s="267"/>
      <c r="V435" s="265"/>
      <c r="W435" s="266"/>
      <c r="X435" s="267"/>
      <c r="Y435" s="267"/>
      <c r="Z435" s="268"/>
      <c r="AA435" s="267"/>
      <c r="AB435" s="267"/>
      <c r="AC435" s="269"/>
    </row>
    <row r="436" ht="16.5" customHeight="1">
      <c r="A436" s="274"/>
      <c r="B436" s="275"/>
      <c r="C436" s="276"/>
      <c r="D436" s="276"/>
      <c r="E436" s="276"/>
      <c r="F436" s="277"/>
      <c r="G436" s="278"/>
      <c r="H436" s="277"/>
      <c r="I436" s="279"/>
      <c r="J436" s="280"/>
      <c r="K436" s="281"/>
      <c r="L436" s="282"/>
      <c r="M436" s="274"/>
      <c r="N436" s="283"/>
      <c r="O436" s="283"/>
      <c r="P436" s="267"/>
      <c r="Q436" s="284"/>
      <c r="R436" s="267"/>
      <c r="S436" s="285"/>
      <c r="T436" s="286"/>
      <c r="U436" s="267"/>
      <c r="V436" s="265"/>
      <c r="W436" s="266"/>
      <c r="X436" s="267"/>
      <c r="Y436" s="267"/>
      <c r="Z436" s="268"/>
      <c r="AA436" s="267"/>
      <c r="AB436" s="267"/>
      <c r="AC436" s="269"/>
    </row>
    <row r="437" ht="16.5" customHeight="1">
      <c r="A437" s="274"/>
      <c r="B437" s="275"/>
      <c r="C437" s="276"/>
      <c r="D437" s="276"/>
      <c r="E437" s="276"/>
      <c r="F437" s="277"/>
      <c r="G437" s="278"/>
      <c r="H437" s="277"/>
      <c r="I437" s="279"/>
      <c r="J437" s="280"/>
      <c r="K437" s="281"/>
      <c r="L437" s="282"/>
      <c r="M437" s="274"/>
      <c r="N437" s="283"/>
      <c r="O437" s="283"/>
      <c r="P437" s="267"/>
      <c r="Q437" s="284"/>
      <c r="R437" s="267"/>
      <c r="S437" s="285"/>
      <c r="T437" s="286"/>
      <c r="U437" s="267"/>
      <c r="V437" s="265"/>
      <c r="W437" s="266"/>
      <c r="X437" s="267"/>
      <c r="Y437" s="267"/>
      <c r="Z437" s="268"/>
      <c r="AA437" s="267"/>
      <c r="AB437" s="267"/>
      <c r="AC437" s="269"/>
    </row>
    <row r="438" ht="16.5" customHeight="1">
      <c r="A438" s="274"/>
      <c r="B438" s="275"/>
      <c r="C438" s="276"/>
      <c r="D438" s="276"/>
      <c r="E438" s="276"/>
      <c r="F438" s="277"/>
      <c r="G438" s="278"/>
      <c r="H438" s="277"/>
      <c r="I438" s="279"/>
      <c r="J438" s="280"/>
      <c r="K438" s="281"/>
      <c r="L438" s="282"/>
      <c r="M438" s="274"/>
      <c r="N438" s="283"/>
      <c r="O438" s="283"/>
      <c r="P438" s="267"/>
      <c r="Q438" s="284"/>
      <c r="R438" s="267"/>
      <c r="S438" s="285"/>
      <c r="T438" s="286"/>
      <c r="U438" s="267"/>
      <c r="V438" s="265"/>
      <c r="W438" s="266"/>
      <c r="X438" s="267"/>
      <c r="Y438" s="267"/>
      <c r="Z438" s="268"/>
      <c r="AA438" s="267"/>
      <c r="AB438" s="267"/>
      <c r="AC438" s="269"/>
    </row>
    <row r="439" ht="16.5" customHeight="1">
      <c r="A439" s="274"/>
      <c r="B439" s="275"/>
      <c r="C439" s="276"/>
      <c r="D439" s="276"/>
      <c r="E439" s="276"/>
      <c r="F439" s="277"/>
      <c r="G439" s="278"/>
      <c r="H439" s="277"/>
      <c r="I439" s="279"/>
      <c r="J439" s="280"/>
      <c r="K439" s="281"/>
      <c r="L439" s="282"/>
      <c r="M439" s="274"/>
      <c r="N439" s="283"/>
      <c r="O439" s="283"/>
      <c r="P439" s="267"/>
      <c r="Q439" s="284"/>
      <c r="R439" s="267"/>
      <c r="S439" s="285"/>
      <c r="T439" s="286"/>
      <c r="U439" s="267"/>
      <c r="V439" s="265"/>
      <c r="W439" s="266"/>
      <c r="X439" s="267"/>
      <c r="Y439" s="267"/>
      <c r="Z439" s="268"/>
      <c r="AA439" s="267"/>
      <c r="AB439" s="267"/>
      <c r="AC439" s="269"/>
    </row>
    <row r="440" ht="16.5" customHeight="1">
      <c r="A440" s="274"/>
      <c r="B440" s="275"/>
      <c r="C440" s="276"/>
      <c r="D440" s="276"/>
      <c r="E440" s="276"/>
      <c r="F440" s="277"/>
      <c r="G440" s="278"/>
      <c r="H440" s="277"/>
      <c r="I440" s="279"/>
      <c r="J440" s="280"/>
      <c r="K440" s="281"/>
      <c r="L440" s="282"/>
      <c r="M440" s="274"/>
      <c r="N440" s="283"/>
      <c r="O440" s="283"/>
      <c r="P440" s="267"/>
      <c r="Q440" s="284"/>
      <c r="R440" s="267"/>
      <c r="S440" s="285"/>
      <c r="T440" s="286"/>
      <c r="U440" s="267"/>
      <c r="V440" s="265"/>
      <c r="W440" s="266"/>
      <c r="X440" s="267"/>
      <c r="Y440" s="267"/>
      <c r="Z440" s="268"/>
      <c r="AA440" s="267"/>
      <c r="AB440" s="267"/>
      <c r="AC440" s="269"/>
    </row>
    <row r="441" ht="16.5" customHeight="1">
      <c r="A441" s="274"/>
      <c r="B441" s="275"/>
      <c r="C441" s="276"/>
      <c r="D441" s="276"/>
      <c r="E441" s="276"/>
      <c r="F441" s="277"/>
      <c r="G441" s="278"/>
      <c r="H441" s="277"/>
      <c r="I441" s="279"/>
      <c r="J441" s="280"/>
      <c r="K441" s="281"/>
      <c r="L441" s="282"/>
      <c r="M441" s="274"/>
      <c r="N441" s="283"/>
      <c r="O441" s="283"/>
      <c r="P441" s="267"/>
      <c r="Q441" s="284"/>
      <c r="R441" s="267"/>
      <c r="S441" s="285"/>
      <c r="T441" s="286"/>
      <c r="U441" s="267"/>
      <c r="V441" s="265"/>
      <c r="W441" s="266"/>
      <c r="X441" s="267"/>
      <c r="Y441" s="267"/>
      <c r="Z441" s="268"/>
      <c r="AA441" s="267"/>
      <c r="AB441" s="267"/>
      <c r="AC441" s="269"/>
    </row>
    <row r="442" ht="16.5" customHeight="1">
      <c r="A442" s="274"/>
      <c r="B442" s="275"/>
      <c r="C442" s="276"/>
      <c r="D442" s="276"/>
      <c r="E442" s="276"/>
      <c r="F442" s="277"/>
      <c r="G442" s="278"/>
      <c r="H442" s="277"/>
      <c r="I442" s="279"/>
      <c r="J442" s="280"/>
      <c r="K442" s="281"/>
      <c r="L442" s="282"/>
      <c r="M442" s="274"/>
      <c r="N442" s="283"/>
      <c r="O442" s="283"/>
      <c r="P442" s="267"/>
      <c r="Q442" s="284"/>
      <c r="R442" s="267"/>
      <c r="S442" s="285"/>
      <c r="T442" s="286"/>
      <c r="U442" s="267"/>
      <c r="V442" s="265"/>
      <c r="W442" s="266"/>
      <c r="X442" s="267"/>
      <c r="Y442" s="267"/>
      <c r="Z442" s="268"/>
      <c r="AA442" s="267"/>
      <c r="AB442" s="267"/>
      <c r="AC442" s="269"/>
    </row>
    <row r="443" ht="16.5" customHeight="1">
      <c r="A443" s="274"/>
      <c r="B443" s="275"/>
      <c r="C443" s="276"/>
      <c r="D443" s="276"/>
      <c r="E443" s="276"/>
      <c r="F443" s="277"/>
      <c r="G443" s="278"/>
      <c r="H443" s="277"/>
      <c r="I443" s="279"/>
      <c r="J443" s="280"/>
      <c r="K443" s="281"/>
      <c r="L443" s="282"/>
      <c r="M443" s="274"/>
      <c r="N443" s="283"/>
      <c r="O443" s="283"/>
      <c r="P443" s="267"/>
      <c r="Q443" s="284"/>
      <c r="R443" s="267"/>
      <c r="S443" s="285"/>
      <c r="T443" s="286"/>
      <c r="U443" s="267"/>
      <c r="V443" s="265"/>
      <c r="W443" s="266"/>
      <c r="X443" s="267"/>
      <c r="Y443" s="267"/>
      <c r="Z443" s="268"/>
      <c r="AA443" s="267"/>
      <c r="AB443" s="267"/>
      <c r="AC443" s="269"/>
    </row>
    <row r="444" ht="16.5" customHeight="1">
      <c r="A444" s="274"/>
      <c r="B444" s="275"/>
      <c r="C444" s="276"/>
      <c r="D444" s="276"/>
      <c r="E444" s="276"/>
      <c r="F444" s="277"/>
      <c r="G444" s="278"/>
      <c r="H444" s="277"/>
      <c r="I444" s="279"/>
      <c r="J444" s="280"/>
      <c r="K444" s="281"/>
      <c r="L444" s="282"/>
      <c r="M444" s="274"/>
      <c r="N444" s="283"/>
      <c r="O444" s="283"/>
      <c r="P444" s="267"/>
      <c r="Q444" s="284"/>
      <c r="R444" s="267"/>
      <c r="S444" s="285"/>
      <c r="T444" s="286"/>
      <c r="U444" s="267"/>
      <c r="V444" s="265"/>
      <c r="W444" s="266"/>
      <c r="X444" s="267"/>
      <c r="Y444" s="267"/>
      <c r="Z444" s="268"/>
      <c r="AA444" s="267"/>
      <c r="AB444" s="267"/>
      <c r="AC444" s="269"/>
    </row>
    <row r="445" ht="16.5" customHeight="1">
      <c r="A445" s="274"/>
      <c r="B445" s="275"/>
      <c r="C445" s="276"/>
      <c r="D445" s="276"/>
      <c r="E445" s="276"/>
      <c r="F445" s="277"/>
      <c r="G445" s="278"/>
      <c r="H445" s="277"/>
      <c r="I445" s="279"/>
      <c r="J445" s="280"/>
      <c r="K445" s="281"/>
      <c r="L445" s="282"/>
      <c r="M445" s="274"/>
      <c r="N445" s="283"/>
      <c r="O445" s="283"/>
      <c r="P445" s="267"/>
      <c r="Q445" s="284"/>
      <c r="R445" s="267"/>
      <c r="S445" s="285"/>
      <c r="T445" s="286"/>
      <c r="U445" s="267"/>
      <c r="V445" s="265"/>
      <c r="W445" s="266"/>
      <c r="X445" s="267"/>
      <c r="Y445" s="267"/>
      <c r="Z445" s="268"/>
      <c r="AA445" s="267"/>
      <c r="AB445" s="267"/>
      <c r="AC445" s="269"/>
    </row>
    <row r="446" ht="16.5" customHeight="1">
      <c r="A446" s="274"/>
      <c r="B446" s="275"/>
      <c r="C446" s="276"/>
      <c r="D446" s="276"/>
      <c r="E446" s="276"/>
      <c r="F446" s="277"/>
      <c r="G446" s="278"/>
      <c r="H446" s="277"/>
      <c r="I446" s="279"/>
      <c r="J446" s="280"/>
      <c r="K446" s="281"/>
      <c r="L446" s="282"/>
      <c r="M446" s="274"/>
      <c r="N446" s="283"/>
      <c r="O446" s="283"/>
      <c r="P446" s="267"/>
      <c r="Q446" s="284"/>
      <c r="R446" s="267"/>
      <c r="S446" s="285"/>
      <c r="T446" s="286"/>
      <c r="U446" s="267"/>
      <c r="V446" s="265"/>
      <c r="W446" s="266"/>
      <c r="X446" s="267"/>
      <c r="Y446" s="267"/>
      <c r="Z446" s="268"/>
      <c r="AA446" s="267"/>
      <c r="AB446" s="267"/>
      <c r="AC446" s="269"/>
    </row>
    <row r="447" ht="16.5" customHeight="1">
      <c r="A447" s="274"/>
      <c r="B447" s="275"/>
      <c r="C447" s="276"/>
      <c r="D447" s="276"/>
      <c r="E447" s="276"/>
      <c r="F447" s="277"/>
      <c r="G447" s="278"/>
      <c r="H447" s="277"/>
      <c r="I447" s="279"/>
      <c r="J447" s="280"/>
      <c r="K447" s="281"/>
      <c r="L447" s="282"/>
      <c r="M447" s="274"/>
      <c r="N447" s="283"/>
      <c r="O447" s="283"/>
      <c r="P447" s="267"/>
      <c r="Q447" s="284"/>
      <c r="R447" s="267"/>
      <c r="S447" s="285"/>
      <c r="T447" s="286"/>
      <c r="U447" s="267"/>
      <c r="V447" s="265"/>
      <c r="W447" s="266"/>
      <c r="X447" s="267"/>
      <c r="Y447" s="267"/>
      <c r="Z447" s="268"/>
      <c r="AA447" s="267"/>
      <c r="AB447" s="267"/>
      <c r="AC447" s="269"/>
    </row>
    <row r="448" ht="16.5" customHeight="1">
      <c r="A448" s="274"/>
      <c r="B448" s="275"/>
      <c r="C448" s="276"/>
      <c r="D448" s="276"/>
      <c r="E448" s="276"/>
      <c r="F448" s="277"/>
      <c r="G448" s="278"/>
      <c r="H448" s="277"/>
      <c r="I448" s="279"/>
      <c r="J448" s="280"/>
      <c r="K448" s="281"/>
      <c r="L448" s="282"/>
      <c r="M448" s="274"/>
      <c r="N448" s="283"/>
      <c r="O448" s="283"/>
      <c r="P448" s="267"/>
      <c r="Q448" s="284"/>
      <c r="R448" s="267"/>
      <c r="S448" s="285"/>
      <c r="T448" s="286"/>
      <c r="U448" s="267"/>
      <c r="V448" s="265"/>
      <c r="W448" s="266"/>
      <c r="X448" s="267"/>
      <c r="Y448" s="267"/>
      <c r="Z448" s="268"/>
      <c r="AA448" s="267"/>
      <c r="AB448" s="267"/>
      <c r="AC448" s="269"/>
    </row>
    <row r="449" ht="16.5" customHeight="1">
      <c r="A449" s="274"/>
      <c r="B449" s="275"/>
      <c r="C449" s="276"/>
      <c r="D449" s="276"/>
      <c r="E449" s="276"/>
      <c r="F449" s="277"/>
      <c r="G449" s="278"/>
      <c r="H449" s="277"/>
      <c r="I449" s="279"/>
      <c r="J449" s="280"/>
      <c r="K449" s="281"/>
      <c r="L449" s="282"/>
      <c r="M449" s="274"/>
      <c r="N449" s="283"/>
      <c r="O449" s="283"/>
      <c r="P449" s="267"/>
      <c r="Q449" s="284"/>
      <c r="R449" s="267"/>
      <c r="S449" s="285"/>
      <c r="T449" s="286"/>
      <c r="U449" s="267"/>
      <c r="V449" s="265"/>
      <c r="W449" s="266"/>
      <c r="X449" s="267"/>
      <c r="Y449" s="267"/>
      <c r="Z449" s="268"/>
      <c r="AA449" s="267"/>
      <c r="AB449" s="267"/>
      <c r="AC449" s="269"/>
    </row>
    <row r="450" ht="16.5" customHeight="1">
      <c r="A450" s="274"/>
      <c r="B450" s="275"/>
      <c r="C450" s="276"/>
      <c r="D450" s="276"/>
      <c r="E450" s="276"/>
      <c r="F450" s="277"/>
      <c r="G450" s="278"/>
      <c r="H450" s="277"/>
      <c r="I450" s="279"/>
      <c r="J450" s="280"/>
      <c r="K450" s="281"/>
      <c r="L450" s="282"/>
      <c r="M450" s="274"/>
      <c r="N450" s="283"/>
      <c r="O450" s="283"/>
      <c r="P450" s="267"/>
      <c r="Q450" s="284"/>
      <c r="R450" s="267"/>
      <c r="S450" s="285"/>
      <c r="T450" s="286"/>
      <c r="U450" s="267"/>
      <c r="V450" s="265"/>
      <c r="W450" s="266"/>
      <c r="X450" s="267"/>
      <c r="Y450" s="267"/>
      <c r="Z450" s="268"/>
      <c r="AA450" s="267"/>
      <c r="AB450" s="267"/>
      <c r="AC450" s="269"/>
    </row>
    <row r="451" ht="16.5" customHeight="1">
      <c r="A451" s="274"/>
      <c r="B451" s="275"/>
      <c r="C451" s="276"/>
      <c r="D451" s="276"/>
      <c r="E451" s="276"/>
      <c r="F451" s="277"/>
      <c r="G451" s="278"/>
      <c r="H451" s="277"/>
      <c r="I451" s="279"/>
      <c r="J451" s="280"/>
      <c r="K451" s="281"/>
      <c r="L451" s="282"/>
      <c r="M451" s="274"/>
      <c r="N451" s="283"/>
      <c r="O451" s="283"/>
      <c r="P451" s="267"/>
      <c r="Q451" s="284"/>
      <c r="R451" s="267"/>
      <c r="S451" s="285"/>
      <c r="T451" s="286"/>
      <c r="U451" s="267"/>
      <c r="V451" s="265"/>
      <c r="W451" s="266"/>
      <c r="X451" s="267"/>
      <c r="Y451" s="267"/>
      <c r="Z451" s="268"/>
      <c r="AA451" s="267"/>
      <c r="AB451" s="267"/>
      <c r="AC451" s="269"/>
    </row>
    <row r="452" ht="16.5" customHeight="1">
      <c r="A452" s="274"/>
      <c r="B452" s="275"/>
      <c r="C452" s="276"/>
      <c r="D452" s="276"/>
      <c r="E452" s="276"/>
      <c r="F452" s="277"/>
      <c r="G452" s="278"/>
      <c r="H452" s="277"/>
      <c r="I452" s="279"/>
      <c r="J452" s="280"/>
      <c r="K452" s="281"/>
      <c r="L452" s="282"/>
      <c r="M452" s="274"/>
      <c r="N452" s="283"/>
      <c r="O452" s="283"/>
      <c r="P452" s="267"/>
      <c r="Q452" s="284"/>
      <c r="R452" s="267"/>
      <c r="S452" s="285"/>
      <c r="T452" s="286"/>
      <c r="U452" s="267"/>
      <c r="V452" s="265"/>
      <c r="W452" s="266"/>
      <c r="X452" s="267"/>
      <c r="Y452" s="267"/>
      <c r="Z452" s="268"/>
      <c r="AA452" s="267"/>
      <c r="AB452" s="267"/>
      <c r="AC452" s="269"/>
    </row>
    <row r="453" ht="16.5" customHeight="1">
      <c r="A453" s="274"/>
      <c r="B453" s="275"/>
      <c r="C453" s="276"/>
      <c r="D453" s="276"/>
      <c r="E453" s="276"/>
      <c r="F453" s="277"/>
      <c r="G453" s="278"/>
      <c r="H453" s="277"/>
      <c r="I453" s="279"/>
      <c r="J453" s="280"/>
      <c r="K453" s="281"/>
      <c r="L453" s="282"/>
      <c r="M453" s="274"/>
      <c r="N453" s="283"/>
      <c r="O453" s="283"/>
      <c r="P453" s="267"/>
      <c r="Q453" s="284"/>
      <c r="R453" s="267"/>
      <c r="S453" s="285"/>
      <c r="T453" s="286"/>
      <c r="U453" s="267"/>
      <c r="V453" s="265"/>
      <c r="W453" s="266"/>
      <c r="X453" s="267"/>
      <c r="Y453" s="267"/>
      <c r="Z453" s="268"/>
      <c r="AA453" s="267"/>
      <c r="AB453" s="267"/>
      <c r="AC453" s="269"/>
    </row>
    <row r="454" ht="16.5" customHeight="1">
      <c r="A454" s="274"/>
      <c r="B454" s="275"/>
      <c r="C454" s="276"/>
      <c r="D454" s="276"/>
      <c r="E454" s="276"/>
      <c r="F454" s="277"/>
      <c r="G454" s="278"/>
      <c r="H454" s="277"/>
      <c r="I454" s="279"/>
      <c r="J454" s="280"/>
      <c r="K454" s="281"/>
      <c r="L454" s="282"/>
      <c r="M454" s="274"/>
      <c r="N454" s="283"/>
      <c r="O454" s="283"/>
      <c r="P454" s="267"/>
      <c r="Q454" s="284"/>
      <c r="R454" s="267"/>
      <c r="S454" s="285"/>
      <c r="T454" s="286"/>
      <c r="U454" s="267"/>
      <c r="V454" s="265"/>
      <c r="W454" s="266"/>
      <c r="X454" s="267"/>
      <c r="Y454" s="267"/>
      <c r="Z454" s="268"/>
      <c r="AA454" s="267"/>
      <c r="AB454" s="267"/>
      <c r="AC454" s="269"/>
    </row>
    <row r="455" ht="16.5" customHeight="1">
      <c r="A455" s="274"/>
      <c r="B455" s="275"/>
      <c r="C455" s="276"/>
      <c r="D455" s="276"/>
      <c r="E455" s="276"/>
      <c r="F455" s="277"/>
      <c r="G455" s="278"/>
      <c r="H455" s="277"/>
      <c r="I455" s="279"/>
      <c r="J455" s="280"/>
      <c r="K455" s="281"/>
      <c r="L455" s="282"/>
      <c r="M455" s="274"/>
      <c r="N455" s="283"/>
      <c r="O455" s="283"/>
      <c r="P455" s="267"/>
      <c r="Q455" s="284"/>
      <c r="R455" s="267"/>
      <c r="S455" s="285"/>
      <c r="T455" s="286"/>
      <c r="U455" s="267"/>
      <c r="V455" s="265"/>
      <c r="W455" s="266"/>
      <c r="X455" s="267"/>
      <c r="Y455" s="267"/>
      <c r="Z455" s="268"/>
      <c r="AA455" s="267"/>
      <c r="AB455" s="267"/>
      <c r="AC455" s="269"/>
    </row>
    <row r="456" ht="16.5" customHeight="1">
      <c r="A456" s="274"/>
      <c r="B456" s="275"/>
      <c r="C456" s="276"/>
      <c r="D456" s="276"/>
      <c r="E456" s="276"/>
      <c r="F456" s="277"/>
      <c r="G456" s="278"/>
      <c r="H456" s="277"/>
      <c r="I456" s="279"/>
      <c r="J456" s="280"/>
      <c r="K456" s="281"/>
      <c r="L456" s="282"/>
      <c r="M456" s="274"/>
      <c r="N456" s="283"/>
      <c r="O456" s="283"/>
      <c r="P456" s="267"/>
      <c r="Q456" s="284"/>
      <c r="R456" s="267"/>
      <c r="S456" s="285"/>
      <c r="T456" s="286"/>
      <c r="U456" s="267"/>
      <c r="V456" s="265"/>
      <c r="W456" s="266"/>
      <c r="X456" s="267"/>
      <c r="Y456" s="267"/>
      <c r="Z456" s="268"/>
      <c r="AA456" s="267"/>
      <c r="AB456" s="267"/>
      <c r="AC456" s="269"/>
    </row>
    <row r="457" ht="16.5" customHeight="1">
      <c r="A457" s="274"/>
      <c r="B457" s="275"/>
      <c r="C457" s="276"/>
      <c r="D457" s="276"/>
      <c r="E457" s="276"/>
      <c r="F457" s="277"/>
      <c r="G457" s="278"/>
      <c r="H457" s="277"/>
      <c r="I457" s="279"/>
      <c r="J457" s="280"/>
      <c r="K457" s="281"/>
      <c r="L457" s="282"/>
      <c r="M457" s="274"/>
      <c r="N457" s="283"/>
      <c r="O457" s="283"/>
      <c r="P457" s="267"/>
      <c r="Q457" s="284"/>
      <c r="R457" s="267"/>
      <c r="S457" s="285"/>
      <c r="T457" s="286"/>
      <c r="U457" s="267"/>
      <c r="V457" s="265"/>
      <c r="W457" s="266"/>
      <c r="X457" s="267"/>
      <c r="Y457" s="267"/>
      <c r="Z457" s="268"/>
      <c r="AA457" s="267"/>
      <c r="AB457" s="267"/>
      <c r="AC457" s="269"/>
    </row>
    <row r="458" ht="16.5" customHeight="1">
      <c r="A458" s="274"/>
      <c r="B458" s="275"/>
      <c r="C458" s="276"/>
      <c r="D458" s="276"/>
      <c r="E458" s="276"/>
      <c r="F458" s="277"/>
      <c r="G458" s="278"/>
      <c r="H458" s="277"/>
      <c r="I458" s="279"/>
      <c r="J458" s="280"/>
      <c r="K458" s="281"/>
      <c r="L458" s="282"/>
      <c r="M458" s="274"/>
      <c r="N458" s="283"/>
      <c r="O458" s="283"/>
      <c r="P458" s="267"/>
      <c r="Q458" s="284"/>
      <c r="R458" s="267"/>
      <c r="S458" s="285"/>
      <c r="T458" s="286"/>
      <c r="U458" s="267"/>
      <c r="V458" s="265"/>
      <c r="W458" s="266"/>
      <c r="X458" s="267"/>
      <c r="Y458" s="267"/>
      <c r="Z458" s="268"/>
      <c r="AA458" s="267"/>
      <c r="AB458" s="267"/>
      <c r="AC458" s="269"/>
    </row>
    <row r="459" ht="16.5" customHeight="1">
      <c r="A459" s="274"/>
      <c r="B459" s="275"/>
      <c r="C459" s="276"/>
      <c r="D459" s="276"/>
      <c r="E459" s="276"/>
      <c r="F459" s="277"/>
      <c r="G459" s="278"/>
      <c r="H459" s="277"/>
      <c r="I459" s="279"/>
      <c r="J459" s="280"/>
      <c r="K459" s="281"/>
      <c r="L459" s="282"/>
      <c r="M459" s="274"/>
      <c r="N459" s="283"/>
      <c r="O459" s="283"/>
      <c r="P459" s="267"/>
      <c r="Q459" s="284"/>
      <c r="R459" s="267"/>
      <c r="S459" s="285"/>
      <c r="T459" s="286"/>
      <c r="U459" s="267"/>
      <c r="V459" s="265"/>
      <c r="W459" s="266"/>
      <c r="X459" s="267"/>
      <c r="Y459" s="267"/>
      <c r="Z459" s="268"/>
      <c r="AA459" s="267"/>
      <c r="AB459" s="267"/>
      <c r="AC459" s="269"/>
    </row>
    <row r="460" ht="16.5" customHeight="1">
      <c r="A460" s="274"/>
      <c r="B460" s="275"/>
      <c r="C460" s="276"/>
      <c r="D460" s="276"/>
      <c r="E460" s="276"/>
      <c r="F460" s="277"/>
      <c r="G460" s="278"/>
      <c r="H460" s="277"/>
      <c r="I460" s="279"/>
      <c r="J460" s="280"/>
      <c r="K460" s="281"/>
      <c r="L460" s="282"/>
      <c r="M460" s="274"/>
      <c r="N460" s="283"/>
      <c r="O460" s="283"/>
      <c r="P460" s="267"/>
      <c r="Q460" s="284"/>
      <c r="R460" s="267"/>
      <c r="S460" s="285"/>
      <c r="T460" s="286"/>
      <c r="U460" s="267"/>
      <c r="V460" s="265"/>
      <c r="W460" s="266"/>
      <c r="X460" s="267"/>
      <c r="Y460" s="267"/>
      <c r="Z460" s="268"/>
      <c r="AA460" s="267"/>
      <c r="AB460" s="267"/>
      <c r="AC460" s="269"/>
    </row>
    <row r="461" ht="16.5" customHeight="1">
      <c r="A461" s="274"/>
      <c r="B461" s="275"/>
      <c r="C461" s="276"/>
      <c r="D461" s="276"/>
      <c r="E461" s="276"/>
      <c r="F461" s="277"/>
      <c r="G461" s="278"/>
      <c r="H461" s="277"/>
      <c r="I461" s="279"/>
      <c r="J461" s="280"/>
      <c r="K461" s="281"/>
      <c r="L461" s="282"/>
      <c r="M461" s="274"/>
      <c r="N461" s="283"/>
      <c r="O461" s="283"/>
      <c r="P461" s="267"/>
      <c r="Q461" s="284"/>
      <c r="R461" s="267"/>
      <c r="S461" s="285"/>
      <c r="T461" s="286"/>
      <c r="U461" s="267"/>
      <c r="V461" s="265"/>
      <c r="W461" s="266"/>
      <c r="X461" s="267"/>
      <c r="Y461" s="267"/>
      <c r="Z461" s="268"/>
      <c r="AA461" s="267"/>
      <c r="AB461" s="267"/>
      <c r="AC461" s="269"/>
    </row>
    <row r="462" ht="16.5" customHeight="1">
      <c r="A462" s="274"/>
      <c r="B462" s="275"/>
      <c r="C462" s="276"/>
      <c r="D462" s="276"/>
      <c r="E462" s="276"/>
      <c r="F462" s="277"/>
      <c r="G462" s="278"/>
      <c r="H462" s="277"/>
      <c r="I462" s="279"/>
      <c r="J462" s="280"/>
      <c r="K462" s="281"/>
      <c r="L462" s="282"/>
      <c r="M462" s="274"/>
      <c r="N462" s="283"/>
      <c r="O462" s="283"/>
      <c r="P462" s="267"/>
      <c r="Q462" s="284"/>
      <c r="R462" s="267"/>
      <c r="S462" s="285"/>
      <c r="T462" s="286"/>
      <c r="U462" s="267"/>
      <c r="V462" s="265"/>
      <c r="W462" s="266"/>
      <c r="X462" s="267"/>
      <c r="Y462" s="267"/>
      <c r="Z462" s="268"/>
      <c r="AA462" s="267"/>
      <c r="AB462" s="267"/>
      <c r="AC462" s="269"/>
    </row>
    <row r="463" ht="16.5" customHeight="1">
      <c r="A463" s="274"/>
      <c r="B463" s="275"/>
      <c r="C463" s="276"/>
      <c r="D463" s="276"/>
      <c r="E463" s="276"/>
      <c r="F463" s="277"/>
      <c r="G463" s="278"/>
      <c r="H463" s="277"/>
      <c r="I463" s="279"/>
      <c r="J463" s="280"/>
      <c r="K463" s="281"/>
      <c r="L463" s="282"/>
      <c r="M463" s="274"/>
      <c r="N463" s="283"/>
      <c r="O463" s="283"/>
      <c r="P463" s="267"/>
      <c r="Q463" s="284"/>
      <c r="R463" s="267"/>
      <c r="S463" s="285"/>
      <c r="T463" s="286"/>
      <c r="U463" s="267"/>
      <c r="V463" s="265"/>
      <c r="W463" s="266"/>
      <c r="X463" s="267"/>
      <c r="Y463" s="267"/>
      <c r="Z463" s="268"/>
      <c r="AA463" s="267"/>
      <c r="AB463" s="267"/>
      <c r="AC463" s="269"/>
    </row>
    <row r="464" ht="16.5" customHeight="1">
      <c r="A464" s="274"/>
      <c r="B464" s="275"/>
      <c r="C464" s="276"/>
      <c r="D464" s="276"/>
      <c r="E464" s="276"/>
      <c r="F464" s="277"/>
      <c r="G464" s="278"/>
      <c r="H464" s="277"/>
      <c r="I464" s="279"/>
      <c r="J464" s="280"/>
      <c r="K464" s="281"/>
      <c r="L464" s="282"/>
      <c r="M464" s="274"/>
      <c r="N464" s="283"/>
      <c r="O464" s="283"/>
      <c r="P464" s="267"/>
      <c r="Q464" s="284"/>
      <c r="R464" s="267"/>
      <c r="S464" s="285"/>
      <c r="T464" s="286"/>
      <c r="U464" s="267"/>
      <c r="V464" s="265"/>
      <c r="W464" s="266"/>
      <c r="X464" s="267"/>
      <c r="Y464" s="267"/>
      <c r="Z464" s="268"/>
      <c r="AA464" s="267"/>
      <c r="AB464" s="267"/>
      <c r="AC464" s="269"/>
    </row>
    <row r="465" ht="16.5" customHeight="1">
      <c r="A465" s="274"/>
      <c r="B465" s="275"/>
      <c r="C465" s="276"/>
      <c r="D465" s="276"/>
      <c r="E465" s="276"/>
      <c r="F465" s="277"/>
      <c r="G465" s="278"/>
      <c r="H465" s="277"/>
      <c r="I465" s="279"/>
      <c r="J465" s="280"/>
      <c r="K465" s="281"/>
      <c r="L465" s="282"/>
      <c r="M465" s="274"/>
      <c r="N465" s="283"/>
      <c r="O465" s="283"/>
      <c r="P465" s="267"/>
      <c r="Q465" s="284"/>
      <c r="R465" s="267"/>
      <c r="S465" s="285"/>
      <c r="T465" s="286"/>
      <c r="U465" s="267"/>
      <c r="V465" s="265"/>
      <c r="W465" s="266"/>
      <c r="X465" s="267"/>
      <c r="Y465" s="267"/>
      <c r="Z465" s="268"/>
      <c r="AA465" s="267"/>
      <c r="AB465" s="267"/>
      <c r="AC465" s="269"/>
    </row>
    <row r="466" ht="16.5" customHeight="1">
      <c r="A466" s="274"/>
      <c r="B466" s="275"/>
      <c r="C466" s="276"/>
      <c r="D466" s="276"/>
      <c r="E466" s="276"/>
      <c r="F466" s="277"/>
      <c r="G466" s="278"/>
      <c r="H466" s="277"/>
      <c r="I466" s="279"/>
      <c r="J466" s="280"/>
      <c r="K466" s="281"/>
      <c r="L466" s="282"/>
      <c r="M466" s="274"/>
      <c r="N466" s="283"/>
      <c r="O466" s="283"/>
      <c r="P466" s="267"/>
      <c r="Q466" s="284"/>
      <c r="R466" s="267"/>
      <c r="S466" s="285"/>
      <c r="T466" s="286"/>
      <c r="U466" s="267"/>
      <c r="V466" s="265"/>
      <c r="W466" s="266"/>
      <c r="X466" s="267"/>
      <c r="Y466" s="267"/>
      <c r="Z466" s="268"/>
      <c r="AA466" s="267"/>
      <c r="AB466" s="267"/>
      <c r="AC466" s="269"/>
    </row>
    <row r="467" ht="16.5" customHeight="1">
      <c r="A467" s="274"/>
      <c r="B467" s="275"/>
      <c r="C467" s="276"/>
      <c r="D467" s="276"/>
      <c r="E467" s="276"/>
      <c r="F467" s="277"/>
      <c r="G467" s="278"/>
      <c r="H467" s="277"/>
      <c r="I467" s="279"/>
      <c r="J467" s="280"/>
      <c r="K467" s="281"/>
      <c r="L467" s="282"/>
      <c r="M467" s="274"/>
      <c r="N467" s="283"/>
      <c r="O467" s="283"/>
      <c r="P467" s="267"/>
      <c r="Q467" s="284"/>
      <c r="R467" s="267"/>
      <c r="S467" s="285"/>
      <c r="T467" s="286"/>
      <c r="U467" s="267"/>
      <c r="V467" s="265"/>
      <c r="W467" s="266"/>
      <c r="X467" s="267"/>
      <c r="Y467" s="267"/>
      <c r="Z467" s="268"/>
      <c r="AA467" s="267"/>
      <c r="AB467" s="267"/>
      <c r="AC467" s="269"/>
    </row>
    <row r="468" ht="16.5" customHeight="1">
      <c r="A468" s="274"/>
      <c r="B468" s="275"/>
      <c r="C468" s="276"/>
      <c r="D468" s="276"/>
      <c r="E468" s="276"/>
      <c r="F468" s="277"/>
      <c r="G468" s="278"/>
      <c r="H468" s="277"/>
      <c r="I468" s="279"/>
      <c r="J468" s="280"/>
      <c r="K468" s="281"/>
      <c r="L468" s="282"/>
      <c r="M468" s="274"/>
      <c r="N468" s="283"/>
      <c r="O468" s="283"/>
      <c r="P468" s="267"/>
      <c r="Q468" s="284"/>
      <c r="R468" s="267"/>
      <c r="S468" s="285"/>
      <c r="T468" s="286"/>
      <c r="U468" s="267"/>
      <c r="V468" s="265"/>
      <c r="W468" s="266"/>
      <c r="X468" s="267"/>
      <c r="Y468" s="267"/>
      <c r="Z468" s="268"/>
      <c r="AA468" s="267"/>
      <c r="AB468" s="267"/>
      <c r="AC468" s="269"/>
    </row>
    <row r="469" ht="16.5" customHeight="1">
      <c r="A469" s="274"/>
      <c r="B469" s="275"/>
      <c r="C469" s="276"/>
      <c r="D469" s="276"/>
      <c r="E469" s="276"/>
      <c r="F469" s="277"/>
      <c r="G469" s="278"/>
      <c r="H469" s="277"/>
      <c r="I469" s="279"/>
      <c r="J469" s="280"/>
      <c r="K469" s="281"/>
      <c r="L469" s="282"/>
      <c r="M469" s="274"/>
      <c r="N469" s="283"/>
      <c r="O469" s="283"/>
      <c r="P469" s="267"/>
      <c r="Q469" s="284"/>
      <c r="R469" s="267"/>
      <c r="S469" s="285"/>
      <c r="T469" s="286"/>
      <c r="U469" s="267"/>
      <c r="V469" s="265"/>
      <c r="W469" s="266"/>
      <c r="X469" s="267"/>
      <c r="Y469" s="267"/>
      <c r="Z469" s="268"/>
      <c r="AA469" s="267"/>
      <c r="AB469" s="267"/>
      <c r="AC469" s="269"/>
    </row>
    <row r="470" ht="16.5" customHeight="1">
      <c r="A470" s="274"/>
      <c r="B470" s="275"/>
      <c r="C470" s="276"/>
      <c r="D470" s="276"/>
      <c r="E470" s="276"/>
      <c r="F470" s="277"/>
      <c r="G470" s="278"/>
      <c r="H470" s="277"/>
      <c r="I470" s="279"/>
      <c r="J470" s="280"/>
      <c r="K470" s="281"/>
      <c r="L470" s="282"/>
      <c r="M470" s="274"/>
      <c r="N470" s="283"/>
      <c r="O470" s="283"/>
      <c r="P470" s="267"/>
      <c r="Q470" s="284"/>
      <c r="R470" s="267"/>
      <c r="S470" s="285"/>
      <c r="T470" s="286"/>
      <c r="U470" s="267"/>
      <c r="V470" s="265"/>
      <c r="W470" s="266"/>
      <c r="X470" s="267"/>
      <c r="Y470" s="267"/>
      <c r="Z470" s="268"/>
      <c r="AA470" s="267"/>
      <c r="AB470" s="267"/>
      <c r="AC470" s="269"/>
    </row>
    <row r="471" ht="16.5" customHeight="1">
      <c r="A471" s="274"/>
      <c r="B471" s="275"/>
      <c r="C471" s="276"/>
      <c r="D471" s="276"/>
      <c r="E471" s="276"/>
      <c r="F471" s="277"/>
      <c r="G471" s="278"/>
      <c r="H471" s="277"/>
      <c r="I471" s="279"/>
      <c r="J471" s="280"/>
      <c r="K471" s="281"/>
      <c r="L471" s="282"/>
      <c r="M471" s="274"/>
      <c r="N471" s="283"/>
      <c r="O471" s="283"/>
      <c r="P471" s="267"/>
      <c r="Q471" s="284"/>
      <c r="R471" s="267"/>
      <c r="S471" s="285"/>
      <c r="T471" s="286"/>
      <c r="U471" s="267"/>
      <c r="V471" s="265"/>
      <c r="W471" s="266"/>
      <c r="X471" s="267"/>
      <c r="Y471" s="267"/>
      <c r="Z471" s="268"/>
      <c r="AA471" s="267"/>
      <c r="AB471" s="267"/>
      <c r="AC471" s="269"/>
    </row>
    <row r="472" ht="16.5" customHeight="1">
      <c r="A472" s="274"/>
      <c r="B472" s="275"/>
      <c r="C472" s="276"/>
      <c r="D472" s="276"/>
      <c r="E472" s="276"/>
      <c r="F472" s="277"/>
      <c r="G472" s="278"/>
      <c r="H472" s="277"/>
      <c r="I472" s="279"/>
      <c r="J472" s="280"/>
      <c r="K472" s="281"/>
      <c r="L472" s="282"/>
      <c r="M472" s="274"/>
      <c r="N472" s="283"/>
      <c r="O472" s="283"/>
      <c r="P472" s="267"/>
      <c r="Q472" s="284"/>
      <c r="R472" s="267"/>
      <c r="S472" s="285"/>
      <c r="T472" s="286"/>
      <c r="U472" s="267"/>
      <c r="V472" s="265"/>
      <c r="W472" s="266"/>
      <c r="X472" s="267"/>
      <c r="Y472" s="267"/>
      <c r="Z472" s="268"/>
      <c r="AA472" s="267"/>
      <c r="AB472" s="267"/>
      <c r="AC472" s="269"/>
    </row>
    <row r="473" ht="16.5" customHeight="1">
      <c r="A473" s="274"/>
      <c r="B473" s="275"/>
      <c r="C473" s="276"/>
      <c r="D473" s="276"/>
      <c r="E473" s="276"/>
      <c r="F473" s="277"/>
      <c r="G473" s="278"/>
      <c r="H473" s="277"/>
      <c r="I473" s="279"/>
      <c r="J473" s="280"/>
      <c r="K473" s="281"/>
      <c r="L473" s="282"/>
      <c r="M473" s="274"/>
      <c r="N473" s="283"/>
      <c r="O473" s="283"/>
      <c r="P473" s="267"/>
      <c r="Q473" s="284"/>
      <c r="R473" s="267"/>
      <c r="S473" s="285"/>
      <c r="T473" s="286"/>
      <c r="U473" s="267"/>
      <c r="V473" s="265"/>
      <c r="W473" s="266"/>
      <c r="X473" s="267"/>
      <c r="Y473" s="267"/>
      <c r="Z473" s="268"/>
      <c r="AA473" s="267"/>
      <c r="AB473" s="267"/>
      <c r="AC473" s="269"/>
    </row>
    <row r="474" ht="16.5" customHeight="1">
      <c r="A474" s="274"/>
      <c r="B474" s="275"/>
      <c r="C474" s="276"/>
      <c r="D474" s="276"/>
      <c r="E474" s="276"/>
      <c r="F474" s="277"/>
      <c r="G474" s="278"/>
      <c r="H474" s="277"/>
      <c r="I474" s="279"/>
      <c r="J474" s="280"/>
      <c r="K474" s="281"/>
      <c r="L474" s="282"/>
      <c r="M474" s="274"/>
      <c r="N474" s="283"/>
      <c r="O474" s="283"/>
      <c r="P474" s="267"/>
      <c r="Q474" s="284"/>
      <c r="R474" s="267"/>
      <c r="S474" s="285"/>
      <c r="T474" s="286"/>
      <c r="U474" s="267"/>
      <c r="V474" s="265"/>
      <c r="W474" s="266"/>
      <c r="X474" s="267"/>
      <c r="Y474" s="267"/>
      <c r="Z474" s="268"/>
      <c r="AA474" s="267"/>
      <c r="AB474" s="267"/>
      <c r="AC474" s="269"/>
    </row>
    <row r="475" ht="16.5" customHeight="1">
      <c r="A475" s="274"/>
      <c r="B475" s="275"/>
      <c r="C475" s="276"/>
      <c r="D475" s="276"/>
      <c r="E475" s="276"/>
      <c r="F475" s="277"/>
      <c r="G475" s="278"/>
      <c r="H475" s="277"/>
      <c r="I475" s="279"/>
      <c r="J475" s="280"/>
      <c r="K475" s="281"/>
      <c r="L475" s="282"/>
      <c r="M475" s="274"/>
      <c r="N475" s="283"/>
      <c r="O475" s="283"/>
      <c r="P475" s="267"/>
      <c r="Q475" s="284"/>
      <c r="R475" s="267"/>
      <c r="S475" s="285"/>
      <c r="T475" s="286"/>
      <c r="U475" s="267"/>
      <c r="V475" s="265"/>
      <c r="W475" s="266"/>
      <c r="X475" s="267"/>
      <c r="Y475" s="267"/>
      <c r="Z475" s="268"/>
      <c r="AA475" s="267"/>
      <c r="AB475" s="267"/>
      <c r="AC475" s="269"/>
    </row>
    <row r="476" ht="16.5" customHeight="1">
      <c r="A476" s="274"/>
      <c r="B476" s="275"/>
      <c r="C476" s="276"/>
      <c r="D476" s="276"/>
      <c r="E476" s="276"/>
      <c r="F476" s="277"/>
      <c r="G476" s="278"/>
      <c r="H476" s="277"/>
      <c r="I476" s="279"/>
      <c r="J476" s="280"/>
      <c r="K476" s="281"/>
      <c r="L476" s="282"/>
      <c r="M476" s="274"/>
      <c r="N476" s="283"/>
      <c r="O476" s="283"/>
      <c r="P476" s="267"/>
      <c r="Q476" s="284"/>
      <c r="R476" s="267"/>
      <c r="S476" s="285"/>
      <c r="T476" s="286"/>
      <c r="U476" s="267"/>
      <c r="V476" s="265"/>
      <c r="W476" s="266"/>
      <c r="X476" s="267"/>
      <c r="Y476" s="267"/>
      <c r="Z476" s="268"/>
      <c r="AA476" s="267"/>
      <c r="AB476" s="267"/>
      <c r="AC476" s="269"/>
    </row>
    <row r="477" ht="16.5" customHeight="1">
      <c r="A477" s="274"/>
      <c r="B477" s="275"/>
      <c r="C477" s="276"/>
      <c r="D477" s="276"/>
      <c r="E477" s="276"/>
      <c r="F477" s="277"/>
      <c r="G477" s="278"/>
      <c r="H477" s="277"/>
      <c r="I477" s="279"/>
      <c r="J477" s="280"/>
      <c r="K477" s="281"/>
      <c r="L477" s="282"/>
      <c r="M477" s="274"/>
      <c r="N477" s="283"/>
      <c r="O477" s="283"/>
      <c r="P477" s="267"/>
      <c r="Q477" s="284"/>
      <c r="R477" s="267"/>
      <c r="S477" s="285"/>
      <c r="T477" s="286"/>
      <c r="U477" s="267"/>
      <c r="V477" s="265"/>
      <c r="W477" s="266"/>
      <c r="X477" s="267"/>
      <c r="Y477" s="267"/>
      <c r="Z477" s="268"/>
      <c r="AA477" s="267"/>
      <c r="AB477" s="267"/>
      <c r="AC477" s="269"/>
    </row>
    <row r="478" ht="16.5" customHeight="1">
      <c r="A478" s="274"/>
      <c r="B478" s="275"/>
      <c r="C478" s="276"/>
      <c r="D478" s="276"/>
      <c r="E478" s="276"/>
      <c r="F478" s="277"/>
      <c r="G478" s="278"/>
      <c r="H478" s="277"/>
      <c r="I478" s="279"/>
      <c r="J478" s="280"/>
      <c r="K478" s="281"/>
      <c r="L478" s="282"/>
      <c r="M478" s="274"/>
      <c r="N478" s="283"/>
      <c r="O478" s="283"/>
      <c r="P478" s="267"/>
      <c r="Q478" s="284"/>
      <c r="R478" s="267"/>
      <c r="S478" s="285"/>
      <c r="T478" s="286"/>
      <c r="U478" s="267"/>
      <c r="V478" s="265"/>
      <c r="W478" s="266"/>
      <c r="X478" s="267"/>
      <c r="Y478" s="267"/>
      <c r="Z478" s="268"/>
      <c r="AA478" s="267"/>
      <c r="AB478" s="267"/>
      <c r="AC478" s="269"/>
    </row>
    <row r="479" ht="16.5" customHeight="1">
      <c r="A479" s="274"/>
      <c r="B479" s="275"/>
      <c r="C479" s="276"/>
      <c r="D479" s="276"/>
      <c r="E479" s="276"/>
      <c r="F479" s="277"/>
      <c r="G479" s="278"/>
      <c r="H479" s="277"/>
      <c r="I479" s="279"/>
      <c r="J479" s="280"/>
      <c r="K479" s="281"/>
      <c r="L479" s="282"/>
      <c r="M479" s="274"/>
      <c r="N479" s="283"/>
      <c r="O479" s="283"/>
      <c r="P479" s="267"/>
      <c r="Q479" s="284"/>
      <c r="R479" s="267"/>
      <c r="S479" s="285"/>
      <c r="T479" s="286"/>
      <c r="U479" s="267"/>
      <c r="V479" s="265"/>
      <c r="W479" s="266"/>
      <c r="X479" s="267"/>
      <c r="Y479" s="267"/>
      <c r="Z479" s="268"/>
      <c r="AA479" s="267"/>
      <c r="AB479" s="267"/>
      <c r="AC479" s="269"/>
    </row>
    <row r="480" ht="16.5" customHeight="1">
      <c r="A480" s="274"/>
      <c r="B480" s="275"/>
      <c r="C480" s="276"/>
      <c r="D480" s="276"/>
      <c r="E480" s="276"/>
      <c r="F480" s="277"/>
      <c r="G480" s="278"/>
      <c r="H480" s="277"/>
      <c r="I480" s="279"/>
      <c r="J480" s="280"/>
      <c r="K480" s="281"/>
      <c r="L480" s="282"/>
      <c r="M480" s="274"/>
      <c r="N480" s="283"/>
      <c r="O480" s="283"/>
      <c r="P480" s="267"/>
      <c r="Q480" s="284"/>
      <c r="R480" s="267"/>
      <c r="S480" s="285"/>
      <c r="T480" s="286"/>
      <c r="U480" s="267"/>
      <c r="V480" s="265"/>
      <c r="W480" s="266"/>
      <c r="X480" s="267"/>
      <c r="Y480" s="267"/>
      <c r="Z480" s="268"/>
      <c r="AA480" s="267"/>
      <c r="AB480" s="267"/>
      <c r="AC480" s="269"/>
    </row>
    <row r="481" ht="16.5" customHeight="1">
      <c r="A481" s="274"/>
      <c r="B481" s="275"/>
      <c r="C481" s="276"/>
      <c r="D481" s="276"/>
      <c r="E481" s="276"/>
      <c r="F481" s="277"/>
      <c r="G481" s="278"/>
      <c r="H481" s="277"/>
      <c r="I481" s="279"/>
      <c r="J481" s="280"/>
      <c r="K481" s="281"/>
      <c r="L481" s="282"/>
      <c r="M481" s="274"/>
      <c r="N481" s="283"/>
      <c r="O481" s="283"/>
      <c r="P481" s="267"/>
      <c r="Q481" s="284"/>
      <c r="R481" s="267"/>
      <c r="S481" s="285"/>
      <c r="T481" s="286"/>
      <c r="U481" s="267"/>
      <c r="V481" s="265"/>
      <c r="W481" s="266"/>
      <c r="X481" s="267"/>
      <c r="Y481" s="267"/>
      <c r="Z481" s="268"/>
      <c r="AA481" s="267"/>
      <c r="AB481" s="267"/>
      <c r="AC481" s="269"/>
    </row>
    <row r="482" ht="16.5" customHeight="1">
      <c r="A482" s="274"/>
      <c r="B482" s="275"/>
      <c r="C482" s="276"/>
      <c r="D482" s="276"/>
      <c r="E482" s="276"/>
      <c r="F482" s="277"/>
      <c r="G482" s="278"/>
      <c r="H482" s="277"/>
      <c r="I482" s="279"/>
      <c r="J482" s="280"/>
      <c r="K482" s="281"/>
      <c r="L482" s="282"/>
      <c r="M482" s="274"/>
      <c r="N482" s="283"/>
      <c r="O482" s="283"/>
      <c r="P482" s="267"/>
      <c r="Q482" s="284"/>
      <c r="R482" s="267"/>
      <c r="S482" s="285"/>
      <c r="T482" s="286"/>
      <c r="U482" s="267"/>
      <c r="V482" s="265"/>
      <c r="W482" s="266"/>
      <c r="X482" s="267"/>
      <c r="Y482" s="267"/>
      <c r="Z482" s="268"/>
      <c r="AA482" s="267"/>
      <c r="AB482" s="267"/>
      <c r="AC482" s="269"/>
    </row>
    <row r="483" ht="16.5" customHeight="1">
      <c r="A483" s="274"/>
      <c r="B483" s="275"/>
      <c r="C483" s="276"/>
      <c r="D483" s="276"/>
      <c r="E483" s="276"/>
      <c r="F483" s="277"/>
      <c r="G483" s="278"/>
      <c r="H483" s="277"/>
      <c r="I483" s="279"/>
      <c r="J483" s="280"/>
      <c r="K483" s="281"/>
      <c r="L483" s="282"/>
      <c r="M483" s="274"/>
      <c r="N483" s="283"/>
      <c r="O483" s="283"/>
      <c r="P483" s="267"/>
      <c r="Q483" s="284"/>
      <c r="R483" s="267"/>
      <c r="S483" s="285"/>
      <c r="T483" s="286"/>
      <c r="U483" s="267"/>
      <c r="V483" s="265"/>
      <c r="W483" s="266"/>
      <c r="X483" s="267"/>
      <c r="Y483" s="267"/>
      <c r="Z483" s="268"/>
      <c r="AA483" s="267"/>
      <c r="AB483" s="267"/>
      <c r="AC483" s="269"/>
    </row>
    <row r="484" ht="16.5" customHeight="1">
      <c r="A484" s="274"/>
      <c r="B484" s="275"/>
      <c r="C484" s="276"/>
      <c r="D484" s="276"/>
      <c r="E484" s="276"/>
      <c r="F484" s="277"/>
      <c r="G484" s="278"/>
      <c r="H484" s="277"/>
      <c r="I484" s="279"/>
      <c r="J484" s="280"/>
      <c r="K484" s="281"/>
      <c r="L484" s="282"/>
      <c r="M484" s="274"/>
      <c r="N484" s="283"/>
      <c r="O484" s="283"/>
      <c r="P484" s="267"/>
      <c r="Q484" s="284"/>
      <c r="R484" s="267"/>
      <c r="S484" s="285"/>
      <c r="T484" s="286"/>
      <c r="U484" s="267"/>
      <c r="V484" s="265"/>
      <c r="W484" s="266"/>
      <c r="X484" s="267"/>
      <c r="Y484" s="267"/>
      <c r="Z484" s="268"/>
      <c r="AA484" s="267"/>
      <c r="AB484" s="267"/>
      <c r="AC484" s="269"/>
    </row>
    <row r="485" ht="16.5" customHeight="1">
      <c r="A485" s="274"/>
      <c r="B485" s="275"/>
      <c r="C485" s="276"/>
      <c r="D485" s="276"/>
      <c r="E485" s="276"/>
      <c r="F485" s="277"/>
      <c r="G485" s="278"/>
      <c r="H485" s="277"/>
      <c r="I485" s="279"/>
      <c r="J485" s="280"/>
      <c r="K485" s="281"/>
      <c r="L485" s="282"/>
      <c r="M485" s="274"/>
      <c r="N485" s="283"/>
      <c r="O485" s="283"/>
      <c r="P485" s="267"/>
      <c r="Q485" s="284"/>
      <c r="R485" s="267"/>
      <c r="S485" s="285"/>
      <c r="T485" s="286"/>
      <c r="U485" s="267"/>
      <c r="V485" s="265"/>
      <c r="W485" s="266"/>
      <c r="X485" s="267"/>
      <c r="Y485" s="267"/>
      <c r="Z485" s="268"/>
      <c r="AA485" s="267"/>
      <c r="AB485" s="267"/>
      <c r="AC485" s="269"/>
    </row>
    <row r="486" ht="16.5" customHeight="1">
      <c r="A486" s="274"/>
      <c r="B486" s="275"/>
      <c r="C486" s="276"/>
      <c r="D486" s="276"/>
      <c r="E486" s="276"/>
      <c r="F486" s="277"/>
      <c r="G486" s="278"/>
      <c r="H486" s="277"/>
      <c r="I486" s="279"/>
      <c r="J486" s="280"/>
      <c r="K486" s="281"/>
      <c r="L486" s="282"/>
      <c r="M486" s="274"/>
      <c r="N486" s="283"/>
      <c r="O486" s="283"/>
      <c r="P486" s="267"/>
      <c r="Q486" s="284"/>
      <c r="R486" s="267"/>
      <c r="S486" s="285"/>
      <c r="T486" s="286"/>
      <c r="U486" s="267"/>
      <c r="V486" s="265"/>
      <c r="W486" s="266"/>
      <c r="X486" s="267"/>
      <c r="Y486" s="267"/>
      <c r="Z486" s="268"/>
      <c r="AA486" s="267"/>
      <c r="AB486" s="267"/>
      <c r="AC486" s="269"/>
    </row>
    <row r="487" ht="16.5" customHeight="1">
      <c r="A487" s="274"/>
      <c r="B487" s="275"/>
      <c r="C487" s="276"/>
      <c r="D487" s="276"/>
      <c r="E487" s="276"/>
      <c r="F487" s="277"/>
      <c r="G487" s="278"/>
      <c r="H487" s="277"/>
      <c r="I487" s="279"/>
      <c r="J487" s="280"/>
      <c r="K487" s="281"/>
      <c r="L487" s="282"/>
      <c r="M487" s="274"/>
      <c r="N487" s="283"/>
      <c r="O487" s="283"/>
      <c r="P487" s="267"/>
      <c r="Q487" s="284"/>
      <c r="R487" s="267"/>
      <c r="S487" s="285"/>
      <c r="T487" s="286"/>
      <c r="U487" s="267"/>
      <c r="V487" s="265"/>
      <c r="W487" s="266"/>
      <c r="X487" s="267"/>
      <c r="Y487" s="267"/>
      <c r="Z487" s="268"/>
      <c r="AA487" s="267"/>
      <c r="AB487" s="267"/>
      <c r="AC487" s="269"/>
    </row>
    <row r="488" ht="16.5" customHeight="1">
      <c r="A488" s="274"/>
      <c r="B488" s="275"/>
      <c r="C488" s="276"/>
      <c r="D488" s="276"/>
      <c r="E488" s="276"/>
      <c r="F488" s="277"/>
      <c r="G488" s="278"/>
      <c r="H488" s="277"/>
      <c r="I488" s="279"/>
      <c r="J488" s="280"/>
      <c r="K488" s="281"/>
      <c r="L488" s="282"/>
      <c r="M488" s="274"/>
      <c r="N488" s="283"/>
      <c r="O488" s="283"/>
      <c r="P488" s="267"/>
      <c r="Q488" s="284"/>
      <c r="R488" s="267"/>
      <c r="S488" s="285"/>
      <c r="T488" s="286"/>
      <c r="U488" s="267"/>
      <c r="V488" s="265"/>
      <c r="W488" s="266"/>
      <c r="X488" s="267"/>
      <c r="Y488" s="267"/>
      <c r="Z488" s="268"/>
      <c r="AA488" s="267"/>
      <c r="AB488" s="267"/>
      <c r="AC488" s="269"/>
    </row>
    <row r="489" ht="16.5" customHeight="1">
      <c r="A489" s="274"/>
      <c r="B489" s="275"/>
      <c r="C489" s="276"/>
      <c r="D489" s="276"/>
      <c r="E489" s="276"/>
      <c r="F489" s="277"/>
      <c r="G489" s="278"/>
      <c r="H489" s="277"/>
      <c r="I489" s="279"/>
      <c r="J489" s="280"/>
      <c r="K489" s="281"/>
      <c r="L489" s="282"/>
      <c r="M489" s="274"/>
      <c r="N489" s="283"/>
      <c r="O489" s="283"/>
      <c r="P489" s="267"/>
      <c r="Q489" s="284"/>
      <c r="R489" s="267"/>
      <c r="S489" s="285"/>
      <c r="T489" s="286"/>
      <c r="U489" s="267"/>
      <c r="V489" s="265"/>
      <c r="W489" s="266"/>
      <c r="X489" s="267"/>
      <c r="Y489" s="267"/>
      <c r="Z489" s="268"/>
      <c r="AA489" s="267"/>
      <c r="AB489" s="267"/>
      <c r="AC489" s="269"/>
    </row>
    <row r="490" ht="16.5" customHeight="1">
      <c r="A490" s="274"/>
      <c r="B490" s="275"/>
      <c r="C490" s="276"/>
      <c r="D490" s="276"/>
      <c r="E490" s="276"/>
      <c r="F490" s="277"/>
      <c r="G490" s="278"/>
      <c r="H490" s="277"/>
      <c r="I490" s="279"/>
      <c r="J490" s="280"/>
      <c r="K490" s="281"/>
      <c r="L490" s="282"/>
      <c r="M490" s="274"/>
      <c r="N490" s="283"/>
      <c r="O490" s="283"/>
      <c r="P490" s="267"/>
      <c r="Q490" s="284"/>
      <c r="R490" s="267"/>
      <c r="S490" s="285"/>
      <c r="T490" s="286"/>
      <c r="U490" s="267"/>
      <c r="V490" s="265"/>
      <c r="W490" s="266"/>
      <c r="X490" s="267"/>
      <c r="Y490" s="267"/>
      <c r="Z490" s="268"/>
      <c r="AA490" s="267"/>
      <c r="AB490" s="267"/>
      <c r="AC490" s="269"/>
    </row>
    <row r="491" ht="16.5" customHeight="1">
      <c r="A491" s="274"/>
      <c r="B491" s="275"/>
      <c r="C491" s="276"/>
      <c r="D491" s="276"/>
      <c r="E491" s="276"/>
      <c r="F491" s="277"/>
      <c r="G491" s="278"/>
      <c r="H491" s="277"/>
      <c r="I491" s="279"/>
      <c r="J491" s="280"/>
      <c r="K491" s="281"/>
      <c r="L491" s="282"/>
      <c r="M491" s="274"/>
      <c r="N491" s="283"/>
      <c r="O491" s="283"/>
      <c r="P491" s="267"/>
      <c r="Q491" s="284"/>
      <c r="R491" s="267"/>
      <c r="S491" s="285"/>
      <c r="T491" s="286"/>
      <c r="U491" s="267"/>
      <c r="V491" s="265"/>
      <c r="W491" s="266"/>
      <c r="X491" s="267"/>
      <c r="Y491" s="267"/>
      <c r="Z491" s="268"/>
      <c r="AA491" s="267"/>
      <c r="AB491" s="267"/>
      <c r="AC491" s="269"/>
    </row>
    <row r="492" ht="16.5" customHeight="1">
      <c r="A492" s="274"/>
      <c r="B492" s="275"/>
      <c r="C492" s="276"/>
      <c r="D492" s="276"/>
      <c r="E492" s="276"/>
      <c r="F492" s="277"/>
      <c r="G492" s="278"/>
      <c r="H492" s="277"/>
      <c r="I492" s="279"/>
      <c r="J492" s="280"/>
      <c r="K492" s="281"/>
      <c r="L492" s="282"/>
      <c r="M492" s="274"/>
      <c r="N492" s="283"/>
      <c r="O492" s="283"/>
      <c r="P492" s="267"/>
      <c r="Q492" s="284"/>
      <c r="R492" s="267"/>
      <c r="S492" s="285"/>
      <c r="T492" s="286"/>
      <c r="U492" s="267"/>
      <c r="V492" s="265"/>
      <c r="W492" s="266"/>
      <c r="X492" s="267"/>
      <c r="Y492" s="267"/>
      <c r="Z492" s="268"/>
      <c r="AA492" s="267"/>
      <c r="AB492" s="267"/>
      <c r="AC492" s="269"/>
    </row>
    <row r="493" ht="16.5" customHeight="1">
      <c r="A493" s="274"/>
      <c r="B493" s="275"/>
      <c r="C493" s="276"/>
      <c r="D493" s="276"/>
      <c r="E493" s="276"/>
      <c r="F493" s="277"/>
      <c r="G493" s="278"/>
      <c r="H493" s="277"/>
      <c r="I493" s="279"/>
      <c r="J493" s="280"/>
      <c r="K493" s="281"/>
      <c r="L493" s="282"/>
      <c r="M493" s="274"/>
      <c r="N493" s="283"/>
      <c r="O493" s="283"/>
      <c r="P493" s="267"/>
      <c r="Q493" s="284"/>
      <c r="R493" s="267"/>
      <c r="S493" s="285"/>
      <c r="T493" s="286"/>
      <c r="U493" s="267"/>
      <c r="V493" s="265"/>
      <c r="W493" s="266"/>
      <c r="X493" s="267"/>
      <c r="Y493" s="267"/>
      <c r="Z493" s="268"/>
      <c r="AA493" s="267"/>
      <c r="AB493" s="267"/>
      <c r="AC493" s="269"/>
    </row>
    <row r="494" ht="16.5" customHeight="1">
      <c r="A494" s="274"/>
      <c r="B494" s="275"/>
      <c r="C494" s="276"/>
      <c r="D494" s="276"/>
      <c r="E494" s="276"/>
      <c r="F494" s="277"/>
      <c r="G494" s="278"/>
      <c r="H494" s="277"/>
      <c r="I494" s="279"/>
      <c r="J494" s="280"/>
      <c r="K494" s="281"/>
      <c r="L494" s="282"/>
      <c r="M494" s="274"/>
      <c r="N494" s="283"/>
      <c r="O494" s="283"/>
      <c r="P494" s="267"/>
      <c r="Q494" s="284"/>
      <c r="R494" s="267"/>
      <c r="S494" s="285"/>
      <c r="T494" s="286"/>
      <c r="U494" s="267"/>
      <c r="V494" s="265"/>
      <c r="W494" s="266"/>
      <c r="X494" s="267"/>
      <c r="Y494" s="267"/>
      <c r="Z494" s="268"/>
      <c r="AA494" s="267"/>
      <c r="AB494" s="267"/>
      <c r="AC494" s="269"/>
    </row>
    <row r="495" ht="16.5" customHeight="1">
      <c r="A495" s="274"/>
      <c r="B495" s="275"/>
      <c r="C495" s="276"/>
      <c r="D495" s="276"/>
      <c r="E495" s="276"/>
      <c r="F495" s="277"/>
      <c r="G495" s="278"/>
      <c r="H495" s="277"/>
      <c r="I495" s="279"/>
      <c r="J495" s="280"/>
      <c r="K495" s="281"/>
      <c r="L495" s="282"/>
      <c r="M495" s="274"/>
      <c r="N495" s="283"/>
      <c r="O495" s="283"/>
      <c r="P495" s="267"/>
      <c r="Q495" s="284"/>
      <c r="R495" s="267"/>
      <c r="S495" s="285"/>
      <c r="T495" s="286"/>
      <c r="U495" s="267"/>
      <c r="V495" s="265"/>
      <c r="W495" s="266"/>
      <c r="X495" s="267"/>
      <c r="Y495" s="267"/>
      <c r="Z495" s="268"/>
      <c r="AA495" s="267"/>
      <c r="AB495" s="267"/>
      <c r="AC495" s="269"/>
    </row>
    <row r="496" ht="16.5" customHeight="1">
      <c r="A496" s="274"/>
      <c r="B496" s="275"/>
      <c r="C496" s="276"/>
      <c r="D496" s="276"/>
      <c r="E496" s="276"/>
      <c r="F496" s="277"/>
      <c r="G496" s="278"/>
      <c r="H496" s="277"/>
      <c r="I496" s="279"/>
      <c r="J496" s="280"/>
      <c r="K496" s="281"/>
      <c r="L496" s="282"/>
      <c r="M496" s="274"/>
      <c r="N496" s="283"/>
      <c r="O496" s="283"/>
      <c r="P496" s="267"/>
      <c r="Q496" s="284"/>
      <c r="R496" s="267"/>
      <c r="S496" s="285"/>
      <c r="T496" s="286"/>
      <c r="U496" s="267"/>
      <c r="V496" s="265"/>
      <c r="W496" s="266"/>
      <c r="X496" s="267"/>
      <c r="Y496" s="267"/>
      <c r="Z496" s="268"/>
      <c r="AA496" s="267"/>
      <c r="AB496" s="267"/>
      <c r="AC496" s="269"/>
    </row>
    <row r="497" ht="16.5" customHeight="1">
      <c r="A497" s="274"/>
      <c r="B497" s="275"/>
      <c r="C497" s="276"/>
      <c r="D497" s="276"/>
      <c r="E497" s="276"/>
      <c r="F497" s="277"/>
      <c r="G497" s="278"/>
      <c r="H497" s="277"/>
      <c r="I497" s="279"/>
      <c r="J497" s="280"/>
      <c r="K497" s="281"/>
      <c r="L497" s="282"/>
      <c r="M497" s="274"/>
      <c r="N497" s="283"/>
      <c r="O497" s="283"/>
      <c r="P497" s="267"/>
      <c r="Q497" s="284"/>
      <c r="R497" s="267"/>
      <c r="S497" s="285"/>
      <c r="T497" s="286"/>
      <c r="U497" s="267"/>
      <c r="V497" s="265"/>
      <c r="W497" s="266"/>
      <c r="X497" s="267"/>
      <c r="Y497" s="267"/>
      <c r="Z497" s="268"/>
      <c r="AA497" s="267"/>
      <c r="AB497" s="267"/>
      <c r="AC497" s="269"/>
    </row>
    <row r="498" ht="16.5" customHeight="1">
      <c r="A498" s="274"/>
      <c r="B498" s="275"/>
      <c r="C498" s="276"/>
      <c r="D498" s="276"/>
      <c r="E498" s="276"/>
      <c r="F498" s="277"/>
      <c r="G498" s="278"/>
      <c r="H498" s="277"/>
      <c r="I498" s="279"/>
      <c r="J498" s="280"/>
      <c r="K498" s="281"/>
      <c r="L498" s="282"/>
      <c r="M498" s="274"/>
      <c r="N498" s="283"/>
      <c r="O498" s="283"/>
      <c r="P498" s="267"/>
      <c r="Q498" s="284"/>
      <c r="R498" s="267"/>
      <c r="S498" s="285"/>
      <c r="T498" s="286"/>
      <c r="U498" s="267"/>
      <c r="V498" s="265"/>
      <c r="W498" s="266"/>
      <c r="X498" s="267"/>
      <c r="Y498" s="267"/>
      <c r="Z498" s="268"/>
      <c r="AA498" s="267"/>
      <c r="AB498" s="267"/>
      <c r="AC498" s="269"/>
    </row>
    <row r="499" ht="16.5" customHeight="1">
      <c r="A499" s="274"/>
      <c r="B499" s="275"/>
      <c r="C499" s="276"/>
      <c r="D499" s="276"/>
      <c r="E499" s="276"/>
      <c r="F499" s="277"/>
      <c r="G499" s="278"/>
      <c r="H499" s="277"/>
      <c r="I499" s="279"/>
      <c r="J499" s="280"/>
      <c r="K499" s="281"/>
      <c r="L499" s="282"/>
      <c r="M499" s="274"/>
      <c r="N499" s="283"/>
      <c r="O499" s="283"/>
      <c r="P499" s="267"/>
      <c r="Q499" s="284"/>
      <c r="R499" s="267"/>
      <c r="S499" s="285"/>
      <c r="T499" s="286"/>
      <c r="U499" s="267"/>
      <c r="V499" s="265"/>
      <c r="W499" s="266"/>
      <c r="X499" s="267"/>
      <c r="Y499" s="267"/>
      <c r="Z499" s="268"/>
      <c r="AA499" s="267"/>
      <c r="AB499" s="267"/>
      <c r="AC499" s="269"/>
    </row>
    <row r="500" ht="16.5" customHeight="1">
      <c r="A500" s="274"/>
      <c r="B500" s="275"/>
      <c r="C500" s="276"/>
      <c r="D500" s="276"/>
      <c r="E500" s="276"/>
      <c r="F500" s="277"/>
      <c r="G500" s="278"/>
      <c r="H500" s="277"/>
      <c r="I500" s="279"/>
      <c r="J500" s="280"/>
      <c r="K500" s="281"/>
      <c r="L500" s="282"/>
      <c r="M500" s="274"/>
      <c r="N500" s="283"/>
      <c r="O500" s="283"/>
      <c r="P500" s="267"/>
      <c r="Q500" s="284"/>
      <c r="R500" s="267"/>
      <c r="S500" s="285"/>
      <c r="T500" s="286"/>
      <c r="U500" s="267"/>
      <c r="V500" s="265"/>
      <c r="W500" s="266"/>
      <c r="X500" s="267"/>
      <c r="Y500" s="267"/>
      <c r="Z500" s="268"/>
      <c r="AA500" s="267"/>
      <c r="AB500" s="267"/>
      <c r="AC500" s="269"/>
    </row>
    <row r="501" ht="16.5" customHeight="1">
      <c r="A501" s="274"/>
      <c r="B501" s="275"/>
      <c r="C501" s="276"/>
      <c r="D501" s="276"/>
      <c r="E501" s="276"/>
      <c r="F501" s="277"/>
      <c r="G501" s="278"/>
      <c r="H501" s="277"/>
      <c r="I501" s="279"/>
      <c r="J501" s="280"/>
      <c r="K501" s="281"/>
      <c r="L501" s="282"/>
      <c r="M501" s="274"/>
      <c r="N501" s="283"/>
      <c r="O501" s="283"/>
      <c r="P501" s="267"/>
      <c r="Q501" s="284"/>
      <c r="R501" s="267"/>
      <c r="S501" s="285"/>
      <c r="T501" s="286"/>
      <c r="U501" s="267"/>
      <c r="V501" s="265"/>
      <c r="W501" s="266"/>
      <c r="X501" s="267"/>
      <c r="Y501" s="267"/>
      <c r="Z501" s="268"/>
      <c r="AA501" s="267"/>
      <c r="AB501" s="267"/>
      <c r="AC501" s="269"/>
    </row>
    <row r="502" ht="16.5" customHeight="1">
      <c r="A502" s="274"/>
      <c r="B502" s="275"/>
      <c r="C502" s="276"/>
      <c r="D502" s="276"/>
      <c r="E502" s="276"/>
      <c r="F502" s="277"/>
      <c r="G502" s="278"/>
      <c r="H502" s="277"/>
      <c r="I502" s="279"/>
      <c r="J502" s="280"/>
      <c r="K502" s="281"/>
      <c r="L502" s="282"/>
      <c r="M502" s="274"/>
      <c r="N502" s="283"/>
      <c r="O502" s="283"/>
      <c r="P502" s="267"/>
      <c r="Q502" s="284"/>
      <c r="R502" s="267"/>
      <c r="S502" s="285"/>
      <c r="T502" s="286"/>
      <c r="U502" s="267"/>
      <c r="V502" s="265"/>
      <c r="W502" s="266"/>
      <c r="X502" s="267"/>
      <c r="Y502" s="267"/>
      <c r="Z502" s="268"/>
      <c r="AA502" s="267"/>
      <c r="AB502" s="267"/>
      <c r="AC502" s="269"/>
    </row>
    <row r="503" ht="16.5" customHeight="1">
      <c r="A503" s="274"/>
      <c r="B503" s="275"/>
      <c r="C503" s="276"/>
      <c r="D503" s="276"/>
      <c r="E503" s="276"/>
      <c r="F503" s="277"/>
      <c r="G503" s="278"/>
      <c r="H503" s="277"/>
      <c r="I503" s="279"/>
      <c r="J503" s="280"/>
      <c r="K503" s="281"/>
      <c r="L503" s="282"/>
      <c r="M503" s="274"/>
      <c r="N503" s="283"/>
      <c r="O503" s="283"/>
      <c r="P503" s="267"/>
      <c r="Q503" s="284"/>
      <c r="R503" s="267"/>
      <c r="S503" s="285"/>
      <c r="T503" s="286"/>
      <c r="U503" s="267"/>
      <c r="V503" s="265"/>
      <c r="W503" s="266"/>
      <c r="X503" s="267"/>
      <c r="Y503" s="267"/>
      <c r="Z503" s="268"/>
      <c r="AA503" s="267"/>
      <c r="AB503" s="267"/>
      <c r="AC503" s="269"/>
    </row>
    <row r="504" ht="16.5" customHeight="1">
      <c r="A504" s="274"/>
      <c r="B504" s="275"/>
      <c r="C504" s="276"/>
      <c r="D504" s="276"/>
      <c r="E504" s="276"/>
      <c r="F504" s="277"/>
      <c r="G504" s="278"/>
      <c r="H504" s="277"/>
      <c r="I504" s="279"/>
      <c r="J504" s="280"/>
      <c r="K504" s="281"/>
      <c r="L504" s="282"/>
      <c r="M504" s="274"/>
      <c r="N504" s="283"/>
      <c r="O504" s="283"/>
      <c r="P504" s="267"/>
      <c r="Q504" s="284"/>
      <c r="R504" s="267"/>
      <c r="S504" s="285"/>
      <c r="T504" s="286"/>
      <c r="U504" s="267"/>
      <c r="V504" s="265"/>
      <c r="W504" s="266"/>
      <c r="X504" s="267"/>
      <c r="Y504" s="267"/>
      <c r="Z504" s="268"/>
      <c r="AA504" s="267"/>
      <c r="AB504" s="267"/>
      <c r="AC504" s="269"/>
    </row>
    <row r="505" ht="16.5" customHeight="1">
      <c r="A505" s="274"/>
      <c r="B505" s="275"/>
      <c r="C505" s="276"/>
      <c r="D505" s="276"/>
      <c r="E505" s="276"/>
      <c r="F505" s="277"/>
      <c r="G505" s="278"/>
      <c r="H505" s="277"/>
      <c r="I505" s="279"/>
      <c r="J505" s="280"/>
      <c r="K505" s="281"/>
      <c r="L505" s="282"/>
      <c r="M505" s="274"/>
      <c r="N505" s="283"/>
      <c r="O505" s="283"/>
      <c r="P505" s="267"/>
      <c r="Q505" s="284"/>
      <c r="R505" s="267"/>
      <c r="S505" s="285"/>
      <c r="T505" s="286"/>
      <c r="U505" s="267"/>
      <c r="V505" s="265"/>
      <c r="W505" s="266"/>
      <c r="X505" s="267"/>
      <c r="Y505" s="267"/>
      <c r="Z505" s="268"/>
      <c r="AA505" s="267"/>
      <c r="AB505" s="267"/>
      <c r="AC505" s="269"/>
    </row>
    <row r="506" ht="16.5" customHeight="1">
      <c r="A506" s="274"/>
      <c r="B506" s="275"/>
      <c r="C506" s="276"/>
      <c r="D506" s="276"/>
      <c r="E506" s="276"/>
      <c r="F506" s="277"/>
      <c r="G506" s="278"/>
      <c r="H506" s="277"/>
      <c r="I506" s="279"/>
      <c r="J506" s="280"/>
      <c r="K506" s="281"/>
      <c r="L506" s="282"/>
      <c r="M506" s="274"/>
      <c r="N506" s="283"/>
      <c r="O506" s="283"/>
      <c r="P506" s="267"/>
      <c r="Q506" s="284"/>
      <c r="R506" s="267"/>
      <c r="S506" s="285"/>
      <c r="T506" s="286"/>
      <c r="U506" s="267"/>
      <c r="V506" s="265"/>
      <c r="W506" s="266"/>
      <c r="X506" s="267"/>
      <c r="Y506" s="267"/>
      <c r="Z506" s="268"/>
      <c r="AA506" s="267"/>
      <c r="AB506" s="267"/>
      <c r="AC506" s="269"/>
    </row>
    <row r="507" ht="16.5" customHeight="1">
      <c r="A507" s="274"/>
      <c r="B507" s="275"/>
      <c r="C507" s="276"/>
      <c r="D507" s="276"/>
      <c r="E507" s="276"/>
      <c r="F507" s="277"/>
      <c r="G507" s="278"/>
      <c r="H507" s="277"/>
      <c r="I507" s="279"/>
      <c r="J507" s="280"/>
      <c r="K507" s="281"/>
      <c r="L507" s="282"/>
      <c r="M507" s="274"/>
      <c r="N507" s="283"/>
      <c r="O507" s="283"/>
      <c r="P507" s="267"/>
      <c r="Q507" s="284"/>
      <c r="R507" s="267"/>
      <c r="S507" s="285"/>
      <c r="T507" s="286"/>
      <c r="U507" s="267"/>
      <c r="V507" s="265"/>
      <c r="W507" s="266"/>
      <c r="X507" s="267"/>
      <c r="Y507" s="267"/>
      <c r="Z507" s="268"/>
      <c r="AA507" s="267"/>
      <c r="AB507" s="267"/>
      <c r="AC507" s="269"/>
    </row>
    <row r="508" ht="16.5" customHeight="1">
      <c r="A508" s="274"/>
      <c r="B508" s="275"/>
      <c r="C508" s="276"/>
      <c r="D508" s="276"/>
      <c r="E508" s="276"/>
      <c r="F508" s="277"/>
      <c r="G508" s="278"/>
      <c r="H508" s="277"/>
      <c r="I508" s="279"/>
      <c r="J508" s="280"/>
      <c r="K508" s="281"/>
      <c r="L508" s="282"/>
      <c r="M508" s="274"/>
      <c r="N508" s="283"/>
      <c r="O508" s="283"/>
      <c r="P508" s="267"/>
      <c r="Q508" s="284"/>
      <c r="R508" s="267"/>
      <c r="S508" s="285"/>
      <c r="T508" s="286"/>
      <c r="U508" s="267"/>
      <c r="V508" s="265"/>
      <c r="W508" s="266"/>
      <c r="X508" s="267"/>
      <c r="Y508" s="267"/>
      <c r="Z508" s="268"/>
      <c r="AA508" s="267"/>
      <c r="AB508" s="267"/>
      <c r="AC508" s="269"/>
    </row>
    <row r="509" ht="16.5" customHeight="1">
      <c r="A509" s="274"/>
      <c r="B509" s="275"/>
      <c r="C509" s="276"/>
      <c r="D509" s="276"/>
      <c r="E509" s="276"/>
      <c r="F509" s="277"/>
      <c r="G509" s="278"/>
      <c r="H509" s="277"/>
      <c r="I509" s="279"/>
      <c r="J509" s="280"/>
      <c r="K509" s="281"/>
      <c r="L509" s="282"/>
      <c r="M509" s="274"/>
      <c r="N509" s="283"/>
      <c r="O509" s="283"/>
      <c r="P509" s="267"/>
      <c r="Q509" s="284"/>
      <c r="R509" s="267"/>
      <c r="S509" s="285"/>
      <c r="T509" s="286"/>
      <c r="U509" s="267"/>
      <c r="V509" s="265"/>
      <c r="W509" s="266"/>
      <c r="X509" s="267"/>
      <c r="Y509" s="267"/>
      <c r="Z509" s="268"/>
      <c r="AA509" s="267"/>
      <c r="AB509" s="267"/>
      <c r="AC509" s="269"/>
    </row>
    <row r="510" ht="16.5" customHeight="1">
      <c r="A510" s="274"/>
      <c r="B510" s="275"/>
      <c r="C510" s="276"/>
      <c r="D510" s="276"/>
      <c r="E510" s="276"/>
      <c r="F510" s="277"/>
      <c r="G510" s="278"/>
      <c r="H510" s="277"/>
      <c r="I510" s="279"/>
      <c r="J510" s="280"/>
      <c r="K510" s="281"/>
      <c r="L510" s="282"/>
      <c r="M510" s="274"/>
      <c r="N510" s="283"/>
      <c r="O510" s="283"/>
      <c r="P510" s="267"/>
      <c r="Q510" s="284"/>
      <c r="R510" s="267"/>
      <c r="S510" s="285"/>
      <c r="T510" s="286"/>
      <c r="U510" s="267"/>
      <c r="V510" s="265"/>
      <c r="W510" s="266"/>
      <c r="X510" s="267"/>
      <c r="Y510" s="267"/>
      <c r="Z510" s="268"/>
      <c r="AA510" s="267"/>
      <c r="AB510" s="267"/>
      <c r="AC510" s="269"/>
    </row>
    <row r="511" ht="16.5" customHeight="1">
      <c r="A511" s="274"/>
      <c r="B511" s="275"/>
      <c r="C511" s="276"/>
      <c r="D511" s="276"/>
      <c r="E511" s="276"/>
      <c r="F511" s="277"/>
      <c r="G511" s="278"/>
      <c r="H511" s="277"/>
      <c r="I511" s="279"/>
      <c r="J511" s="280"/>
      <c r="K511" s="281"/>
      <c r="L511" s="282"/>
      <c r="M511" s="274"/>
      <c r="N511" s="283"/>
      <c r="O511" s="283"/>
      <c r="P511" s="267"/>
      <c r="Q511" s="284"/>
      <c r="R511" s="267"/>
      <c r="S511" s="285"/>
      <c r="T511" s="286"/>
      <c r="U511" s="267"/>
      <c r="V511" s="265"/>
      <c r="W511" s="266"/>
      <c r="X511" s="267"/>
      <c r="Y511" s="267"/>
      <c r="Z511" s="268"/>
      <c r="AA511" s="267"/>
      <c r="AB511" s="267"/>
      <c r="AC511" s="269"/>
    </row>
    <row r="512" ht="16.5" customHeight="1">
      <c r="A512" s="274"/>
      <c r="B512" s="275"/>
      <c r="C512" s="276"/>
      <c r="D512" s="276"/>
      <c r="E512" s="276"/>
      <c r="F512" s="277"/>
      <c r="G512" s="278"/>
      <c r="H512" s="277"/>
      <c r="I512" s="279"/>
      <c r="J512" s="280"/>
      <c r="K512" s="281"/>
      <c r="L512" s="282"/>
      <c r="M512" s="274"/>
      <c r="N512" s="283"/>
      <c r="O512" s="283"/>
      <c r="P512" s="267"/>
      <c r="Q512" s="284"/>
      <c r="R512" s="267"/>
      <c r="S512" s="285"/>
      <c r="T512" s="286"/>
      <c r="U512" s="267"/>
      <c r="V512" s="265"/>
      <c r="W512" s="266"/>
      <c r="X512" s="267"/>
      <c r="Y512" s="267"/>
      <c r="Z512" s="268"/>
      <c r="AA512" s="267"/>
      <c r="AB512" s="267"/>
      <c r="AC512" s="269"/>
    </row>
    <row r="513" ht="16.5" customHeight="1">
      <c r="A513" s="274"/>
      <c r="B513" s="275"/>
      <c r="C513" s="276"/>
      <c r="D513" s="276"/>
      <c r="E513" s="276"/>
      <c r="F513" s="277"/>
      <c r="G513" s="278"/>
      <c r="H513" s="277"/>
      <c r="I513" s="279"/>
      <c r="J513" s="280"/>
      <c r="K513" s="281"/>
      <c r="L513" s="282"/>
      <c r="M513" s="274"/>
      <c r="N513" s="283"/>
      <c r="O513" s="283"/>
      <c r="P513" s="267"/>
      <c r="Q513" s="284"/>
      <c r="R513" s="267"/>
      <c r="S513" s="285"/>
      <c r="T513" s="286"/>
      <c r="U513" s="267"/>
      <c r="V513" s="265"/>
      <c r="W513" s="266"/>
      <c r="X513" s="267"/>
      <c r="Y513" s="267"/>
      <c r="Z513" s="268"/>
      <c r="AA513" s="267"/>
      <c r="AB513" s="267"/>
      <c r="AC513" s="269"/>
    </row>
    <row r="514" ht="16.5" customHeight="1">
      <c r="A514" s="274"/>
      <c r="B514" s="275"/>
      <c r="C514" s="276"/>
      <c r="D514" s="276"/>
      <c r="E514" s="276"/>
      <c r="F514" s="277"/>
      <c r="G514" s="278"/>
      <c r="H514" s="277"/>
      <c r="I514" s="279"/>
      <c r="J514" s="280"/>
      <c r="K514" s="281"/>
      <c r="L514" s="282"/>
      <c r="M514" s="274"/>
      <c r="N514" s="283"/>
      <c r="O514" s="283"/>
      <c r="P514" s="267"/>
      <c r="Q514" s="284"/>
      <c r="R514" s="267"/>
      <c r="S514" s="285"/>
      <c r="T514" s="286"/>
      <c r="U514" s="267"/>
      <c r="V514" s="265"/>
      <c r="W514" s="266"/>
      <c r="X514" s="267"/>
      <c r="Y514" s="267"/>
      <c r="Z514" s="268"/>
      <c r="AA514" s="267"/>
      <c r="AB514" s="267"/>
      <c r="AC514" s="269"/>
    </row>
    <row r="515" ht="16.5" customHeight="1">
      <c r="A515" s="274"/>
      <c r="B515" s="275"/>
      <c r="C515" s="276"/>
      <c r="D515" s="276"/>
      <c r="E515" s="276"/>
      <c r="F515" s="277"/>
      <c r="G515" s="278"/>
      <c r="H515" s="277"/>
      <c r="I515" s="279"/>
      <c r="J515" s="280"/>
      <c r="K515" s="281"/>
      <c r="L515" s="282"/>
      <c r="M515" s="274"/>
      <c r="N515" s="283"/>
      <c r="O515" s="283"/>
      <c r="P515" s="267"/>
      <c r="Q515" s="284"/>
      <c r="R515" s="267"/>
      <c r="S515" s="285"/>
      <c r="T515" s="286"/>
      <c r="U515" s="267"/>
      <c r="V515" s="265"/>
      <c r="W515" s="266"/>
      <c r="X515" s="267"/>
      <c r="Y515" s="267"/>
      <c r="Z515" s="268"/>
      <c r="AA515" s="267"/>
      <c r="AB515" s="267"/>
      <c r="AC515" s="269"/>
    </row>
    <row r="516" ht="16.5" customHeight="1">
      <c r="A516" s="274"/>
      <c r="B516" s="275"/>
      <c r="C516" s="276"/>
      <c r="D516" s="276"/>
      <c r="E516" s="276"/>
      <c r="F516" s="277"/>
      <c r="G516" s="278"/>
      <c r="H516" s="277"/>
      <c r="I516" s="279"/>
      <c r="J516" s="280"/>
      <c r="K516" s="281"/>
      <c r="L516" s="282"/>
      <c r="M516" s="274"/>
      <c r="N516" s="283"/>
      <c r="O516" s="283"/>
      <c r="P516" s="267"/>
      <c r="Q516" s="284"/>
      <c r="R516" s="267"/>
      <c r="S516" s="285"/>
      <c r="T516" s="286"/>
      <c r="U516" s="267"/>
      <c r="V516" s="265"/>
      <c r="W516" s="266"/>
      <c r="X516" s="267"/>
      <c r="Y516" s="267"/>
      <c r="Z516" s="268"/>
      <c r="AA516" s="267"/>
      <c r="AB516" s="267"/>
      <c r="AC516" s="269"/>
    </row>
    <row r="517" ht="16.5" customHeight="1">
      <c r="A517" s="274"/>
      <c r="B517" s="275"/>
      <c r="C517" s="276"/>
      <c r="D517" s="276"/>
      <c r="E517" s="276"/>
      <c r="F517" s="277"/>
      <c r="G517" s="278"/>
      <c r="H517" s="277"/>
      <c r="I517" s="279"/>
      <c r="J517" s="280"/>
      <c r="K517" s="281"/>
      <c r="L517" s="282"/>
      <c r="M517" s="274"/>
      <c r="N517" s="283"/>
      <c r="O517" s="283"/>
      <c r="P517" s="267"/>
      <c r="Q517" s="284"/>
      <c r="R517" s="267"/>
      <c r="S517" s="285"/>
      <c r="T517" s="286"/>
      <c r="U517" s="267"/>
      <c r="V517" s="265"/>
      <c r="W517" s="266"/>
      <c r="X517" s="267"/>
      <c r="Y517" s="267"/>
      <c r="Z517" s="268"/>
      <c r="AA517" s="267"/>
      <c r="AB517" s="267"/>
      <c r="AC517" s="269"/>
    </row>
    <row r="518" ht="16.5" customHeight="1">
      <c r="A518" s="274"/>
      <c r="B518" s="275"/>
      <c r="C518" s="276"/>
      <c r="D518" s="276"/>
      <c r="E518" s="276"/>
      <c r="F518" s="277"/>
      <c r="G518" s="278"/>
      <c r="H518" s="277"/>
      <c r="I518" s="279"/>
      <c r="J518" s="280"/>
      <c r="K518" s="281"/>
      <c r="L518" s="282"/>
      <c r="M518" s="274"/>
      <c r="N518" s="283"/>
      <c r="O518" s="283"/>
      <c r="P518" s="267"/>
      <c r="Q518" s="284"/>
      <c r="R518" s="267"/>
      <c r="S518" s="285"/>
      <c r="T518" s="286"/>
      <c r="U518" s="267"/>
      <c r="V518" s="265"/>
      <c r="W518" s="266"/>
      <c r="X518" s="267"/>
      <c r="Y518" s="267"/>
      <c r="Z518" s="268"/>
      <c r="AA518" s="267"/>
      <c r="AB518" s="267"/>
      <c r="AC518" s="269"/>
    </row>
    <row r="519" ht="16.5" customHeight="1">
      <c r="A519" s="274"/>
      <c r="B519" s="275"/>
      <c r="C519" s="276"/>
      <c r="D519" s="276"/>
      <c r="E519" s="276"/>
      <c r="F519" s="277"/>
      <c r="G519" s="278"/>
      <c r="H519" s="277"/>
      <c r="I519" s="279"/>
      <c r="J519" s="280"/>
      <c r="K519" s="281"/>
      <c r="L519" s="282"/>
      <c r="M519" s="274"/>
      <c r="N519" s="283"/>
      <c r="O519" s="283"/>
      <c r="P519" s="267"/>
      <c r="Q519" s="284"/>
      <c r="R519" s="267"/>
      <c r="S519" s="285"/>
      <c r="T519" s="286"/>
      <c r="U519" s="267"/>
      <c r="V519" s="265"/>
      <c r="W519" s="266"/>
      <c r="X519" s="267"/>
      <c r="Y519" s="267"/>
      <c r="Z519" s="268"/>
      <c r="AA519" s="267"/>
      <c r="AB519" s="267"/>
      <c r="AC519" s="269"/>
    </row>
    <row r="520" ht="16.5" customHeight="1">
      <c r="A520" s="274"/>
      <c r="B520" s="275"/>
      <c r="C520" s="276"/>
      <c r="D520" s="276"/>
      <c r="E520" s="276"/>
      <c r="F520" s="277"/>
      <c r="G520" s="278"/>
      <c r="H520" s="277"/>
      <c r="I520" s="279"/>
      <c r="J520" s="280"/>
      <c r="K520" s="281"/>
      <c r="L520" s="282"/>
      <c r="M520" s="274"/>
      <c r="N520" s="283"/>
      <c r="O520" s="283"/>
      <c r="P520" s="267"/>
      <c r="Q520" s="284"/>
      <c r="R520" s="267"/>
      <c r="S520" s="285"/>
      <c r="T520" s="286"/>
      <c r="U520" s="267"/>
      <c r="V520" s="265"/>
      <c r="W520" s="266"/>
      <c r="X520" s="267"/>
      <c r="Y520" s="267"/>
      <c r="Z520" s="268"/>
      <c r="AA520" s="267"/>
      <c r="AB520" s="267"/>
      <c r="AC520" s="269"/>
    </row>
    <row r="521" ht="16.5" customHeight="1">
      <c r="A521" s="274"/>
      <c r="B521" s="275"/>
      <c r="C521" s="276"/>
      <c r="D521" s="276"/>
      <c r="E521" s="276"/>
      <c r="F521" s="277"/>
      <c r="G521" s="278"/>
      <c r="H521" s="277"/>
      <c r="I521" s="279"/>
      <c r="J521" s="280"/>
      <c r="K521" s="281"/>
      <c r="L521" s="282"/>
      <c r="M521" s="274"/>
      <c r="N521" s="283"/>
      <c r="O521" s="283"/>
      <c r="P521" s="267"/>
      <c r="Q521" s="284"/>
      <c r="R521" s="267"/>
      <c r="S521" s="285"/>
      <c r="T521" s="286"/>
      <c r="U521" s="267"/>
      <c r="V521" s="265"/>
      <c r="W521" s="266"/>
      <c r="X521" s="267"/>
      <c r="Y521" s="267"/>
      <c r="Z521" s="268"/>
      <c r="AA521" s="267"/>
      <c r="AB521" s="267"/>
      <c r="AC521" s="269"/>
    </row>
    <row r="522" ht="16.5" customHeight="1">
      <c r="A522" s="274"/>
      <c r="B522" s="275"/>
      <c r="C522" s="276"/>
      <c r="D522" s="276"/>
      <c r="E522" s="276"/>
      <c r="F522" s="277"/>
      <c r="G522" s="278"/>
      <c r="H522" s="277"/>
      <c r="I522" s="279"/>
      <c r="J522" s="280"/>
      <c r="K522" s="281"/>
      <c r="L522" s="282"/>
      <c r="M522" s="274"/>
      <c r="N522" s="283"/>
      <c r="O522" s="283"/>
      <c r="P522" s="267"/>
      <c r="Q522" s="284"/>
      <c r="R522" s="267"/>
      <c r="S522" s="285"/>
      <c r="T522" s="286"/>
      <c r="U522" s="267"/>
      <c r="V522" s="265"/>
      <c r="W522" s="266"/>
      <c r="X522" s="267"/>
      <c r="Y522" s="267"/>
      <c r="Z522" s="268"/>
      <c r="AA522" s="267"/>
      <c r="AB522" s="267"/>
      <c r="AC522" s="269"/>
    </row>
    <row r="523" ht="16.5" customHeight="1">
      <c r="A523" s="274"/>
      <c r="B523" s="275"/>
      <c r="C523" s="276"/>
      <c r="D523" s="276"/>
      <c r="E523" s="276"/>
      <c r="F523" s="277"/>
      <c r="G523" s="278"/>
      <c r="H523" s="277"/>
      <c r="I523" s="279"/>
      <c r="J523" s="280"/>
      <c r="K523" s="281"/>
      <c r="L523" s="282"/>
      <c r="M523" s="274"/>
      <c r="N523" s="283"/>
      <c r="O523" s="283"/>
      <c r="P523" s="267"/>
      <c r="Q523" s="284"/>
      <c r="R523" s="267"/>
      <c r="S523" s="285"/>
      <c r="T523" s="286"/>
      <c r="U523" s="267"/>
      <c r="V523" s="265"/>
      <c r="W523" s="266"/>
      <c r="X523" s="267"/>
      <c r="Y523" s="267"/>
      <c r="Z523" s="268"/>
      <c r="AA523" s="267"/>
      <c r="AB523" s="267"/>
      <c r="AC523" s="269"/>
    </row>
    <row r="524" ht="16.5" customHeight="1">
      <c r="A524" s="274"/>
      <c r="B524" s="275"/>
      <c r="C524" s="276"/>
      <c r="D524" s="276"/>
      <c r="E524" s="276"/>
      <c r="F524" s="277"/>
      <c r="G524" s="278"/>
      <c r="H524" s="277"/>
      <c r="I524" s="279"/>
      <c r="J524" s="280"/>
      <c r="K524" s="281"/>
      <c r="L524" s="282"/>
      <c r="M524" s="274"/>
      <c r="N524" s="283"/>
      <c r="O524" s="283"/>
      <c r="P524" s="267"/>
      <c r="Q524" s="284"/>
      <c r="R524" s="267"/>
      <c r="S524" s="285"/>
      <c r="T524" s="286"/>
      <c r="U524" s="267"/>
      <c r="V524" s="265"/>
      <c r="W524" s="266"/>
      <c r="X524" s="267"/>
      <c r="Y524" s="267"/>
      <c r="Z524" s="268"/>
      <c r="AA524" s="267"/>
      <c r="AB524" s="267"/>
      <c r="AC524" s="269"/>
    </row>
    <row r="525" ht="16.5" customHeight="1">
      <c r="A525" s="274"/>
      <c r="B525" s="275"/>
      <c r="C525" s="276"/>
      <c r="D525" s="276"/>
      <c r="E525" s="276"/>
      <c r="F525" s="277"/>
      <c r="G525" s="278"/>
      <c r="H525" s="277"/>
      <c r="I525" s="279"/>
      <c r="J525" s="280"/>
      <c r="K525" s="281"/>
      <c r="L525" s="282"/>
      <c r="M525" s="274"/>
      <c r="N525" s="283"/>
      <c r="O525" s="283"/>
      <c r="P525" s="267"/>
      <c r="Q525" s="284"/>
      <c r="R525" s="267"/>
      <c r="S525" s="285"/>
      <c r="T525" s="286"/>
      <c r="U525" s="267"/>
      <c r="V525" s="265"/>
      <c r="W525" s="266"/>
      <c r="X525" s="267"/>
      <c r="Y525" s="267"/>
      <c r="Z525" s="268"/>
      <c r="AA525" s="267"/>
      <c r="AB525" s="267"/>
      <c r="AC525" s="269"/>
    </row>
    <row r="526" ht="16.5" customHeight="1">
      <c r="A526" s="274"/>
      <c r="B526" s="275"/>
      <c r="C526" s="276"/>
      <c r="D526" s="276"/>
      <c r="E526" s="276"/>
      <c r="F526" s="277"/>
      <c r="G526" s="278"/>
      <c r="H526" s="277"/>
      <c r="I526" s="279"/>
      <c r="J526" s="280"/>
      <c r="K526" s="281"/>
      <c r="L526" s="282"/>
      <c r="M526" s="274"/>
      <c r="N526" s="283"/>
      <c r="O526" s="283"/>
      <c r="P526" s="267"/>
      <c r="Q526" s="284"/>
      <c r="R526" s="267"/>
      <c r="S526" s="285"/>
      <c r="T526" s="286"/>
      <c r="U526" s="267"/>
      <c r="V526" s="265"/>
      <c r="W526" s="266"/>
      <c r="X526" s="267"/>
      <c r="Y526" s="267"/>
      <c r="Z526" s="268"/>
      <c r="AA526" s="267"/>
      <c r="AB526" s="267"/>
      <c r="AC526" s="269"/>
    </row>
    <row r="527" ht="16.5" customHeight="1">
      <c r="A527" s="274"/>
      <c r="B527" s="275"/>
      <c r="C527" s="276"/>
      <c r="D527" s="276"/>
      <c r="E527" s="276"/>
      <c r="F527" s="277"/>
      <c r="G527" s="278"/>
      <c r="H527" s="277"/>
      <c r="I527" s="279"/>
      <c r="J527" s="280"/>
      <c r="K527" s="281"/>
      <c r="L527" s="282"/>
      <c r="M527" s="274"/>
      <c r="N527" s="283"/>
      <c r="O527" s="283"/>
      <c r="P527" s="267"/>
      <c r="Q527" s="284"/>
      <c r="R527" s="267"/>
      <c r="S527" s="285"/>
      <c r="T527" s="286"/>
      <c r="U527" s="267"/>
      <c r="V527" s="265"/>
      <c r="W527" s="266"/>
      <c r="X527" s="267"/>
      <c r="Y527" s="267"/>
      <c r="Z527" s="268"/>
      <c r="AA527" s="267"/>
      <c r="AB527" s="267"/>
      <c r="AC527" s="269"/>
    </row>
    <row r="528" ht="16.5" customHeight="1">
      <c r="A528" s="274"/>
      <c r="B528" s="275"/>
      <c r="C528" s="276"/>
      <c r="D528" s="276"/>
      <c r="E528" s="276"/>
      <c r="F528" s="277"/>
      <c r="G528" s="278"/>
      <c r="H528" s="277"/>
      <c r="I528" s="279"/>
      <c r="J528" s="280"/>
      <c r="K528" s="281"/>
      <c r="L528" s="282"/>
      <c r="M528" s="274"/>
      <c r="N528" s="283"/>
      <c r="O528" s="283"/>
      <c r="P528" s="267"/>
      <c r="Q528" s="284"/>
      <c r="R528" s="267"/>
      <c r="S528" s="285"/>
      <c r="T528" s="286"/>
      <c r="U528" s="267"/>
      <c r="V528" s="265"/>
      <c r="W528" s="266"/>
      <c r="X528" s="267"/>
      <c r="Y528" s="267"/>
      <c r="Z528" s="268"/>
      <c r="AA528" s="267"/>
      <c r="AB528" s="267"/>
      <c r="AC528" s="269"/>
    </row>
    <row r="529" ht="16.5" customHeight="1">
      <c r="A529" s="274"/>
      <c r="B529" s="275"/>
      <c r="C529" s="276"/>
      <c r="D529" s="276"/>
      <c r="E529" s="276"/>
      <c r="F529" s="277"/>
      <c r="G529" s="278"/>
      <c r="H529" s="277"/>
      <c r="I529" s="279"/>
      <c r="J529" s="280"/>
      <c r="K529" s="281"/>
      <c r="L529" s="282"/>
      <c r="M529" s="274"/>
      <c r="N529" s="283"/>
      <c r="O529" s="283"/>
      <c r="P529" s="267"/>
      <c r="Q529" s="284"/>
      <c r="R529" s="267"/>
      <c r="S529" s="285"/>
      <c r="T529" s="286"/>
      <c r="U529" s="267"/>
      <c r="V529" s="265"/>
      <c r="W529" s="266"/>
      <c r="X529" s="267"/>
      <c r="Y529" s="267"/>
      <c r="Z529" s="268"/>
      <c r="AA529" s="267"/>
      <c r="AB529" s="267"/>
      <c r="AC529" s="269"/>
    </row>
    <row r="530" ht="16.5" customHeight="1">
      <c r="A530" s="274"/>
      <c r="B530" s="275"/>
      <c r="C530" s="276"/>
      <c r="D530" s="276"/>
      <c r="E530" s="276"/>
      <c r="F530" s="277"/>
      <c r="G530" s="278"/>
      <c r="H530" s="277"/>
      <c r="I530" s="279"/>
      <c r="J530" s="280"/>
      <c r="K530" s="281"/>
      <c r="L530" s="282"/>
      <c r="M530" s="274"/>
      <c r="N530" s="283"/>
      <c r="O530" s="283"/>
      <c r="P530" s="267"/>
      <c r="Q530" s="284"/>
      <c r="R530" s="267"/>
      <c r="S530" s="285"/>
      <c r="T530" s="286"/>
      <c r="U530" s="267"/>
      <c r="V530" s="265"/>
      <c r="W530" s="266"/>
      <c r="X530" s="267"/>
      <c r="Y530" s="267"/>
      <c r="Z530" s="268"/>
      <c r="AA530" s="267"/>
      <c r="AB530" s="267"/>
      <c r="AC530" s="269"/>
    </row>
    <row r="531" ht="16.5" customHeight="1">
      <c r="A531" s="274"/>
      <c r="B531" s="275"/>
      <c r="C531" s="276"/>
      <c r="D531" s="276"/>
      <c r="E531" s="276"/>
      <c r="F531" s="277"/>
      <c r="G531" s="278"/>
      <c r="H531" s="277"/>
      <c r="I531" s="279"/>
      <c r="J531" s="280"/>
      <c r="K531" s="281"/>
      <c r="L531" s="282"/>
      <c r="M531" s="274"/>
      <c r="N531" s="283"/>
      <c r="O531" s="283"/>
      <c r="P531" s="267"/>
      <c r="Q531" s="284"/>
      <c r="R531" s="267"/>
      <c r="S531" s="285"/>
      <c r="T531" s="286"/>
      <c r="U531" s="267"/>
      <c r="V531" s="265"/>
      <c r="W531" s="266"/>
      <c r="X531" s="267"/>
      <c r="Y531" s="267"/>
      <c r="Z531" s="268"/>
      <c r="AA531" s="267"/>
      <c r="AB531" s="267"/>
      <c r="AC531" s="269"/>
    </row>
    <row r="532" ht="16.5" customHeight="1">
      <c r="A532" s="274"/>
      <c r="B532" s="275"/>
      <c r="C532" s="276"/>
      <c r="D532" s="276"/>
      <c r="E532" s="276"/>
      <c r="F532" s="277"/>
      <c r="G532" s="278"/>
      <c r="H532" s="277"/>
      <c r="I532" s="279"/>
      <c r="J532" s="280"/>
      <c r="K532" s="281"/>
      <c r="L532" s="282"/>
      <c r="M532" s="274"/>
      <c r="N532" s="283"/>
      <c r="O532" s="283"/>
      <c r="P532" s="267"/>
      <c r="Q532" s="284"/>
      <c r="R532" s="267"/>
      <c r="S532" s="285"/>
      <c r="T532" s="286"/>
      <c r="U532" s="267"/>
      <c r="V532" s="265"/>
      <c r="W532" s="266"/>
      <c r="X532" s="267"/>
      <c r="Y532" s="267"/>
      <c r="Z532" s="268"/>
      <c r="AA532" s="267"/>
      <c r="AB532" s="267"/>
      <c r="AC532" s="269"/>
    </row>
    <row r="533" ht="16.5" customHeight="1">
      <c r="A533" s="274"/>
      <c r="B533" s="275"/>
      <c r="C533" s="276"/>
      <c r="D533" s="276"/>
      <c r="E533" s="276"/>
      <c r="F533" s="277"/>
      <c r="G533" s="278"/>
      <c r="H533" s="277"/>
      <c r="I533" s="279"/>
      <c r="J533" s="280"/>
      <c r="K533" s="281"/>
      <c r="L533" s="282"/>
      <c r="M533" s="274"/>
      <c r="N533" s="283"/>
      <c r="O533" s="283"/>
      <c r="P533" s="267"/>
      <c r="Q533" s="284"/>
      <c r="R533" s="267"/>
      <c r="S533" s="285"/>
      <c r="T533" s="286"/>
      <c r="U533" s="267"/>
      <c r="V533" s="265"/>
      <c r="W533" s="266"/>
      <c r="X533" s="267"/>
      <c r="Y533" s="267"/>
      <c r="Z533" s="268"/>
      <c r="AA533" s="267"/>
      <c r="AB533" s="267"/>
      <c r="AC533" s="269"/>
    </row>
    <row r="534" ht="16.5" customHeight="1">
      <c r="A534" s="274"/>
      <c r="B534" s="275"/>
      <c r="C534" s="276"/>
      <c r="D534" s="276"/>
      <c r="E534" s="276"/>
      <c r="F534" s="277"/>
      <c r="G534" s="278"/>
      <c r="H534" s="277"/>
      <c r="I534" s="279"/>
      <c r="J534" s="280"/>
      <c r="K534" s="281"/>
      <c r="L534" s="282"/>
      <c r="M534" s="274"/>
      <c r="N534" s="283"/>
      <c r="O534" s="283"/>
      <c r="P534" s="267"/>
      <c r="Q534" s="284"/>
      <c r="R534" s="267"/>
      <c r="S534" s="285"/>
      <c r="T534" s="286"/>
      <c r="U534" s="267"/>
      <c r="V534" s="265"/>
      <c r="W534" s="266"/>
      <c r="X534" s="267"/>
      <c r="Y534" s="267"/>
      <c r="Z534" s="268"/>
      <c r="AA534" s="267"/>
      <c r="AB534" s="267"/>
      <c r="AC534" s="269"/>
    </row>
    <row r="535" ht="16.5" customHeight="1">
      <c r="A535" s="274"/>
      <c r="B535" s="275"/>
      <c r="C535" s="276"/>
      <c r="D535" s="276"/>
      <c r="E535" s="276"/>
      <c r="F535" s="277"/>
      <c r="G535" s="278"/>
      <c r="H535" s="277"/>
      <c r="I535" s="279"/>
      <c r="J535" s="280"/>
      <c r="K535" s="281"/>
      <c r="L535" s="282"/>
      <c r="M535" s="274"/>
      <c r="N535" s="283"/>
      <c r="O535" s="283"/>
      <c r="P535" s="267"/>
      <c r="Q535" s="284"/>
      <c r="R535" s="267"/>
      <c r="S535" s="285"/>
      <c r="T535" s="286"/>
      <c r="U535" s="267"/>
      <c r="V535" s="265"/>
      <c r="W535" s="266"/>
      <c r="X535" s="267"/>
      <c r="Y535" s="267"/>
      <c r="Z535" s="268"/>
      <c r="AA535" s="267"/>
      <c r="AB535" s="267"/>
      <c r="AC535" s="269"/>
    </row>
    <row r="536" ht="16.5" customHeight="1">
      <c r="A536" s="274"/>
      <c r="B536" s="275"/>
      <c r="C536" s="276"/>
      <c r="D536" s="276"/>
      <c r="E536" s="276"/>
      <c r="F536" s="277"/>
      <c r="G536" s="278"/>
      <c r="H536" s="277"/>
      <c r="I536" s="279"/>
      <c r="J536" s="280"/>
      <c r="K536" s="281"/>
      <c r="L536" s="282"/>
      <c r="M536" s="274"/>
      <c r="N536" s="283"/>
      <c r="O536" s="283"/>
      <c r="P536" s="267"/>
      <c r="Q536" s="284"/>
      <c r="R536" s="267"/>
      <c r="S536" s="285"/>
      <c r="T536" s="286"/>
      <c r="U536" s="267"/>
      <c r="V536" s="265"/>
      <c r="W536" s="266"/>
      <c r="X536" s="267"/>
      <c r="Y536" s="267"/>
      <c r="Z536" s="268"/>
      <c r="AA536" s="267"/>
      <c r="AB536" s="267"/>
      <c r="AC536" s="269"/>
    </row>
    <row r="537" ht="16.5" customHeight="1">
      <c r="A537" s="274"/>
      <c r="B537" s="275"/>
      <c r="C537" s="276"/>
      <c r="D537" s="276"/>
      <c r="E537" s="276"/>
      <c r="F537" s="277"/>
      <c r="G537" s="278"/>
      <c r="H537" s="277"/>
      <c r="I537" s="279"/>
      <c r="J537" s="280"/>
      <c r="K537" s="281"/>
      <c r="L537" s="282"/>
      <c r="M537" s="274"/>
      <c r="N537" s="283"/>
      <c r="O537" s="283"/>
      <c r="P537" s="267"/>
      <c r="Q537" s="284"/>
      <c r="R537" s="267"/>
      <c r="S537" s="285"/>
      <c r="T537" s="286"/>
      <c r="U537" s="267"/>
      <c r="V537" s="265"/>
      <c r="W537" s="266"/>
      <c r="X537" s="267"/>
      <c r="Y537" s="267"/>
      <c r="Z537" s="268"/>
      <c r="AA537" s="267"/>
      <c r="AB537" s="267"/>
      <c r="AC537" s="269"/>
    </row>
    <row r="538" ht="16.5" customHeight="1">
      <c r="A538" s="274"/>
      <c r="B538" s="275"/>
      <c r="C538" s="276"/>
      <c r="D538" s="276"/>
      <c r="E538" s="276"/>
      <c r="F538" s="277"/>
      <c r="G538" s="278"/>
      <c r="H538" s="277"/>
      <c r="I538" s="279"/>
      <c r="J538" s="280"/>
      <c r="K538" s="281"/>
      <c r="L538" s="282"/>
      <c r="M538" s="274"/>
      <c r="N538" s="283"/>
      <c r="O538" s="283"/>
      <c r="P538" s="267"/>
      <c r="Q538" s="284"/>
      <c r="R538" s="267"/>
      <c r="S538" s="285"/>
      <c r="T538" s="286"/>
      <c r="U538" s="267"/>
      <c r="V538" s="265"/>
      <c r="W538" s="266"/>
      <c r="X538" s="267"/>
      <c r="Y538" s="267"/>
      <c r="Z538" s="268"/>
      <c r="AA538" s="267"/>
      <c r="AB538" s="267"/>
      <c r="AC538" s="269"/>
    </row>
    <row r="539" ht="16.5" customHeight="1">
      <c r="A539" s="274"/>
      <c r="B539" s="275"/>
      <c r="C539" s="276"/>
      <c r="D539" s="276"/>
      <c r="E539" s="276"/>
      <c r="F539" s="277"/>
      <c r="G539" s="278"/>
      <c r="H539" s="277"/>
      <c r="I539" s="279"/>
      <c r="J539" s="280"/>
      <c r="K539" s="281"/>
      <c r="L539" s="282"/>
      <c r="M539" s="274"/>
      <c r="N539" s="283"/>
      <c r="O539" s="283"/>
      <c r="P539" s="267"/>
      <c r="Q539" s="284"/>
      <c r="R539" s="267"/>
      <c r="S539" s="285"/>
      <c r="T539" s="286"/>
      <c r="U539" s="267"/>
      <c r="V539" s="265"/>
      <c r="W539" s="266"/>
      <c r="X539" s="267"/>
      <c r="Y539" s="267"/>
      <c r="Z539" s="268"/>
      <c r="AA539" s="267"/>
      <c r="AB539" s="267"/>
      <c r="AC539" s="269"/>
    </row>
    <row r="540" ht="16.5" customHeight="1">
      <c r="A540" s="274"/>
      <c r="B540" s="275"/>
      <c r="C540" s="276"/>
      <c r="D540" s="276"/>
      <c r="E540" s="276"/>
      <c r="F540" s="277"/>
      <c r="G540" s="278"/>
      <c r="H540" s="277"/>
      <c r="I540" s="279"/>
      <c r="J540" s="280"/>
      <c r="K540" s="281"/>
      <c r="L540" s="282"/>
      <c r="M540" s="274"/>
      <c r="N540" s="283"/>
      <c r="O540" s="283"/>
      <c r="P540" s="267"/>
      <c r="Q540" s="284"/>
      <c r="R540" s="267"/>
      <c r="S540" s="285"/>
      <c r="T540" s="286"/>
      <c r="U540" s="267"/>
      <c r="V540" s="265"/>
      <c r="W540" s="266"/>
      <c r="X540" s="267"/>
      <c r="Y540" s="267"/>
      <c r="Z540" s="268"/>
      <c r="AA540" s="267"/>
      <c r="AB540" s="267"/>
      <c r="AC540" s="269"/>
    </row>
    <row r="541" ht="16.5" customHeight="1">
      <c r="A541" s="274"/>
      <c r="B541" s="275"/>
      <c r="C541" s="276"/>
      <c r="D541" s="276"/>
      <c r="E541" s="276"/>
      <c r="F541" s="277"/>
      <c r="G541" s="278"/>
      <c r="H541" s="277"/>
      <c r="I541" s="279"/>
      <c r="J541" s="280"/>
      <c r="K541" s="281"/>
      <c r="L541" s="282"/>
      <c r="M541" s="274"/>
      <c r="N541" s="283"/>
      <c r="O541" s="283"/>
      <c r="P541" s="267"/>
      <c r="Q541" s="284"/>
      <c r="R541" s="267"/>
      <c r="S541" s="285"/>
      <c r="T541" s="286"/>
      <c r="U541" s="267"/>
      <c r="V541" s="265"/>
      <c r="W541" s="266"/>
      <c r="X541" s="267"/>
      <c r="Y541" s="267"/>
      <c r="Z541" s="268"/>
      <c r="AA541" s="267"/>
      <c r="AB541" s="267"/>
      <c r="AC541" s="269"/>
    </row>
    <row r="542" ht="16.5" customHeight="1">
      <c r="A542" s="274"/>
      <c r="B542" s="275"/>
      <c r="C542" s="276"/>
      <c r="D542" s="276"/>
      <c r="E542" s="276"/>
      <c r="F542" s="277"/>
      <c r="G542" s="278"/>
      <c r="H542" s="277"/>
      <c r="I542" s="279"/>
      <c r="J542" s="280"/>
      <c r="K542" s="281"/>
      <c r="L542" s="282"/>
      <c r="M542" s="274"/>
      <c r="N542" s="283"/>
      <c r="O542" s="283"/>
      <c r="P542" s="267"/>
      <c r="Q542" s="284"/>
      <c r="R542" s="267"/>
      <c r="S542" s="285"/>
      <c r="T542" s="286"/>
      <c r="U542" s="267"/>
      <c r="V542" s="265"/>
      <c r="W542" s="266"/>
      <c r="X542" s="267"/>
      <c r="Y542" s="267"/>
      <c r="Z542" s="268"/>
      <c r="AA542" s="267"/>
      <c r="AB542" s="267"/>
      <c r="AC542" s="269"/>
    </row>
    <row r="543" ht="16.5" customHeight="1">
      <c r="A543" s="274"/>
      <c r="B543" s="275"/>
      <c r="C543" s="276"/>
      <c r="D543" s="276"/>
      <c r="E543" s="276"/>
      <c r="F543" s="277"/>
      <c r="G543" s="278"/>
      <c r="H543" s="277"/>
      <c r="I543" s="279"/>
      <c r="J543" s="280"/>
      <c r="K543" s="281"/>
      <c r="L543" s="282"/>
      <c r="M543" s="274"/>
      <c r="N543" s="283"/>
      <c r="O543" s="283"/>
      <c r="P543" s="267"/>
      <c r="Q543" s="284"/>
      <c r="R543" s="267"/>
      <c r="S543" s="285"/>
      <c r="T543" s="286"/>
      <c r="U543" s="267"/>
      <c r="V543" s="265"/>
      <c r="W543" s="266"/>
      <c r="X543" s="267"/>
      <c r="Y543" s="267"/>
      <c r="Z543" s="268"/>
      <c r="AA543" s="267"/>
      <c r="AB543" s="267"/>
      <c r="AC543" s="269"/>
    </row>
    <row r="544" ht="16.5" customHeight="1">
      <c r="A544" s="274"/>
      <c r="B544" s="275"/>
      <c r="C544" s="276"/>
      <c r="D544" s="276"/>
      <c r="E544" s="276"/>
      <c r="F544" s="277"/>
      <c r="G544" s="278"/>
      <c r="H544" s="277"/>
      <c r="I544" s="279"/>
      <c r="J544" s="280"/>
      <c r="K544" s="281"/>
      <c r="L544" s="282"/>
      <c r="M544" s="274"/>
      <c r="N544" s="283"/>
      <c r="O544" s="283"/>
      <c r="P544" s="267"/>
      <c r="Q544" s="284"/>
      <c r="R544" s="267"/>
      <c r="S544" s="285"/>
      <c r="T544" s="286"/>
      <c r="U544" s="267"/>
      <c r="V544" s="265"/>
      <c r="W544" s="266"/>
      <c r="X544" s="267"/>
      <c r="Y544" s="267"/>
      <c r="Z544" s="268"/>
      <c r="AA544" s="267"/>
      <c r="AB544" s="267"/>
      <c r="AC544" s="269"/>
    </row>
    <row r="545" ht="16.5" customHeight="1">
      <c r="A545" s="274"/>
      <c r="B545" s="275"/>
      <c r="C545" s="276"/>
      <c r="D545" s="276"/>
      <c r="E545" s="276"/>
      <c r="F545" s="277"/>
      <c r="G545" s="278"/>
      <c r="H545" s="277"/>
      <c r="I545" s="279"/>
      <c r="J545" s="280"/>
      <c r="K545" s="281"/>
      <c r="L545" s="282"/>
      <c r="M545" s="274"/>
      <c r="N545" s="283"/>
      <c r="O545" s="283"/>
      <c r="P545" s="267"/>
      <c r="Q545" s="284"/>
      <c r="R545" s="267"/>
      <c r="S545" s="285"/>
      <c r="T545" s="286"/>
      <c r="U545" s="267"/>
      <c r="V545" s="265"/>
      <c r="W545" s="266"/>
      <c r="X545" s="267"/>
      <c r="Y545" s="267"/>
      <c r="Z545" s="268"/>
      <c r="AA545" s="267"/>
      <c r="AB545" s="267"/>
      <c r="AC545" s="269"/>
    </row>
    <row r="546" ht="16.5" customHeight="1">
      <c r="A546" s="274"/>
      <c r="B546" s="275"/>
      <c r="C546" s="276"/>
      <c r="D546" s="276"/>
      <c r="E546" s="276"/>
      <c r="F546" s="277"/>
      <c r="G546" s="278"/>
      <c r="H546" s="277"/>
      <c r="I546" s="279"/>
      <c r="J546" s="280"/>
      <c r="K546" s="281"/>
      <c r="L546" s="282"/>
      <c r="M546" s="274"/>
      <c r="N546" s="283"/>
      <c r="O546" s="283"/>
      <c r="P546" s="267"/>
      <c r="Q546" s="284"/>
      <c r="R546" s="267"/>
      <c r="S546" s="285"/>
      <c r="T546" s="286"/>
      <c r="U546" s="267"/>
      <c r="V546" s="265"/>
      <c r="W546" s="266"/>
      <c r="X546" s="267"/>
      <c r="Y546" s="267"/>
      <c r="Z546" s="268"/>
      <c r="AA546" s="267"/>
      <c r="AB546" s="267"/>
      <c r="AC546" s="269"/>
    </row>
    <row r="547" ht="16.5" customHeight="1">
      <c r="A547" s="274"/>
      <c r="B547" s="275"/>
      <c r="C547" s="276"/>
      <c r="D547" s="276"/>
      <c r="E547" s="276"/>
      <c r="F547" s="277"/>
      <c r="G547" s="278"/>
      <c r="H547" s="277"/>
      <c r="I547" s="279"/>
      <c r="J547" s="280"/>
      <c r="K547" s="281"/>
      <c r="L547" s="282"/>
      <c r="M547" s="274"/>
      <c r="N547" s="283"/>
      <c r="O547" s="283"/>
      <c r="P547" s="267"/>
      <c r="Q547" s="284"/>
      <c r="R547" s="267"/>
      <c r="S547" s="285"/>
      <c r="T547" s="286"/>
      <c r="U547" s="267"/>
      <c r="V547" s="265"/>
      <c r="W547" s="266"/>
      <c r="X547" s="267"/>
      <c r="Y547" s="267"/>
      <c r="Z547" s="268"/>
      <c r="AA547" s="267"/>
      <c r="AB547" s="267"/>
      <c r="AC547" s="269"/>
    </row>
  </sheetData>
  <customSheetViews>
    <customSheetView guid="{F0874127-E7C4-43A8-9E18-0B8478D7D56F}" filter="1" showAutoFilter="1">
      <autoFilter ref="$A$1:$M$18"/>
    </customSheetView>
  </customSheetViews>
  <conditionalFormatting sqref="AC2:AC21">
    <cfRule type="expression" dxfId="9" priority="1">
      <formula>REGEXMATCH(UPPER($AC2),"TROCA")=TRUE</formula>
    </cfRule>
  </conditionalFormatting>
  <conditionalFormatting sqref="AC2:AC21">
    <cfRule type="expression" dxfId="10" priority="2">
      <formula>REGEXMATCH(UPPER($AC2),"REDESPACHO")=TRUE</formula>
    </cfRule>
  </conditionalFormatting>
  <conditionalFormatting sqref="AC2:AC21">
    <cfRule type="expression" dxfId="14" priority="3">
      <formula>REGEXMATCH(UPPER($AC2),"SOBREPOR")=TRUE</formula>
    </cfRule>
  </conditionalFormatting>
  <conditionalFormatting sqref="AC2:AC21">
    <cfRule type="expression" dxfId="15" priority="4">
      <formula>REGEXMATCH(UPPER($AC2),"EMBUTIR")=TRUE</formula>
    </cfRule>
  </conditionalFormatting>
  <conditionalFormatting sqref="AC2:AC547">
    <cfRule type="expression" dxfId="29" priority="5">
      <formula>REGEXMATCH(UPPER($AC2),"SOBREPOR")=TRUE</formula>
    </cfRule>
  </conditionalFormatting>
  <conditionalFormatting sqref="AC2:AC547">
    <cfRule type="expression" dxfId="8" priority="6">
      <formula>REGEXMATCH(UPPER($AC2),"TROCA")=TRUE</formula>
    </cfRule>
  </conditionalFormatting>
  <conditionalFormatting sqref="AC2:AC547">
    <cfRule type="expression" dxfId="30" priority="7">
      <formula>REGEXMATCH(UPPER($AC2),"REDESPACHO")=TRUE</formula>
    </cfRule>
  </conditionalFormatting>
  <conditionalFormatting sqref="AC2:AC547">
    <cfRule type="expression" dxfId="29" priority="8">
      <formula>REGEXMATCH(UPPER($AC2),"EMBUTIR")=TRUE</formula>
    </cfRule>
  </conditionalFormatting>
  <conditionalFormatting sqref="P2:P547">
    <cfRule type="expression" dxfId="31" priority="9">
      <formula>$P2="SIM"</formula>
    </cfRule>
  </conditionalFormatting>
  <conditionalFormatting sqref="H1:H547">
    <cfRule type="cellIs" dxfId="8" priority="10" operator="equal">
      <formula>"SIM"</formula>
    </cfRule>
  </conditionalFormatting>
  <conditionalFormatting sqref="A2:AB547">
    <cfRule type="expression" dxfId="5" priority="11">
      <formula>RIGHT($E2,2)="PT"</formula>
    </cfRule>
  </conditionalFormatting>
  <conditionalFormatting sqref="A2:AB547">
    <cfRule type="expression" dxfId="6" priority="12">
      <formula>$I2="TESTAR"</formula>
    </cfRule>
  </conditionalFormatting>
  <conditionalFormatting sqref="A2:AB547">
    <cfRule type="expression" dxfId="24" priority="13">
      <formula>$I2="CANCELADO"</formula>
    </cfRule>
  </conditionalFormatting>
  <conditionalFormatting sqref="A2:AB547">
    <cfRule type="expression" dxfId="25" priority="14">
      <formula>$I2="FILIAL PARANA"</formula>
    </cfRule>
  </conditionalFormatting>
  <conditionalFormatting sqref="A2:AB547">
    <cfRule type="expression" dxfId="26" priority="15">
      <formula>$I2="DEVOLVIDO"</formula>
    </cfRule>
  </conditionalFormatting>
  <conditionalFormatting sqref="A2:AB547">
    <cfRule type="expression" dxfId="21" priority="16">
      <formula>$I2="PRODUÇÃO"</formula>
    </cfRule>
  </conditionalFormatting>
  <conditionalFormatting sqref="A2:AB547">
    <cfRule type="expression" dxfId="20" priority="17">
      <formula>$I2="EM ABERTO"</formula>
    </cfRule>
  </conditionalFormatting>
  <conditionalFormatting sqref="A2:AB547">
    <cfRule type="expression" dxfId="7" priority="18">
      <formula>$I2="EM ABERTO IGUI"</formula>
    </cfRule>
  </conditionalFormatting>
  <conditionalFormatting sqref="A2:AB547">
    <cfRule type="expression" dxfId="0" priority="19">
      <formula>$Q2="PRÉ-EMBALAGEM"</formula>
    </cfRule>
  </conditionalFormatting>
  <conditionalFormatting sqref="A2:AB547">
    <cfRule type="expression" dxfId="1" priority="20">
      <formula>$Q2="RETORNO DE CONSERTO"</formula>
    </cfRule>
  </conditionalFormatting>
  <conditionalFormatting sqref="A2:AB547">
    <cfRule type="expression" dxfId="2" priority="21">
      <formula>$Q2="CONSIGNADO FINALIZADO"</formula>
    </cfRule>
  </conditionalFormatting>
  <conditionalFormatting sqref="N2:N547">
    <cfRule type="expression" dxfId="31" priority="22">
      <formula>$N2="SIM"</formula>
    </cfRule>
  </conditionalFormatting>
  <conditionalFormatting sqref="M2:M547">
    <cfRule type="expression" dxfId="31" priority="23">
      <formula>$M2="SIM"</formula>
    </cfRule>
  </conditionalFormatting>
  <conditionalFormatting sqref="J2:J547 I11:I14">
    <cfRule type="cellIs" dxfId="31" priority="24" operator="equal">
      <formula>"SIM"</formula>
    </cfRule>
  </conditionalFormatting>
  <conditionalFormatting sqref="J2:J547 K3:K4 I11:I14">
    <cfRule type="containsBlanks" dxfId="32" priority="25">
      <formula>LEN(TRIM(J2))=0</formula>
    </cfRule>
  </conditionalFormatting>
  <conditionalFormatting sqref="I1:I547 K1:K547 E2:E547 H2:H547 D11:D14">
    <cfRule type="expression" dxfId="33" priority="26">
      <formula>AND(ISNUMBER(I1),TRUNC(I1)&lt;TODAY())</formula>
    </cfRule>
  </conditionalFormatting>
  <conditionalFormatting sqref="A2:AB547">
    <cfRule type="expression" dxfId="3" priority="27">
      <formula>$Q2="AGUARDAR CONTAINER"</formula>
    </cfRule>
  </conditionalFormatting>
  <conditionalFormatting sqref="A2:AB547">
    <cfRule type="expression" dxfId="8" priority="28">
      <formula>$I2="PRIORIDADE"</formula>
    </cfRule>
  </conditionalFormatting>
  <dataValidations>
    <dataValidation type="list" allowBlank="1" showInputMessage="1" showErrorMessage="1" prompt="INSIRA SOMENTE O REDESPACHO, DUVIDAS FALAR COM A LOGISTICA" sqref="S1">
      <formula1>LEGENDAS!$J$2:$J547</formula1>
    </dataValidation>
    <dataValidation type="list" allowBlank="1" showInputMessage="1" showErrorMessage="1" prompt="MODELO NÃO ESTÁ PRESENTE NA ABA &quot;LEGENDAS&quot;, VA NA ABA LEGENDAS E INSIRA O MODELO NO FINAL DA COLUNA &quot;MODELO&quot;" sqref="M1">
      <formula1>LEGENDAS!$G$2:$G$219</formula1>
    </dataValidation>
  </dataValidations>
  <printOptions gridLines="1" horizontalCentered="1"/>
  <pageMargins bottom="1.0" footer="0.0" header="0.0" left="1.0" right="1.0" top="1.0"/>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2D34"/>
    <outlinePr summaryBelow="0" summaryRight="0"/>
    <pageSetUpPr fitToPage="1"/>
  </sheetPr>
  <sheetViews>
    <sheetView showGridLines="0" workbookViewId="0"/>
  </sheetViews>
  <sheetFormatPr customHeight="1" defaultColWidth="14.43" defaultRowHeight="15.0"/>
  <cols>
    <col customWidth="1" min="1" max="1" width="17.57"/>
    <col customWidth="1" min="2" max="2" width="24.0"/>
    <col customWidth="1" min="3" max="3" width="10.86"/>
    <col customWidth="1" min="4" max="4" width="12.0"/>
    <col customWidth="1" min="5" max="5" width="8.57"/>
    <col customWidth="1" min="6" max="6" width="35.29"/>
    <col customWidth="1" min="7" max="7" width="22.57"/>
    <col customWidth="1" min="8" max="8" width="12.0"/>
  </cols>
  <sheetData>
    <row r="1" ht="14.25" customHeight="1">
      <c r="A1" s="287" t="s">
        <v>4</v>
      </c>
      <c r="B1" s="287" t="s">
        <v>23322</v>
      </c>
      <c r="C1" s="287" t="s">
        <v>23323</v>
      </c>
      <c r="D1" s="287" t="s">
        <v>23324</v>
      </c>
      <c r="E1" s="287" t="s">
        <v>23325</v>
      </c>
      <c r="F1" s="288" t="s">
        <v>23326</v>
      </c>
      <c r="G1" s="289" t="s">
        <v>23327</v>
      </c>
      <c r="H1" s="287" t="s">
        <v>23328</v>
      </c>
    </row>
    <row r="2">
      <c r="A2" s="290" t="str">
        <f>IFERROR(__xludf.DUMMYFUNCTION("{
  FILTER(
    IMPORTRANGE(""https://docs.google.com/spreadsheets/d/1Kzg7LngaUig6t2CLabS1fhZ-iD5idrmv1ZesIUVOy1M/edit?gid=1333359070"", ""'PRODUÇÃO 1 - ESCOPO'!E:G""),
    (IMPORTRANGE(""https://docs.google.com/spreadsheets/d/1Kzg7LngaUig6t2CLabS1fhZ-iD5"&amp;"idrmv1ZesIUVOy1M/edit?gid=1333359070"", ""'PRODUÇÃO 1 - ESCOPO'!D:D"") &lt;&gt; """") * 
    (NOT(REGEXMATCH(IMPORTRANGE(""https://docs.google.com/spreadsheets/d/1Kzg7LngaUig6t2CLabS1fhZ-iD5idrmv1ZesIUVOy1M/edit?gid=1333359070"", ""'PRODUÇÃO 1 - ESCOPO'!D:D""),"&amp;" ""ENTREGUE""))) * 
    (IMPORTRANGE(""https://docs.google.com/spreadsheets/d/1Kzg7LngaUig6t2CLabS1fhZ-iD5idrmv1ZesIUVOy1M/edit?gid=1333359070"", ""'PRODUÇÃO 1 - ESCOPO'!H:H"") = 4)
  );
  FILTER(
    IMPORTRANGE(""https://docs.google.com/spreadsheets/d/1"&amp;"Kzg7LngaUig6t2CLabS1fhZ-iD5idrmv1ZesIUVOy1M/edit?gid=2061903610"", ""'PRODUÇÃO 2 - F/ ESCOPO'!E:G""),
    (IMPORTRANGE(""https://docs.google.com/spreadsheets/d/1Kzg7LngaUig6t2CLabS1fhZ-iD5idrmv1ZesIUVOy1M/edit?gid=2061903610"", ""'PRODUÇÃO 2 - F/ ESCOPO'!"&amp;"D:D"") &lt;&gt; """") * 
    (NOT(REGEXMATCH(IMPORTRANGE(""https://docs.google.com/spreadsheets/d/1Kzg7LngaUig6t2CLabS1fhZ-iD5idrmv1ZesIUVOy1M/edit?gid=2061903610"", ""'PRODUÇÃO 2 - F/ ESCOPO'!D:D""), ""ENTREGUE""))) * 
    (IMPORTRANGE(""https://docs.google.co"&amp;"m/spreadsheets/d/1Kzg7LngaUig6t2CLabS1fhZ-iD5idrmv1ZesIUVOy1M/edit?gid=2061903610"", ""'PRODUÇÃO 2 - F/ ESCOPO'!H:H"") = 5)
  )
}
"),"FT40B35")</f>
        <v>FT40B35</v>
      </c>
      <c r="B2" s="291">
        <f>IFERROR(__xludf.DUMMYFUNCTION("""COMPUTED_VALUE"""),13903.0)</f>
        <v>13903</v>
      </c>
      <c r="C2" s="292" t="str">
        <f>IFERROR(__xludf.DUMMYFUNCTION("""COMPUTED_VALUE"""),"PDX")</f>
        <v>PDX</v>
      </c>
      <c r="D2" s="293">
        <f t="shared" ref="D2:D149" si="1">IF(OR(F2&lt;&gt;" ",G2&lt;&gt;"")=TRUE,1,0)</f>
        <v>0</v>
      </c>
      <c r="E2" s="294" t="str">
        <f>IFERROR(__xludf.DUMMYFUNCTION("IFERROR(VLOOKUP(TO_TEXT(B2),PEDIDOS!D:L,9,0),IFERROR(VLOOKUP(B2*1,PEDIDOS!D:L,9,0),"" ""))")," ")</f>
        <v> </v>
      </c>
      <c r="F2" s="295" t="str">
        <f>IFERROR(__xludf.DUMMYFUNCTION("IF(B2="""","""",IFERROR(VLOOKUP(TO_TEXT(B2),PEDIDOS!D:I,6,0),IFERROR(VLOOKUP(B2*1,PEDIDOS!D:I,6,0),"" "")))")," ")</f>
        <v> </v>
      </c>
      <c r="G2" s="296"/>
      <c r="H2" s="297"/>
    </row>
    <row r="3">
      <c r="A3" s="290" t="str">
        <f>IFERROR(__xludf.DUMMYFUNCTION("""COMPUTED_VALUE"""),"FTI55DPTBR")</f>
        <v>FTI55DPTBR</v>
      </c>
      <c r="B3" s="291">
        <f>IFERROR(__xludf.DUMMYFUNCTION("""COMPUTED_VALUE"""),13977.0)</f>
        <v>13977</v>
      </c>
      <c r="C3" s="292" t="str">
        <f>IFERROR(__xludf.DUMMYFUNCTION("""COMPUTED_VALUE"""),"INVERTER")</f>
        <v>INVERTER</v>
      </c>
      <c r="D3" s="293">
        <f t="shared" si="1"/>
        <v>0</v>
      </c>
      <c r="E3" s="294" t="str">
        <f>IFERROR(__xludf.DUMMYFUNCTION("IFERROR(VLOOKUP(TO_TEXT(B3),PEDIDOS!D:L,9,0),IFERROR(VLOOKUP(B3*1,PEDIDOS!D:L,9,0),"" ""))")," ")</f>
        <v> </v>
      </c>
      <c r="F3" s="295" t="str">
        <f>IFERROR(__xludf.DUMMYFUNCTION("IF(B3="""","""",IFERROR(VLOOKUP(TO_TEXT(B3),PEDIDOS!D:I,6,0),IFERROR(VLOOKUP(B3*1,PEDIDOS!D:I,6,0),"" "")))")," ")</f>
        <v> </v>
      </c>
      <c r="G3" s="296"/>
      <c r="H3" s="297"/>
    </row>
    <row r="4" ht="14.25" customHeight="1">
      <c r="A4" s="290" t="str">
        <f>IFERROR(__xludf.DUMMYFUNCTION("""COMPUTED_VALUE"""),"FT40B35T")</f>
        <v>FT40B35T</v>
      </c>
      <c r="B4" s="291">
        <f>IFERROR(__xludf.DUMMYFUNCTION("""COMPUTED_VALUE"""),14082.0)</f>
        <v>14082</v>
      </c>
      <c r="C4" s="292" t="str">
        <f>IFERROR(__xludf.DUMMYFUNCTION("""COMPUTED_VALUE"""),"NORMAL")</f>
        <v>NORMAL</v>
      </c>
      <c r="D4" s="293">
        <f t="shared" si="1"/>
        <v>0</v>
      </c>
      <c r="E4" s="294" t="str">
        <f>IFERROR(__xludf.DUMMYFUNCTION("IFERROR(VLOOKUP(TO_TEXT(B4),PEDIDOS!D:L,9,0),IFERROR(VLOOKUP(B4*1,PEDIDOS!D:L,9,0),"" ""))")," ")</f>
        <v> </v>
      </c>
      <c r="F4" s="295" t="str">
        <f>IFERROR(__xludf.DUMMYFUNCTION("IF(B4="""","""",IFERROR(VLOOKUP(TO_TEXT(B4),PEDIDOS!D:I,6,0),IFERROR(VLOOKUP(B4*1,PEDIDOS!D:I,6,0),"" "")))")," ")</f>
        <v> </v>
      </c>
      <c r="G4" s="296"/>
      <c r="H4" s="297"/>
    </row>
    <row r="5">
      <c r="A5" s="290" t="str">
        <f>IFERROR(__xludf.DUMMYFUNCTION("""COMPUTED_VALUE"""),"FTI55DPTBR")</f>
        <v>FTI55DPTBR</v>
      </c>
      <c r="B5" s="291">
        <f>IFERROR(__xludf.DUMMYFUNCTION("""COMPUTED_VALUE"""),20072.0)</f>
        <v>20072</v>
      </c>
      <c r="C5" s="292" t="str">
        <f>IFERROR(__xludf.DUMMYFUNCTION("""COMPUTED_VALUE"""),"WI-FI")</f>
        <v>WI-FI</v>
      </c>
      <c r="D5" s="293">
        <f t="shared" si="1"/>
        <v>0</v>
      </c>
      <c r="E5" s="294" t="str">
        <f>IFERROR(__xludf.DUMMYFUNCTION("IFERROR(VLOOKUP(TO_TEXT(B5),PEDIDOS!D:L,9,0),IFERROR(VLOOKUP(B5*1,PEDIDOS!D:L,9,0),"" ""))")," ")</f>
        <v> </v>
      </c>
      <c r="F5" s="295" t="str">
        <f>IFERROR(__xludf.DUMMYFUNCTION("IF(B5="""","""",IFERROR(VLOOKUP(TO_TEXT(B5),PEDIDOS!D:I,6,0),IFERROR(VLOOKUP(B5*1,PEDIDOS!D:I,6,0),"" "")))")," ")</f>
        <v> </v>
      </c>
      <c r="G5" s="296"/>
      <c r="H5" s="297"/>
    </row>
    <row r="6">
      <c r="A6" s="290" t="str">
        <f>IFERROR(__xludf.DUMMYFUNCTION("""COMPUTED_VALUE"""),"FH40B60T")</f>
        <v>FH40B60T</v>
      </c>
      <c r="B6" s="291">
        <f>IFERROR(__xludf.DUMMYFUNCTION("""COMPUTED_VALUE"""),20179.0)</f>
        <v>20179</v>
      </c>
      <c r="C6" s="292" t="str">
        <f>IFERROR(__xludf.DUMMYFUNCTION("""COMPUTED_VALUE"""),"NORMAL")</f>
        <v>NORMAL</v>
      </c>
      <c r="D6" s="293">
        <f t="shared" si="1"/>
        <v>0</v>
      </c>
      <c r="E6" s="294" t="str">
        <f>IFERROR(__xludf.DUMMYFUNCTION("IFERROR(VLOOKUP(TO_TEXT(B6),PEDIDOS!D:L,9,0),IFERROR(VLOOKUP(B6*1,PEDIDOS!D:L,9,0),"" ""))")," ")</f>
        <v> </v>
      </c>
      <c r="F6" s="295" t="str">
        <f>IFERROR(__xludf.DUMMYFUNCTION("IF(B6="""","""",IFERROR(VLOOKUP(TO_TEXT(B6),PEDIDOS!D:I,6,0),IFERROR(VLOOKUP(B6*1,PEDIDOS!D:I,6,0),"" "")))")," ")</f>
        <v> </v>
      </c>
      <c r="G6" s="296"/>
      <c r="H6" s="297"/>
    </row>
    <row r="7">
      <c r="A7" s="290" t="str">
        <f>IFERROR(__xludf.DUMMYFUNCTION("""COMPUTED_VALUE"""),"FT40B35W")</f>
        <v>FT40B35W</v>
      </c>
      <c r="B7" s="291">
        <f>IFERROR(__xludf.DUMMYFUNCTION("""COMPUTED_VALUE"""),20184.0)</f>
        <v>20184</v>
      </c>
      <c r="C7" s="292" t="str">
        <f>IFERROR(__xludf.DUMMYFUNCTION("""COMPUTED_VALUE"""),"WI-FI")</f>
        <v>WI-FI</v>
      </c>
      <c r="D7" s="293">
        <f t="shared" si="1"/>
        <v>0</v>
      </c>
      <c r="E7" s="294" t="str">
        <f>IFERROR(__xludf.DUMMYFUNCTION("IFERROR(VLOOKUP(TO_TEXT(B7),PEDIDOS!D:L,9,0),IFERROR(VLOOKUP(B7*1,PEDIDOS!D:L,9,0),"" ""))")," ")</f>
        <v> </v>
      </c>
      <c r="F7" s="295" t="str">
        <f>IFERROR(__xludf.DUMMYFUNCTION("IF(B7="""","""",IFERROR(VLOOKUP(TO_TEXT(B7),PEDIDOS!D:I,6,0),IFERROR(VLOOKUP(B7*1,PEDIDOS!D:I,6,0),"" "")))")," ")</f>
        <v> </v>
      </c>
      <c r="G7" s="296"/>
      <c r="H7" s="297"/>
    </row>
    <row r="8">
      <c r="A8" s="290" t="str">
        <f>IFERROR(__xludf.DUMMYFUNCTION("""COMPUTED_VALUE"""),"FT40B35W")</f>
        <v>FT40B35W</v>
      </c>
      <c r="B8" s="291">
        <f>IFERROR(__xludf.DUMMYFUNCTION("""COMPUTED_VALUE"""),20185.0)</f>
        <v>20185</v>
      </c>
      <c r="C8" s="292" t="str">
        <f>IFERROR(__xludf.DUMMYFUNCTION("""COMPUTED_VALUE"""),"WI-FI")</f>
        <v>WI-FI</v>
      </c>
      <c r="D8" s="293">
        <f t="shared" si="1"/>
        <v>0</v>
      </c>
      <c r="E8" s="294" t="str">
        <f>IFERROR(__xludf.DUMMYFUNCTION("IFERROR(VLOOKUP(TO_TEXT(B8),PEDIDOS!D:L,9,0),IFERROR(VLOOKUP(B8*1,PEDIDOS!D:L,9,0),"" ""))")," ")</f>
        <v> </v>
      </c>
      <c r="F8" s="295" t="str">
        <f>IFERROR(__xludf.DUMMYFUNCTION("IF(B8="""","""",IFERROR(VLOOKUP(TO_TEXT(B8),PEDIDOS!D:I,6,0),IFERROR(VLOOKUP(B8*1,PEDIDOS!D:I,6,0),"" "")))")," ")</f>
        <v> </v>
      </c>
      <c r="G8" s="296"/>
      <c r="H8" s="297"/>
    </row>
    <row r="9">
      <c r="A9" s="290" t="str">
        <f>IFERROR(__xludf.DUMMYFUNCTION("""COMPUTED_VALUE"""),"FT20B35W")</f>
        <v>FT20B35W</v>
      </c>
      <c r="B9" s="291">
        <f>IFERROR(__xludf.DUMMYFUNCTION("""COMPUTED_VALUE"""),20232.0)</f>
        <v>20232</v>
      </c>
      <c r="C9" s="292" t="str">
        <f>IFERROR(__xludf.DUMMYFUNCTION("""COMPUTED_VALUE"""),"WI-FI")</f>
        <v>WI-FI</v>
      </c>
      <c r="D9" s="293">
        <f t="shared" si="1"/>
        <v>0</v>
      </c>
      <c r="E9" s="294" t="str">
        <f>IFERROR(__xludf.DUMMYFUNCTION("IFERROR(VLOOKUP(TO_TEXT(B9),PEDIDOS!D:L,9,0),IFERROR(VLOOKUP(B9*1,PEDIDOS!D:L,9,0),"" ""))")," ")</f>
        <v> </v>
      </c>
      <c r="F9" s="295" t="str">
        <f>IFERROR(__xludf.DUMMYFUNCTION("IF(B9="""","""",IFERROR(VLOOKUP(TO_TEXT(B9),PEDIDOS!D:I,6,0),IFERROR(VLOOKUP(B9*1,PEDIDOS!D:I,6,0),"" "")))")," ")</f>
        <v> </v>
      </c>
      <c r="G9" s="296"/>
      <c r="H9" s="297"/>
    </row>
    <row r="10">
      <c r="A10" s="290" t="str">
        <f>IFERROR(__xludf.DUMMYFUNCTION("""COMPUTED_VALUE"""),"FTI55DPTBR")</f>
        <v>FTI55DPTBR</v>
      </c>
      <c r="B10" s="291">
        <f>IFERROR(__xludf.DUMMYFUNCTION("""COMPUTED_VALUE"""),20252.0)</f>
        <v>20252</v>
      </c>
      <c r="C10" s="292" t="str">
        <f>IFERROR(__xludf.DUMMYFUNCTION("""COMPUTED_VALUE"""),"INVERTER")</f>
        <v>INVERTER</v>
      </c>
      <c r="D10" s="293">
        <f t="shared" si="1"/>
        <v>1</v>
      </c>
      <c r="E10" s="294" t="str">
        <f>IFERROR(__xludf.DUMMYFUNCTION("IFERROR(VLOOKUP(TO_TEXT(B10),PEDIDOS!D:L,9,0),IFERROR(VLOOKUP(B10*1,PEDIDOS!D:L,9,0),"" ""))")," ")</f>
        <v> </v>
      </c>
      <c r="F10" s="295" t="str">
        <f>IFERROR(__xludf.DUMMYFUNCTION("IF(B10="""","""",IFERROR(VLOOKUP(TO_TEXT(B10),PEDIDOS!D:I,6,0),IFERROR(VLOOKUP(B10*1,PEDIDOS!D:I,6,0),"" "")))")," ")</f>
        <v> </v>
      </c>
      <c r="G10" s="296" t="str">
        <f>IFERROR(__xludf.DUMMYFUNCTION("IF(B10="""","""",IFERROR(VLOOKUP(TO_TEXT(B10),PEDIDOS!D:L,7,0),IFERROR(VLOOKUP(B10*1,PEDIDOS!D:L,7,0),"" "")))")," ")</f>
        <v> </v>
      </c>
      <c r="H10" s="297"/>
    </row>
    <row r="11">
      <c r="A11" s="290" t="str">
        <f>IFERROR(__xludf.DUMMYFUNCTION("""COMPUTED_VALUE"""),"FTI55DPTBR")</f>
        <v>FTI55DPTBR</v>
      </c>
      <c r="B11" s="291">
        <f>IFERROR(__xludf.DUMMYFUNCTION("""COMPUTED_VALUE"""),20253.0)</f>
        <v>20253</v>
      </c>
      <c r="C11" s="292" t="str">
        <f>IFERROR(__xludf.DUMMYFUNCTION("""COMPUTED_VALUE"""),"INVERTER")</f>
        <v>INVERTER</v>
      </c>
      <c r="D11" s="293">
        <f t="shared" si="1"/>
        <v>0</v>
      </c>
      <c r="E11" s="294" t="str">
        <f>IFERROR(__xludf.DUMMYFUNCTION("IFERROR(VLOOKUP(TO_TEXT(B11),PEDIDOS!D:L,9,0),IFERROR(VLOOKUP(B11*1,PEDIDOS!D:L,9,0),"" ""))")," ")</f>
        <v> </v>
      </c>
      <c r="F11" s="295" t="str">
        <f>IFERROR(__xludf.DUMMYFUNCTION("IF(B11="""","""",IFERROR(VLOOKUP(TO_TEXT(B11),PEDIDOS!D:I,6,0),IFERROR(VLOOKUP(B11*1,PEDIDOS!D:I,6,0),"" "")))")," ")</f>
        <v> </v>
      </c>
      <c r="G11" s="296"/>
      <c r="H11" s="297"/>
    </row>
    <row r="12">
      <c r="A12" s="290" t="str">
        <f>IFERROR(__xludf.DUMMYFUNCTION("""COMPUTED_VALUE"""),"FTI55DPTBR")</f>
        <v>FTI55DPTBR</v>
      </c>
      <c r="B12" s="291">
        <f>IFERROR(__xludf.DUMMYFUNCTION("""COMPUTED_VALUE"""),20254.0)</f>
        <v>20254</v>
      </c>
      <c r="C12" s="292" t="str">
        <f>IFERROR(__xludf.DUMMYFUNCTION("""COMPUTED_VALUE"""),"INVERTER")</f>
        <v>INVERTER</v>
      </c>
      <c r="D12" s="293">
        <f t="shared" si="1"/>
        <v>0</v>
      </c>
      <c r="E12" s="294" t="str">
        <f>IFERROR(__xludf.DUMMYFUNCTION("IFERROR(VLOOKUP(TO_TEXT(B12),PEDIDOS!D:L,9,0),IFERROR(VLOOKUP(B12*1,PEDIDOS!D:L,9,0),"" ""))")," ")</f>
        <v> </v>
      </c>
      <c r="F12" s="295" t="str">
        <f>IFERROR(__xludf.DUMMYFUNCTION("IF(B12="""","""",IFERROR(VLOOKUP(TO_TEXT(B12),PEDIDOS!D:I,6,0),IFERROR(VLOOKUP(B12*1,PEDIDOS!D:I,6,0),"" "")))")," ")</f>
        <v> </v>
      </c>
      <c r="G12" s="296"/>
      <c r="H12" s="297"/>
    </row>
    <row r="13">
      <c r="A13" s="290" t="str">
        <f>IFERROR(__xludf.DUMMYFUNCTION("""COMPUTED_VALUE"""),"FTI55DPTBR")</f>
        <v>FTI55DPTBR</v>
      </c>
      <c r="B13" s="291">
        <f>IFERROR(__xludf.DUMMYFUNCTION("""COMPUTED_VALUE"""),20255.0)</f>
        <v>20255</v>
      </c>
      <c r="C13" s="292" t="str">
        <f>IFERROR(__xludf.DUMMYFUNCTION("""COMPUTED_VALUE"""),"INVERTER")</f>
        <v>INVERTER</v>
      </c>
      <c r="D13" s="293">
        <f t="shared" si="1"/>
        <v>0</v>
      </c>
      <c r="E13" s="294" t="str">
        <f>IFERROR(__xludf.DUMMYFUNCTION("IFERROR(VLOOKUP(TO_TEXT(B13),PEDIDOS!D:L,9,0),IFERROR(VLOOKUP(B13*1,PEDIDOS!D:L,9,0),"" ""))")," ")</f>
        <v> </v>
      </c>
      <c r="F13" s="295" t="str">
        <f>IFERROR(__xludf.DUMMYFUNCTION("IF(B13="""","""",IFERROR(VLOOKUP(TO_TEXT(B13),PEDIDOS!D:I,6,0),IFERROR(VLOOKUP(B13*1,PEDIDOS!D:I,6,0),"" "")))")," ")</f>
        <v> </v>
      </c>
      <c r="G13" s="296"/>
      <c r="H13" s="297"/>
    </row>
    <row r="14">
      <c r="A14" s="290" t="str">
        <f>IFERROR(__xludf.DUMMYFUNCTION("""COMPUTED_VALUE"""),"FTI55DPTBR")</f>
        <v>FTI55DPTBR</v>
      </c>
      <c r="B14" s="291">
        <f>IFERROR(__xludf.DUMMYFUNCTION("""COMPUTED_VALUE"""),20282.0)</f>
        <v>20282</v>
      </c>
      <c r="C14" s="292" t="str">
        <f>IFERROR(__xludf.DUMMYFUNCTION("""COMPUTED_VALUE"""),"INVERTER")</f>
        <v>INVERTER</v>
      </c>
      <c r="D14" s="293">
        <f t="shared" si="1"/>
        <v>0</v>
      </c>
      <c r="E14" s="294" t="str">
        <f>IFERROR(__xludf.DUMMYFUNCTION("IFERROR(VLOOKUP(TO_TEXT(B14),PEDIDOS!D:L,9,0),IFERROR(VLOOKUP(B14*1,PEDIDOS!D:L,9,0),"" ""))")," ")</f>
        <v> </v>
      </c>
      <c r="F14" s="295" t="str">
        <f>IFERROR(__xludf.DUMMYFUNCTION("IF(B14="""","""",IFERROR(VLOOKUP(TO_TEXT(B14),PEDIDOS!D:I,6,0),IFERROR(VLOOKUP(B14*1,PEDIDOS!D:I,6,0),"" "")))")," ")</f>
        <v> </v>
      </c>
      <c r="G14" s="296"/>
      <c r="H14" s="297"/>
    </row>
    <row r="15">
      <c r="A15" s="290" t="str">
        <f>IFERROR(__xludf.DUMMYFUNCTION("""COMPUTED_VALUE"""),"FTI55DPTBR")</f>
        <v>FTI55DPTBR</v>
      </c>
      <c r="B15" s="291">
        <f>IFERROR(__xludf.DUMMYFUNCTION("""COMPUTED_VALUE"""),20283.0)</f>
        <v>20283</v>
      </c>
      <c r="C15" s="292" t="str">
        <f>IFERROR(__xludf.DUMMYFUNCTION("""COMPUTED_VALUE"""),"INVERTER")</f>
        <v>INVERTER</v>
      </c>
      <c r="D15" s="293">
        <f t="shared" si="1"/>
        <v>0</v>
      </c>
      <c r="E15" s="294" t="str">
        <f>IFERROR(__xludf.DUMMYFUNCTION("IFERROR(VLOOKUP(TO_TEXT(B15),PEDIDOS!D:L,9,0),IFERROR(VLOOKUP(B15*1,PEDIDOS!D:L,9,0),"" ""))")," ")</f>
        <v> </v>
      </c>
      <c r="F15" s="295" t="str">
        <f>IFERROR(__xludf.DUMMYFUNCTION("IF(B15="""","""",IFERROR(VLOOKUP(TO_TEXT(B15),PEDIDOS!D:I,6,0),IFERROR(VLOOKUP(B15*1,PEDIDOS!D:I,6,0),"" "")))")," ")</f>
        <v> </v>
      </c>
      <c r="G15" s="296"/>
      <c r="H15" s="297"/>
    </row>
    <row r="16">
      <c r="A16" s="290" t="str">
        <f>IFERROR(__xludf.DUMMYFUNCTION("""COMPUTED_VALUE"""),"FTI55DPTBR")</f>
        <v>FTI55DPTBR</v>
      </c>
      <c r="B16" s="291">
        <f>IFERROR(__xludf.DUMMYFUNCTION("""COMPUTED_VALUE"""),20284.0)</f>
        <v>20284</v>
      </c>
      <c r="C16" s="292" t="str">
        <f>IFERROR(__xludf.DUMMYFUNCTION("""COMPUTED_VALUE"""),"INVERTER")</f>
        <v>INVERTER</v>
      </c>
      <c r="D16" s="293">
        <f t="shared" si="1"/>
        <v>0</v>
      </c>
      <c r="E16" s="294" t="str">
        <f>IFERROR(__xludf.DUMMYFUNCTION("IFERROR(VLOOKUP(TO_TEXT(B16),PEDIDOS!D:L,9,0),IFERROR(VLOOKUP(B16*1,PEDIDOS!D:L,9,0),"" ""))")," ")</f>
        <v> </v>
      </c>
      <c r="F16" s="295" t="str">
        <f>IFERROR(__xludf.DUMMYFUNCTION("IF(B16="""","""",IFERROR(VLOOKUP(TO_TEXT(B16),PEDIDOS!D:I,6,0),IFERROR(VLOOKUP(B16*1,PEDIDOS!D:I,6,0),"" "")))")," ")</f>
        <v> </v>
      </c>
      <c r="G16" s="296"/>
      <c r="H16" s="297"/>
    </row>
    <row r="17">
      <c r="A17" s="290" t="str">
        <f>IFERROR(__xludf.DUMMYFUNCTION("""COMPUTED_VALUE"""),"FTI55DPTBR")</f>
        <v>FTI55DPTBR</v>
      </c>
      <c r="B17" s="291">
        <f>IFERROR(__xludf.DUMMYFUNCTION("""COMPUTED_VALUE"""),20285.0)</f>
        <v>20285</v>
      </c>
      <c r="C17" s="292" t="str">
        <f>IFERROR(__xludf.DUMMYFUNCTION("""COMPUTED_VALUE"""),"INVERTER")</f>
        <v>INVERTER</v>
      </c>
      <c r="D17" s="293">
        <f t="shared" si="1"/>
        <v>0</v>
      </c>
      <c r="E17" s="294" t="str">
        <f>IFERROR(__xludf.DUMMYFUNCTION("IFERROR(VLOOKUP(TO_TEXT(B17),PEDIDOS!D:L,9,0),IFERROR(VLOOKUP(B17*1,PEDIDOS!D:L,9,0),"" ""))")," ")</f>
        <v> </v>
      </c>
      <c r="F17" s="295" t="str">
        <f>IFERROR(__xludf.DUMMYFUNCTION("IF(B17="""","""",IFERROR(VLOOKUP(TO_TEXT(B17),PEDIDOS!D:I,6,0),IFERROR(VLOOKUP(B17*1,PEDIDOS!D:I,6,0),"" "")))")," ")</f>
        <v> </v>
      </c>
      <c r="G17" s="296"/>
      <c r="H17" s="297"/>
    </row>
    <row r="18">
      <c r="A18" s="290" t="str">
        <f>IFERROR(__xludf.DUMMYFUNCTION("""COMPUTED_VALUE"""),"FTI45DPTBR")</f>
        <v>FTI45DPTBR</v>
      </c>
      <c r="B18" s="291">
        <f>IFERROR(__xludf.DUMMYFUNCTION("""COMPUTED_VALUE"""),20365.0)</f>
        <v>20365</v>
      </c>
      <c r="C18" s="292" t="str">
        <f>IFERROR(__xludf.DUMMYFUNCTION("""COMPUTED_VALUE"""),"INVERTER")</f>
        <v>INVERTER</v>
      </c>
      <c r="D18" s="293">
        <f t="shared" si="1"/>
        <v>1</v>
      </c>
      <c r="E18" s="294">
        <f>IFERROR(__xludf.DUMMYFUNCTION("IFERROR(VLOOKUP(TO_TEXT(B18),PEDIDOS!D:L,9,0),IFERROR(VLOOKUP(B18*1,PEDIDOS!D:L,9,0),"" ""))"),14226.0)</f>
        <v>14226</v>
      </c>
      <c r="F18" s="295" t="str">
        <f>IFERROR(__xludf.DUMMYFUNCTION("IF(B18="""","""",IFERROR(VLOOKUP(TO_TEXT(B18),PEDIDOS!D:I,6,0),IFERROR(VLOOKUP(B18*1,PEDIDOS!D:I,6,0),"" "")))"),"ENTREGUE")</f>
        <v>ENTREGUE</v>
      </c>
      <c r="G18" s="296"/>
      <c r="H18" s="297"/>
    </row>
    <row r="19">
      <c r="A19" s="290" t="str">
        <f>IFERROR(__xludf.DUMMYFUNCTION("""COMPUTED_VALUE"""),"FT60F35T")</f>
        <v>FT60F35T</v>
      </c>
      <c r="B19" s="291" t="str">
        <f>IFERROR(__xludf.DUMMYFUNCTION("""COMPUTED_VALUE"""),"9708")</f>
        <v>9708</v>
      </c>
      <c r="C19" s="292" t="str">
        <f>IFERROR(__xludf.DUMMYFUNCTION("""COMPUTED_VALUE"""),"NORMAL")</f>
        <v>NORMAL</v>
      </c>
      <c r="D19" s="293">
        <f t="shared" si="1"/>
        <v>1</v>
      </c>
      <c r="E19" s="294">
        <f>IFERROR(__xludf.DUMMYFUNCTION("IFERROR(VLOOKUP(TO_TEXT(B19),PEDIDOS!D:L,9,0),IFERROR(VLOOKUP(B19*1,PEDIDOS!D:L,9,0),"" ""))"),13762.0)</f>
        <v>13762</v>
      </c>
      <c r="F19" s="295" t="str">
        <f>IFERROR(__xludf.DUMMYFUNCTION("IF(B19="""","""",IFERROR(VLOOKUP(TO_TEXT(B19),PEDIDOS!D:I,6,0),IFERROR(VLOOKUP(B19*1,PEDIDOS!D:I,6,0),"" "")))"),"ENTREGUE")</f>
        <v>ENTREGUE</v>
      </c>
      <c r="G19" s="296"/>
      <c r="H19" s="297"/>
    </row>
    <row r="20">
      <c r="A20" s="290" t="str">
        <f>IFERROR(__xludf.DUMMYFUNCTION("""COMPUTED_VALUE"""),"FT100L35T")</f>
        <v>FT100L35T</v>
      </c>
      <c r="B20" s="291" t="str">
        <f>IFERROR(__xludf.DUMMYFUNCTION("""COMPUTED_VALUE"""),"10050")</f>
        <v>10050</v>
      </c>
      <c r="C20" s="292" t="str">
        <f>IFERROR(__xludf.DUMMYFUNCTION("""COMPUTED_VALUE"""),"EXT")</f>
        <v>EXT</v>
      </c>
      <c r="D20" s="293">
        <f t="shared" si="1"/>
        <v>0</v>
      </c>
      <c r="E20" s="294" t="str">
        <f>IFERROR(__xludf.DUMMYFUNCTION("IFERROR(VLOOKUP(TO_TEXT(B20),PEDIDOS!D:L,9,0),IFERROR(VLOOKUP(B20*1,PEDIDOS!D:L,9,0),"" ""))")," ")</f>
        <v> </v>
      </c>
      <c r="F20" s="295" t="str">
        <f>IFERROR(__xludf.DUMMYFUNCTION("IF(B20="""","""",IFERROR(VLOOKUP(TO_TEXT(B20),PEDIDOS!D:I,6,0),IFERROR(VLOOKUP(B20*1,PEDIDOS!D:I,6,0),"" "")))")," ")</f>
        <v> </v>
      </c>
      <c r="G20" s="296"/>
      <c r="H20" s="297"/>
    </row>
    <row r="21">
      <c r="A21" s="290" t="str">
        <f>IFERROR(__xludf.DUMMYFUNCTION("""COMPUTED_VALUE"""),"FT60F35T")</f>
        <v>FT60F35T</v>
      </c>
      <c r="B21" s="291" t="str">
        <f>IFERROR(__xludf.DUMMYFUNCTION("""COMPUTED_VALUE"""),"10617")</f>
        <v>10617</v>
      </c>
      <c r="C21" s="292" t="str">
        <f>IFERROR(__xludf.DUMMYFUNCTION("""COMPUTED_VALUE"""),"NORMAL")</f>
        <v>NORMAL</v>
      </c>
      <c r="D21" s="293">
        <f t="shared" si="1"/>
        <v>0</v>
      </c>
      <c r="E21" s="294" t="str">
        <f>IFERROR(__xludf.DUMMYFUNCTION("IFERROR(VLOOKUP(TO_TEXT(B21),PEDIDOS!D:L,9,0),IFERROR(VLOOKUP(B21*1,PEDIDOS!D:L,9,0),"" ""))")," ")</f>
        <v> </v>
      </c>
      <c r="F21" s="295" t="str">
        <f>IFERROR(__xludf.DUMMYFUNCTION("IF(B21="""","""",IFERROR(VLOOKUP(TO_TEXT(B21),PEDIDOS!D:I,6,0),IFERROR(VLOOKUP(B21*1,PEDIDOS!D:I,6,0),"" "")))")," ")</f>
        <v> </v>
      </c>
      <c r="G21" s="296"/>
      <c r="H21" s="297"/>
    </row>
    <row r="22">
      <c r="A22" s="290" t="str">
        <f>IFERROR(__xludf.DUMMYFUNCTION("""COMPUTED_VALUE"""),"FT80H35T")</f>
        <v>FT80H35T</v>
      </c>
      <c r="B22" s="291" t="str">
        <f>IFERROR(__xludf.DUMMYFUNCTION("""COMPUTED_VALUE"""),"11441")</f>
        <v>11441</v>
      </c>
      <c r="C22" s="292" t="str">
        <f>IFERROR(__xludf.DUMMYFUNCTION("""COMPUTED_VALUE"""),"EXT")</f>
        <v>EXT</v>
      </c>
      <c r="D22" s="293">
        <f t="shared" si="1"/>
        <v>0</v>
      </c>
      <c r="E22" s="294" t="str">
        <f>IFERROR(__xludf.DUMMYFUNCTION("IFERROR(VLOOKUP(TO_TEXT(B22),PEDIDOS!D:L,9,0),IFERROR(VLOOKUP(B22*1,PEDIDOS!D:L,9,0),"" ""))")," ")</f>
        <v> </v>
      </c>
      <c r="F22" s="295" t="str">
        <f>IFERROR(__xludf.DUMMYFUNCTION("IF(B22="""","""",IFERROR(VLOOKUP(TO_TEXT(B22),PEDIDOS!D:I,6,0),IFERROR(VLOOKUP(B22*1,PEDIDOS!D:I,6,0),"" "")))")," ")</f>
        <v> </v>
      </c>
      <c r="G22" s="296"/>
      <c r="H22" s="297"/>
    </row>
    <row r="23">
      <c r="A23" s="290" t="str">
        <f>IFERROR(__xludf.DUMMYFUNCTION("""COMPUTED_VALUE"""),"FT80H35T")</f>
        <v>FT80H35T</v>
      </c>
      <c r="B23" s="291" t="str">
        <f>IFERROR(__xludf.DUMMYFUNCTION("""COMPUTED_VALUE"""),"11443")</f>
        <v>11443</v>
      </c>
      <c r="C23" s="292" t="str">
        <f>IFERROR(__xludf.DUMMYFUNCTION("""COMPUTED_VALUE"""),"EXT")</f>
        <v>EXT</v>
      </c>
      <c r="D23" s="293">
        <f t="shared" si="1"/>
        <v>0</v>
      </c>
      <c r="E23" s="294" t="str">
        <f>IFERROR(__xludf.DUMMYFUNCTION("IFERROR(VLOOKUP(TO_TEXT(B23),PEDIDOS!D:L,9,0),IFERROR(VLOOKUP(B23*1,PEDIDOS!D:L,9,0),"" ""))")," ")</f>
        <v> </v>
      </c>
      <c r="F23" s="295" t="str">
        <f>IFERROR(__xludf.DUMMYFUNCTION("IF(B23="""","""",IFERROR(VLOOKUP(TO_TEXT(B23),PEDIDOS!D:I,6,0),IFERROR(VLOOKUP(B23*1,PEDIDOS!D:I,6,0),"" "")))")," ")</f>
        <v> </v>
      </c>
      <c r="G23" s="296"/>
      <c r="H23" s="297"/>
    </row>
    <row r="24">
      <c r="A24" s="290" t="str">
        <f>IFERROR(__xludf.DUMMYFUNCTION("""COMPUTED_VALUE"""),"FT80H35T")</f>
        <v>FT80H35T</v>
      </c>
      <c r="B24" s="291" t="str">
        <f>IFERROR(__xludf.DUMMYFUNCTION("""COMPUTED_VALUE"""),"11651")</f>
        <v>11651</v>
      </c>
      <c r="C24" s="292" t="str">
        <f>IFERROR(__xludf.DUMMYFUNCTION("""COMPUTED_VALUE"""),"EXT")</f>
        <v>EXT</v>
      </c>
      <c r="D24" s="293">
        <f t="shared" si="1"/>
        <v>0</v>
      </c>
      <c r="E24" s="294" t="str">
        <f>IFERROR(__xludf.DUMMYFUNCTION("IFERROR(VLOOKUP(TO_TEXT(B24),PEDIDOS!D:L,9,0),IFERROR(VLOOKUP(B24*1,PEDIDOS!D:L,9,0),"" ""))")," ")</f>
        <v> </v>
      </c>
      <c r="F24" s="295" t="str">
        <f>IFERROR(__xludf.DUMMYFUNCTION("IF(B24="""","""",IFERROR(VLOOKUP(TO_TEXT(B24),PEDIDOS!D:I,6,0),IFERROR(VLOOKUP(B24*1,PEDIDOS!D:I,6,0),"" "")))")," ")</f>
        <v> </v>
      </c>
      <c r="G24" s="296"/>
      <c r="H24" s="297"/>
    </row>
    <row r="25">
      <c r="A25" s="290" t="str">
        <f>IFERROR(__xludf.DUMMYFUNCTION("""COMPUTED_VALUE"""),"FT120B35")</f>
        <v>FT120B35</v>
      </c>
      <c r="B25" s="291" t="str">
        <f>IFERROR(__xludf.DUMMYFUNCTION("""COMPUTED_VALUE"""),"20219")</f>
        <v>20219</v>
      </c>
      <c r="C25" s="292" t="str">
        <f>IFERROR(__xludf.DUMMYFUNCTION("""COMPUTED_VALUE"""),"PDX")</f>
        <v>PDX</v>
      </c>
      <c r="D25" s="293">
        <f t="shared" si="1"/>
        <v>1</v>
      </c>
      <c r="E25" s="294">
        <f>IFERROR(__xludf.DUMMYFUNCTION("IFERROR(VLOOKUP(TO_TEXT(B25),PEDIDOS!D:L,9,0),IFERROR(VLOOKUP(B25*1,PEDIDOS!D:L,9,0),"" ""))"),13537.0)</f>
        <v>13537</v>
      </c>
      <c r="F25" s="295" t="str">
        <f>IFERROR(__xludf.DUMMYFUNCTION("IF(B25="""","""",IFERROR(VLOOKUP(TO_TEXT(B25),PEDIDOS!D:I,6,0),IFERROR(VLOOKUP(B25*1,PEDIDOS!D:I,6,0),"" "")))"),"ENTREGUE")</f>
        <v>ENTREGUE</v>
      </c>
      <c r="G25" s="296"/>
      <c r="H25" s="297"/>
    </row>
    <row r="26">
      <c r="A26" s="290" t="str">
        <f>IFERROR(__xludf.DUMMYFUNCTION("""COMPUTED_VALUE"""),"FT70B35T")</f>
        <v>FT70B35T</v>
      </c>
      <c r="B26" s="291" t="str">
        <f>IFERROR(__xludf.DUMMYFUNCTION("""COMPUTED_VALUE"""),"12188")</f>
        <v>12188</v>
      </c>
      <c r="C26" s="292" t="str">
        <f>IFERROR(__xludf.DUMMYFUNCTION("""COMPUTED_VALUE"""),"NORMAL")</f>
        <v>NORMAL</v>
      </c>
      <c r="D26" s="293">
        <f t="shared" si="1"/>
        <v>0</v>
      </c>
      <c r="E26" s="294" t="str">
        <f>IFERROR(__xludf.DUMMYFUNCTION("IFERROR(VLOOKUP(TO_TEXT(B26),PEDIDOS!D:L,9,0),IFERROR(VLOOKUP(B26*1,PEDIDOS!D:L,9,0),"" ""))")," ")</f>
        <v> </v>
      </c>
      <c r="F26" s="295" t="str">
        <f>IFERROR(__xludf.DUMMYFUNCTION("IF(B26="""","""",IFERROR(VLOOKUP(TO_TEXT(B26),PEDIDOS!D:I,6,0),IFERROR(VLOOKUP(B26*1,PEDIDOS!D:I,6,0),"" "")))")," ")</f>
        <v> </v>
      </c>
      <c r="G26" s="296"/>
      <c r="H26" s="297"/>
    </row>
    <row r="27">
      <c r="A27" s="290" t="str">
        <f>IFERROR(__xludf.DUMMYFUNCTION("""COMPUTED_VALUE"""),"FT120B35T")</f>
        <v>FT120B35T</v>
      </c>
      <c r="B27" s="291" t="str">
        <f>IFERROR(__xludf.DUMMYFUNCTION("""COMPUTED_VALUE"""),"13113")</f>
        <v>13113</v>
      </c>
      <c r="C27" s="292" t="str">
        <f>IFERROR(__xludf.DUMMYFUNCTION("""COMPUTED_VALUE"""),"NORMAL")</f>
        <v>NORMAL</v>
      </c>
      <c r="D27" s="293">
        <f t="shared" si="1"/>
        <v>1</v>
      </c>
      <c r="E27" s="294" t="str">
        <f>IFERROR(__xludf.DUMMYFUNCTION("IFERROR(VLOOKUP(TO_TEXT(B27),PEDIDOS!D:L,9,0),IFERROR(VLOOKUP(B27*1,PEDIDOS!D:L,9,0),"" ""))")," ")</f>
        <v> </v>
      </c>
      <c r="F27" s="295" t="str">
        <f>IFERROR(__xludf.DUMMYFUNCTION("IF(B27="""","""",IFERROR(VLOOKUP(TO_TEXT(B27),PEDIDOS!D:I,6,0),IFERROR(VLOOKUP(B27*1,PEDIDOS!D:I,6,0),"" "")))")," ")</f>
        <v> </v>
      </c>
      <c r="G27" s="296" t="str">
        <f>IFERROR(__xludf.DUMMYFUNCTION("IF(B27="""","""",IFERROR(VLOOKUP(TO_TEXT(B27),PEDIDOS!D:L,7,0),IFERROR(VLOOKUP(B27*1,PEDIDOS!D:L,7,0),"" "")))")," ")</f>
        <v> </v>
      </c>
      <c r="H27" s="297"/>
    </row>
    <row r="28">
      <c r="A28" s="290" t="str">
        <f>IFERROR(__xludf.DUMMYFUNCTION("""COMPUTED_VALUE"""),"FT60F35")</f>
        <v>FT60F35</v>
      </c>
      <c r="B28" s="291" t="str">
        <f>IFERROR(__xludf.DUMMYFUNCTION("""COMPUTED_VALUE"""),"13190")</f>
        <v>13190</v>
      </c>
      <c r="C28" s="292" t="str">
        <f>IFERROR(__xludf.DUMMYFUNCTION("""COMPUTED_VALUE"""),"PDX")</f>
        <v>PDX</v>
      </c>
      <c r="D28" s="293">
        <f t="shared" si="1"/>
        <v>0</v>
      </c>
      <c r="E28" s="294" t="str">
        <f>IFERROR(__xludf.DUMMYFUNCTION("IFERROR(VLOOKUP(TO_TEXT(B28),PEDIDOS!D:L,9,0),IFERROR(VLOOKUP(B28*1,PEDIDOS!D:L,9,0),"" ""))")," ")</f>
        <v> </v>
      </c>
      <c r="F28" s="295" t="str">
        <f>IFERROR(__xludf.DUMMYFUNCTION("IF(B28="""","""",IFERROR(VLOOKUP(TO_TEXT(B28),PEDIDOS!D:I,6,0),IFERROR(VLOOKUP(B28*1,PEDIDOS!D:I,6,0),"" "")))")," ")</f>
        <v> </v>
      </c>
      <c r="G28" s="296"/>
      <c r="H28" s="297"/>
    </row>
    <row r="29">
      <c r="A29" s="290" t="str">
        <f>IFERROR(__xludf.DUMMYFUNCTION("""COMPUTED_VALUE"""),"FT60J35T")</f>
        <v>FT60J35T</v>
      </c>
      <c r="B29" s="291" t="str">
        <f>IFERROR(__xludf.DUMMYFUNCTION("""COMPUTED_VALUE"""),"13313")</f>
        <v>13313</v>
      </c>
      <c r="C29" s="292" t="str">
        <f>IFERROR(__xludf.DUMMYFUNCTION("""COMPUTED_VALUE"""),"NORMAL")</f>
        <v>NORMAL</v>
      </c>
      <c r="D29" s="293">
        <f t="shared" si="1"/>
        <v>0</v>
      </c>
      <c r="E29" s="294" t="str">
        <f>IFERROR(__xludf.DUMMYFUNCTION("IFERROR(VLOOKUP(TO_TEXT(B29),PEDIDOS!D:L,9,0),IFERROR(VLOOKUP(B29*1,PEDIDOS!D:L,9,0),"" ""))")," ")</f>
        <v> </v>
      </c>
      <c r="F29" s="295" t="str">
        <f>IFERROR(__xludf.DUMMYFUNCTION("IF(B29="""","""",IFERROR(VLOOKUP(TO_TEXT(B29),PEDIDOS!D:I,6,0),IFERROR(VLOOKUP(B29*1,PEDIDOS!D:I,6,0),"" "")))")," ")</f>
        <v> </v>
      </c>
      <c r="G29" s="296"/>
      <c r="H29" s="297"/>
    </row>
    <row r="30">
      <c r="A30" s="290" t="str">
        <f>IFERROR(__xludf.DUMMYFUNCTION("""COMPUTED_VALUE"""),"FT120L35T")</f>
        <v>FT120L35T</v>
      </c>
      <c r="B30" s="291" t="str">
        <f>IFERROR(__xludf.DUMMYFUNCTION("""COMPUTED_VALUE"""),"13327")</f>
        <v>13327</v>
      </c>
      <c r="C30" s="292" t="str">
        <f>IFERROR(__xludf.DUMMYFUNCTION("""COMPUTED_VALUE"""),"NORMAL")</f>
        <v>NORMAL</v>
      </c>
      <c r="D30" s="293">
        <f t="shared" si="1"/>
        <v>1</v>
      </c>
      <c r="E30" s="294" t="str">
        <f>IFERROR(__xludf.DUMMYFUNCTION("IFERROR(VLOOKUP(TO_TEXT(B30),PEDIDOS!D:L,9,0),IFERROR(VLOOKUP(B30*1,PEDIDOS!D:L,9,0),"" ""))")," ")</f>
        <v> </v>
      </c>
      <c r="F30" s="295" t="str">
        <f>IFERROR(__xludf.DUMMYFUNCTION("IF(B30="""","""",IFERROR(VLOOKUP(TO_TEXT(B30),PEDIDOS!D:I,6,0),IFERROR(VLOOKUP(B30*1,PEDIDOS!D:I,6,0),"" "")))")," ")</f>
        <v> </v>
      </c>
      <c r="G30" s="296" t="str">
        <f>IFERROR(__xludf.DUMMYFUNCTION("IF(B30="""","""",IFERROR(VLOOKUP(TO_TEXT(B30),PEDIDOS!D:L,7,0),IFERROR(VLOOKUP(B30*1,PEDIDOS!D:L,7,0),"" "")))")," ")</f>
        <v> </v>
      </c>
      <c r="H30" s="297"/>
    </row>
    <row r="31">
      <c r="A31" s="290" t="str">
        <f>IFERROR(__xludf.DUMMYFUNCTION("""COMPUTED_VALUE"""),"FT240J35")</f>
        <v>FT240J35</v>
      </c>
      <c r="B31" s="291" t="str">
        <f>IFERROR(__xludf.DUMMYFUNCTION("""COMPUTED_VALUE"""),"13353")</f>
        <v>13353</v>
      </c>
      <c r="C31" s="292" t="str">
        <f>IFERROR(__xludf.DUMMYFUNCTION("""COMPUTED_VALUE"""),"PDX")</f>
        <v>PDX</v>
      </c>
      <c r="D31" s="293">
        <f t="shared" si="1"/>
        <v>0</v>
      </c>
      <c r="E31" s="294" t="str">
        <f>IFERROR(__xludf.DUMMYFUNCTION("IFERROR(VLOOKUP(TO_TEXT(B31),PEDIDOS!D:L,9,0),IFERROR(VLOOKUP(B31*1,PEDIDOS!D:L,9,0),"" ""))")," ")</f>
        <v> </v>
      </c>
      <c r="F31" s="295" t="str">
        <f>IFERROR(__xludf.DUMMYFUNCTION("IF(B31="""","""",IFERROR(VLOOKUP(TO_TEXT(B31),PEDIDOS!D:I,6,0),IFERROR(VLOOKUP(B31*1,PEDIDOS!D:I,6,0),"" "")))")," ")</f>
        <v> </v>
      </c>
      <c r="G31" s="296"/>
      <c r="H31" s="297"/>
    </row>
    <row r="32">
      <c r="A32" s="290" t="str">
        <f>IFERROR(__xludf.DUMMYFUNCTION("""COMPUTED_VALUE"""),"FT120J35")</f>
        <v>FT120J35</v>
      </c>
      <c r="B32" s="291" t="str">
        <f>IFERROR(__xludf.DUMMYFUNCTION("""COMPUTED_VALUE"""),"13718")</f>
        <v>13718</v>
      </c>
      <c r="C32" s="292" t="str">
        <f>IFERROR(__xludf.DUMMYFUNCTION("""COMPUTED_VALUE"""),"PDX")</f>
        <v>PDX</v>
      </c>
      <c r="D32" s="293">
        <f t="shared" si="1"/>
        <v>0</v>
      </c>
      <c r="E32" s="294" t="str">
        <f>IFERROR(__xludf.DUMMYFUNCTION("IFERROR(VLOOKUP(TO_TEXT(B32),PEDIDOS!D:L,9,0),IFERROR(VLOOKUP(B32*1,PEDIDOS!D:L,9,0),"" ""))")," ")</f>
        <v> </v>
      </c>
      <c r="F32" s="295" t="str">
        <f>IFERROR(__xludf.DUMMYFUNCTION("IF(B32="""","""",IFERROR(VLOOKUP(TO_TEXT(B32),PEDIDOS!D:I,6,0),IFERROR(VLOOKUP(B32*1,PEDIDOS!D:I,6,0),"" "")))")," ")</f>
        <v> </v>
      </c>
      <c r="G32" s="296"/>
      <c r="H32" s="297"/>
    </row>
    <row r="33">
      <c r="A33" s="290" t="str">
        <f>IFERROR(__xludf.DUMMYFUNCTION("""COMPUTED_VALUE"""),"FT160F35")</f>
        <v>FT160F35</v>
      </c>
      <c r="B33" s="291" t="str">
        <f>IFERROR(__xludf.DUMMYFUNCTION("""COMPUTED_VALUE"""),"13751")</f>
        <v>13751</v>
      </c>
      <c r="C33" s="292" t="str">
        <f>IFERROR(__xludf.DUMMYFUNCTION("""COMPUTED_VALUE"""),"PDX")</f>
        <v>PDX</v>
      </c>
      <c r="D33" s="293">
        <f t="shared" si="1"/>
        <v>1</v>
      </c>
      <c r="E33" s="294">
        <f>IFERROR(__xludf.DUMMYFUNCTION("IFERROR(VLOOKUP(TO_TEXT(B33),PEDIDOS!D:L,9,0),IFERROR(VLOOKUP(B33*1,PEDIDOS!D:L,9,0),"" ""))"),14121.0)</f>
        <v>14121</v>
      </c>
      <c r="F33" s="295" t="str">
        <f>IFERROR(__xludf.DUMMYFUNCTION("IF(B33="""","""",IFERROR(VLOOKUP(TO_TEXT(B33),PEDIDOS!D:I,6,0),IFERROR(VLOOKUP(B33*1,PEDIDOS!D:I,6,0),"" "")))"),"ENTREGUE")</f>
        <v>ENTREGUE</v>
      </c>
      <c r="G33" s="296"/>
      <c r="H33" s="297"/>
    </row>
    <row r="34">
      <c r="A34" s="290" t="str">
        <f>IFERROR(__xludf.DUMMYFUNCTION("""COMPUTED_VALUE"""),"FTI75DPTBR")</f>
        <v>FTI75DPTBR</v>
      </c>
      <c r="B34" s="291" t="str">
        <f>IFERROR(__xludf.DUMMYFUNCTION("""COMPUTED_VALUE"""),"13932")</f>
        <v>13932</v>
      </c>
      <c r="C34" s="292" t="str">
        <f>IFERROR(__xludf.DUMMYFUNCTION("""COMPUTED_VALUE"""),"WI-FI")</f>
        <v>WI-FI</v>
      </c>
      <c r="D34" s="293">
        <f t="shared" si="1"/>
        <v>0</v>
      </c>
      <c r="E34" s="294" t="str">
        <f>IFERROR(__xludf.DUMMYFUNCTION("IFERROR(VLOOKUP(TO_TEXT(B34),PEDIDOS!D:L,9,0),IFERROR(VLOOKUP(B34*1,PEDIDOS!D:L,9,0),"" ""))")," ")</f>
        <v> </v>
      </c>
      <c r="F34" s="295" t="str">
        <f>IFERROR(__xludf.DUMMYFUNCTION("IF(B34="""","""",IFERROR(VLOOKUP(TO_TEXT(B34),PEDIDOS!D:I,6,0),IFERROR(VLOOKUP(B34*1,PEDIDOS!D:I,6,0),"" "")))")," ")</f>
        <v> </v>
      </c>
      <c r="G34" s="296"/>
      <c r="H34" s="297"/>
    </row>
    <row r="35" ht="13.5" customHeight="1">
      <c r="A35" s="290" t="str">
        <f>IFERROR(__xludf.DUMMYFUNCTION("""COMPUTED_VALUE"""),"FT160F35")</f>
        <v>FT160F35</v>
      </c>
      <c r="B35" s="291" t="str">
        <f>IFERROR(__xludf.DUMMYFUNCTION("""COMPUTED_VALUE"""),"13972")</f>
        <v>13972</v>
      </c>
      <c r="C35" s="292" t="str">
        <f>IFERROR(__xludf.DUMMYFUNCTION("""COMPUTED_VALUE"""),"PDX")</f>
        <v>PDX</v>
      </c>
      <c r="D35" s="293">
        <f t="shared" si="1"/>
        <v>0</v>
      </c>
      <c r="E35" s="294" t="str">
        <f>IFERROR(__xludf.DUMMYFUNCTION("IFERROR(VLOOKUP(TO_TEXT(B35),PEDIDOS!D:L,9,0),IFERROR(VLOOKUP(B35*1,PEDIDOS!D:L,9,0),"" ""))")," ")</f>
        <v> </v>
      </c>
      <c r="F35" s="295" t="str">
        <f>IFERROR(__xludf.DUMMYFUNCTION("IF(B35="""","""",IFERROR(VLOOKUP(TO_TEXT(B35),PEDIDOS!D:I,6,0),IFERROR(VLOOKUP(B35*1,PEDIDOS!D:I,6,0),"" "")))")," ")</f>
        <v> </v>
      </c>
      <c r="G35" s="296"/>
      <c r="H35" s="297"/>
    </row>
    <row r="36">
      <c r="A36" s="290" t="str">
        <f>IFERROR(__xludf.DUMMYFUNCTION("""COMPUTED_VALUE"""),"FT60B35W")</f>
        <v>FT60B35W</v>
      </c>
      <c r="B36" s="291" t="str">
        <f>IFERROR(__xludf.DUMMYFUNCTION("""COMPUTED_VALUE"""),"14023")</f>
        <v>14023</v>
      </c>
      <c r="C36" s="292" t="str">
        <f>IFERROR(__xludf.DUMMYFUNCTION("""COMPUTED_VALUE"""),"WI-FI")</f>
        <v>WI-FI</v>
      </c>
      <c r="D36" s="293">
        <f t="shared" si="1"/>
        <v>0</v>
      </c>
      <c r="E36" s="294" t="str">
        <f>IFERROR(__xludf.DUMMYFUNCTION("IFERROR(VLOOKUP(TO_TEXT(B36),PEDIDOS!D:L,9,0),IFERROR(VLOOKUP(B36*1,PEDIDOS!D:L,9,0),"" ""))")," ")</f>
        <v> </v>
      </c>
      <c r="F36" s="295" t="str">
        <f>IFERROR(__xludf.DUMMYFUNCTION("IF(B36="""","""",IFERROR(VLOOKUP(TO_TEXT(B36),PEDIDOS!D:I,6,0),IFERROR(VLOOKUP(B36*1,PEDIDOS!D:I,6,0),"" "")))")," ")</f>
        <v> </v>
      </c>
      <c r="G36" s="296"/>
      <c r="H36" s="297"/>
    </row>
    <row r="37">
      <c r="A37" s="290" t="str">
        <f>IFERROR(__xludf.DUMMYFUNCTION("""COMPUTED_VALUE"""),"FT240J35T")</f>
        <v>FT240J35T</v>
      </c>
      <c r="B37" s="291" t="str">
        <f>IFERROR(__xludf.DUMMYFUNCTION("""COMPUTED_VALUE"""),"14050")</f>
        <v>14050</v>
      </c>
      <c r="C37" s="292" t="str">
        <f>IFERROR(__xludf.DUMMYFUNCTION("""COMPUTED_VALUE"""),"NORMAL")</f>
        <v>NORMAL</v>
      </c>
      <c r="D37" s="293">
        <f t="shared" si="1"/>
        <v>0</v>
      </c>
      <c r="E37" s="294" t="str">
        <f>IFERROR(__xludf.DUMMYFUNCTION("IFERROR(VLOOKUP(TO_TEXT(B37),PEDIDOS!D:L,9,0),IFERROR(VLOOKUP(B37*1,PEDIDOS!D:L,9,0),"" ""))")," ")</f>
        <v> </v>
      </c>
      <c r="F37" s="295" t="str">
        <f>IFERROR(__xludf.DUMMYFUNCTION("IF(B37="""","""",IFERROR(VLOOKUP(TO_TEXT(B37),PEDIDOS!D:I,6,0),IFERROR(VLOOKUP(B37*1,PEDIDOS!D:I,6,0),"" "")))")," ")</f>
        <v> </v>
      </c>
      <c r="G37" s="296"/>
      <c r="H37" s="297"/>
    </row>
    <row r="38">
      <c r="A38" s="290" t="str">
        <f>IFERROR(__xludf.DUMMYFUNCTION("""COMPUTED_VALUE"""),"FT160J35T")</f>
        <v>FT160J35T</v>
      </c>
      <c r="B38" s="291" t="str">
        <f>IFERROR(__xludf.DUMMYFUNCTION("""COMPUTED_VALUE"""),"14089")</f>
        <v>14089</v>
      </c>
      <c r="C38" s="292" t="str">
        <f>IFERROR(__xludf.DUMMYFUNCTION("""COMPUTED_VALUE"""),"SOBREPOR")</f>
        <v>SOBREPOR</v>
      </c>
      <c r="D38" s="293">
        <f t="shared" si="1"/>
        <v>0</v>
      </c>
      <c r="E38" s="294" t="str">
        <f>IFERROR(__xludf.DUMMYFUNCTION("IFERROR(VLOOKUP(TO_TEXT(B38),PEDIDOS!D:L,9,0),IFERROR(VLOOKUP(B38*1,PEDIDOS!D:L,9,0),"" ""))")," ")</f>
        <v> </v>
      </c>
      <c r="F38" s="295" t="str">
        <f>IFERROR(__xludf.DUMMYFUNCTION("IF(B38="""","""",IFERROR(VLOOKUP(TO_TEXT(B38),PEDIDOS!D:I,6,0),IFERROR(VLOOKUP(B38*1,PEDIDOS!D:I,6,0),"" "")))")," ")</f>
        <v> </v>
      </c>
      <c r="G38" s="296"/>
      <c r="H38" s="297"/>
    </row>
    <row r="39">
      <c r="A39" s="290" t="str">
        <f>IFERROR(__xludf.DUMMYFUNCTION("""COMPUTED_VALUE"""),"FH160L60T")</f>
        <v>FH160L60T</v>
      </c>
      <c r="B39" s="291" t="str">
        <f>IFERROR(__xludf.DUMMYFUNCTION("""COMPUTED_VALUE"""),"20005")</f>
        <v>20005</v>
      </c>
      <c r="C39" s="292" t="str">
        <f>IFERROR(__xludf.DUMMYFUNCTION("""COMPUTED_VALUE"""),"NORMAL")</f>
        <v>NORMAL</v>
      </c>
      <c r="D39" s="293">
        <f t="shared" si="1"/>
        <v>0</v>
      </c>
      <c r="E39" s="294" t="str">
        <f>IFERROR(__xludf.DUMMYFUNCTION("IFERROR(VLOOKUP(TO_TEXT(B39),PEDIDOS!D:L,9,0),IFERROR(VLOOKUP(B39*1,PEDIDOS!D:L,9,0),"" ""))")," ")</f>
        <v> </v>
      </c>
      <c r="F39" s="295" t="str">
        <f>IFERROR(__xludf.DUMMYFUNCTION("IF(B39="""","""",IFERROR(VLOOKUP(TO_TEXT(B39),PEDIDOS!D:I,6,0),IFERROR(VLOOKUP(B39*1,PEDIDOS!D:I,6,0),"" "")))")," ")</f>
        <v> </v>
      </c>
      <c r="G39" s="296"/>
      <c r="H39" s="297"/>
    </row>
    <row r="40">
      <c r="A40" s="290" t="str">
        <f>IFERROR(__xludf.DUMMYFUNCTION("""COMPUTED_VALUE"""),"FT60J35T")</f>
        <v>FT60J35T</v>
      </c>
      <c r="B40" s="291" t="str">
        <f>IFERROR(__xludf.DUMMYFUNCTION("""COMPUTED_VALUE"""),"20008")</f>
        <v>20008</v>
      </c>
      <c r="C40" s="292" t="str">
        <f>IFERROR(__xludf.DUMMYFUNCTION("""COMPUTED_VALUE"""),"NORMAL")</f>
        <v>NORMAL</v>
      </c>
      <c r="D40" s="293">
        <f t="shared" si="1"/>
        <v>0</v>
      </c>
      <c r="E40" s="294" t="str">
        <f>IFERROR(__xludf.DUMMYFUNCTION("IFERROR(VLOOKUP(TO_TEXT(B40),PEDIDOS!D:L,9,0),IFERROR(VLOOKUP(B40*1,PEDIDOS!D:L,9,0),"" ""))")," ")</f>
        <v> </v>
      </c>
      <c r="F40" s="295" t="str">
        <f>IFERROR(__xludf.DUMMYFUNCTION("IF(B40="""","""",IFERROR(VLOOKUP(TO_TEXT(B40),PEDIDOS!D:I,6,0),IFERROR(VLOOKUP(B40*1,PEDIDOS!D:I,6,0),"" "")))")," ")</f>
        <v> </v>
      </c>
      <c r="G40" s="296"/>
      <c r="H40" s="297"/>
    </row>
    <row r="41">
      <c r="A41" s="290" t="str">
        <f>IFERROR(__xludf.DUMMYFUNCTION("""COMPUTED_VALUE"""),"FT60J35T")</f>
        <v>FT60J35T</v>
      </c>
      <c r="B41" s="291" t="str">
        <f>IFERROR(__xludf.DUMMYFUNCTION("""COMPUTED_VALUE"""),"20009")</f>
        <v>20009</v>
      </c>
      <c r="C41" s="292" t="str">
        <f>IFERROR(__xludf.DUMMYFUNCTION("""COMPUTED_VALUE"""),"NORMAL")</f>
        <v>NORMAL</v>
      </c>
      <c r="D41" s="293">
        <f t="shared" si="1"/>
        <v>0</v>
      </c>
      <c r="E41" s="294" t="str">
        <f>IFERROR(__xludf.DUMMYFUNCTION("IFERROR(VLOOKUP(TO_TEXT(B41),PEDIDOS!D:L,9,0),IFERROR(VLOOKUP(B41*1,PEDIDOS!D:L,9,0),"" ""))")," ")</f>
        <v> </v>
      </c>
      <c r="F41" s="295" t="str">
        <f>IFERROR(__xludf.DUMMYFUNCTION("IF(B41="""","""",IFERROR(VLOOKUP(TO_TEXT(B41),PEDIDOS!D:I,6,0),IFERROR(VLOOKUP(B41*1,PEDIDOS!D:I,6,0),"" "")))")," ")</f>
        <v> </v>
      </c>
      <c r="G41" s="296"/>
      <c r="H41" s="297"/>
    </row>
    <row r="42">
      <c r="A42" s="290" t="str">
        <f>IFERROR(__xludf.DUMMYFUNCTION("""COMPUTED_VALUE"""),"FT60J35T")</f>
        <v>FT60J35T</v>
      </c>
      <c r="B42" s="291" t="str">
        <f>IFERROR(__xludf.DUMMYFUNCTION("""COMPUTED_VALUE"""),"20010")</f>
        <v>20010</v>
      </c>
      <c r="C42" s="292" t="str">
        <f>IFERROR(__xludf.DUMMYFUNCTION("""COMPUTED_VALUE"""),"NORMAL")</f>
        <v>NORMAL</v>
      </c>
      <c r="D42" s="293">
        <f t="shared" si="1"/>
        <v>0</v>
      </c>
      <c r="E42" s="294" t="str">
        <f>IFERROR(__xludf.DUMMYFUNCTION("IFERROR(VLOOKUP(TO_TEXT(B42),PEDIDOS!D:L,9,0),IFERROR(VLOOKUP(B42*1,PEDIDOS!D:L,9,0),"" ""))")," ")</f>
        <v> </v>
      </c>
      <c r="F42" s="295" t="str">
        <f>IFERROR(__xludf.DUMMYFUNCTION("IF(B42="""","""",IFERROR(VLOOKUP(TO_TEXT(B42),PEDIDOS!D:I,6,0),IFERROR(VLOOKUP(B42*1,PEDIDOS!D:I,6,0),"" "")))")," ")</f>
        <v> </v>
      </c>
      <c r="G42" s="296"/>
      <c r="H42" s="297"/>
    </row>
    <row r="43">
      <c r="A43" s="290" t="str">
        <f>IFERROR(__xludf.DUMMYFUNCTION("""COMPUTED_VALUE"""),"FT180F35")</f>
        <v>FT180F35</v>
      </c>
      <c r="B43" s="291" t="str">
        <f>IFERROR(__xludf.DUMMYFUNCTION("""COMPUTED_VALUE"""),"20037")</f>
        <v>20037</v>
      </c>
      <c r="C43" s="292" t="str">
        <f>IFERROR(__xludf.DUMMYFUNCTION("""COMPUTED_VALUE"""),"PDX")</f>
        <v>PDX</v>
      </c>
      <c r="D43" s="293">
        <f t="shared" si="1"/>
        <v>0</v>
      </c>
      <c r="E43" s="294" t="str">
        <f>IFERROR(__xludf.DUMMYFUNCTION("IFERROR(VLOOKUP(TO_TEXT(B43),PEDIDOS!D:L,9,0),IFERROR(VLOOKUP(B43*1,PEDIDOS!D:L,9,0),"" ""))")," ")</f>
        <v> </v>
      </c>
      <c r="F43" s="295" t="str">
        <f>IFERROR(__xludf.DUMMYFUNCTION("IF(B43="""","""",IFERROR(VLOOKUP(TO_TEXT(B43),PEDIDOS!D:I,6,0),IFERROR(VLOOKUP(B43*1,PEDIDOS!D:I,6,0),"" "")))")," ")</f>
        <v> </v>
      </c>
      <c r="G43" s="296"/>
      <c r="H43" s="297"/>
    </row>
    <row r="44">
      <c r="A44" s="290" t="str">
        <f>IFERROR(__xludf.DUMMYFUNCTION("""COMPUTED_VALUE"""),"FT180J35")</f>
        <v>FT180J35</v>
      </c>
      <c r="B44" s="291" t="str">
        <f>IFERROR(__xludf.DUMMYFUNCTION("""COMPUTED_VALUE"""),"20038")</f>
        <v>20038</v>
      </c>
      <c r="C44" s="292" t="str">
        <f>IFERROR(__xludf.DUMMYFUNCTION("""COMPUTED_VALUE"""),"PDX")</f>
        <v>PDX</v>
      </c>
      <c r="D44" s="293">
        <f t="shared" si="1"/>
        <v>0</v>
      </c>
      <c r="E44" s="294" t="str">
        <f>IFERROR(__xludf.DUMMYFUNCTION("IFERROR(VLOOKUP(TO_TEXT(B44),PEDIDOS!D:L,9,0),IFERROR(VLOOKUP(B44*1,PEDIDOS!D:L,9,0),"" ""))")," ")</f>
        <v> </v>
      </c>
      <c r="F44" s="295" t="str">
        <f>IFERROR(__xludf.DUMMYFUNCTION("IF(B44="""","""",IFERROR(VLOOKUP(TO_TEXT(B44),PEDIDOS!D:I,6,0),IFERROR(VLOOKUP(B44*1,PEDIDOS!D:I,6,0),"" "")))")," ")</f>
        <v> </v>
      </c>
      <c r="G44" s="296"/>
      <c r="H44" s="297"/>
    </row>
    <row r="45">
      <c r="A45" s="290" t="str">
        <f>IFERROR(__xludf.DUMMYFUNCTION("""COMPUTED_VALUE"""),"FT160H35T")</f>
        <v>FT160H35T</v>
      </c>
      <c r="B45" s="291" t="str">
        <f>IFERROR(__xludf.DUMMYFUNCTION("""COMPUTED_VALUE"""),"20042")</f>
        <v>20042</v>
      </c>
      <c r="C45" s="292" t="str">
        <f>IFERROR(__xludf.DUMMYFUNCTION("""COMPUTED_VALUE"""),"NORMAL")</f>
        <v>NORMAL</v>
      </c>
      <c r="D45" s="293">
        <f t="shared" si="1"/>
        <v>0</v>
      </c>
      <c r="E45" s="294" t="str">
        <f>IFERROR(__xludf.DUMMYFUNCTION("IFERROR(VLOOKUP(TO_TEXT(B45),PEDIDOS!D:L,9,0),IFERROR(VLOOKUP(B45*1,PEDIDOS!D:L,9,0),"" ""))")," ")</f>
        <v> </v>
      </c>
      <c r="F45" s="295" t="str">
        <f>IFERROR(__xludf.DUMMYFUNCTION("IF(B45="""","""",IFERROR(VLOOKUP(TO_TEXT(B45),PEDIDOS!D:I,6,0),IFERROR(VLOOKUP(B45*1,PEDIDOS!D:I,6,0),"" "")))")," ")</f>
        <v> </v>
      </c>
      <c r="G45" s="296"/>
      <c r="H45" s="297"/>
    </row>
    <row r="46">
      <c r="A46" s="290" t="str">
        <f>IFERROR(__xludf.DUMMYFUNCTION("""COMPUTED_VALUE"""),"FT160H35T")</f>
        <v>FT160H35T</v>
      </c>
      <c r="B46" s="291" t="str">
        <f>IFERROR(__xludf.DUMMYFUNCTION("""COMPUTED_VALUE"""),"20043")</f>
        <v>20043</v>
      </c>
      <c r="C46" s="292" t="str">
        <f>IFERROR(__xludf.DUMMYFUNCTION("""COMPUTED_VALUE"""),"NORMAL")</f>
        <v>NORMAL</v>
      </c>
      <c r="D46" s="293">
        <f t="shared" si="1"/>
        <v>0</v>
      </c>
      <c r="E46" s="294" t="str">
        <f>IFERROR(__xludf.DUMMYFUNCTION("IFERROR(VLOOKUP(TO_TEXT(B46),PEDIDOS!D:L,9,0),IFERROR(VLOOKUP(B46*1,PEDIDOS!D:L,9,0),"" ""))")," ")</f>
        <v> </v>
      </c>
      <c r="F46" s="295" t="str">
        <f>IFERROR(__xludf.DUMMYFUNCTION("IF(B46="""","""",IFERROR(VLOOKUP(TO_TEXT(B46),PEDIDOS!D:I,6,0),IFERROR(VLOOKUP(B46*1,PEDIDOS!D:I,6,0),"" "")))")," ")</f>
        <v> </v>
      </c>
      <c r="G46" s="296"/>
      <c r="H46" s="297"/>
    </row>
    <row r="47">
      <c r="A47" s="290" t="str">
        <f>IFERROR(__xludf.DUMMYFUNCTION("""COMPUTED_VALUE"""),"FH100L60T")</f>
        <v>FH100L60T</v>
      </c>
      <c r="B47" s="291" t="str">
        <f>IFERROR(__xludf.DUMMYFUNCTION("""COMPUTED_VALUE"""),"20137")</f>
        <v>20137</v>
      </c>
      <c r="C47" s="292" t="str">
        <f>IFERROR(__xludf.DUMMYFUNCTION("""COMPUTED_VALUE"""),"NORMAL")</f>
        <v>NORMAL</v>
      </c>
      <c r="D47" s="293">
        <f t="shared" si="1"/>
        <v>0</v>
      </c>
      <c r="E47" s="294" t="str">
        <f>IFERROR(__xludf.DUMMYFUNCTION("IFERROR(VLOOKUP(TO_TEXT(B47),PEDIDOS!D:L,9,0),IFERROR(VLOOKUP(B47*1,PEDIDOS!D:L,9,0),"" ""))")," ")</f>
        <v> </v>
      </c>
      <c r="F47" s="295" t="str">
        <f>IFERROR(__xludf.DUMMYFUNCTION("IF(B47="""","""",IFERROR(VLOOKUP(TO_TEXT(B47),PEDIDOS!D:I,6,0),IFERROR(VLOOKUP(B47*1,PEDIDOS!D:I,6,0),"" "")))")," ")</f>
        <v> </v>
      </c>
      <c r="G47" s="296"/>
      <c r="H47" s="297"/>
    </row>
    <row r="48" ht="14.25" customHeight="1">
      <c r="A48" s="290" t="str">
        <f>IFERROR(__xludf.DUMMYFUNCTION("""COMPUTED_VALUE"""),"BDC25A75PT - BANDEJA")</f>
        <v>BDC25A75PT - BANDEJA</v>
      </c>
      <c r="B48" s="291" t="str">
        <f>IFERROR(__xludf.DUMMYFUNCTION("""COMPUTED_VALUE"""),"20088")</f>
        <v>20088</v>
      </c>
      <c r="C48" s="292" t="str">
        <f>IFERROR(__xludf.DUMMYFUNCTION("""COMPUTED_VALUE"""),"BANDEJA")</f>
        <v>BANDEJA</v>
      </c>
      <c r="D48" s="293">
        <f t="shared" si="1"/>
        <v>0</v>
      </c>
      <c r="E48" s="294" t="str">
        <f>IFERROR(__xludf.DUMMYFUNCTION("IFERROR(VLOOKUP(TO_TEXT(B48),PEDIDOS!D:L,9,0),IFERROR(VLOOKUP(B48*1,PEDIDOS!D:L,9,0),"" ""))")," ")</f>
        <v> </v>
      </c>
      <c r="F48" s="295" t="str">
        <f>IFERROR(__xludf.DUMMYFUNCTION("IF(B48="""","""",IFERROR(VLOOKUP(TO_TEXT(B48),PEDIDOS!D:I,6,0),IFERROR(VLOOKUP(B48*1,PEDIDOS!D:I,6,0),"" "")))")," ")</f>
        <v> </v>
      </c>
      <c r="G48" s="296"/>
      <c r="H48" s="297"/>
    </row>
    <row r="49">
      <c r="A49" s="290" t="str">
        <f>IFERROR(__xludf.DUMMYFUNCTION("""COMPUTED_VALUE"""),"BDC105A125PT - BANDEJA")</f>
        <v>BDC105A125PT - BANDEJA</v>
      </c>
      <c r="B49" s="291" t="str">
        <f>IFERROR(__xludf.DUMMYFUNCTION("""COMPUTED_VALUE"""),"20087")</f>
        <v>20087</v>
      </c>
      <c r="C49" s="291" t="str">
        <f>IFERROR(__xludf.DUMMYFUNCTION("""COMPUTED_VALUE"""),"BANDEJA")</f>
        <v>BANDEJA</v>
      </c>
      <c r="D49" s="293">
        <f t="shared" si="1"/>
        <v>0</v>
      </c>
      <c r="E49" s="294" t="str">
        <f>IFERROR(__xludf.DUMMYFUNCTION("IFERROR(VLOOKUP(TO_TEXT(B49),PEDIDOS!D:L,9,0),IFERROR(VLOOKUP(B49*1,PEDIDOS!D:L,9,0),"" ""))")," ")</f>
        <v> </v>
      </c>
      <c r="F49" s="295" t="str">
        <f>IFERROR(__xludf.DUMMYFUNCTION("IF(B49="""","""",IFERROR(VLOOKUP(TO_TEXT(B49),PEDIDOS!D:I,6,0),IFERROR(VLOOKUP(B49*1,PEDIDOS!D:I,6,0),"" "")))")," ")</f>
        <v> </v>
      </c>
      <c r="G49" s="296"/>
      <c r="H49" s="297"/>
    </row>
    <row r="50">
      <c r="A50" s="290" t="str">
        <f>IFERROR(__xludf.DUMMYFUNCTION("""COMPUTED_VALUE"""),"FT160J35T")</f>
        <v>FT160J35T</v>
      </c>
      <c r="B50" s="291" t="str">
        <f>IFERROR(__xludf.DUMMYFUNCTION("""COMPUTED_VALUE"""),"20103")</f>
        <v>20103</v>
      </c>
      <c r="C50" s="292" t="str">
        <f>IFERROR(__xludf.DUMMYFUNCTION("""COMPUTED_VALUE"""),"NORMAL")</f>
        <v>NORMAL</v>
      </c>
      <c r="D50" s="293">
        <f t="shared" si="1"/>
        <v>0</v>
      </c>
      <c r="E50" s="294" t="str">
        <f>IFERROR(__xludf.DUMMYFUNCTION("IFERROR(VLOOKUP(TO_TEXT(B50),PEDIDOS!D:L,9,0),IFERROR(VLOOKUP(B50*1,PEDIDOS!D:L,9,0),"" ""))")," ")</f>
        <v> </v>
      </c>
      <c r="F50" s="295" t="str">
        <f>IFERROR(__xludf.DUMMYFUNCTION("IF(B50="""","""",IFERROR(VLOOKUP(TO_TEXT(B50),PEDIDOS!D:I,6,0),IFERROR(VLOOKUP(B50*1,PEDIDOS!D:I,6,0),"" "")))")," ")</f>
        <v> </v>
      </c>
      <c r="G50" s="296"/>
      <c r="H50" s="297"/>
    </row>
    <row r="51">
      <c r="A51" s="290" t="str">
        <f>IFERROR(__xludf.DUMMYFUNCTION("""COMPUTED_VALUE"""),"FT180J35T")</f>
        <v>FT180J35T</v>
      </c>
      <c r="B51" s="291" t="str">
        <f>IFERROR(__xludf.DUMMYFUNCTION("""COMPUTED_VALUE"""),"20123")</f>
        <v>20123</v>
      </c>
      <c r="C51" s="291" t="str">
        <f>IFERROR(__xludf.DUMMYFUNCTION("""COMPUTED_VALUE"""),"NORMAL")</f>
        <v>NORMAL</v>
      </c>
      <c r="D51" s="293">
        <f t="shared" si="1"/>
        <v>0</v>
      </c>
      <c r="E51" s="294" t="str">
        <f>IFERROR(__xludf.DUMMYFUNCTION("IFERROR(VLOOKUP(TO_TEXT(B51),PEDIDOS!D:L,9,0),IFERROR(VLOOKUP(B51*1,PEDIDOS!D:L,9,0),"" ""))")," ")</f>
        <v> </v>
      </c>
      <c r="F51" s="295" t="str">
        <f>IFERROR(__xludf.DUMMYFUNCTION("IF(B51="""","""",IFERROR(VLOOKUP(TO_TEXT(B51),PEDIDOS!D:I,6,0),IFERROR(VLOOKUP(B51*1,PEDIDOS!D:I,6,0),"" "")))")," ")</f>
        <v> </v>
      </c>
      <c r="G51" s="296"/>
      <c r="H51" s="297"/>
    </row>
    <row r="52">
      <c r="A52" s="290" t="str">
        <f>IFERROR(__xludf.DUMMYFUNCTION("""COMPUTED_VALUE"""),"FT160F35")</f>
        <v>FT160F35</v>
      </c>
      <c r="B52" s="291" t="str">
        <f>IFERROR(__xludf.DUMMYFUNCTION("""COMPUTED_VALUE"""),"20156")</f>
        <v>20156</v>
      </c>
      <c r="C52" s="291" t="str">
        <f>IFERROR(__xludf.DUMMYFUNCTION("""COMPUTED_VALUE"""),"PDX")</f>
        <v>PDX</v>
      </c>
      <c r="D52" s="293">
        <f t="shared" si="1"/>
        <v>0</v>
      </c>
      <c r="E52" s="294" t="str">
        <f>IFERROR(__xludf.DUMMYFUNCTION("IFERROR(VLOOKUP(TO_TEXT(B52),PEDIDOS!D:L,9,0),IFERROR(VLOOKUP(B52*1,PEDIDOS!D:L,9,0),"" ""))")," ")</f>
        <v> </v>
      </c>
      <c r="F52" s="295" t="str">
        <f>IFERROR(__xludf.DUMMYFUNCTION("IF(B52="""","""",IFERROR(VLOOKUP(TO_TEXT(B52),PEDIDOS!D:I,6,0),IFERROR(VLOOKUP(B52*1,PEDIDOS!D:I,6,0),"" "")))")," ")</f>
        <v> </v>
      </c>
      <c r="G52" s="296"/>
      <c r="H52" s="297"/>
    </row>
    <row r="53">
      <c r="A53" s="290" t="str">
        <f>IFERROR(__xludf.DUMMYFUNCTION("""COMPUTED_VALUE"""),"FT180F35T")</f>
        <v>FT180F35T</v>
      </c>
      <c r="B53" s="291" t="str">
        <f>IFERROR(__xludf.DUMMYFUNCTION("""COMPUTED_VALUE"""),"20222")</f>
        <v>20222</v>
      </c>
      <c r="C53" s="291" t="str">
        <f>IFERROR(__xludf.DUMMYFUNCTION("""COMPUTED_VALUE"""),"NORMAL")</f>
        <v>NORMAL</v>
      </c>
      <c r="D53" s="293">
        <f t="shared" si="1"/>
        <v>0</v>
      </c>
      <c r="E53" s="294" t="str">
        <f>IFERROR(__xludf.DUMMYFUNCTION("IFERROR(VLOOKUP(TO_TEXT(B53),PEDIDOS!D:L,9,0),IFERROR(VLOOKUP(B53*1,PEDIDOS!D:L,9,0),"" ""))")," ")</f>
        <v> </v>
      </c>
      <c r="F53" s="295" t="str">
        <f>IFERROR(__xludf.DUMMYFUNCTION("IF(B53="""","""",IFERROR(VLOOKUP(TO_TEXT(B53),PEDIDOS!D:I,6,0),IFERROR(VLOOKUP(B53*1,PEDIDOS!D:I,6,0),"" "")))")," ")</f>
        <v> </v>
      </c>
      <c r="G53" s="296"/>
      <c r="H53" s="297"/>
    </row>
    <row r="54">
      <c r="A54" s="290" t="str">
        <f>IFERROR(__xludf.DUMMYFUNCTION("""COMPUTED_VALUE"""),"FT180F35T")</f>
        <v>FT180F35T</v>
      </c>
      <c r="B54" s="291" t="str">
        <f>IFERROR(__xludf.DUMMYFUNCTION("""COMPUTED_VALUE"""),"20221")</f>
        <v>20221</v>
      </c>
      <c r="C54" s="291" t="str">
        <f>IFERROR(__xludf.DUMMYFUNCTION("""COMPUTED_VALUE"""),"NORMAL")</f>
        <v>NORMAL</v>
      </c>
      <c r="D54" s="293">
        <f t="shared" si="1"/>
        <v>0</v>
      </c>
      <c r="E54" s="294" t="str">
        <f>IFERROR(__xludf.DUMMYFUNCTION("IFERROR(VLOOKUP(TO_TEXT(B54),PEDIDOS!D:L,9,0),IFERROR(VLOOKUP(B54*1,PEDIDOS!D:L,9,0),"" ""))")," ")</f>
        <v> </v>
      </c>
      <c r="F54" s="295" t="str">
        <f>IFERROR(__xludf.DUMMYFUNCTION("IF(B54="""","""",IFERROR(VLOOKUP(TO_TEXT(B54),PEDIDOS!D:I,6,0),IFERROR(VLOOKUP(B54*1,PEDIDOS!D:I,6,0),"" "")))")," ")</f>
        <v> </v>
      </c>
      <c r="G54" s="296"/>
      <c r="H54" s="297"/>
    </row>
    <row r="55">
      <c r="A55" s="290" t="str">
        <f>IFERROR(__xludf.DUMMYFUNCTION("""COMPUTED_VALUE"""),"FT180L35T")</f>
        <v>FT180L35T</v>
      </c>
      <c r="B55" s="291" t="str">
        <f>IFERROR(__xludf.DUMMYFUNCTION("""COMPUTED_VALUE"""),"20228")</f>
        <v>20228</v>
      </c>
      <c r="C55" s="291" t="str">
        <f>IFERROR(__xludf.DUMMYFUNCTION("""COMPUTED_VALUE"""),"NORMAL")</f>
        <v>NORMAL</v>
      </c>
      <c r="D55" s="293">
        <f t="shared" si="1"/>
        <v>0</v>
      </c>
      <c r="E55" s="294" t="str">
        <f>IFERROR(__xludf.DUMMYFUNCTION("IFERROR(VLOOKUP(TO_TEXT(B55),PEDIDOS!D:L,9,0),IFERROR(VLOOKUP(B55*1,PEDIDOS!D:L,9,0),"" ""))")," ")</f>
        <v> </v>
      </c>
      <c r="F55" s="295" t="str">
        <f>IFERROR(__xludf.DUMMYFUNCTION("IF(B55="""","""",IFERROR(VLOOKUP(TO_TEXT(B55),PEDIDOS!D:I,6,0),IFERROR(VLOOKUP(B55*1,PEDIDOS!D:I,6,0),"" "")))")," ")</f>
        <v> </v>
      </c>
      <c r="G55" s="296"/>
      <c r="H55" s="297"/>
    </row>
    <row r="56">
      <c r="A56" s="290" t="str">
        <f>IFERROR(__xludf.DUMMYFUNCTION("""COMPUTED_VALUE"""),"FT180L35T")</f>
        <v>FT180L35T</v>
      </c>
      <c r="B56" s="291" t="str">
        <f>IFERROR(__xludf.DUMMYFUNCTION("""COMPUTED_VALUE"""),"20227")</f>
        <v>20227</v>
      </c>
      <c r="C56" s="292" t="str">
        <f>IFERROR(__xludf.DUMMYFUNCTION("""COMPUTED_VALUE"""),"NORMAL")</f>
        <v>NORMAL</v>
      </c>
      <c r="D56" s="293">
        <f t="shared" si="1"/>
        <v>0</v>
      </c>
      <c r="E56" s="294" t="str">
        <f>IFERROR(__xludf.DUMMYFUNCTION("IFERROR(VLOOKUP(TO_TEXT(B56),PEDIDOS!D:L,9,0),IFERROR(VLOOKUP(B56*1,PEDIDOS!D:L,9,0),"" ""))")," ")</f>
        <v> </v>
      </c>
      <c r="F56" s="295" t="str">
        <f>IFERROR(__xludf.DUMMYFUNCTION("IF(B56="""","""",IFERROR(VLOOKUP(TO_TEXT(B56),PEDIDOS!D:I,6,0),IFERROR(VLOOKUP(B56*1,PEDIDOS!D:I,6,0),"" "")))")," ")</f>
        <v> </v>
      </c>
      <c r="G56" s="296"/>
      <c r="H56" s="297"/>
    </row>
    <row r="57">
      <c r="A57" s="290" t="str">
        <f>IFERROR(__xludf.DUMMYFUNCTION("""COMPUTED_VALUE"""),"FT120F35T")</f>
        <v>FT120F35T</v>
      </c>
      <c r="B57" s="291" t="str">
        <f>IFERROR(__xludf.DUMMYFUNCTION("""COMPUTED_VALUE"""),"20229")</f>
        <v>20229</v>
      </c>
      <c r="C57" s="291" t="str">
        <f>IFERROR(__xludf.DUMMYFUNCTION("""COMPUTED_VALUE"""),"NORMAL")</f>
        <v>NORMAL</v>
      </c>
      <c r="D57" s="293">
        <f t="shared" si="1"/>
        <v>0</v>
      </c>
      <c r="E57" s="294" t="str">
        <f>IFERROR(__xludf.DUMMYFUNCTION("IFERROR(VLOOKUP(TO_TEXT(B57),PEDIDOS!D:L,9,0),IFERROR(VLOOKUP(B57*1,PEDIDOS!D:L,9,0),"" ""))")," ")</f>
        <v> </v>
      </c>
      <c r="F57" s="295" t="str">
        <f>IFERROR(__xludf.DUMMYFUNCTION("IF(B57="""","""",IFERROR(VLOOKUP(TO_TEXT(B57),PEDIDOS!D:I,6,0),IFERROR(VLOOKUP(B57*1,PEDIDOS!D:I,6,0),"" "")))")," ")</f>
        <v> </v>
      </c>
      <c r="G57" s="296"/>
      <c r="H57" s="297"/>
    </row>
    <row r="58">
      <c r="A58" s="290" t="str">
        <f>IFERROR(__xludf.DUMMYFUNCTION("""COMPUTED_VALUE"""),"BDC25A75PT - BANDEJA")</f>
        <v>BDC25A75PT - BANDEJA</v>
      </c>
      <c r="B58" s="291" t="str">
        <f>IFERROR(__xludf.DUMMYFUNCTION("""COMPUTED_VALUE"""),"20276")</f>
        <v>20276</v>
      </c>
      <c r="C58" s="292" t="str">
        <f>IFERROR(__xludf.DUMMYFUNCTION("""COMPUTED_VALUE"""),"BANDEJA")</f>
        <v>BANDEJA</v>
      </c>
      <c r="D58" s="293">
        <f t="shared" si="1"/>
        <v>0</v>
      </c>
      <c r="E58" s="294" t="str">
        <f>IFERROR(__xludf.DUMMYFUNCTION("IFERROR(VLOOKUP(TO_TEXT(B58),PEDIDOS!D:L,9,0),IFERROR(VLOOKUP(B58*1,PEDIDOS!D:L,9,0),"" ""))")," ")</f>
        <v> </v>
      </c>
      <c r="F58" s="295" t="str">
        <f>IFERROR(__xludf.DUMMYFUNCTION("IF(B58="""","""",IFERROR(VLOOKUP(TO_TEXT(B58),PEDIDOS!D:I,6,0),IFERROR(VLOOKUP(B58*1,PEDIDOS!D:I,6,0),"" "")))")," ")</f>
        <v> </v>
      </c>
      <c r="G58" s="296"/>
      <c r="H58" s="297"/>
    </row>
    <row r="59">
      <c r="A59" s="290" t="str">
        <f>IFERROR(__xludf.DUMMYFUNCTION("""COMPUTED_VALUE"""),"FT180F35T")</f>
        <v>FT180F35T</v>
      </c>
      <c r="B59" s="291" t="str">
        <f>IFERROR(__xludf.DUMMYFUNCTION("""COMPUTED_VALUE"""),"20314")</f>
        <v>20314</v>
      </c>
      <c r="C59" s="291" t="str">
        <f>IFERROR(__xludf.DUMMYFUNCTION("""COMPUTED_VALUE"""),"EXT")</f>
        <v>EXT</v>
      </c>
      <c r="D59" s="293">
        <f t="shared" si="1"/>
        <v>0</v>
      </c>
      <c r="E59" s="294" t="str">
        <f>IFERROR(__xludf.DUMMYFUNCTION("IFERROR(VLOOKUP(TO_TEXT(B59),PEDIDOS!D:L,9,0),IFERROR(VLOOKUP(B59*1,PEDIDOS!D:L,9,0),"" ""))")," ")</f>
        <v> </v>
      </c>
      <c r="F59" s="295" t="str">
        <f>IFERROR(__xludf.DUMMYFUNCTION("IF(B59="""","""",IFERROR(VLOOKUP(TO_TEXT(B59),PEDIDOS!D:I,6,0),IFERROR(VLOOKUP(B59*1,PEDIDOS!D:I,6,0),"" "")))")," ")</f>
        <v> </v>
      </c>
      <c r="G59" s="296"/>
      <c r="H59" s="297"/>
    </row>
    <row r="60">
      <c r="A60" s="290" t="str">
        <f>IFERROR(__xludf.DUMMYFUNCTION("""COMPUTED_VALUE"""),"FT180F35T")</f>
        <v>FT180F35T</v>
      </c>
      <c r="B60" s="298" t="str">
        <f>IFERROR(__xludf.DUMMYFUNCTION("""COMPUTED_VALUE"""),"20315")</f>
        <v>20315</v>
      </c>
      <c r="C60" s="291" t="str">
        <f>IFERROR(__xludf.DUMMYFUNCTION("""COMPUTED_VALUE"""),"EXT")</f>
        <v>EXT</v>
      </c>
      <c r="D60" s="293">
        <f t="shared" si="1"/>
        <v>0</v>
      </c>
      <c r="E60" s="294" t="str">
        <f>IFERROR(__xludf.DUMMYFUNCTION("IFERROR(VLOOKUP(TO_TEXT(B60),PEDIDOS!D:L,9,0),IFERROR(VLOOKUP(B60*1,PEDIDOS!D:L,9,0),"" ""))")," ")</f>
        <v> </v>
      </c>
      <c r="F60" s="295" t="str">
        <f>IFERROR(__xludf.DUMMYFUNCTION("IF(B60="""","""",IFERROR(VLOOKUP(TO_TEXT(B60),PEDIDOS!D:I,6,0),IFERROR(VLOOKUP(B60*1,PEDIDOS!D:I,6,0),"" "")))")," ")</f>
        <v> </v>
      </c>
      <c r="G60" s="296"/>
      <c r="H60" s="297"/>
    </row>
    <row r="61">
      <c r="A61" s="290" t="str">
        <f>IFERROR(__xludf.DUMMYFUNCTION("""COMPUTED_VALUE"""),"FT180F35T")</f>
        <v>FT180F35T</v>
      </c>
      <c r="B61" s="298" t="str">
        <f>IFERROR(__xludf.DUMMYFUNCTION("""COMPUTED_VALUE"""),"20316")</f>
        <v>20316</v>
      </c>
      <c r="C61" s="291" t="str">
        <f>IFERROR(__xludf.DUMMYFUNCTION("""COMPUTED_VALUE"""),"EXT")</f>
        <v>EXT</v>
      </c>
      <c r="D61" s="293">
        <f t="shared" si="1"/>
        <v>0</v>
      </c>
      <c r="E61" s="294" t="str">
        <f>IFERROR(__xludf.DUMMYFUNCTION("IFERROR(VLOOKUP(TO_TEXT(B61),PEDIDOS!D:L,9,0),IFERROR(VLOOKUP(B61*1,PEDIDOS!D:L,9,0),"" ""))")," ")</f>
        <v> </v>
      </c>
      <c r="F61" s="295" t="str">
        <f>IFERROR(__xludf.DUMMYFUNCTION("IF(B61="""","""",IFERROR(VLOOKUP(TO_TEXT(B61),PEDIDOS!D:I,6,0),IFERROR(VLOOKUP(B61*1,PEDIDOS!D:I,6,0),"" "")))")," ")</f>
        <v> </v>
      </c>
      <c r="G61" s="296"/>
      <c r="H61" s="297"/>
    </row>
    <row r="62">
      <c r="A62" s="290" t="str">
        <f>IFERROR(__xludf.DUMMYFUNCTION("""COMPUTED_VALUE"""),"FT180F35T")</f>
        <v>FT180F35T</v>
      </c>
      <c r="B62" s="291" t="str">
        <f>IFERROR(__xludf.DUMMYFUNCTION("""COMPUTED_VALUE"""),"20317")</f>
        <v>20317</v>
      </c>
      <c r="C62" s="291" t="str">
        <f>IFERROR(__xludf.DUMMYFUNCTION("""COMPUTED_VALUE"""),"EXT")</f>
        <v>EXT</v>
      </c>
      <c r="D62" s="293">
        <f t="shared" si="1"/>
        <v>0</v>
      </c>
      <c r="E62" s="294" t="str">
        <f>IFERROR(__xludf.DUMMYFUNCTION("IFERROR(VLOOKUP(TO_TEXT(B62),PEDIDOS!D:L,9,0),IFERROR(VLOOKUP(B62*1,PEDIDOS!D:L,9,0),"" ""))")," ")</f>
        <v> </v>
      </c>
      <c r="F62" s="295" t="str">
        <f>IFERROR(__xludf.DUMMYFUNCTION("IF(B62="""","""",IFERROR(VLOOKUP(TO_TEXT(B62),PEDIDOS!D:I,6,0),IFERROR(VLOOKUP(B62*1,PEDIDOS!D:I,6,0),"" "")))")," ")</f>
        <v> </v>
      </c>
      <c r="G62" s="296"/>
      <c r="H62" s="297"/>
    </row>
    <row r="63">
      <c r="A63" s="299" t="str">
        <f>IFERROR(__xludf.DUMMYFUNCTION("""COMPUTED_VALUE"""),"FT160L35T")</f>
        <v>FT160L35T</v>
      </c>
      <c r="B63" s="291" t="str">
        <f>IFERROR(__xludf.DUMMYFUNCTION("""COMPUTED_VALUE"""),"20324")</f>
        <v>20324</v>
      </c>
      <c r="C63" s="291" t="str">
        <f>IFERROR(__xludf.DUMMYFUNCTION("""COMPUTED_VALUE"""),"NORMAL")</f>
        <v>NORMAL</v>
      </c>
      <c r="D63" s="293">
        <f t="shared" si="1"/>
        <v>0</v>
      </c>
      <c r="E63" s="294" t="str">
        <f>IFERROR(__xludf.DUMMYFUNCTION("IFERROR(VLOOKUP(TO_TEXT(B63),PEDIDOS!D:L,9,0),IFERROR(VLOOKUP(B63*1,PEDIDOS!D:L,9,0),"" ""))")," ")</f>
        <v> </v>
      </c>
      <c r="F63" s="295" t="str">
        <f>IFERROR(__xludf.DUMMYFUNCTION("IF(B63="""","""",IFERROR(VLOOKUP(TO_TEXT(B63),PEDIDOS!D:I,6,0),IFERROR(VLOOKUP(B63*1,PEDIDOS!D:I,6,0),"" "")))")," ")</f>
        <v> </v>
      </c>
      <c r="G63" s="296"/>
      <c r="H63" s="297"/>
    </row>
    <row r="64">
      <c r="A64" s="299" t="str">
        <f>IFERROR(__xludf.DUMMYFUNCTION("""COMPUTED_VALUE"""),"FT160L35T")</f>
        <v>FT160L35T</v>
      </c>
      <c r="B64" s="291" t="str">
        <f>IFERROR(__xludf.DUMMYFUNCTION("""COMPUTED_VALUE"""),"20325")</f>
        <v>20325</v>
      </c>
      <c r="C64" s="291" t="str">
        <f>IFERROR(__xludf.DUMMYFUNCTION("""COMPUTED_VALUE"""),"NORMAL")</f>
        <v>NORMAL</v>
      </c>
      <c r="D64" s="293">
        <f t="shared" si="1"/>
        <v>0</v>
      </c>
      <c r="E64" s="294" t="str">
        <f>IFERROR(__xludf.DUMMYFUNCTION("IFERROR(VLOOKUP(TO_TEXT(B64),PEDIDOS!D:L,9,0),IFERROR(VLOOKUP(B64*1,PEDIDOS!D:L,9,0),"" ""))")," ")</f>
        <v> </v>
      </c>
      <c r="F64" s="295" t="str">
        <f>IFERROR(__xludf.DUMMYFUNCTION("IF(B64="""","""",IFERROR(VLOOKUP(TO_TEXT(B64),PEDIDOS!D:I,6,0),IFERROR(VLOOKUP(B64*1,PEDIDOS!D:I,6,0),"" "")))")," ")</f>
        <v> </v>
      </c>
      <c r="G64" s="296"/>
      <c r="H64" s="297"/>
    </row>
    <row r="65">
      <c r="A65" s="299" t="str">
        <f>IFERROR(__xludf.DUMMYFUNCTION("""COMPUTED_VALUE"""),"FTI145DPTBR")</f>
        <v>FTI145DPTBR</v>
      </c>
      <c r="B65" s="291" t="str">
        <f>IFERROR(__xludf.DUMMYFUNCTION("""COMPUTED_VALUE"""),"20374")</f>
        <v>20374</v>
      </c>
      <c r="C65" s="291" t="str">
        <f>IFERROR(__xludf.DUMMYFUNCTION("""COMPUTED_VALUE"""),"INVERTER")</f>
        <v>INVERTER</v>
      </c>
      <c r="D65" s="293">
        <f t="shared" si="1"/>
        <v>1</v>
      </c>
      <c r="E65" s="294"/>
      <c r="F65" s="295" t="str">
        <f>IFERROR(__xludf.DUMMYFUNCTION("IF(B65="""","""",IFERROR(VLOOKUP(TO_TEXT(B65),PEDIDOS!D:I,6,0),IFERROR(VLOOKUP(B65*1,PEDIDOS!D:I,6,0),"" "")))"),"EM ABERTO")</f>
        <v>EM ABERTO</v>
      </c>
      <c r="G65" s="296"/>
      <c r="H65" s="297"/>
    </row>
    <row r="66">
      <c r="A66" s="299" t="str">
        <f>IFERROR(__xludf.DUMMYFUNCTION("""COMPUTED_VALUE"""),"FT80B35W")</f>
        <v>FT80B35W</v>
      </c>
      <c r="B66" s="291" t="str">
        <f>IFERROR(__xludf.DUMMYFUNCTION("""COMPUTED_VALUE"""),"20377")</f>
        <v>20377</v>
      </c>
      <c r="C66" s="291" t="str">
        <f>IFERROR(__xludf.DUMMYFUNCTION("""COMPUTED_VALUE"""),"WI-FI")</f>
        <v>WI-FI</v>
      </c>
      <c r="D66" s="293">
        <f t="shared" si="1"/>
        <v>1</v>
      </c>
      <c r="E66" s="294"/>
      <c r="F66" s="295" t="str">
        <f>IFERROR(__xludf.DUMMYFUNCTION("IF(B66="""","""",IFERROR(VLOOKUP(TO_TEXT(B66),PEDIDOS!D:I,6,0),IFERROR(VLOOKUP(B66*1,PEDIDOS!D:I,6,0),"" "")))"),"TESTAR")</f>
        <v>TESTAR</v>
      </c>
      <c r="G66" s="296"/>
      <c r="H66" s="297"/>
    </row>
    <row r="67">
      <c r="A67" s="299" t="str">
        <f>IFERROR(__xludf.DUMMYFUNCTION("""COMPUTED_VALUE"""),"FT160F35T")</f>
        <v>FT160F35T</v>
      </c>
      <c r="B67" s="291">
        <f>IFERROR(__xludf.DUMMYFUNCTION("""COMPUTED_VALUE"""),20397.0)</f>
        <v>20397</v>
      </c>
      <c r="C67" s="291" t="str">
        <f>IFERROR(__xludf.DUMMYFUNCTION("""COMPUTED_VALUE"""),"SOBREPOR")</f>
        <v>SOBREPOR</v>
      </c>
      <c r="D67" s="293">
        <f t="shared" si="1"/>
        <v>1</v>
      </c>
      <c r="E67" s="294"/>
      <c r="F67" s="295" t="str">
        <f>IFERROR(__xludf.DUMMYFUNCTION("IF(B67="""","""",IFERROR(VLOOKUP(TO_TEXT(B67),PEDIDOS!D:I,6,0),IFERROR(VLOOKUP(B67*1,PEDIDOS!D:I,6,0),"" "")))"),"FINALIZADO")</f>
        <v>FINALIZADO</v>
      </c>
      <c r="G67" s="296"/>
      <c r="H67" s="297"/>
    </row>
    <row r="68">
      <c r="A68" s="299"/>
      <c r="B68" s="291"/>
      <c r="C68" s="291"/>
      <c r="D68" s="293">
        <f t="shared" si="1"/>
        <v>1</v>
      </c>
      <c r="E68" s="294"/>
      <c r="F68" s="295" t="str">
        <f>IFERROR(__xludf.DUMMYFUNCTION("IF(B68="""","""",IFERROR(VLOOKUP(TO_TEXT(B68),PEDIDOS!D:I,6,0),IFERROR(VLOOKUP(B68*1,PEDIDOS!D:I,6,0),"" "")))"),"")</f>
        <v/>
      </c>
      <c r="G68" s="296"/>
      <c r="H68" s="297"/>
    </row>
    <row r="69">
      <c r="A69" s="299"/>
      <c r="B69" s="291"/>
      <c r="C69" s="291"/>
      <c r="D69" s="293">
        <f t="shared" si="1"/>
        <v>1</v>
      </c>
      <c r="E69" s="294"/>
      <c r="F69" s="295" t="str">
        <f>IFERROR(__xludf.DUMMYFUNCTION("IF(B69="""","""",IFERROR(VLOOKUP(TO_TEXT(B69),PEDIDOS!D:I,6,0),IFERROR(VLOOKUP(B69*1,PEDIDOS!D:I,6,0),"" "")))"),"")</f>
        <v/>
      </c>
      <c r="G69" s="296"/>
      <c r="H69" s="297"/>
    </row>
    <row r="70">
      <c r="A70" s="299"/>
      <c r="B70" s="291"/>
      <c r="C70" s="291"/>
      <c r="D70" s="293">
        <f t="shared" si="1"/>
        <v>1</v>
      </c>
      <c r="E70" s="294"/>
      <c r="F70" s="295" t="str">
        <f>IFERROR(__xludf.DUMMYFUNCTION("IF(B70="""","""",IFERROR(VLOOKUP(TO_TEXT(B70),PEDIDOS!D:I,6,0),IFERROR(VLOOKUP(B70*1,PEDIDOS!D:I,6,0),"" "")))"),"")</f>
        <v/>
      </c>
      <c r="G70" s="296"/>
      <c r="H70" s="297"/>
    </row>
    <row r="71">
      <c r="A71" s="299"/>
      <c r="B71" s="291"/>
      <c r="C71" s="291"/>
      <c r="D71" s="293">
        <f t="shared" si="1"/>
        <v>1</v>
      </c>
      <c r="E71" s="294"/>
      <c r="F71" s="295" t="str">
        <f>IFERROR(__xludf.DUMMYFUNCTION("IF(B71="""","""",IFERROR(VLOOKUP(TO_TEXT(B71),PEDIDOS!D:I,6,0),IFERROR(VLOOKUP(B71*1,PEDIDOS!D:I,6,0),"" "")))"),"")</f>
        <v/>
      </c>
      <c r="G71" s="296"/>
      <c r="H71" s="297"/>
    </row>
    <row r="72">
      <c r="A72" s="299"/>
      <c r="B72" s="291"/>
      <c r="C72" s="291"/>
      <c r="D72" s="293">
        <f t="shared" si="1"/>
        <v>1</v>
      </c>
      <c r="E72" s="294"/>
      <c r="F72" s="295" t="str">
        <f>IFERROR(__xludf.DUMMYFUNCTION("IF(B72="""","""",IFERROR(VLOOKUP(TO_TEXT(B72),PEDIDOS!D:I,6,0),IFERROR(VLOOKUP(B72*1,PEDIDOS!D:I,6,0),"" "")))"),"")</f>
        <v/>
      </c>
      <c r="G72" s="296"/>
      <c r="H72" s="297"/>
    </row>
    <row r="73">
      <c r="A73" s="299"/>
      <c r="B73" s="291"/>
      <c r="C73" s="291"/>
      <c r="D73" s="293">
        <f t="shared" si="1"/>
        <v>1</v>
      </c>
      <c r="E73" s="294"/>
      <c r="F73" s="295" t="str">
        <f>IFERROR(__xludf.DUMMYFUNCTION("IF(B73="""","""",IFERROR(VLOOKUP(TO_TEXT(B73),PEDIDOS!D:I,6,0),IFERROR(VLOOKUP(B73*1,PEDIDOS!D:I,6,0),"" "")))"),"")</f>
        <v/>
      </c>
      <c r="G73" s="296" t="str">
        <f>IFERROR(__xludf.DUMMYFUNCTION("IF(B73="""","""",IFERROR(VLOOKUP(TO_TEXT(B73),PEDIDOS!D:L,7,0),IFERROR(VLOOKUP(B73*1,PEDIDOS!D:L,7,0),"" "")))"),"")</f>
        <v/>
      </c>
      <c r="H73" s="297"/>
    </row>
    <row r="74">
      <c r="A74" s="299"/>
      <c r="B74" s="291"/>
      <c r="C74" s="291"/>
      <c r="D74" s="293">
        <f t="shared" si="1"/>
        <v>1</v>
      </c>
      <c r="E74" s="294"/>
      <c r="F74" s="295" t="str">
        <f>IFERROR(__xludf.DUMMYFUNCTION("IF(B74="""","""",IFERROR(VLOOKUP(TO_TEXT(B74),PEDIDOS!D:I,6,0),IFERROR(VLOOKUP(B74*1,PEDIDOS!D:I,6,0),"" "")))"),"")</f>
        <v/>
      </c>
      <c r="G74" s="296"/>
      <c r="H74" s="297"/>
    </row>
    <row r="75">
      <c r="A75" s="299"/>
      <c r="B75" s="291"/>
      <c r="C75" s="291"/>
      <c r="D75" s="293">
        <f t="shared" si="1"/>
        <v>1</v>
      </c>
      <c r="E75" s="294"/>
      <c r="F75" s="295" t="str">
        <f>IFERROR(__xludf.DUMMYFUNCTION("IF(B75="""","""",IFERROR(VLOOKUP(TO_TEXT(B75),PEDIDOS!D:I,6,0),IFERROR(VLOOKUP(B75*1,PEDIDOS!D:I,6,0),"" "")))"),"")</f>
        <v/>
      </c>
      <c r="G75" s="296"/>
      <c r="H75" s="297"/>
    </row>
    <row r="76">
      <c r="A76" s="299"/>
      <c r="B76" s="291"/>
      <c r="C76" s="291"/>
      <c r="D76" s="293">
        <f t="shared" si="1"/>
        <v>1</v>
      </c>
      <c r="E76" s="294"/>
      <c r="F76" s="295" t="str">
        <f>IFERROR(__xludf.DUMMYFUNCTION("IF(B76="""","""",IFERROR(VLOOKUP(TO_TEXT(B76),PEDIDOS!D:I,6,0),IFERROR(VLOOKUP(B76*1,PEDIDOS!D:I,6,0),"" "")))"),"")</f>
        <v/>
      </c>
      <c r="G76" s="296"/>
      <c r="H76" s="297"/>
    </row>
    <row r="77">
      <c r="A77" s="299"/>
      <c r="B77" s="291"/>
      <c r="C77" s="291"/>
      <c r="D77" s="293">
        <f t="shared" si="1"/>
        <v>1</v>
      </c>
      <c r="E77" s="294"/>
      <c r="F77" s="295" t="str">
        <f>IFERROR(__xludf.DUMMYFUNCTION("IF(B77="""","""",IFERROR(VLOOKUP(TO_TEXT(B77),PEDIDOS!D:I,6,0),IFERROR(VLOOKUP(B77*1,PEDIDOS!D:I,6,0),"" "")))"),"")</f>
        <v/>
      </c>
      <c r="G77" s="296"/>
      <c r="H77" s="297"/>
    </row>
    <row r="78">
      <c r="A78" s="299"/>
      <c r="B78" s="291"/>
      <c r="C78" s="291"/>
      <c r="D78" s="293">
        <f t="shared" si="1"/>
        <v>1</v>
      </c>
      <c r="E78" s="294"/>
      <c r="F78" s="295" t="str">
        <f>IFERROR(__xludf.DUMMYFUNCTION("IF(B78="""","""",IFERROR(VLOOKUP(TO_TEXT(B78),PEDIDOS!D:I,6,0),IFERROR(VLOOKUP(B78*1,PEDIDOS!D:I,6,0),"" "")))"),"")</f>
        <v/>
      </c>
      <c r="G78" s="296"/>
      <c r="H78" s="297"/>
    </row>
    <row r="79">
      <c r="A79" s="299"/>
      <c r="B79" s="291"/>
      <c r="C79" s="291"/>
      <c r="D79" s="293">
        <f t="shared" si="1"/>
        <v>1</v>
      </c>
      <c r="E79" s="294"/>
      <c r="F79" s="295" t="str">
        <f>IFERROR(__xludf.DUMMYFUNCTION("IF(B79="""","""",IFERROR(VLOOKUP(TO_TEXT(B79),PEDIDOS!D:I,6,0),IFERROR(VLOOKUP(B79*1,PEDIDOS!D:I,6,0),"" "")))"),"")</f>
        <v/>
      </c>
      <c r="G79" s="296"/>
      <c r="H79" s="297"/>
    </row>
    <row r="80">
      <c r="A80" s="299"/>
      <c r="B80" s="291"/>
      <c r="C80" s="291"/>
      <c r="D80" s="293">
        <f t="shared" si="1"/>
        <v>1</v>
      </c>
      <c r="E80" s="294"/>
      <c r="F80" s="295" t="str">
        <f>IFERROR(__xludf.DUMMYFUNCTION("IF(B80="""","""",IFERROR(VLOOKUP(TO_TEXT(B80),PEDIDOS!D:I,6,0),IFERROR(VLOOKUP(B80*1,PEDIDOS!D:I,6,0),"" "")))"),"")</f>
        <v/>
      </c>
      <c r="G80" s="296"/>
      <c r="H80" s="297"/>
    </row>
    <row r="81">
      <c r="A81" s="299"/>
      <c r="B81" s="291"/>
      <c r="C81" s="291"/>
      <c r="D81" s="293">
        <f t="shared" si="1"/>
        <v>1</v>
      </c>
      <c r="E81" s="294"/>
      <c r="F81" s="295" t="str">
        <f>IFERROR(__xludf.DUMMYFUNCTION("IF(B81="""","""",IFERROR(VLOOKUP(TO_TEXT(B81),PEDIDOS!D:I,6,0),IFERROR(VLOOKUP(B81*1,PEDIDOS!D:I,6,0),"" "")))"),"")</f>
        <v/>
      </c>
      <c r="G81" s="296"/>
      <c r="H81" s="297"/>
    </row>
    <row r="82">
      <c r="A82" s="299"/>
      <c r="B82" s="291"/>
      <c r="C82" s="291"/>
      <c r="D82" s="293">
        <f t="shared" si="1"/>
        <v>1</v>
      </c>
      <c r="E82" s="294"/>
      <c r="F82" s="295" t="str">
        <f>IFERROR(__xludf.DUMMYFUNCTION("IF(B82="""","""",IFERROR(VLOOKUP(TO_TEXT(B82),PEDIDOS!D:I,6,0),IFERROR(VLOOKUP(B82*1,PEDIDOS!D:I,6,0),"" "")))"),"")</f>
        <v/>
      </c>
      <c r="G82" s="296"/>
      <c r="H82" s="297"/>
    </row>
    <row r="83">
      <c r="A83" s="299"/>
      <c r="B83" s="291"/>
      <c r="C83" s="291"/>
      <c r="D83" s="293">
        <f t="shared" si="1"/>
        <v>1</v>
      </c>
      <c r="E83" s="294"/>
      <c r="F83" s="295" t="str">
        <f>IFERROR(__xludf.DUMMYFUNCTION("IF(B83="""","""",IFERROR(VLOOKUP(TO_TEXT(B83),PEDIDOS!D:I,6,0),IFERROR(VLOOKUP(B83*1,PEDIDOS!D:I,6,0),"" "")))"),"")</f>
        <v/>
      </c>
      <c r="G83" s="296"/>
      <c r="H83" s="297"/>
    </row>
    <row r="84">
      <c r="A84" s="299"/>
      <c r="B84" s="291"/>
      <c r="C84" s="291"/>
      <c r="D84" s="293">
        <f t="shared" si="1"/>
        <v>1</v>
      </c>
      <c r="E84" s="294"/>
      <c r="F84" s="295" t="str">
        <f>IFERROR(__xludf.DUMMYFUNCTION("IF(B84="""","""",IFERROR(VLOOKUP(TO_TEXT(B84),PEDIDOS!D:I,6,0),IFERROR(VLOOKUP(B84*1,PEDIDOS!D:I,6,0),"" "")))"),"")</f>
        <v/>
      </c>
      <c r="G84" s="296"/>
      <c r="H84" s="297"/>
    </row>
    <row r="85">
      <c r="A85" s="299"/>
      <c r="B85" s="291"/>
      <c r="C85" s="291"/>
      <c r="D85" s="293">
        <f t="shared" si="1"/>
        <v>1</v>
      </c>
      <c r="E85" s="294"/>
      <c r="F85" s="295" t="str">
        <f>IFERROR(__xludf.DUMMYFUNCTION("IF(B85="""","""",IFERROR(VLOOKUP(TO_TEXT(B85),PEDIDOS!D:I,6,0),IFERROR(VLOOKUP(B85*1,PEDIDOS!D:I,6,0),"" "")))"),"")</f>
        <v/>
      </c>
      <c r="G85" s="296"/>
      <c r="H85" s="297"/>
    </row>
    <row r="86">
      <c r="A86" s="299"/>
      <c r="B86" s="291"/>
      <c r="C86" s="291"/>
      <c r="D86" s="293">
        <f t="shared" si="1"/>
        <v>1</v>
      </c>
      <c r="E86" s="294"/>
      <c r="F86" s="295" t="str">
        <f>IFERROR(__xludf.DUMMYFUNCTION("IF(B86="""","""",IFERROR(VLOOKUP(TO_TEXT(B86),PEDIDOS!D:I,6,0),IFERROR(VLOOKUP(B86*1,PEDIDOS!D:I,6,0),"" "")))"),"")</f>
        <v/>
      </c>
      <c r="G86" s="296"/>
      <c r="H86" s="297"/>
    </row>
    <row r="87">
      <c r="A87" s="299"/>
      <c r="B87" s="291"/>
      <c r="C87" s="291"/>
      <c r="D87" s="293">
        <f t="shared" si="1"/>
        <v>1</v>
      </c>
      <c r="E87" s="294"/>
      <c r="F87" s="295" t="str">
        <f>IFERROR(__xludf.DUMMYFUNCTION("IF(B87="""","""",IFERROR(VLOOKUP(TO_TEXT(B87),PEDIDOS!D:I,6,0),IFERROR(VLOOKUP(B87*1,PEDIDOS!D:I,6,0),"" "")))"),"")</f>
        <v/>
      </c>
      <c r="G87" s="296"/>
      <c r="H87" s="297"/>
    </row>
    <row r="88">
      <c r="A88" s="299"/>
      <c r="B88" s="291"/>
      <c r="C88" s="291"/>
      <c r="D88" s="293">
        <f t="shared" si="1"/>
        <v>1</v>
      </c>
      <c r="E88" s="294"/>
      <c r="F88" s="295" t="str">
        <f>IFERROR(__xludf.DUMMYFUNCTION("IF(B88="""","""",IFERROR(VLOOKUP(TO_TEXT(B88),PEDIDOS!D:I,6,0),IFERROR(VLOOKUP(B88*1,PEDIDOS!D:I,6,0),"" "")))"),"")</f>
        <v/>
      </c>
      <c r="G88" s="296"/>
      <c r="H88" s="297"/>
    </row>
    <row r="89">
      <c r="A89" s="299"/>
      <c r="B89" s="291"/>
      <c r="C89" s="291"/>
      <c r="D89" s="293">
        <f t="shared" si="1"/>
        <v>1</v>
      </c>
      <c r="E89" s="294"/>
      <c r="F89" s="295" t="str">
        <f>IFERROR(__xludf.DUMMYFUNCTION("IF(B89="""","""",IFERROR(VLOOKUP(TO_TEXT(B89),PEDIDOS!D:I,6,0),IFERROR(VLOOKUP(B89*1,PEDIDOS!D:I,6,0),"" "")))"),"")</f>
        <v/>
      </c>
      <c r="G89" s="296"/>
      <c r="H89" s="297"/>
    </row>
    <row r="90">
      <c r="A90" s="299"/>
      <c r="B90" s="291"/>
      <c r="C90" s="291"/>
      <c r="D90" s="293">
        <f t="shared" si="1"/>
        <v>1</v>
      </c>
      <c r="E90" s="294"/>
      <c r="F90" s="295" t="str">
        <f>IFERROR(__xludf.DUMMYFUNCTION("IF(B90="""","""",IFERROR(VLOOKUP(TO_TEXT(B90),PEDIDOS!D:I,6,0),IFERROR(VLOOKUP(B90*1,PEDIDOS!D:I,6,0),"" "")))"),"")</f>
        <v/>
      </c>
      <c r="G90" s="296"/>
      <c r="H90" s="297"/>
    </row>
    <row r="91">
      <c r="A91" s="299"/>
      <c r="B91" s="291"/>
      <c r="C91" s="291"/>
      <c r="D91" s="293">
        <f t="shared" si="1"/>
        <v>1</v>
      </c>
      <c r="E91" s="294"/>
      <c r="F91" s="295" t="str">
        <f>IFERROR(__xludf.DUMMYFUNCTION("IF(B91="""","""",IFERROR(VLOOKUP(TO_TEXT(B91),PEDIDOS!D:I,6,0),IFERROR(VLOOKUP(B91*1,PEDIDOS!D:I,6,0),"" "")))"),"")</f>
        <v/>
      </c>
      <c r="G91" s="296"/>
      <c r="H91" s="297"/>
    </row>
    <row r="92">
      <c r="A92" s="299"/>
      <c r="B92" s="291"/>
      <c r="C92" s="291"/>
      <c r="D92" s="293">
        <f t="shared" si="1"/>
        <v>1</v>
      </c>
      <c r="E92" s="294"/>
      <c r="F92" s="295" t="str">
        <f>IFERROR(__xludf.DUMMYFUNCTION("IF(B92="""","""",IFERROR(VLOOKUP(TO_TEXT(B92),PEDIDOS!D:I,6,0),IFERROR(VLOOKUP(B92*1,PEDIDOS!D:I,6,0),"" "")))"),"")</f>
        <v/>
      </c>
      <c r="G92" s="296"/>
      <c r="H92" s="297"/>
    </row>
    <row r="93">
      <c r="A93" s="299"/>
      <c r="B93" s="291"/>
      <c r="C93" s="291"/>
      <c r="D93" s="293">
        <f t="shared" si="1"/>
        <v>1</v>
      </c>
      <c r="E93" s="294"/>
      <c r="F93" s="295" t="str">
        <f>IFERROR(__xludf.DUMMYFUNCTION("IF(B93="""","""",IFERROR(VLOOKUP(TO_TEXT(B93),PEDIDOS!D:I,6,0),IFERROR(VLOOKUP(B93*1,PEDIDOS!D:I,6,0),"" "")))"),"")</f>
        <v/>
      </c>
      <c r="G93" s="296"/>
      <c r="H93" s="297"/>
    </row>
    <row r="94">
      <c r="A94" s="299"/>
      <c r="B94" s="291"/>
      <c r="C94" s="291"/>
      <c r="D94" s="293">
        <f t="shared" si="1"/>
        <v>1</v>
      </c>
      <c r="E94" s="294"/>
      <c r="F94" s="295" t="str">
        <f>IFERROR(__xludf.DUMMYFUNCTION("IF(B94="""","""",IFERROR(VLOOKUP(TO_TEXT(B94),PEDIDOS!D:I,6,0),IFERROR(VLOOKUP(B94*1,PEDIDOS!D:I,6,0),"" "")))"),"")</f>
        <v/>
      </c>
      <c r="G94" s="296"/>
      <c r="H94" s="297"/>
    </row>
    <row r="95">
      <c r="A95" s="299"/>
      <c r="B95" s="291"/>
      <c r="C95" s="291"/>
      <c r="D95" s="293">
        <f t="shared" si="1"/>
        <v>1</v>
      </c>
      <c r="E95" s="294"/>
      <c r="F95" s="295" t="str">
        <f>IFERROR(__xludf.DUMMYFUNCTION("IF(B95="""","""",IFERROR(VLOOKUP(TO_TEXT(B95),PEDIDOS!D:I,6,0),IFERROR(VLOOKUP(B95*1,PEDIDOS!D:I,6,0),"" "")))"),"")</f>
        <v/>
      </c>
      <c r="G95" s="296"/>
      <c r="H95" s="297"/>
    </row>
    <row r="96">
      <c r="A96" s="299"/>
      <c r="B96" s="291"/>
      <c r="C96" s="291"/>
      <c r="D96" s="293">
        <f t="shared" si="1"/>
        <v>1</v>
      </c>
      <c r="E96" s="294"/>
      <c r="F96" s="295" t="str">
        <f>IFERROR(__xludf.DUMMYFUNCTION("IF(B96="""","""",IFERROR(VLOOKUP(TO_TEXT(B96),PEDIDOS!D:I,6,0),IFERROR(VLOOKUP(B96*1,PEDIDOS!D:I,6,0),"" "")))"),"")</f>
        <v/>
      </c>
      <c r="G96" s="296"/>
      <c r="H96" s="297"/>
    </row>
    <row r="97">
      <c r="A97" s="299"/>
      <c r="B97" s="291"/>
      <c r="C97" s="291"/>
      <c r="D97" s="293">
        <f t="shared" si="1"/>
        <v>1</v>
      </c>
      <c r="E97" s="294"/>
      <c r="F97" s="295" t="str">
        <f>IFERROR(__xludf.DUMMYFUNCTION("IF(B97="""","""",IFERROR(VLOOKUP(TO_TEXT(B97),PEDIDOS!D:I,6,0),IFERROR(VLOOKUP(B97*1,PEDIDOS!D:I,6,0),"" "")))"),"")</f>
        <v/>
      </c>
      <c r="G97" s="296"/>
      <c r="H97" s="297"/>
    </row>
    <row r="98">
      <c r="A98" s="299"/>
      <c r="B98" s="291"/>
      <c r="C98" s="291"/>
      <c r="D98" s="293">
        <f t="shared" si="1"/>
        <v>1</v>
      </c>
      <c r="E98" s="294"/>
      <c r="F98" s="295" t="str">
        <f>IFERROR(__xludf.DUMMYFUNCTION("IF(B98="""","""",IFERROR(VLOOKUP(TO_TEXT(B98),PEDIDOS!D:I,6,0),IFERROR(VLOOKUP(B98*1,PEDIDOS!D:I,6,0),"" "")))"),"")</f>
        <v/>
      </c>
      <c r="G98" s="296"/>
      <c r="H98" s="297"/>
    </row>
    <row r="99">
      <c r="A99" s="299"/>
      <c r="B99" s="291"/>
      <c r="C99" s="291"/>
      <c r="D99" s="293">
        <f t="shared" si="1"/>
        <v>1</v>
      </c>
      <c r="E99" s="294"/>
      <c r="F99" s="295" t="str">
        <f>IFERROR(__xludf.DUMMYFUNCTION("IF(B99="""","""",IFERROR(VLOOKUP(TO_TEXT(B99),PEDIDOS!D:I,6,0),IFERROR(VLOOKUP(B99*1,PEDIDOS!D:I,6,0),"" "")))"),"")</f>
        <v/>
      </c>
      <c r="G99" s="296"/>
      <c r="H99" s="297"/>
    </row>
    <row r="100">
      <c r="A100" s="299"/>
      <c r="B100" s="291"/>
      <c r="C100" s="291"/>
      <c r="D100" s="293">
        <f t="shared" si="1"/>
        <v>1</v>
      </c>
      <c r="E100" s="294"/>
      <c r="F100" s="295" t="str">
        <f>IFERROR(__xludf.DUMMYFUNCTION("IF(B100="""","""",IFERROR(VLOOKUP(TO_TEXT(B100),PEDIDOS!D:I,6,0),IFERROR(VLOOKUP(B100*1,PEDIDOS!D:I,6,0),"" "")))"),"")</f>
        <v/>
      </c>
      <c r="G100" s="296"/>
      <c r="H100" s="297"/>
    </row>
    <row r="101">
      <c r="A101" s="299"/>
      <c r="B101" s="291"/>
      <c r="C101" s="291"/>
      <c r="D101" s="293">
        <f t="shared" si="1"/>
        <v>1</v>
      </c>
      <c r="E101" s="294"/>
      <c r="F101" s="295" t="str">
        <f>IFERROR(__xludf.DUMMYFUNCTION("IF(B101="""","""",IFERROR(VLOOKUP(TO_TEXT(B101),PEDIDOS!D:I,6,0),IFERROR(VLOOKUP(B101*1,PEDIDOS!D:I,6,0),"" "")))"),"")</f>
        <v/>
      </c>
      <c r="G101" s="296"/>
      <c r="H101" s="297"/>
    </row>
    <row r="102">
      <c r="A102" s="299"/>
      <c r="B102" s="291"/>
      <c r="C102" s="291"/>
      <c r="D102" s="293">
        <f t="shared" si="1"/>
        <v>1</v>
      </c>
      <c r="E102" s="294"/>
      <c r="F102" s="295" t="str">
        <f>IFERROR(__xludf.DUMMYFUNCTION("IF(B102="""","""",IFERROR(VLOOKUP(TO_TEXT(B102),PEDIDOS!D:I,6,0),IFERROR(VLOOKUP(B102*1,PEDIDOS!D:I,6,0),"" "")))"),"")</f>
        <v/>
      </c>
      <c r="G102" s="296"/>
      <c r="H102" s="297"/>
    </row>
    <row r="103">
      <c r="A103" s="299"/>
      <c r="B103" s="291"/>
      <c r="C103" s="291"/>
      <c r="D103" s="293">
        <f t="shared" si="1"/>
        <v>1</v>
      </c>
      <c r="E103" s="294"/>
      <c r="F103" s="295" t="str">
        <f>IFERROR(__xludf.DUMMYFUNCTION("IF(B103="""","""",IFERROR(VLOOKUP(TO_TEXT(B103),PEDIDOS!D:I,6,0),IFERROR(VLOOKUP(B103*1,PEDIDOS!D:I,6,0),"" "")))"),"")</f>
        <v/>
      </c>
      <c r="G103" s="296"/>
      <c r="H103" s="297"/>
    </row>
    <row r="104">
      <c r="A104" s="299"/>
      <c r="B104" s="291"/>
      <c r="C104" s="291"/>
      <c r="D104" s="293">
        <f t="shared" si="1"/>
        <v>1</v>
      </c>
      <c r="E104" s="294"/>
      <c r="F104" s="295" t="str">
        <f>IFERROR(__xludf.DUMMYFUNCTION("IF(B104="""","""",IFERROR(VLOOKUP(TO_TEXT(B104),PEDIDOS!D:I,6,0),IFERROR(VLOOKUP(B104*1,PEDIDOS!D:I,6,0),"" "")))"),"")</f>
        <v/>
      </c>
      <c r="G104" s="296"/>
      <c r="H104" s="297"/>
    </row>
    <row r="105">
      <c r="A105" s="299"/>
      <c r="B105" s="291"/>
      <c r="C105" s="291"/>
      <c r="D105" s="293">
        <f t="shared" si="1"/>
        <v>1</v>
      </c>
      <c r="E105" s="294"/>
      <c r="F105" s="295" t="str">
        <f>IFERROR(__xludf.DUMMYFUNCTION("IF(B105="""","""",IFERROR(VLOOKUP(TO_TEXT(B105),PEDIDOS!D:I,6,0),IFERROR(VLOOKUP(B105*1,PEDIDOS!D:I,6,0),"" "")))"),"")</f>
        <v/>
      </c>
      <c r="G105" s="296"/>
      <c r="H105" s="297"/>
    </row>
    <row r="106">
      <c r="A106" s="299"/>
      <c r="B106" s="291"/>
      <c r="C106" s="291"/>
      <c r="D106" s="293">
        <f t="shared" si="1"/>
        <v>1</v>
      </c>
      <c r="E106" s="294"/>
      <c r="F106" s="295" t="str">
        <f>IFERROR(__xludf.DUMMYFUNCTION("IF(B106="""","""",IFERROR(VLOOKUP(TO_TEXT(B106),PEDIDOS!D:I,6,0),IFERROR(VLOOKUP(B106*1,PEDIDOS!D:I,6,0),"" "")))"),"")</f>
        <v/>
      </c>
      <c r="G106" s="296"/>
      <c r="H106" s="297"/>
    </row>
    <row r="107">
      <c r="A107" s="299"/>
      <c r="B107" s="291"/>
      <c r="C107" s="291"/>
      <c r="D107" s="293">
        <f t="shared" si="1"/>
        <v>1</v>
      </c>
      <c r="E107" s="294"/>
      <c r="F107" s="295" t="str">
        <f>IFERROR(__xludf.DUMMYFUNCTION("IF(B107="""","""",IFERROR(VLOOKUP(TO_TEXT(B107),PEDIDOS!D:I,6,0),IFERROR(VLOOKUP(B107*1,PEDIDOS!D:I,6,0),"" "")))"),"")</f>
        <v/>
      </c>
      <c r="G107" s="296"/>
      <c r="H107" s="297"/>
    </row>
    <row r="108">
      <c r="A108" s="299"/>
      <c r="B108" s="291"/>
      <c r="C108" s="291"/>
      <c r="D108" s="293">
        <f t="shared" si="1"/>
        <v>1</v>
      </c>
      <c r="E108" s="294"/>
      <c r="F108" s="295" t="str">
        <f>IFERROR(__xludf.DUMMYFUNCTION("IF(B108="""","""",IFERROR(VLOOKUP(TO_TEXT(B108),PEDIDOS!D:I,6,0),IFERROR(VLOOKUP(B108*1,PEDIDOS!D:I,6,0),"" "")))"),"")</f>
        <v/>
      </c>
      <c r="G108" s="296"/>
      <c r="H108" s="297"/>
    </row>
    <row r="109">
      <c r="A109" s="299"/>
      <c r="B109" s="291"/>
      <c r="C109" s="291"/>
      <c r="D109" s="293">
        <f t="shared" si="1"/>
        <v>1</v>
      </c>
      <c r="E109" s="294"/>
      <c r="F109" s="295" t="str">
        <f>IFERROR(__xludf.DUMMYFUNCTION("IF(B109="""","""",IFERROR(VLOOKUP(TO_TEXT(B109),PEDIDOS!D:I,6,0),IFERROR(VLOOKUP(B109*1,PEDIDOS!D:I,6,0),"" "")))"),"")</f>
        <v/>
      </c>
      <c r="G109" s="296"/>
      <c r="H109" s="297"/>
    </row>
    <row r="110">
      <c r="A110" s="299"/>
      <c r="B110" s="291"/>
      <c r="C110" s="291"/>
      <c r="D110" s="293">
        <f t="shared" si="1"/>
        <v>1</v>
      </c>
      <c r="E110" s="294"/>
      <c r="F110" s="295" t="str">
        <f>IFERROR(__xludf.DUMMYFUNCTION("IF(B110="""","""",IFERROR(VLOOKUP(TO_TEXT(B110),PEDIDOS!D:I,6,0),IFERROR(VLOOKUP(B110*1,PEDIDOS!D:I,6,0),"" "")))"),"")</f>
        <v/>
      </c>
      <c r="G110" s="296"/>
      <c r="H110" s="297"/>
    </row>
    <row r="111">
      <c r="A111" s="299"/>
      <c r="B111" s="291"/>
      <c r="C111" s="291"/>
      <c r="D111" s="293">
        <f t="shared" si="1"/>
        <v>1</v>
      </c>
      <c r="E111" s="294"/>
      <c r="F111" s="295" t="str">
        <f>IFERROR(__xludf.DUMMYFUNCTION("IF(B111="""","""",IFERROR(VLOOKUP(TO_TEXT(B111),PEDIDOS!D:I,6,0),IFERROR(VLOOKUP(B111*1,PEDIDOS!D:I,6,0),"" "")))"),"")</f>
        <v/>
      </c>
      <c r="G111" s="296"/>
      <c r="H111" s="297"/>
    </row>
    <row r="112">
      <c r="A112" s="299"/>
      <c r="B112" s="291"/>
      <c r="C112" s="291"/>
      <c r="D112" s="293">
        <f t="shared" si="1"/>
        <v>1</v>
      </c>
      <c r="E112" s="294"/>
      <c r="F112" s="295" t="str">
        <f>IFERROR(__xludf.DUMMYFUNCTION("IF(B112="""","""",IFERROR(VLOOKUP(TO_TEXT(B112),PEDIDOS!D:I,6,0),IFERROR(VLOOKUP(B112*1,PEDIDOS!D:I,6,0),"" "")))"),"")</f>
        <v/>
      </c>
      <c r="G112" s="296"/>
      <c r="H112" s="297"/>
    </row>
    <row r="113">
      <c r="A113" s="299"/>
      <c r="B113" s="291"/>
      <c r="C113" s="291"/>
      <c r="D113" s="293">
        <f t="shared" si="1"/>
        <v>1</v>
      </c>
      <c r="E113" s="294"/>
      <c r="F113" s="295" t="str">
        <f>IFERROR(__xludf.DUMMYFUNCTION("IF(B113="""","""",IFERROR(VLOOKUP(TO_TEXT(B113),PEDIDOS!D:I,6,0),IFERROR(VLOOKUP(B113*1,PEDIDOS!D:I,6,0),"" "")))"),"")</f>
        <v/>
      </c>
      <c r="G113" s="296"/>
      <c r="H113" s="297"/>
    </row>
    <row r="114">
      <c r="A114" s="299"/>
      <c r="B114" s="291"/>
      <c r="C114" s="291"/>
      <c r="D114" s="293">
        <f t="shared" si="1"/>
        <v>1</v>
      </c>
      <c r="E114" s="294"/>
      <c r="F114" s="295" t="str">
        <f>IFERROR(__xludf.DUMMYFUNCTION("IF(B114="""","""",IFERROR(VLOOKUP(TO_TEXT(B114),PEDIDOS!D:I,6,0),IFERROR(VLOOKUP(B114*1,PEDIDOS!D:I,6,0),"" "")))"),"")</f>
        <v/>
      </c>
      <c r="G114" s="296"/>
      <c r="H114" s="297"/>
    </row>
    <row r="115">
      <c r="A115" s="299"/>
      <c r="B115" s="291"/>
      <c r="C115" s="291"/>
      <c r="D115" s="293">
        <f t="shared" si="1"/>
        <v>1</v>
      </c>
      <c r="E115" s="294"/>
      <c r="F115" s="295" t="str">
        <f>IFERROR(__xludf.DUMMYFUNCTION("IF(B115="""","""",IFERROR(VLOOKUP(TO_TEXT(B115),PEDIDOS!D:I,6,0),IFERROR(VLOOKUP(B115*1,PEDIDOS!D:I,6,0),"" "")))"),"")</f>
        <v/>
      </c>
      <c r="G115" s="296"/>
      <c r="H115" s="297"/>
    </row>
    <row r="116">
      <c r="A116" s="299"/>
      <c r="B116" s="291"/>
      <c r="C116" s="291"/>
      <c r="D116" s="293">
        <f t="shared" si="1"/>
        <v>1</v>
      </c>
      <c r="E116" s="294"/>
      <c r="F116" s="295" t="str">
        <f>IFERROR(__xludf.DUMMYFUNCTION("IF(B116="""","""",IFERROR(VLOOKUP(TO_TEXT(B116),PEDIDOS!D:I,6,0),IFERROR(VLOOKUP(B116*1,PEDIDOS!D:I,6,0),"" "")))"),"")</f>
        <v/>
      </c>
      <c r="G116" s="296"/>
      <c r="H116" s="297"/>
    </row>
    <row r="117">
      <c r="A117" s="299"/>
      <c r="B117" s="291"/>
      <c r="C117" s="291"/>
      <c r="D117" s="293">
        <f t="shared" si="1"/>
        <v>1</v>
      </c>
      <c r="E117" s="294"/>
      <c r="F117" s="295" t="str">
        <f>IFERROR(__xludf.DUMMYFUNCTION("IF(B117="""","""",IFERROR(VLOOKUP(TO_TEXT(B117),PEDIDOS!D:I,6,0),IFERROR(VLOOKUP(B117*1,PEDIDOS!D:I,6,0),"" "")))"),"")</f>
        <v/>
      </c>
      <c r="G117" s="296"/>
      <c r="H117" s="297"/>
    </row>
    <row r="118">
      <c r="A118" s="299"/>
      <c r="B118" s="291"/>
      <c r="C118" s="291"/>
      <c r="D118" s="293">
        <f t="shared" si="1"/>
        <v>1</v>
      </c>
      <c r="E118" s="294"/>
      <c r="F118" s="295" t="str">
        <f>IFERROR(__xludf.DUMMYFUNCTION("IF(B118="""","""",IFERROR(VLOOKUP(TO_TEXT(B118),PEDIDOS!D:I,6,0),IFERROR(VLOOKUP(B118*1,PEDIDOS!D:I,6,0),"" "")))"),"")</f>
        <v/>
      </c>
      <c r="G118" s="296"/>
      <c r="H118" s="297"/>
    </row>
    <row r="119">
      <c r="A119" s="299"/>
      <c r="B119" s="291"/>
      <c r="C119" s="291"/>
      <c r="D119" s="293">
        <f t="shared" si="1"/>
        <v>1</v>
      </c>
      <c r="E119" s="294"/>
      <c r="F119" s="295" t="str">
        <f>IFERROR(__xludf.DUMMYFUNCTION("IF(B119="""","""",IFERROR(VLOOKUP(TO_TEXT(B119),PEDIDOS!D:I,6,0),IFERROR(VLOOKUP(B119*1,PEDIDOS!D:I,6,0),"" "")))"),"")</f>
        <v/>
      </c>
      <c r="G119" s="296"/>
      <c r="H119" s="297"/>
    </row>
    <row r="120">
      <c r="A120" s="299"/>
      <c r="B120" s="291"/>
      <c r="C120" s="291"/>
      <c r="D120" s="293">
        <f t="shared" si="1"/>
        <v>1</v>
      </c>
      <c r="E120" s="294"/>
      <c r="F120" s="295" t="str">
        <f>IFERROR(__xludf.DUMMYFUNCTION("IF(B120="""","""",IFERROR(VLOOKUP(TO_TEXT(B120),PEDIDOS!D:I,6,0),IFERROR(VLOOKUP(B120*1,PEDIDOS!D:I,6,0),"" "")))"),"")</f>
        <v/>
      </c>
      <c r="G120" s="296"/>
      <c r="H120" s="297"/>
    </row>
    <row r="121">
      <c r="A121" s="299"/>
      <c r="B121" s="291"/>
      <c r="C121" s="291"/>
      <c r="D121" s="293">
        <f t="shared" si="1"/>
        <v>1</v>
      </c>
      <c r="E121" s="294"/>
      <c r="F121" s="295" t="str">
        <f>IFERROR(__xludf.DUMMYFUNCTION("IF(B121="""","""",IFERROR(VLOOKUP(TO_TEXT(B121),PEDIDOS!D:I,6,0),IFERROR(VLOOKUP(B121*1,PEDIDOS!D:I,6,0),"" "")))"),"")</f>
        <v/>
      </c>
      <c r="G121" s="296"/>
      <c r="H121" s="297"/>
    </row>
    <row r="122">
      <c r="A122" s="299"/>
      <c r="B122" s="291"/>
      <c r="C122" s="291"/>
      <c r="D122" s="293">
        <f t="shared" si="1"/>
        <v>1</v>
      </c>
      <c r="E122" s="294"/>
      <c r="F122" s="295" t="str">
        <f>IFERROR(__xludf.DUMMYFUNCTION("IF(B122="""","""",IFERROR(VLOOKUP(TO_TEXT(B122),PEDIDOS!D:I,6,0),IFERROR(VLOOKUP(B122*1,PEDIDOS!D:I,6,0),"" "")))"),"")</f>
        <v/>
      </c>
      <c r="G122" s="296"/>
      <c r="H122" s="297"/>
    </row>
    <row r="123">
      <c r="A123" s="299"/>
      <c r="B123" s="291"/>
      <c r="C123" s="291"/>
      <c r="D123" s="293">
        <f t="shared" si="1"/>
        <v>1</v>
      </c>
      <c r="E123" s="294"/>
      <c r="F123" s="295" t="str">
        <f>IFERROR(__xludf.DUMMYFUNCTION("IF(B123="""","""",IFERROR(VLOOKUP(TO_TEXT(B123),PEDIDOS!D:I,6,0),IFERROR(VLOOKUP(B123*1,PEDIDOS!D:I,6,0),"" "")))"),"")</f>
        <v/>
      </c>
      <c r="G123" s="296"/>
      <c r="H123" s="297"/>
    </row>
    <row r="124">
      <c r="A124" s="299"/>
      <c r="B124" s="291"/>
      <c r="C124" s="291"/>
      <c r="D124" s="293">
        <f t="shared" si="1"/>
        <v>1</v>
      </c>
      <c r="E124" s="294"/>
      <c r="F124" s="295" t="str">
        <f>IFERROR(__xludf.DUMMYFUNCTION("IF(B124="""","""",IFERROR(VLOOKUP(TO_TEXT(B124),PEDIDOS!D:I,6,0),IFERROR(VLOOKUP(B124*1,PEDIDOS!D:I,6,0),"" "")))"),"")</f>
        <v/>
      </c>
      <c r="G124" s="296"/>
      <c r="H124" s="297"/>
    </row>
    <row r="125">
      <c r="A125" s="299"/>
      <c r="B125" s="291"/>
      <c r="C125" s="291"/>
      <c r="D125" s="293">
        <f t="shared" si="1"/>
        <v>1</v>
      </c>
      <c r="E125" s="294"/>
      <c r="F125" s="295" t="str">
        <f>IFERROR(__xludf.DUMMYFUNCTION("IF(B125="""","""",IFERROR(VLOOKUP(TO_TEXT(B125),PEDIDOS!D:I,6,0),IFERROR(VLOOKUP(B125*1,PEDIDOS!D:I,6,0),"" "")))"),"")</f>
        <v/>
      </c>
      <c r="G125" s="296"/>
      <c r="H125" s="297"/>
    </row>
    <row r="126">
      <c r="A126" s="299"/>
      <c r="B126" s="291"/>
      <c r="C126" s="291"/>
      <c r="D126" s="293">
        <f t="shared" si="1"/>
        <v>1</v>
      </c>
      <c r="E126" s="294"/>
      <c r="F126" s="295" t="str">
        <f>IFERROR(__xludf.DUMMYFUNCTION("IF(B126="""","""",IFERROR(VLOOKUP(TO_TEXT(B126),PEDIDOS!D:I,6,0),IFERROR(VLOOKUP(B126*1,PEDIDOS!D:I,6,0),"" "")))"),"")</f>
        <v/>
      </c>
      <c r="G126" s="296"/>
      <c r="H126" s="297"/>
    </row>
    <row r="127">
      <c r="A127" s="299"/>
      <c r="B127" s="291"/>
      <c r="C127" s="291"/>
      <c r="D127" s="293">
        <f t="shared" si="1"/>
        <v>1</v>
      </c>
      <c r="E127" s="294"/>
      <c r="F127" s="295" t="str">
        <f>IFERROR(__xludf.DUMMYFUNCTION("IF(B127="""","""",IFERROR(VLOOKUP(TO_TEXT(B127),PEDIDOS!D:I,6,0),IFERROR(VLOOKUP(B127*1,PEDIDOS!D:I,6,0),"" "")))"),"")</f>
        <v/>
      </c>
      <c r="G127" s="296"/>
      <c r="H127" s="297"/>
    </row>
    <row r="128">
      <c r="A128" s="299"/>
      <c r="B128" s="291"/>
      <c r="C128" s="291"/>
      <c r="D128" s="293">
        <f t="shared" si="1"/>
        <v>1</v>
      </c>
      <c r="E128" s="294"/>
      <c r="F128" s="295" t="str">
        <f>IFERROR(__xludf.DUMMYFUNCTION("IF(B128="""","""",IFERROR(VLOOKUP(TO_TEXT(B128),PEDIDOS!D:I,6,0),IFERROR(VLOOKUP(B128*1,PEDIDOS!D:I,6,0),"" "")))"),"")</f>
        <v/>
      </c>
      <c r="G128" s="296"/>
      <c r="H128" s="297"/>
    </row>
    <row r="129">
      <c r="A129" s="299"/>
      <c r="B129" s="291"/>
      <c r="C129" s="291"/>
      <c r="D129" s="293">
        <f t="shared" si="1"/>
        <v>1</v>
      </c>
      <c r="E129" s="294"/>
      <c r="F129" s="295" t="str">
        <f>IFERROR(__xludf.DUMMYFUNCTION("IF(B129="""","""",IFERROR(VLOOKUP(TO_TEXT(B129),PEDIDOS!D:I,6,0),IFERROR(VLOOKUP(B129*1,PEDIDOS!D:I,6,0),"" "")))"),"")</f>
        <v/>
      </c>
      <c r="G129" s="296"/>
      <c r="H129" s="297"/>
    </row>
    <row r="130">
      <c r="A130" s="299"/>
      <c r="B130" s="291"/>
      <c r="C130" s="291"/>
      <c r="D130" s="293">
        <f t="shared" si="1"/>
        <v>1</v>
      </c>
      <c r="E130" s="294"/>
      <c r="F130" s="295" t="str">
        <f>IFERROR(__xludf.DUMMYFUNCTION("IF(B130="""","""",IFERROR(VLOOKUP(TO_TEXT(B130),PEDIDOS!D:I,6,0),IFERROR(VLOOKUP(B130*1,PEDIDOS!D:I,6,0),"" "")))"),"")</f>
        <v/>
      </c>
      <c r="G130" s="296"/>
      <c r="H130" s="297"/>
    </row>
    <row r="131">
      <c r="A131" s="299"/>
      <c r="B131" s="291"/>
      <c r="C131" s="291"/>
      <c r="D131" s="293">
        <f t="shared" si="1"/>
        <v>1</v>
      </c>
      <c r="E131" s="294"/>
      <c r="F131" s="295" t="str">
        <f>IFERROR(__xludf.DUMMYFUNCTION("IF(B131="""","""",IFERROR(VLOOKUP(TO_TEXT(B131),PEDIDOS!D:I,6,0),IFERROR(VLOOKUP(B131*1,PEDIDOS!D:I,6,0),"" "")))"),"")</f>
        <v/>
      </c>
      <c r="G131" s="296"/>
      <c r="H131" s="297"/>
    </row>
    <row r="132">
      <c r="A132" s="299"/>
      <c r="B132" s="291"/>
      <c r="C132" s="291"/>
      <c r="D132" s="293">
        <f t="shared" si="1"/>
        <v>1</v>
      </c>
      <c r="E132" s="294"/>
      <c r="F132" s="295" t="str">
        <f>IFERROR(__xludf.DUMMYFUNCTION("IF(B132="""","""",IFERROR(VLOOKUP(TO_TEXT(B132),PEDIDOS!D:I,6,0),IFERROR(VLOOKUP(B132*1,PEDIDOS!D:I,6,0),"" "")))"),"")</f>
        <v/>
      </c>
      <c r="G132" s="300"/>
      <c r="H132" s="297"/>
    </row>
    <row r="133">
      <c r="A133" s="299"/>
      <c r="B133" s="291"/>
      <c r="C133" s="291"/>
      <c r="D133" s="293">
        <f t="shared" si="1"/>
        <v>1</v>
      </c>
      <c r="E133" s="294"/>
      <c r="F133" s="295" t="str">
        <f>IFERROR(__xludf.DUMMYFUNCTION("IF(B133="""","""",IFERROR(VLOOKUP(TO_TEXT(B133),PEDIDOS!D:I,6,0),IFERROR(VLOOKUP(B133*1,PEDIDOS!D:I,6,0),"" "")))"),"")</f>
        <v/>
      </c>
      <c r="G133" s="300"/>
      <c r="H133" s="297"/>
    </row>
    <row r="134">
      <c r="A134" s="299"/>
      <c r="B134" s="291"/>
      <c r="C134" s="291"/>
      <c r="D134" s="293">
        <f t="shared" si="1"/>
        <v>1</v>
      </c>
      <c r="E134" s="294"/>
      <c r="F134" s="295" t="str">
        <f>IFERROR(__xludf.DUMMYFUNCTION("IF(B134="""","""",IFERROR(VLOOKUP(TO_TEXT(B134),PEDIDOS!D:I,6,0),IFERROR(VLOOKUP(B134*1,PEDIDOS!D:I,6,0),"" "")))"),"")</f>
        <v/>
      </c>
      <c r="G134" s="300"/>
      <c r="H134" s="297"/>
    </row>
    <row r="135">
      <c r="A135" s="299"/>
      <c r="B135" s="291"/>
      <c r="C135" s="291"/>
      <c r="D135" s="293">
        <f t="shared" si="1"/>
        <v>1</v>
      </c>
      <c r="E135" s="294"/>
      <c r="F135" s="295" t="str">
        <f>IFERROR(__xludf.DUMMYFUNCTION("IF(B135="""","""",IFERROR(VLOOKUP(TO_TEXT(B135),PEDIDOS!D:I,6,0),IFERROR(VLOOKUP(B135*1,PEDIDOS!D:I,6,0),"" "")))"),"")</f>
        <v/>
      </c>
      <c r="G135" s="300"/>
      <c r="H135" s="297"/>
    </row>
    <row r="136">
      <c r="A136" s="299"/>
      <c r="B136" s="291"/>
      <c r="C136" s="291"/>
      <c r="D136" s="293">
        <f t="shared" si="1"/>
        <v>1</v>
      </c>
      <c r="E136" s="294"/>
      <c r="F136" s="295" t="str">
        <f>IFERROR(__xludf.DUMMYFUNCTION("IF(B136="""","""",IFERROR(VLOOKUP(TO_TEXT(B136),PEDIDOS!D:I,6,0),IFERROR(VLOOKUP(B136*1,PEDIDOS!D:I,6,0),"" "")))"),"")</f>
        <v/>
      </c>
      <c r="G136" s="300"/>
      <c r="H136" s="297"/>
    </row>
    <row r="137">
      <c r="A137" s="299"/>
      <c r="B137" s="291"/>
      <c r="C137" s="291"/>
      <c r="D137" s="293">
        <f t="shared" si="1"/>
        <v>1</v>
      </c>
      <c r="E137" s="294"/>
      <c r="F137" s="295" t="str">
        <f>IFERROR(__xludf.DUMMYFUNCTION("IF(B137="""","""",IFERROR(VLOOKUP(TO_TEXT(B137),PEDIDOS!D:I,6,0),IFERROR(VLOOKUP(B137*1,PEDIDOS!D:I,6,0),"" "")))"),"")</f>
        <v/>
      </c>
      <c r="G137" s="300"/>
      <c r="H137" s="297"/>
    </row>
    <row r="138">
      <c r="A138" s="299"/>
      <c r="B138" s="291"/>
      <c r="C138" s="291"/>
      <c r="D138" s="293">
        <f t="shared" si="1"/>
        <v>1</v>
      </c>
      <c r="E138" s="294"/>
      <c r="F138" s="295" t="str">
        <f>IFERROR(__xludf.DUMMYFUNCTION("IF(B138="""","""",IFERROR(VLOOKUP(TO_TEXT(B138),PEDIDOS!D:I,6,0),IFERROR(VLOOKUP(B138*1,PEDIDOS!D:I,6,0),"" "")))"),"")</f>
        <v/>
      </c>
      <c r="G138" s="300"/>
      <c r="H138" s="297"/>
    </row>
    <row r="139">
      <c r="A139" s="299"/>
      <c r="B139" s="291"/>
      <c r="C139" s="291"/>
      <c r="D139" s="293">
        <f t="shared" si="1"/>
        <v>1</v>
      </c>
      <c r="E139" s="294"/>
      <c r="F139" s="295" t="str">
        <f>IFERROR(__xludf.DUMMYFUNCTION("IF(B139="""","""",IFERROR(VLOOKUP(TO_TEXT(B139),PEDIDOS!D:I,6,0),IFERROR(VLOOKUP(B139*1,PEDIDOS!D:I,6,0),"" "")))"),"")</f>
        <v/>
      </c>
      <c r="G139" s="300"/>
      <c r="H139" s="297"/>
    </row>
    <row r="140">
      <c r="A140" s="299"/>
      <c r="B140" s="291"/>
      <c r="C140" s="291"/>
      <c r="D140" s="293">
        <f t="shared" si="1"/>
        <v>1</v>
      </c>
      <c r="E140" s="294"/>
      <c r="F140" s="295" t="str">
        <f>IFERROR(__xludf.DUMMYFUNCTION("IF(B140="""","""",IFERROR(VLOOKUP(TO_TEXT(B140),PEDIDOS!D:I,6,0),IFERROR(VLOOKUP(B140*1,PEDIDOS!D:I,6,0),"" "")))"),"")</f>
        <v/>
      </c>
      <c r="G140" s="300"/>
      <c r="H140" s="297"/>
    </row>
    <row r="141">
      <c r="A141" s="299"/>
      <c r="B141" s="291"/>
      <c r="C141" s="291"/>
      <c r="D141" s="293">
        <f t="shared" si="1"/>
        <v>1</v>
      </c>
      <c r="E141" s="294"/>
      <c r="F141" s="295" t="str">
        <f>IFERROR(__xludf.DUMMYFUNCTION("IF(B141="""","""",IFERROR(VLOOKUP(TO_TEXT(B141),PEDIDOS!D:I,6,0),IFERROR(VLOOKUP(B141*1,PEDIDOS!D:I,6,0),"" "")))"),"")</f>
        <v/>
      </c>
      <c r="G141" s="300"/>
      <c r="H141" s="297"/>
    </row>
    <row r="142">
      <c r="A142" s="299"/>
      <c r="B142" s="291"/>
      <c r="C142" s="291"/>
      <c r="D142" s="293">
        <f t="shared" si="1"/>
        <v>1</v>
      </c>
      <c r="E142" s="294"/>
      <c r="F142" s="295" t="str">
        <f>IFERROR(__xludf.DUMMYFUNCTION("IF(B142="""","""",IFERROR(VLOOKUP(TO_TEXT(B142),PEDIDOS!D:I,6,0),IFERROR(VLOOKUP(B142*1,PEDIDOS!D:I,6,0),"" "")))"),"")</f>
        <v/>
      </c>
      <c r="G142" s="300"/>
      <c r="H142" s="297"/>
    </row>
    <row r="143">
      <c r="A143" s="299"/>
      <c r="B143" s="291"/>
      <c r="C143" s="291"/>
      <c r="D143" s="293">
        <f t="shared" si="1"/>
        <v>1</v>
      </c>
      <c r="E143" s="294"/>
      <c r="F143" s="295" t="str">
        <f>IFERROR(__xludf.DUMMYFUNCTION("IF(B143="""","""",IFERROR(VLOOKUP(TO_TEXT(B143),PEDIDOS!D:I,6,0),IFERROR(VLOOKUP(B143*1,PEDIDOS!D:I,6,0),"" "")))"),"")</f>
        <v/>
      </c>
      <c r="G143" s="300"/>
      <c r="H143" s="297"/>
    </row>
    <row r="144">
      <c r="A144" s="299"/>
      <c r="B144" s="291"/>
      <c r="C144" s="291"/>
      <c r="D144" s="293">
        <f t="shared" si="1"/>
        <v>1</v>
      </c>
      <c r="E144" s="294"/>
      <c r="F144" s="295" t="str">
        <f>IFERROR(__xludf.DUMMYFUNCTION("IF(B144="""","""",IFERROR(VLOOKUP(TO_TEXT(B144),PEDIDOS!D:I,6,0),IFERROR(VLOOKUP(B144*1,PEDIDOS!D:I,6,0),"" "")))"),"")</f>
        <v/>
      </c>
      <c r="G144" s="300"/>
      <c r="H144" s="297"/>
    </row>
    <row r="145">
      <c r="A145" s="299"/>
      <c r="B145" s="291"/>
      <c r="C145" s="291"/>
      <c r="D145" s="293">
        <f t="shared" si="1"/>
        <v>1</v>
      </c>
      <c r="E145" s="294"/>
      <c r="F145" s="295" t="str">
        <f>IFERROR(__xludf.DUMMYFUNCTION("IF(B145="""","""",IFERROR(VLOOKUP(TO_TEXT(B145),PEDIDOS!D:I,6,0),IFERROR(VLOOKUP(B145*1,PEDIDOS!D:I,6,0),"" "")))"),"")</f>
        <v/>
      </c>
      <c r="G145" s="300"/>
      <c r="H145" s="297"/>
    </row>
    <row r="146">
      <c r="A146" s="299"/>
      <c r="B146" s="291"/>
      <c r="C146" s="291"/>
      <c r="D146" s="293">
        <f t="shared" si="1"/>
        <v>1</v>
      </c>
      <c r="E146" s="294"/>
      <c r="F146" s="295" t="str">
        <f>IFERROR(__xludf.DUMMYFUNCTION("IF(B146="""","""",IFERROR(VLOOKUP(TO_TEXT(B146),PEDIDOS!D:I,6,0),IFERROR(VLOOKUP(B146*1,PEDIDOS!D:I,6,0),"" "")))"),"")</f>
        <v/>
      </c>
      <c r="G146" s="300"/>
      <c r="H146" s="297"/>
    </row>
    <row r="147">
      <c r="A147" s="299"/>
      <c r="B147" s="291"/>
      <c r="C147" s="291"/>
      <c r="D147" s="293">
        <f t="shared" si="1"/>
        <v>1</v>
      </c>
      <c r="E147" s="294"/>
      <c r="F147" s="295" t="str">
        <f>IFERROR(__xludf.DUMMYFUNCTION("IF(B147="""","""",IFERROR(VLOOKUP(TO_TEXT(B147),PEDIDOS!D:I,6,0),IFERROR(VLOOKUP(B147*1,PEDIDOS!D:I,6,0),"" "")))"),"")</f>
        <v/>
      </c>
      <c r="G147" s="300"/>
      <c r="H147" s="297"/>
    </row>
    <row r="148">
      <c r="A148" s="299"/>
      <c r="B148" s="291"/>
      <c r="C148" s="291"/>
      <c r="D148" s="293">
        <f t="shared" si="1"/>
        <v>1</v>
      </c>
      <c r="E148" s="294"/>
      <c r="F148" s="295" t="str">
        <f>IFERROR(__xludf.DUMMYFUNCTION("IF(B148="""","""",IFERROR(VLOOKUP(TO_TEXT(B148),PEDIDOS!D:I,6,0),IFERROR(VLOOKUP(B148*1,PEDIDOS!D:I,6,0),"" "")))"),"")</f>
        <v/>
      </c>
      <c r="G148" s="300"/>
      <c r="H148" s="297"/>
    </row>
    <row r="149" ht="15.0" customHeight="1">
      <c r="A149" s="299"/>
      <c r="B149" s="291"/>
      <c r="C149" s="291"/>
      <c r="D149" s="293">
        <f t="shared" si="1"/>
        <v>1</v>
      </c>
      <c r="E149" s="294"/>
      <c r="F149" s="295" t="str">
        <f>IFERROR(__xludf.DUMMYFUNCTION("IF(B149="""","""",IFERROR(VLOOKUP(TO_TEXT(B149),PEDIDOS!D:I,6,0),IFERROR(VLOOKUP(B149*1,PEDIDOS!D:I,6,0),"" "")))"),"")</f>
        <v/>
      </c>
      <c r="G149" s="300"/>
      <c r="H149" s="297"/>
    </row>
    <row r="150" ht="21.75" customHeight="1">
      <c r="A150" s="290" t="s">
        <v>4</v>
      </c>
      <c r="B150" s="291" t="s">
        <v>23322</v>
      </c>
      <c r="C150" s="291" t="s">
        <v>23329</v>
      </c>
      <c r="D150" s="294" t="s">
        <v>23325</v>
      </c>
      <c r="E150" s="294" t="s">
        <v>23325</v>
      </c>
      <c r="F150" s="295" t="str">
        <f>IFERROR(__xludf.DUMMYFUNCTION("IF(B150="""","""",IFERROR(VLOOKUP(TO_TEXT(B150),PEDIDOS!D:I,6,0),IFERROR(VLOOKUP(B150*1,PEDIDOS!D:I,6,0),"" "")))")," ")</f>
        <v> </v>
      </c>
      <c r="G150" s="301" t="s">
        <v>23330</v>
      </c>
      <c r="H150" s="297"/>
    </row>
    <row r="151" ht="18.75" customHeight="1">
      <c r="A151" s="302" t="s">
        <v>3395</v>
      </c>
      <c r="B151" s="291" t="s">
        <v>10559</v>
      </c>
      <c r="C151" s="292" t="s">
        <v>48</v>
      </c>
      <c r="D151" s="293">
        <f t="shared" ref="D151:D5105" si="2">IF(OR(F151&lt;&gt;" ",G151&lt;&gt;"")=TRUE,1,0)</f>
        <v>1</v>
      </c>
      <c r="E151" s="294"/>
      <c r="F151" s="295" t="str">
        <f>IFERROR(__xludf.DUMMYFUNCTION("IF(B151="""","""",IFERROR(VLOOKUP(TO_TEXT(B151),PEDIDOS!D:I,6,0),IFERROR(VLOOKUP(B151*1,PEDIDOS!D:I,6,0),"" "")))"),"ENTREGUE")</f>
        <v>ENTREGUE</v>
      </c>
      <c r="G151" s="303"/>
      <c r="H151" s="304"/>
    </row>
    <row r="152" ht="18.75" customHeight="1">
      <c r="A152" s="302" t="s">
        <v>85</v>
      </c>
      <c r="B152" s="291" t="s">
        <v>9650</v>
      </c>
      <c r="C152" s="292" t="s">
        <v>48</v>
      </c>
      <c r="D152" s="293">
        <f t="shared" si="2"/>
        <v>1</v>
      </c>
      <c r="E152" s="294"/>
      <c r="F152" s="295" t="str">
        <f>IFERROR(__xludf.DUMMYFUNCTION("IF(B152="""","""",IFERROR(VLOOKUP(TO_TEXT(B152),PEDIDOS!D:I,6,0),IFERROR(VLOOKUP(B152*1,PEDIDOS!D:I,6,0),"" "")))"),"ENTREGUE")</f>
        <v>ENTREGUE</v>
      </c>
      <c r="G152" s="303"/>
      <c r="H152" s="304"/>
    </row>
    <row r="153" ht="18.75" customHeight="1">
      <c r="A153" s="302" t="s">
        <v>91</v>
      </c>
      <c r="B153" s="291" t="s">
        <v>7806</v>
      </c>
      <c r="C153" s="292" t="s">
        <v>48</v>
      </c>
      <c r="D153" s="293">
        <f t="shared" si="2"/>
        <v>1</v>
      </c>
      <c r="E153" s="294"/>
      <c r="F153" s="295" t="str">
        <f>IFERROR(__xludf.DUMMYFUNCTION("IF(B153="""","""",IFERROR(VLOOKUP(TO_TEXT(B153),PEDIDOS!D:I,6,0),IFERROR(VLOOKUP(B153*1,PEDIDOS!D:I,6,0),"" "")))"),"ENTREGUE")</f>
        <v>ENTREGUE</v>
      </c>
      <c r="G153" s="303"/>
      <c r="H153" s="304"/>
    </row>
    <row r="154">
      <c r="A154" s="302" t="s">
        <v>171</v>
      </c>
      <c r="B154" s="291" t="s">
        <v>23331</v>
      </c>
      <c r="C154" s="292" t="s">
        <v>48</v>
      </c>
      <c r="D154" s="293">
        <f t="shared" si="2"/>
        <v>1</v>
      </c>
      <c r="E154" s="294"/>
      <c r="F154" s="295" t="str">
        <f>IFERROR(__xludf.DUMMYFUNCTION("IF(B154="""","""",IFERROR(VLOOKUP(TO_TEXT(B154),PEDIDOS!D:I,6,0),IFERROR(VLOOKUP(B154*1,PEDIDOS!D:I,6,0),"" "")))"),"ENTREGUE")</f>
        <v>ENTREGUE</v>
      </c>
      <c r="G154" s="303"/>
      <c r="H154" s="304"/>
    </row>
    <row r="155">
      <c r="A155" s="302" t="s">
        <v>171</v>
      </c>
      <c r="B155" s="291" t="s">
        <v>1143</v>
      </c>
      <c r="C155" s="292" t="s">
        <v>48</v>
      </c>
      <c r="D155" s="293">
        <f t="shared" si="2"/>
        <v>1</v>
      </c>
      <c r="E155" s="294"/>
      <c r="F155" s="295" t="str">
        <f>IFERROR(__xludf.DUMMYFUNCTION("IF(B155="""","""",IFERROR(VLOOKUP(TO_TEXT(B155),PEDIDOS!D:I,6,0),IFERROR(VLOOKUP(B155*1,PEDIDOS!D:I,6,0),"" "")))"),"ENTREGUE")</f>
        <v>ENTREGUE</v>
      </c>
      <c r="G155" s="303"/>
      <c r="H155" s="304"/>
    </row>
    <row r="156">
      <c r="A156" s="302" t="s">
        <v>85</v>
      </c>
      <c r="B156" s="291" t="s">
        <v>10113</v>
      </c>
      <c r="C156" s="292" t="s">
        <v>48</v>
      </c>
      <c r="D156" s="293">
        <f t="shared" si="2"/>
        <v>1</v>
      </c>
      <c r="E156" s="294"/>
      <c r="F156" s="295" t="str">
        <f>IFERROR(__xludf.DUMMYFUNCTION("IF(B156="""","""",IFERROR(VLOOKUP(TO_TEXT(B156),PEDIDOS!D:I,6,0),IFERROR(VLOOKUP(B156*1,PEDIDOS!D:I,6,0),"" "")))"),"ENTREGUE")</f>
        <v>ENTREGUE</v>
      </c>
      <c r="G156" s="303"/>
      <c r="H156" s="304"/>
    </row>
    <row r="157">
      <c r="A157" s="302" t="s">
        <v>171</v>
      </c>
      <c r="B157" s="291" t="s">
        <v>1146</v>
      </c>
      <c r="C157" s="292" t="s">
        <v>48</v>
      </c>
      <c r="D157" s="293">
        <f t="shared" si="2"/>
        <v>1</v>
      </c>
      <c r="E157" s="294"/>
      <c r="F157" s="295" t="str">
        <f>IFERROR(__xludf.DUMMYFUNCTION("IF(B157="""","""",IFERROR(VLOOKUP(TO_TEXT(B157),PEDIDOS!D:I,6,0),IFERROR(VLOOKUP(B157*1,PEDIDOS!D:I,6,0),"" "")))"),"ENTREGUE")</f>
        <v>ENTREGUE</v>
      </c>
      <c r="G157" s="303"/>
      <c r="H157" s="304"/>
    </row>
    <row r="158">
      <c r="A158" s="302" t="s">
        <v>171</v>
      </c>
      <c r="B158" s="291" t="s">
        <v>3595</v>
      </c>
      <c r="C158" s="292" t="s">
        <v>48</v>
      </c>
      <c r="D158" s="293">
        <f t="shared" si="2"/>
        <v>1</v>
      </c>
      <c r="E158" s="294"/>
      <c r="F158" s="295" t="str">
        <f>IFERROR(__xludf.DUMMYFUNCTION("IF(B158="""","""",IFERROR(VLOOKUP(TO_TEXT(B158),PEDIDOS!D:I,6,0),IFERROR(VLOOKUP(B158*1,PEDIDOS!D:I,6,0),"" "")))"),"ENTREGUE")</f>
        <v>ENTREGUE</v>
      </c>
      <c r="G158" s="303"/>
      <c r="H158" s="304"/>
    </row>
    <row r="159">
      <c r="A159" s="302" t="s">
        <v>171</v>
      </c>
      <c r="B159" s="291" t="s">
        <v>3599</v>
      </c>
      <c r="C159" s="292" t="s">
        <v>48</v>
      </c>
      <c r="D159" s="293">
        <f t="shared" si="2"/>
        <v>1</v>
      </c>
      <c r="E159" s="294"/>
      <c r="F159" s="295" t="str">
        <f>IFERROR(__xludf.DUMMYFUNCTION("IF(B159="""","""",IFERROR(VLOOKUP(TO_TEXT(B159),PEDIDOS!D:I,6,0),IFERROR(VLOOKUP(B159*1,PEDIDOS!D:I,6,0),"" "")))"),"ENTREGUE")</f>
        <v>ENTREGUE</v>
      </c>
      <c r="G159" s="303"/>
      <c r="H159" s="304"/>
    </row>
    <row r="160">
      <c r="A160" s="302" t="s">
        <v>171</v>
      </c>
      <c r="B160" s="291" t="s">
        <v>1307</v>
      </c>
      <c r="C160" s="292" t="s">
        <v>48</v>
      </c>
      <c r="D160" s="293">
        <f t="shared" si="2"/>
        <v>1</v>
      </c>
      <c r="E160" s="294"/>
      <c r="F160" s="295" t="str">
        <f>IFERROR(__xludf.DUMMYFUNCTION("IF(B160="""","""",IFERROR(VLOOKUP(TO_TEXT(B160),PEDIDOS!D:I,6,0),IFERROR(VLOOKUP(B160*1,PEDIDOS!D:I,6,0),"" "")))"),"ENTREGUE")</f>
        <v>ENTREGUE</v>
      </c>
      <c r="G160" s="303"/>
      <c r="H160" s="304"/>
    </row>
    <row r="161">
      <c r="A161" s="302" t="s">
        <v>171</v>
      </c>
      <c r="B161" s="291" t="s">
        <v>7262</v>
      </c>
      <c r="C161" s="292" t="s">
        <v>48</v>
      </c>
      <c r="D161" s="293">
        <f t="shared" si="2"/>
        <v>1</v>
      </c>
      <c r="E161" s="294"/>
      <c r="F161" s="295" t="str">
        <f>IFERROR(__xludf.DUMMYFUNCTION("IF(B161="""","""",IFERROR(VLOOKUP(TO_TEXT(B161),PEDIDOS!D:I,6,0),IFERROR(VLOOKUP(B161*1,PEDIDOS!D:I,6,0),"" "")))"),"ENTREGUE")</f>
        <v>ENTREGUE</v>
      </c>
      <c r="G161" s="303"/>
      <c r="H161" s="304"/>
    </row>
    <row r="162">
      <c r="A162" s="302" t="s">
        <v>171</v>
      </c>
      <c r="B162" s="291" t="s">
        <v>2517</v>
      </c>
      <c r="C162" s="292" t="s">
        <v>48</v>
      </c>
      <c r="D162" s="293">
        <f t="shared" si="2"/>
        <v>1</v>
      </c>
      <c r="E162" s="294"/>
      <c r="F162" s="295" t="str">
        <f>IFERROR(__xludf.DUMMYFUNCTION("IF(B162="""","""",IFERROR(VLOOKUP(TO_TEXT(B162),PEDIDOS!D:I,6,0),IFERROR(VLOOKUP(B162*1,PEDIDOS!D:I,6,0),"" "")))"),"ENTREGUE")</f>
        <v>ENTREGUE</v>
      </c>
      <c r="G162" s="303"/>
      <c r="H162" s="304"/>
    </row>
    <row r="163">
      <c r="A163" s="302" t="s">
        <v>171</v>
      </c>
      <c r="B163" s="291" t="s">
        <v>905</v>
      </c>
      <c r="C163" s="292" t="s">
        <v>48</v>
      </c>
      <c r="D163" s="293">
        <f t="shared" si="2"/>
        <v>1</v>
      </c>
      <c r="E163" s="294"/>
      <c r="F163" s="295" t="str">
        <f>IFERROR(__xludf.DUMMYFUNCTION("IF(B163="""","""",IFERROR(VLOOKUP(TO_TEXT(B163),PEDIDOS!D:I,6,0),IFERROR(VLOOKUP(B163*1,PEDIDOS!D:I,6,0),"" "")))"),"ENTREGUE")</f>
        <v>ENTREGUE</v>
      </c>
      <c r="G163" s="303"/>
      <c r="H163" s="304"/>
    </row>
    <row r="164">
      <c r="A164" s="302" t="s">
        <v>171</v>
      </c>
      <c r="B164" s="291" t="s">
        <v>2719</v>
      </c>
      <c r="C164" s="292" t="s">
        <v>48</v>
      </c>
      <c r="D164" s="293">
        <f t="shared" si="2"/>
        <v>1</v>
      </c>
      <c r="E164" s="294"/>
      <c r="F164" s="295" t="str">
        <f>IFERROR(__xludf.DUMMYFUNCTION("IF(B164="""","""",IFERROR(VLOOKUP(TO_TEXT(B164),PEDIDOS!D:I,6,0),IFERROR(VLOOKUP(B164*1,PEDIDOS!D:I,6,0),"" "")))"),"ENTREGUE")</f>
        <v>ENTREGUE</v>
      </c>
      <c r="G164" s="303"/>
      <c r="H164" s="304"/>
    </row>
    <row r="165">
      <c r="A165" s="302" t="s">
        <v>171</v>
      </c>
      <c r="B165" s="291" t="s">
        <v>2522</v>
      </c>
      <c r="C165" s="292" t="s">
        <v>48</v>
      </c>
      <c r="D165" s="293">
        <f t="shared" si="2"/>
        <v>1</v>
      </c>
      <c r="E165" s="294"/>
      <c r="F165" s="295" t="str">
        <f>IFERROR(__xludf.DUMMYFUNCTION("IF(B165="""","""",IFERROR(VLOOKUP(TO_TEXT(B165),PEDIDOS!D:I,6,0),IFERROR(VLOOKUP(B165*1,PEDIDOS!D:I,6,0),"" "")))"),"ENTREGUE")</f>
        <v>ENTREGUE</v>
      </c>
      <c r="G165" s="303"/>
      <c r="H165" s="304"/>
    </row>
    <row r="166">
      <c r="A166" s="302" t="s">
        <v>171</v>
      </c>
      <c r="B166" s="291" t="s">
        <v>3770</v>
      </c>
      <c r="C166" s="292" t="s">
        <v>48</v>
      </c>
      <c r="D166" s="293">
        <f t="shared" si="2"/>
        <v>1</v>
      </c>
      <c r="E166" s="294"/>
      <c r="F166" s="295" t="str">
        <f>IFERROR(__xludf.DUMMYFUNCTION("IF(B166="""","""",IFERROR(VLOOKUP(TO_TEXT(B166),PEDIDOS!D:I,6,0),IFERROR(VLOOKUP(B166*1,PEDIDOS!D:I,6,0),"" "")))"),"ENTREGUE")</f>
        <v>ENTREGUE</v>
      </c>
      <c r="G166" s="303"/>
      <c r="H166" s="304"/>
    </row>
    <row r="167">
      <c r="A167" s="302" t="s">
        <v>171</v>
      </c>
      <c r="B167" s="291" t="s">
        <v>7609</v>
      </c>
      <c r="C167" s="292" t="s">
        <v>48</v>
      </c>
      <c r="D167" s="293">
        <f t="shared" si="2"/>
        <v>1</v>
      </c>
      <c r="E167" s="294"/>
      <c r="F167" s="295" t="str">
        <f>IFERROR(__xludf.DUMMYFUNCTION("IF(B167="""","""",IFERROR(VLOOKUP(TO_TEXT(B167),PEDIDOS!D:I,6,0),IFERROR(VLOOKUP(B167*1,PEDIDOS!D:I,6,0),"" "")))"),"ENTREGUE")</f>
        <v>ENTREGUE</v>
      </c>
      <c r="G167" s="303"/>
      <c r="H167" s="304"/>
    </row>
    <row r="168">
      <c r="A168" s="302" t="s">
        <v>171</v>
      </c>
      <c r="B168" s="291" t="s">
        <v>3424</v>
      </c>
      <c r="C168" s="292" t="s">
        <v>48</v>
      </c>
      <c r="D168" s="293">
        <f t="shared" si="2"/>
        <v>1</v>
      </c>
      <c r="E168" s="294"/>
      <c r="F168" s="295" t="str">
        <f>IFERROR(__xludf.DUMMYFUNCTION("IF(B168="""","""",IFERROR(VLOOKUP(TO_TEXT(B168),PEDIDOS!D:I,6,0),IFERROR(VLOOKUP(B168*1,PEDIDOS!D:I,6,0),"" "")))"),"ENTREGUE")</f>
        <v>ENTREGUE</v>
      </c>
      <c r="G168" s="303"/>
      <c r="H168" s="304"/>
    </row>
    <row r="169" ht="14.25" customHeight="1">
      <c r="A169" s="302" t="s">
        <v>171</v>
      </c>
      <c r="B169" s="291" t="s">
        <v>3767</v>
      </c>
      <c r="C169" s="292" t="s">
        <v>48</v>
      </c>
      <c r="D169" s="293">
        <f t="shared" si="2"/>
        <v>1</v>
      </c>
      <c r="E169" s="294"/>
      <c r="F169" s="295" t="str">
        <f>IFERROR(__xludf.DUMMYFUNCTION("IF(B169="""","""",IFERROR(VLOOKUP(TO_TEXT(B169),PEDIDOS!D:I,6,0),IFERROR(VLOOKUP(B169*1,PEDIDOS!D:I,6,0),"" "")))"),"ENTREGUE")</f>
        <v>ENTREGUE</v>
      </c>
      <c r="G169" s="303"/>
      <c r="H169" s="304"/>
    </row>
    <row r="170" ht="14.25" customHeight="1">
      <c r="A170" s="302" t="s">
        <v>171</v>
      </c>
      <c r="B170" s="291" t="s">
        <v>3427</v>
      </c>
      <c r="C170" s="292" t="s">
        <v>48</v>
      </c>
      <c r="D170" s="293">
        <f t="shared" si="2"/>
        <v>1</v>
      </c>
      <c r="E170" s="294"/>
      <c r="F170" s="295" t="str">
        <f>IFERROR(__xludf.DUMMYFUNCTION("IF(B170="""","""",IFERROR(VLOOKUP(TO_TEXT(B170),PEDIDOS!D:I,6,0),IFERROR(VLOOKUP(B170*1,PEDIDOS!D:I,6,0),"" "")))"),"ENTREGUE")</f>
        <v>ENTREGUE</v>
      </c>
      <c r="G170" s="303"/>
      <c r="H170" s="304"/>
    </row>
    <row r="171">
      <c r="A171" s="302" t="s">
        <v>171</v>
      </c>
      <c r="B171" s="291" t="s">
        <v>1285</v>
      </c>
      <c r="C171" s="292" t="s">
        <v>48</v>
      </c>
      <c r="D171" s="293">
        <f t="shared" si="2"/>
        <v>1</v>
      </c>
      <c r="E171" s="294"/>
      <c r="F171" s="295" t="str">
        <f>IFERROR(__xludf.DUMMYFUNCTION("IF(B171="""","""",IFERROR(VLOOKUP(TO_TEXT(B171),PEDIDOS!D:I,6,0),IFERROR(VLOOKUP(B171*1,PEDIDOS!D:I,6,0),"" "")))"),"ENTREGUE")</f>
        <v>ENTREGUE</v>
      </c>
      <c r="G171" s="303"/>
      <c r="H171" s="304"/>
    </row>
    <row r="172">
      <c r="A172" s="302" t="s">
        <v>171</v>
      </c>
      <c r="B172" s="291" t="s">
        <v>7613</v>
      </c>
      <c r="C172" s="292" t="s">
        <v>48</v>
      </c>
      <c r="D172" s="293">
        <f t="shared" si="2"/>
        <v>1</v>
      </c>
      <c r="E172" s="294"/>
      <c r="F172" s="295" t="str">
        <f>IFERROR(__xludf.DUMMYFUNCTION("IF(B172="""","""",IFERROR(VLOOKUP(TO_TEXT(B172),PEDIDOS!D:I,6,0),IFERROR(VLOOKUP(B172*1,PEDIDOS!D:I,6,0),"" "")))"),"ENTREGUE")</f>
        <v>ENTREGUE</v>
      </c>
      <c r="G172" s="303"/>
      <c r="H172" s="304"/>
    </row>
    <row r="173">
      <c r="A173" s="302" t="s">
        <v>171</v>
      </c>
      <c r="B173" s="291" t="s">
        <v>7265</v>
      </c>
      <c r="C173" s="292" t="s">
        <v>48</v>
      </c>
      <c r="D173" s="293">
        <f t="shared" si="2"/>
        <v>1</v>
      </c>
      <c r="E173" s="294"/>
      <c r="F173" s="295" t="str">
        <f>IFERROR(__xludf.DUMMYFUNCTION("IF(B173="""","""",IFERROR(VLOOKUP(TO_TEXT(B173),PEDIDOS!D:I,6,0),IFERROR(VLOOKUP(B173*1,PEDIDOS!D:I,6,0),"" "")))"),"ENTREGUE")</f>
        <v>ENTREGUE</v>
      </c>
      <c r="G173" s="303"/>
      <c r="H173" s="304"/>
    </row>
    <row r="174">
      <c r="A174" s="302" t="s">
        <v>171</v>
      </c>
      <c r="B174" s="291" t="s">
        <v>586</v>
      </c>
      <c r="C174" s="292" t="s">
        <v>48</v>
      </c>
      <c r="D174" s="293">
        <f t="shared" si="2"/>
        <v>1</v>
      </c>
      <c r="E174" s="294"/>
      <c r="F174" s="295" t="str">
        <f>IFERROR(__xludf.DUMMYFUNCTION("IF(B174="""","""",IFERROR(VLOOKUP(TO_TEXT(B174),PEDIDOS!D:I,6,0),IFERROR(VLOOKUP(B174*1,PEDIDOS!D:I,6,0),"" "")))"),"ENTREGUE")</f>
        <v>ENTREGUE</v>
      </c>
      <c r="G174" s="303"/>
      <c r="H174" s="304"/>
    </row>
    <row r="175">
      <c r="A175" s="302" t="s">
        <v>171</v>
      </c>
      <c r="B175" s="291" t="s">
        <v>1329</v>
      </c>
      <c r="C175" s="292" t="s">
        <v>48</v>
      </c>
      <c r="D175" s="293">
        <f t="shared" si="2"/>
        <v>1</v>
      </c>
      <c r="E175" s="294"/>
      <c r="F175" s="295" t="str">
        <f>IFERROR(__xludf.DUMMYFUNCTION("IF(B175="""","""",IFERROR(VLOOKUP(TO_TEXT(B175),PEDIDOS!D:I,6,0),IFERROR(VLOOKUP(B175*1,PEDIDOS!D:I,6,0),"" "")))"),"ENTREGUE")</f>
        <v>ENTREGUE</v>
      </c>
      <c r="G175" s="303"/>
      <c r="H175" s="304"/>
    </row>
    <row r="176">
      <c r="A176" s="302" t="s">
        <v>171</v>
      </c>
      <c r="B176" s="291" t="s">
        <v>2712</v>
      </c>
      <c r="C176" s="292" t="s">
        <v>48</v>
      </c>
      <c r="D176" s="293">
        <f t="shared" si="2"/>
        <v>1</v>
      </c>
      <c r="E176" s="294"/>
      <c r="F176" s="295" t="str">
        <f>IFERROR(__xludf.DUMMYFUNCTION("IF(B176="""","""",IFERROR(VLOOKUP(TO_TEXT(B176),PEDIDOS!D:I,6,0),IFERROR(VLOOKUP(B176*1,PEDIDOS!D:I,6,0),"" "")))"),"ENTREGUE")</f>
        <v>ENTREGUE</v>
      </c>
      <c r="G176" s="303"/>
      <c r="H176" s="304"/>
    </row>
    <row r="177">
      <c r="A177" s="302" t="s">
        <v>171</v>
      </c>
      <c r="B177" s="291" t="s">
        <v>3027</v>
      </c>
      <c r="C177" s="292" t="s">
        <v>48</v>
      </c>
      <c r="D177" s="293">
        <f t="shared" si="2"/>
        <v>1</v>
      </c>
      <c r="E177" s="294"/>
      <c r="F177" s="295" t="str">
        <f>IFERROR(__xludf.DUMMYFUNCTION("IF(B177="""","""",IFERROR(VLOOKUP(TO_TEXT(B177),PEDIDOS!D:I,6,0),IFERROR(VLOOKUP(B177*1,PEDIDOS!D:I,6,0),"" "")))"),"ENTREGUE")</f>
        <v>ENTREGUE</v>
      </c>
      <c r="G177" s="303"/>
      <c r="H177" s="304"/>
    </row>
    <row r="178">
      <c r="A178" s="302" t="s">
        <v>171</v>
      </c>
      <c r="B178" s="291" t="s">
        <v>1281</v>
      </c>
      <c r="C178" s="292" t="s">
        <v>48</v>
      </c>
      <c r="D178" s="293">
        <f t="shared" si="2"/>
        <v>1</v>
      </c>
      <c r="E178" s="294"/>
      <c r="F178" s="295" t="str">
        <f>IFERROR(__xludf.DUMMYFUNCTION("IF(B178="""","""",IFERROR(VLOOKUP(TO_TEXT(B178),PEDIDOS!D:I,6,0),IFERROR(VLOOKUP(B178*1,PEDIDOS!D:I,6,0),"" "")))"),"ENTREGUE")</f>
        <v>ENTREGUE</v>
      </c>
      <c r="G178" s="303"/>
      <c r="H178" s="304"/>
    </row>
    <row r="179">
      <c r="A179" s="302" t="s">
        <v>171</v>
      </c>
      <c r="B179" s="291" t="s">
        <v>483</v>
      </c>
      <c r="C179" s="292" t="s">
        <v>48</v>
      </c>
      <c r="D179" s="293">
        <f t="shared" si="2"/>
        <v>1</v>
      </c>
      <c r="E179" s="294"/>
      <c r="F179" s="295" t="str">
        <f>IFERROR(__xludf.DUMMYFUNCTION("IF(B179="""","""",IFERROR(VLOOKUP(TO_TEXT(B179),PEDIDOS!D:I,6,0),IFERROR(VLOOKUP(B179*1,PEDIDOS!D:I,6,0),"" "")))"),"ENTREGUE")</f>
        <v>ENTREGUE</v>
      </c>
      <c r="G179" s="303"/>
      <c r="H179" s="304"/>
    </row>
    <row r="180">
      <c r="A180" s="302" t="s">
        <v>171</v>
      </c>
      <c r="B180" s="291" t="s">
        <v>9495</v>
      </c>
      <c r="C180" s="292" t="s">
        <v>48</v>
      </c>
      <c r="D180" s="293">
        <f t="shared" si="2"/>
        <v>1</v>
      </c>
      <c r="E180" s="294"/>
      <c r="F180" s="295" t="str">
        <f>IFERROR(__xludf.DUMMYFUNCTION("IF(B180="""","""",IFERROR(VLOOKUP(TO_TEXT(B180),PEDIDOS!D:I,6,0),IFERROR(VLOOKUP(B180*1,PEDIDOS!D:I,6,0),"" "")))"),"ENTREGUE")</f>
        <v>ENTREGUE</v>
      </c>
      <c r="G180" s="303"/>
      <c r="H180" s="304"/>
    </row>
    <row r="181">
      <c r="A181" s="302" t="s">
        <v>171</v>
      </c>
      <c r="B181" s="291" t="s">
        <v>590</v>
      </c>
      <c r="C181" s="292" t="s">
        <v>48</v>
      </c>
      <c r="D181" s="293">
        <f t="shared" si="2"/>
        <v>1</v>
      </c>
      <c r="E181" s="294"/>
      <c r="F181" s="295" t="str">
        <f>IFERROR(__xludf.DUMMYFUNCTION("IF(B181="""","""",IFERROR(VLOOKUP(TO_TEXT(B181),PEDIDOS!D:I,6,0),IFERROR(VLOOKUP(B181*1,PEDIDOS!D:I,6,0),"" "")))"),"ENTREGUE")</f>
        <v>ENTREGUE</v>
      </c>
      <c r="G181" s="303"/>
      <c r="H181" s="304"/>
    </row>
    <row r="182">
      <c r="A182" s="302" t="s">
        <v>171</v>
      </c>
      <c r="B182" s="291" t="s">
        <v>1657</v>
      </c>
      <c r="C182" s="292" t="s">
        <v>48</v>
      </c>
      <c r="D182" s="293">
        <f t="shared" si="2"/>
        <v>1</v>
      </c>
      <c r="E182" s="294"/>
      <c r="F182" s="295" t="str">
        <f>IFERROR(__xludf.DUMMYFUNCTION("IF(B182="""","""",IFERROR(VLOOKUP(TO_TEXT(B182),PEDIDOS!D:I,6,0),IFERROR(VLOOKUP(B182*1,PEDIDOS!D:I,6,0),"" "")))"),"ENTREGUE")</f>
        <v>ENTREGUE</v>
      </c>
      <c r="G182" s="303"/>
      <c r="H182" s="304"/>
    </row>
    <row r="183">
      <c r="A183" s="302" t="s">
        <v>171</v>
      </c>
      <c r="B183" s="291" t="s">
        <v>1661</v>
      </c>
      <c r="C183" s="292" t="s">
        <v>48</v>
      </c>
      <c r="D183" s="293">
        <f t="shared" si="2"/>
        <v>1</v>
      </c>
      <c r="E183" s="294"/>
      <c r="F183" s="295" t="str">
        <f>IFERROR(__xludf.DUMMYFUNCTION("IF(B183="""","""",IFERROR(VLOOKUP(TO_TEXT(B183),PEDIDOS!D:I,6,0),IFERROR(VLOOKUP(B183*1,PEDIDOS!D:I,6,0),"" "")))"),"ENTREGUE")</f>
        <v>ENTREGUE</v>
      </c>
      <c r="G183" s="303"/>
      <c r="H183" s="304"/>
    </row>
    <row r="184">
      <c r="A184" s="302" t="s">
        <v>171</v>
      </c>
      <c r="B184" s="291" t="s">
        <v>363</v>
      </c>
      <c r="C184" s="292" t="s">
        <v>48</v>
      </c>
      <c r="D184" s="293">
        <f t="shared" si="2"/>
        <v>1</v>
      </c>
      <c r="E184" s="294"/>
      <c r="F184" s="295" t="str">
        <f>IFERROR(__xludf.DUMMYFUNCTION("IF(B184="""","""",IFERROR(VLOOKUP(TO_TEXT(B184),PEDIDOS!D:I,6,0),IFERROR(VLOOKUP(B184*1,PEDIDOS!D:I,6,0),"" "")))"),"ENTREGUE")</f>
        <v>ENTREGUE</v>
      </c>
      <c r="G184" s="303"/>
      <c r="H184" s="304"/>
    </row>
    <row r="185">
      <c r="A185" s="302" t="s">
        <v>171</v>
      </c>
      <c r="B185" s="291" t="s">
        <v>908</v>
      </c>
      <c r="C185" s="292" t="s">
        <v>48</v>
      </c>
      <c r="D185" s="293">
        <f t="shared" si="2"/>
        <v>1</v>
      </c>
      <c r="E185" s="294"/>
      <c r="F185" s="295" t="str">
        <f>IFERROR(__xludf.DUMMYFUNCTION("IF(B185="""","""",IFERROR(VLOOKUP(TO_TEXT(B185),PEDIDOS!D:I,6,0),IFERROR(VLOOKUP(B185*1,PEDIDOS!D:I,6,0),"" "")))"),"ENTREGUE")</f>
        <v>ENTREGUE</v>
      </c>
      <c r="G185" s="303"/>
      <c r="H185" s="304"/>
    </row>
    <row r="186">
      <c r="A186" s="302" t="s">
        <v>171</v>
      </c>
      <c r="B186" s="291" t="s">
        <v>170</v>
      </c>
      <c r="C186" s="292" t="s">
        <v>48</v>
      </c>
      <c r="D186" s="293">
        <f t="shared" si="2"/>
        <v>1</v>
      </c>
      <c r="E186" s="294"/>
      <c r="F186" s="295" t="str">
        <f>IFERROR(__xludf.DUMMYFUNCTION("IF(B186="""","""",IFERROR(VLOOKUP(TO_TEXT(B186),PEDIDOS!D:I,6,0),IFERROR(VLOOKUP(B186*1,PEDIDOS!D:I,6,0),"" "")))"),"ENTREGUE")</f>
        <v>ENTREGUE</v>
      </c>
      <c r="G186" s="303"/>
      <c r="H186" s="304"/>
    </row>
    <row r="187">
      <c r="A187" s="302" t="s">
        <v>171</v>
      </c>
      <c r="B187" s="291" t="s">
        <v>596</v>
      </c>
      <c r="C187" s="292" t="s">
        <v>48</v>
      </c>
      <c r="D187" s="293">
        <f t="shared" si="2"/>
        <v>1</v>
      </c>
      <c r="E187" s="294"/>
      <c r="F187" s="295" t="str">
        <f>IFERROR(__xludf.DUMMYFUNCTION("IF(B187="""","""",IFERROR(VLOOKUP(TO_TEXT(B187),PEDIDOS!D:I,6,0),IFERROR(VLOOKUP(B187*1,PEDIDOS!D:I,6,0),"" "")))"),"ENTREGUE")</f>
        <v>ENTREGUE</v>
      </c>
      <c r="G187" s="303"/>
      <c r="H187" s="304"/>
    </row>
    <row r="188">
      <c r="A188" s="302" t="s">
        <v>171</v>
      </c>
      <c r="B188" s="291" t="s">
        <v>3920</v>
      </c>
      <c r="C188" s="292" t="s">
        <v>48</v>
      </c>
      <c r="D188" s="293">
        <f t="shared" si="2"/>
        <v>1</v>
      </c>
      <c r="E188" s="294"/>
      <c r="F188" s="295" t="str">
        <f>IFERROR(__xludf.DUMMYFUNCTION("IF(B188="""","""",IFERROR(VLOOKUP(TO_TEXT(B188),PEDIDOS!D:I,6,0),IFERROR(VLOOKUP(B188*1,PEDIDOS!D:I,6,0),"" "")))"),"ENTREGUE")</f>
        <v>ENTREGUE</v>
      </c>
      <c r="G188" s="303"/>
      <c r="H188" s="304"/>
    </row>
    <row r="189">
      <c r="A189" s="302" t="s">
        <v>171</v>
      </c>
      <c r="B189" s="291" t="s">
        <v>1311</v>
      </c>
      <c r="C189" s="292" t="s">
        <v>48</v>
      </c>
      <c r="D189" s="293">
        <f t="shared" si="2"/>
        <v>1</v>
      </c>
      <c r="E189" s="294"/>
      <c r="F189" s="295" t="str">
        <f>IFERROR(__xludf.DUMMYFUNCTION("IF(B189="""","""",IFERROR(VLOOKUP(TO_TEXT(B189),PEDIDOS!D:I,6,0),IFERROR(VLOOKUP(B189*1,PEDIDOS!D:I,6,0),"" "")))"),"ENTREGUE")</f>
        <v>ENTREGUE</v>
      </c>
      <c r="G189" s="303"/>
      <c r="H189" s="304"/>
    </row>
    <row r="190">
      <c r="A190" s="302" t="s">
        <v>171</v>
      </c>
      <c r="B190" s="291" t="s">
        <v>8258</v>
      </c>
      <c r="C190" s="292" t="s">
        <v>48</v>
      </c>
      <c r="D190" s="293">
        <f t="shared" si="2"/>
        <v>1</v>
      </c>
      <c r="E190" s="294"/>
      <c r="F190" s="295" t="str">
        <f>IFERROR(__xludf.DUMMYFUNCTION("IF(B190="""","""",IFERROR(VLOOKUP(TO_TEXT(B190),PEDIDOS!D:I,6,0),IFERROR(VLOOKUP(B190*1,PEDIDOS!D:I,6,0),"" "")))"),"ENTREGUE")</f>
        <v>ENTREGUE</v>
      </c>
      <c r="G190" s="303"/>
      <c r="H190" s="304"/>
    </row>
    <row r="191">
      <c r="A191" s="302" t="s">
        <v>171</v>
      </c>
      <c r="B191" s="291" t="s">
        <v>902</v>
      </c>
      <c r="C191" s="292" t="s">
        <v>48</v>
      </c>
      <c r="D191" s="293">
        <f t="shared" si="2"/>
        <v>1</v>
      </c>
      <c r="E191" s="294"/>
      <c r="F191" s="295" t="str">
        <f>IFERROR(__xludf.DUMMYFUNCTION("IF(B191="""","""",IFERROR(VLOOKUP(TO_TEXT(B191),PEDIDOS!D:I,6,0),IFERROR(VLOOKUP(B191*1,PEDIDOS!D:I,6,0),"" "")))"),"ENTREGUE")</f>
        <v>ENTREGUE</v>
      </c>
      <c r="G191" s="303"/>
      <c r="H191" s="304"/>
    </row>
    <row r="192">
      <c r="A192" s="302" t="s">
        <v>171</v>
      </c>
      <c r="B192" s="291" t="s">
        <v>1291</v>
      </c>
      <c r="C192" s="292" t="s">
        <v>48</v>
      </c>
      <c r="D192" s="293">
        <f t="shared" si="2"/>
        <v>1</v>
      </c>
      <c r="E192" s="294"/>
      <c r="F192" s="295" t="str">
        <f>IFERROR(__xludf.DUMMYFUNCTION("IF(B192="""","""",IFERROR(VLOOKUP(TO_TEXT(B192),PEDIDOS!D:I,6,0),IFERROR(VLOOKUP(B192*1,PEDIDOS!D:I,6,0),"" "")))"),"ENTREGUE")</f>
        <v>ENTREGUE</v>
      </c>
      <c r="G192" s="303"/>
      <c r="H192" s="304"/>
    </row>
    <row r="193">
      <c r="A193" s="302" t="s">
        <v>171</v>
      </c>
      <c r="B193" s="291" t="s">
        <v>7271</v>
      </c>
      <c r="C193" s="292" t="s">
        <v>48</v>
      </c>
      <c r="D193" s="293">
        <f t="shared" si="2"/>
        <v>1</v>
      </c>
      <c r="E193" s="294"/>
      <c r="F193" s="295" t="str">
        <f>IFERROR(__xludf.DUMMYFUNCTION("IF(B193="""","""",IFERROR(VLOOKUP(TO_TEXT(B193),PEDIDOS!D:I,6,0),IFERROR(VLOOKUP(B193*1,PEDIDOS!D:I,6,0),"" "")))"),"ENTREGUE")</f>
        <v>ENTREGUE</v>
      </c>
      <c r="G193" s="303"/>
      <c r="H193" s="304"/>
    </row>
    <row r="194">
      <c r="A194" s="302" t="s">
        <v>171</v>
      </c>
      <c r="B194" s="291" t="s">
        <v>357</v>
      </c>
      <c r="C194" s="292" t="s">
        <v>48</v>
      </c>
      <c r="D194" s="293">
        <f t="shared" si="2"/>
        <v>1</v>
      </c>
      <c r="E194" s="294"/>
      <c r="F194" s="295" t="str">
        <f>IFERROR(__xludf.DUMMYFUNCTION("IF(B194="""","""",IFERROR(VLOOKUP(TO_TEXT(B194),PEDIDOS!D:I,6,0),IFERROR(VLOOKUP(B194*1,PEDIDOS!D:I,6,0),"" "")))"),"ENTREGUE")</f>
        <v>ENTREGUE</v>
      </c>
      <c r="G194" s="303"/>
      <c r="H194" s="304"/>
    </row>
    <row r="195">
      <c r="A195" s="302" t="s">
        <v>171</v>
      </c>
      <c r="B195" s="291" t="s">
        <v>3030</v>
      </c>
      <c r="C195" s="292" t="s">
        <v>48</v>
      </c>
      <c r="D195" s="293">
        <f t="shared" si="2"/>
        <v>1</v>
      </c>
      <c r="E195" s="294"/>
      <c r="F195" s="295" t="str">
        <f>IFERROR(__xludf.DUMMYFUNCTION("IF(B195="""","""",IFERROR(VLOOKUP(TO_TEXT(B195),PEDIDOS!D:I,6,0),IFERROR(VLOOKUP(B195*1,PEDIDOS!D:I,6,0),"" "")))"),"ENTREGUE")</f>
        <v>ENTREGUE</v>
      </c>
      <c r="G195" s="303"/>
      <c r="H195" s="304"/>
    </row>
    <row r="196">
      <c r="A196" s="302" t="s">
        <v>171</v>
      </c>
      <c r="B196" s="291" t="s">
        <v>7348</v>
      </c>
      <c r="C196" s="292" t="s">
        <v>48</v>
      </c>
      <c r="D196" s="293">
        <f t="shared" si="2"/>
        <v>1</v>
      </c>
      <c r="E196" s="294"/>
      <c r="F196" s="295" t="str">
        <f>IFERROR(__xludf.DUMMYFUNCTION("IF(B196="""","""",IFERROR(VLOOKUP(TO_TEXT(B196),PEDIDOS!D:I,6,0),IFERROR(VLOOKUP(B196*1,PEDIDOS!D:I,6,0),"" "")))"),"ENTREGUE")</f>
        <v>ENTREGUE</v>
      </c>
      <c r="G196" s="303"/>
      <c r="H196" s="304"/>
    </row>
    <row r="197">
      <c r="A197" s="302" t="s">
        <v>171</v>
      </c>
      <c r="B197" s="291" t="s">
        <v>2127</v>
      </c>
      <c r="C197" s="292" t="s">
        <v>48</v>
      </c>
      <c r="D197" s="293">
        <f t="shared" si="2"/>
        <v>1</v>
      </c>
      <c r="E197" s="294"/>
      <c r="F197" s="295" t="str">
        <f>IFERROR(__xludf.DUMMYFUNCTION("IF(B197="""","""",IFERROR(VLOOKUP(TO_TEXT(B197),PEDIDOS!D:I,6,0),IFERROR(VLOOKUP(B197*1,PEDIDOS!D:I,6,0),"" "")))"),"ENTREGUE")</f>
        <v>ENTREGUE</v>
      </c>
      <c r="G197" s="303"/>
      <c r="H197" s="304"/>
    </row>
    <row r="198" ht="15.75" customHeight="1">
      <c r="A198" s="302" t="s">
        <v>171</v>
      </c>
      <c r="B198" s="291" t="s">
        <v>9492</v>
      </c>
      <c r="C198" s="292" t="s">
        <v>48</v>
      </c>
      <c r="D198" s="293">
        <f t="shared" si="2"/>
        <v>1</v>
      </c>
      <c r="E198" s="294"/>
      <c r="F198" s="295" t="str">
        <f>IFERROR(__xludf.DUMMYFUNCTION("IF(B198="""","""",IFERROR(VLOOKUP(TO_TEXT(B198),PEDIDOS!D:I,6,0),IFERROR(VLOOKUP(B198*1,PEDIDOS!D:I,6,0),"" "")))"),"ENTREGUE")</f>
        <v>ENTREGUE</v>
      </c>
      <c r="G198" s="303"/>
      <c r="H198" s="304"/>
    </row>
    <row r="199">
      <c r="A199" s="302" t="s">
        <v>171</v>
      </c>
      <c r="B199" s="291" t="s">
        <v>567</v>
      </c>
      <c r="C199" s="292" t="s">
        <v>48</v>
      </c>
      <c r="D199" s="293">
        <f t="shared" si="2"/>
        <v>1</v>
      </c>
      <c r="E199" s="294"/>
      <c r="F199" s="295" t="str">
        <f>IFERROR(__xludf.DUMMYFUNCTION("IF(B199="""","""",IFERROR(VLOOKUP(TO_TEXT(B199),PEDIDOS!D:I,6,0),IFERROR(VLOOKUP(B199*1,PEDIDOS!D:I,6,0),"" "")))"),"ENTREGUE")</f>
        <v>ENTREGUE</v>
      </c>
      <c r="G199" s="303"/>
      <c r="H199" s="304"/>
    </row>
    <row r="200">
      <c r="A200" s="302" t="s">
        <v>171</v>
      </c>
      <c r="B200" s="291" t="s">
        <v>7968</v>
      </c>
      <c r="C200" s="292" t="s">
        <v>48</v>
      </c>
      <c r="D200" s="293">
        <f t="shared" si="2"/>
        <v>1</v>
      </c>
      <c r="E200" s="294"/>
      <c r="F200" s="295" t="str">
        <f>IFERROR(__xludf.DUMMYFUNCTION("IF(B200="""","""",IFERROR(VLOOKUP(TO_TEXT(B200),PEDIDOS!D:I,6,0),IFERROR(VLOOKUP(B200*1,PEDIDOS!D:I,6,0),"" "")))"),"ENTREGUE")</f>
        <v>ENTREGUE</v>
      </c>
      <c r="G200" s="303"/>
      <c r="H200" s="304"/>
    </row>
    <row r="201">
      <c r="A201" s="302" t="s">
        <v>171</v>
      </c>
      <c r="B201" s="291" t="s">
        <v>637</v>
      </c>
      <c r="C201" s="292" t="s">
        <v>48</v>
      </c>
      <c r="D201" s="293">
        <f t="shared" si="2"/>
        <v>1</v>
      </c>
      <c r="E201" s="294"/>
      <c r="F201" s="295" t="str">
        <f>IFERROR(__xludf.DUMMYFUNCTION("IF(B201="""","""",IFERROR(VLOOKUP(TO_TEXT(B201),PEDIDOS!D:I,6,0),IFERROR(VLOOKUP(B201*1,PEDIDOS!D:I,6,0),"" "")))"),"ENTREGUE")</f>
        <v>ENTREGUE</v>
      </c>
      <c r="G201" s="303"/>
      <c r="H201" s="304"/>
    </row>
    <row r="202">
      <c r="A202" s="302" t="s">
        <v>171</v>
      </c>
      <c r="B202" s="291" t="s">
        <v>2131</v>
      </c>
      <c r="C202" s="292" t="s">
        <v>48</v>
      </c>
      <c r="D202" s="293">
        <f t="shared" si="2"/>
        <v>1</v>
      </c>
      <c r="E202" s="294"/>
      <c r="F202" s="295" t="str">
        <f>IFERROR(__xludf.DUMMYFUNCTION("IF(B202="""","""",IFERROR(VLOOKUP(TO_TEXT(B202),PEDIDOS!D:I,6,0),IFERROR(VLOOKUP(B202*1,PEDIDOS!D:I,6,0),"" "")))"),"ENTREGUE")</f>
        <v>ENTREGUE</v>
      </c>
      <c r="G202" s="303"/>
      <c r="H202" s="304"/>
    </row>
    <row r="203">
      <c r="A203" s="302" t="s">
        <v>171</v>
      </c>
      <c r="B203" s="291" t="s">
        <v>1288</v>
      </c>
      <c r="C203" s="292" t="s">
        <v>48</v>
      </c>
      <c r="D203" s="293">
        <f t="shared" si="2"/>
        <v>1</v>
      </c>
      <c r="E203" s="294"/>
      <c r="F203" s="295" t="str">
        <f>IFERROR(__xludf.DUMMYFUNCTION("IF(B203="""","""",IFERROR(VLOOKUP(TO_TEXT(B203),PEDIDOS!D:I,6,0),IFERROR(VLOOKUP(B203*1,PEDIDOS!D:I,6,0),"" "")))"),"ENTREGUE")</f>
        <v>ENTREGUE</v>
      </c>
      <c r="G203" s="303"/>
      <c r="H203" s="304"/>
    </row>
    <row r="204">
      <c r="A204" s="302" t="s">
        <v>171</v>
      </c>
      <c r="B204" s="291" t="s">
        <v>1374</v>
      </c>
      <c r="C204" s="292" t="s">
        <v>48</v>
      </c>
      <c r="D204" s="293">
        <f t="shared" si="2"/>
        <v>1</v>
      </c>
      <c r="E204" s="294"/>
      <c r="F204" s="295" t="str">
        <f>IFERROR(__xludf.DUMMYFUNCTION("IF(B204="""","""",IFERROR(VLOOKUP(TO_TEXT(B204),PEDIDOS!D:I,6,0),IFERROR(VLOOKUP(B204*1,PEDIDOS!D:I,6,0),"" "")))"),"ENTREGUE")</f>
        <v>ENTREGUE</v>
      </c>
      <c r="G204" s="303"/>
      <c r="H204" s="304"/>
    </row>
    <row r="205">
      <c r="A205" s="302" t="s">
        <v>171</v>
      </c>
      <c r="B205" s="291" t="s">
        <v>354</v>
      </c>
      <c r="C205" s="292" t="s">
        <v>48</v>
      </c>
      <c r="D205" s="293">
        <f t="shared" si="2"/>
        <v>1</v>
      </c>
      <c r="E205" s="294"/>
      <c r="F205" s="295" t="str">
        <f>IFERROR(__xludf.DUMMYFUNCTION("IF(B205="""","""",IFERROR(VLOOKUP(TO_TEXT(B205),PEDIDOS!D:I,6,0),IFERROR(VLOOKUP(B205*1,PEDIDOS!D:I,6,0),"" "")))"),"ENTREGUE")</f>
        <v>ENTREGUE</v>
      </c>
      <c r="G205" s="303"/>
      <c r="H205" s="304"/>
    </row>
    <row r="206">
      <c r="A206" s="302" t="s">
        <v>171</v>
      </c>
      <c r="B206" s="291" t="s">
        <v>571</v>
      </c>
      <c r="C206" s="292" t="s">
        <v>48</v>
      </c>
      <c r="D206" s="293">
        <f t="shared" si="2"/>
        <v>1</v>
      </c>
      <c r="E206" s="294"/>
      <c r="F206" s="295" t="str">
        <f>IFERROR(__xludf.DUMMYFUNCTION("IF(B206="""","""",IFERROR(VLOOKUP(TO_TEXT(B206),PEDIDOS!D:I,6,0),IFERROR(VLOOKUP(B206*1,PEDIDOS!D:I,6,0),"" "")))"),"ENTREGUE")</f>
        <v>ENTREGUE</v>
      </c>
      <c r="G206" s="303"/>
      <c r="H206" s="304"/>
    </row>
    <row r="207">
      <c r="A207" s="302" t="s">
        <v>171</v>
      </c>
      <c r="B207" s="291" t="s">
        <v>1350</v>
      </c>
      <c r="C207" s="292" t="s">
        <v>48</v>
      </c>
      <c r="D207" s="293">
        <f t="shared" si="2"/>
        <v>1</v>
      </c>
      <c r="E207" s="294"/>
      <c r="F207" s="295" t="str">
        <f>IFERROR(__xludf.DUMMYFUNCTION("IF(B207="""","""",IFERROR(VLOOKUP(TO_TEXT(B207),PEDIDOS!D:I,6,0),IFERROR(VLOOKUP(B207*1,PEDIDOS!D:I,6,0),"" "")))"),"ENTREGUE")</f>
        <v>ENTREGUE</v>
      </c>
      <c r="G207" s="303"/>
      <c r="H207" s="304"/>
    </row>
    <row r="208">
      <c r="A208" s="302" t="s">
        <v>171</v>
      </c>
      <c r="B208" s="291" t="s">
        <v>3853</v>
      </c>
      <c r="C208" s="292" t="s">
        <v>48</v>
      </c>
      <c r="D208" s="293">
        <f t="shared" si="2"/>
        <v>1</v>
      </c>
      <c r="E208" s="294"/>
      <c r="F208" s="295" t="str">
        <f>IFERROR(__xludf.DUMMYFUNCTION("IF(B208="""","""",IFERROR(VLOOKUP(TO_TEXT(B208),PEDIDOS!D:I,6,0),IFERROR(VLOOKUP(B208*1,PEDIDOS!D:I,6,0),"" "")))"),"ENTREGUE")</f>
        <v>ENTREGUE</v>
      </c>
      <c r="G208" s="303"/>
      <c r="H208" s="304"/>
    </row>
    <row r="209">
      <c r="A209" s="302" t="s">
        <v>171</v>
      </c>
      <c r="B209" s="291" t="s">
        <v>486</v>
      </c>
      <c r="C209" s="292" t="s">
        <v>48</v>
      </c>
      <c r="D209" s="293">
        <f t="shared" si="2"/>
        <v>1</v>
      </c>
      <c r="E209" s="294"/>
      <c r="F209" s="295" t="str">
        <f>IFERROR(__xludf.DUMMYFUNCTION("IF(B209="""","""",IFERROR(VLOOKUP(TO_TEXT(B209),PEDIDOS!D:I,6,0),IFERROR(VLOOKUP(B209*1,PEDIDOS!D:I,6,0),"" "")))"),"ENTREGUE")</f>
        <v>ENTREGUE</v>
      </c>
      <c r="G209" s="303"/>
      <c r="H209" s="304"/>
    </row>
    <row r="210">
      <c r="A210" s="302" t="s">
        <v>171</v>
      </c>
      <c r="B210" s="291" t="s">
        <v>562</v>
      </c>
      <c r="C210" s="292" t="s">
        <v>48</v>
      </c>
      <c r="D210" s="293">
        <f t="shared" si="2"/>
        <v>1</v>
      </c>
      <c r="E210" s="294"/>
      <c r="F210" s="295" t="str">
        <f>IFERROR(__xludf.DUMMYFUNCTION("IF(B210="""","""",IFERROR(VLOOKUP(TO_TEXT(B210),PEDIDOS!D:I,6,0),IFERROR(VLOOKUP(B210*1,PEDIDOS!D:I,6,0),"" "")))"),"ENTREGUE")</f>
        <v>ENTREGUE</v>
      </c>
      <c r="G210" s="303"/>
      <c r="H210" s="304"/>
    </row>
    <row r="211">
      <c r="A211" s="302" t="s">
        <v>171</v>
      </c>
      <c r="B211" s="291" t="s">
        <v>2716</v>
      </c>
      <c r="C211" s="292" t="s">
        <v>48</v>
      </c>
      <c r="D211" s="293">
        <f t="shared" si="2"/>
        <v>1</v>
      </c>
      <c r="E211" s="294"/>
      <c r="F211" s="295" t="str">
        <f>IFERROR(__xludf.DUMMYFUNCTION("IF(B211="""","""",IFERROR(VLOOKUP(TO_TEXT(B211),PEDIDOS!D:I,6,0),IFERROR(VLOOKUP(B211*1,PEDIDOS!D:I,6,0),"" "")))"),"ENTREGUE")</f>
        <v>ENTREGUE</v>
      </c>
      <c r="G211" s="303"/>
      <c r="H211" s="304"/>
    </row>
    <row r="212">
      <c r="A212" s="302" t="s">
        <v>171</v>
      </c>
      <c r="B212" s="291" t="s">
        <v>3628</v>
      </c>
      <c r="C212" s="292" t="s">
        <v>48</v>
      </c>
      <c r="D212" s="293">
        <f t="shared" si="2"/>
        <v>1</v>
      </c>
      <c r="E212" s="294"/>
      <c r="F212" s="295" t="str">
        <f>IFERROR(__xludf.DUMMYFUNCTION("IF(B212="""","""",IFERROR(VLOOKUP(TO_TEXT(B212),PEDIDOS!D:I,6,0),IFERROR(VLOOKUP(B212*1,PEDIDOS!D:I,6,0),"" "")))"),"ENTREGUE")</f>
        <v>ENTREGUE</v>
      </c>
      <c r="G212" s="303"/>
      <c r="H212" s="304"/>
    </row>
    <row r="213">
      <c r="A213" s="302" t="s">
        <v>171</v>
      </c>
      <c r="B213" s="291" t="s">
        <v>7529</v>
      </c>
      <c r="C213" s="292" t="s">
        <v>48</v>
      </c>
      <c r="D213" s="293">
        <f t="shared" si="2"/>
        <v>1</v>
      </c>
      <c r="E213" s="294"/>
      <c r="F213" s="295" t="str">
        <f>IFERROR(__xludf.DUMMYFUNCTION("IF(B213="""","""",IFERROR(VLOOKUP(TO_TEXT(B213),PEDIDOS!D:I,6,0),IFERROR(VLOOKUP(B213*1,PEDIDOS!D:I,6,0),"" "")))"),"ENTREGUE")</f>
        <v>ENTREGUE</v>
      </c>
      <c r="G213" s="303"/>
      <c r="H213" s="304"/>
    </row>
    <row r="214">
      <c r="A214" s="302" t="s">
        <v>171</v>
      </c>
      <c r="B214" s="291" t="s">
        <v>593</v>
      </c>
      <c r="C214" s="292" t="s">
        <v>48</v>
      </c>
      <c r="D214" s="293">
        <f t="shared" si="2"/>
        <v>1</v>
      </c>
      <c r="E214" s="294"/>
      <c r="F214" s="295" t="str">
        <f>IFERROR(__xludf.DUMMYFUNCTION("IF(B214="""","""",IFERROR(VLOOKUP(TO_TEXT(B214),PEDIDOS!D:I,6,0),IFERROR(VLOOKUP(B214*1,PEDIDOS!D:I,6,0),"" "")))"),"ENTREGUE")</f>
        <v>ENTREGUE</v>
      </c>
      <c r="G214" s="303"/>
      <c r="H214" s="304"/>
    </row>
    <row r="215">
      <c r="A215" s="302" t="s">
        <v>171</v>
      </c>
      <c r="B215" s="291" t="s">
        <v>1760</v>
      </c>
      <c r="C215" s="292" t="s">
        <v>48</v>
      </c>
      <c r="D215" s="293">
        <f t="shared" si="2"/>
        <v>1</v>
      </c>
      <c r="E215" s="294"/>
      <c r="F215" s="295" t="str">
        <f>IFERROR(__xludf.DUMMYFUNCTION("IF(B215="""","""",IFERROR(VLOOKUP(TO_TEXT(B215),PEDIDOS!D:I,6,0),IFERROR(VLOOKUP(B215*1,PEDIDOS!D:I,6,0),"" "")))"),"ENTREGUE")</f>
        <v>ENTREGUE</v>
      </c>
      <c r="G215" s="303"/>
      <c r="H215" s="304"/>
    </row>
    <row r="216">
      <c r="A216" s="302" t="s">
        <v>171</v>
      </c>
      <c r="B216" s="291" t="s">
        <v>7274</v>
      </c>
      <c r="C216" s="292" t="s">
        <v>48</v>
      </c>
      <c r="D216" s="293">
        <f t="shared" si="2"/>
        <v>1</v>
      </c>
      <c r="E216" s="294"/>
      <c r="F216" s="295" t="str">
        <f>IFERROR(__xludf.DUMMYFUNCTION("IF(B216="""","""",IFERROR(VLOOKUP(TO_TEXT(B216),PEDIDOS!D:I,6,0),IFERROR(VLOOKUP(B216*1,PEDIDOS!D:I,6,0),"" "")))"),"ENTREGUE")</f>
        <v>ENTREGUE</v>
      </c>
      <c r="G216" s="303"/>
      <c r="H216" s="304"/>
    </row>
    <row r="217">
      <c r="A217" s="302" t="s">
        <v>171</v>
      </c>
      <c r="B217" s="291" t="s">
        <v>7259</v>
      </c>
      <c r="C217" s="292" t="s">
        <v>48</v>
      </c>
      <c r="D217" s="293">
        <f t="shared" si="2"/>
        <v>1</v>
      </c>
      <c r="E217" s="294"/>
      <c r="F217" s="295" t="str">
        <f>IFERROR(__xludf.DUMMYFUNCTION("IF(B217="""","""",IFERROR(VLOOKUP(TO_TEXT(B217),PEDIDOS!D:I,6,0),IFERROR(VLOOKUP(B217*1,PEDIDOS!D:I,6,0),"" "")))"),"ENTREGUE")</f>
        <v>ENTREGUE</v>
      </c>
      <c r="G217" s="303"/>
      <c r="H217" s="304"/>
    </row>
    <row r="218">
      <c r="A218" s="302" t="s">
        <v>171</v>
      </c>
      <c r="B218" s="291" t="s">
        <v>23332</v>
      </c>
      <c r="C218" s="292" t="s">
        <v>48</v>
      </c>
      <c r="D218" s="293">
        <f t="shared" si="2"/>
        <v>1</v>
      </c>
      <c r="E218" s="294"/>
      <c r="F218" s="295" t="str">
        <f>IFERROR(__xludf.DUMMYFUNCTION("IF(B218="""","""",IFERROR(VLOOKUP(TO_TEXT(B218),PEDIDOS!D:I,6,0),IFERROR(VLOOKUP(B218*1,PEDIDOS!D:I,6,0),"" "")))"),"ENTREGUE")</f>
        <v>ENTREGUE</v>
      </c>
      <c r="G218" s="303"/>
      <c r="H218" s="304"/>
    </row>
    <row r="219">
      <c r="A219" s="302" t="s">
        <v>171</v>
      </c>
      <c r="B219" s="291" t="s">
        <v>3763</v>
      </c>
      <c r="C219" s="292" t="s">
        <v>48</v>
      </c>
      <c r="D219" s="293">
        <f t="shared" si="2"/>
        <v>1</v>
      </c>
      <c r="E219" s="294"/>
      <c r="F219" s="295" t="str">
        <f>IFERROR(__xludf.DUMMYFUNCTION("IF(B219="""","""",IFERROR(VLOOKUP(TO_TEXT(B219),PEDIDOS!D:I,6,0),IFERROR(VLOOKUP(B219*1,PEDIDOS!D:I,6,0),"" "")))"),"ENTREGUE")</f>
        <v>ENTREGUE</v>
      </c>
      <c r="G219" s="303"/>
      <c r="H219" s="304"/>
    </row>
    <row r="220">
      <c r="A220" s="302" t="s">
        <v>171</v>
      </c>
      <c r="B220" s="291" t="s">
        <v>7819</v>
      </c>
      <c r="C220" s="292" t="s">
        <v>48</v>
      </c>
      <c r="D220" s="293">
        <f t="shared" si="2"/>
        <v>1</v>
      </c>
      <c r="E220" s="294"/>
      <c r="F220" s="295" t="str">
        <f>IFERROR(__xludf.DUMMYFUNCTION("IF(B220="""","""",IFERROR(VLOOKUP(TO_TEXT(B220),PEDIDOS!D:I,6,0),IFERROR(VLOOKUP(B220*1,PEDIDOS!D:I,6,0),"" "")))"),"ENTREGUE")</f>
        <v>ENTREGUE</v>
      </c>
      <c r="G220" s="303"/>
      <c r="H220" s="304"/>
    </row>
    <row r="221">
      <c r="A221" s="302" t="s">
        <v>171</v>
      </c>
      <c r="B221" s="291" t="s">
        <v>3247</v>
      </c>
      <c r="C221" s="292" t="s">
        <v>48</v>
      </c>
      <c r="D221" s="293">
        <f t="shared" si="2"/>
        <v>1</v>
      </c>
      <c r="E221" s="294"/>
      <c r="F221" s="295" t="str">
        <f>IFERROR(__xludf.DUMMYFUNCTION("IF(B221="""","""",IFERROR(VLOOKUP(TO_TEXT(B221),PEDIDOS!D:I,6,0),IFERROR(VLOOKUP(B221*1,PEDIDOS!D:I,6,0),"" "")))"),"ENTREGUE")</f>
        <v>ENTREGUE</v>
      </c>
      <c r="G221" s="303"/>
      <c r="H221" s="304"/>
    </row>
    <row r="222">
      <c r="A222" s="302" t="s">
        <v>171</v>
      </c>
      <c r="B222" s="291" t="s">
        <v>2708</v>
      </c>
      <c r="C222" s="292" t="s">
        <v>48</v>
      </c>
      <c r="D222" s="293">
        <f t="shared" si="2"/>
        <v>1</v>
      </c>
      <c r="E222" s="294"/>
      <c r="F222" s="295" t="str">
        <f>IFERROR(__xludf.DUMMYFUNCTION("IF(B222="""","""",IFERROR(VLOOKUP(TO_TEXT(B222),PEDIDOS!D:I,6,0),IFERROR(VLOOKUP(B222*1,PEDIDOS!D:I,6,0),"" "")))"),"ENTREGUE")</f>
        <v>ENTREGUE</v>
      </c>
      <c r="G222" s="303"/>
      <c r="H222" s="305"/>
    </row>
    <row r="223">
      <c r="A223" s="302" t="s">
        <v>171</v>
      </c>
      <c r="B223" s="291" t="s">
        <v>3683</v>
      </c>
      <c r="C223" s="292" t="s">
        <v>48</v>
      </c>
      <c r="D223" s="293">
        <f t="shared" si="2"/>
        <v>1</v>
      </c>
      <c r="E223" s="294"/>
      <c r="F223" s="295" t="str">
        <f>IFERROR(__xludf.DUMMYFUNCTION("IF(B223="""","""",IFERROR(VLOOKUP(TO_TEXT(B223),PEDIDOS!D:I,6,0),IFERROR(VLOOKUP(B223*1,PEDIDOS!D:I,6,0),"" "")))"),"ENTREGUE")</f>
        <v>ENTREGUE</v>
      </c>
      <c r="G223" s="303"/>
      <c r="H223" s="304"/>
    </row>
    <row r="224">
      <c r="A224" s="302" t="s">
        <v>171</v>
      </c>
      <c r="B224" s="291" t="s">
        <v>3637</v>
      </c>
      <c r="C224" s="292" t="s">
        <v>48</v>
      </c>
      <c r="D224" s="293">
        <f t="shared" si="2"/>
        <v>1</v>
      </c>
      <c r="E224" s="294"/>
      <c r="F224" s="295" t="str">
        <f>IFERROR(__xludf.DUMMYFUNCTION("IF(B224="""","""",IFERROR(VLOOKUP(TO_TEXT(B224),PEDIDOS!D:I,6,0),IFERROR(VLOOKUP(B224*1,PEDIDOS!D:I,6,0),"" "")))"),"ENTREGUE")</f>
        <v>ENTREGUE</v>
      </c>
      <c r="G224" s="303"/>
      <c r="H224" s="304"/>
    </row>
    <row r="225">
      <c r="A225" s="302" t="s">
        <v>171</v>
      </c>
      <c r="B225" s="291" t="s">
        <v>1332</v>
      </c>
      <c r="C225" s="292" t="s">
        <v>48</v>
      </c>
      <c r="D225" s="293">
        <f t="shared" si="2"/>
        <v>1</v>
      </c>
      <c r="E225" s="294"/>
      <c r="F225" s="295" t="str">
        <f>IFERROR(__xludf.DUMMYFUNCTION("IF(B225="""","""",IFERROR(VLOOKUP(TO_TEXT(B225),PEDIDOS!D:I,6,0),IFERROR(VLOOKUP(B225*1,PEDIDOS!D:I,6,0),"" "")))"),"ENTREGUE")</f>
        <v>ENTREGUE</v>
      </c>
      <c r="G225" s="303"/>
      <c r="H225" s="304"/>
    </row>
    <row r="226">
      <c r="A226" s="302" t="s">
        <v>171</v>
      </c>
      <c r="B226" s="291" t="s">
        <v>3212</v>
      </c>
      <c r="C226" s="292" t="s">
        <v>48</v>
      </c>
      <c r="D226" s="293">
        <f t="shared" si="2"/>
        <v>1</v>
      </c>
      <c r="E226" s="294"/>
      <c r="F226" s="295" t="str">
        <f>IFERROR(__xludf.DUMMYFUNCTION("IF(B226="""","""",IFERROR(VLOOKUP(TO_TEXT(B226),PEDIDOS!D:I,6,0),IFERROR(VLOOKUP(B226*1,PEDIDOS!D:I,6,0),"" "")))"),"ENTREGUE")</f>
        <v>ENTREGUE</v>
      </c>
      <c r="G226" s="303"/>
      <c r="H226" s="304"/>
    </row>
    <row r="227">
      <c r="A227" s="302" t="s">
        <v>171</v>
      </c>
      <c r="B227" s="291" t="s">
        <v>897</v>
      </c>
      <c r="C227" s="292" t="s">
        <v>48</v>
      </c>
      <c r="D227" s="293">
        <f t="shared" si="2"/>
        <v>1</v>
      </c>
      <c r="E227" s="294"/>
      <c r="F227" s="295" t="str">
        <f>IFERROR(__xludf.DUMMYFUNCTION("IF(B227="""","""",IFERROR(VLOOKUP(TO_TEXT(B227),PEDIDOS!D:I,6,0),IFERROR(VLOOKUP(B227*1,PEDIDOS!D:I,6,0),"" "")))"),"ENTREGUE")</f>
        <v>ENTREGUE</v>
      </c>
      <c r="G227" s="303"/>
      <c r="H227" s="304"/>
    </row>
    <row r="228">
      <c r="A228" s="302" t="s">
        <v>171</v>
      </c>
      <c r="B228" s="291" t="s">
        <v>3149</v>
      </c>
      <c r="C228" s="292" t="s">
        <v>48</v>
      </c>
      <c r="D228" s="293">
        <f t="shared" si="2"/>
        <v>1</v>
      </c>
      <c r="E228" s="294"/>
      <c r="F228" s="295" t="str">
        <f>IFERROR(__xludf.DUMMYFUNCTION("IF(B228="""","""",IFERROR(VLOOKUP(TO_TEXT(B228),PEDIDOS!D:I,6,0),IFERROR(VLOOKUP(B228*1,PEDIDOS!D:I,6,0),"" "")))"),"ENTREGUE")</f>
        <v>ENTREGUE</v>
      </c>
      <c r="G228" s="303"/>
      <c r="H228" s="304"/>
    </row>
    <row r="229">
      <c r="A229" s="302" t="s">
        <v>171</v>
      </c>
      <c r="B229" s="291" t="s">
        <v>3140</v>
      </c>
      <c r="C229" s="292" t="s">
        <v>48</v>
      </c>
      <c r="D229" s="293">
        <f t="shared" si="2"/>
        <v>1</v>
      </c>
      <c r="E229" s="294"/>
      <c r="F229" s="295" t="str">
        <f>IFERROR(__xludf.DUMMYFUNCTION("IF(B229="""","""",IFERROR(VLOOKUP(TO_TEXT(B229),PEDIDOS!D:I,6,0),IFERROR(VLOOKUP(B229*1,PEDIDOS!D:I,6,0),"" "")))"),"ENTREGUE")</f>
        <v>ENTREGUE</v>
      </c>
      <c r="G229" s="303"/>
      <c r="H229" s="304"/>
    </row>
    <row r="230">
      <c r="A230" s="302" t="s">
        <v>171</v>
      </c>
      <c r="B230" s="291" t="s">
        <v>351</v>
      </c>
      <c r="C230" s="292" t="s">
        <v>48</v>
      </c>
      <c r="D230" s="293">
        <f t="shared" si="2"/>
        <v>1</v>
      </c>
      <c r="E230" s="294"/>
      <c r="F230" s="295" t="str">
        <f>IFERROR(__xludf.DUMMYFUNCTION("IF(B230="""","""",IFERROR(VLOOKUP(TO_TEXT(B230),PEDIDOS!D:I,6,0),IFERROR(VLOOKUP(B230*1,PEDIDOS!D:I,6,0),"" "")))"),"ENTREGUE")</f>
        <v>ENTREGUE</v>
      </c>
      <c r="G230" s="303"/>
      <c r="H230" s="304"/>
    </row>
    <row r="231">
      <c r="A231" s="302" t="s">
        <v>171</v>
      </c>
      <c r="B231" s="291" t="s">
        <v>1501</v>
      </c>
      <c r="C231" s="292" t="s">
        <v>48</v>
      </c>
      <c r="D231" s="293">
        <f t="shared" si="2"/>
        <v>1</v>
      </c>
      <c r="E231" s="294"/>
      <c r="F231" s="295" t="str">
        <f>IFERROR(__xludf.DUMMYFUNCTION("IF(B231="""","""",IFERROR(VLOOKUP(TO_TEXT(B231),PEDIDOS!D:I,6,0),IFERROR(VLOOKUP(B231*1,PEDIDOS!D:I,6,0),"" "")))"),"ENTREGUE")</f>
        <v>ENTREGUE</v>
      </c>
      <c r="G231" s="303"/>
      <c r="H231" s="304"/>
    </row>
    <row r="232">
      <c r="A232" s="302" t="s">
        <v>171</v>
      </c>
      <c r="B232" s="291" t="s">
        <v>1664</v>
      </c>
      <c r="C232" s="292" t="s">
        <v>48</v>
      </c>
      <c r="D232" s="293">
        <f t="shared" si="2"/>
        <v>1</v>
      </c>
      <c r="E232" s="294"/>
      <c r="F232" s="295" t="str">
        <f>IFERROR(__xludf.DUMMYFUNCTION("IF(B232="""","""",IFERROR(VLOOKUP(TO_TEXT(B232),PEDIDOS!D:I,6,0),IFERROR(VLOOKUP(B232*1,PEDIDOS!D:I,6,0),"" "")))"),"ENTREGUE")</f>
        <v>ENTREGUE</v>
      </c>
      <c r="G232" s="303"/>
      <c r="H232" s="304"/>
    </row>
    <row r="233">
      <c r="A233" s="302" t="s">
        <v>171</v>
      </c>
      <c r="B233" s="291" t="s">
        <v>7300</v>
      </c>
      <c r="C233" s="292" t="s">
        <v>48</v>
      </c>
      <c r="D233" s="293">
        <f t="shared" si="2"/>
        <v>1</v>
      </c>
      <c r="E233" s="294"/>
      <c r="F233" s="295" t="str">
        <f>IFERROR(__xludf.DUMMYFUNCTION("IF(B233="""","""",IFERROR(VLOOKUP(TO_TEXT(B233),PEDIDOS!D:I,6,0),IFERROR(VLOOKUP(B233*1,PEDIDOS!D:I,6,0),"" "")))"),"ENTREGUE")</f>
        <v>ENTREGUE</v>
      </c>
      <c r="G233" s="303"/>
      <c r="H233" s="304"/>
    </row>
    <row r="234">
      <c r="A234" s="302" t="s">
        <v>171</v>
      </c>
      <c r="B234" s="291" t="s">
        <v>7737</v>
      </c>
      <c r="C234" s="292" t="s">
        <v>48</v>
      </c>
      <c r="D234" s="293">
        <f t="shared" si="2"/>
        <v>1</v>
      </c>
      <c r="E234" s="294"/>
      <c r="F234" s="295" t="str">
        <f>IFERROR(__xludf.DUMMYFUNCTION("IF(B234="""","""",IFERROR(VLOOKUP(TO_TEXT(B234),PEDIDOS!D:I,6,0),IFERROR(VLOOKUP(B234*1,PEDIDOS!D:I,6,0),"" "")))"),"ENTREGUE")</f>
        <v>ENTREGUE</v>
      </c>
      <c r="G234" s="303"/>
      <c r="H234" s="304"/>
    </row>
    <row r="235">
      <c r="A235" s="302" t="s">
        <v>171</v>
      </c>
      <c r="B235" s="291" t="s">
        <v>360</v>
      </c>
      <c r="C235" s="292" t="s">
        <v>48</v>
      </c>
      <c r="D235" s="293">
        <f t="shared" si="2"/>
        <v>1</v>
      </c>
      <c r="E235" s="294"/>
      <c r="F235" s="295" t="str">
        <f>IFERROR(__xludf.DUMMYFUNCTION("IF(B235="""","""",IFERROR(VLOOKUP(TO_TEXT(B235),PEDIDOS!D:I,6,0),IFERROR(VLOOKUP(B235*1,PEDIDOS!D:I,6,0),"" "")))"),"ENTREGUE")</f>
        <v>ENTREGUE</v>
      </c>
      <c r="G235" s="303"/>
      <c r="H235" s="304"/>
    </row>
    <row r="236">
      <c r="A236" s="302" t="s">
        <v>171</v>
      </c>
      <c r="B236" s="291" t="s">
        <v>7393</v>
      </c>
      <c r="C236" s="292" t="s">
        <v>48</v>
      </c>
      <c r="D236" s="293">
        <f t="shared" si="2"/>
        <v>1</v>
      </c>
      <c r="E236" s="294"/>
      <c r="F236" s="295" t="str">
        <f>IFERROR(__xludf.DUMMYFUNCTION("IF(B236="""","""",IFERROR(VLOOKUP(TO_TEXT(B236),PEDIDOS!D:I,6,0),IFERROR(VLOOKUP(B236*1,PEDIDOS!D:I,6,0),"" "")))"),"ENTREGUE")</f>
        <v>ENTREGUE</v>
      </c>
      <c r="G236" s="303"/>
      <c r="H236" s="304"/>
    </row>
    <row r="237">
      <c r="A237" s="302" t="s">
        <v>171</v>
      </c>
      <c r="B237" s="291" t="s">
        <v>7253</v>
      </c>
      <c r="C237" s="292" t="s">
        <v>48</v>
      </c>
      <c r="D237" s="293">
        <f t="shared" si="2"/>
        <v>1</v>
      </c>
      <c r="E237" s="294"/>
      <c r="F237" s="295" t="str">
        <f>IFERROR(__xludf.DUMMYFUNCTION("IF(B237="""","""",IFERROR(VLOOKUP(TO_TEXT(B237),PEDIDOS!D:I,6,0),IFERROR(VLOOKUP(B237*1,PEDIDOS!D:I,6,0),"" "")))"),"ENTREGUE")</f>
        <v>ENTREGUE</v>
      </c>
      <c r="G237" s="303"/>
      <c r="H237" s="304"/>
    </row>
    <row r="238">
      <c r="A238" s="302" t="s">
        <v>171</v>
      </c>
      <c r="B238" s="291" t="s">
        <v>191</v>
      </c>
      <c r="C238" s="292" t="s">
        <v>48</v>
      </c>
      <c r="D238" s="293">
        <f t="shared" si="2"/>
        <v>1</v>
      </c>
      <c r="E238" s="294"/>
      <c r="F238" s="295" t="str">
        <f>IFERROR(__xludf.DUMMYFUNCTION("IF(B238="""","""",IFERROR(VLOOKUP(TO_TEXT(B238),PEDIDOS!D:I,6,0),IFERROR(VLOOKUP(B238*1,PEDIDOS!D:I,6,0),"" "")))"),"ENTREGUE")</f>
        <v>ENTREGUE</v>
      </c>
      <c r="G238" s="303"/>
      <c r="H238" s="304"/>
    </row>
    <row r="239">
      <c r="A239" s="302" t="s">
        <v>171</v>
      </c>
      <c r="B239" s="291" t="s">
        <v>7616</v>
      </c>
      <c r="C239" s="292" t="s">
        <v>48</v>
      </c>
      <c r="D239" s="293">
        <f t="shared" si="2"/>
        <v>1</v>
      </c>
      <c r="E239" s="294"/>
      <c r="F239" s="295" t="str">
        <f>IFERROR(__xludf.DUMMYFUNCTION("IF(B239="""","""",IFERROR(VLOOKUP(TO_TEXT(B239),PEDIDOS!D:I,6,0),IFERROR(VLOOKUP(B239*1,PEDIDOS!D:I,6,0),"" "")))"),"ENTREGUE")</f>
        <v>ENTREGUE</v>
      </c>
      <c r="G239" s="303"/>
      <c r="H239" s="304"/>
    </row>
    <row r="240">
      <c r="A240" s="302" t="s">
        <v>171</v>
      </c>
      <c r="B240" s="291" t="s">
        <v>1346</v>
      </c>
      <c r="C240" s="292" t="s">
        <v>48</v>
      </c>
      <c r="D240" s="293">
        <f t="shared" si="2"/>
        <v>1</v>
      </c>
      <c r="E240" s="294"/>
      <c r="F240" s="295" t="str">
        <f>IFERROR(__xludf.DUMMYFUNCTION("IF(B240="""","""",IFERROR(VLOOKUP(TO_TEXT(B240),PEDIDOS!D:I,6,0),IFERROR(VLOOKUP(B240*1,PEDIDOS!D:I,6,0),"" "")))"),"ENTREGUE")</f>
        <v>ENTREGUE</v>
      </c>
      <c r="G240" s="303"/>
      <c r="H240" s="304"/>
    </row>
    <row r="241">
      <c r="A241" s="302" t="s">
        <v>171</v>
      </c>
      <c r="B241" s="291" t="s">
        <v>632</v>
      </c>
      <c r="C241" s="292" t="s">
        <v>48</v>
      </c>
      <c r="D241" s="293">
        <f t="shared" si="2"/>
        <v>1</v>
      </c>
      <c r="E241" s="294"/>
      <c r="F241" s="295" t="str">
        <f>IFERROR(__xludf.DUMMYFUNCTION("IF(B241="""","""",IFERROR(VLOOKUP(TO_TEXT(B241),PEDIDOS!D:I,6,0),IFERROR(VLOOKUP(B241*1,PEDIDOS!D:I,6,0),"" "")))"),"ENTREGUE")</f>
        <v>ENTREGUE</v>
      </c>
      <c r="G241" s="303"/>
      <c r="H241" s="304"/>
    </row>
    <row r="242">
      <c r="A242" s="302" t="s">
        <v>171</v>
      </c>
      <c r="B242" s="291" t="s">
        <v>8599</v>
      </c>
      <c r="C242" s="292" t="s">
        <v>48</v>
      </c>
      <c r="D242" s="293">
        <f t="shared" si="2"/>
        <v>1</v>
      </c>
      <c r="E242" s="294"/>
      <c r="F242" s="295" t="str">
        <f>IFERROR(__xludf.DUMMYFUNCTION("IF(B242="""","""",IFERROR(VLOOKUP(TO_TEXT(B242),PEDIDOS!D:I,6,0),IFERROR(VLOOKUP(B242*1,PEDIDOS!D:I,6,0),"" "")))"),"ENTREGUE")</f>
        <v>ENTREGUE</v>
      </c>
      <c r="G242" s="303"/>
      <c r="H242" s="304"/>
    </row>
    <row r="243">
      <c r="A243" s="302" t="s">
        <v>171</v>
      </c>
      <c r="B243" s="291" t="s">
        <v>7268</v>
      </c>
      <c r="C243" s="292" t="s">
        <v>48</v>
      </c>
      <c r="D243" s="293">
        <f t="shared" si="2"/>
        <v>1</v>
      </c>
      <c r="E243" s="294"/>
      <c r="F243" s="295" t="str">
        <f>IFERROR(__xludf.DUMMYFUNCTION("IF(B243="""","""",IFERROR(VLOOKUP(TO_TEXT(B243),PEDIDOS!D:I,6,0),IFERROR(VLOOKUP(B243*1,PEDIDOS!D:I,6,0),"" "")))"),"ENTREGUE")</f>
        <v>ENTREGUE</v>
      </c>
      <c r="G243" s="303"/>
      <c r="H243" s="304"/>
    </row>
    <row r="244">
      <c r="A244" s="302" t="s">
        <v>85</v>
      </c>
      <c r="B244" s="291" t="s">
        <v>319</v>
      </c>
      <c r="C244" s="292" t="s">
        <v>48</v>
      </c>
      <c r="D244" s="293">
        <f t="shared" si="2"/>
        <v>1</v>
      </c>
      <c r="E244" s="294"/>
      <c r="F244" s="295" t="str">
        <f>IFERROR(__xludf.DUMMYFUNCTION("IF(B244="""","""",IFERROR(VLOOKUP(TO_TEXT(B244),PEDIDOS!D:I,6,0),IFERROR(VLOOKUP(B244*1,PEDIDOS!D:I,6,0),"" "")))"),"ENTREGUE")</f>
        <v>ENTREGUE</v>
      </c>
      <c r="G244" s="303"/>
      <c r="H244" s="304"/>
    </row>
    <row r="245">
      <c r="A245" s="302" t="s">
        <v>85</v>
      </c>
      <c r="B245" s="291" t="s">
        <v>223</v>
      </c>
      <c r="C245" s="292" t="s">
        <v>48</v>
      </c>
      <c r="D245" s="293">
        <f t="shared" si="2"/>
        <v>1</v>
      </c>
      <c r="E245" s="294"/>
      <c r="F245" s="295" t="str">
        <f>IFERROR(__xludf.DUMMYFUNCTION("IF(B245="""","""",IFERROR(VLOOKUP(TO_TEXT(B245),PEDIDOS!D:I,6,0),IFERROR(VLOOKUP(B245*1,PEDIDOS!D:I,6,0),"" "")))"),"ENTREGUE")</f>
        <v>ENTREGUE</v>
      </c>
      <c r="G245" s="303"/>
      <c r="H245" s="304"/>
    </row>
    <row r="246">
      <c r="A246" s="302" t="s">
        <v>85</v>
      </c>
      <c r="B246" s="291" t="s">
        <v>526</v>
      </c>
      <c r="C246" s="292" t="s">
        <v>48</v>
      </c>
      <c r="D246" s="293">
        <f t="shared" si="2"/>
        <v>1</v>
      </c>
      <c r="E246" s="294"/>
      <c r="F246" s="295" t="str">
        <f>IFERROR(__xludf.DUMMYFUNCTION("IF(B246="""","""",IFERROR(VLOOKUP(TO_TEXT(B246),PEDIDOS!D:I,6,0),IFERROR(VLOOKUP(B246*1,PEDIDOS!D:I,6,0),"" "")))"),"ENTREGUE")</f>
        <v>ENTREGUE</v>
      </c>
      <c r="G246" s="303"/>
      <c r="H246" s="304"/>
    </row>
    <row r="247">
      <c r="A247" s="302" t="s">
        <v>85</v>
      </c>
      <c r="B247" s="291" t="s">
        <v>747</v>
      </c>
      <c r="C247" s="292" t="s">
        <v>48</v>
      </c>
      <c r="D247" s="293">
        <f t="shared" si="2"/>
        <v>1</v>
      </c>
      <c r="E247" s="294"/>
      <c r="F247" s="295" t="str">
        <f>IFERROR(__xludf.DUMMYFUNCTION("IF(B247="""","""",IFERROR(VLOOKUP(TO_TEXT(B247),PEDIDOS!D:I,6,0),IFERROR(VLOOKUP(B247*1,PEDIDOS!D:I,6,0),"" "")))"),"ENTREGUE")</f>
        <v>ENTREGUE</v>
      </c>
      <c r="G247" s="303"/>
      <c r="H247" s="304"/>
    </row>
    <row r="248">
      <c r="A248" s="302" t="s">
        <v>85</v>
      </c>
      <c r="B248" s="291" t="s">
        <v>3506</v>
      </c>
      <c r="C248" s="292" t="s">
        <v>48</v>
      </c>
      <c r="D248" s="293">
        <f t="shared" si="2"/>
        <v>1</v>
      </c>
      <c r="E248" s="294"/>
      <c r="F248" s="295" t="str">
        <f>IFERROR(__xludf.DUMMYFUNCTION("IF(B248="""","""",IFERROR(VLOOKUP(TO_TEXT(B248),PEDIDOS!D:I,6,0),IFERROR(VLOOKUP(B248*1,PEDIDOS!D:I,6,0),"" "")))"),"ENTREGUE")</f>
        <v>ENTREGUE</v>
      </c>
      <c r="G248" s="303"/>
      <c r="H248" s="304"/>
    </row>
    <row r="249">
      <c r="A249" s="302" t="s">
        <v>85</v>
      </c>
      <c r="B249" s="291" t="s">
        <v>316</v>
      </c>
      <c r="C249" s="292" t="s">
        <v>48</v>
      </c>
      <c r="D249" s="293">
        <f t="shared" si="2"/>
        <v>1</v>
      </c>
      <c r="E249" s="294"/>
      <c r="F249" s="295" t="str">
        <f>IFERROR(__xludf.DUMMYFUNCTION("IF(B249="""","""",IFERROR(VLOOKUP(TO_TEXT(B249),PEDIDOS!D:I,6,0),IFERROR(VLOOKUP(B249*1,PEDIDOS!D:I,6,0),"" "")))"),"ENTREGUE")</f>
        <v>ENTREGUE</v>
      </c>
      <c r="G249" s="303"/>
      <c r="H249" s="304"/>
    </row>
    <row r="250">
      <c r="A250" s="302" t="s">
        <v>85</v>
      </c>
      <c r="B250" s="291" t="s">
        <v>752</v>
      </c>
      <c r="C250" s="292" t="s">
        <v>48</v>
      </c>
      <c r="D250" s="293">
        <f t="shared" si="2"/>
        <v>1</v>
      </c>
      <c r="E250" s="294"/>
      <c r="F250" s="295" t="str">
        <f>IFERROR(__xludf.DUMMYFUNCTION("IF(B250="""","""",IFERROR(VLOOKUP(TO_TEXT(B250),PEDIDOS!D:I,6,0),IFERROR(VLOOKUP(B250*1,PEDIDOS!D:I,6,0),"" "")))"),"ENTREGUE")</f>
        <v>ENTREGUE</v>
      </c>
      <c r="G250" s="303"/>
      <c r="H250" s="304"/>
    </row>
    <row r="251">
      <c r="A251" s="302" t="s">
        <v>85</v>
      </c>
      <c r="B251" s="291" t="s">
        <v>328</v>
      </c>
      <c r="C251" s="292" t="s">
        <v>48</v>
      </c>
      <c r="D251" s="293">
        <f t="shared" si="2"/>
        <v>1</v>
      </c>
      <c r="E251" s="294"/>
      <c r="F251" s="295" t="str">
        <f>IFERROR(__xludf.DUMMYFUNCTION("IF(B251="""","""",IFERROR(VLOOKUP(TO_TEXT(B251),PEDIDOS!D:I,6,0),IFERROR(VLOOKUP(B251*1,PEDIDOS!D:I,6,0),"" "")))"),"ENTREGUE")</f>
        <v>ENTREGUE</v>
      </c>
      <c r="G251" s="303"/>
      <c r="H251" s="304"/>
    </row>
    <row r="252">
      <c r="A252" s="302" t="s">
        <v>85</v>
      </c>
      <c r="B252" s="291" t="s">
        <v>322</v>
      </c>
      <c r="C252" s="292" t="s">
        <v>48</v>
      </c>
      <c r="D252" s="293">
        <f t="shared" si="2"/>
        <v>1</v>
      </c>
      <c r="E252" s="294"/>
      <c r="F252" s="295" t="str">
        <f>IFERROR(__xludf.DUMMYFUNCTION("IF(B252="""","""",IFERROR(VLOOKUP(TO_TEXT(B252),PEDIDOS!D:I,6,0),IFERROR(VLOOKUP(B252*1,PEDIDOS!D:I,6,0),"" "")))"),"ENTREGUE")</f>
        <v>ENTREGUE</v>
      </c>
      <c r="G252" s="303"/>
      <c r="H252" s="304"/>
    </row>
    <row r="253">
      <c r="A253" s="302" t="s">
        <v>85</v>
      </c>
      <c r="B253" s="291" t="s">
        <v>325</v>
      </c>
      <c r="C253" s="292" t="s">
        <v>48</v>
      </c>
      <c r="D253" s="293">
        <f t="shared" si="2"/>
        <v>1</v>
      </c>
      <c r="E253" s="294"/>
      <c r="F253" s="295" t="str">
        <f>IFERROR(__xludf.DUMMYFUNCTION("IF(B253="""","""",IFERROR(VLOOKUP(TO_TEXT(B253),PEDIDOS!D:I,6,0),IFERROR(VLOOKUP(B253*1,PEDIDOS!D:I,6,0),"" "")))"),"ENTREGUE")</f>
        <v>ENTREGUE</v>
      </c>
      <c r="G253" s="303"/>
      <c r="H253" s="304"/>
    </row>
    <row r="254">
      <c r="A254" s="302" t="s">
        <v>177</v>
      </c>
      <c r="B254" s="291" t="s">
        <v>1545</v>
      </c>
      <c r="C254" s="292" t="s">
        <v>48</v>
      </c>
      <c r="D254" s="293">
        <f t="shared" si="2"/>
        <v>1</v>
      </c>
      <c r="E254" s="294"/>
      <c r="F254" s="295" t="str">
        <f>IFERROR(__xludf.DUMMYFUNCTION("IF(B254="""","""",IFERROR(VLOOKUP(TO_TEXT(B254),PEDIDOS!D:I,6,0),IFERROR(VLOOKUP(B254*1,PEDIDOS!D:I,6,0),"" "")))"),"ENTREGUE")</f>
        <v>ENTREGUE</v>
      </c>
      <c r="G254" s="303"/>
      <c r="H254" s="304"/>
    </row>
    <row r="255">
      <c r="A255" s="302" t="s">
        <v>177</v>
      </c>
      <c r="B255" s="291" t="s">
        <v>1673</v>
      </c>
      <c r="C255" s="292" t="s">
        <v>48</v>
      </c>
      <c r="D255" s="293">
        <f t="shared" si="2"/>
        <v>1</v>
      </c>
      <c r="E255" s="294"/>
      <c r="F255" s="295" t="str">
        <f>IFERROR(__xludf.DUMMYFUNCTION("IF(B255="""","""",IFERROR(VLOOKUP(TO_TEXT(B255),PEDIDOS!D:I,6,0),IFERROR(VLOOKUP(B255*1,PEDIDOS!D:I,6,0),"" "")))"),"ENTREGUE")</f>
        <v>ENTREGUE</v>
      </c>
      <c r="G255" s="303"/>
      <c r="H255" s="304"/>
    </row>
    <row r="256">
      <c r="A256" s="302" t="s">
        <v>177</v>
      </c>
      <c r="B256" s="291" t="s">
        <v>1323</v>
      </c>
      <c r="C256" s="292" t="s">
        <v>48</v>
      </c>
      <c r="D256" s="293">
        <f t="shared" si="2"/>
        <v>1</v>
      </c>
      <c r="E256" s="294"/>
      <c r="F256" s="295" t="str">
        <f>IFERROR(__xludf.DUMMYFUNCTION("IF(B256="""","""",IFERROR(VLOOKUP(TO_TEXT(B256),PEDIDOS!D:I,6,0),IFERROR(VLOOKUP(B256*1,PEDIDOS!D:I,6,0),"" "")))"),"ENTREGUE")</f>
        <v>ENTREGUE</v>
      </c>
      <c r="G256" s="303"/>
      <c r="H256" s="304"/>
    </row>
    <row r="257">
      <c r="A257" s="302" t="s">
        <v>177</v>
      </c>
      <c r="B257" s="291" t="s">
        <v>2725</v>
      </c>
      <c r="C257" s="292" t="s">
        <v>48</v>
      </c>
      <c r="D257" s="293">
        <f t="shared" si="2"/>
        <v>1</v>
      </c>
      <c r="E257" s="294"/>
      <c r="F257" s="295" t="str">
        <f>IFERROR(__xludf.DUMMYFUNCTION("IF(B257="""","""",IFERROR(VLOOKUP(TO_TEXT(B257),PEDIDOS!D:I,6,0),IFERROR(VLOOKUP(B257*1,PEDIDOS!D:I,6,0),"" "")))"),"ENTREGUE")</f>
        <v>ENTREGUE</v>
      </c>
      <c r="G257" s="303"/>
      <c r="H257" s="304"/>
    </row>
    <row r="258">
      <c r="A258" s="302" t="s">
        <v>177</v>
      </c>
      <c r="B258" s="291" t="s">
        <v>2868</v>
      </c>
      <c r="C258" s="292" t="s">
        <v>48</v>
      </c>
      <c r="D258" s="293">
        <f t="shared" si="2"/>
        <v>1</v>
      </c>
      <c r="E258" s="294"/>
      <c r="F258" s="295" t="str">
        <f>IFERROR(__xludf.DUMMYFUNCTION("IF(B258="""","""",IFERROR(VLOOKUP(TO_TEXT(B258),PEDIDOS!D:I,6,0),IFERROR(VLOOKUP(B258*1,PEDIDOS!D:I,6,0),"" "")))"),"ENTREGUE")</f>
        <v>ENTREGUE</v>
      </c>
      <c r="G258" s="303"/>
      <c r="H258" s="304"/>
    </row>
    <row r="259">
      <c r="A259" s="302" t="s">
        <v>177</v>
      </c>
      <c r="B259" s="291" t="s">
        <v>605</v>
      </c>
      <c r="C259" s="292" t="s">
        <v>48</v>
      </c>
      <c r="D259" s="293">
        <f t="shared" si="2"/>
        <v>1</v>
      </c>
      <c r="E259" s="294"/>
      <c r="F259" s="295" t="str">
        <f>IFERROR(__xludf.DUMMYFUNCTION("IF(B259="""","""",IFERROR(VLOOKUP(TO_TEXT(B259),PEDIDOS!D:I,6,0),IFERROR(VLOOKUP(B259*1,PEDIDOS!D:I,6,0),"" "")))"),"ENTREGUE")</f>
        <v>ENTREGUE</v>
      </c>
      <c r="G259" s="303"/>
      <c r="H259" s="304"/>
    </row>
    <row r="260">
      <c r="A260" s="302" t="s">
        <v>177</v>
      </c>
      <c r="B260" s="291" t="s">
        <v>2328</v>
      </c>
      <c r="C260" s="292" t="s">
        <v>48</v>
      </c>
      <c r="D260" s="293">
        <f t="shared" si="2"/>
        <v>1</v>
      </c>
      <c r="E260" s="294"/>
      <c r="F260" s="295" t="str">
        <f>IFERROR(__xludf.DUMMYFUNCTION("IF(B260="""","""",IFERROR(VLOOKUP(TO_TEXT(B260),PEDIDOS!D:I,6,0),IFERROR(VLOOKUP(B260*1,PEDIDOS!D:I,6,0),"" "")))"),"ENTREGUE")</f>
        <v>ENTREGUE</v>
      </c>
      <c r="G260" s="303"/>
      <c r="H260" s="304"/>
    </row>
    <row r="261">
      <c r="A261" s="302" t="s">
        <v>177</v>
      </c>
      <c r="B261" s="291" t="s">
        <v>1173</v>
      </c>
      <c r="C261" s="292" t="s">
        <v>48</v>
      </c>
      <c r="D261" s="293">
        <f t="shared" si="2"/>
        <v>1</v>
      </c>
      <c r="E261" s="294"/>
      <c r="F261" s="295" t="str">
        <f>IFERROR(__xludf.DUMMYFUNCTION("IF(B261="""","""",IFERROR(VLOOKUP(TO_TEXT(B261),PEDIDOS!D:I,6,0),IFERROR(VLOOKUP(B261*1,PEDIDOS!D:I,6,0),"" "")))"),"ENTREGUE")</f>
        <v>ENTREGUE</v>
      </c>
      <c r="G261" s="303"/>
      <c r="H261" s="304"/>
    </row>
    <row r="262">
      <c r="A262" s="302" t="s">
        <v>177</v>
      </c>
      <c r="B262" s="291" t="s">
        <v>3033</v>
      </c>
      <c r="C262" s="292" t="s">
        <v>48</v>
      </c>
      <c r="D262" s="293">
        <f t="shared" si="2"/>
        <v>1</v>
      </c>
      <c r="E262" s="294"/>
      <c r="F262" s="295" t="str">
        <f>IFERROR(__xludf.DUMMYFUNCTION("IF(B262="""","""",IFERROR(VLOOKUP(TO_TEXT(B262),PEDIDOS!D:I,6,0),IFERROR(VLOOKUP(B262*1,PEDIDOS!D:I,6,0),"" "")))"),"ENTREGUE")</f>
        <v>ENTREGUE</v>
      </c>
      <c r="G262" s="303"/>
      <c r="H262" s="304"/>
    </row>
    <row r="263">
      <c r="A263" s="302" t="s">
        <v>177</v>
      </c>
      <c r="B263" s="291" t="s">
        <v>1727</v>
      </c>
      <c r="C263" s="292" t="s">
        <v>48</v>
      </c>
      <c r="D263" s="293">
        <f t="shared" si="2"/>
        <v>1</v>
      </c>
      <c r="E263" s="294"/>
      <c r="F263" s="295" t="str">
        <f>IFERROR(__xludf.DUMMYFUNCTION("IF(B263="""","""",IFERROR(VLOOKUP(TO_TEXT(B263),PEDIDOS!D:I,6,0),IFERROR(VLOOKUP(B263*1,PEDIDOS!D:I,6,0),"" "")))"),"ENTREGUE")</f>
        <v>ENTREGUE</v>
      </c>
      <c r="G263" s="303"/>
      <c r="H263" s="304"/>
    </row>
    <row r="264">
      <c r="A264" s="302" t="s">
        <v>177</v>
      </c>
      <c r="B264" s="291" t="s">
        <v>608</v>
      </c>
      <c r="C264" s="292" t="s">
        <v>48</v>
      </c>
      <c r="D264" s="293">
        <f t="shared" si="2"/>
        <v>1</v>
      </c>
      <c r="E264" s="294"/>
      <c r="F264" s="295" t="str">
        <f>IFERROR(__xludf.DUMMYFUNCTION("IF(B264="""","""",IFERROR(VLOOKUP(TO_TEXT(B264),PEDIDOS!D:I,6,0),IFERROR(VLOOKUP(B264*1,PEDIDOS!D:I,6,0),"" "")))"),"ENTREGUE")</f>
        <v>ENTREGUE</v>
      </c>
      <c r="G264" s="303"/>
      <c r="H264" s="304"/>
    </row>
    <row r="265">
      <c r="A265" s="302" t="s">
        <v>177</v>
      </c>
      <c r="B265" s="291" t="s">
        <v>1610</v>
      </c>
      <c r="C265" s="292" t="s">
        <v>48</v>
      </c>
      <c r="D265" s="293">
        <f t="shared" si="2"/>
        <v>1</v>
      </c>
      <c r="E265" s="294"/>
      <c r="F265" s="295" t="str">
        <f>IFERROR(__xludf.DUMMYFUNCTION("IF(B265="""","""",IFERROR(VLOOKUP(TO_TEXT(B265),PEDIDOS!D:I,6,0),IFERROR(VLOOKUP(B265*1,PEDIDOS!D:I,6,0),"" "")))"),"ENTREGUE")</f>
        <v>ENTREGUE</v>
      </c>
      <c r="G265" s="303"/>
      <c r="H265" s="304"/>
    </row>
    <row r="266">
      <c r="A266" s="302" t="s">
        <v>177</v>
      </c>
      <c r="B266" s="291" t="s">
        <v>1616</v>
      </c>
      <c r="C266" s="292" t="s">
        <v>48</v>
      </c>
      <c r="D266" s="293">
        <f t="shared" si="2"/>
        <v>1</v>
      </c>
      <c r="E266" s="294"/>
      <c r="F266" s="295" t="str">
        <f>IFERROR(__xludf.DUMMYFUNCTION("IF(B266="""","""",IFERROR(VLOOKUP(TO_TEXT(B266),PEDIDOS!D:I,6,0),IFERROR(VLOOKUP(B266*1,PEDIDOS!D:I,6,0),"" "")))"),"ENTREGUE")</f>
        <v>ENTREGUE</v>
      </c>
      <c r="G266" s="303"/>
      <c r="H266" s="304"/>
    </row>
    <row r="267">
      <c r="A267" s="302" t="s">
        <v>177</v>
      </c>
      <c r="B267" s="291" t="s">
        <v>3191</v>
      </c>
      <c r="C267" s="292" t="s">
        <v>48</v>
      </c>
      <c r="D267" s="293">
        <f t="shared" si="2"/>
        <v>1</v>
      </c>
      <c r="E267" s="294"/>
      <c r="F267" s="295" t="str">
        <f>IFERROR(__xludf.DUMMYFUNCTION("IF(B267="""","""",IFERROR(VLOOKUP(TO_TEXT(B267),PEDIDOS!D:I,6,0),IFERROR(VLOOKUP(B267*1,PEDIDOS!D:I,6,0),"" "")))"),"ENTREGUE")</f>
        <v>ENTREGUE</v>
      </c>
      <c r="G267" s="303"/>
      <c r="H267" s="304"/>
    </row>
    <row r="268">
      <c r="A268" s="302" t="s">
        <v>177</v>
      </c>
      <c r="B268" s="291" t="s">
        <v>602</v>
      </c>
      <c r="C268" s="292" t="s">
        <v>48</v>
      </c>
      <c r="D268" s="293">
        <f t="shared" si="2"/>
        <v>1</v>
      </c>
      <c r="E268" s="294"/>
      <c r="F268" s="295" t="str">
        <f>IFERROR(__xludf.DUMMYFUNCTION("IF(B268="""","""",IFERROR(VLOOKUP(TO_TEXT(B268),PEDIDOS!D:I,6,0),IFERROR(VLOOKUP(B268*1,PEDIDOS!D:I,6,0),"" "")))"),"ENTREGUE")</f>
        <v>ENTREGUE</v>
      </c>
      <c r="G268" s="303"/>
      <c r="H268" s="304"/>
    </row>
    <row r="269">
      <c r="A269" s="302" t="s">
        <v>177</v>
      </c>
      <c r="B269" s="291" t="s">
        <v>1667</v>
      </c>
      <c r="C269" s="292" t="s">
        <v>48</v>
      </c>
      <c r="D269" s="293">
        <f t="shared" si="2"/>
        <v>1</v>
      </c>
      <c r="E269" s="294"/>
      <c r="F269" s="295" t="str">
        <f>IFERROR(__xludf.DUMMYFUNCTION("IF(B269="""","""",IFERROR(VLOOKUP(TO_TEXT(B269),PEDIDOS!D:I,6,0),IFERROR(VLOOKUP(B269*1,PEDIDOS!D:I,6,0),"" "")))"),"ENTREGUE")</f>
        <v>ENTREGUE</v>
      </c>
      <c r="G269" s="303"/>
      <c r="H269" s="304"/>
    </row>
    <row r="270">
      <c r="A270" s="302" t="s">
        <v>177</v>
      </c>
      <c r="B270" s="291" t="s">
        <v>1314</v>
      </c>
      <c r="C270" s="292" t="s">
        <v>48</v>
      </c>
      <c r="D270" s="293">
        <f t="shared" si="2"/>
        <v>1</v>
      </c>
      <c r="E270" s="294"/>
      <c r="F270" s="295" t="str">
        <f>IFERROR(__xludf.DUMMYFUNCTION("IF(B270="""","""",IFERROR(VLOOKUP(TO_TEXT(B270),PEDIDOS!D:I,6,0),IFERROR(VLOOKUP(B270*1,PEDIDOS!D:I,6,0),"" "")))"),"ENTREGUE")</f>
        <v>ENTREGUE</v>
      </c>
      <c r="G270" s="303"/>
      <c r="H270" s="304"/>
    </row>
    <row r="271">
      <c r="A271" s="302" t="s">
        <v>177</v>
      </c>
      <c r="B271" s="291" t="s">
        <v>1169</v>
      </c>
      <c r="C271" s="292" t="s">
        <v>48</v>
      </c>
      <c r="D271" s="293">
        <f t="shared" si="2"/>
        <v>1</v>
      </c>
      <c r="E271" s="294"/>
      <c r="F271" s="295" t="str">
        <f>IFERROR(__xludf.DUMMYFUNCTION("IF(B271="""","""",IFERROR(VLOOKUP(TO_TEXT(B271),PEDIDOS!D:I,6,0),IFERROR(VLOOKUP(B271*1,PEDIDOS!D:I,6,0),"" "")))"),"ENTREGUE")</f>
        <v>ENTREGUE</v>
      </c>
      <c r="G271" s="303"/>
      <c r="H271" s="304"/>
    </row>
    <row r="272">
      <c r="A272" s="302" t="s">
        <v>177</v>
      </c>
      <c r="B272" s="291" t="s">
        <v>2583</v>
      </c>
      <c r="C272" s="292" t="s">
        <v>48</v>
      </c>
      <c r="D272" s="293">
        <f t="shared" si="2"/>
        <v>1</v>
      </c>
      <c r="E272" s="294"/>
      <c r="F272" s="295" t="str">
        <f>IFERROR(__xludf.DUMMYFUNCTION("IF(B272="""","""",IFERROR(VLOOKUP(TO_TEXT(B272),PEDIDOS!D:I,6,0),IFERROR(VLOOKUP(B272*1,PEDIDOS!D:I,6,0),"" "")))"),"ENTREGUE")</f>
        <v>ENTREGUE</v>
      </c>
      <c r="G272" s="303"/>
      <c r="H272" s="304"/>
    </row>
    <row r="273">
      <c r="A273" s="302" t="s">
        <v>177</v>
      </c>
      <c r="B273" s="291" t="s">
        <v>2589</v>
      </c>
      <c r="C273" s="292" t="s">
        <v>48</v>
      </c>
      <c r="D273" s="293">
        <f t="shared" si="2"/>
        <v>1</v>
      </c>
      <c r="E273" s="294"/>
      <c r="F273" s="295" t="str">
        <f>IFERROR(__xludf.DUMMYFUNCTION("IF(B273="""","""",IFERROR(VLOOKUP(TO_TEXT(B273),PEDIDOS!D:I,6,0),IFERROR(VLOOKUP(B273*1,PEDIDOS!D:I,6,0),"" "")))"),"ENTREGUE")</f>
        <v>ENTREGUE</v>
      </c>
      <c r="G273" s="303"/>
      <c r="H273" s="304"/>
    </row>
    <row r="274">
      <c r="A274" s="302" t="s">
        <v>177</v>
      </c>
      <c r="B274" s="291" t="s">
        <v>176</v>
      </c>
      <c r="C274" s="292" t="s">
        <v>48</v>
      </c>
      <c r="D274" s="293">
        <f t="shared" si="2"/>
        <v>1</v>
      </c>
      <c r="E274" s="294"/>
      <c r="F274" s="295" t="str">
        <f>IFERROR(__xludf.DUMMYFUNCTION("IF(B274="""","""",IFERROR(VLOOKUP(TO_TEXT(B274),PEDIDOS!D:I,6,0),IFERROR(VLOOKUP(B274*1,PEDIDOS!D:I,6,0),"" "")))"),"ENTREGUE")</f>
        <v>ENTREGUE</v>
      </c>
      <c r="G274" s="303"/>
      <c r="H274" s="304"/>
    </row>
    <row r="275">
      <c r="A275" s="302" t="s">
        <v>177</v>
      </c>
      <c r="B275" s="291" t="s">
        <v>2722</v>
      </c>
      <c r="C275" s="292" t="s">
        <v>48</v>
      </c>
      <c r="D275" s="293">
        <f t="shared" si="2"/>
        <v>1</v>
      </c>
      <c r="E275" s="294"/>
      <c r="F275" s="295" t="str">
        <f>IFERROR(__xludf.DUMMYFUNCTION("IF(B275="""","""",IFERROR(VLOOKUP(TO_TEXT(B275),PEDIDOS!D:I,6,0),IFERROR(VLOOKUP(B275*1,PEDIDOS!D:I,6,0),"" "")))"),"ENTREGUE")</f>
        <v>ENTREGUE</v>
      </c>
      <c r="G275" s="303"/>
      <c r="H275" s="304"/>
    </row>
    <row r="276">
      <c r="A276" s="302" t="s">
        <v>177</v>
      </c>
      <c r="B276" s="291" t="s">
        <v>2731</v>
      </c>
      <c r="C276" s="292" t="s">
        <v>48</v>
      </c>
      <c r="D276" s="293">
        <f t="shared" si="2"/>
        <v>1</v>
      </c>
      <c r="E276" s="294"/>
      <c r="F276" s="295" t="str">
        <f>IFERROR(__xludf.DUMMYFUNCTION("IF(B276="""","""",IFERROR(VLOOKUP(TO_TEXT(B276),PEDIDOS!D:I,6,0),IFERROR(VLOOKUP(B276*1,PEDIDOS!D:I,6,0),"" "")))"),"ENTREGUE")</f>
        <v>ENTREGUE</v>
      </c>
      <c r="G276" s="303"/>
      <c r="H276" s="304"/>
    </row>
    <row r="277">
      <c r="A277" s="302" t="s">
        <v>177</v>
      </c>
      <c r="B277" s="291" t="s">
        <v>2503</v>
      </c>
      <c r="C277" s="292" t="s">
        <v>48</v>
      </c>
      <c r="D277" s="293">
        <f t="shared" si="2"/>
        <v>1</v>
      </c>
      <c r="E277" s="294"/>
      <c r="F277" s="295" t="str">
        <f>IFERROR(__xludf.DUMMYFUNCTION("IF(B277="""","""",IFERROR(VLOOKUP(TO_TEXT(B277),PEDIDOS!D:I,6,0),IFERROR(VLOOKUP(B277*1,PEDIDOS!D:I,6,0),"" "")))"),"ENTREGUE")</f>
        <v>ENTREGUE</v>
      </c>
      <c r="G277" s="303"/>
      <c r="H277" s="304"/>
    </row>
    <row r="278">
      <c r="A278" s="302" t="s">
        <v>177</v>
      </c>
      <c r="B278" s="291" t="s">
        <v>1779</v>
      </c>
      <c r="C278" s="292" t="s">
        <v>48</v>
      </c>
      <c r="D278" s="293">
        <f t="shared" si="2"/>
        <v>1</v>
      </c>
      <c r="E278" s="294"/>
      <c r="F278" s="295" t="str">
        <f>IFERROR(__xludf.DUMMYFUNCTION("IF(B278="""","""",IFERROR(VLOOKUP(TO_TEXT(B278),PEDIDOS!D:I,6,0),IFERROR(VLOOKUP(B278*1,PEDIDOS!D:I,6,0),"" "")))"),"ENTREGUE")</f>
        <v>ENTREGUE</v>
      </c>
      <c r="G278" s="303"/>
      <c r="H278" s="304"/>
    </row>
    <row r="279">
      <c r="A279" s="302" t="s">
        <v>177</v>
      </c>
      <c r="B279" s="291" t="s">
        <v>2139</v>
      </c>
      <c r="C279" s="292" t="s">
        <v>48</v>
      </c>
      <c r="D279" s="293">
        <f t="shared" si="2"/>
        <v>1</v>
      </c>
      <c r="E279" s="294"/>
      <c r="F279" s="295" t="str">
        <f>IFERROR(__xludf.DUMMYFUNCTION("IF(B279="""","""",IFERROR(VLOOKUP(TO_TEXT(B279),PEDIDOS!D:I,6,0),IFERROR(VLOOKUP(B279*1,PEDIDOS!D:I,6,0),"" "")))"),"ENTREGUE")</f>
        <v>ENTREGUE</v>
      </c>
      <c r="G279" s="303"/>
      <c r="H279" s="304"/>
    </row>
    <row r="280">
      <c r="A280" s="302" t="s">
        <v>177</v>
      </c>
      <c r="B280" s="291" t="s">
        <v>2918</v>
      </c>
      <c r="C280" s="292" t="s">
        <v>48</v>
      </c>
      <c r="D280" s="293">
        <f t="shared" si="2"/>
        <v>1</v>
      </c>
      <c r="E280" s="294"/>
      <c r="F280" s="295" t="str">
        <f>IFERROR(__xludf.DUMMYFUNCTION("IF(B280="""","""",IFERROR(VLOOKUP(TO_TEXT(B280),PEDIDOS!D:I,6,0),IFERROR(VLOOKUP(B280*1,PEDIDOS!D:I,6,0),"" "")))"),"ENTREGUE")</f>
        <v>ENTREGUE</v>
      </c>
      <c r="G280" s="303"/>
      <c r="H280" s="304"/>
    </row>
    <row r="281">
      <c r="A281" s="302" t="s">
        <v>177</v>
      </c>
      <c r="B281" s="291" t="s">
        <v>580</v>
      </c>
      <c r="C281" s="292" t="s">
        <v>48</v>
      </c>
      <c r="D281" s="293">
        <f t="shared" si="2"/>
        <v>1</v>
      </c>
      <c r="E281" s="294"/>
      <c r="F281" s="295" t="str">
        <f>IFERROR(__xludf.DUMMYFUNCTION("IF(B281="""","""",IFERROR(VLOOKUP(TO_TEXT(B281),PEDIDOS!D:I,6,0),IFERROR(VLOOKUP(B281*1,PEDIDOS!D:I,6,0),"" "")))"),"ENTREGUE")</f>
        <v>ENTREGUE</v>
      </c>
      <c r="G281" s="303"/>
      <c r="H281" s="304"/>
    </row>
    <row r="282">
      <c r="A282" s="302" t="s">
        <v>177</v>
      </c>
      <c r="B282" s="291" t="s">
        <v>1356</v>
      </c>
      <c r="C282" s="292" t="s">
        <v>48</v>
      </c>
      <c r="D282" s="293">
        <f t="shared" si="2"/>
        <v>1</v>
      </c>
      <c r="E282" s="294"/>
      <c r="F282" s="295" t="str">
        <f>IFERROR(__xludf.DUMMYFUNCTION("IF(B282="""","""",IFERROR(VLOOKUP(TO_TEXT(B282),PEDIDOS!D:I,6,0),IFERROR(VLOOKUP(B282*1,PEDIDOS!D:I,6,0),"" "")))"),"ENTREGUE")</f>
        <v>ENTREGUE</v>
      </c>
      <c r="G282" s="303"/>
      <c r="H282" s="304"/>
    </row>
    <row r="283">
      <c r="A283" s="302" t="s">
        <v>177</v>
      </c>
      <c r="B283" s="291" t="s">
        <v>599</v>
      </c>
      <c r="C283" s="292" t="s">
        <v>48</v>
      </c>
      <c r="D283" s="293">
        <f t="shared" si="2"/>
        <v>1</v>
      </c>
      <c r="E283" s="294"/>
      <c r="F283" s="295" t="str">
        <f>IFERROR(__xludf.DUMMYFUNCTION("IF(B283="""","""",IFERROR(VLOOKUP(TO_TEXT(B283),PEDIDOS!D:I,6,0),IFERROR(VLOOKUP(B283*1,PEDIDOS!D:I,6,0),"" "")))"),"ENTREGUE")</f>
        <v>ENTREGUE</v>
      </c>
      <c r="G283" s="303"/>
      <c r="H283" s="304"/>
    </row>
    <row r="284">
      <c r="A284" s="302" t="s">
        <v>177</v>
      </c>
      <c r="B284" s="291" t="s">
        <v>1498</v>
      </c>
      <c r="C284" s="292" t="s">
        <v>48</v>
      </c>
      <c r="D284" s="293">
        <f t="shared" si="2"/>
        <v>1</v>
      </c>
      <c r="E284" s="294"/>
      <c r="F284" s="295" t="str">
        <f>IFERROR(__xludf.DUMMYFUNCTION("IF(B284="""","""",IFERROR(VLOOKUP(TO_TEXT(B284),PEDIDOS!D:I,6,0),IFERROR(VLOOKUP(B284*1,PEDIDOS!D:I,6,0),"" "")))"),"ENTREGUE")</f>
        <v>ENTREGUE</v>
      </c>
      <c r="G284" s="303"/>
      <c r="H284" s="304"/>
    </row>
    <row r="285">
      <c r="A285" s="302" t="s">
        <v>177</v>
      </c>
      <c r="B285" s="291" t="s">
        <v>2854</v>
      </c>
      <c r="C285" s="292" t="s">
        <v>48</v>
      </c>
      <c r="D285" s="293">
        <f t="shared" si="2"/>
        <v>1</v>
      </c>
      <c r="E285" s="294"/>
      <c r="F285" s="295" t="str">
        <f>IFERROR(__xludf.DUMMYFUNCTION("IF(B285="""","""",IFERROR(VLOOKUP(TO_TEXT(B285),PEDIDOS!D:I,6,0),IFERROR(VLOOKUP(B285*1,PEDIDOS!D:I,6,0),"" "")))"),"ENTREGUE")</f>
        <v>ENTREGUE</v>
      </c>
      <c r="G285" s="303"/>
      <c r="H285" s="304"/>
    </row>
    <row r="286">
      <c r="A286" s="302" t="s">
        <v>177</v>
      </c>
      <c r="B286" s="291" t="s">
        <v>574</v>
      </c>
      <c r="C286" s="292" t="s">
        <v>48</v>
      </c>
      <c r="D286" s="293">
        <f t="shared" si="2"/>
        <v>1</v>
      </c>
      <c r="E286" s="294"/>
      <c r="F286" s="295" t="str">
        <f>IFERROR(__xludf.DUMMYFUNCTION("IF(B286="""","""",IFERROR(VLOOKUP(TO_TEXT(B286),PEDIDOS!D:I,6,0),IFERROR(VLOOKUP(B286*1,PEDIDOS!D:I,6,0),"" "")))"),"ENTREGUE")</f>
        <v>ENTREGUE</v>
      </c>
      <c r="G286" s="303"/>
      <c r="H286" s="304"/>
    </row>
    <row r="287">
      <c r="A287" s="302" t="s">
        <v>177</v>
      </c>
      <c r="B287" s="291" t="s">
        <v>2471</v>
      </c>
      <c r="C287" s="292" t="s">
        <v>48</v>
      </c>
      <c r="D287" s="293">
        <f t="shared" si="2"/>
        <v>1</v>
      </c>
      <c r="E287" s="294"/>
      <c r="F287" s="295" t="str">
        <f>IFERROR(__xludf.DUMMYFUNCTION("IF(B287="""","""",IFERROR(VLOOKUP(TO_TEXT(B287),PEDIDOS!D:I,6,0),IFERROR(VLOOKUP(B287*1,PEDIDOS!D:I,6,0),"" "")))"),"ENTREGUE")</f>
        <v>ENTREGUE</v>
      </c>
      <c r="G287" s="303"/>
      <c r="H287" s="304"/>
    </row>
    <row r="288">
      <c r="A288" s="302" t="s">
        <v>177</v>
      </c>
      <c r="B288" s="291" t="s">
        <v>1484</v>
      </c>
      <c r="C288" s="292" t="s">
        <v>48</v>
      </c>
      <c r="D288" s="293">
        <f t="shared" si="2"/>
        <v>1</v>
      </c>
      <c r="E288" s="294"/>
      <c r="F288" s="295" t="str">
        <f>IFERROR(__xludf.DUMMYFUNCTION("IF(B288="""","""",IFERROR(VLOOKUP(TO_TEXT(B288),PEDIDOS!D:I,6,0),IFERROR(VLOOKUP(B288*1,PEDIDOS!D:I,6,0),"" "")))"),"ENTREGUE")</f>
        <v>ENTREGUE</v>
      </c>
      <c r="G288" s="303"/>
      <c r="H288" s="304"/>
    </row>
    <row r="289">
      <c r="A289" s="302" t="s">
        <v>177</v>
      </c>
      <c r="B289" s="291" t="s">
        <v>577</v>
      </c>
      <c r="C289" s="292" t="s">
        <v>48</v>
      </c>
      <c r="D289" s="293">
        <f t="shared" si="2"/>
        <v>1</v>
      </c>
      <c r="E289" s="294"/>
      <c r="F289" s="295" t="str">
        <f>IFERROR(__xludf.DUMMYFUNCTION("IF(B289="""","""",IFERROR(VLOOKUP(TO_TEXT(B289),PEDIDOS!D:I,6,0),IFERROR(VLOOKUP(B289*1,PEDIDOS!D:I,6,0),"" "")))"),"ENTREGUE")</f>
        <v>ENTREGUE</v>
      </c>
      <c r="G289" s="303"/>
      <c r="H289" s="304"/>
    </row>
    <row r="290">
      <c r="A290" s="302" t="s">
        <v>177</v>
      </c>
      <c r="B290" s="291" t="s">
        <v>1769</v>
      </c>
      <c r="C290" s="292" t="s">
        <v>48</v>
      </c>
      <c r="D290" s="293">
        <f t="shared" si="2"/>
        <v>1</v>
      </c>
      <c r="E290" s="294"/>
      <c r="F290" s="295" t="str">
        <f>IFERROR(__xludf.DUMMYFUNCTION("IF(B290="""","""",IFERROR(VLOOKUP(TO_TEXT(B290),PEDIDOS!D:I,6,0),IFERROR(VLOOKUP(B290*1,PEDIDOS!D:I,6,0),"" "")))"),"ENTREGUE")</f>
        <v>ENTREGUE</v>
      </c>
      <c r="G290" s="303"/>
      <c r="H290" s="304"/>
    </row>
    <row r="291">
      <c r="A291" s="302" t="s">
        <v>177</v>
      </c>
      <c r="B291" s="291" t="s">
        <v>1335</v>
      </c>
      <c r="C291" s="292" t="s">
        <v>48</v>
      </c>
      <c r="D291" s="293">
        <f t="shared" si="2"/>
        <v>1</v>
      </c>
      <c r="E291" s="294"/>
      <c r="F291" s="295" t="str">
        <f>IFERROR(__xludf.DUMMYFUNCTION("IF(B291="""","""",IFERROR(VLOOKUP(TO_TEXT(B291),PEDIDOS!D:I,6,0),IFERROR(VLOOKUP(B291*1,PEDIDOS!D:I,6,0),"" "")))"),"ENTREGUE")</f>
        <v>ENTREGUE</v>
      </c>
      <c r="G291" s="303"/>
      <c r="H291" s="304"/>
    </row>
    <row r="292">
      <c r="A292" s="302" t="s">
        <v>177</v>
      </c>
      <c r="B292" s="291" t="s">
        <v>3319</v>
      </c>
      <c r="C292" s="292" t="s">
        <v>48</v>
      </c>
      <c r="D292" s="293">
        <f t="shared" si="2"/>
        <v>1</v>
      </c>
      <c r="E292" s="294"/>
      <c r="F292" s="295" t="str">
        <f>IFERROR(__xludf.DUMMYFUNCTION("IF(B292="""","""",IFERROR(VLOOKUP(TO_TEXT(B292),PEDIDOS!D:I,6,0),IFERROR(VLOOKUP(B292*1,PEDIDOS!D:I,6,0),"" "")))"),"ENTREGUE")</f>
        <v>ENTREGUE</v>
      </c>
      <c r="G292" s="303"/>
      <c r="H292" s="304"/>
    </row>
    <row r="293">
      <c r="A293" s="302" t="s">
        <v>177</v>
      </c>
      <c r="B293" s="291" t="s">
        <v>1317</v>
      </c>
      <c r="C293" s="292" t="s">
        <v>48</v>
      </c>
      <c r="D293" s="293">
        <f t="shared" si="2"/>
        <v>1</v>
      </c>
      <c r="E293" s="294"/>
      <c r="F293" s="295" t="str">
        <f>IFERROR(__xludf.DUMMYFUNCTION("IF(B293="""","""",IFERROR(VLOOKUP(TO_TEXT(B293),PEDIDOS!D:I,6,0),IFERROR(VLOOKUP(B293*1,PEDIDOS!D:I,6,0),"" "")))"),"ENTREGUE")</f>
        <v>ENTREGUE</v>
      </c>
      <c r="G293" s="303"/>
      <c r="H293" s="304"/>
    </row>
    <row r="294">
      <c r="A294" s="302" t="s">
        <v>177</v>
      </c>
      <c r="B294" s="291" t="s">
        <v>1648</v>
      </c>
      <c r="C294" s="292" t="s">
        <v>48</v>
      </c>
      <c r="D294" s="293">
        <f t="shared" si="2"/>
        <v>1</v>
      </c>
      <c r="E294" s="294"/>
      <c r="F294" s="295" t="str">
        <f>IFERROR(__xludf.DUMMYFUNCTION("IF(B294="""","""",IFERROR(VLOOKUP(TO_TEXT(B294),PEDIDOS!D:I,6,0),IFERROR(VLOOKUP(B294*1,PEDIDOS!D:I,6,0),"" "")))"),"ENTREGUE")</f>
        <v>ENTREGUE</v>
      </c>
      <c r="G294" s="303"/>
      <c r="H294" s="304"/>
    </row>
    <row r="295">
      <c r="A295" s="302" t="s">
        <v>177</v>
      </c>
      <c r="B295" s="291" t="s">
        <v>2871</v>
      </c>
      <c r="C295" s="292" t="s">
        <v>48</v>
      </c>
      <c r="D295" s="293">
        <f t="shared" si="2"/>
        <v>1</v>
      </c>
      <c r="E295" s="294"/>
      <c r="F295" s="295" t="str">
        <f>IFERROR(__xludf.DUMMYFUNCTION("IF(B295="""","""",IFERROR(VLOOKUP(TO_TEXT(B295),PEDIDOS!D:I,6,0),IFERROR(VLOOKUP(B295*1,PEDIDOS!D:I,6,0),"" "")))"),"ENTREGUE")</f>
        <v>ENTREGUE</v>
      </c>
      <c r="G295" s="303"/>
      <c r="H295" s="304"/>
    </row>
    <row r="296">
      <c r="A296" s="302" t="s">
        <v>177</v>
      </c>
      <c r="B296" s="291" t="s">
        <v>2747</v>
      </c>
      <c r="C296" s="292" t="s">
        <v>48</v>
      </c>
      <c r="D296" s="293">
        <f t="shared" si="2"/>
        <v>1</v>
      </c>
      <c r="E296" s="294"/>
      <c r="F296" s="295" t="str">
        <f>IFERROR(__xludf.DUMMYFUNCTION("IF(B296="""","""",IFERROR(VLOOKUP(TO_TEXT(B296),PEDIDOS!D:I,6,0),IFERROR(VLOOKUP(B296*1,PEDIDOS!D:I,6,0),"" "")))"),"ENTREGUE")</f>
        <v>ENTREGUE</v>
      </c>
      <c r="G296" s="303"/>
      <c r="H296" s="304"/>
    </row>
    <row r="297">
      <c r="A297" s="302" t="s">
        <v>177</v>
      </c>
      <c r="B297" s="291" t="s">
        <v>649</v>
      </c>
      <c r="C297" s="292" t="s">
        <v>48</v>
      </c>
      <c r="D297" s="293">
        <f t="shared" si="2"/>
        <v>1</v>
      </c>
      <c r="E297" s="294"/>
      <c r="F297" s="295" t="str">
        <f>IFERROR(__xludf.DUMMYFUNCTION("IF(B297="""","""",IFERROR(VLOOKUP(TO_TEXT(B297),PEDIDOS!D:I,6,0),IFERROR(VLOOKUP(B297*1,PEDIDOS!D:I,6,0),"" "")))"),"ENTREGUE")</f>
        <v>ENTREGUE</v>
      </c>
      <c r="G297" s="303"/>
      <c r="H297" s="304"/>
    </row>
    <row r="298">
      <c r="A298" s="302" t="s">
        <v>177</v>
      </c>
      <c r="B298" s="291" t="s">
        <v>198</v>
      </c>
      <c r="C298" s="292" t="s">
        <v>48</v>
      </c>
      <c r="D298" s="293">
        <f t="shared" si="2"/>
        <v>1</v>
      </c>
      <c r="E298" s="294"/>
      <c r="F298" s="295" t="str">
        <f>IFERROR(__xludf.DUMMYFUNCTION("IF(B298="""","""",IFERROR(VLOOKUP(TO_TEXT(B298),PEDIDOS!D:I,6,0),IFERROR(VLOOKUP(B298*1,PEDIDOS!D:I,6,0),"" "")))"),"ENTREGUE")</f>
        <v>ENTREGUE</v>
      </c>
      <c r="G298" s="303"/>
      <c r="H298" s="304"/>
    </row>
    <row r="299">
      <c r="A299" s="302" t="s">
        <v>177</v>
      </c>
      <c r="B299" s="291" t="s">
        <v>23333</v>
      </c>
      <c r="C299" s="292" t="s">
        <v>48</v>
      </c>
      <c r="D299" s="293">
        <f t="shared" si="2"/>
        <v>1</v>
      </c>
      <c r="E299" s="294"/>
      <c r="F299" s="295" t="str">
        <f>IFERROR(__xludf.DUMMYFUNCTION("IF(B299="""","""",IFERROR(VLOOKUP(TO_TEXT(B299),PEDIDOS!D:I,6,0),IFERROR(VLOOKUP(B299*1,PEDIDOS!D:I,6,0),"" "")))")," ")</f>
        <v> </v>
      </c>
      <c r="G299" s="303" t="s">
        <v>23334</v>
      </c>
      <c r="H299" s="304"/>
    </row>
    <row r="300">
      <c r="A300" s="302" t="s">
        <v>177</v>
      </c>
      <c r="B300" s="291" t="s">
        <v>3476</v>
      </c>
      <c r="C300" s="292" t="s">
        <v>48</v>
      </c>
      <c r="D300" s="293">
        <f t="shared" si="2"/>
        <v>1</v>
      </c>
      <c r="E300" s="294"/>
      <c r="F300" s="295" t="str">
        <f>IFERROR(__xludf.DUMMYFUNCTION("IF(B300="""","""",IFERROR(VLOOKUP(TO_TEXT(B300),PEDIDOS!D:I,6,0),IFERROR(VLOOKUP(B300*1,PEDIDOS!D:I,6,0),"" "")))"),"ENTREGUE")</f>
        <v>ENTREGUE</v>
      </c>
      <c r="G300" s="303"/>
      <c r="H300" s="304"/>
    </row>
    <row r="301">
      <c r="A301" s="302" t="s">
        <v>177</v>
      </c>
      <c r="B301" s="291" t="s">
        <v>837</v>
      </c>
      <c r="C301" s="292" t="s">
        <v>48</v>
      </c>
      <c r="D301" s="293">
        <f t="shared" si="2"/>
        <v>1</v>
      </c>
      <c r="E301" s="294"/>
      <c r="F301" s="295" t="str">
        <f>IFERROR(__xludf.DUMMYFUNCTION("IF(B301="""","""",IFERROR(VLOOKUP(TO_TEXT(B301),PEDIDOS!D:I,6,0),IFERROR(VLOOKUP(B301*1,PEDIDOS!D:I,6,0),"" "")))"),"ENTREGUE")</f>
        <v>ENTREGUE</v>
      </c>
      <c r="G301" s="303"/>
      <c r="H301" s="304"/>
    </row>
    <row r="302">
      <c r="A302" s="302" t="s">
        <v>177</v>
      </c>
      <c r="B302" s="291" t="s">
        <v>1670</v>
      </c>
      <c r="C302" s="292" t="s">
        <v>48</v>
      </c>
      <c r="D302" s="293">
        <f t="shared" si="2"/>
        <v>1</v>
      </c>
      <c r="E302" s="294"/>
      <c r="F302" s="295" t="str">
        <f>IFERROR(__xludf.DUMMYFUNCTION("IF(B302="""","""",IFERROR(VLOOKUP(TO_TEXT(B302),PEDIDOS!D:I,6,0),IFERROR(VLOOKUP(B302*1,PEDIDOS!D:I,6,0),"" "")))"),"ENTREGUE")</f>
        <v>ENTREGUE</v>
      </c>
      <c r="G302" s="303"/>
      <c r="H302" s="304"/>
    </row>
    <row r="303">
      <c r="A303" s="302" t="s">
        <v>177</v>
      </c>
      <c r="B303" s="291" t="s">
        <v>180</v>
      </c>
      <c r="C303" s="292" t="s">
        <v>48</v>
      </c>
      <c r="D303" s="293">
        <f t="shared" si="2"/>
        <v>1</v>
      </c>
      <c r="E303" s="294"/>
      <c r="F303" s="295" t="str">
        <f>IFERROR(__xludf.DUMMYFUNCTION("IF(B303="""","""",IFERROR(VLOOKUP(TO_TEXT(B303),PEDIDOS!D:I,6,0),IFERROR(VLOOKUP(B303*1,PEDIDOS!D:I,6,0),"" "")))"),"ENTREGUE")</f>
        <v>ENTREGUE</v>
      </c>
      <c r="G303" s="303"/>
      <c r="H303" s="304"/>
    </row>
    <row r="304">
      <c r="A304" s="302" t="s">
        <v>177</v>
      </c>
      <c r="B304" s="291" t="s">
        <v>640</v>
      </c>
      <c r="C304" s="292" t="s">
        <v>48</v>
      </c>
      <c r="D304" s="293">
        <f t="shared" si="2"/>
        <v>1</v>
      </c>
      <c r="E304" s="294"/>
      <c r="F304" s="295" t="str">
        <f>IFERROR(__xludf.DUMMYFUNCTION("IF(B304="""","""",IFERROR(VLOOKUP(TO_TEXT(B304),PEDIDOS!D:I,6,0),IFERROR(VLOOKUP(B304*1,PEDIDOS!D:I,6,0),"" "")))"),"ENTREGUE")</f>
        <v>ENTREGUE</v>
      </c>
      <c r="G304" s="303"/>
      <c r="H304" s="304"/>
    </row>
    <row r="305">
      <c r="A305" s="302" t="s">
        <v>177</v>
      </c>
      <c r="B305" s="291" t="s">
        <v>3184</v>
      </c>
      <c r="C305" s="292" t="s">
        <v>48</v>
      </c>
      <c r="D305" s="293">
        <f t="shared" si="2"/>
        <v>1</v>
      </c>
      <c r="E305" s="294"/>
      <c r="F305" s="295" t="str">
        <f>IFERROR(__xludf.DUMMYFUNCTION("IF(B305="""","""",IFERROR(VLOOKUP(TO_TEXT(B305),PEDIDOS!D:I,6,0),IFERROR(VLOOKUP(B305*1,PEDIDOS!D:I,6,0),"" "")))"),"ENTREGUE")</f>
        <v>ENTREGUE</v>
      </c>
      <c r="G305" s="303"/>
      <c r="H305" s="304"/>
    </row>
    <row r="306">
      <c r="A306" s="302" t="s">
        <v>177</v>
      </c>
      <c r="B306" s="291" t="s">
        <v>2728</v>
      </c>
      <c r="C306" s="292" t="s">
        <v>48</v>
      </c>
      <c r="D306" s="293">
        <f t="shared" si="2"/>
        <v>1</v>
      </c>
      <c r="E306" s="294"/>
      <c r="F306" s="295" t="str">
        <f>IFERROR(__xludf.DUMMYFUNCTION("IF(B306="""","""",IFERROR(VLOOKUP(TO_TEXT(B306),PEDIDOS!D:I,6,0),IFERROR(VLOOKUP(B306*1,PEDIDOS!D:I,6,0),"" "")))"),"ENTREGUE")</f>
        <v>ENTREGUE</v>
      </c>
      <c r="G306" s="303"/>
      <c r="H306" s="304"/>
    </row>
    <row r="307">
      <c r="A307" s="302" t="s">
        <v>177</v>
      </c>
      <c r="B307" s="291" t="s">
        <v>227</v>
      </c>
      <c r="C307" s="292" t="s">
        <v>48</v>
      </c>
      <c r="D307" s="293">
        <f t="shared" si="2"/>
        <v>1</v>
      </c>
      <c r="E307" s="294"/>
      <c r="F307" s="295" t="str">
        <f>IFERROR(__xludf.DUMMYFUNCTION("IF(B307="""","""",IFERROR(VLOOKUP(TO_TEXT(B307),PEDIDOS!D:I,6,0),IFERROR(VLOOKUP(B307*1,PEDIDOS!D:I,6,0),"" "")))"),"ENTREGUE")</f>
        <v>ENTREGUE</v>
      </c>
      <c r="G307" s="303"/>
      <c r="H307" s="304"/>
    </row>
    <row r="308">
      <c r="A308" s="302" t="s">
        <v>177</v>
      </c>
      <c r="B308" s="291" t="s">
        <v>1320</v>
      </c>
      <c r="C308" s="292" t="s">
        <v>48</v>
      </c>
      <c r="D308" s="293">
        <f t="shared" si="2"/>
        <v>1</v>
      </c>
      <c r="E308" s="294"/>
      <c r="F308" s="295" t="str">
        <f>IFERROR(__xludf.DUMMYFUNCTION("IF(B308="""","""",IFERROR(VLOOKUP(TO_TEXT(B308),PEDIDOS!D:I,6,0),IFERROR(VLOOKUP(B308*1,PEDIDOS!D:I,6,0),"" "")))"),"ENTREGUE")</f>
        <v>ENTREGUE</v>
      </c>
      <c r="G308" s="303"/>
      <c r="H308" s="304"/>
    </row>
    <row r="309">
      <c r="A309" s="302" t="s">
        <v>177</v>
      </c>
      <c r="B309" s="291" t="s">
        <v>539</v>
      </c>
      <c r="C309" s="292" t="s">
        <v>48</v>
      </c>
      <c r="D309" s="293">
        <f t="shared" si="2"/>
        <v>1</v>
      </c>
      <c r="E309" s="294"/>
      <c r="F309" s="295" t="str">
        <f>IFERROR(__xludf.DUMMYFUNCTION("IF(B309="""","""",IFERROR(VLOOKUP(TO_TEXT(B309),PEDIDOS!D:I,6,0),IFERROR(VLOOKUP(B309*1,PEDIDOS!D:I,6,0),"" "")))"),"ENTREGUE")</f>
        <v>ENTREGUE</v>
      </c>
      <c r="G309" s="303"/>
      <c r="H309" s="304"/>
    </row>
    <row r="310">
      <c r="A310" s="302" t="s">
        <v>177</v>
      </c>
      <c r="B310" s="291" t="s">
        <v>3188</v>
      </c>
      <c r="C310" s="292" t="s">
        <v>48</v>
      </c>
      <c r="D310" s="293">
        <f t="shared" si="2"/>
        <v>1</v>
      </c>
      <c r="E310" s="294"/>
      <c r="F310" s="295" t="str">
        <f>IFERROR(__xludf.DUMMYFUNCTION("IF(B310="""","""",IFERROR(VLOOKUP(TO_TEXT(B310),PEDIDOS!D:I,6,0),IFERROR(VLOOKUP(B310*1,PEDIDOS!D:I,6,0),"" "")))"),"ENTREGUE")</f>
        <v>ENTREGUE</v>
      </c>
      <c r="G310" s="303"/>
      <c r="H310" s="304"/>
    </row>
    <row r="311">
      <c r="A311" s="302" t="s">
        <v>177</v>
      </c>
      <c r="B311" s="291" t="s">
        <v>3126</v>
      </c>
      <c r="C311" s="292" t="s">
        <v>48</v>
      </c>
      <c r="D311" s="293">
        <f t="shared" si="2"/>
        <v>1</v>
      </c>
      <c r="E311" s="294"/>
      <c r="F311" s="295" t="str">
        <f>IFERROR(__xludf.DUMMYFUNCTION("IF(B311="""","""",IFERROR(VLOOKUP(TO_TEXT(B311),PEDIDOS!D:I,6,0),IFERROR(VLOOKUP(B311*1,PEDIDOS!D:I,6,0),"" "")))"),"ENTREGUE")</f>
        <v>ENTREGUE</v>
      </c>
      <c r="G311" s="303"/>
      <c r="H311" s="304"/>
    </row>
    <row r="312">
      <c r="A312" s="302" t="s">
        <v>177</v>
      </c>
      <c r="B312" s="291" t="s">
        <v>1620</v>
      </c>
      <c r="C312" s="292" t="s">
        <v>48</v>
      </c>
      <c r="D312" s="293">
        <f t="shared" si="2"/>
        <v>1</v>
      </c>
      <c r="E312" s="294"/>
      <c r="F312" s="295" t="str">
        <f>IFERROR(__xludf.DUMMYFUNCTION("IF(B312="""","""",IFERROR(VLOOKUP(TO_TEXT(B312),PEDIDOS!D:I,6,0),IFERROR(VLOOKUP(B312*1,PEDIDOS!D:I,6,0),"" "")))"),"ENTREGUE")</f>
        <v>ENTREGUE</v>
      </c>
      <c r="G312" s="303"/>
      <c r="H312" s="304"/>
    </row>
    <row r="313">
      <c r="A313" s="302" t="s">
        <v>177</v>
      </c>
      <c r="B313" s="291" t="s">
        <v>1776</v>
      </c>
      <c r="C313" s="292" t="s">
        <v>48</v>
      </c>
      <c r="D313" s="293">
        <f t="shared" si="2"/>
        <v>1</v>
      </c>
      <c r="E313" s="294"/>
      <c r="F313" s="295" t="str">
        <f>IFERROR(__xludf.DUMMYFUNCTION("IF(B313="""","""",IFERROR(VLOOKUP(TO_TEXT(B313),PEDIDOS!D:I,6,0),IFERROR(VLOOKUP(B313*1,PEDIDOS!D:I,6,0),"" "")))"),"ENTREGUE")</f>
        <v>ENTREGUE</v>
      </c>
      <c r="G313" s="303"/>
      <c r="H313" s="304"/>
    </row>
    <row r="314">
      <c r="A314" s="302" t="s">
        <v>177</v>
      </c>
      <c r="B314" s="291" t="s">
        <v>1353</v>
      </c>
      <c r="C314" s="292" t="s">
        <v>48</v>
      </c>
      <c r="D314" s="293">
        <f t="shared" si="2"/>
        <v>1</v>
      </c>
      <c r="E314" s="294"/>
      <c r="F314" s="295" t="str">
        <f>IFERROR(__xludf.DUMMYFUNCTION("IF(B314="""","""",IFERROR(VLOOKUP(TO_TEXT(B314),PEDIDOS!D:I,6,0),IFERROR(VLOOKUP(B314*1,PEDIDOS!D:I,6,0),"" "")))"),"ENTREGUE")</f>
        <v>ENTREGUE</v>
      </c>
      <c r="G314" s="303"/>
      <c r="H314" s="304"/>
    </row>
    <row r="315">
      <c r="A315" s="302" t="s">
        <v>177</v>
      </c>
      <c r="B315" s="291" t="s">
        <v>3298</v>
      </c>
      <c r="C315" s="292" t="s">
        <v>48</v>
      </c>
      <c r="D315" s="293">
        <f t="shared" si="2"/>
        <v>1</v>
      </c>
      <c r="E315" s="294"/>
      <c r="F315" s="295" t="str">
        <f>IFERROR(__xludf.DUMMYFUNCTION("IF(B315="""","""",IFERROR(VLOOKUP(TO_TEXT(B315),PEDIDOS!D:I,6,0),IFERROR(VLOOKUP(B315*1,PEDIDOS!D:I,6,0),"" "")))"),"ENTREGUE")</f>
        <v>ENTREGUE</v>
      </c>
      <c r="G315" s="303"/>
      <c r="H315" s="304"/>
    </row>
    <row r="316">
      <c r="A316" s="302" t="s">
        <v>177</v>
      </c>
      <c r="B316" s="291" t="s">
        <v>2076</v>
      </c>
      <c r="C316" s="292" t="s">
        <v>48</v>
      </c>
      <c r="D316" s="293">
        <f t="shared" si="2"/>
        <v>1</v>
      </c>
      <c r="E316" s="294"/>
      <c r="F316" s="295" t="str">
        <f>IFERROR(__xludf.DUMMYFUNCTION("IF(B316="""","""",IFERROR(VLOOKUP(TO_TEXT(B316),PEDIDOS!D:I,6,0),IFERROR(VLOOKUP(B316*1,PEDIDOS!D:I,6,0),"" "")))"),"ENTREGUE")</f>
        <v>ENTREGUE</v>
      </c>
      <c r="G316" s="303"/>
      <c r="H316" s="304"/>
    </row>
    <row r="317">
      <c r="A317" s="302" t="s">
        <v>177</v>
      </c>
      <c r="B317" s="291" t="s">
        <v>2977</v>
      </c>
      <c r="C317" s="292" t="s">
        <v>48</v>
      </c>
      <c r="D317" s="293">
        <f t="shared" si="2"/>
        <v>1</v>
      </c>
      <c r="E317" s="294"/>
      <c r="F317" s="295" t="str">
        <f>IFERROR(__xludf.DUMMYFUNCTION("IF(B317="""","""",IFERROR(VLOOKUP(TO_TEXT(B317),PEDIDOS!D:I,6,0),IFERROR(VLOOKUP(B317*1,PEDIDOS!D:I,6,0),"" "")))"),"ENTREGUE")</f>
        <v>ENTREGUE</v>
      </c>
      <c r="G317" s="303"/>
      <c r="H317" s="304"/>
    </row>
    <row r="318">
      <c r="A318" s="302" t="s">
        <v>177</v>
      </c>
      <c r="B318" s="291" t="s">
        <v>1773</v>
      </c>
      <c r="C318" s="292" t="s">
        <v>48</v>
      </c>
      <c r="D318" s="293">
        <f t="shared" si="2"/>
        <v>1</v>
      </c>
      <c r="E318" s="294"/>
      <c r="F318" s="295" t="str">
        <f>IFERROR(__xludf.DUMMYFUNCTION("IF(B318="""","""",IFERROR(VLOOKUP(TO_TEXT(B318),PEDIDOS!D:I,6,0),IFERROR(VLOOKUP(B318*1,PEDIDOS!D:I,6,0),"" "")))"),"ENTREGUE")</f>
        <v>ENTREGUE</v>
      </c>
      <c r="G318" s="303"/>
      <c r="H318" s="304"/>
    </row>
    <row r="319">
      <c r="A319" s="302" t="s">
        <v>177</v>
      </c>
      <c r="B319" s="291" t="s">
        <v>2699</v>
      </c>
      <c r="C319" s="292" t="s">
        <v>48</v>
      </c>
      <c r="D319" s="293">
        <f t="shared" si="2"/>
        <v>1</v>
      </c>
      <c r="E319" s="294"/>
      <c r="F319" s="295" t="str">
        <f>IFERROR(__xludf.DUMMYFUNCTION("IF(B319="""","""",IFERROR(VLOOKUP(TO_TEXT(B319),PEDIDOS!D:I,6,0),IFERROR(VLOOKUP(B319*1,PEDIDOS!D:I,6,0),"" "")))"),"ENTREGUE")</f>
        <v>ENTREGUE</v>
      </c>
      <c r="G319" s="303"/>
      <c r="H319" s="304"/>
    </row>
    <row r="320">
      <c r="A320" s="302" t="s">
        <v>177</v>
      </c>
      <c r="B320" s="291" t="s">
        <v>195</v>
      </c>
      <c r="C320" s="292" t="s">
        <v>48</v>
      </c>
      <c r="D320" s="293">
        <f t="shared" si="2"/>
        <v>1</v>
      </c>
      <c r="E320" s="294"/>
      <c r="F320" s="295" t="str">
        <f>IFERROR(__xludf.DUMMYFUNCTION("IF(B320="""","""",IFERROR(VLOOKUP(TO_TEXT(B320),PEDIDOS!D:I,6,0),IFERROR(VLOOKUP(B320*1,PEDIDOS!D:I,6,0),"" "")))"),"ENTREGUE")</f>
        <v>ENTREGUE</v>
      </c>
      <c r="G320" s="303"/>
      <c r="H320" s="304"/>
    </row>
    <row r="321">
      <c r="A321" s="302" t="s">
        <v>177</v>
      </c>
      <c r="B321" s="291" t="s">
        <v>646</v>
      </c>
      <c r="C321" s="292" t="s">
        <v>48</v>
      </c>
      <c r="D321" s="293">
        <f t="shared" si="2"/>
        <v>1</v>
      </c>
      <c r="E321" s="294"/>
      <c r="F321" s="295" t="str">
        <f>IFERROR(__xludf.DUMMYFUNCTION("IF(B321="""","""",IFERROR(VLOOKUP(TO_TEXT(B321),PEDIDOS!D:I,6,0),IFERROR(VLOOKUP(B321*1,PEDIDOS!D:I,6,0),"" "")))"),"ENTREGUE")</f>
        <v>ENTREGUE</v>
      </c>
      <c r="G321" s="303"/>
      <c r="H321" s="304"/>
    </row>
    <row r="322">
      <c r="A322" s="302" t="s">
        <v>177</v>
      </c>
      <c r="B322" s="291" t="s">
        <v>1494</v>
      </c>
      <c r="C322" s="292" t="s">
        <v>48</v>
      </c>
      <c r="D322" s="293">
        <f t="shared" si="2"/>
        <v>1</v>
      </c>
      <c r="E322" s="294"/>
      <c r="F322" s="295" t="str">
        <f>IFERROR(__xludf.DUMMYFUNCTION("IF(B322="""","""",IFERROR(VLOOKUP(TO_TEXT(B322),PEDIDOS!D:I,6,0),IFERROR(VLOOKUP(B322*1,PEDIDOS!D:I,6,0),"" "")))"),"ENTREGUE")</f>
        <v>ENTREGUE</v>
      </c>
      <c r="G322" s="303"/>
      <c r="H322" s="304"/>
    </row>
    <row r="323">
      <c r="A323" s="302" t="s">
        <v>177</v>
      </c>
      <c r="B323" s="291" t="s">
        <v>643</v>
      </c>
      <c r="C323" s="292" t="s">
        <v>48</v>
      </c>
      <c r="D323" s="293">
        <f t="shared" si="2"/>
        <v>1</v>
      </c>
      <c r="E323" s="294"/>
      <c r="F323" s="295" t="str">
        <f>IFERROR(__xludf.DUMMYFUNCTION("IF(B323="""","""",IFERROR(VLOOKUP(TO_TEXT(B323),PEDIDOS!D:I,6,0),IFERROR(VLOOKUP(B323*1,PEDIDOS!D:I,6,0),"" "")))"),"ENTREGUE")</f>
        <v>ENTREGUE</v>
      </c>
      <c r="G323" s="303"/>
      <c r="H323" s="304"/>
    </row>
    <row r="324">
      <c r="A324" s="302" t="s">
        <v>91</v>
      </c>
      <c r="B324" s="291" t="s">
        <v>773</v>
      </c>
      <c r="C324" s="292" t="s">
        <v>48</v>
      </c>
      <c r="D324" s="293">
        <f t="shared" si="2"/>
        <v>1</v>
      </c>
      <c r="E324" s="294"/>
      <c r="F324" s="295" t="str">
        <f>IFERROR(__xludf.DUMMYFUNCTION("IF(B324="""","""",IFERROR(VLOOKUP(TO_TEXT(B324),PEDIDOS!D:I,6,0),IFERROR(VLOOKUP(B324*1,PEDIDOS!D:I,6,0),"" "")))"),"ENTREGUE")</f>
        <v>ENTREGUE</v>
      </c>
      <c r="G324" s="303"/>
      <c r="H324" s="304"/>
    </row>
    <row r="325">
      <c r="A325" s="302" t="s">
        <v>91</v>
      </c>
      <c r="B325" s="291" t="s">
        <v>306</v>
      </c>
      <c r="C325" s="292" t="s">
        <v>48</v>
      </c>
      <c r="D325" s="293">
        <f t="shared" si="2"/>
        <v>1</v>
      </c>
      <c r="E325" s="294"/>
      <c r="F325" s="295" t="str">
        <f>IFERROR(__xludf.DUMMYFUNCTION("IF(B325="""","""",IFERROR(VLOOKUP(TO_TEXT(B325),PEDIDOS!D:I,6,0),IFERROR(VLOOKUP(B325*1,PEDIDOS!D:I,6,0),"" "")))"),"ENTREGUE")</f>
        <v>ENTREGUE</v>
      </c>
      <c r="G325" s="303"/>
      <c r="H325" s="304"/>
    </row>
    <row r="326">
      <c r="A326" s="302" t="s">
        <v>91</v>
      </c>
      <c r="B326" s="291" t="s">
        <v>758</v>
      </c>
      <c r="C326" s="292" t="s">
        <v>48</v>
      </c>
      <c r="D326" s="293">
        <f t="shared" si="2"/>
        <v>1</v>
      </c>
      <c r="E326" s="294"/>
      <c r="F326" s="295" t="str">
        <f>IFERROR(__xludf.DUMMYFUNCTION("IF(B326="""","""",IFERROR(VLOOKUP(TO_TEXT(B326),PEDIDOS!D:I,6,0),IFERROR(VLOOKUP(B326*1,PEDIDOS!D:I,6,0),"" "")))"),"ENTREGUE")</f>
        <v>ENTREGUE</v>
      </c>
      <c r="G326" s="303"/>
      <c r="H326" s="304"/>
    </row>
    <row r="327">
      <c r="A327" s="302" t="s">
        <v>91</v>
      </c>
      <c r="B327" s="291" t="s">
        <v>755</v>
      </c>
      <c r="C327" s="292" t="s">
        <v>48</v>
      </c>
      <c r="D327" s="293">
        <f t="shared" si="2"/>
        <v>1</v>
      </c>
      <c r="E327" s="294"/>
      <c r="F327" s="295" t="str">
        <f>IFERROR(__xludf.DUMMYFUNCTION("IF(B327="""","""",IFERROR(VLOOKUP(TO_TEXT(B327),PEDIDOS!D:I,6,0),IFERROR(VLOOKUP(B327*1,PEDIDOS!D:I,6,0),"" "")))"),"ENTREGUE")</f>
        <v>ENTREGUE</v>
      </c>
      <c r="G327" s="303"/>
      <c r="H327" s="304"/>
    </row>
    <row r="328">
      <c r="A328" s="302" t="s">
        <v>91</v>
      </c>
      <c r="B328" s="291" t="s">
        <v>412</v>
      </c>
      <c r="C328" s="292" t="s">
        <v>48</v>
      </c>
      <c r="D328" s="293">
        <f t="shared" si="2"/>
        <v>1</v>
      </c>
      <c r="E328" s="294"/>
      <c r="F328" s="295" t="str">
        <f>IFERROR(__xludf.DUMMYFUNCTION("IF(B328="""","""",IFERROR(VLOOKUP(TO_TEXT(B328),PEDIDOS!D:I,6,0),IFERROR(VLOOKUP(B328*1,PEDIDOS!D:I,6,0),"" "")))"),"ENTREGUE")</f>
        <v>ENTREGUE</v>
      </c>
      <c r="G328" s="303"/>
      <c r="H328" s="304"/>
    </row>
    <row r="329">
      <c r="A329" s="302" t="s">
        <v>91</v>
      </c>
      <c r="B329" s="291" t="s">
        <v>877</v>
      </c>
      <c r="C329" s="292" t="s">
        <v>48</v>
      </c>
      <c r="D329" s="293">
        <f t="shared" si="2"/>
        <v>1</v>
      </c>
      <c r="E329" s="294"/>
      <c r="F329" s="295" t="str">
        <f>IFERROR(__xludf.DUMMYFUNCTION("IF(B329="""","""",IFERROR(VLOOKUP(TO_TEXT(B329),PEDIDOS!D:I,6,0),IFERROR(VLOOKUP(B329*1,PEDIDOS!D:I,6,0),"" "")))"),"ENTREGUE")</f>
        <v>ENTREGUE</v>
      </c>
      <c r="G329" s="303"/>
      <c r="H329" s="304"/>
    </row>
    <row r="330">
      <c r="A330" s="302" t="s">
        <v>91</v>
      </c>
      <c r="B330" s="291" t="s">
        <v>770</v>
      </c>
      <c r="C330" s="292" t="s">
        <v>48</v>
      </c>
      <c r="D330" s="293">
        <f t="shared" si="2"/>
        <v>1</v>
      </c>
      <c r="E330" s="294"/>
      <c r="F330" s="295" t="str">
        <f>IFERROR(__xludf.DUMMYFUNCTION("IF(B330="""","""",IFERROR(VLOOKUP(TO_TEXT(B330),PEDIDOS!D:I,6,0),IFERROR(VLOOKUP(B330*1,PEDIDOS!D:I,6,0),"" "")))"),"ENTREGUE")</f>
        <v>ENTREGUE</v>
      </c>
      <c r="G330" s="303"/>
      <c r="H330" s="304"/>
    </row>
    <row r="331">
      <c r="A331" s="302" t="s">
        <v>91</v>
      </c>
      <c r="B331" s="291" t="s">
        <v>764</v>
      </c>
      <c r="C331" s="292" t="s">
        <v>48</v>
      </c>
      <c r="D331" s="293">
        <f t="shared" si="2"/>
        <v>1</v>
      </c>
      <c r="E331" s="294"/>
      <c r="F331" s="295" t="str">
        <f>IFERROR(__xludf.DUMMYFUNCTION("IF(B331="""","""",IFERROR(VLOOKUP(TO_TEXT(B331),PEDIDOS!D:I,6,0),IFERROR(VLOOKUP(B331*1,PEDIDOS!D:I,6,0),"" "")))"),"ENTREGUE")</f>
        <v>ENTREGUE</v>
      </c>
      <c r="G331" s="303"/>
      <c r="H331" s="304"/>
    </row>
    <row r="332">
      <c r="A332" s="302" t="s">
        <v>91</v>
      </c>
      <c r="B332" s="291" t="s">
        <v>767</v>
      </c>
      <c r="C332" s="292" t="s">
        <v>48</v>
      </c>
      <c r="D332" s="293">
        <f t="shared" si="2"/>
        <v>1</v>
      </c>
      <c r="E332" s="294"/>
      <c r="F332" s="295" t="str">
        <f>IFERROR(__xludf.DUMMYFUNCTION("IF(B332="""","""",IFERROR(VLOOKUP(TO_TEXT(B332),PEDIDOS!D:I,6,0),IFERROR(VLOOKUP(B332*1,PEDIDOS!D:I,6,0),"" "")))"),"ENTREGUE")</f>
        <v>ENTREGUE</v>
      </c>
      <c r="G332" s="303"/>
      <c r="H332" s="304"/>
    </row>
    <row r="333">
      <c r="A333" s="302" t="s">
        <v>91</v>
      </c>
      <c r="B333" s="291" t="s">
        <v>761</v>
      </c>
      <c r="C333" s="292" t="s">
        <v>48</v>
      </c>
      <c r="D333" s="293">
        <f t="shared" si="2"/>
        <v>1</v>
      </c>
      <c r="E333" s="294"/>
      <c r="F333" s="295" t="str">
        <f>IFERROR(__xludf.DUMMYFUNCTION("IF(B333="""","""",IFERROR(VLOOKUP(TO_TEXT(B333),PEDIDOS!D:I,6,0),IFERROR(VLOOKUP(B333*1,PEDIDOS!D:I,6,0),"" "")))"),"ENTREGUE")</f>
        <v>ENTREGUE</v>
      </c>
      <c r="G333" s="303"/>
      <c r="H333" s="304"/>
    </row>
    <row r="334">
      <c r="A334" s="302" t="s">
        <v>184</v>
      </c>
      <c r="B334" s="291" t="s">
        <v>655</v>
      </c>
      <c r="C334" s="292" t="s">
        <v>48</v>
      </c>
      <c r="D334" s="293">
        <f t="shared" si="2"/>
        <v>1</v>
      </c>
      <c r="E334" s="294"/>
      <c r="F334" s="295" t="str">
        <f>IFERROR(__xludf.DUMMYFUNCTION("IF(B334="""","""",IFERROR(VLOOKUP(TO_TEXT(B334),PEDIDOS!D:I,6,0),IFERROR(VLOOKUP(B334*1,PEDIDOS!D:I,6,0),"" "")))"),"ENTREGUE")</f>
        <v>ENTREGUE</v>
      </c>
      <c r="G334" s="303"/>
      <c r="H334" s="304"/>
    </row>
    <row r="335">
      <c r="A335" s="302" t="s">
        <v>184</v>
      </c>
      <c r="B335" s="291" t="s">
        <v>1968</v>
      </c>
      <c r="C335" s="292" t="s">
        <v>48</v>
      </c>
      <c r="D335" s="293">
        <f t="shared" si="2"/>
        <v>1</v>
      </c>
      <c r="E335" s="294"/>
      <c r="F335" s="295" t="str">
        <f>IFERROR(__xludf.DUMMYFUNCTION("IF(B335="""","""",IFERROR(VLOOKUP(TO_TEXT(B335),PEDIDOS!D:I,6,0),IFERROR(VLOOKUP(B335*1,PEDIDOS!D:I,6,0),"" "")))"),"ENTREGUE")</f>
        <v>ENTREGUE</v>
      </c>
      <c r="G335" s="303"/>
      <c r="H335" s="304"/>
    </row>
    <row r="336">
      <c r="A336" s="302" t="s">
        <v>184</v>
      </c>
      <c r="B336" s="291" t="s">
        <v>344</v>
      </c>
      <c r="C336" s="292" t="s">
        <v>48</v>
      </c>
      <c r="D336" s="293">
        <f t="shared" si="2"/>
        <v>1</v>
      </c>
      <c r="E336" s="294"/>
      <c r="F336" s="295" t="str">
        <f>IFERROR(__xludf.DUMMYFUNCTION("IF(B336="""","""",IFERROR(VLOOKUP(TO_TEXT(B336),PEDIDOS!D:I,6,0),IFERROR(VLOOKUP(B336*1,PEDIDOS!D:I,6,0),"" "")))"),"ENTREGUE")</f>
        <v>ENTREGUE</v>
      </c>
      <c r="G336" s="303"/>
      <c r="H336" s="304"/>
    </row>
    <row r="337">
      <c r="A337" s="302" t="s">
        <v>184</v>
      </c>
      <c r="B337" s="291" t="s">
        <v>1196</v>
      </c>
      <c r="C337" s="292" t="s">
        <v>48</v>
      </c>
      <c r="D337" s="293">
        <f t="shared" si="2"/>
        <v>1</v>
      </c>
      <c r="E337" s="294"/>
      <c r="F337" s="295" t="str">
        <f>IFERROR(__xludf.DUMMYFUNCTION("IF(B337="""","""",IFERROR(VLOOKUP(TO_TEXT(B337),PEDIDOS!D:I,6,0),IFERROR(VLOOKUP(B337*1,PEDIDOS!D:I,6,0),"" "")))"),"ENTREGUE")</f>
        <v>ENTREGUE</v>
      </c>
      <c r="G337" s="303"/>
      <c r="H337" s="304"/>
    </row>
    <row r="338">
      <c r="A338" s="302" t="s">
        <v>184</v>
      </c>
      <c r="B338" s="291" t="s">
        <v>1244</v>
      </c>
      <c r="C338" s="292" t="s">
        <v>48</v>
      </c>
      <c r="D338" s="293">
        <f t="shared" si="2"/>
        <v>1</v>
      </c>
      <c r="E338" s="294"/>
      <c r="F338" s="295" t="str">
        <f>IFERROR(__xludf.DUMMYFUNCTION("IF(B338="""","""",IFERROR(VLOOKUP(TO_TEXT(B338),PEDIDOS!D:I,6,0),IFERROR(VLOOKUP(B338*1,PEDIDOS!D:I,6,0),"" "")))"),"ENTREGUE")</f>
        <v>ENTREGUE</v>
      </c>
      <c r="G338" s="303"/>
      <c r="H338" s="304"/>
    </row>
    <row r="339">
      <c r="A339" s="302" t="s">
        <v>184</v>
      </c>
      <c r="B339" s="291" t="s">
        <v>1635</v>
      </c>
      <c r="C339" s="292" t="s">
        <v>48</v>
      </c>
      <c r="D339" s="293">
        <f t="shared" si="2"/>
        <v>1</v>
      </c>
      <c r="E339" s="294"/>
      <c r="F339" s="295" t="str">
        <f>IFERROR(__xludf.DUMMYFUNCTION("IF(B339="""","""",IFERROR(VLOOKUP(TO_TEXT(B339),PEDIDOS!D:I,6,0),IFERROR(VLOOKUP(B339*1,PEDIDOS!D:I,6,0),"" "")))"),"ENTREGUE")</f>
        <v>ENTREGUE</v>
      </c>
      <c r="G339" s="303"/>
      <c r="H339" s="304"/>
    </row>
    <row r="340">
      <c r="A340" s="302" t="s">
        <v>184</v>
      </c>
      <c r="B340" s="291" t="s">
        <v>611</v>
      </c>
      <c r="C340" s="292" t="s">
        <v>48</v>
      </c>
      <c r="D340" s="293">
        <f t="shared" si="2"/>
        <v>1</v>
      </c>
      <c r="E340" s="294"/>
      <c r="F340" s="295" t="str">
        <f>IFERROR(__xludf.DUMMYFUNCTION("IF(B340="""","""",IFERROR(VLOOKUP(TO_TEXT(B340),PEDIDOS!D:I,6,0),IFERROR(VLOOKUP(B340*1,PEDIDOS!D:I,6,0),"" "")))"),"ENTREGUE")</f>
        <v>ENTREGUE</v>
      </c>
      <c r="G340" s="303"/>
      <c r="H340" s="304"/>
    </row>
    <row r="341">
      <c r="A341" s="302" t="s">
        <v>184</v>
      </c>
      <c r="B341" s="291" t="s">
        <v>183</v>
      </c>
      <c r="C341" s="292" t="s">
        <v>48</v>
      </c>
      <c r="D341" s="293">
        <f t="shared" si="2"/>
        <v>1</v>
      </c>
      <c r="E341" s="294"/>
      <c r="F341" s="295" t="str">
        <f>IFERROR(__xludf.DUMMYFUNCTION("IF(B341="""","""",IFERROR(VLOOKUP(TO_TEXT(B341),PEDIDOS!D:I,6,0),IFERROR(VLOOKUP(B341*1,PEDIDOS!D:I,6,0),"" "")))"),"ENTREGUE")</f>
        <v>ENTREGUE</v>
      </c>
      <c r="G341" s="303"/>
      <c r="H341" s="304"/>
    </row>
    <row r="342">
      <c r="A342" s="302" t="s">
        <v>184</v>
      </c>
      <c r="B342" s="291" t="s">
        <v>1677</v>
      </c>
      <c r="C342" s="292" t="s">
        <v>48</v>
      </c>
      <c r="D342" s="293">
        <f t="shared" si="2"/>
        <v>1</v>
      </c>
      <c r="E342" s="294"/>
      <c r="F342" s="295" t="str">
        <f>IFERROR(__xludf.DUMMYFUNCTION("IF(B342="""","""",IFERROR(VLOOKUP(TO_TEXT(B342),PEDIDOS!D:I,6,0),IFERROR(VLOOKUP(B342*1,PEDIDOS!D:I,6,0),"" "")))"),"ENTREGUE")</f>
        <v>ENTREGUE</v>
      </c>
      <c r="G342" s="303"/>
      <c r="H342" s="304"/>
    </row>
    <row r="343">
      <c r="A343" s="302" t="s">
        <v>184</v>
      </c>
      <c r="B343" s="291" t="s">
        <v>658</v>
      </c>
      <c r="C343" s="292" t="s">
        <v>48</v>
      </c>
      <c r="D343" s="293">
        <f t="shared" si="2"/>
        <v>1</v>
      </c>
      <c r="E343" s="294"/>
      <c r="F343" s="295" t="str">
        <f>IFERROR(__xludf.DUMMYFUNCTION("IF(B343="""","""",IFERROR(VLOOKUP(TO_TEXT(B343),PEDIDOS!D:I,6,0),IFERROR(VLOOKUP(B343*1,PEDIDOS!D:I,6,0),"" "")))"),"ENTREGUE")</f>
        <v>ENTREGUE</v>
      </c>
      <c r="G343" s="303"/>
      <c r="H343" s="304"/>
    </row>
    <row r="344">
      <c r="A344" s="302" t="s">
        <v>184</v>
      </c>
      <c r="B344" s="291" t="s">
        <v>661</v>
      </c>
      <c r="C344" s="292" t="s">
        <v>48</v>
      </c>
      <c r="D344" s="293">
        <f t="shared" si="2"/>
        <v>1</v>
      </c>
      <c r="E344" s="294"/>
      <c r="F344" s="295" t="str">
        <f>IFERROR(__xludf.DUMMYFUNCTION("IF(B344="""","""",IFERROR(VLOOKUP(TO_TEXT(B344),PEDIDOS!D:I,6,0),IFERROR(VLOOKUP(B344*1,PEDIDOS!D:I,6,0),"" "")))"),"ENTREGUE")</f>
        <v>ENTREGUE</v>
      </c>
      <c r="G344" s="303"/>
      <c r="H344" s="304"/>
    </row>
    <row r="345">
      <c r="A345" s="302" t="s">
        <v>184</v>
      </c>
      <c r="B345" s="291" t="s">
        <v>1073</v>
      </c>
      <c r="C345" s="292" t="s">
        <v>48</v>
      </c>
      <c r="D345" s="293">
        <f t="shared" si="2"/>
        <v>1</v>
      </c>
      <c r="E345" s="294"/>
      <c r="F345" s="295" t="str">
        <f>IFERROR(__xludf.DUMMYFUNCTION("IF(B345="""","""",IFERROR(VLOOKUP(TO_TEXT(B345),PEDIDOS!D:I,6,0),IFERROR(VLOOKUP(B345*1,PEDIDOS!D:I,6,0),"" "")))"),"ENTREGUE")</f>
        <v>ENTREGUE</v>
      </c>
      <c r="G345" s="303"/>
      <c r="H345" s="304"/>
    </row>
    <row r="346">
      <c r="A346" s="302" t="s">
        <v>184</v>
      </c>
      <c r="B346" s="291" t="s">
        <v>614</v>
      </c>
      <c r="C346" s="292" t="s">
        <v>48</v>
      </c>
      <c r="D346" s="293">
        <f t="shared" si="2"/>
        <v>1</v>
      </c>
      <c r="E346" s="294"/>
      <c r="F346" s="295" t="str">
        <f>IFERROR(__xludf.DUMMYFUNCTION("IF(B346="""","""",IFERROR(VLOOKUP(TO_TEXT(B346),PEDIDOS!D:I,6,0),IFERROR(VLOOKUP(B346*1,PEDIDOS!D:I,6,0),"" "")))"),"ENTREGUE")</f>
        <v>ENTREGUE</v>
      </c>
      <c r="G346" s="303"/>
      <c r="H346" s="304"/>
    </row>
    <row r="347">
      <c r="A347" s="302" t="s">
        <v>184</v>
      </c>
      <c r="B347" s="291" t="s">
        <v>652</v>
      </c>
      <c r="C347" s="292" t="s">
        <v>48</v>
      </c>
      <c r="D347" s="293">
        <f t="shared" si="2"/>
        <v>1</v>
      </c>
      <c r="E347" s="294"/>
      <c r="F347" s="295" t="str">
        <f>IFERROR(__xludf.DUMMYFUNCTION("IF(B347="""","""",IFERROR(VLOOKUP(TO_TEXT(B347),PEDIDOS!D:I,6,0),IFERROR(VLOOKUP(B347*1,PEDIDOS!D:I,6,0),"" "")))"),"ENTREGUE")</f>
        <v>ENTREGUE</v>
      </c>
      <c r="G347" s="303"/>
      <c r="H347" s="304"/>
    </row>
    <row r="348">
      <c r="A348" s="302" t="s">
        <v>184</v>
      </c>
      <c r="B348" s="291" t="s">
        <v>1087</v>
      </c>
      <c r="C348" s="292" t="s">
        <v>48</v>
      </c>
      <c r="D348" s="293">
        <f t="shared" si="2"/>
        <v>1</v>
      </c>
      <c r="E348" s="294"/>
      <c r="F348" s="295" t="str">
        <f>IFERROR(__xludf.DUMMYFUNCTION("IF(B348="""","""",IFERROR(VLOOKUP(TO_TEXT(B348),PEDIDOS!D:I,6,0),IFERROR(VLOOKUP(B348*1,PEDIDOS!D:I,6,0),"" "")))"),"ENTREGUE")</f>
        <v>ENTREGUE</v>
      </c>
      <c r="G348" s="303"/>
      <c r="H348" s="304"/>
    </row>
    <row r="349">
      <c r="A349" s="302" t="s">
        <v>184</v>
      </c>
      <c r="B349" s="291" t="s">
        <v>583</v>
      </c>
      <c r="C349" s="292" t="s">
        <v>48</v>
      </c>
      <c r="D349" s="293">
        <f t="shared" si="2"/>
        <v>1</v>
      </c>
      <c r="E349" s="294"/>
      <c r="F349" s="295" t="str">
        <f>IFERROR(__xludf.DUMMYFUNCTION("IF(B349="""","""",IFERROR(VLOOKUP(TO_TEXT(B349),PEDIDOS!D:I,6,0),IFERROR(VLOOKUP(B349*1,PEDIDOS!D:I,6,0),"" "")))"),"ENTREGUE")</f>
        <v>ENTREGUE</v>
      </c>
      <c r="G349" s="303"/>
      <c r="H349" s="304"/>
    </row>
    <row r="350">
      <c r="A350" s="302" t="s">
        <v>184</v>
      </c>
      <c r="B350" s="291" t="s">
        <v>1070</v>
      </c>
      <c r="C350" s="292" t="s">
        <v>48</v>
      </c>
      <c r="D350" s="293">
        <f t="shared" si="2"/>
        <v>1</v>
      </c>
      <c r="E350" s="294"/>
      <c r="F350" s="295" t="str">
        <f>IFERROR(__xludf.DUMMYFUNCTION("IF(B350="""","""",IFERROR(VLOOKUP(TO_TEXT(B350),PEDIDOS!D:I,6,0),IFERROR(VLOOKUP(B350*1,PEDIDOS!D:I,6,0),"" "")))"),"ENTREGUE")</f>
        <v>ENTREGUE</v>
      </c>
      <c r="G350" s="303"/>
      <c r="H350" s="304"/>
    </row>
    <row r="351">
      <c r="A351" s="302" t="s">
        <v>184</v>
      </c>
      <c r="B351" s="291" t="s">
        <v>348</v>
      </c>
      <c r="C351" s="292" t="s">
        <v>48</v>
      </c>
      <c r="D351" s="293">
        <f t="shared" si="2"/>
        <v>1</v>
      </c>
      <c r="E351" s="294"/>
      <c r="F351" s="295" t="str">
        <f>IFERROR(__xludf.DUMMYFUNCTION("IF(B351="""","""",IFERROR(VLOOKUP(TO_TEXT(B351),PEDIDOS!D:I,6,0),IFERROR(VLOOKUP(B351*1,PEDIDOS!D:I,6,0),"" "")))"),"ENTREGUE")</f>
        <v>ENTREGUE</v>
      </c>
      <c r="G351" s="303"/>
      <c r="H351" s="304"/>
    </row>
    <row r="352">
      <c r="A352" s="302" t="s">
        <v>112</v>
      </c>
      <c r="B352" s="291" t="s">
        <v>776</v>
      </c>
      <c r="C352" s="292" t="s">
        <v>48</v>
      </c>
      <c r="D352" s="293">
        <f t="shared" si="2"/>
        <v>1</v>
      </c>
      <c r="E352" s="294"/>
      <c r="F352" s="295" t="str">
        <f>IFERROR(__xludf.DUMMYFUNCTION("IF(B352="""","""",IFERROR(VLOOKUP(TO_TEXT(B352),PEDIDOS!D:I,6,0),IFERROR(VLOOKUP(B352*1,PEDIDOS!D:I,6,0),"" "")))"),"ENTREGUE")</f>
        <v>ENTREGUE</v>
      </c>
      <c r="G352" s="303"/>
      <c r="H352" s="304"/>
    </row>
    <row r="353">
      <c r="A353" s="302" t="s">
        <v>112</v>
      </c>
      <c r="B353" s="291" t="s">
        <v>310</v>
      </c>
      <c r="C353" s="292" t="s">
        <v>48</v>
      </c>
      <c r="D353" s="293">
        <f t="shared" si="2"/>
        <v>1</v>
      </c>
      <c r="E353" s="294"/>
      <c r="F353" s="295" t="str">
        <f>IFERROR(__xludf.DUMMYFUNCTION("IF(B353="""","""",IFERROR(VLOOKUP(TO_TEXT(B353),PEDIDOS!D:I,6,0),IFERROR(VLOOKUP(B353*1,PEDIDOS!D:I,6,0),"" "")))"),"ENTREGUE")</f>
        <v>ENTREGUE</v>
      </c>
      <c r="G353" s="303"/>
      <c r="H353" s="304"/>
    </row>
    <row r="354">
      <c r="A354" s="302" t="s">
        <v>188</v>
      </c>
      <c r="B354" s="291" t="s">
        <v>1364</v>
      </c>
      <c r="C354" s="292" t="s">
        <v>48</v>
      </c>
      <c r="D354" s="293">
        <f t="shared" si="2"/>
        <v>1</v>
      </c>
      <c r="E354" s="294"/>
      <c r="F354" s="295" t="str">
        <f>IFERROR(__xludf.DUMMYFUNCTION("IF(B354="""","""",IFERROR(VLOOKUP(TO_TEXT(B354),PEDIDOS!D:I,6,0),IFERROR(VLOOKUP(B354*1,PEDIDOS!D:I,6,0),"" "")))"),"ENTREGUE")</f>
        <v>ENTREGUE</v>
      </c>
      <c r="G354" s="303"/>
      <c r="H354" s="304"/>
    </row>
    <row r="355">
      <c r="A355" s="302" t="s">
        <v>188</v>
      </c>
      <c r="B355" s="291" t="s">
        <v>187</v>
      </c>
      <c r="C355" s="292" t="s">
        <v>48</v>
      </c>
      <c r="D355" s="293">
        <f t="shared" si="2"/>
        <v>1</v>
      </c>
      <c r="E355" s="294"/>
      <c r="F355" s="295" t="str">
        <f>IFERROR(__xludf.DUMMYFUNCTION("IF(B355="""","""",IFERROR(VLOOKUP(TO_TEXT(B355),PEDIDOS!D:I,6,0),IFERROR(VLOOKUP(B355*1,PEDIDOS!D:I,6,0),"" "")))"),"ENTREGUE")</f>
        <v>ENTREGUE</v>
      </c>
      <c r="G355" s="303"/>
      <c r="H355" s="304"/>
    </row>
    <row r="356">
      <c r="A356" s="302" t="s">
        <v>188</v>
      </c>
      <c r="B356" s="291" t="s">
        <v>2841</v>
      </c>
      <c r="C356" s="292" t="s">
        <v>48</v>
      </c>
      <c r="D356" s="293">
        <f t="shared" si="2"/>
        <v>1</v>
      </c>
      <c r="E356" s="294"/>
      <c r="F356" s="295" t="str">
        <f>IFERROR(__xludf.DUMMYFUNCTION("IF(B356="""","""",IFERROR(VLOOKUP(TO_TEXT(B356),PEDIDOS!D:I,6,0),IFERROR(VLOOKUP(B356*1,PEDIDOS!D:I,6,0),"" "")))"),"ENTREGUE")</f>
        <v>ENTREGUE</v>
      </c>
      <c r="G356" s="303"/>
      <c r="H356" s="304"/>
    </row>
    <row r="357">
      <c r="A357" s="302" t="s">
        <v>188</v>
      </c>
      <c r="B357" s="291" t="s">
        <v>1360</v>
      </c>
      <c r="C357" s="292" t="s">
        <v>48</v>
      </c>
      <c r="D357" s="293">
        <f t="shared" si="2"/>
        <v>1</v>
      </c>
      <c r="E357" s="294"/>
      <c r="F357" s="295" t="str">
        <f>IFERROR(__xludf.DUMMYFUNCTION("IF(B357="""","""",IFERROR(VLOOKUP(TO_TEXT(B357),PEDIDOS!D:I,6,0),IFERROR(VLOOKUP(B357*1,PEDIDOS!D:I,6,0),"" "")))"),"ENTREGUE")</f>
        <v>ENTREGUE</v>
      </c>
      <c r="G357" s="303"/>
      <c r="H357" s="304"/>
    </row>
    <row r="358">
      <c r="A358" s="302" t="s">
        <v>188</v>
      </c>
      <c r="B358" s="291" t="s">
        <v>2835</v>
      </c>
      <c r="C358" s="292" t="s">
        <v>48</v>
      </c>
      <c r="D358" s="293">
        <f t="shared" si="2"/>
        <v>1</v>
      </c>
      <c r="E358" s="294"/>
      <c r="F358" s="295" t="str">
        <f>IFERROR(__xludf.DUMMYFUNCTION("IF(B358="""","""",IFERROR(VLOOKUP(TO_TEXT(B358),PEDIDOS!D:I,6,0),IFERROR(VLOOKUP(B358*1,PEDIDOS!D:I,6,0),"" "")))"),"ENTREGUE")</f>
        <v>ENTREGUE</v>
      </c>
      <c r="G358" s="303"/>
      <c r="H358" s="304"/>
    </row>
    <row r="359">
      <c r="A359" s="302" t="s">
        <v>188</v>
      </c>
      <c r="B359" s="291" t="s">
        <v>823</v>
      </c>
      <c r="C359" s="292" t="s">
        <v>48</v>
      </c>
      <c r="D359" s="293">
        <f t="shared" si="2"/>
        <v>1</v>
      </c>
      <c r="E359" s="294"/>
      <c r="F359" s="295" t="str">
        <f>IFERROR(__xludf.DUMMYFUNCTION("IF(B359="""","""",IFERROR(VLOOKUP(TO_TEXT(B359),PEDIDOS!D:I,6,0),IFERROR(VLOOKUP(B359*1,PEDIDOS!D:I,6,0),"" "")))"),"ENTREGUE")</f>
        <v>ENTREGUE</v>
      </c>
      <c r="G359" s="303"/>
      <c r="H359" s="304"/>
    </row>
    <row r="360">
      <c r="A360" s="302" t="s">
        <v>188</v>
      </c>
      <c r="B360" s="291" t="s">
        <v>2832</v>
      </c>
      <c r="C360" s="292" t="s">
        <v>48</v>
      </c>
      <c r="D360" s="293">
        <f t="shared" si="2"/>
        <v>1</v>
      </c>
      <c r="E360" s="294"/>
      <c r="F360" s="295" t="str">
        <f>IFERROR(__xludf.DUMMYFUNCTION("IF(B360="""","""",IFERROR(VLOOKUP(TO_TEXT(B360),PEDIDOS!D:I,6,0),IFERROR(VLOOKUP(B360*1,PEDIDOS!D:I,6,0),"" "")))"),"ENTREGUE")</f>
        <v>ENTREGUE</v>
      </c>
      <c r="G360" s="303"/>
      <c r="H360" s="304"/>
    </row>
    <row r="361">
      <c r="A361" s="302" t="s">
        <v>188</v>
      </c>
      <c r="B361" s="291" t="s">
        <v>2838</v>
      </c>
      <c r="C361" s="292" t="s">
        <v>48</v>
      </c>
      <c r="D361" s="293">
        <f t="shared" si="2"/>
        <v>1</v>
      </c>
      <c r="E361" s="294"/>
      <c r="F361" s="295" t="str">
        <f>IFERROR(__xludf.DUMMYFUNCTION("IF(B361="""","""",IFERROR(VLOOKUP(TO_TEXT(B361),PEDIDOS!D:I,6,0),IFERROR(VLOOKUP(B361*1,PEDIDOS!D:I,6,0),"" "")))"),"ENTREGUE")</f>
        <v>ENTREGUE</v>
      </c>
      <c r="G361" s="303"/>
      <c r="H361" s="304"/>
    </row>
    <row r="362">
      <c r="A362" s="302" t="s">
        <v>47</v>
      </c>
      <c r="B362" s="291" t="s">
        <v>826</v>
      </c>
      <c r="C362" s="292" t="s">
        <v>48</v>
      </c>
      <c r="D362" s="293">
        <f t="shared" si="2"/>
        <v>1</v>
      </c>
      <c r="E362" s="294"/>
      <c r="F362" s="295" t="str">
        <f>IFERROR(__xludf.DUMMYFUNCTION("IF(B362="""","""",IFERROR(VLOOKUP(TO_TEXT(B362),PEDIDOS!D:I,6,0),IFERROR(VLOOKUP(B362*1,PEDIDOS!D:I,6,0),"" "")))"),"ENTREGUE")</f>
        <v>ENTREGUE</v>
      </c>
      <c r="G362" s="303"/>
      <c r="H362" s="304"/>
    </row>
    <row r="363">
      <c r="A363" s="302" t="s">
        <v>47</v>
      </c>
      <c r="B363" s="291" t="s">
        <v>313</v>
      </c>
      <c r="C363" s="292" t="s">
        <v>48</v>
      </c>
      <c r="D363" s="293">
        <f t="shared" si="2"/>
        <v>1</v>
      </c>
      <c r="E363" s="294"/>
      <c r="F363" s="295" t="str">
        <f>IFERROR(__xludf.DUMMYFUNCTION("IF(B363="""","""",IFERROR(VLOOKUP(TO_TEXT(B363),PEDIDOS!D:I,6,0),IFERROR(VLOOKUP(B363*1,PEDIDOS!D:I,6,0),"" "")))"),"ENTREGUE")</f>
        <v>ENTREGUE</v>
      </c>
      <c r="G363" s="303"/>
      <c r="H363" s="304"/>
    </row>
    <row r="364">
      <c r="A364" s="302" t="s">
        <v>1693</v>
      </c>
      <c r="B364" s="291" t="s">
        <v>10535</v>
      </c>
      <c r="C364" s="292" t="s">
        <v>48</v>
      </c>
      <c r="D364" s="293">
        <f t="shared" si="2"/>
        <v>1</v>
      </c>
      <c r="E364" s="294"/>
      <c r="F364" s="295" t="str">
        <f>IFERROR(__xludf.DUMMYFUNCTION("IF(B364="""","""",IFERROR(VLOOKUP(TO_TEXT(B364),PEDIDOS!D:I,6,0),IFERROR(VLOOKUP(B364*1,PEDIDOS!D:I,6,0),"" "")))"),"ENTREGUE")</f>
        <v>ENTREGUE</v>
      </c>
      <c r="G364" s="303"/>
      <c r="H364" s="304"/>
    </row>
    <row r="365">
      <c r="A365" s="302" t="s">
        <v>1693</v>
      </c>
      <c r="B365" s="291" t="s">
        <v>7280</v>
      </c>
      <c r="C365" s="292" t="s">
        <v>48</v>
      </c>
      <c r="D365" s="293">
        <f t="shared" si="2"/>
        <v>1</v>
      </c>
      <c r="E365" s="294"/>
      <c r="F365" s="295" t="str">
        <f>IFERROR(__xludf.DUMMYFUNCTION("IF(B365="""","""",IFERROR(VLOOKUP(TO_TEXT(B365),PEDIDOS!D:I,6,0),IFERROR(VLOOKUP(B365*1,PEDIDOS!D:I,6,0),"" "")))"),"ENTREGUE")</f>
        <v>ENTREGUE</v>
      </c>
      <c r="G365" s="303"/>
      <c r="H365" s="304"/>
    </row>
    <row r="366">
      <c r="A366" s="302" t="s">
        <v>1693</v>
      </c>
      <c r="B366" s="291" t="s">
        <v>5369</v>
      </c>
      <c r="C366" s="292" t="s">
        <v>48</v>
      </c>
      <c r="D366" s="293">
        <f t="shared" si="2"/>
        <v>1</v>
      </c>
      <c r="E366" s="294"/>
      <c r="F366" s="295" t="str">
        <f>IFERROR(__xludf.DUMMYFUNCTION("IF(B366="""","""",IFERROR(VLOOKUP(TO_TEXT(B366),PEDIDOS!D:I,6,0),IFERROR(VLOOKUP(B366*1,PEDIDOS!D:I,6,0),"" "")))"),"ENTREGUE")</f>
        <v>ENTREGUE</v>
      </c>
      <c r="G366" s="303"/>
      <c r="H366" s="304"/>
    </row>
    <row r="367">
      <c r="A367" s="302" t="s">
        <v>1693</v>
      </c>
      <c r="B367" s="291" t="s">
        <v>2737</v>
      </c>
      <c r="C367" s="292" t="s">
        <v>48</v>
      </c>
      <c r="D367" s="293">
        <f t="shared" si="2"/>
        <v>1</v>
      </c>
      <c r="E367" s="294"/>
      <c r="F367" s="295" t="str">
        <f>IFERROR(__xludf.DUMMYFUNCTION("IF(B367="""","""",IFERROR(VLOOKUP(TO_TEXT(B367),PEDIDOS!D:I,6,0),IFERROR(VLOOKUP(B367*1,PEDIDOS!D:I,6,0),"" "")))"),"ENTREGUE")</f>
        <v>ENTREGUE</v>
      </c>
      <c r="G367" s="303"/>
      <c r="H367" s="304"/>
    </row>
    <row r="368">
      <c r="A368" s="302" t="s">
        <v>1693</v>
      </c>
      <c r="B368" s="291" t="s">
        <v>5361</v>
      </c>
      <c r="C368" s="292" t="s">
        <v>48</v>
      </c>
      <c r="D368" s="293">
        <f t="shared" si="2"/>
        <v>1</v>
      </c>
      <c r="E368" s="294"/>
      <c r="F368" s="295" t="str">
        <f>IFERROR(__xludf.DUMMYFUNCTION("IF(B368="""","""",IFERROR(VLOOKUP(TO_TEXT(B368),PEDIDOS!D:I,6,0),IFERROR(VLOOKUP(B368*1,PEDIDOS!D:I,6,0),"" "")))"),"ENTREGUE")</f>
        <v>ENTREGUE</v>
      </c>
      <c r="G368" s="303"/>
      <c r="H368" s="304"/>
    </row>
    <row r="369">
      <c r="A369" s="302" t="s">
        <v>1693</v>
      </c>
      <c r="B369" s="291" t="s">
        <v>10004</v>
      </c>
      <c r="C369" s="292" t="s">
        <v>48</v>
      </c>
      <c r="D369" s="293">
        <f t="shared" si="2"/>
        <v>1</v>
      </c>
      <c r="E369" s="294"/>
      <c r="F369" s="295" t="str">
        <f>IFERROR(__xludf.DUMMYFUNCTION("IF(B369="""","""",IFERROR(VLOOKUP(TO_TEXT(B369),PEDIDOS!D:I,6,0),IFERROR(VLOOKUP(B369*1,PEDIDOS!D:I,6,0),"" "")))"),"ENTREGUE")</f>
        <v>ENTREGUE</v>
      </c>
      <c r="G369" s="303"/>
      <c r="H369" s="304"/>
    </row>
    <row r="370">
      <c r="A370" s="302" t="s">
        <v>1693</v>
      </c>
      <c r="B370" s="291" t="s">
        <v>23335</v>
      </c>
      <c r="C370" s="292" t="s">
        <v>48</v>
      </c>
      <c r="D370" s="293">
        <f t="shared" si="2"/>
        <v>1</v>
      </c>
      <c r="E370" s="294"/>
      <c r="F370" s="295" t="str">
        <f>IFERROR(__xludf.DUMMYFUNCTION("IF(B370="""","""",IFERROR(VLOOKUP(TO_TEXT(B370),PEDIDOS!D:I,6,0),IFERROR(VLOOKUP(B370*1,PEDIDOS!D:I,6,0),"" "")))")," ")</f>
        <v> </v>
      </c>
      <c r="G370" s="305" t="s">
        <v>4129</v>
      </c>
      <c r="H370" s="305"/>
    </row>
    <row r="371">
      <c r="A371" s="302" t="s">
        <v>1693</v>
      </c>
      <c r="B371" s="291" t="s">
        <v>4403</v>
      </c>
      <c r="C371" s="292" t="s">
        <v>48</v>
      </c>
      <c r="D371" s="293">
        <f t="shared" si="2"/>
        <v>1</v>
      </c>
      <c r="E371" s="294"/>
      <c r="F371" s="295" t="str">
        <f>IFERROR(__xludf.DUMMYFUNCTION("IF(B371="""","""",IFERROR(VLOOKUP(TO_TEXT(B371),PEDIDOS!D:I,6,0),IFERROR(VLOOKUP(B371*1,PEDIDOS!D:I,6,0),"" "")))"),"ENTREGUE")</f>
        <v>ENTREGUE</v>
      </c>
      <c r="G371" s="303"/>
      <c r="H371" s="304"/>
    </row>
    <row r="372">
      <c r="A372" s="302" t="s">
        <v>1693</v>
      </c>
      <c r="B372" s="291" t="s">
        <v>7212</v>
      </c>
      <c r="C372" s="292" t="s">
        <v>48</v>
      </c>
      <c r="D372" s="293">
        <f t="shared" si="2"/>
        <v>1</v>
      </c>
      <c r="E372" s="294"/>
      <c r="F372" s="295" t="str">
        <f>IFERROR(__xludf.DUMMYFUNCTION("IF(B372="""","""",IFERROR(VLOOKUP(TO_TEXT(B372),PEDIDOS!D:I,6,0),IFERROR(VLOOKUP(B372*1,PEDIDOS!D:I,6,0),"" "")))"),"ENTREGUE")</f>
        <v>ENTREGUE</v>
      </c>
      <c r="G372" s="303"/>
      <c r="H372" s="304"/>
    </row>
    <row r="373">
      <c r="A373" s="302" t="s">
        <v>1693</v>
      </c>
      <c r="B373" s="291" t="s">
        <v>2775</v>
      </c>
      <c r="C373" s="292" t="s">
        <v>48</v>
      </c>
      <c r="D373" s="293">
        <f t="shared" si="2"/>
        <v>1</v>
      </c>
      <c r="E373" s="294"/>
      <c r="F373" s="295" t="str">
        <f>IFERROR(__xludf.DUMMYFUNCTION("IF(B373="""","""",IFERROR(VLOOKUP(TO_TEXT(B373),PEDIDOS!D:I,6,0),IFERROR(VLOOKUP(B373*1,PEDIDOS!D:I,6,0),"" "")))"),"ENTREGUE")</f>
        <v>ENTREGUE</v>
      </c>
      <c r="G373" s="303"/>
      <c r="H373" s="304"/>
    </row>
    <row r="374">
      <c r="A374" s="302" t="s">
        <v>1693</v>
      </c>
      <c r="B374" s="291" t="s">
        <v>23336</v>
      </c>
      <c r="C374" s="292" t="s">
        <v>48</v>
      </c>
      <c r="D374" s="293">
        <f t="shared" si="2"/>
        <v>1</v>
      </c>
      <c r="E374" s="294"/>
      <c r="F374" s="295" t="str">
        <f>IFERROR(__xludf.DUMMYFUNCTION("IF(B374="""","""",IFERROR(VLOOKUP(TO_TEXT(B374),PEDIDOS!D:I,6,0),IFERROR(VLOOKUP(B374*1,PEDIDOS!D:I,6,0),"" "")))")," ")</f>
        <v> </v>
      </c>
      <c r="G374" s="303" t="s">
        <v>23337</v>
      </c>
      <c r="H374" s="304"/>
    </row>
    <row r="375">
      <c r="A375" s="302" t="s">
        <v>1693</v>
      </c>
      <c r="B375" s="291" t="s">
        <v>8224</v>
      </c>
      <c r="C375" s="292" t="s">
        <v>48</v>
      </c>
      <c r="D375" s="293">
        <f t="shared" si="2"/>
        <v>1</v>
      </c>
      <c r="E375" s="294"/>
      <c r="F375" s="295" t="str">
        <f>IFERROR(__xludf.DUMMYFUNCTION("IF(B375="""","""",IFERROR(VLOOKUP(TO_TEXT(B375),PEDIDOS!D:I,6,0),IFERROR(VLOOKUP(B375*1,PEDIDOS!D:I,6,0),"" "")))"),"ENTREGUE")</f>
        <v>ENTREGUE</v>
      </c>
      <c r="G375" s="303"/>
      <c r="H375" s="304"/>
    </row>
    <row r="376">
      <c r="A376" s="302" t="s">
        <v>1693</v>
      </c>
      <c r="B376" s="291" t="s">
        <v>1692</v>
      </c>
      <c r="C376" s="292" t="s">
        <v>48</v>
      </c>
      <c r="D376" s="293">
        <f t="shared" si="2"/>
        <v>1</v>
      </c>
      <c r="E376" s="294"/>
      <c r="F376" s="295" t="str">
        <f>IFERROR(__xludf.DUMMYFUNCTION("IF(B376="""","""",IFERROR(VLOOKUP(TO_TEXT(B376),PEDIDOS!D:I,6,0),IFERROR(VLOOKUP(B376*1,PEDIDOS!D:I,6,0),"" "")))"),"ENTREGUE")</f>
        <v>ENTREGUE</v>
      </c>
      <c r="G376" s="303"/>
      <c r="H376" s="304"/>
    </row>
    <row r="377">
      <c r="A377" s="302" t="s">
        <v>1693</v>
      </c>
      <c r="B377" s="291" t="s">
        <v>7283</v>
      </c>
      <c r="C377" s="292" t="s">
        <v>48</v>
      </c>
      <c r="D377" s="293">
        <f t="shared" si="2"/>
        <v>1</v>
      </c>
      <c r="E377" s="294"/>
      <c r="F377" s="295" t="str">
        <f>IFERROR(__xludf.DUMMYFUNCTION("IF(B377="""","""",IFERROR(VLOOKUP(TO_TEXT(B377),PEDIDOS!D:I,6,0),IFERROR(VLOOKUP(B377*1,PEDIDOS!D:I,6,0),"" "")))"),"ENTREGUE")</f>
        <v>ENTREGUE</v>
      </c>
      <c r="G377" s="303"/>
      <c r="H377" s="304"/>
    </row>
    <row r="378">
      <c r="A378" s="302" t="s">
        <v>1693</v>
      </c>
      <c r="B378" s="291" t="s">
        <v>5366</v>
      </c>
      <c r="C378" s="292" t="s">
        <v>48</v>
      </c>
      <c r="D378" s="293">
        <f t="shared" si="2"/>
        <v>1</v>
      </c>
      <c r="E378" s="294"/>
      <c r="F378" s="295" t="str">
        <f>IFERROR(__xludf.DUMMYFUNCTION("IF(B378="""","""",IFERROR(VLOOKUP(TO_TEXT(B378),PEDIDOS!D:I,6,0),IFERROR(VLOOKUP(B378*1,PEDIDOS!D:I,6,0),"" "")))"),"ENTREGUE")</f>
        <v>ENTREGUE</v>
      </c>
      <c r="G378" s="303"/>
      <c r="H378" s="304"/>
    </row>
    <row r="379">
      <c r="A379" s="302" t="s">
        <v>1693</v>
      </c>
      <c r="B379" s="291" t="s">
        <v>1799</v>
      </c>
      <c r="C379" s="292" t="s">
        <v>48</v>
      </c>
      <c r="D379" s="293">
        <f t="shared" si="2"/>
        <v>1</v>
      </c>
      <c r="E379" s="294"/>
      <c r="F379" s="295" t="str">
        <f>IFERROR(__xludf.DUMMYFUNCTION("IF(B379="""","""",IFERROR(VLOOKUP(TO_TEXT(B379),PEDIDOS!D:I,6,0),IFERROR(VLOOKUP(B379*1,PEDIDOS!D:I,6,0),"" "")))"),"ENTREGUE")</f>
        <v>ENTREGUE</v>
      </c>
      <c r="G379" s="303"/>
      <c r="H379" s="304"/>
    </row>
    <row r="380">
      <c r="A380" s="302" t="s">
        <v>6133</v>
      </c>
      <c r="B380" s="291" t="s">
        <v>9000</v>
      </c>
      <c r="C380" s="292" t="s">
        <v>48</v>
      </c>
      <c r="D380" s="293">
        <f t="shared" si="2"/>
        <v>1</v>
      </c>
      <c r="E380" s="294"/>
      <c r="F380" s="295" t="str">
        <f>IFERROR(__xludf.DUMMYFUNCTION("IF(B380="""","""",IFERROR(VLOOKUP(TO_TEXT(B380),PEDIDOS!D:I,6,0),IFERROR(VLOOKUP(B380*1,PEDIDOS!D:I,6,0),"" "")))"),"ENTREGUE")</f>
        <v>ENTREGUE</v>
      </c>
      <c r="G380" s="303"/>
      <c r="H380" s="304"/>
    </row>
    <row r="381">
      <c r="A381" s="302" t="s">
        <v>6133</v>
      </c>
      <c r="B381" s="291" t="s">
        <v>7207</v>
      </c>
      <c r="C381" s="292" t="s">
        <v>48</v>
      </c>
      <c r="D381" s="293">
        <f t="shared" si="2"/>
        <v>1</v>
      </c>
      <c r="E381" s="294"/>
      <c r="F381" s="295" t="str">
        <f>IFERROR(__xludf.DUMMYFUNCTION("IF(B381="""","""",IFERROR(VLOOKUP(TO_TEXT(B381),PEDIDOS!D:I,6,0),IFERROR(VLOOKUP(B381*1,PEDIDOS!D:I,6,0),"" "")))"),"ENTREGUE")</f>
        <v>ENTREGUE</v>
      </c>
      <c r="G381" s="303"/>
      <c r="H381" s="304"/>
    </row>
    <row r="382">
      <c r="A382" s="302" t="s">
        <v>6133</v>
      </c>
      <c r="B382" s="291" t="s">
        <v>6132</v>
      </c>
      <c r="C382" s="292" t="s">
        <v>48</v>
      </c>
      <c r="D382" s="293">
        <f t="shared" si="2"/>
        <v>1</v>
      </c>
      <c r="E382" s="294"/>
      <c r="F382" s="295" t="str">
        <f>IFERROR(__xludf.DUMMYFUNCTION("IF(B382="""","""",IFERROR(VLOOKUP(TO_TEXT(B382),PEDIDOS!D:I,6,0),IFERROR(VLOOKUP(B382*1,PEDIDOS!D:I,6,0),"" "")))"),"ENTREGUE")</f>
        <v>ENTREGUE</v>
      </c>
      <c r="G382" s="303"/>
      <c r="H382" s="304"/>
    </row>
    <row r="383">
      <c r="A383" s="302" t="s">
        <v>6133</v>
      </c>
      <c r="B383" s="291" t="s">
        <v>7081</v>
      </c>
      <c r="C383" s="292" t="s">
        <v>48</v>
      </c>
      <c r="D383" s="293">
        <f t="shared" si="2"/>
        <v>1</v>
      </c>
      <c r="E383" s="294"/>
      <c r="F383" s="295" t="str">
        <f>IFERROR(__xludf.DUMMYFUNCTION("IF(B383="""","""",IFERROR(VLOOKUP(TO_TEXT(B383),PEDIDOS!D:I,6,0),IFERROR(VLOOKUP(B383*1,PEDIDOS!D:I,6,0),"" "")))"),"ENTREGUE")</f>
        <v>ENTREGUE</v>
      </c>
      <c r="G383" s="303"/>
      <c r="H383" s="304"/>
    </row>
    <row r="384">
      <c r="A384" s="302" t="s">
        <v>664</v>
      </c>
      <c r="B384" s="291" t="s">
        <v>6799</v>
      </c>
      <c r="C384" s="292" t="s">
        <v>48</v>
      </c>
      <c r="D384" s="293">
        <f t="shared" si="2"/>
        <v>1</v>
      </c>
      <c r="E384" s="294"/>
      <c r="F384" s="295" t="str">
        <f>IFERROR(__xludf.DUMMYFUNCTION("IF(B384="""","""",IFERROR(VLOOKUP(TO_TEXT(B384),PEDIDOS!D:I,6,0),IFERROR(VLOOKUP(B384*1,PEDIDOS!D:I,6,0),"" "")))"),"ENTREGUE")</f>
        <v>ENTREGUE</v>
      </c>
      <c r="G384" s="303"/>
      <c r="H384" s="304"/>
    </row>
    <row r="385">
      <c r="A385" s="302" t="s">
        <v>664</v>
      </c>
      <c r="B385" s="291" t="s">
        <v>6805</v>
      </c>
      <c r="C385" s="292" t="s">
        <v>48</v>
      </c>
      <c r="D385" s="293">
        <f t="shared" si="2"/>
        <v>1</v>
      </c>
      <c r="E385" s="294"/>
      <c r="F385" s="295" t="str">
        <f>IFERROR(__xludf.DUMMYFUNCTION("IF(B385="""","""",IFERROR(VLOOKUP(TO_TEXT(B385),PEDIDOS!D:I,6,0),IFERROR(VLOOKUP(B385*1,PEDIDOS!D:I,6,0),"" "")))"),"ENTREGUE")</f>
        <v>ENTREGUE</v>
      </c>
      <c r="G385" s="303"/>
      <c r="H385" s="304"/>
    </row>
    <row r="386">
      <c r="A386" s="302" t="s">
        <v>664</v>
      </c>
      <c r="B386" s="291" t="s">
        <v>3472</v>
      </c>
      <c r="C386" s="292" t="s">
        <v>48</v>
      </c>
      <c r="D386" s="293">
        <f t="shared" si="2"/>
        <v>1</v>
      </c>
      <c r="E386" s="294"/>
      <c r="F386" s="295" t="str">
        <f>IFERROR(__xludf.DUMMYFUNCTION("IF(B386="""","""",IFERROR(VLOOKUP(TO_TEXT(B386),PEDIDOS!D:I,6,0),IFERROR(VLOOKUP(B386*1,PEDIDOS!D:I,6,0),"" "")))"),"ENTREGUE")</f>
        <v>ENTREGUE</v>
      </c>
      <c r="G386" s="303"/>
      <c r="H386" s="304"/>
    </row>
    <row r="387">
      <c r="A387" s="302" t="s">
        <v>664</v>
      </c>
      <c r="B387" s="291" t="s">
        <v>937</v>
      </c>
      <c r="C387" s="292" t="s">
        <v>48</v>
      </c>
      <c r="D387" s="293">
        <f t="shared" si="2"/>
        <v>1</v>
      </c>
      <c r="E387" s="294"/>
      <c r="F387" s="295" t="str">
        <f>IFERROR(__xludf.DUMMYFUNCTION("IF(B387="""","""",IFERROR(VLOOKUP(TO_TEXT(B387),PEDIDOS!D:I,6,0),IFERROR(VLOOKUP(B387*1,PEDIDOS!D:I,6,0),"" "")))"),"ENTREGUE")</f>
        <v>ENTREGUE</v>
      </c>
      <c r="G387" s="303"/>
      <c r="H387" s="304"/>
    </row>
    <row r="388">
      <c r="A388" s="302" t="s">
        <v>664</v>
      </c>
      <c r="B388" s="291" t="s">
        <v>10201</v>
      </c>
      <c r="C388" s="292" t="s">
        <v>48</v>
      </c>
      <c r="D388" s="293">
        <f t="shared" si="2"/>
        <v>1</v>
      </c>
      <c r="E388" s="294"/>
      <c r="F388" s="295" t="str">
        <f>IFERROR(__xludf.DUMMYFUNCTION("IF(B388="""","""",IFERROR(VLOOKUP(TO_TEXT(B388),PEDIDOS!D:I,6,0),IFERROR(VLOOKUP(B388*1,PEDIDOS!D:I,6,0),"" "")))"),"ENTREGUE")</f>
        <v>ENTREGUE</v>
      </c>
      <c r="G388" s="303"/>
      <c r="H388" s="304"/>
    </row>
    <row r="389">
      <c r="A389" s="302" t="s">
        <v>664</v>
      </c>
      <c r="B389" s="291" t="s">
        <v>9980</v>
      </c>
      <c r="C389" s="292" t="s">
        <v>48</v>
      </c>
      <c r="D389" s="293">
        <f t="shared" si="2"/>
        <v>1</v>
      </c>
      <c r="E389" s="294"/>
      <c r="F389" s="295" t="str">
        <f>IFERROR(__xludf.DUMMYFUNCTION("IF(B389="""","""",IFERROR(VLOOKUP(TO_TEXT(B389),PEDIDOS!D:I,6,0),IFERROR(VLOOKUP(B389*1,PEDIDOS!D:I,6,0),"" "")))"),"ENTREGUE")</f>
        <v>ENTREGUE</v>
      </c>
      <c r="G389" s="303"/>
      <c r="H389" s="304"/>
    </row>
    <row r="390">
      <c r="A390" s="302" t="s">
        <v>664</v>
      </c>
      <c r="B390" s="291" t="s">
        <v>3485</v>
      </c>
      <c r="C390" s="292" t="s">
        <v>48</v>
      </c>
      <c r="D390" s="293">
        <f t="shared" si="2"/>
        <v>1</v>
      </c>
      <c r="E390" s="294"/>
      <c r="F390" s="295" t="str">
        <f>IFERROR(__xludf.DUMMYFUNCTION("IF(B390="""","""",IFERROR(VLOOKUP(TO_TEXT(B390),PEDIDOS!D:I,6,0),IFERROR(VLOOKUP(B390*1,PEDIDOS!D:I,6,0),"" "")))"),"ENTREGUE")</f>
        <v>ENTREGUE</v>
      </c>
      <c r="G390" s="303"/>
      <c r="H390" s="304"/>
    </row>
    <row r="391">
      <c r="A391" s="302" t="s">
        <v>664</v>
      </c>
      <c r="B391" s="291" t="s">
        <v>7650</v>
      </c>
      <c r="C391" s="292" t="s">
        <v>48</v>
      </c>
      <c r="D391" s="293">
        <f t="shared" si="2"/>
        <v>1</v>
      </c>
      <c r="E391" s="294"/>
      <c r="F391" s="295" t="str">
        <f>IFERROR(__xludf.DUMMYFUNCTION("IF(B391="""","""",IFERROR(VLOOKUP(TO_TEXT(B391),PEDIDOS!D:I,6,0),IFERROR(VLOOKUP(B391*1,PEDIDOS!D:I,6,0),"" "")))"),"ENTREGUE")</f>
        <v>ENTREGUE</v>
      </c>
      <c r="G391" s="303"/>
      <c r="H391" s="304"/>
    </row>
    <row r="392">
      <c r="A392" s="302" t="s">
        <v>664</v>
      </c>
      <c r="B392" s="291" t="s">
        <v>7579</v>
      </c>
      <c r="C392" s="292" t="s">
        <v>48</v>
      </c>
      <c r="D392" s="293">
        <f t="shared" si="2"/>
        <v>1</v>
      </c>
      <c r="E392" s="294"/>
      <c r="F392" s="295" t="str">
        <f>IFERROR(__xludf.DUMMYFUNCTION("IF(B392="""","""",IFERROR(VLOOKUP(TO_TEXT(B392),PEDIDOS!D:I,6,0),IFERROR(VLOOKUP(B392*1,PEDIDOS!D:I,6,0),"" "")))"),"ENTREGUE")</f>
        <v>ENTREGUE</v>
      </c>
      <c r="G392" s="303"/>
      <c r="H392" s="304"/>
    </row>
    <row r="393">
      <c r="A393" s="302" t="s">
        <v>664</v>
      </c>
      <c r="B393" s="291" t="s">
        <v>5400</v>
      </c>
      <c r="C393" s="292" t="s">
        <v>48</v>
      </c>
      <c r="D393" s="293">
        <f t="shared" si="2"/>
        <v>1</v>
      </c>
      <c r="E393" s="294"/>
      <c r="F393" s="295" t="str">
        <f>IFERROR(__xludf.DUMMYFUNCTION("IF(B393="""","""",IFERROR(VLOOKUP(TO_TEXT(B393),PEDIDOS!D:I,6,0),IFERROR(VLOOKUP(B393*1,PEDIDOS!D:I,6,0),"" "")))"),"ENTREGUE")</f>
        <v>ENTREGUE</v>
      </c>
      <c r="G393" s="303"/>
      <c r="H393" s="304"/>
    </row>
    <row r="394">
      <c r="A394" s="302" t="s">
        <v>664</v>
      </c>
      <c r="B394" s="291" t="s">
        <v>3489</v>
      </c>
      <c r="C394" s="292" t="s">
        <v>48</v>
      </c>
      <c r="D394" s="293">
        <f t="shared" si="2"/>
        <v>1</v>
      </c>
      <c r="E394" s="294"/>
      <c r="F394" s="295" t="str">
        <f>IFERROR(__xludf.DUMMYFUNCTION("IF(B394="""","""",IFERROR(VLOOKUP(TO_TEXT(B394),PEDIDOS!D:I,6,0),IFERROR(VLOOKUP(B394*1,PEDIDOS!D:I,6,0),"" "")))"),"ENTREGUE")</f>
        <v>ENTREGUE</v>
      </c>
      <c r="G394" s="303"/>
      <c r="H394" s="304"/>
    </row>
    <row r="395">
      <c r="A395" s="302" t="s">
        <v>664</v>
      </c>
      <c r="B395" s="291" t="s">
        <v>7195</v>
      </c>
      <c r="C395" s="292" t="s">
        <v>48</v>
      </c>
      <c r="D395" s="293">
        <f t="shared" si="2"/>
        <v>1</v>
      </c>
      <c r="E395" s="294"/>
      <c r="F395" s="295" t="str">
        <f>IFERROR(__xludf.DUMMYFUNCTION("IF(B395="""","""",IFERROR(VLOOKUP(TO_TEXT(B395),PEDIDOS!D:I,6,0),IFERROR(VLOOKUP(B395*1,PEDIDOS!D:I,6,0),"" "")))"),"ENTREGUE")</f>
        <v>ENTREGUE</v>
      </c>
      <c r="G395" s="303"/>
      <c r="H395" s="304"/>
    </row>
    <row r="396">
      <c r="A396" s="302" t="s">
        <v>664</v>
      </c>
      <c r="B396" s="291" t="s">
        <v>3194</v>
      </c>
      <c r="C396" s="292" t="s">
        <v>48</v>
      </c>
      <c r="D396" s="293">
        <f t="shared" si="2"/>
        <v>1</v>
      </c>
      <c r="E396" s="294"/>
      <c r="F396" s="295" t="str">
        <f>IFERROR(__xludf.DUMMYFUNCTION("IF(B396="""","""",IFERROR(VLOOKUP(TO_TEXT(B396),PEDIDOS!D:I,6,0),IFERROR(VLOOKUP(B396*1,PEDIDOS!D:I,6,0),"" "")))"),"ENTREGUE")</f>
        <v>ENTREGUE</v>
      </c>
      <c r="G396" s="303"/>
      <c r="H396" s="304"/>
    </row>
    <row r="397">
      <c r="A397" s="302" t="s">
        <v>664</v>
      </c>
      <c r="B397" s="291" t="s">
        <v>6802</v>
      </c>
      <c r="C397" s="292" t="s">
        <v>48</v>
      </c>
      <c r="D397" s="293">
        <f t="shared" si="2"/>
        <v>1</v>
      </c>
      <c r="E397" s="294"/>
      <c r="F397" s="295" t="str">
        <f>IFERROR(__xludf.DUMMYFUNCTION("IF(B397="""","""",IFERROR(VLOOKUP(TO_TEXT(B397),PEDIDOS!D:I,6,0),IFERROR(VLOOKUP(B397*1,PEDIDOS!D:I,6,0),"" "")))"),"ENTREGUE")</f>
        <v>ENTREGUE</v>
      </c>
      <c r="G397" s="303"/>
      <c r="H397" s="304"/>
    </row>
    <row r="398">
      <c r="A398" s="302" t="s">
        <v>664</v>
      </c>
      <c r="B398" s="291" t="s">
        <v>2020</v>
      </c>
      <c r="C398" s="292" t="s">
        <v>48</v>
      </c>
      <c r="D398" s="293">
        <f t="shared" si="2"/>
        <v>1</v>
      </c>
      <c r="E398" s="294"/>
      <c r="F398" s="295" t="str">
        <f>IFERROR(__xludf.DUMMYFUNCTION("IF(B398="""","""",IFERROR(VLOOKUP(TO_TEXT(B398),PEDIDOS!D:I,6,0),IFERROR(VLOOKUP(B398*1,PEDIDOS!D:I,6,0),"" "")))"),"ENTREGUE")</f>
        <v>ENTREGUE</v>
      </c>
      <c r="G398" s="303"/>
      <c r="H398" s="304"/>
    </row>
    <row r="399">
      <c r="A399" s="302" t="s">
        <v>664</v>
      </c>
      <c r="B399" s="291" t="s">
        <v>6794</v>
      </c>
      <c r="C399" s="292" t="s">
        <v>48</v>
      </c>
      <c r="D399" s="293">
        <f t="shared" si="2"/>
        <v>1</v>
      </c>
      <c r="E399" s="294"/>
      <c r="F399" s="295" t="str">
        <f>IFERROR(__xludf.DUMMYFUNCTION("IF(B399="""","""",IFERROR(VLOOKUP(TO_TEXT(B399),PEDIDOS!D:I,6,0),IFERROR(VLOOKUP(B399*1,PEDIDOS!D:I,6,0),"" "")))"),"ENTREGUE")</f>
        <v>ENTREGUE</v>
      </c>
      <c r="G399" s="303"/>
      <c r="H399" s="304"/>
    </row>
    <row r="400">
      <c r="A400" s="302" t="s">
        <v>664</v>
      </c>
      <c r="B400" s="291" t="s">
        <v>7630</v>
      </c>
      <c r="C400" s="292" t="s">
        <v>48</v>
      </c>
      <c r="D400" s="293">
        <f t="shared" si="2"/>
        <v>1</v>
      </c>
      <c r="E400" s="294"/>
      <c r="F400" s="295" t="str">
        <f>IFERROR(__xludf.DUMMYFUNCTION("IF(B400="""","""",IFERROR(VLOOKUP(TO_TEXT(B400),PEDIDOS!D:I,6,0),IFERROR(VLOOKUP(B400*1,PEDIDOS!D:I,6,0),"" "")))"),"ENTREGUE")</f>
        <v>ENTREGUE</v>
      </c>
      <c r="G400" s="303"/>
      <c r="H400" s="304"/>
    </row>
    <row r="401">
      <c r="A401" s="302" t="s">
        <v>664</v>
      </c>
      <c r="B401" s="291" t="s">
        <v>6531</v>
      </c>
      <c r="C401" s="292" t="s">
        <v>48</v>
      </c>
      <c r="D401" s="293">
        <f t="shared" si="2"/>
        <v>1</v>
      </c>
      <c r="E401" s="294"/>
      <c r="F401" s="295" t="str">
        <f>IFERROR(__xludf.DUMMYFUNCTION("IF(B401="""","""",IFERROR(VLOOKUP(TO_TEXT(B401),PEDIDOS!D:I,6,0),IFERROR(VLOOKUP(B401*1,PEDIDOS!D:I,6,0),"" "")))"),"ENTREGUE")</f>
        <v>ENTREGUE</v>
      </c>
      <c r="G401" s="303"/>
      <c r="H401" s="304"/>
    </row>
    <row r="402">
      <c r="A402" s="302" t="s">
        <v>664</v>
      </c>
      <c r="B402" s="291" t="s">
        <v>6534</v>
      </c>
      <c r="C402" s="292" t="s">
        <v>48</v>
      </c>
      <c r="D402" s="293">
        <f t="shared" si="2"/>
        <v>1</v>
      </c>
      <c r="E402" s="294"/>
      <c r="F402" s="295" t="str">
        <f>IFERROR(__xludf.DUMMYFUNCTION("IF(B402="""","""",IFERROR(VLOOKUP(TO_TEXT(B402),PEDIDOS!D:I,6,0),IFERROR(VLOOKUP(B402*1,PEDIDOS!D:I,6,0),"" "")))"),"ENTREGUE")</f>
        <v>ENTREGUE</v>
      </c>
      <c r="G402" s="303"/>
      <c r="H402" s="304"/>
    </row>
    <row r="403">
      <c r="A403" s="302" t="s">
        <v>664</v>
      </c>
      <c r="B403" s="291" t="s">
        <v>7585</v>
      </c>
      <c r="C403" s="292" t="s">
        <v>48</v>
      </c>
      <c r="D403" s="293">
        <f t="shared" si="2"/>
        <v>1</v>
      </c>
      <c r="E403" s="294"/>
      <c r="F403" s="295" t="str">
        <f>IFERROR(__xludf.DUMMYFUNCTION("IF(B403="""","""",IFERROR(VLOOKUP(TO_TEXT(B403),PEDIDOS!D:I,6,0),IFERROR(VLOOKUP(B403*1,PEDIDOS!D:I,6,0),"" "")))"),"ENTREGUE")</f>
        <v>ENTREGUE</v>
      </c>
      <c r="G403" s="303"/>
      <c r="H403" s="304"/>
    </row>
    <row r="404">
      <c r="A404" s="302" t="s">
        <v>664</v>
      </c>
      <c r="B404" s="291" t="s">
        <v>2037</v>
      </c>
      <c r="C404" s="292" t="s">
        <v>48</v>
      </c>
      <c r="D404" s="293">
        <f t="shared" si="2"/>
        <v>1</v>
      </c>
      <c r="E404" s="294"/>
      <c r="F404" s="295" t="str">
        <f>IFERROR(__xludf.DUMMYFUNCTION("IF(B404="""","""",IFERROR(VLOOKUP(TO_TEXT(B404),PEDIDOS!D:I,6,0),IFERROR(VLOOKUP(B404*1,PEDIDOS!D:I,6,0),"" "")))"),"ENTREGUE")</f>
        <v>ENTREGUE</v>
      </c>
      <c r="G404" s="303"/>
      <c r="H404" s="304"/>
    </row>
    <row r="405">
      <c r="A405" s="302" t="s">
        <v>664</v>
      </c>
      <c r="B405" s="291" t="s">
        <v>7582</v>
      </c>
      <c r="C405" s="292" t="s">
        <v>48</v>
      </c>
      <c r="D405" s="293">
        <f t="shared" si="2"/>
        <v>1</v>
      </c>
      <c r="E405" s="294"/>
      <c r="F405" s="295" t="str">
        <f>IFERROR(__xludf.DUMMYFUNCTION("IF(B405="""","""",IFERROR(VLOOKUP(TO_TEXT(B405),PEDIDOS!D:I,6,0),IFERROR(VLOOKUP(B405*1,PEDIDOS!D:I,6,0),"" "")))"),"ENTREGUE")</f>
        <v>ENTREGUE</v>
      </c>
      <c r="G405" s="303"/>
      <c r="H405" s="304"/>
    </row>
    <row r="406">
      <c r="A406" s="302" t="s">
        <v>664</v>
      </c>
      <c r="B406" s="291" t="s">
        <v>8349</v>
      </c>
      <c r="C406" s="292" t="s">
        <v>48</v>
      </c>
      <c r="D406" s="293">
        <f t="shared" si="2"/>
        <v>1</v>
      </c>
      <c r="E406" s="294"/>
      <c r="F406" s="295" t="str">
        <f>IFERROR(__xludf.DUMMYFUNCTION("IF(B406="""","""",IFERROR(VLOOKUP(TO_TEXT(B406),PEDIDOS!D:I,6,0),IFERROR(VLOOKUP(B406*1,PEDIDOS!D:I,6,0),"" "")))"),"ENTREGUE")</f>
        <v>ENTREGUE</v>
      </c>
      <c r="G406" s="303"/>
      <c r="H406" s="304"/>
    </row>
    <row r="407">
      <c r="A407" s="302" t="s">
        <v>664</v>
      </c>
      <c r="B407" s="291" t="s">
        <v>7192</v>
      </c>
      <c r="C407" s="292" t="s">
        <v>48</v>
      </c>
      <c r="D407" s="293">
        <f t="shared" si="2"/>
        <v>1</v>
      </c>
      <c r="E407" s="294"/>
      <c r="F407" s="295" t="str">
        <f>IFERROR(__xludf.DUMMYFUNCTION("IF(B407="""","""",IFERROR(VLOOKUP(TO_TEXT(B407),PEDIDOS!D:I,6,0),IFERROR(VLOOKUP(B407*1,PEDIDOS!D:I,6,0),"" "")))"),"ENTREGUE")</f>
        <v>ENTREGUE</v>
      </c>
      <c r="G407" s="303"/>
      <c r="H407" s="304"/>
    </row>
    <row r="408">
      <c r="A408" s="302" t="s">
        <v>664</v>
      </c>
      <c r="B408" s="291" t="s">
        <v>10234</v>
      </c>
      <c r="C408" s="292" t="s">
        <v>48</v>
      </c>
      <c r="D408" s="293">
        <f t="shared" si="2"/>
        <v>1</v>
      </c>
      <c r="E408" s="294"/>
      <c r="F408" s="295" t="str">
        <f>IFERROR(__xludf.DUMMYFUNCTION("IF(B408="""","""",IFERROR(VLOOKUP(TO_TEXT(B408),PEDIDOS!D:I,6,0),IFERROR(VLOOKUP(B408*1,PEDIDOS!D:I,6,0),"" "")))"),"ENTREGUE")</f>
        <v>ENTREGUE</v>
      </c>
      <c r="G408" s="303"/>
      <c r="H408" s="304"/>
    </row>
    <row r="409">
      <c r="A409" s="302" t="s">
        <v>664</v>
      </c>
      <c r="B409" s="291" t="s">
        <v>1550</v>
      </c>
      <c r="C409" s="292" t="s">
        <v>48</v>
      </c>
      <c r="D409" s="293">
        <f t="shared" si="2"/>
        <v>1</v>
      </c>
      <c r="E409" s="294"/>
      <c r="F409" s="295" t="str">
        <f>IFERROR(__xludf.DUMMYFUNCTION("IF(B409="""","""",IFERROR(VLOOKUP(TO_TEXT(B409),PEDIDOS!D:I,6,0),IFERROR(VLOOKUP(B409*1,PEDIDOS!D:I,6,0),"" "")))"),"ENTREGUE")</f>
        <v>ENTREGUE</v>
      </c>
      <c r="G409" s="303"/>
      <c r="H409" s="304"/>
    </row>
    <row r="410">
      <c r="A410" s="302" t="s">
        <v>664</v>
      </c>
      <c r="B410" s="291" t="s">
        <v>8340</v>
      </c>
      <c r="C410" s="292" t="s">
        <v>48</v>
      </c>
      <c r="D410" s="293">
        <f t="shared" si="2"/>
        <v>1</v>
      </c>
      <c r="E410" s="294"/>
      <c r="F410" s="295" t="str">
        <f>IFERROR(__xludf.DUMMYFUNCTION("IF(B410="""","""",IFERROR(VLOOKUP(TO_TEXT(B410),PEDIDOS!D:I,6,0),IFERROR(VLOOKUP(B410*1,PEDIDOS!D:I,6,0),"" "")))"),"ENTREGUE")</f>
        <v>ENTREGUE</v>
      </c>
      <c r="G410" s="303"/>
      <c r="H410" s="304"/>
    </row>
    <row r="411">
      <c r="A411" s="302" t="s">
        <v>4430</v>
      </c>
      <c r="B411" s="291" t="s">
        <v>12231</v>
      </c>
      <c r="C411" s="292" t="s">
        <v>48</v>
      </c>
      <c r="D411" s="293">
        <f t="shared" si="2"/>
        <v>1</v>
      </c>
      <c r="E411" s="294"/>
      <c r="F411" s="295" t="str">
        <f>IFERROR(__xludf.DUMMYFUNCTION("IF(B411="""","""",IFERROR(VLOOKUP(TO_TEXT(B411),PEDIDOS!D:I,6,0),IFERROR(VLOOKUP(B411*1,PEDIDOS!D:I,6,0),"" "")))"),"ENTREGUE")</f>
        <v>ENTREGUE</v>
      </c>
      <c r="G411" s="303"/>
      <c r="H411" s="304"/>
    </row>
    <row r="412">
      <c r="A412" s="302" t="s">
        <v>664</v>
      </c>
      <c r="B412" s="291" t="s">
        <v>8460</v>
      </c>
      <c r="C412" s="292" t="s">
        <v>48</v>
      </c>
      <c r="D412" s="293">
        <f t="shared" si="2"/>
        <v>1</v>
      </c>
      <c r="E412" s="294"/>
      <c r="F412" s="295" t="str">
        <f>IFERROR(__xludf.DUMMYFUNCTION("IF(B412="""","""",IFERROR(VLOOKUP(TO_TEXT(B412),PEDIDOS!D:I,6,0),IFERROR(VLOOKUP(B412*1,PEDIDOS!D:I,6,0),"" "")))"),"ENTREGUE")</f>
        <v>ENTREGUE</v>
      </c>
      <c r="G412" s="303"/>
      <c r="H412" s="304"/>
    </row>
    <row r="413">
      <c r="A413" s="302" t="s">
        <v>664</v>
      </c>
      <c r="B413" s="291" t="s">
        <v>7746</v>
      </c>
      <c r="C413" s="292" t="s">
        <v>48</v>
      </c>
      <c r="D413" s="293">
        <f t="shared" si="2"/>
        <v>1</v>
      </c>
      <c r="E413" s="294"/>
      <c r="F413" s="295" t="str">
        <f>IFERROR(__xludf.DUMMYFUNCTION("IF(B413="""","""",IFERROR(VLOOKUP(TO_TEXT(B413),PEDIDOS!D:I,6,0),IFERROR(VLOOKUP(B413*1,PEDIDOS!D:I,6,0),"" "")))"),"ENTREGUE")</f>
        <v>ENTREGUE</v>
      </c>
      <c r="G413" s="303"/>
      <c r="H413" s="304"/>
    </row>
    <row r="414">
      <c r="A414" s="302" t="s">
        <v>664</v>
      </c>
      <c r="B414" s="291" t="s">
        <v>7704</v>
      </c>
      <c r="C414" s="292" t="s">
        <v>48</v>
      </c>
      <c r="D414" s="293">
        <f t="shared" si="2"/>
        <v>1</v>
      </c>
      <c r="E414" s="294"/>
      <c r="F414" s="295" t="str">
        <f>IFERROR(__xludf.DUMMYFUNCTION("IF(B414="""","""",IFERROR(VLOOKUP(TO_TEXT(B414),PEDIDOS!D:I,6,0),IFERROR(VLOOKUP(B414*1,PEDIDOS!D:I,6,0),"" "")))"),"ENTREGUE")</f>
        <v>ENTREGUE</v>
      </c>
      <c r="G414" s="303"/>
      <c r="H414" s="304"/>
    </row>
    <row r="415">
      <c r="A415" s="302" t="s">
        <v>664</v>
      </c>
      <c r="B415" s="291" t="s">
        <v>8353</v>
      </c>
      <c r="C415" s="292" t="s">
        <v>48</v>
      </c>
      <c r="D415" s="293">
        <f t="shared" si="2"/>
        <v>1</v>
      </c>
      <c r="E415" s="294"/>
      <c r="F415" s="295" t="str">
        <f>IFERROR(__xludf.DUMMYFUNCTION("IF(B415="""","""",IFERROR(VLOOKUP(TO_TEXT(B415),PEDIDOS!D:I,6,0),IFERROR(VLOOKUP(B415*1,PEDIDOS!D:I,6,0),"" "")))"),"ENTREGUE")</f>
        <v>ENTREGUE</v>
      </c>
      <c r="G415" s="303"/>
      <c r="H415" s="304"/>
    </row>
    <row r="416">
      <c r="A416" s="302" t="s">
        <v>664</v>
      </c>
      <c r="B416" s="291" t="s">
        <v>3654</v>
      </c>
      <c r="C416" s="292" t="s">
        <v>48</v>
      </c>
      <c r="D416" s="293">
        <f t="shared" si="2"/>
        <v>1</v>
      </c>
      <c r="E416" s="294"/>
      <c r="F416" s="295" t="str">
        <f>IFERROR(__xludf.DUMMYFUNCTION("IF(B416="""","""",IFERROR(VLOOKUP(TO_TEXT(B416),PEDIDOS!D:I,6,0),IFERROR(VLOOKUP(B416*1,PEDIDOS!D:I,6,0),"" "")))"),"ENTREGUE")</f>
        <v>ENTREGUE</v>
      </c>
      <c r="G416" s="303"/>
      <c r="H416" s="304"/>
    </row>
    <row r="417">
      <c r="A417" s="302" t="s">
        <v>664</v>
      </c>
      <c r="B417" s="291" t="s">
        <v>3492</v>
      </c>
      <c r="C417" s="292" t="s">
        <v>48</v>
      </c>
      <c r="D417" s="293">
        <f t="shared" si="2"/>
        <v>1</v>
      </c>
      <c r="E417" s="294"/>
      <c r="F417" s="295" t="str">
        <f>IFERROR(__xludf.DUMMYFUNCTION("IF(B417="""","""",IFERROR(VLOOKUP(TO_TEXT(B417),PEDIDOS!D:I,6,0),IFERROR(VLOOKUP(B417*1,PEDIDOS!D:I,6,0),"" "")))"),"ENTREGUE")</f>
        <v>ENTREGUE</v>
      </c>
      <c r="G417" s="303"/>
      <c r="H417" s="304"/>
    </row>
    <row r="418">
      <c r="A418" s="302" t="s">
        <v>664</v>
      </c>
      <c r="B418" s="291" t="s">
        <v>8431</v>
      </c>
      <c r="C418" s="292" t="s">
        <v>48</v>
      </c>
      <c r="D418" s="293">
        <f t="shared" si="2"/>
        <v>1</v>
      </c>
      <c r="E418" s="294"/>
      <c r="F418" s="295" t="str">
        <f>IFERROR(__xludf.DUMMYFUNCTION("IF(B418="""","""",IFERROR(VLOOKUP(TO_TEXT(B418),PEDIDOS!D:I,6,0),IFERROR(VLOOKUP(B418*1,PEDIDOS!D:I,6,0),"" "")))"),"ENTREGUE")</f>
        <v>ENTREGUE</v>
      </c>
      <c r="G418" s="303"/>
      <c r="H418" s="304"/>
    </row>
    <row r="419">
      <c r="A419" s="302" t="s">
        <v>664</v>
      </c>
      <c r="B419" s="291" t="s">
        <v>4620</v>
      </c>
      <c r="C419" s="292" t="s">
        <v>48</v>
      </c>
      <c r="D419" s="293">
        <f t="shared" si="2"/>
        <v>1</v>
      </c>
      <c r="E419" s="294"/>
      <c r="F419" s="295" t="str">
        <f>IFERROR(__xludf.DUMMYFUNCTION("IF(B419="""","""",IFERROR(VLOOKUP(TO_TEXT(B419),PEDIDOS!D:I,6,0),IFERROR(VLOOKUP(B419*1,PEDIDOS!D:I,6,0),"" "")))"),"ENTREGUE")</f>
        <v>ENTREGUE</v>
      </c>
      <c r="G419" s="303"/>
      <c r="H419" s="304"/>
    </row>
    <row r="420">
      <c r="A420" s="302" t="s">
        <v>4430</v>
      </c>
      <c r="B420" s="291" t="s">
        <v>6527</v>
      </c>
      <c r="C420" s="292" t="s">
        <v>48</v>
      </c>
      <c r="D420" s="293">
        <f t="shared" si="2"/>
        <v>1</v>
      </c>
      <c r="E420" s="294"/>
      <c r="F420" s="295" t="str">
        <f>IFERROR(__xludf.DUMMYFUNCTION("IF(B420="""","""",IFERROR(VLOOKUP(TO_TEXT(B420),PEDIDOS!D:I,6,0),IFERROR(VLOOKUP(B420*1,PEDIDOS!D:I,6,0),"" "")))"),"ENTREGUE")</f>
        <v>ENTREGUE</v>
      </c>
      <c r="G420" s="303"/>
      <c r="H420" s="304"/>
    </row>
    <row r="421">
      <c r="A421" s="302" t="s">
        <v>4430</v>
      </c>
      <c r="B421" s="291" t="s">
        <v>4429</v>
      </c>
      <c r="C421" s="292" t="s">
        <v>48</v>
      </c>
      <c r="D421" s="293">
        <f t="shared" si="2"/>
        <v>1</v>
      </c>
      <c r="E421" s="294"/>
      <c r="F421" s="295" t="str">
        <f>IFERROR(__xludf.DUMMYFUNCTION("IF(B421="""","""",IFERROR(VLOOKUP(TO_TEXT(B421),PEDIDOS!D:I,6,0),IFERROR(VLOOKUP(B421*1,PEDIDOS!D:I,6,0),"" "")))"),"ENTREGUE")</f>
        <v>ENTREGUE</v>
      </c>
      <c r="G421" s="303"/>
      <c r="H421" s="304"/>
    </row>
    <row r="422">
      <c r="A422" s="302" t="s">
        <v>4430</v>
      </c>
      <c r="B422" s="291" t="s">
        <v>23338</v>
      </c>
      <c r="C422" s="292" t="s">
        <v>48</v>
      </c>
      <c r="D422" s="293">
        <f t="shared" si="2"/>
        <v>1</v>
      </c>
      <c r="E422" s="294"/>
      <c r="F422" s="295" t="str">
        <f>IFERROR(__xludf.DUMMYFUNCTION("IF(B422="""","""",IFERROR(VLOOKUP(TO_TEXT(B422),PEDIDOS!D:I,6,0),IFERROR(VLOOKUP(B422*1,PEDIDOS!D:I,6,0),"" "")))")," ")</f>
        <v> </v>
      </c>
      <c r="G422" s="303" t="s">
        <v>23339</v>
      </c>
      <c r="H422" s="304"/>
    </row>
    <row r="423">
      <c r="A423" s="302" t="s">
        <v>4430</v>
      </c>
      <c r="B423" s="291" t="s">
        <v>6713</v>
      </c>
      <c r="C423" s="292" t="s">
        <v>48</v>
      </c>
      <c r="D423" s="293">
        <f t="shared" si="2"/>
        <v>1</v>
      </c>
      <c r="E423" s="294"/>
      <c r="F423" s="295" t="str">
        <f>IFERROR(__xludf.DUMMYFUNCTION("IF(B423="""","""",IFERROR(VLOOKUP(TO_TEXT(B423),PEDIDOS!D:I,6,0),IFERROR(VLOOKUP(B423*1,PEDIDOS!D:I,6,0),"" "")))"),"ENTREGUE")</f>
        <v>ENTREGUE</v>
      </c>
      <c r="G423" s="303"/>
      <c r="H423" s="304"/>
    </row>
    <row r="424">
      <c r="A424" s="302" t="s">
        <v>85</v>
      </c>
      <c r="B424" s="291" t="s">
        <v>4071</v>
      </c>
      <c r="C424" s="292" t="s">
        <v>48</v>
      </c>
      <c r="D424" s="293">
        <f t="shared" si="2"/>
        <v>1</v>
      </c>
      <c r="E424" s="294"/>
      <c r="F424" s="295" t="str">
        <f>IFERROR(__xludf.DUMMYFUNCTION("IF(B424="""","""",IFERROR(VLOOKUP(TO_TEXT(B424),PEDIDOS!D:I,6,0),IFERROR(VLOOKUP(B424*1,PEDIDOS!D:I,6,0),"" "")))"),"ENTREGUE")</f>
        <v>ENTREGUE</v>
      </c>
      <c r="G424" s="303"/>
      <c r="H424" s="304"/>
    </row>
    <row r="425">
      <c r="A425" s="302" t="s">
        <v>85</v>
      </c>
      <c r="B425" s="291" t="s">
        <v>4314</v>
      </c>
      <c r="C425" s="292" t="s">
        <v>48</v>
      </c>
      <c r="D425" s="293">
        <f t="shared" si="2"/>
        <v>1</v>
      </c>
      <c r="E425" s="294"/>
      <c r="F425" s="295" t="str">
        <f>IFERROR(__xludf.DUMMYFUNCTION("IF(B425="""","""",IFERROR(VLOOKUP(TO_TEXT(B425),PEDIDOS!D:I,6,0),IFERROR(VLOOKUP(B425*1,PEDIDOS!D:I,6,0),"" "")))"),"ENTREGUE")</f>
        <v>ENTREGUE</v>
      </c>
      <c r="G425" s="303"/>
      <c r="H425" s="304"/>
    </row>
    <row r="426">
      <c r="A426" s="302" t="s">
        <v>85</v>
      </c>
      <c r="B426" s="291" t="s">
        <v>6605</v>
      </c>
      <c r="C426" s="292" t="s">
        <v>48</v>
      </c>
      <c r="D426" s="293">
        <f t="shared" si="2"/>
        <v>1</v>
      </c>
      <c r="E426" s="294"/>
      <c r="F426" s="295" t="str">
        <f>IFERROR(__xludf.DUMMYFUNCTION("IF(B426="""","""",IFERROR(VLOOKUP(TO_TEXT(B426),PEDIDOS!D:I,6,0),IFERROR(VLOOKUP(B426*1,PEDIDOS!D:I,6,0),"" "")))"),"ENTREGUE")</f>
        <v>ENTREGUE</v>
      </c>
      <c r="G426" s="303"/>
      <c r="H426" s="304"/>
    </row>
    <row r="427">
      <c r="A427" s="302" t="s">
        <v>85</v>
      </c>
      <c r="B427" s="291" t="s">
        <v>4600</v>
      </c>
      <c r="C427" s="292" t="s">
        <v>48</v>
      </c>
      <c r="D427" s="293">
        <f t="shared" si="2"/>
        <v>1</v>
      </c>
      <c r="E427" s="294"/>
      <c r="F427" s="295" t="str">
        <f>IFERROR(__xludf.DUMMYFUNCTION("IF(B427="""","""",IFERROR(VLOOKUP(TO_TEXT(B427),PEDIDOS!D:I,6,0),IFERROR(VLOOKUP(B427*1,PEDIDOS!D:I,6,0),"" "")))"),"ENTREGUE")</f>
        <v>ENTREGUE</v>
      </c>
      <c r="G427" s="303"/>
      <c r="H427" s="304"/>
    </row>
    <row r="428">
      <c r="A428" s="302" t="s">
        <v>85</v>
      </c>
      <c r="B428" s="291" t="s">
        <v>8991</v>
      </c>
      <c r="C428" s="292" t="s">
        <v>48</v>
      </c>
      <c r="D428" s="293">
        <f t="shared" si="2"/>
        <v>1</v>
      </c>
      <c r="E428" s="294"/>
      <c r="F428" s="295" t="str">
        <f>IFERROR(__xludf.DUMMYFUNCTION("IF(B428="""","""",IFERROR(VLOOKUP(TO_TEXT(B428),PEDIDOS!D:I,6,0),IFERROR(VLOOKUP(B428*1,PEDIDOS!D:I,6,0),"" "")))"),"ENTREGUE")</f>
        <v>ENTREGUE</v>
      </c>
      <c r="G428" s="303"/>
      <c r="H428" s="304"/>
    </row>
    <row r="429">
      <c r="A429" s="302" t="s">
        <v>85</v>
      </c>
      <c r="B429" s="291" t="s">
        <v>7502</v>
      </c>
      <c r="C429" s="292" t="s">
        <v>48</v>
      </c>
      <c r="D429" s="293">
        <f t="shared" si="2"/>
        <v>1</v>
      </c>
      <c r="E429" s="294"/>
      <c r="F429" s="295" t="str">
        <f>IFERROR(__xludf.DUMMYFUNCTION("IF(B429="""","""",IFERROR(VLOOKUP(TO_TEXT(B429),PEDIDOS!D:I,6,0),IFERROR(VLOOKUP(B429*1,PEDIDOS!D:I,6,0),"" "")))"),"ENTREGUE")</f>
        <v>ENTREGUE</v>
      </c>
      <c r="G429" s="303"/>
      <c r="H429" s="304"/>
    </row>
    <row r="430">
      <c r="A430" s="302" t="s">
        <v>85</v>
      </c>
      <c r="B430" s="291" t="s">
        <v>7141</v>
      </c>
      <c r="C430" s="292" t="s">
        <v>48</v>
      </c>
      <c r="D430" s="293">
        <f t="shared" si="2"/>
        <v>1</v>
      </c>
      <c r="E430" s="294"/>
      <c r="F430" s="295" t="str">
        <f>IFERROR(__xludf.DUMMYFUNCTION("IF(B430="""","""",IFERROR(VLOOKUP(TO_TEXT(B430),PEDIDOS!D:I,6,0),IFERROR(VLOOKUP(B430*1,PEDIDOS!D:I,6,0),"" "")))"),"ENTREGUE")</f>
        <v>ENTREGUE</v>
      </c>
      <c r="G430" s="303"/>
      <c r="H430" s="304"/>
    </row>
    <row r="431">
      <c r="A431" s="302" t="s">
        <v>85</v>
      </c>
      <c r="B431" s="291" t="s">
        <v>7126</v>
      </c>
      <c r="C431" s="292" t="s">
        <v>48</v>
      </c>
      <c r="D431" s="293">
        <f t="shared" si="2"/>
        <v>1</v>
      </c>
      <c r="E431" s="294"/>
      <c r="F431" s="295" t="str">
        <f>IFERROR(__xludf.DUMMYFUNCTION("IF(B431="""","""",IFERROR(VLOOKUP(TO_TEXT(B431),PEDIDOS!D:I,6,0),IFERROR(VLOOKUP(B431*1,PEDIDOS!D:I,6,0),"" "")))"),"ENTREGUE")</f>
        <v>ENTREGUE</v>
      </c>
      <c r="G431" s="303"/>
      <c r="H431" s="304"/>
    </row>
    <row r="432">
      <c r="A432" s="302" t="s">
        <v>85</v>
      </c>
      <c r="B432" s="291" t="s">
        <v>7601</v>
      </c>
      <c r="C432" s="292" t="s">
        <v>48</v>
      </c>
      <c r="D432" s="293">
        <f t="shared" si="2"/>
        <v>1</v>
      </c>
      <c r="E432" s="294"/>
      <c r="F432" s="295" t="str">
        <f>IFERROR(__xludf.DUMMYFUNCTION("IF(B432="""","""",IFERROR(VLOOKUP(TO_TEXT(B432),PEDIDOS!D:I,6,0),IFERROR(VLOOKUP(B432*1,PEDIDOS!D:I,6,0),"" "")))"),"ENTREGUE")</f>
        <v>ENTREGUE</v>
      </c>
      <c r="G432" s="303"/>
      <c r="H432" s="304"/>
    </row>
    <row r="433">
      <c r="A433" s="302" t="s">
        <v>85</v>
      </c>
      <c r="B433" s="291" t="s">
        <v>4415</v>
      </c>
      <c r="C433" s="292" t="s">
        <v>48</v>
      </c>
      <c r="D433" s="293">
        <f t="shared" si="2"/>
        <v>1</v>
      </c>
      <c r="E433" s="294"/>
      <c r="F433" s="295" t="str">
        <f>IFERROR(__xludf.DUMMYFUNCTION("IF(B433="""","""",IFERROR(VLOOKUP(TO_TEXT(B433),PEDIDOS!D:I,6,0),IFERROR(VLOOKUP(B433*1,PEDIDOS!D:I,6,0),"" "")))"),"ENTREGUE")</f>
        <v>ENTREGUE</v>
      </c>
      <c r="G433" s="303"/>
      <c r="H433" s="304"/>
    </row>
    <row r="434">
      <c r="A434" s="302" t="s">
        <v>85</v>
      </c>
      <c r="B434" s="291" t="s">
        <v>8300</v>
      </c>
      <c r="C434" s="292" t="s">
        <v>48</v>
      </c>
      <c r="D434" s="293">
        <f t="shared" si="2"/>
        <v>1</v>
      </c>
      <c r="E434" s="294"/>
      <c r="F434" s="295" t="str">
        <f>IFERROR(__xludf.DUMMYFUNCTION("IF(B434="""","""",IFERROR(VLOOKUP(TO_TEXT(B434),PEDIDOS!D:I,6,0),IFERROR(VLOOKUP(B434*1,PEDIDOS!D:I,6,0),"" "")))"),"ENTREGUE")</f>
        <v>ENTREGUE</v>
      </c>
      <c r="G434" s="303"/>
      <c r="H434" s="304"/>
    </row>
    <row r="435">
      <c r="A435" s="302" t="s">
        <v>85</v>
      </c>
      <c r="B435" s="291" t="s">
        <v>7512</v>
      </c>
      <c r="C435" s="292" t="s">
        <v>48</v>
      </c>
      <c r="D435" s="293">
        <f t="shared" si="2"/>
        <v>1</v>
      </c>
      <c r="E435" s="294"/>
      <c r="F435" s="295" t="str">
        <f>IFERROR(__xludf.DUMMYFUNCTION("IF(B435="""","""",IFERROR(VLOOKUP(TO_TEXT(B435),PEDIDOS!D:I,6,0),IFERROR(VLOOKUP(B435*1,PEDIDOS!D:I,6,0),"" "")))"),"ENTREGUE")</f>
        <v>ENTREGUE</v>
      </c>
      <c r="G435" s="303"/>
      <c r="H435" s="304"/>
    </row>
    <row r="436">
      <c r="A436" s="302" t="s">
        <v>85</v>
      </c>
      <c r="B436" s="291" t="s">
        <v>8345</v>
      </c>
      <c r="C436" s="292" t="s">
        <v>48</v>
      </c>
      <c r="D436" s="293">
        <f t="shared" si="2"/>
        <v>1</v>
      </c>
      <c r="E436" s="294"/>
      <c r="F436" s="295" t="str">
        <f>IFERROR(__xludf.DUMMYFUNCTION("IF(B436="""","""",IFERROR(VLOOKUP(TO_TEXT(B436),PEDIDOS!D:I,6,0),IFERROR(VLOOKUP(B436*1,PEDIDOS!D:I,6,0),"" "")))"),"ENTREGUE")</f>
        <v>ENTREGUE</v>
      </c>
      <c r="G436" s="303"/>
      <c r="H436" s="304"/>
    </row>
    <row r="437">
      <c r="A437" s="302" t="s">
        <v>85</v>
      </c>
      <c r="B437" s="291" t="s">
        <v>9696</v>
      </c>
      <c r="C437" s="292" t="s">
        <v>48</v>
      </c>
      <c r="D437" s="293">
        <f t="shared" si="2"/>
        <v>1</v>
      </c>
      <c r="E437" s="294"/>
      <c r="F437" s="295" t="str">
        <f>IFERROR(__xludf.DUMMYFUNCTION("IF(B437="""","""",IFERROR(VLOOKUP(TO_TEXT(B437),PEDIDOS!D:I,6,0),IFERROR(VLOOKUP(B437*1,PEDIDOS!D:I,6,0),"" "")))"),"ENTREGUE")</f>
        <v>ENTREGUE</v>
      </c>
      <c r="G437" s="303"/>
      <c r="H437" s="304"/>
    </row>
    <row r="438">
      <c r="A438" s="302" t="s">
        <v>85</v>
      </c>
      <c r="B438" s="291" t="s">
        <v>7042</v>
      </c>
      <c r="C438" s="292" t="s">
        <v>48</v>
      </c>
      <c r="D438" s="293">
        <f t="shared" si="2"/>
        <v>1</v>
      </c>
      <c r="E438" s="294"/>
      <c r="F438" s="295" t="str">
        <f>IFERROR(__xludf.DUMMYFUNCTION("IF(B438="""","""",IFERROR(VLOOKUP(TO_TEXT(B438),PEDIDOS!D:I,6,0),IFERROR(VLOOKUP(B438*1,PEDIDOS!D:I,6,0),"" "")))"),"ENTREGUE")</f>
        <v>ENTREGUE</v>
      </c>
      <c r="G438" s="303"/>
      <c r="H438" s="304"/>
    </row>
    <row r="439">
      <c r="A439" s="302" t="s">
        <v>85</v>
      </c>
      <c r="B439" s="291" t="s">
        <v>4469</v>
      </c>
      <c r="C439" s="292" t="s">
        <v>48</v>
      </c>
      <c r="D439" s="293">
        <f t="shared" si="2"/>
        <v>1</v>
      </c>
      <c r="E439" s="294"/>
      <c r="F439" s="295" t="str">
        <f>IFERROR(__xludf.DUMMYFUNCTION("IF(B439="""","""",IFERROR(VLOOKUP(TO_TEXT(B439),PEDIDOS!D:I,6,0),IFERROR(VLOOKUP(B439*1,PEDIDOS!D:I,6,0),"" "")))"),"ENTREGUE")</f>
        <v>ENTREGUE</v>
      </c>
      <c r="G439" s="303"/>
      <c r="H439" s="304"/>
    </row>
    <row r="440">
      <c r="A440" s="302" t="s">
        <v>85</v>
      </c>
      <c r="B440" s="291" t="s">
        <v>6745</v>
      </c>
      <c r="C440" s="292" t="s">
        <v>48</v>
      </c>
      <c r="D440" s="293">
        <f t="shared" si="2"/>
        <v>1</v>
      </c>
      <c r="E440" s="294"/>
      <c r="F440" s="295" t="str">
        <f>IFERROR(__xludf.DUMMYFUNCTION("IF(B440="""","""",IFERROR(VLOOKUP(TO_TEXT(B440),PEDIDOS!D:I,6,0),IFERROR(VLOOKUP(B440*1,PEDIDOS!D:I,6,0),"" "")))"),"ENTREGUE")</f>
        <v>ENTREGUE</v>
      </c>
      <c r="G440" s="303"/>
      <c r="H440" s="304"/>
    </row>
    <row r="441">
      <c r="A441" s="302" t="s">
        <v>85</v>
      </c>
      <c r="B441" s="291" t="s">
        <v>7138</v>
      </c>
      <c r="C441" s="292" t="s">
        <v>48</v>
      </c>
      <c r="D441" s="293">
        <f t="shared" si="2"/>
        <v>1</v>
      </c>
      <c r="E441" s="294"/>
      <c r="F441" s="295" t="str">
        <f>IFERROR(__xludf.DUMMYFUNCTION("IF(B441="""","""",IFERROR(VLOOKUP(TO_TEXT(B441),PEDIDOS!D:I,6,0),IFERROR(VLOOKUP(B441*1,PEDIDOS!D:I,6,0),"" "")))"),"ENTREGUE")</f>
        <v>ENTREGUE</v>
      </c>
      <c r="G441" s="303"/>
      <c r="H441" s="304"/>
    </row>
    <row r="442">
      <c r="A442" s="302" t="s">
        <v>85</v>
      </c>
      <c r="B442" s="291" t="s">
        <v>8268</v>
      </c>
      <c r="C442" s="292" t="s">
        <v>48</v>
      </c>
      <c r="D442" s="293">
        <f t="shared" si="2"/>
        <v>1</v>
      </c>
      <c r="E442" s="294"/>
      <c r="F442" s="295" t="str">
        <f>IFERROR(__xludf.DUMMYFUNCTION("IF(B442="""","""",IFERROR(VLOOKUP(TO_TEXT(B442),PEDIDOS!D:I,6,0),IFERROR(VLOOKUP(B442*1,PEDIDOS!D:I,6,0),"" "")))"),"ENTREGUE")</f>
        <v>ENTREGUE</v>
      </c>
      <c r="G442" s="303"/>
      <c r="H442" s="304"/>
    </row>
    <row r="443">
      <c r="A443" s="302" t="s">
        <v>85</v>
      </c>
      <c r="B443" s="291" t="s">
        <v>7241</v>
      </c>
      <c r="C443" s="292" t="s">
        <v>48</v>
      </c>
      <c r="D443" s="293">
        <f t="shared" si="2"/>
        <v>1</v>
      </c>
      <c r="E443" s="294"/>
      <c r="F443" s="295" t="str">
        <f>IFERROR(__xludf.DUMMYFUNCTION("IF(B443="""","""",IFERROR(VLOOKUP(TO_TEXT(B443),PEDIDOS!D:I,6,0),IFERROR(VLOOKUP(B443*1,PEDIDOS!D:I,6,0),"" "")))"),"ENTREGUE")</f>
        <v>ENTREGUE</v>
      </c>
      <c r="G443" s="303"/>
      <c r="H443" s="304"/>
    </row>
    <row r="444">
      <c r="A444" s="302" t="s">
        <v>85</v>
      </c>
      <c r="B444" s="291" t="s">
        <v>4021</v>
      </c>
      <c r="C444" s="292" t="s">
        <v>48</v>
      </c>
      <c r="D444" s="293">
        <f t="shared" si="2"/>
        <v>1</v>
      </c>
      <c r="E444" s="294"/>
      <c r="F444" s="295" t="str">
        <f>IFERROR(__xludf.DUMMYFUNCTION("IF(B444="""","""",IFERROR(VLOOKUP(TO_TEXT(B444),PEDIDOS!D:I,6,0),IFERROR(VLOOKUP(B444*1,PEDIDOS!D:I,6,0),"" "")))"),"ENTREGUE")</f>
        <v>ENTREGUE</v>
      </c>
      <c r="G444" s="303"/>
      <c r="H444" s="304"/>
    </row>
    <row r="445">
      <c r="A445" s="302" t="s">
        <v>85</v>
      </c>
      <c r="B445" s="291" t="s">
        <v>4143</v>
      </c>
      <c r="C445" s="292" t="s">
        <v>48</v>
      </c>
      <c r="D445" s="293">
        <f t="shared" si="2"/>
        <v>1</v>
      </c>
      <c r="E445" s="294"/>
      <c r="F445" s="295" t="str">
        <f>IFERROR(__xludf.DUMMYFUNCTION("IF(B445="""","""",IFERROR(VLOOKUP(TO_TEXT(B445),PEDIDOS!D:I,6,0),IFERROR(VLOOKUP(B445*1,PEDIDOS!D:I,6,0),"" "")))"),"ENTREGUE")</f>
        <v>ENTREGUE</v>
      </c>
      <c r="G445" s="303"/>
      <c r="H445" s="304"/>
    </row>
    <row r="446">
      <c r="A446" s="302" t="s">
        <v>85</v>
      </c>
      <c r="B446" s="291" t="s">
        <v>7051</v>
      </c>
      <c r="C446" s="292" t="s">
        <v>48</v>
      </c>
      <c r="D446" s="293">
        <f t="shared" si="2"/>
        <v>1</v>
      </c>
      <c r="E446" s="294"/>
      <c r="F446" s="295" t="str">
        <f>IFERROR(__xludf.DUMMYFUNCTION("IF(B446="""","""",IFERROR(VLOOKUP(TO_TEXT(B446),PEDIDOS!D:I,6,0),IFERROR(VLOOKUP(B446*1,PEDIDOS!D:I,6,0),"" "")))"),"ENTREGUE")</f>
        <v>ENTREGUE</v>
      </c>
      <c r="G446" s="303"/>
      <c r="H446" s="304"/>
    </row>
    <row r="447">
      <c r="A447" s="302" t="s">
        <v>85</v>
      </c>
      <c r="B447" s="291" t="s">
        <v>8316</v>
      </c>
      <c r="C447" s="292" t="s">
        <v>48</v>
      </c>
      <c r="D447" s="293">
        <f t="shared" si="2"/>
        <v>1</v>
      </c>
      <c r="E447" s="294"/>
      <c r="F447" s="295" t="str">
        <f>IFERROR(__xludf.DUMMYFUNCTION("IF(B447="""","""",IFERROR(VLOOKUP(TO_TEXT(B447),PEDIDOS!D:I,6,0),IFERROR(VLOOKUP(B447*1,PEDIDOS!D:I,6,0),"" "")))"),"ENTREGUE")</f>
        <v>ENTREGUE</v>
      </c>
      <c r="G447" s="303"/>
      <c r="H447" s="304"/>
    </row>
    <row r="448">
      <c r="A448" s="302" t="s">
        <v>85</v>
      </c>
      <c r="B448" s="291" t="s">
        <v>6882</v>
      </c>
      <c r="C448" s="292" t="s">
        <v>48</v>
      </c>
      <c r="D448" s="293">
        <f t="shared" si="2"/>
        <v>1</v>
      </c>
      <c r="E448" s="294"/>
      <c r="F448" s="295" t="str">
        <f>IFERROR(__xludf.DUMMYFUNCTION("IF(B448="""","""",IFERROR(VLOOKUP(TO_TEXT(B448),PEDIDOS!D:I,6,0),IFERROR(VLOOKUP(B448*1,PEDIDOS!D:I,6,0),"" "")))"),"ENTREGUE")</f>
        <v>ENTREGUE</v>
      </c>
      <c r="G448" s="303"/>
      <c r="H448" s="304"/>
    </row>
    <row r="449">
      <c r="A449" s="302" t="s">
        <v>85</v>
      </c>
      <c r="B449" s="291" t="s">
        <v>4188</v>
      </c>
      <c r="C449" s="292" t="s">
        <v>48</v>
      </c>
      <c r="D449" s="293">
        <f t="shared" si="2"/>
        <v>1</v>
      </c>
      <c r="E449" s="294"/>
      <c r="F449" s="295" t="str">
        <f>IFERROR(__xludf.DUMMYFUNCTION("IF(B449="""","""",IFERROR(VLOOKUP(TO_TEXT(B449),PEDIDOS!D:I,6,0),IFERROR(VLOOKUP(B449*1,PEDIDOS!D:I,6,0),"" "")))"),"ENTREGUE")</f>
        <v>ENTREGUE</v>
      </c>
      <c r="G449" s="303"/>
      <c r="H449" s="304"/>
    </row>
    <row r="450">
      <c r="A450" s="302" t="s">
        <v>85</v>
      </c>
      <c r="B450" s="291" t="s">
        <v>7024</v>
      </c>
      <c r="C450" s="292" t="s">
        <v>48</v>
      </c>
      <c r="D450" s="293">
        <f t="shared" si="2"/>
        <v>1</v>
      </c>
      <c r="E450" s="294"/>
      <c r="F450" s="295" t="str">
        <f>IFERROR(__xludf.DUMMYFUNCTION("IF(B450="""","""",IFERROR(VLOOKUP(TO_TEXT(B450),PEDIDOS!D:I,6,0),IFERROR(VLOOKUP(B450*1,PEDIDOS!D:I,6,0),"" "")))"),"ENTREGUE")</f>
        <v>ENTREGUE</v>
      </c>
      <c r="G450" s="303"/>
      <c r="H450" s="304"/>
    </row>
    <row r="451">
      <c r="A451" s="302" t="s">
        <v>85</v>
      </c>
      <c r="B451" s="291" t="s">
        <v>4649</v>
      </c>
      <c r="C451" s="292" t="s">
        <v>48</v>
      </c>
      <c r="D451" s="293">
        <f t="shared" si="2"/>
        <v>1</v>
      </c>
      <c r="E451" s="294"/>
      <c r="F451" s="295" t="str">
        <f>IFERROR(__xludf.DUMMYFUNCTION("IF(B451="""","""",IFERROR(VLOOKUP(TO_TEXT(B451),PEDIDOS!D:I,6,0),IFERROR(VLOOKUP(B451*1,PEDIDOS!D:I,6,0),"" "")))"),"ENTREGUE")</f>
        <v>ENTREGUE</v>
      </c>
      <c r="G451" s="303"/>
      <c r="H451" s="304"/>
    </row>
    <row r="452">
      <c r="A452" s="302" t="s">
        <v>85</v>
      </c>
      <c r="B452" s="291" t="s">
        <v>7039</v>
      </c>
      <c r="C452" s="292" t="s">
        <v>48</v>
      </c>
      <c r="D452" s="293">
        <f t="shared" si="2"/>
        <v>1</v>
      </c>
      <c r="E452" s="294"/>
      <c r="F452" s="295" t="str">
        <f>IFERROR(__xludf.DUMMYFUNCTION("IF(B452="""","""",IFERROR(VLOOKUP(TO_TEXT(B452),PEDIDOS!D:I,6,0),IFERROR(VLOOKUP(B452*1,PEDIDOS!D:I,6,0),"" "")))"),"ENTREGUE")</f>
        <v>ENTREGUE</v>
      </c>
      <c r="G452" s="303"/>
      <c r="H452" s="304"/>
    </row>
    <row r="453">
      <c r="A453" s="302" t="s">
        <v>85</v>
      </c>
      <c r="B453" s="291" t="s">
        <v>3893</v>
      </c>
      <c r="C453" s="292" t="s">
        <v>48</v>
      </c>
      <c r="D453" s="293">
        <f t="shared" si="2"/>
        <v>1</v>
      </c>
      <c r="E453" s="294"/>
      <c r="F453" s="295" t="str">
        <f>IFERROR(__xludf.DUMMYFUNCTION("IF(B453="""","""",IFERROR(VLOOKUP(TO_TEXT(B453),PEDIDOS!D:I,6,0),IFERROR(VLOOKUP(B453*1,PEDIDOS!D:I,6,0),"" "")))"),"ENTREGUE")</f>
        <v>ENTREGUE</v>
      </c>
      <c r="G453" s="303"/>
      <c r="H453" s="304"/>
    </row>
    <row r="454">
      <c r="A454" s="302" t="s">
        <v>85</v>
      </c>
      <c r="B454" s="291" t="s">
        <v>5446</v>
      </c>
      <c r="C454" s="292" t="s">
        <v>48</v>
      </c>
      <c r="D454" s="293">
        <f t="shared" si="2"/>
        <v>1</v>
      </c>
      <c r="E454" s="294"/>
      <c r="F454" s="295" t="str">
        <f>IFERROR(__xludf.DUMMYFUNCTION("IF(B454="""","""",IFERROR(VLOOKUP(TO_TEXT(B454),PEDIDOS!D:I,6,0),IFERROR(VLOOKUP(B454*1,PEDIDOS!D:I,6,0),"" "")))"),"ENTREGUE")</f>
        <v>ENTREGUE</v>
      </c>
      <c r="G454" s="303"/>
      <c r="H454" s="304"/>
    </row>
    <row r="455">
      <c r="A455" s="302" t="s">
        <v>85</v>
      </c>
      <c r="B455" s="291" t="s">
        <v>7054</v>
      </c>
      <c r="C455" s="292" t="s">
        <v>48</v>
      </c>
      <c r="D455" s="293">
        <f t="shared" si="2"/>
        <v>1</v>
      </c>
      <c r="E455" s="294"/>
      <c r="F455" s="295" t="str">
        <f>IFERROR(__xludf.DUMMYFUNCTION("IF(B455="""","""",IFERROR(VLOOKUP(TO_TEXT(B455),PEDIDOS!D:I,6,0),IFERROR(VLOOKUP(B455*1,PEDIDOS!D:I,6,0),"" "")))"),"ENTREGUE")</f>
        <v>ENTREGUE</v>
      </c>
      <c r="G455" s="303"/>
      <c r="H455" s="304"/>
    </row>
    <row r="456">
      <c r="A456" s="302" t="s">
        <v>85</v>
      </c>
      <c r="B456" s="291" t="s">
        <v>3976</v>
      </c>
      <c r="C456" s="292" t="s">
        <v>48</v>
      </c>
      <c r="D456" s="293">
        <f t="shared" si="2"/>
        <v>1</v>
      </c>
      <c r="E456" s="294"/>
      <c r="F456" s="295" t="str">
        <f>IFERROR(__xludf.DUMMYFUNCTION("IF(B456="""","""",IFERROR(VLOOKUP(TO_TEXT(B456),PEDIDOS!D:I,6,0),IFERROR(VLOOKUP(B456*1,PEDIDOS!D:I,6,0),"" "")))"),"ENTREGUE")</f>
        <v>ENTREGUE</v>
      </c>
      <c r="G456" s="303"/>
      <c r="H456" s="304"/>
    </row>
    <row r="457">
      <c r="A457" s="302" t="s">
        <v>85</v>
      </c>
      <c r="B457" s="291" t="s">
        <v>7033</v>
      </c>
      <c r="C457" s="292" t="s">
        <v>48</v>
      </c>
      <c r="D457" s="293">
        <f t="shared" si="2"/>
        <v>1</v>
      </c>
      <c r="E457" s="294"/>
      <c r="F457" s="295" t="str">
        <f>IFERROR(__xludf.DUMMYFUNCTION("IF(B457="""","""",IFERROR(VLOOKUP(TO_TEXT(B457),PEDIDOS!D:I,6,0),IFERROR(VLOOKUP(B457*1,PEDIDOS!D:I,6,0),"" "")))"),"ENTREGUE")</f>
        <v>ENTREGUE</v>
      </c>
      <c r="G457" s="303"/>
      <c r="H457" s="304"/>
    </row>
    <row r="458">
      <c r="A458" s="302" t="s">
        <v>85</v>
      </c>
      <c r="B458" s="291" t="s">
        <v>8332</v>
      </c>
      <c r="C458" s="292" t="s">
        <v>48</v>
      </c>
      <c r="D458" s="293">
        <f t="shared" si="2"/>
        <v>1</v>
      </c>
      <c r="E458" s="294"/>
      <c r="F458" s="295" t="str">
        <f>IFERROR(__xludf.DUMMYFUNCTION("IF(B458="""","""",IFERROR(VLOOKUP(TO_TEXT(B458),PEDIDOS!D:I,6,0),IFERROR(VLOOKUP(B458*1,PEDIDOS!D:I,6,0),"" "")))"),"ENTREGUE")</f>
        <v>ENTREGUE</v>
      </c>
      <c r="G458" s="303"/>
      <c r="H458" s="304"/>
    </row>
    <row r="459">
      <c r="A459" s="302" t="s">
        <v>85</v>
      </c>
      <c r="B459" s="291" t="s">
        <v>8377</v>
      </c>
      <c r="C459" s="292" t="s">
        <v>48</v>
      </c>
      <c r="D459" s="293">
        <f t="shared" si="2"/>
        <v>1</v>
      </c>
      <c r="E459" s="294"/>
      <c r="F459" s="295" t="str">
        <f>IFERROR(__xludf.DUMMYFUNCTION("IF(B459="""","""",IFERROR(VLOOKUP(TO_TEXT(B459),PEDIDOS!D:I,6,0),IFERROR(VLOOKUP(B459*1,PEDIDOS!D:I,6,0),"" "")))"),"ENTREGUE")</f>
        <v>ENTREGUE</v>
      </c>
      <c r="G459" s="303"/>
      <c r="H459" s="304"/>
    </row>
    <row r="460">
      <c r="A460" s="302" t="s">
        <v>85</v>
      </c>
      <c r="B460" s="291" t="s">
        <v>4045</v>
      </c>
      <c r="C460" s="292" t="s">
        <v>48</v>
      </c>
      <c r="D460" s="293">
        <f t="shared" si="2"/>
        <v>1</v>
      </c>
      <c r="E460" s="294"/>
      <c r="F460" s="295" t="str">
        <f>IFERROR(__xludf.DUMMYFUNCTION("IF(B460="""","""",IFERROR(VLOOKUP(TO_TEXT(B460),PEDIDOS!D:I,6,0),IFERROR(VLOOKUP(B460*1,PEDIDOS!D:I,6,0),"" "")))"),"ENTREGUE")</f>
        <v>ENTREGUE</v>
      </c>
      <c r="G460" s="303"/>
      <c r="H460" s="304"/>
    </row>
    <row r="461">
      <c r="A461" s="302" t="s">
        <v>85</v>
      </c>
      <c r="B461" s="291" t="s">
        <v>8591</v>
      </c>
      <c r="C461" s="292" t="s">
        <v>48</v>
      </c>
      <c r="D461" s="293">
        <f t="shared" si="2"/>
        <v>1</v>
      </c>
      <c r="E461" s="294"/>
      <c r="F461" s="295" t="str">
        <f>IFERROR(__xludf.DUMMYFUNCTION("IF(B461="""","""",IFERROR(VLOOKUP(TO_TEXT(B461),PEDIDOS!D:I,6,0),IFERROR(VLOOKUP(B461*1,PEDIDOS!D:I,6,0),"" "")))"),"ENTREGUE")</f>
        <v>ENTREGUE</v>
      </c>
      <c r="G461" s="303"/>
      <c r="H461" s="304"/>
    </row>
    <row r="462">
      <c r="A462" s="302" t="s">
        <v>85</v>
      </c>
      <c r="B462" s="291" t="s">
        <v>3989</v>
      </c>
      <c r="C462" s="292" t="s">
        <v>48</v>
      </c>
      <c r="D462" s="293">
        <f t="shared" si="2"/>
        <v>1</v>
      </c>
      <c r="E462" s="294"/>
      <c r="F462" s="295" t="str">
        <f>IFERROR(__xludf.DUMMYFUNCTION("IF(B462="""","""",IFERROR(VLOOKUP(TO_TEXT(B462),PEDIDOS!D:I,6,0),IFERROR(VLOOKUP(B462*1,PEDIDOS!D:I,6,0),"" "")))"),"ENTREGUE")</f>
        <v>ENTREGUE</v>
      </c>
      <c r="G462" s="303"/>
      <c r="H462" s="304"/>
    </row>
    <row r="463">
      <c r="A463" s="302" t="s">
        <v>85</v>
      </c>
      <c r="B463" s="291" t="s">
        <v>6777</v>
      </c>
      <c r="C463" s="292" t="s">
        <v>48</v>
      </c>
      <c r="D463" s="293">
        <f t="shared" si="2"/>
        <v>1</v>
      </c>
      <c r="E463" s="294"/>
      <c r="F463" s="295" t="str">
        <f>IFERROR(__xludf.DUMMYFUNCTION("IF(B463="""","""",IFERROR(VLOOKUP(TO_TEXT(B463),PEDIDOS!D:I,6,0),IFERROR(VLOOKUP(B463*1,PEDIDOS!D:I,6,0),"" "")))"),"ENTREGUE")</f>
        <v>ENTREGUE</v>
      </c>
      <c r="G463" s="303"/>
      <c r="H463" s="304"/>
    </row>
    <row r="464">
      <c r="A464" s="302" t="s">
        <v>85</v>
      </c>
      <c r="B464" s="291" t="s">
        <v>6750</v>
      </c>
      <c r="C464" s="292" t="s">
        <v>48</v>
      </c>
      <c r="D464" s="293">
        <f t="shared" si="2"/>
        <v>1</v>
      </c>
      <c r="E464" s="294"/>
      <c r="F464" s="295" t="str">
        <f>IFERROR(__xludf.DUMMYFUNCTION("IF(B464="""","""",IFERROR(VLOOKUP(TO_TEXT(B464),PEDIDOS!D:I,6,0),IFERROR(VLOOKUP(B464*1,PEDIDOS!D:I,6,0),"" "")))"),"ENTREGUE")</f>
        <v>ENTREGUE</v>
      </c>
      <c r="G464" s="303"/>
      <c r="H464" s="304"/>
    </row>
    <row r="465">
      <c r="A465" s="302" t="s">
        <v>85</v>
      </c>
      <c r="B465" s="291" t="s">
        <v>6780</v>
      </c>
      <c r="C465" s="292" t="s">
        <v>48</v>
      </c>
      <c r="D465" s="293">
        <f t="shared" si="2"/>
        <v>1</v>
      </c>
      <c r="E465" s="294"/>
      <c r="F465" s="295" t="str">
        <f>IFERROR(__xludf.DUMMYFUNCTION("IF(B465="""","""",IFERROR(VLOOKUP(TO_TEXT(B465),PEDIDOS!D:I,6,0),IFERROR(VLOOKUP(B465*1,PEDIDOS!D:I,6,0),"" "")))"),"ENTREGUE")</f>
        <v>ENTREGUE</v>
      </c>
      <c r="G465" s="303"/>
      <c r="H465" s="304"/>
    </row>
    <row r="466">
      <c r="A466" s="302" t="s">
        <v>85</v>
      </c>
      <c r="B466" s="291" t="s">
        <v>7932</v>
      </c>
      <c r="C466" s="292" t="s">
        <v>48</v>
      </c>
      <c r="D466" s="293">
        <f t="shared" si="2"/>
        <v>1</v>
      </c>
      <c r="E466" s="294"/>
      <c r="F466" s="295" t="str">
        <f>IFERROR(__xludf.DUMMYFUNCTION("IF(B466="""","""",IFERROR(VLOOKUP(TO_TEXT(B466),PEDIDOS!D:I,6,0),IFERROR(VLOOKUP(B466*1,PEDIDOS!D:I,6,0),"" "")))"),"ENTREGUE")</f>
        <v>ENTREGUE</v>
      </c>
      <c r="G466" s="303"/>
      <c r="H466" s="304"/>
    </row>
    <row r="467">
      <c r="A467" s="302" t="s">
        <v>85</v>
      </c>
      <c r="B467" s="291" t="s">
        <v>3705</v>
      </c>
      <c r="C467" s="292" t="s">
        <v>48</v>
      </c>
      <c r="D467" s="293">
        <f t="shared" si="2"/>
        <v>1</v>
      </c>
      <c r="E467" s="294"/>
      <c r="F467" s="295" t="str">
        <f>IFERROR(__xludf.DUMMYFUNCTION("IF(B467="""","""",IFERROR(VLOOKUP(TO_TEXT(B467),PEDIDOS!D:I,6,0),IFERROR(VLOOKUP(B467*1,PEDIDOS!D:I,6,0),"" "")))"),"ENTREGUE")</f>
        <v>ENTREGUE</v>
      </c>
      <c r="G467" s="303"/>
      <c r="H467" s="304"/>
    </row>
    <row r="468">
      <c r="A468" s="302" t="s">
        <v>85</v>
      </c>
      <c r="B468" s="291" t="s">
        <v>7036</v>
      </c>
      <c r="C468" s="292" t="s">
        <v>48</v>
      </c>
      <c r="D468" s="293">
        <f t="shared" si="2"/>
        <v>1</v>
      </c>
      <c r="E468" s="294"/>
      <c r="F468" s="295" t="str">
        <f>IFERROR(__xludf.DUMMYFUNCTION("IF(B468="""","""",IFERROR(VLOOKUP(TO_TEXT(B468),PEDIDOS!D:I,6,0),IFERROR(VLOOKUP(B468*1,PEDIDOS!D:I,6,0),"" "")))"),"ENTREGUE")</f>
        <v>ENTREGUE</v>
      </c>
      <c r="G468" s="303"/>
      <c r="H468" s="304"/>
    </row>
    <row r="469">
      <c r="A469" s="302" t="s">
        <v>85</v>
      </c>
      <c r="B469" s="291" t="s">
        <v>7941</v>
      </c>
      <c r="C469" s="292" t="s">
        <v>48</v>
      </c>
      <c r="D469" s="293">
        <f t="shared" si="2"/>
        <v>1</v>
      </c>
      <c r="E469" s="294"/>
      <c r="F469" s="295" t="str">
        <f>IFERROR(__xludf.DUMMYFUNCTION("IF(B469="""","""",IFERROR(VLOOKUP(TO_TEXT(B469),PEDIDOS!D:I,6,0),IFERROR(VLOOKUP(B469*1,PEDIDOS!D:I,6,0),"" "")))"),"ENTREGUE")</f>
        <v>ENTREGUE</v>
      </c>
      <c r="G469" s="303"/>
      <c r="H469" s="304"/>
    </row>
    <row r="470">
      <c r="A470" s="302" t="s">
        <v>85</v>
      </c>
      <c r="B470" s="291" t="s">
        <v>7769</v>
      </c>
      <c r="C470" s="292" t="s">
        <v>48</v>
      </c>
      <c r="D470" s="293">
        <f t="shared" si="2"/>
        <v>1</v>
      </c>
      <c r="E470" s="294"/>
      <c r="F470" s="295" t="str">
        <f>IFERROR(__xludf.DUMMYFUNCTION("IF(B470="""","""",IFERROR(VLOOKUP(TO_TEXT(B470),PEDIDOS!D:I,6,0),IFERROR(VLOOKUP(B470*1,PEDIDOS!D:I,6,0),"" "")))"),"ENTREGUE")</f>
        <v>ENTREGUE</v>
      </c>
      <c r="G470" s="303"/>
      <c r="H470" s="304"/>
    </row>
    <row r="471">
      <c r="A471" s="302" t="s">
        <v>85</v>
      </c>
      <c r="B471" s="291" t="s">
        <v>9564</v>
      </c>
      <c r="C471" s="292" t="s">
        <v>48</v>
      </c>
      <c r="D471" s="293">
        <f t="shared" si="2"/>
        <v>1</v>
      </c>
      <c r="E471" s="294"/>
      <c r="F471" s="295" t="str">
        <f>IFERROR(__xludf.DUMMYFUNCTION("IF(B471="""","""",IFERROR(VLOOKUP(TO_TEXT(B471),PEDIDOS!D:I,6,0),IFERROR(VLOOKUP(B471*1,PEDIDOS!D:I,6,0),"" "")))"),"ENTREGUE")</f>
        <v>ENTREGUE</v>
      </c>
      <c r="G471" s="303"/>
      <c r="H471" s="304"/>
    </row>
    <row r="472">
      <c r="A472" s="302" t="s">
        <v>85</v>
      </c>
      <c r="B472" s="291" t="s">
        <v>7129</v>
      </c>
      <c r="C472" s="292" t="s">
        <v>48</v>
      </c>
      <c r="D472" s="293">
        <f t="shared" si="2"/>
        <v>1</v>
      </c>
      <c r="E472" s="294"/>
      <c r="F472" s="295" t="str">
        <f>IFERROR(__xludf.DUMMYFUNCTION("IF(B472="""","""",IFERROR(VLOOKUP(TO_TEXT(B472),PEDIDOS!D:I,6,0),IFERROR(VLOOKUP(B472*1,PEDIDOS!D:I,6,0),"" "")))"),"ENTREGUE")</f>
        <v>ENTREGUE</v>
      </c>
      <c r="G472" s="303"/>
      <c r="H472" s="304"/>
    </row>
    <row r="473">
      <c r="A473" s="302" t="s">
        <v>85</v>
      </c>
      <c r="B473" s="291" t="s">
        <v>7443</v>
      </c>
      <c r="C473" s="292" t="s">
        <v>48</v>
      </c>
      <c r="D473" s="293">
        <f t="shared" si="2"/>
        <v>1</v>
      </c>
      <c r="E473" s="294"/>
      <c r="F473" s="295" t="str">
        <f>IFERROR(__xludf.DUMMYFUNCTION("IF(B473="""","""",IFERROR(VLOOKUP(TO_TEXT(B473),PEDIDOS!D:I,6,0),IFERROR(VLOOKUP(B473*1,PEDIDOS!D:I,6,0),"" "")))"),"ENTREGUE")</f>
        <v>ENTREGUE</v>
      </c>
      <c r="G473" s="303"/>
      <c r="H473" s="304"/>
    </row>
    <row r="474">
      <c r="A474" s="302" t="s">
        <v>85</v>
      </c>
      <c r="B474" s="291" t="s">
        <v>10116</v>
      </c>
      <c r="C474" s="292" t="s">
        <v>48</v>
      </c>
      <c r="D474" s="293">
        <f t="shared" si="2"/>
        <v>1</v>
      </c>
      <c r="E474" s="294"/>
      <c r="F474" s="295" t="str">
        <f>IFERROR(__xludf.DUMMYFUNCTION("IF(B474="""","""",IFERROR(VLOOKUP(TO_TEXT(B474),PEDIDOS!D:I,6,0),IFERROR(VLOOKUP(B474*1,PEDIDOS!D:I,6,0),"" "")))"),"ENTREGUE")</f>
        <v>ENTREGUE</v>
      </c>
      <c r="G474" s="303"/>
      <c r="H474" s="304"/>
    </row>
    <row r="475">
      <c r="A475" s="302" t="s">
        <v>85</v>
      </c>
      <c r="B475" s="291" t="s">
        <v>4508</v>
      </c>
      <c r="C475" s="292" t="s">
        <v>48</v>
      </c>
      <c r="D475" s="293">
        <f t="shared" si="2"/>
        <v>1</v>
      </c>
      <c r="E475" s="294"/>
      <c r="F475" s="295" t="str">
        <f>IFERROR(__xludf.DUMMYFUNCTION("IF(B475="""","""",IFERROR(VLOOKUP(TO_TEXT(B475),PEDIDOS!D:I,6,0),IFERROR(VLOOKUP(B475*1,PEDIDOS!D:I,6,0),"" "")))"),"ENTREGUE")</f>
        <v>ENTREGUE</v>
      </c>
      <c r="G475" s="303"/>
      <c r="H475" s="304"/>
    </row>
    <row r="476">
      <c r="A476" s="302" t="s">
        <v>85</v>
      </c>
      <c r="B476" s="291" t="s">
        <v>7132</v>
      </c>
      <c r="C476" s="292" t="s">
        <v>48</v>
      </c>
      <c r="D476" s="293">
        <f t="shared" si="2"/>
        <v>1</v>
      </c>
      <c r="E476" s="294"/>
      <c r="F476" s="295" t="str">
        <f>IFERROR(__xludf.DUMMYFUNCTION("IF(B476="""","""",IFERROR(VLOOKUP(TO_TEXT(B476),PEDIDOS!D:I,6,0),IFERROR(VLOOKUP(B476*1,PEDIDOS!D:I,6,0),"" "")))"),"ENTREGUE")</f>
        <v>ENTREGUE</v>
      </c>
      <c r="G476" s="303"/>
      <c r="H476" s="304"/>
    </row>
    <row r="477">
      <c r="A477" s="302" t="s">
        <v>85</v>
      </c>
      <c r="B477" s="291" t="s">
        <v>6772</v>
      </c>
      <c r="C477" s="292" t="s">
        <v>48</v>
      </c>
      <c r="D477" s="293">
        <f t="shared" si="2"/>
        <v>1</v>
      </c>
      <c r="E477" s="294"/>
      <c r="F477" s="295" t="str">
        <f>IFERROR(__xludf.DUMMYFUNCTION("IF(B477="""","""",IFERROR(VLOOKUP(TO_TEXT(B477),PEDIDOS!D:I,6,0),IFERROR(VLOOKUP(B477*1,PEDIDOS!D:I,6,0),"" "")))"),"ENTREGUE")</f>
        <v>ENTREGUE</v>
      </c>
      <c r="G477" s="303"/>
      <c r="H477" s="304"/>
    </row>
    <row r="478">
      <c r="A478" s="302" t="s">
        <v>85</v>
      </c>
      <c r="B478" s="291" t="s">
        <v>6062</v>
      </c>
      <c r="C478" s="292" t="s">
        <v>48</v>
      </c>
      <c r="D478" s="293">
        <f t="shared" si="2"/>
        <v>1</v>
      </c>
      <c r="E478" s="294"/>
      <c r="F478" s="295" t="str">
        <f>IFERROR(__xludf.DUMMYFUNCTION("IF(B478="""","""",IFERROR(VLOOKUP(TO_TEXT(B478),PEDIDOS!D:I,6,0),IFERROR(VLOOKUP(B478*1,PEDIDOS!D:I,6,0),"" "")))"),"ENTREGUE")</f>
        <v>ENTREGUE</v>
      </c>
      <c r="G478" s="303"/>
      <c r="H478" s="304"/>
    </row>
    <row r="479">
      <c r="A479" s="302" t="s">
        <v>85</v>
      </c>
      <c r="B479" s="291" t="s">
        <v>3896</v>
      </c>
      <c r="C479" s="292" t="s">
        <v>48</v>
      </c>
      <c r="D479" s="293">
        <f t="shared" si="2"/>
        <v>1</v>
      </c>
      <c r="E479" s="294"/>
      <c r="F479" s="295" t="str">
        <f>IFERROR(__xludf.DUMMYFUNCTION("IF(B479="""","""",IFERROR(VLOOKUP(TO_TEXT(B479),PEDIDOS!D:I,6,0),IFERROR(VLOOKUP(B479*1,PEDIDOS!D:I,6,0),"" "")))"),"ENTREGUE")</f>
        <v>ENTREGUE</v>
      </c>
      <c r="G479" s="303"/>
      <c r="H479" s="304"/>
    </row>
    <row r="480">
      <c r="A480" s="302" t="s">
        <v>85</v>
      </c>
      <c r="B480" s="291" t="s">
        <v>6848</v>
      </c>
      <c r="C480" s="292" t="s">
        <v>48</v>
      </c>
      <c r="D480" s="293">
        <f t="shared" si="2"/>
        <v>1</v>
      </c>
      <c r="E480" s="294"/>
      <c r="F480" s="295" t="str">
        <f>IFERROR(__xludf.DUMMYFUNCTION("IF(B480="""","""",IFERROR(VLOOKUP(TO_TEXT(B480),PEDIDOS!D:I,6,0),IFERROR(VLOOKUP(B480*1,PEDIDOS!D:I,6,0),"" "")))"),"ENTREGUE")</f>
        <v>ENTREGUE</v>
      </c>
      <c r="G480" s="303"/>
      <c r="H480" s="304"/>
    </row>
    <row r="481">
      <c r="A481" s="302" t="s">
        <v>85</v>
      </c>
      <c r="B481" s="291" t="s">
        <v>6601</v>
      </c>
      <c r="C481" s="292" t="s">
        <v>48</v>
      </c>
      <c r="D481" s="293">
        <f t="shared" si="2"/>
        <v>1</v>
      </c>
      <c r="E481" s="294"/>
      <c r="F481" s="295" t="str">
        <f>IFERROR(__xludf.DUMMYFUNCTION("IF(B481="""","""",IFERROR(VLOOKUP(TO_TEXT(B481),PEDIDOS!D:I,6,0),IFERROR(VLOOKUP(B481*1,PEDIDOS!D:I,6,0),"" "")))"),"ENTREGUE")</f>
        <v>ENTREGUE</v>
      </c>
      <c r="G481" s="303"/>
      <c r="H481" s="304"/>
    </row>
    <row r="482">
      <c r="A482" s="302" t="s">
        <v>85</v>
      </c>
      <c r="B482" s="291" t="s">
        <v>7199</v>
      </c>
      <c r="C482" s="292" t="s">
        <v>48</v>
      </c>
      <c r="D482" s="293">
        <f t="shared" si="2"/>
        <v>1</v>
      </c>
      <c r="E482" s="294"/>
      <c r="F482" s="295" t="str">
        <f>IFERROR(__xludf.DUMMYFUNCTION("IF(B482="""","""",IFERROR(VLOOKUP(TO_TEXT(B482),PEDIDOS!D:I,6,0),IFERROR(VLOOKUP(B482*1,PEDIDOS!D:I,6,0),"" "")))"),"ENTREGUE")</f>
        <v>ENTREGUE</v>
      </c>
      <c r="G482" s="303"/>
      <c r="H482" s="304"/>
    </row>
    <row r="483">
      <c r="A483" s="302" t="s">
        <v>85</v>
      </c>
      <c r="B483" s="291" t="s">
        <v>7135</v>
      </c>
      <c r="C483" s="292" t="s">
        <v>48</v>
      </c>
      <c r="D483" s="293">
        <f t="shared" si="2"/>
        <v>1</v>
      </c>
      <c r="E483" s="294"/>
      <c r="F483" s="295" t="str">
        <f>IFERROR(__xludf.DUMMYFUNCTION("IF(B483="""","""",IFERROR(VLOOKUP(TO_TEXT(B483),PEDIDOS!D:I,6,0),IFERROR(VLOOKUP(B483*1,PEDIDOS!D:I,6,0),"" "")))"),"ENTREGUE")</f>
        <v>ENTREGUE</v>
      </c>
      <c r="G483" s="303"/>
      <c r="H483" s="304"/>
    </row>
    <row r="484">
      <c r="A484" s="302" t="s">
        <v>91</v>
      </c>
      <c r="B484" s="291" t="s">
        <v>3946</v>
      </c>
      <c r="C484" s="292" t="s">
        <v>48</v>
      </c>
      <c r="D484" s="293">
        <f t="shared" si="2"/>
        <v>1</v>
      </c>
      <c r="E484" s="294"/>
      <c r="F484" s="295" t="str">
        <f>IFERROR(__xludf.DUMMYFUNCTION("IF(B484="""","""",IFERROR(VLOOKUP(TO_TEXT(B484),PEDIDOS!D:I,6,0),IFERROR(VLOOKUP(B484*1,PEDIDOS!D:I,6,0),"" "")))"),"ENTREGUE")</f>
        <v>ENTREGUE</v>
      </c>
      <c r="G484" s="303"/>
      <c r="H484" s="304"/>
    </row>
    <row r="485">
      <c r="A485" s="302" t="s">
        <v>91</v>
      </c>
      <c r="B485" s="291" t="s">
        <v>3414</v>
      </c>
      <c r="C485" s="292" t="s">
        <v>48</v>
      </c>
      <c r="D485" s="293">
        <f t="shared" si="2"/>
        <v>1</v>
      </c>
      <c r="E485" s="294"/>
      <c r="F485" s="295" t="str">
        <f>IFERROR(__xludf.DUMMYFUNCTION("IF(B485="""","""",IFERROR(VLOOKUP(TO_TEXT(B485),PEDIDOS!D:I,6,0),IFERROR(VLOOKUP(B485*1,PEDIDOS!D:I,6,0),"" "")))"),"ENTREGUE")</f>
        <v>ENTREGUE</v>
      </c>
      <c r="G485" s="303"/>
      <c r="H485" s="304"/>
    </row>
    <row r="486">
      <c r="A486" s="302" t="s">
        <v>91</v>
      </c>
      <c r="B486" s="291" t="s">
        <v>5031</v>
      </c>
      <c r="C486" s="292" t="s">
        <v>48</v>
      </c>
      <c r="D486" s="293">
        <f t="shared" si="2"/>
        <v>1</v>
      </c>
      <c r="E486" s="294"/>
      <c r="F486" s="295" t="str">
        <f>IFERROR(__xludf.DUMMYFUNCTION("IF(B486="""","""",IFERROR(VLOOKUP(TO_TEXT(B486),PEDIDOS!D:I,6,0),IFERROR(VLOOKUP(B486*1,PEDIDOS!D:I,6,0),"" "")))"),"ENTREGUE")</f>
        <v>ENTREGUE</v>
      </c>
      <c r="G486" s="303"/>
      <c r="H486" s="304"/>
    </row>
    <row r="487">
      <c r="A487" s="302" t="s">
        <v>91</v>
      </c>
      <c r="B487" s="291" t="s">
        <v>4017</v>
      </c>
      <c r="C487" s="292" t="s">
        <v>48</v>
      </c>
      <c r="D487" s="293">
        <f t="shared" si="2"/>
        <v>1</v>
      </c>
      <c r="E487" s="294"/>
      <c r="F487" s="295" t="str">
        <f>IFERROR(__xludf.DUMMYFUNCTION("IF(B487="""","""",IFERROR(VLOOKUP(TO_TEXT(B487),PEDIDOS!D:I,6,0),IFERROR(VLOOKUP(B487*1,PEDIDOS!D:I,6,0),"" "")))"),"ENTREGUE")</f>
        <v>ENTREGUE</v>
      </c>
      <c r="G487" s="303"/>
      <c r="H487" s="304"/>
    </row>
    <row r="488">
      <c r="A488" s="302" t="s">
        <v>91</v>
      </c>
      <c r="B488" s="291" t="s">
        <v>4750</v>
      </c>
      <c r="C488" s="292" t="s">
        <v>48</v>
      </c>
      <c r="D488" s="293">
        <f t="shared" si="2"/>
        <v>1</v>
      </c>
      <c r="E488" s="294"/>
      <c r="F488" s="295" t="str">
        <f>IFERROR(__xludf.DUMMYFUNCTION("IF(B488="""","""",IFERROR(VLOOKUP(TO_TEXT(B488),PEDIDOS!D:I,6,0),IFERROR(VLOOKUP(B488*1,PEDIDOS!D:I,6,0),"" "")))"),"ENTREGUE")</f>
        <v>ENTREGUE</v>
      </c>
      <c r="G488" s="303"/>
      <c r="H488" s="304"/>
    </row>
    <row r="489">
      <c r="A489" s="302" t="s">
        <v>91</v>
      </c>
      <c r="B489" s="291" t="s">
        <v>6085</v>
      </c>
      <c r="C489" s="292" t="s">
        <v>48</v>
      </c>
      <c r="D489" s="293">
        <f t="shared" si="2"/>
        <v>1</v>
      </c>
      <c r="E489" s="294"/>
      <c r="F489" s="295" t="str">
        <f>IFERROR(__xludf.DUMMYFUNCTION("IF(B489="""","""",IFERROR(VLOOKUP(TO_TEXT(B489),PEDIDOS!D:I,6,0),IFERROR(VLOOKUP(B489*1,PEDIDOS!D:I,6,0),"" "")))"),"ENTREGUE")</f>
        <v>ENTREGUE</v>
      </c>
      <c r="G489" s="303"/>
      <c r="H489" s="304"/>
    </row>
    <row r="490">
      <c r="A490" s="302" t="s">
        <v>91</v>
      </c>
      <c r="B490" s="291" t="s">
        <v>5186</v>
      </c>
      <c r="C490" s="292" t="s">
        <v>48</v>
      </c>
      <c r="D490" s="293">
        <f t="shared" si="2"/>
        <v>1</v>
      </c>
      <c r="E490" s="294"/>
      <c r="F490" s="295" t="str">
        <f>IFERROR(__xludf.DUMMYFUNCTION("IF(B490="""","""",IFERROR(VLOOKUP(TO_TEXT(B490),PEDIDOS!D:I,6,0),IFERROR(VLOOKUP(B490*1,PEDIDOS!D:I,6,0),"" "")))"),"ENTREGUE")</f>
        <v>ENTREGUE</v>
      </c>
      <c r="G490" s="303"/>
      <c r="H490" s="304"/>
    </row>
    <row r="491">
      <c r="A491" s="302" t="s">
        <v>91</v>
      </c>
      <c r="B491" s="291" t="s">
        <v>4036</v>
      </c>
      <c r="C491" s="292" t="s">
        <v>48</v>
      </c>
      <c r="D491" s="293">
        <f t="shared" si="2"/>
        <v>1</v>
      </c>
      <c r="E491" s="294"/>
      <c r="F491" s="295" t="str">
        <f>IFERROR(__xludf.DUMMYFUNCTION("IF(B491="""","""",IFERROR(VLOOKUP(TO_TEXT(B491),PEDIDOS!D:I,6,0),IFERROR(VLOOKUP(B491*1,PEDIDOS!D:I,6,0),"" "")))"),"ENTREGUE")</f>
        <v>ENTREGUE</v>
      </c>
      <c r="G491" s="303"/>
      <c r="H491" s="304"/>
    </row>
    <row r="492">
      <c r="A492" s="302" t="s">
        <v>91</v>
      </c>
      <c r="B492" s="291" t="s">
        <v>5095</v>
      </c>
      <c r="C492" s="292" t="s">
        <v>48</v>
      </c>
      <c r="D492" s="293">
        <f t="shared" si="2"/>
        <v>1</v>
      </c>
      <c r="E492" s="294"/>
      <c r="F492" s="295" t="str">
        <f>IFERROR(__xludf.DUMMYFUNCTION("IF(B492="""","""",IFERROR(VLOOKUP(TO_TEXT(B492),PEDIDOS!D:I,6,0),IFERROR(VLOOKUP(B492*1,PEDIDOS!D:I,6,0),"" "")))"),"ENTREGUE")</f>
        <v>ENTREGUE</v>
      </c>
      <c r="G492" s="303"/>
      <c r="H492" s="304"/>
    </row>
    <row r="493">
      <c r="A493" s="302" t="s">
        <v>91</v>
      </c>
      <c r="B493" s="291" t="s">
        <v>3378</v>
      </c>
      <c r="C493" s="292" t="s">
        <v>48</v>
      </c>
      <c r="D493" s="293">
        <f t="shared" si="2"/>
        <v>1</v>
      </c>
      <c r="E493" s="294"/>
      <c r="F493" s="295" t="str">
        <f>IFERROR(__xludf.DUMMYFUNCTION("IF(B493="""","""",IFERROR(VLOOKUP(TO_TEXT(B493),PEDIDOS!D:I,6,0),IFERROR(VLOOKUP(B493*1,PEDIDOS!D:I,6,0),"" "")))"),"ENTREGUE")</f>
        <v>ENTREGUE</v>
      </c>
      <c r="G493" s="303"/>
      <c r="H493" s="304"/>
    </row>
    <row r="494">
      <c r="A494" s="302" t="s">
        <v>91</v>
      </c>
      <c r="B494" s="291" t="s">
        <v>4846</v>
      </c>
      <c r="C494" s="292" t="s">
        <v>48</v>
      </c>
      <c r="D494" s="293">
        <f t="shared" si="2"/>
        <v>1</v>
      </c>
      <c r="E494" s="294"/>
      <c r="F494" s="295" t="str">
        <f>IFERROR(__xludf.DUMMYFUNCTION("IF(B494="""","""",IFERROR(VLOOKUP(TO_TEXT(B494),PEDIDOS!D:I,6,0),IFERROR(VLOOKUP(B494*1,PEDIDOS!D:I,6,0),"" "")))"),"ENTREGUE")</f>
        <v>ENTREGUE</v>
      </c>
      <c r="G494" s="303"/>
      <c r="H494" s="304"/>
    </row>
    <row r="495">
      <c r="A495" s="302" t="s">
        <v>91</v>
      </c>
      <c r="B495" s="291" t="s">
        <v>4407</v>
      </c>
      <c r="C495" s="292" t="s">
        <v>48</v>
      </c>
      <c r="D495" s="293">
        <f t="shared" si="2"/>
        <v>1</v>
      </c>
      <c r="E495" s="294"/>
      <c r="F495" s="295" t="str">
        <f>IFERROR(__xludf.DUMMYFUNCTION("IF(B495="""","""",IFERROR(VLOOKUP(TO_TEXT(B495),PEDIDOS!D:I,6,0),IFERROR(VLOOKUP(B495*1,PEDIDOS!D:I,6,0),"" "")))"),"ENTREGUE")</f>
        <v>ENTREGUE</v>
      </c>
      <c r="G495" s="303"/>
      <c r="H495" s="304"/>
    </row>
    <row r="496">
      <c r="A496" s="302" t="s">
        <v>91</v>
      </c>
      <c r="B496" s="291" t="s">
        <v>8062</v>
      </c>
      <c r="C496" s="292" t="s">
        <v>48</v>
      </c>
      <c r="D496" s="293">
        <f t="shared" si="2"/>
        <v>1</v>
      </c>
      <c r="E496" s="294"/>
      <c r="F496" s="295" t="str">
        <f>IFERROR(__xludf.DUMMYFUNCTION("IF(B496="""","""",IFERROR(VLOOKUP(TO_TEXT(B496),PEDIDOS!D:I,6,0),IFERROR(VLOOKUP(B496*1,PEDIDOS!D:I,6,0),"" "")))"),"ENTREGUE")</f>
        <v>ENTREGUE</v>
      </c>
      <c r="G496" s="303"/>
      <c r="H496" s="304"/>
    </row>
    <row r="497">
      <c r="A497" s="302" t="s">
        <v>91</v>
      </c>
      <c r="B497" s="291" t="s">
        <v>3421</v>
      </c>
      <c r="C497" s="292" t="s">
        <v>48</v>
      </c>
      <c r="D497" s="293">
        <f t="shared" si="2"/>
        <v>1</v>
      </c>
      <c r="E497" s="294"/>
      <c r="F497" s="295" t="str">
        <f>IFERROR(__xludf.DUMMYFUNCTION("IF(B497="""","""",IFERROR(VLOOKUP(TO_TEXT(B497),PEDIDOS!D:I,6,0),IFERROR(VLOOKUP(B497*1,PEDIDOS!D:I,6,0),"" "")))"),"ENTREGUE")</f>
        <v>ENTREGUE</v>
      </c>
      <c r="G497" s="303"/>
      <c r="H497" s="304"/>
    </row>
    <row r="498">
      <c r="A498" s="302" t="s">
        <v>91</v>
      </c>
      <c r="B498" s="291" t="s">
        <v>3950</v>
      </c>
      <c r="C498" s="292" t="s">
        <v>48</v>
      </c>
      <c r="D498" s="293">
        <f t="shared" si="2"/>
        <v>1</v>
      </c>
      <c r="E498" s="294"/>
      <c r="F498" s="295" t="str">
        <f>IFERROR(__xludf.DUMMYFUNCTION("IF(B498="""","""",IFERROR(VLOOKUP(TO_TEXT(B498),PEDIDOS!D:I,6,0),IFERROR(VLOOKUP(B498*1,PEDIDOS!D:I,6,0),"" "")))"),"ENTREGUE")</f>
        <v>ENTREGUE</v>
      </c>
      <c r="G498" s="303"/>
      <c r="H498" s="304"/>
    </row>
    <row r="499">
      <c r="A499" s="302" t="s">
        <v>91</v>
      </c>
      <c r="B499" s="291" t="s">
        <v>4758</v>
      </c>
      <c r="C499" s="292" t="s">
        <v>48</v>
      </c>
      <c r="D499" s="293">
        <f t="shared" si="2"/>
        <v>1</v>
      </c>
      <c r="E499" s="294"/>
      <c r="F499" s="295" t="str">
        <f>IFERROR(__xludf.DUMMYFUNCTION("IF(B499="""","""",IFERROR(VLOOKUP(TO_TEXT(B499),PEDIDOS!D:I,6,0),IFERROR(VLOOKUP(B499*1,PEDIDOS!D:I,6,0),"" "")))"),"ENTREGUE")</f>
        <v>ENTREGUE</v>
      </c>
      <c r="G499" s="303"/>
      <c r="H499" s="304"/>
    </row>
    <row r="500">
      <c r="A500" s="302" t="s">
        <v>91</v>
      </c>
      <c r="B500" s="291" t="s">
        <v>4040</v>
      </c>
      <c r="C500" s="292" t="s">
        <v>48</v>
      </c>
      <c r="D500" s="293">
        <f t="shared" si="2"/>
        <v>1</v>
      </c>
      <c r="E500" s="294"/>
      <c r="F500" s="295" t="str">
        <f>IFERROR(__xludf.DUMMYFUNCTION("IF(B500="""","""",IFERROR(VLOOKUP(TO_TEXT(B500),PEDIDOS!D:I,6,0),IFERROR(VLOOKUP(B500*1,PEDIDOS!D:I,6,0),"" "")))"),"ENTREGUE")</f>
        <v>ENTREGUE</v>
      </c>
      <c r="G500" s="303"/>
      <c r="H500" s="304"/>
    </row>
    <row r="501">
      <c r="A501" s="302" t="s">
        <v>91</v>
      </c>
      <c r="B501" s="291" t="s">
        <v>11229</v>
      </c>
      <c r="C501" s="292" t="s">
        <v>48</v>
      </c>
      <c r="D501" s="293">
        <f t="shared" si="2"/>
        <v>1</v>
      </c>
      <c r="E501" s="294"/>
      <c r="F501" s="295" t="str">
        <f>IFERROR(__xludf.DUMMYFUNCTION("IF(B501="""","""",IFERROR(VLOOKUP(TO_TEXT(B501),PEDIDOS!D:I,6,0),IFERROR(VLOOKUP(B501*1,PEDIDOS!D:I,6,0),"" "")))"),"ENTREGUE")</f>
        <v>ENTREGUE</v>
      </c>
      <c r="G501" s="303"/>
      <c r="H501" s="304"/>
    </row>
    <row r="502">
      <c r="A502" s="302" t="s">
        <v>91</v>
      </c>
      <c r="B502" s="291" t="s">
        <v>4849</v>
      </c>
      <c r="C502" s="292" t="s">
        <v>48</v>
      </c>
      <c r="D502" s="293">
        <f t="shared" si="2"/>
        <v>1</v>
      </c>
      <c r="E502" s="294"/>
      <c r="F502" s="295" t="str">
        <f>IFERROR(__xludf.DUMMYFUNCTION("IF(B502="""","""",IFERROR(VLOOKUP(TO_TEXT(B502),PEDIDOS!D:I,6,0),IFERROR(VLOOKUP(B502*1,PEDIDOS!D:I,6,0),"" "")))"),"ENTREGUE")</f>
        <v>ENTREGUE</v>
      </c>
      <c r="G502" s="303"/>
      <c r="H502" s="304"/>
    </row>
    <row r="503">
      <c r="A503" s="302" t="s">
        <v>91</v>
      </c>
      <c r="B503" s="291" t="s">
        <v>4357</v>
      </c>
      <c r="C503" s="292" t="s">
        <v>48</v>
      </c>
      <c r="D503" s="293">
        <f t="shared" si="2"/>
        <v>1</v>
      </c>
      <c r="E503" s="294"/>
      <c r="F503" s="295" t="str">
        <f>IFERROR(__xludf.DUMMYFUNCTION("IF(B503="""","""",IFERROR(VLOOKUP(TO_TEXT(B503),PEDIDOS!D:I,6,0),IFERROR(VLOOKUP(B503*1,PEDIDOS!D:I,6,0),"" "")))"),"ENTREGUE")</f>
        <v>ENTREGUE</v>
      </c>
      <c r="G503" s="303"/>
      <c r="H503" s="304"/>
    </row>
    <row r="504">
      <c r="A504" s="302" t="s">
        <v>91</v>
      </c>
      <c r="B504" s="291" t="s">
        <v>3985</v>
      </c>
      <c r="C504" s="292" t="s">
        <v>48</v>
      </c>
      <c r="D504" s="293">
        <f t="shared" si="2"/>
        <v>1</v>
      </c>
      <c r="E504" s="294"/>
      <c r="F504" s="295" t="str">
        <f>IFERROR(__xludf.DUMMYFUNCTION("IF(B504="""","""",IFERROR(VLOOKUP(TO_TEXT(B504),PEDIDOS!D:I,6,0),IFERROR(VLOOKUP(B504*1,PEDIDOS!D:I,6,0),"" "")))"),"ENTREGUE")</f>
        <v>ENTREGUE</v>
      </c>
      <c r="G504" s="303"/>
      <c r="H504" s="304"/>
    </row>
    <row r="505">
      <c r="A505" s="302" t="s">
        <v>91</v>
      </c>
      <c r="B505" s="291" t="s">
        <v>3624</v>
      </c>
      <c r="C505" s="292" t="s">
        <v>48</v>
      </c>
      <c r="D505" s="293">
        <f t="shared" si="2"/>
        <v>1</v>
      </c>
      <c r="E505" s="294"/>
      <c r="F505" s="295" t="str">
        <f>IFERROR(__xludf.DUMMYFUNCTION("IF(B505="""","""",IFERROR(VLOOKUP(TO_TEXT(B505),PEDIDOS!D:I,6,0),IFERROR(VLOOKUP(B505*1,PEDIDOS!D:I,6,0),"" "")))"),"ENTREGUE")</f>
        <v>ENTREGUE</v>
      </c>
      <c r="G505" s="303"/>
      <c r="H505" s="304"/>
    </row>
    <row r="506">
      <c r="A506" s="302" t="s">
        <v>91</v>
      </c>
      <c r="B506" s="291" t="s">
        <v>4775</v>
      </c>
      <c r="C506" s="292" t="s">
        <v>48</v>
      </c>
      <c r="D506" s="293">
        <f t="shared" si="2"/>
        <v>1</v>
      </c>
      <c r="E506" s="294"/>
      <c r="F506" s="295" t="str">
        <f>IFERROR(__xludf.DUMMYFUNCTION("IF(B506="""","""",IFERROR(VLOOKUP(TO_TEXT(B506),PEDIDOS!D:I,6,0),IFERROR(VLOOKUP(B506*1,PEDIDOS!D:I,6,0),"" "")))"),"ENTREGUE")</f>
        <v>ENTREGUE</v>
      </c>
      <c r="G506" s="303"/>
      <c r="H506" s="304"/>
    </row>
    <row r="507">
      <c r="A507" s="302" t="s">
        <v>91</v>
      </c>
      <c r="B507" s="291" t="s">
        <v>1149</v>
      </c>
      <c r="C507" s="292" t="s">
        <v>48</v>
      </c>
      <c r="D507" s="293">
        <f t="shared" si="2"/>
        <v>1</v>
      </c>
      <c r="E507" s="294"/>
      <c r="F507" s="295" t="str">
        <f>IFERROR(__xludf.DUMMYFUNCTION("IF(B507="""","""",IFERROR(VLOOKUP(TO_TEXT(B507),PEDIDOS!D:I,6,0),IFERROR(VLOOKUP(B507*1,PEDIDOS!D:I,6,0),"" "")))"),"ENTREGUE")</f>
        <v>ENTREGUE</v>
      </c>
      <c r="G507" s="303"/>
      <c r="H507" s="304"/>
    </row>
    <row r="508">
      <c r="A508" s="302" t="s">
        <v>91</v>
      </c>
      <c r="B508" s="291" t="s">
        <v>3662</v>
      </c>
      <c r="C508" s="292" t="s">
        <v>48</v>
      </c>
      <c r="D508" s="293">
        <f t="shared" si="2"/>
        <v>1</v>
      </c>
      <c r="E508" s="294"/>
      <c r="F508" s="295" t="str">
        <f>IFERROR(__xludf.DUMMYFUNCTION("IF(B508="""","""",IFERROR(VLOOKUP(TO_TEXT(B508),PEDIDOS!D:I,6,0),IFERROR(VLOOKUP(B508*1,PEDIDOS!D:I,6,0),"" "")))"),"ENTREGUE")</f>
        <v>ENTREGUE</v>
      </c>
      <c r="G508" s="303"/>
      <c r="H508" s="304"/>
    </row>
    <row r="509">
      <c r="A509" s="302" t="s">
        <v>91</v>
      </c>
      <c r="B509" s="291" t="s">
        <v>5429</v>
      </c>
      <c r="C509" s="292" t="s">
        <v>48</v>
      </c>
      <c r="D509" s="293">
        <f t="shared" si="2"/>
        <v>1</v>
      </c>
      <c r="E509" s="294"/>
      <c r="F509" s="295" t="str">
        <f>IFERROR(__xludf.DUMMYFUNCTION("IF(B509="""","""",IFERROR(VLOOKUP(TO_TEXT(B509),PEDIDOS!D:I,6,0),IFERROR(VLOOKUP(B509*1,PEDIDOS!D:I,6,0),"" "")))"),"ENTREGUE")</f>
        <v>ENTREGUE</v>
      </c>
      <c r="G509" s="303"/>
      <c r="H509" s="304"/>
    </row>
    <row r="510">
      <c r="A510" s="302" t="s">
        <v>91</v>
      </c>
      <c r="B510" s="291" t="s">
        <v>5422</v>
      </c>
      <c r="C510" s="292" t="s">
        <v>48</v>
      </c>
      <c r="D510" s="293">
        <f t="shared" si="2"/>
        <v>1</v>
      </c>
      <c r="E510" s="294"/>
      <c r="F510" s="295" t="str">
        <f>IFERROR(__xludf.DUMMYFUNCTION("IF(B510="""","""",IFERROR(VLOOKUP(TO_TEXT(B510),PEDIDOS!D:I,6,0),IFERROR(VLOOKUP(B510*1,PEDIDOS!D:I,6,0),"" "")))"),"ENTREGUE")</f>
        <v>ENTREGUE</v>
      </c>
      <c r="G510" s="303"/>
      <c r="H510" s="304"/>
    </row>
    <row r="511">
      <c r="A511" s="302" t="s">
        <v>91</v>
      </c>
      <c r="B511" s="291" t="s">
        <v>90</v>
      </c>
      <c r="C511" s="292" t="s">
        <v>48</v>
      </c>
      <c r="D511" s="293">
        <f t="shared" si="2"/>
        <v>1</v>
      </c>
      <c r="E511" s="294"/>
      <c r="F511" s="295" t="str">
        <f>IFERROR(__xludf.DUMMYFUNCTION("IF(B511="""","""",IFERROR(VLOOKUP(TO_TEXT(B511),PEDIDOS!D:I,6,0),IFERROR(VLOOKUP(B511*1,PEDIDOS!D:I,6,0),"" "")))"),"ENTREGUE")</f>
        <v>ENTREGUE</v>
      </c>
      <c r="G511" s="303"/>
      <c r="H511" s="304"/>
    </row>
    <row r="512">
      <c r="A512" s="302" t="s">
        <v>91</v>
      </c>
      <c r="B512" s="291" t="s">
        <v>4109</v>
      </c>
      <c r="C512" s="292" t="s">
        <v>48</v>
      </c>
      <c r="D512" s="293">
        <f t="shared" si="2"/>
        <v>1</v>
      </c>
      <c r="E512" s="294"/>
      <c r="F512" s="295" t="str">
        <f>IFERROR(__xludf.DUMMYFUNCTION("IF(B512="""","""",IFERROR(VLOOKUP(TO_TEXT(B512),PEDIDOS!D:I,6,0),IFERROR(VLOOKUP(B512*1,PEDIDOS!D:I,6,0),"" "")))"),"ENTREGUE")</f>
        <v>ENTREGUE</v>
      </c>
      <c r="G512" s="303"/>
      <c r="H512" s="304"/>
    </row>
    <row r="513">
      <c r="A513" s="302" t="s">
        <v>91</v>
      </c>
      <c r="B513" s="291" t="s">
        <v>4922</v>
      </c>
      <c r="C513" s="292" t="s">
        <v>48</v>
      </c>
      <c r="D513" s="293">
        <f t="shared" si="2"/>
        <v>1</v>
      </c>
      <c r="E513" s="294"/>
      <c r="F513" s="295" t="str">
        <f>IFERROR(__xludf.DUMMYFUNCTION("IF(B513="""","""",IFERROR(VLOOKUP(TO_TEXT(B513),PEDIDOS!D:I,6,0),IFERROR(VLOOKUP(B513*1,PEDIDOS!D:I,6,0),"" "")))"),"ENTREGUE")</f>
        <v>ENTREGUE</v>
      </c>
      <c r="G513" s="303"/>
      <c r="H513" s="304"/>
    </row>
    <row r="514">
      <c r="A514" s="302" t="s">
        <v>91</v>
      </c>
      <c r="B514" s="291" t="s">
        <v>4309</v>
      </c>
      <c r="C514" s="292" t="s">
        <v>48</v>
      </c>
      <c r="D514" s="293">
        <f t="shared" si="2"/>
        <v>1</v>
      </c>
      <c r="E514" s="294"/>
      <c r="F514" s="295" t="str">
        <f>IFERROR(__xludf.DUMMYFUNCTION("IF(B514="""","""",IFERROR(VLOOKUP(TO_TEXT(B514),PEDIDOS!D:I,6,0),IFERROR(VLOOKUP(B514*1,PEDIDOS!D:I,6,0),"" "")))"),"ENTREGUE")</f>
        <v>ENTREGUE</v>
      </c>
      <c r="G514" s="303"/>
      <c r="H514" s="304"/>
    </row>
    <row r="515">
      <c r="A515" s="302" t="s">
        <v>91</v>
      </c>
      <c r="B515" s="291" t="s">
        <v>3666</v>
      </c>
      <c r="C515" s="292" t="s">
        <v>48</v>
      </c>
      <c r="D515" s="293">
        <f t="shared" si="2"/>
        <v>1</v>
      </c>
      <c r="E515" s="294"/>
      <c r="F515" s="295" t="str">
        <f>IFERROR(__xludf.DUMMYFUNCTION("IF(B515="""","""",IFERROR(VLOOKUP(TO_TEXT(B515),PEDIDOS!D:I,6,0),IFERROR(VLOOKUP(B515*1,PEDIDOS!D:I,6,0),"" "")))"),"ENTREGUE")</f>
        <v>ENTREGUE</v>
      </c>
      <c r="G515" s="303"/>
      <c r="H515" s="304"/>
    </row>
    <row r="516">
      <c r="A516" s="302" t="s">
        <v>91</v>
      </c>
      <c r="B516" s="291" t="s">
        <v>5241</v>
      </c>
      <c r="C516" s="292" t="s">
        <v>48</v>
      </c>
      <c r="D516" s="293">
        <f t="shared" si="2"/>
        <v>1</v>
      </c>
      <c r="E516" s="294"/>
      <c r="F516" s="295" t="str">
        <f>IFERROR(__xludf.DUMMYFUNCTION("IF(B516="""","""",IFERROR(VLOOKUP(TO_TEXT(B516),PEDIDOS!D:I,6,0),IFERROR(VLOOKUP(B516*1,PEDIDOS!D:I,6,0),"" "")))"),"ENTREGUE")</f>
        <v>ENTREGUE</v>
      </c>
      <c r="G516" s="303"/>
      <c r="H516" s="304"/>
    </row>
    <row r="517">
      <c r="A517" s="302" t="s">
        <v>91</v>
      </c>
      <c r="B517" s="291" t="s">
        <v>7552</v>
      </c>
      <c r="C517" s="292" t="s">
        <v>48</v>
      </c>
      <c r="D517" s="293">
        <f t="shared" si="2"/>
        <v>1</v>
      </c>
      <c r="E517" s="294"/>
      <c r="F517" s="295" t="str">
        <f>IFERROR(__xludf.DUMMYFUNCTION("IF(B517="""","""",IFERROR(VLOOKUP(TO_TEXT(B517),PEDIDOS!D:I,6,0),IFERROR(VLOOKUP(B517*1,PEDIDOS!D:I,6,0),"" "")))"),"ENTREGUE")</f>
        <v>ENTREGUE</v>
      </c>
      <c r="G517" s="303"/>
      <c r="H517" s="304"/>
    </row>
    <row r="518">
      <c r="A518" s="302" t="s">
        <v>91</v>
      </c>
      <c r="B518" s="291" t="s">
        <v>3418</v>
      </c>
      <c r="C518" s="292" t="s">
        <v>48</v>
      </c>
      <c r="D518" s="293">
        <f t="shared" si="2"/>
        <v>1</v>
      </c>
      <c r="E518" s="294"/>
      <c r="F518" s="295" t="str">
        <f>IFERROR(__xludf.DUMMYFUNCTION("IF(B518="""","""",IFERROR(VLOOKUP(TO_TEXT(B518),PEDIDOS!D:I,6,0),IFERROR(VLOOKUP(B518*1,PEDIDOS!D:I,6,0),"" "")))"),"ENTREGUE")</f>
        <v>ENTREGUE</v>
      </c>
      <c r="G518" s="303"/>
      <c r="H518" s="304"/>
    </row>
    <row r="519">
      <c r="A519" s="302" t="s">
        <v>91</v>
      </c>
      <c r="B519" s="291" t="s">
        <v>3942</v>
      </c>
      <c r="C519" s="292" t="s">
        <v>48</v>
      </c>
      <c r="D519" s="293">
        <f t="shared" si="2"/>
        <v>1</v>
      </c>
      <c r="E519" s="294"/>
      <c r="F519" s="295" t="str">
        <f>IFERROR(__xludf.DUMMYFUNCTION("IF(B519="""","""",IFERROR(VLOOKUP(TO_TEXT(B519),PEDIDOS!D:I,6,0),IFERROR(VLOOKUP(B519*1,PEDIDOS!D:I,6,0),"" "")))"),"ENTREGUE")</f>
        <v>ENTREGUE</v>
      </c>
      <c r="G519" s="303"/>
      <c r="H519" s="304"/>
    </row>
    <row r="520">
      <c r="A520" s="302" t="s">
        <v>91</v>
      </c>
      <c r="B520" s="291" t="s">
        <v>4588</v>
      </c>
      <c r="C520" s="292" t="s">
        <v>48</v>
      </c>
      <c r="D520" s="293">
        <f t="shared" si="2"/>
        <v>1</v>
      </c>
      <c r="E520" s="294"/>
      <c r="F520" s="295" t="str">
        <f>IFERROR(__xludf.DUMMYFUNCTION("IF(B520="""","""",IFERROR(VLOOKUP(TO_TEXT(B520),PEDIDOS!D:I,6,0),IFERROR(VLOOKUP(B520*1,PEDIDOS!D:I,6,0),"" "")))"),"ENTREGUE")</f>
        <v>ENTREGUE</v>
      </c>
      <c r="G520" s="303"/>
      <c r="H520" s="304"/>
    </row>
    <row r="521">
      <c r="A521" s="302" t="s">
        <v>91</v>
      </c>
      <c r="B521" s="291" t="s">
        <v>4902</v>
      </c>
      <c r="C521" s="292" t="s">
        <v>48</v>
      </c>
      <c r="D521" s="293">
        <f t="shared" si="2"/>
        <v>1</v>
      </c>
      <c r="E521" s="294"/>
      <c r="F521" s="295" t="str">
        <f>IFERROR(__xludf.DUMMYFUNCTION("IF(B521="""","""",IFERROR(VLOOKUP(TO_TEXT(B521),PEDIDOS!D:I,6,0),IFERROR(VLOOKUP(B521*1,PEDIDOS!D:I,6,0),"" "")))"),"ENTREGUE")</f>
        <v>ENTREGUE</v>
      </c>
      <c r="G521" s="303"/>
      <c r="H521" s="304"/>
    </row>
    <row r="522">
      <c r="A522" s="302" t="s">
        <v>91</v>
      </c>
      <c r="B522" s="291" t="s">
        <v>5273</v>
      </c>
      <c r="C522" s="292" t="s">
        <v>48</v>
      </c>
      <c r="D522" s="293">
        <f t="shared" si="2"/>
        <v>1</v>
      </c>
      <c r="E522" s="294"/>
      <c r="F522" s="295" t="str">
        <f>IFERROR(__xludf.DUMMYFUNCTION("IF(B522="""","""",IFERROR(VLOOKUP(TO_TEXT(B522),PEDIDOS!D:I,6,0),IFERROR(VLOOKUP(B522*1,PEDIDOS!D:I,6,0),"" "")))"),"ENTREGUE")</f>
        <v>ENTREGUE</v>
      </c>
      <c r="G522" s="303"/>
      <c r="H522" s="304"/>
    </row>
    <row r="523">
      <c r="A523" s="302" t="s">
        <v>91</v>
      </c>
      <c r="B523" s="291" t="s">
        <v>5269</v>
      </c>
      <c r="C523" s="292" t="s">
        <v>48</v>
      </c>
      <c r="D523" s="293">
        <f t="shared" si="2"/>
        <v>1</v>
      </c>
      <c r="E523" s="294"/>
      <c r="F523" s="295" t="str">
        <f>IFERROR(__xludf.DUMMYFUNCTION("IF(B523="""","""",IFERROR(VLOOKUP(TO_TEXT(B523),PEDIDOS!D:I,6,0),IFERROR(VLOOKUP(B523*1,PEDIDOS!D:I,6,0),"" "")))"),"ENTREGUE")</f>
        <v>ENTREGUE</v>
      </c>
      <c r="G523" s="303"/>
      <c r="H523" s="304"/>
    </row>
    <row r="524">
      <c r="A524" s="302" t="s">
        <v>91</v>
      </c>
      <c r="B524" s="291" t="s">
        <v>4050</v>
      </c>
      <c r="C524" s="292" t="s">
        <v>48</v>
      </c>
      <c r="D524" s="293">
        <f t="shared" si="2"/>
        <v>1</v>
      </c>
      <c r="E524" s="294"/>
      <c r="F524" s="295" t="str">
        <f>IFERROR(__xludf.DUMMYFUNCTION("IF(B524="""","""",IFERROR(VLOOKUP(TO_TEXT(B524),PEDIDOS!D:I,6,0),IFERROR(VLOOKUP(B524*1,PEDIDOS!D:I,6,0),"" "")))"),"ENTREGUE")</f>
        <v>ENTREGUE</v>
      </c>
      <c r="G524" s="303"/>
      <c r="H524" s="304"/>
    </row>
    <row r="525">
      <c r="A525" s="302" t="s">
        <v>91</v>
      </c>
      <c r="B525" s="291" t="s">
        <v>3867</v>
      </c>
      <c r="C525" s="292" t="s">
        <v>48</v>
      </c>
      <c r="D525" s="293">
        <f t="shared" si="2"/>
        <v>1</v>
      </c>
      <c r="E525" s="294"/>
      <c r="F525" s="295" t="str">
        <f>IFERROR(__xludf.DUMMYFUNCTION("IF(B525="""","""",IFERROR(VLOOKUP(TO_TEXT(B525),PEDIDOS!D:I,6,0),IFERROR(VLOOKUP(B525*1,PEDIDOS!D:I,6,0),"" "")))"),"ENTREGUE")</f>
        <v>ENTREGUE</v>
      </c>
      <c r="G525" s="303"/>
      <c r="H525" s="304"/>
    </row>
    <row r="526">
      <c r="A526" s="302" t="s">
        <v>91</v>
      </c>
      <c r="B526" s="291" t="s">
        <v>4366</v>
      </c>
      <c r="C526" s="292" t="s">
        <v>48</v>
      </c>
      <c r="D526" s="293">
        <f t="shared" si="2"/>
        <v>1</v>
      </c>
      <c r="E526" s="294"/>
      <c r="F526" s="295" t="str">
        <f>IFERROR(__xludf.DUMMYFUNCTION("IF(B526="""","""",IFERROR(VLOOKUP(TO_TEXT(B526),PEDIDOS!D:I,6,0),IFERROR(VLOOKUP(B526*1,PEDIDOS!D:I,6,0),"" "")))"),"ENTREGUE")</f>
        <v>ENTREGUE</v>
      </c>
      <c r="G526" s="303"/>
      <c r="H526" s="304"/>
    </row>
    <row r="527">
      <c r="A527" s="302" t="s">
        <v>91</v>
      </c>
      <c r="B527" s="291" t="s">
        <v>4198</v>
      </c>
      <c r="C527" s="292" t="s">
        <v>48</v>
      </c>
      <c r="D527" s="293">
        <f t="shared" si="2"/>
        <v>1</v>
      </c>
      <c r="E527" s="294"/>
      <c r="F527" s="295" t="str">
        <f>IFERROR(__xludf.DUMMYFUNCTION("IF(B527="""","""",IFERROR(VLOOKUP(TO_TEXT(B527),PEDIDOS!D:I,6,0),IFERROR(VLOOKUP(B527*1,PEDIDOS!D:I,6,0),"" "")))"),"ENTREGUE")</f>
        <v>ENTREGUE</v>
      </c>
      <c r="G527" s="303"/>
      <c r="H527" s="304"/>
    </row>
    <row r="528">
      <c r="A528" s="302" t="s">
        <v>91</v>
      </c>
      <c r="B528" s="291" t="s">
        <v>4411</v>
      </c>
      <c r="C528" s="292" t="s">
        <v>48</v>
      </c>
      <c r="D528" s="293">
        <f t="shared" si="2"/>
        <v>1</v>
      </c>
      <c r="E528" s="294"/>
      <c r="F528" s="295" t="str">
        <f>IFERROR(__xludf.DUMMYFUNCTION("IF(B528="""","""",IFERROR(VLOOKUP(TO_TEXT(B528),PEDIDOS!D:I,6,0),IFERROR(VLOOKUP(B528*1,PEDIDOS!D:I,6,0),"" "")))"),"ENTREGUE")</f>
        <v>ENTREGUE</v>
      </c>
      <c r="G528" s="303"/>
      <c r="H528" s="304"/>
    </row>
    <row r="529">
      <c r="A529" s="302" t="s">
        <v>91</v>
      </c>
      <c r="B529" s="291" t="s">
        <v>4511</v>
      </c>
      <c r="C529" s="292" t="s">
        <v>48</v>
      </c>
      <c r="D529" s="293">
        <f t="shared" si="2"/>
        <v>1</v>
      </c>
      <c r="E529" s="294"/>
      <c r="F529" s="295" t="str">
        <f>IFERROR(__xludf.DUMMYFUNCTION("IF(B529="""","""",IFERROR(VLOOKUP(TO_TEXT(B529),PEDIDOS!D:I,6,0),IFERROR(VLOOKUP(B529*1,PEDIDOS!D:I,6,0),"" "")))"),"ENTREGUE")</f>
        <v>ENTREGUE</v>
      </c>
      <c r="G529" s="303"/>
      <c r="H529" s="304"/>
    </row>
    <row r="530">
      <c r="A530" s="302" t="s">
        <v>91</v>
      </c>
      <c r="B530" s="291" t="s">
        <v>5005</v>
      </c>
      <c r="C530" s="292" t="s">
        <v>48</v>
      </c>
      <c r="D530" s="293">
        <f t="shared" si="2"/>
        <v>1</v>
      </c>
      <c r="E530" s="294"/>
      <c r="F530" s="295" t="str">
        <f>IFERROR(__xludf.DUMMYFUNCTION("IF(B530="""","""",IFERROR(VLOOKUP(TO_TEXT(B530),PEDIDOS!D:I,6,0),IFERROR(VLOOKUP(B530*1,PEDIDOS!D:I,6,0),"" "")))"),"ENTREGUE")</f>
        <v>ENTREGUE</v>
      </c>
      <c r="G530" s="303"/>
      <c r="H530" s="304"/>
    </row>
    <row r="531">
      <c r="A531" s="302" t="s">
        <v>91</v>
      </c>
      <c r="B531" s="291" t="s">
        <v>7730</v>
      </c>
      <c r="C531" s="292" t="s">
        <v>48</v>
      </c>
      <c r="D531" s="293">
        <f t="shared" si="2"/>
        <v>1</v>
      </c>
      <c r="E531" s="294"/>
      <c r="F531" s="295" t="str">
        <f>IFERROR(__xludf.DUMMYFUNCTION("IF(B531="""","""",IFERROR(VLOOKUP(TO_TEXT(B531),PEDIDOS!D:I,6,0),IFERROR(VLOOKUP(B531*1,PEDIDOS!D:I,6,0),"" "")))"),"ENTREGUE")</f>
        <v>ENTREGUE</v>
      </c>
      <c r="G531" s="303"/>
      <c r="H531" s="304"/>
    </row>
    <row r="532">
      <c r="A532" s="302" t="s">
        <v>91</v>
      </c>
      <c r="B532" s="291" t="s">
        <v>4242</v>
      </c>
      <c r="C532" s="292" t="s">
        <v>48</v>
      </c>
      <c r="D532" s="293">
        <f t="shared" si="2"/>
        <v>1</v>
      </c>
      <c r="E532" s="294"/>
      <c r="F532" s="295" t="str">
        <f>IFERROR(__xludf.DUMMYFUNCTION("IF(B532="""","""",IFERROR(VLOOKUP(TO_TEXT(B532),PEDIDOS!D:I,6,0),IFERROR(VLOOKUP(B532*1,PEDIDOS!D:I,6,0),"" "")))"),"ENTREGUE")</f>
        <v>ENTREGUE</v>
      </c>
      <c r="G532" s="303"/>
      <c r="H532" s="304"/>
    </row>
    <row r="533">
      <c r="A533" s="302" t="s">
        <v>91</v>
      </c>
      <c r="B533" s="291" t="s">
        <v>5314</v>
      </c>
      <c r="C533" s="292" t="s">
        <v>48</v>
      </c>
      <c r="D533" s="293">
        <f t="shared" si="2"/>
        <v>1</v>
      </c>
      <c r="E533" s="294"/>
      <c r="F533" s="295" t="str">
        <f>IFERROR(__xludf.DUMMYFUNCTION("IF(B533="""","""",IFERROR(VLOOKUP(TO_TEXT(B533),PEDIDOS!D:I,6,0),IFERROR(VLOOKUP(B533*1,PEDIDOS!D:I,6,0),"" "")))"),"ENTREGUE")</f>
        <v>ENTREGUE</v>
      </c>
      <c r="G533" s="303"/>
      <c r="H533" s="304"/>
    </row>
    <row r="534">
      <c r="A534" s="302" t="s">
        <v>112</v>
      </c>
      <c r="B534" s="291" t="s">
        <v>3235</v>
      </c>
      <c r="C534" s="292" t="s">
        <v>48</v>
      </c>
      <c r="D534" s="293">
        <f t="shared" si="2"/>
        <v>1</v>
      </c>
      <c r="E534" s="294"/>
      <c r="F534" s="295" t="str">
        <f>IFERROR(__xludf.DUMMYFUNCTION("IF(B534="""","""",IFERROR(VLOOKUP(TO_TEXT(B534),PEDIDOS!D:I,6,0),IFERROR(VLOOKUP(B534*1,PEDIDOS!D:I,6,0),"" "")))"),"ENTREGUE")</f>
        <v>ENTREGUE</v>
      </c>
      <c r="G534" s="303"/>
      <c r="H534" s="304"/>
    </row>
    <row r="535">
      <c r="A535" s="302" t="s">
        <v>112</v>
      </c>
      <c r="B535" s="291" t="s">
        <v>3889</v>
      </c>
      <c r="C535" s="292" t="s">
        <v>48</v>
      </c>
      <c r="D535" s="293">
        <f t="shared" si="2"/>
        <v>1</v>
      </c>
      <c r="E535" s="294"/>
      <c r="F535" s="295" t="str">
        <f>IFERROR(__xludf.DUMMYFUNCTION("IF(B535="""","""",IFERROR(VLOOKUP(TO_TEXT(B535),PEDIDOS!D:I,6,0),IFERROR(VLOOKUP(B535*1,PEDIDOS!D:I,6,0),"" "")))"),"ENTREGUE")</f>
        <v>ENTREGUE</v>
      </c>
      <c r="G535" s="303"/>
      <c r="H535" s="304"/>
    </row>
    <row r="536">
      <c r="A536" s="302" t="s">
        <v>112</v>
      </c>
      <c r="B536" s="291" t="s">
        <v>3539</v>
      </c>
      <c r="C536" s="292" t="s">
        <v>48</v>
      </c>
      <c r="D536" s="293">
        <f t="shared" si="2"/>
        <v>1</v>
      </c>
      <c r="E536" s="294"/>
      <c r="F536" s="295" t="str">
        <f>IFERROR(__xludf.DUMMYFUNCTION("IF(B536="""","""",IFERROR(VLOOKUP(TO_TEXT(B536),PEDIDOS!D:I,6,0),IFERROR(VLOOKUP(B536*1,PEDIDOS!D:I,6,0),"" "")))"),"ENTREGUE")</f>
        <v>ENTREGUE</v>
      </c>
      <c r="G536" s="303"/>
      <c r="H536" s="304"/>
    </row>
    <row r="537">
      <c r="A537" s="302" t="s">
        <v>112</v>
      </c>
      <c r="B537" s="291" t="s">
        <v>3408</v>
      </c>
      <c r="C537" s="292" t="s">
        <v>48</v>
      </c>
      <c r="D537" s="293">
        <f t="shared" si="2"/>
        <v>1</v>
      </c>
      <c r="E537" s="294"/>
      <c r="F537" s="295" t="str">
        <f>IFERROR(__xludf.DUMMYFUNCTION("IF(B537="""","""",IFERROR(VLOOKUP(TO_TEXT(B537),PEDIDOS!D:I,6,0),IFERROR(VLOOKUP(B537*1,PEDIDOS!D:I,6,0),"" "")))"),"ENTREGUE")</f>
        <v>ENTREGUE</v>
      </c>
      <c r="G537" s="303"/>
      <c r="H537" s="304"/>
    </row>
    <row r="538">
      <c r="A538" s="302" t="s">
        <v>112</v>
      </c>
      <c r="B538" s="291" t="s">
        <v>3405</v>
      </c>
      <c r="C538" s="292" t="s">
        <v>48</v>
      </c>
      <c r="D538" s="293">
        <f t="shared" si="2"/>
        <v>1</v>
      </c>
      <c r="E538" s="294"/>
      <c r="F538" s="295" t="str">
        <f>IFERROR(__xludf.DUMMYFUNCTION("IF(B538="""","""",IFERROR(VLOOKUP(TO_TEXT(B538),PEDIDOS!D:I,6,0),IFERROR(VLOOKUP(B538*1,PEDIDOS!D:I,6,0),"" "")))"),"ENTREGUE")</f>
        <v>ENTREGUE</v>
      </c>
      <c r="G538" s="303"/>
      <c r="H538" s="304"/>
    </row>
    <row r="539">
      <c r="A539" s="302" t="s">
        <v>112</v>
      </c>
      <c r="B539" s="291" t="s">
        <v>1338</v>
      </c>
      <c r="C539" s="292" t="s">
        <v>48</v>
      </c>
      <c r="D539" s="293">
        <f t="shared" si="2"/>
        <v>1</v>
      </c>
      <c r="E539" s="294"/>
      <c r="F539" s="295" t="str">
        <f>IFERROR(__xludf.DUMMYFUNCTION("IF(B539="""","""",IFERROR(VLOOKUP(TO_TEXT(B539),PEDIDOS!D:I,6,0),IFERROR(VLOOKUP(B539*1,PEDIDOS!D:I,6,0),"" "")))"),"ENTREGUE")</f>
        <v>ENTREGUE</v>
      </c>
      <c r="G539" s="303"/>
      <c r="H539" s="304"/>
    </row>
    <row r="540">
      <c r="A540" s="302" t="s">
        <v>112</v>
      </c>
      <c r="B540" s="291" t="s">
        <v>3820</v>
      </c>
      <c r="C540" s="292" t="s">
        <v>48</v>
      </c>
      <c r="D540" s="293">
        <f t="shared" si="2"/>
        <v>1</v>
      </c>
      <c r="E540" s="294"/>
      <c r="F540" s="295" t="str">
        <f>IFERROR(__xludf.DUMMYFUNCTION("IF(B540="""","""",IFERROR(VLOOKUP(TO_TEXT(B540),PEDIDOS!D:I,6,0),IFERROR(VLOOKUP(B540*1,PEDIDOS!D:I,6,0),"" "")))"),"ENTREGUE")</f>
        <v>ENTREGUE</v>
      </c>
      <c r="G540" s="303"/>
      <c r="H540" s="304"/>
    </row>
    <row r="541">
      <c r="A541" s="302" t="s">
        <v>112</v>
      </c>
      <c r="B541" s="291" t="s">
        <v>3122</v>
      </c>
      <c r="C541" s="292" t="s">
        <v>48</v>
      </c>
      <c r="D541" s="293">
        <f t="shared" si="2"/>
        <v>1</v>
      </c>
      <c r="E541" s="294"/>
      <c r="F541" s="295" t="str">
        <f>IFERROR(__xludf.DUMMYFUNCTION("IF(B541="""","""",IFERROR(VLOOKUP(TO_TEXT(B541),PEDIDOS!D:I,6,0),IFERROR(VLOOKUP(B541*1,PEDIDOS!D:I,6,0),"" "")))"),"ENTREGUE")</f>
        <v>ENTREGUE</v>
      </c>
      <c r="G541" s="303"/>
      <c r="H541" s="304"/>
    </row>
    <row r="542">
      <c r="A542" s="302" t="s">
        <v>112</v>
      </c>
      <c r="B542" s="291" t="s">
        <v>3241</v>
      </c>
      <c r="C542" s="292" t="s">
        <v>48</v>
      </c>
      <c r="D542" s="293">
        <f t="shared" si="2"/>
        <v>1</v>
      </c>
      <c r="E542" s="294"/>
      <c r="F542" s="295" t="str">
        <f>IFERROR(__xludf.DUMMYFUNCTION("IF(B542="""","""",IFERROR(VLOOKUP(TO_TEXT(B542),PEDIDOS!D:I,6,0),IFERROR(VLOOKUP(B542*1,PEDIDOS!D:I,6,0),"" "")))"),"ENTREGUE")</f>
        <v>ENTREGUE</v>
      </c>
      <c r="G542" s="303"/>
      <c r="H542" s="304"/>
    </row>
    <row r="543">
      <c r="A543" s="302" t="s">
        <v>112</v>
      </c>
      <c r="B543" s="291" t="s">
        <v>3231</v>
      </c>
      <c r="C543" s="292" t="s">
        <v>48</v>
      </c>
      <c r="D543" s="293">
        <f t="shared" si="2"/>
        <v>1</v>
      </c>
      <c r="E543" s="294"/>
      <c r="F543" s="295" t="str">
        <f>IFERROR(__xludf.DUMMYFUNCTION("IF(B543="""","""",IFERROR(VLOOKUP(TO_TEXT(B543),PEDIDOS!D:I,6,0),IFERROR(VLOOKUP(B543*1,PEDIDOS!D:I,6,0),"" "")))"),"ENTREGUE")</f>
        <v>ENTREGUE</v>
      </c>
      <c r="G543" s="303"/>
      <c r="H543" s="304"/>
    </row>
    <row r="544">
      <c r="A544" s="302" t="s">
        <v>112</v>
      </c>
      <c r="B544" s="291" t="s">
        <v>3547</v>
      </c>
      <c r="C544" s="292" t="s">
        <v>48</v>
      </c>
      <c r="D544" s="293">
        <f t="shared" si="2"/>
        <v>1</v>
      </c>
      <c r="E544" s="294"/>
      <c r="F544" s="295" t="str">
        <f>IFERROR(__xludf.DUMMYFUNCTION("IF(B544="""","""",IFERROR(VLOOKUP(TO_TEXT(B544),PEDIDOS!D:I,6,0),IFERROR(VLOOKUP(B544*1,PEDIDOS!D:I,6,0),"" "")))"),"ENTREGUE")</f>
        <v>ENTREGUE</v>
      </c>
      <c r="G544" s="303"/>
      <c r="H544" s="304"/>
    </row>
    <row r="545">
      <c r="A545" s="302" t="s">
        <v>112</v>
      </c>
      <c r="B545" s="291" t="s">
        <v>3238</v>
      </c>
      <c r="C545" s="292" t="s">
        <v>48</v>
      </c>
      <c r="D545" s="293">
        <f t="shared" si="2"/>
        <v>1</v>
      </c>
      <c r="E545" s="294"/>
      <c r="F545" s="295" t="str">
        <f>IFERROR(__xludf.DUMMYFUNCTION("IF(B545="""","""",IFERROR(VLOOKUP(TO_TEXT(B545),PEDIDOS!D:I,6,0),IFERROR(VLOOKUP(B545*1,PEDIDOS!D:I,6,0),"" "")))"),"ENTREGUE")</f>
        <v>ENTREGUE</v>
      </c>
      <c r="G545" s="303"/>
      <c r="H545" s="304"/>
    </row>
    <row r="546">
      <c r="A546" s="302" t="s">
        <v>112</v>
      </c>
      <c r="B546" s="291" t="s">
        <v>3374</v>
      </c>
      <c r="C546" s="292" t="s">
        <v>48</v>
      </c>
      <c r="D546" s="293">
        <f t="shared" si="2"/>
        <v>1</v>
      </c>
      <c r="E546" s="294"/>
      <c r="F546" s="295" t="str">
        <f>IFERROR(__xludf.DUMMYFUNCTION("IF(B546="""","""",IFERROR(VLOOKUP(TO_TEXT(B546),PEDIDOS!D:I,6,0),IFERROR(VLOOKUP(B546*1,PEDIDOS!D:I,6,0),"" "")))"),"ENTREGUE")</f>
        <v>ENTREGUE</v>
      </c>
      <c r="G546" s="303"/>
      <c r="H546" s="304"/>
    </row>
    <row r="547">
      <c r="A547" s="302" t="s">
        <v>112</v>
      </c>
      <c r="B547" s="291" t="s">
        <v>3219</v>
      </c>
      <c r="C547" s="292" t="s">
        <v>48</v>
      </c>
      <c r="D547" s="293">
        <f t="shared" si="2"/>
        <v>1</v>
      </c>
      <c r="E547" s="294"/>
      <c r="F547" s="295" t="str">
        <f>IFERROR(__xludf.DUMMYFUNCTION("IF(B547="""","""",IFERROR(VLOOKUP(TO_TEXT(B547),PEDIDOS!D:I,6,0),IFERROR(VLOOKUP(B547*1,PEDIDOS!D:I,6,0),"" "")))"),"ENTREGUE")</f>
        <v>ENTREGUE</v>
      </c>
      <c r="G547" s="303"/>
      <c r="H547" s="304"/>
    </row>
    <row r="548">
      <c r="A548" s="302" t="s">
        <v>112</v>
      </c>
      <c r="B548" s="291" t="s">
        <v>3370</v>
      </c>
      <c r="C548" s="292" t="s">
        <v>48</v>
      </c>
      <c r="D548" s="293">
        <f t="shared" si="2"/>
        <v>1</v>
      </c>
      <c r="E548" s="294"/>
      <c r="F548" s="295" t="str">
        <f>IFERROR(__xludf.DUMMYFUNCTION("IF(B548="""","""",IFERROR(VLOOKUP(TO_TEXT(B548),PEDIDOS!D:I,6,0),IFERROR(VLOOKUP(B548*1,PEDIDOS!D:I,6,0),"" "")))"),"ENTREGUE")</f>
        <v>ENTREGUE</v>
      </c>
      <c r="G548" s="303"/>
      <c r="H548" s="304"/>
    </row>
    <row r="549">
      <c r="A549" s="302" t="s">
        <v>47</v>
      </c>
      <c r="B549" s="291" t="s">
        <v>625</v>
      </c>
      <c r="C549" s="292" t="s">
        <v>48</v>
      </c>
      <c r="D549" s="293">
        <f t="shared" si="2"/>
        <v>1</v>
      </c>
      <c r="E549" s="294"/>
      <c r="F549" s="295" t="str">
        <f>IFERROR(__xludf.DUMMYFUNCTION("IF(B549="""","""",IFERROR(VLOOKUP(TO_TEXT(B549),PEDIDOS!D:I,6,0),IFERROR(VLOOKUP(B549*1,PEDIDOS!D:I,6,0),"" "")))"),"ENTREGUE")</f>
        <v>ENTREGUE</v>
      </c>
      <c r="G549" s="303"/>
      <c r="H549" s="304"/>
    </row>
    <row r="550">
      <c r="A550" s="302" t="s">
        <v>47</v>
      </c>
      <c r="B550" s="291" t="s">
        <v>2670</v>
      </c>
      <c r="C550" s="292" t="s">
        <v>48</v>
      </c>
      <c r="D550" s="293">
        <f t="shared" si="2"/>
        <v>1</v>
      </c>
      <c r="E550" s="294"/>
      <c r="F550" s="295" t="str">
        <f>IFERROR(__xludf.DUMMYFUNCTION("IF(B550="""","""",IFERROR(VLOOKUP(TO_TEXT(B550),PEDIDOS!D:I,6,0),IFERROR(VLOOKUP(B550*1,PEDIDOS!D:I,6,0),"" "")))"),"ENTREGUE")</f>
        <v>ENTREGUE</v>
      </c>
      <c r="G550" s="303"/>
      <c r="H550" s="304"/>
    </row>
    <row r="551">
      <c r="A551" s="302" t="s">
        <v>47</v>
      </c>
      <c r="B551" s="291" t="s">
        <v>2679</v>
      </c>
      <c r="C551" s="292" t="s">
        <v>48</v>
      </c>
      <c r="D551" s="293">
        <f t="shared" si="2"/>
        <v>1</v>
      </c>
      <c r="E551" s="294"/>
      <c r="F551" s="295" t="str">
        <f>IFERROR(__xludf.DUMMYFUNCTION("IF(B551="""","""",IFERROR(VLOOKUP(TO_TEXT(B551),PEDIDOS!D:I,6,0),IFERROR(VLOOKUP(B551*1,PEDIDOS!D:I,6,0),"" "")))"),"ENTREGUE")</f>
        <v>ENTREGUE</v>
      </c>
      <c r="G551" s="303"/>
      <c r="H551" s="304"/>
    </row>
    <row r="552">
      <c r="A552" s="302" t="s">
        <v>47</v>
      </c>
      <c r="B552" s="291" t="s">
        <v>2673</v>
      </c>
      <c r="C552" s="292" t="s">
        <v>48</v>
      </c>
      <c r="D552" s="293">
        <f t="shared" si="2"/>
        <v>1</v>
      </c>
      <c r="E552" s="294"/>
      <c r="F552" s="295" t="str">
        <f>IFERROR(__xludf.DUMMYFUNCTION("IF(B552="""","""",IFERROR(VLOOKUP(TO_TEXT(B552),PEDIDOS!D:I,6,0),IFERROR(VLOOKUP(B552*1,PEDIDOS!D:I,6,0),"" "")))"),"ENTREGUE")</f>
        <v>ENTREGUE</v>
      </c>
      <c r="G552" s="303"/>
      <c r="H552" s="304"/>
    </row>
    <row r="553">
      <c r="A553" s="302" t="s">
        <v>47</v>
      </c>
      <c r="B553" s="291" t="s">
        <v>3811</v>
      </c>
      <c r="C553" s="292" t="s">
        <v>48</v>
      </c>
      <c r="D553" s="293">
        <f t="shared" si="2"/>
        <v>1</v>
      </c>
      <c r="E553" s="294"/>
      <c r="F553" s="295" t="str">
        <f>IFERROR(__xludf.DUMMYFUNCTION("IF(B553="""","""",IFERROR(VLOOKUP(TO_TEXT(B553),PEDIDOS!D:I,6,0),IFERROR(VLOOKUP(B553*1,PEDIDOS!D:I,6,0),"" "")))"),"ENTREGUE")</f>
        <v>ENTREGUE</v>
      </c>
      <c r="G553" s="303"/>
      <c r="H553" s="304"/>
    </row>
    <row r="554">
      <c r="A554" s="302" t="s">
        <v>47</v>
      </c>
      <c r="B554" s="291" t="s">
        <v>1326</v>
      </c>
      <c r="C554" s="292" t="s">
        <v>48</v>
      </c>
      <c r="D554" s="293">
        <f t="shared" si="2"/>
        <v>1</v>
      </c>
      <c r="E554" s="294"/>
      <c r="F554" s="295" t="str">
        <f>IFERROR(__xludf.DUMMYFUNCTION("IF(B554="""","""",IFERROR(VLOOKUP(TO_TEXT(B554),PEDIDOS!D:I,6,0),IFERROR(VLOOKUP(B554*1,PEDIDOS!D:I,6,0),"" "")))"),"ENTREGUE")</f>
        <v>ENTREGUE</v>
      </c>
      <c r="G554" s="303"/>
      <c r="H554" s="304"/>
    </row>
    <row r="555">
      <c r="A555" s="302" t="s">
        <v>47</v>
      </c>
      <c r="B555" s="291" t="s">
        <v>2682</v>
      </c>
      <c r="C555" s="292" t="s">
        <v>48</v>
      </c>
      <c r="D555" s="293">
        <f t="shared" si="2"/>
        <v>1</v>
      </c>
      <c r="E555" s="294"/>
      <c r="F555" s="295" t="str">
        <f>IFERROR(__xludf.DUMMYFUNCTION("IF(B555="""","""",IFERROR(VLOOKUP(TO_TEXT(B555),PEDIDOS!D:I,6,0),IFERROR(VLOOKUP(B555*1,PEDIDOS!D:I,6,0),"" "")))"),"ENTREGUE")</f>
        <v>ENTREGUE</v>
      </c>
      <c r="G555" s="303"/>
      <c r="H555" s="304"/>
    </row>
    <row r="556">
      <c r="A556" s="302" t="s">
        <v>47</v>
      </c>
      <c r="B556" s="291" t="s">
        <v>3543</v>
      </c>
      <c r="C556" s="292" t="s">
        <v>48</v>
      </c>
      <c r="D556" s="293">
        <f t="shared" si="2"/>
        <v>1</v>
      </c>
      <c r="E556" s="294"/>
      <c r="F556" s="295" t="str">
        <f>IFERROR(__xludf.DUMMYFUNCTION("IF(B556="""","""",IFERROR(VLOOKUP(TO_TEXT(B556),PEDIDOS!D:I,6,0),IFERROR(VLOOKUP(B556*1,PEDIDOS!D:I,6,0),"" "")))"),"ENTREGUE")</f>
        <v>ENTREGUE</v>
      </c>
      <c r="G556" s="303"/>
      <c r="H556" s="304"/>
    </row>
    <row r="557">
      <c r="A557" s="302" t="s">
        <v>47</v>
      </c>
      <c r="B557" s="291" t="s">
        <v>872</v>
      </c>
      <c r="C557" s="292" t="s">
        <v>48</v>
      </c>
      <c r="D557" s="293">
        <f t="shared" si="2"/>
        <v>1</v>
      </c>
      <c r="E557" s="294"/>
      <c r="F557" s="295" t="str">
        <f>IFERROR(__xludf.DUMMYFUNCTION("IF(B557="""","""",IFERROR(VLOOKUP(TO_TEXT(B557),PEDIDOS!D:I,6,0),IFERROR(VLOOKUP(B557*1,PEDIDOS!D:I,6,0),"" "")))"),"ENTREGUE")</f>
        <v>ENTREGUE</v>
      </c>
      <c r="G557" s="303"/>
      <c r="H557" s="304"/>
    </row>
    <row r="558">
      <c r="A558" s="302" t="s">
        <v>47</v>
      </c>
      <c r="B558" s="291" t="s">
        <v>628</v>
      </c>
      <c r="C558" s="292" t="s">
        <v>48</v>
      </c>
      <c r="D558" s="293">
        <f t="shared" si="2"/>
        <v>1</v>
      </c>
      <c r="E558" s="294"/>
      <c r="F558" s="295" t="str">
        <f>IFERROR(__xludf.DUMMYFUNCTION("IF(B558="""","""",IFERROR(VLOOKUP(TO_TEXT(B558),PEDIDOS!D:I,6,0),IFERROR(VLOOKUP(B558*1,PEDIDOS!D:I,6,0),"" "")))"),"ENTREGUE")</f>
        <v>ENTREGUE</v>
      </c>
      <c r="G558" s="303"/>
      <c r="H558" s="304"/>
    </row>
    <row r="559">
      <c r="A559" s="302" t="s">
        <v>47</v>
      </c>
      <c r="B559" s="291" t="s">
        <v>4490</v>
      </c>
      <c r="C559" s="292" t="s">
        <v>48</v>
      </c>
      <c r="D559" s="293">
        <f t="shared" si="2"/>
        <v>1</v>
      </c>
      <c r="E559" s="294"/>
      <c r="F559" s="295" t="str">
        <f>IFERROR(__xludf.DUMMYFUNCTION("IF(B559="""","""",IFERROR(VLOOKUP(TO_TEXT(B559),PEDIDOS!D:I,6,0),IFERROR(VLOOKUP(B559*1,PEDIDOS!D:I,6,0),"" "")))"),"ENTREGUE")</f>
        <v>ENTREGUE</v>
      </c>
      <c r="G559" s="303"/>
      <c r="H559" s="304"/>
    </row>
    <row r="560">
      <c r="A560" s="302" t="s">
        <v>47</v>
      </c>
      <c r="B560" s="291" t="s">
        <v>2676</v>
      </c>
      <c r="C560" s="292" t="s">
        <v>48</v>
      </c>
      <c r="D560" s="293">
        <f t="shared" si="2"/>
        <v>1</v>
      </c>
      <c r="E560" s="294"/>
      <c r="F560" s="295" t="str">
        <f>IFERROR(__xludf.DUMMYFUNCTION("IF(B560="""","""",IFERROR(VLOOKUP(TO_TEXT(B560),PEDIDOS!D:I,6,0),IFERROR(VLOOKUP(B560*1,PEDIDOS!D:I,6,0),"" "")))"),"ENTREGUE")</f>
        <v>ENTREGUE</v>
      </c>
      <c r="G560" s="303"/>
      <c r="H560" s="304"/>
    </row>
    <row r="561">
      <c r="A561" s="302" t="s">
        <v>47</v>
      </c>
      <c r="B561" s="291" t="s">
        <v>6200</v>
      </c>
      <c r="C561" s="292" t="s">
        <v>48</v>
      </c>
      <c r="D561" s="293">
        <f t="shared" si="2"/>
        <v>1</v>
      </c>
      <c r="E561" s="294"/>
      <c r="F561" s="295" t="str">
        <f>IFERROR(__xludf.DUMMYFUNCTION("IF(B561="""","""",IFERROR(VLOOKUP(TO_TEXT(B561),PEDIDOS!D:I,6,0),IFERROR(VLOOKUP(B561*1,PEDIDOS!D:I,6,0),"" "")))"),"ENTREGUE")</f>
        <v>ENTREGUE</v>
      </c>
      <c r="G561" s="303"/>
      <c r="H561" s="304"/>
    </row>
    <row r="562">
      <c r="A562" s="302" t="s">
        <v>47</v>
      </c>
      <c r="B562" s="291" t="s">
        <v>3616</v>
      </c>
      <c r="C562" s="292" t="s">
        <v>48</v>
      </c>
      <c r="D562" s="293">
        <f t="shared" si="2"/>
        <v>1</v>
      </c>
      <c r="E562" s="294"/>
      <c r="F562" s="295" t="str">
        <f>IFERROR(__xludf.DUMMYFUNCTION("IF(B562="""","""",IFERROR(VLOOKUP(TO_TEXT(B562),PEDIDOS!D:I,6,0),IFERROR(VLOOKUP(B562*1,PEDIDOS!D:I,6,0),"" "")))"),"ENTREGUE")</f>
        <v>ENTREGUE</v>
      </c>
      <c r="G562" s="303"/>
      <c r="H562" s="304"/>
    </row>
    <row r="563">
      <c r="A563" s="302" t="s">
        <v>47</v>
      </c>
      <c r="B563" s="291" t="s">
        <v>622</v>
      </c>
      <c r="C563" s="292" t="s">
        <v>48</v>
      </c>
      <c r="D563" s="293">
        <f t="shared" si="2"/>
        <v>1</v>
      </c>
      <c r="E563" s="294"/>
      <c r="F563" s="295" t="str">
        <f>IFERROR(__xludf.DUMMYFUNCTION("IF(B563="""","""",IFERROR(VLOOKUP(TO_TEXT(B563),PEDIDOS!D:I,6,0),IFERROR(VLOOKUP(B563*1,PEDIDOS!D:I,6,0),"" "")))"),"ENTREGUE")</f>
        <v>ENTREGUE</v>
      </c>
      <c r="G563" s="303"/>
      <c r="H563" s="304"/>
    </row>
    <row r="564">
      <c r="A564" s="302" t="s">
        <v>47</v>
      </c>
      <c r="B564" s="291" t="s">
        <v>3850</v>
      </c>
      <c r="C564" s="292" t="s">
        <v>48</v>
      </c>
      <c r="D564" s="293">
        <f t="shared" si="2"/>
        <v>1</v>
      </c>
      <c r="E564" s="294"/>
      <c r="F564" s="295" t="str">
        <f>IFERROR(__xludf.DUMMYFUNCTION("IF(B564="""","""",IFERROR(VLOOKUP(TO_TEXT(B564),PEDIDOS!D:I,6,0),IFERROR(VLOOKUP(B564*1,PEDIDOS!D:I,6,0),"" "")))"),"ENTREGUE")</f>
        <v>ENTREGUE</v>
      </c>
      <c r="G564" s="303"/>
      <c r="H564" s="304"/>
    </row>
    <row r="565">
      <c r="A565" s="302" t="s">
        <v>47</v>
      </c>
      <c r="B565" s="291" t="s">
        <v>3411</v>
      </c>
      <c r="C565" s="292" t="s">
        <v>48</v>
      </c>
      <c r="D565" s="293">
        <f t="shared" si="2"/>
        <v>1</v>
      </c>
      <c r="E565" s="294"/>
      <c r="F565" s="295" t="str">
        <f>IFERROR(__xludf.DUMMYFUNCTION("IF(B565="""","""",IFERROR(VLOOKUP(TO_TEXT(B565),PEDIDOS!D:I,6,0),IFERROR(VLOOKUP(B565*1,PEDIDOS!D:I,6,0),"" "")))"),"ENTREGUE")</f>
        <v>ENTREGUE</v>
      </c>
      <c r="G565" s="303"/>
      <c r="H565" s="304"/>
    </row>
    <row r="566">
      <c r="A566" s="302" t="s">
        <v>47</v>
      </c>
      <c r="B566" s="291" t="s">
        <v>3925</v>
      </c>
      <c r="C566" s="292" t="s">
        <v>48</v>
      </c>
      <c r="D566" s="293">
        <f t="shared" si="2"/>
        <v>1</v>
      </c>
      <c r="E566" s="294"/>
      <c r="F566" s="295" t="str">
        <f>IFERROR(__xludf.DUMMYFUNCTION("IF(B566="""","""",IFERROR(VLOOKUP(TO_TEXT(B566),PEDIDOS!D:I,6,0),IFERROR(VLOOKUP(B566*1,PEDIDOS!D:I,6,0),"" "")))"),"ENTREGUE")</f>
        <v>ENTREGUE</v>
      </c>
      <c r="G566" s="303"/>
      <c r="H566" s="304"/>
    </row>
    <row r="567">
      <c r="A567" s="302" t="s">
        <v>47</v>
      </c>
      <c r="B567" s="291" t="s">
        <v>4707</v>
      </c>
      <c r="C567" s="292" t="s">
        <v>48</v>
      </c>
      <c r="D567" s="293">
        <f t="shared" si="2"/>
        <v>1</v>
      </c>
      <c r="E567" s="294"/>
      <c r="F567" s="295" t="str">
        <f>IFERROR(__xludf.DUMMYFUNCTION("IF(B567="""","""",IFERROR(VLOOKUP(TO_TEXT(B567),PEDIDOS!D:I,6,0),IFERROR(VLOOKUP(B567*1,PEDIDOS!D:I,6,0),"" "")))"),"ENTREGUE")</f>
        <v>ENTREGUE</v>
      </c>
      <c r="G567" s="303"/>
      <c r="H567" s="304"/>
    </row>
    <row r="568">
      <c r="A568" s="302" t="s">
        <v>47</v>
      </c>
      <c r="B568" s="291" t="s">
        <v>6049</v>
      </c>
      <c r="C568" s="292" t="s">
        <v>48</v>
      </c>
      <c r="D568" s="293">
        <f t="shared" si="2"/>
        <v>1</v>
      </c>
      <c r="E568" s="294"/>
      <c r="F568" s="295" t="str">
        <f>IFERROR(__xludf.DUMMYFUNCTION("IF(B568="""","""",IFERROR(VLOOKUP(TO_TEXT(B568),PEDIDOS!D:I,6,0),IFERROR(VLOOKUP(B568*1,PEDIDOS!D:I,6,0),"" "")))"),"ENTREGUE")</f>
        <v>ENTREGUE</v>
      </c>
      <c r="G568" s="303"/>
      <c r="H568" s="304"/>
    </row>
    <row r="569">
      <c r="A569" s="302" t="s">
        <v>47</v>
      </c>
      <c r="B569" s="291" t="s">
        <v>3612</v>
      </c>
      <c r="C569" s="292" t="s">
        <v>48</v>
      </c>
      <c r="D569" s="293">
        <f t="shared" si="2"/>
        <v>1</v>
      </c>
      <c r="E569" s="294"/>
      <c r="F569" s="295" t="str">
        <f>IFERROR(__xludf.DUMMYFUNCTION("IF(B569="""","""",IFERROR(VLOOKUP(TO_TEXT(B569),PEDIDOS!D:I,6,0),IFERROR(VLOOKUP(B569*1,PEDIDOS!D:I,6,0),"" "")))"),"ENTREGUE")</f>
        <v>ENTREGUE</v>
      </c>
      <c r="G569" s="303"/>
      <c r="H569" s="304"/>
    </row>
    <row r="570">
      <c r="A570" s="302" t="s">
        <v>47</v>
      </c>
      <c r="B570" s="291" t="s">
        <v>6076</v>
      </c>
      <c r="C570" s="292" t="s">
        <v>48</v>
      </c>
      <c r="D570" s="293">
        <f t="shared" si="2"/>
        <v>1</v>
      </c>
      <c r="E570" s="294"/>
      <c r="F570" s="295" t="str">
        <f>IFERROR(__xludf.DUMMYFUNCTION("IF(B570="""","""",IFERROR(VLOOKUP(TO_TEXT(B570),PEDIDOS!D:I,6,0),IFERROR(VLOOKUP(B570*1,PEDIDOS!D:I,6,0),"" "")))"),"ENTREGUE")</f>
        <v>ENTREGUE</v>
      </c>
      <c r="G570" s="303"/>
      <c r="H570" s="304"/>
    </row>
    <row r="571">
      <c r="A571" s="302" t="s">
        <v>47</v>
      </c>
      <c r="B571" s="291" t="s">
        <v>11197</v>
      </c>
      <c r="C571" s="292" t="s">
        <v>48</v>
      </c>
      <c r="D571" s="293">
        <f t="shared" si="2"/>
        <v>1</v>
      </c>
      <c r="E571" s="294"/>
      <c r="F571" s="295" t="str">
        <f>IFERROR(__xludf.DUMMYFUNCTION("IF(B571="""","""",IFERROR(VLOOKUP(TO_TEXT(B571),PEDIDOS!D:I,6,0),IFERROR(VLOOKUP(B571*1,PEDIDOS!D:I,6,0),"" "")))"),"ENTREGUE")</f>
        <v>ENTREGUE</v>
      </c>
      <c r="G571" s="303"/>
      <c r="H571" s="304"/>
    </row>
    <row r="572">
      <c r="A572" s="302" t="s">
        <v>47</v>
      </c>
      <c r="B572" s="291" t="s">
        <v>5888</v>
      </c>
      <c r="C572" s="292" t="s">
        <v>48</v>
      </c>
      <c r="D572" s="293">
        <f t="shared" si="2"/>
        <v>1</v>
      </c>
      <c r="E572" s="294"/>
      <c r="F572" s="295" t="str">
        <f>IFERROR(__xludf.DUMMYFUNCTION("IF(B572="""","""",IFERROR(VLOOKUP(TO_TEXT(B572),PEDIDOS!D:I,6,0),IFERROR(VLOOKUP(B572*1,PEDIDOS!D:I,6,0),"" "")))"),"ENTREGUE")</f>
        <v>ENTREGUE</v>
      </c>
      <c r="G572" s="303"/>
      <c r="H572" s="304"/>
    </row>
    <row r="573">
      <c r="A573" s="302" t="s">
        <v>47</v>
      </c>
      <c r="B573" s="291" t="s">
        <v>6263</v>
      </c>
      <c r="C573" s="292" t="s">
        <v>48</v>
      </c>
      <c r="D573" s="293">
        <f t="shared" si="2"/>
        <v>1</v>
      </c>
      <c r="E573" s="294"/>
      <c r="F573" s="295" t="str">
        <f>IFERROR(__xludf.DUMMYFUNCTION("IF(B573="""","""",IFERROR(VLOOKUP(TO_TEXT(B573),PEDIDOS!D:I,6,0),IFERROR(VLOOKUP(B573*1,PEDIDOS!D:I,6,0),"" "")))"),"ENTREGUE")</f>
        <v>ENTREGUE</v>
      </c>
      <c r="G573" s="303"/>
      <c r="H573" s="304"/>
    </row>
    <row r="574">
      <c r="A574" s="302" t="s">
        <v>47</v>
      </c>
      <c r="B574" s="291" t="s">
        <v>10435</v>
      </c>
      <c r="C574" s="292" t="s">
        <v>48</v>
      </c>
      <c r="D574" s="293">
        <f t="shared" si="2"/>
        <v>1</v>
      </c>
      <c r="E574" s="294"/>
      <c r="F574" s="295" t="str">
        <f>IFERROR(__xludf.DUMMYFUNCTION("IF(B574="""","""",IFERROR(VLOOKUP(TO_TEXT(B574),PEDIDOS!D:I,6,0),IFERROR(VLOOKUP(B574*1,PEDIDOS!D:I,6,0),"" "")))"),"ENTREGUE")</f>
        <v>ENTREGUE</v>
      </c>
      <c r="G574" s="303"/>
      <c r="H574" s="304"/>
    </row>
    <row r="575">
      <c r="A575" s="302" t="s">
        <v>47</v>
      </c>
      <c r="B575" s="291" t="s">
        <v>9465</v>
      </c>
      <c r="C575" s="292" t="s">
        <v>48</v>
      </c>
      <c r="D575" s="293">
        <f t="shared" si="2"/>
        <v>1</v>
      </c>
      <c r="E575" s="294"/>
      <c r="F575" s="295" t="str">
        <f>IFERROR(__xludf.DUMMYFUNCTION("IF(B575="""","""",IFERROR(VLOOKUP(TO_TEXT(B575),PEDIDOS!D:I,6,0),IFERROR(VLOOKUP(B575*1,PEDIDOS!D:I,6,0),"" "")))"),"ENTREGUE")</f>
        <v>ENTREGUE</v>
      </c>
      <c r="G575" s="303"/>
      <c r="H575" s="304"/>
    </row>
    <row r="576">
      <c r="A576" s="302" t="s">
        <v>47</v>
      </c>
      <c r="B576" s="291" t="s">
        <v>6822</v>
      </c>
      <c r="C576" s="292" t="s">
        <v>48</v>
      </c>
      <c r="D576" s="293">
        <f t="shared" si="2"/>
        <v>1</v>
      </c>
      <c r="E576" s="294"/>
      <c r="F576" s="295" t="str">
        <f>IFERROR(__xludf.DUMMYFUNCTION("IF(B576="""","""",IFERROR(VLOOKUP(TO_TEXT(B576),PEDIDOS!D:I,6,0),IFERROR(VLOOKUP(B576*1,PEDIDOS!D:I,6,0),"" "")))"),"ENTREGUE")</f>
        <v>ENTREGUE</v>
      </c>
      <c r="G576" s="303"/>
      <c r="H576" s="304"/>
    </row>
    <row r="577">
      <c r="A577" s="302" t="s">
        <v>47</v>
      </c>
      <c r="B577" s="291" t="s">
        <v>617</v>
      </c>
      <c r="C577" s="292" t="s">
        <v>48</v>
      </c>
      <c r="D577" s="293">
        <f t="shared" si="2"/>
        <v>1</v>
      </c>
      <c r="E577" s="294"/>
      <c r="F577" s="295" t="str">
        <f>IFERROR(__xludf.DUMMYFUNCTION("IF(B577="""","""",IFERROR(VLOOKUP(TO_TEXT(B577),PEDIDOS!D:I,6,0),IFERROR(VLOOKUP(B577*1,PEDIDOS!D:I,6,0),"" "")))"),"ENTREGUE")</f>
        <v>ENTREGUE</v>
      </c>
      <c r="G577" s="303"/>
      <c r="H577" s="304"/>
    </row>
    <row r="578">
      <c r="A578" s="302" t="s">
        <v>47</v>
      </c>
      <c r="B578" s="291" t="s">
        <v>6897</v>
      </c>
      <c r="C578" s="292" t="s">
        <v>48</v>
      </c>
      <c r="D578" s="293">
        <f t="shared" si="2"/>
        <v>1</v>
      </c>
      <c r="E578" s="294"/>
      <c r="F578" s="295" t="str">
        <f>IFERROR(__xludf.DUMMYFUNCTION("IF(B578="""","""",IFERROR(VLOOKUP(TO_TEXT(B578),PEDIDOS!D:I,6,0),IFERROR(VLOOKUP(B578*1,PEDIDOS!D:I,6,0),"" "")))"),"ENTREGUE")</f>
        <v>ENTREGUE</v>
      </c>
      <c r="G578" s="303"/>
      <c r="H578" s="304"/>
    </row>
    <row r="579">
      <c r="A579" s="302" t="s">
        <v>85</v>
      </c>
      <c r="B579" s="291" t="s">
        <v>5878</v>
      </c>
      <c r="C579" s="292" t="s">
        <v>48</v>
      </c>
      <c r="D579" s="293">
        <f t="shared" si="2"/>
        <v>1</v>
      </c>
      <c r="E579" s="294"/>
      <c r="F579" s="295" t="str">
        <f>IFERROR(__xludf.DUMMYFUNCTION("IF(B579="""","""",IFERROR(VLOOKUP(TO_TEXT(B579),PEDIDOS!D:I,6,0),IFERROR(VLOOKUP(B579*1,PEDIDOS!D:I,6,0),"" "")))"),"ENTREGUE")</f>
        <v>ENTREGUE</v>
      </c>
      <c r="G579" s="303"/>
      <c r="H579" s="304"/>
    </row>
    <row r="580">
      <c r="A580" s="302" t="s">
        <v>85</v>
      </c>
      <c r="B580" s="291" t="s">
        <v>6172</v>
      </c>
      <c r="C580" s="292" t="s">
        <v>48</v>
      </c>
      <c r="D580" s="293">
        <f t="shared" si="2"/>
        <v>1</v>
      </c>
      <c r="E580" s="294"/>
      <c r="F580" s="295" t="str">
        <f>IFERROR(__xludf.DUMMYFUNCTION("IF(B580="""","""",IFERROR(VLOOKUP(TO_TEXT(B580),PEDIDOS!D:I,6,0),IFERROR(VLOOKUP(B580*1,PEDIDOS!D:I,6,0),"" "")))"),"ENTREGUE")</f>
        <v>ENTREGUE</v>
      </c>
      <c r="G580" s="303"/>
      <c r="H580" s="304"/>
    </row>
    <row r="581">
      <c r="A581" s="302" t="s">
        <v>85</v>
      </c>
      <c r="B581" s="291" t="s">
        <v>8018</v>
      </c>
      <c r="C581" s="292" t="s">
        <v>48</v>
      </c>
      <c r="D581" s="293">
        <f t="shared" si="2"/>
        <v>1</v>
      </c>
      <c r="E581" s="294"/>
      <c r="F581" s="295" t="str">
        <f>IFERROR(__xludf.DUMMYFUNCTION("IF(B581="""","""",IFERROR(VLOOKUP(TO_TEXT(B581),PEDIDOS!D:I,6,0),IFERROR(VLOOKUP(B581*1,PEDIDOS!D:I,6,0),"" "")))"),"ENTREGUE")</f>
        <v>ENTREGUE</v>
      </c>
      <c r="G581" s="303"/>
      <c r="H581" s="304"/>
    </row>
    <row r="582">
      <c r="A582" s="302" t="s">
        <v>85</v>
      </c>
      <c r="B582" s="291" t="s">
        <v>4932</v>
      </c>
      <c r="C582" s="292" t="s">
        <v>48</v>
      </c>
      <c r="D582" s="293">
        <f t="shared" si="2"/>
        <v>1</v>
      </c>
      <c r="E582" s="294"/>
      <c r="F582" s="295" t="str">
        <f>IFERROR(__xludf.DUMMYFUNCTION("IF(B582="""","""",IFERROR(VLOOKUP(TO_TEXT(B582),PEDIDOS!D:I,6,0),IFERROR(VLOOKUP(B582*1,PEDIDOS!D:I,6,0),"" "")))"),"ENTREGUE")</f>
        <v>ENTREGUE</v>
      </c>
      <c r="G582" s="303"/>
      <c r="H582" s="304"/>
    </row>
    <row r="583">
      <c r="A583" s="302" t="s">
        <v>85</v>
      </c>
      <c r="B583" s="291" t="s">
        <v>5980</v>
      </c>
      <c r="C583" s="292" t="s">
        <v>48</v>
      </c>
      <c r="D583" s="293">
        <f t="shared" si="2"/>
        <v>1</v>
      </c>
      <c r="E583" s="294"/>
      <c r="F583" s="295" t="str">
        <f>IFERROR(__xludf.DUMMYFUNCTION("IF(B583="""","""",IFERROR(VLOOKUP(TO_TEXT(B583),PEDIDOS!D:I,6,0),IFERROR(VLOOKUP(B583*1,PEDIDOS!D:I,6,0),"" "")))"),"ENTREGUE")</f>
        <v>ENTREGUE</v>
      </c>
      <c r="G583" s="303"/>
      <c r="H583" s="304"/>
    </row>
    <row r="584">
      <c r="A584" s="302" t="s">
        <v>85</v>
      </c>
      <c r="B584" s="291" t="s">
        <v>5861</v>
      </c>
      <c r="C584" s="292" t="s">
        <v>48</v>
      </c>
      <c r="D584" s="293">
        <f t="shared" si="2"/>
        <v>1</v>
      </c>
      <c r="E584" s="294"/>
      <c r="F584" s="295" t="str">
        <f>IFERROR(__xludf.DUMMYFUNCTION("IF(B584="""","""",IFERROR(VLOOKUP(TO_TEXT(B584),PEDIDOS!D:I,6,0),IFERROR(VLOOKUP(B584*1,PEDIDOS!D:I,6,0),"" "")))"),"ENTREGUE")</f>
        <v>ENTREGUE</v>
      </c>
      <c r="G584" s="303"/>
      <c r="H584" s="304"/>
    </row>
    <row r="585">
      <c r="A585" s="302" t="s">
        <v>85</v>
      </c>
      <c r="B585" s="291" t="s">
        <v>4026</v>
      </c>
      <c r="C585" s="292" t="s">
        <v>48</v>
      </c>
      <c r="D585" s="293">
        <f t="shared" si="2"/>
        <v>1</v>
      </c>
      <c r="E585" s="294"/>
      <c r="F585" s="295" t="str">
        <f>IFERROR(__xludf.DUMMYFUNCTION("IF(B585="""","""",IFERROR(VLOOKUP(TO_TEXT(B585),PEDIDOS!D:I,6,0),IFERROR(VLOOKUP(B585*1,PEDIDOS!D:I,6,0),"" "")))"),"ENTREGUE")</f>
        <v>ENTREGUE</v>
      </c>
      <c r="G585" s="303"/>
      <c r="H585" s="304"/>
    </row>
    <row r="586">
      <c r="A586" s="302" t="s">
        <v>85</v>
      </c>
      <c r="B586" s="291" t="s">
        <v>7741</v>
      </c>
      <c r="C586" s="292" t="s">
        <v>48</v>
      </c>
      <c r="D586" s="293">
        <f t="shared" si="2"/>
        <v>1</v>
      </c>
      <c r="E586" s="294"/>
      <c r="F586" s="295" t="str">
        <f>IFERROR(__xludf.DUMMYFUNCTION("IF(B586="""","""",IFERROR(VLOOKUP(TO_TEXT(B586),PEDIDOS!D:I,6,0),IFERROR(VLOOKUP(B586*1,PEDIDOS!D:I,6,0),"" "")))"),"ENTREGUE")</f>
        <v>ENTREGUE</v>
      </c>
      <c r="G586" s="303"/>
      <c r="H586" s="304"/>
    </row>
    <row r="587">
      <c r="A587" s="302" t="s">
        <v>85</v>
      </c>
      <c r="B587" s="291" t="s">
        <v>5802</v>
      </c>
      <c r="C587" s="292" t="s">
        <v>48</v>
      </c>
      <c r="D587" s="293">
        <f t="shared" si="2"/>
        <v>1</v>
      </c>
      <c r="E587" s="294"/>
      <c r="F587" s="295" t="str">
        <f>IFERROR(__xludf.DUMMYFUNCTION("IF(B587="""","""",IFERROR(VLOOKUP(TO_TEXT(B587),PEDIDOS!D:I,6,0),IFERROR(VLOOKUP(B587*1,PEDIDOS!D:I,6,0),"" "")))"),"ENTREGUE")</f>
        <v>ENTREGUE</v>
      </c>
      <c r="G587" s="303"/>
      <c r="H587" s="304"/>
    </row>
    <row r="588">
      <c r="A588" s="302" t="s">
        <v>85</v>
      </c>
      <c r="B588" s="291" t="s">
        <v>4938</v>
      </c>
      <c r="C588" s="292" t="s">
        <v>48</v>
      </c>
      <c r="D588" s="293">
        <f t="shared" si="2"/>
        <v>1</v>
      </c>
      <c r="E588" s="294"/>
      <c r="F588" s="295" t="str">
        <f>IFERROR(__xludf.DUMMYFUNCTION("IF(B588="""","""",IFERROR(VLOOKUP(TO_TEXT(B588),PEDIDOS!D:I,6,0),IFERROR(VLOOKUP(B588*1,PEDIDOS!D:I,6,0),"" "")))"),"ENTREGUE")</f>
        <v>ENTREGUE</v>
      </c>
      <c r="G588" s="303"/>
      <c r="H588" s="304"/>
    </row>
    <row r="589">
      <c r="A589" s="302" t="s">
        <v>85</v>
      </c>
      <c r="B589" s="291" t="s">
        <v>7256</v>
      </c>
      <c r="C589" s="292" t="s">
        <v>48</v>
      </c>
      <c r="D589" s="293">
        <f t="shared" si="2"/>
        <v>1</v>
      </c>
      <c r="E589" s="294"/>
      <c r="F589" s="295" t="str">
        <f>IFERROR(__xludf.DUMMYFUNCTION("IF(B589="""","""",IFERROR(VLOOKUP(TO_TEXT(B589),PEDIDOS!D:I,6,0),IFERROR(VLOOKUP(B589*1,PEDIDOS!D:I,6,0),"" "")))"),"ENTREGUE")</f>
        <v>ENTREGUE</v>
      </c>
      <c r="G589" s="303"/>
      <c r="H589" s="304"/>
    </row>
    <row r="590">
      <c r="A590" s="302" t="s">
        <v>85</v>
      </c>
      <c r="B590" s="291" t="s">
        <v>5864</v>
      </c>
      <c r="C590" s="292" t="s">
        <v>48</v>
      </c>
      <c r="D590" s="293">
        <f t="shared" si="2"/>
        <v>1</v>
      </c>
      <c r="E590" s="294"/>
      <c r="F590" s="295" t="str">
        <f>IFERROR(__xludf.DUMMYFUNCTION("IF(B590="""","""",IFERROR(VLOOKUP(TO_TEXT(B590),PEDIDOS!D:I,6,0),IFERROR(VLOOKUP(B590*1,PEDIDOS!D:I,6,0),"" "")))"),"ENTREGUE")</f>
        <v>ENTREGUE</v>
      </c>
      <c r="G590" s="303"/>
      <c r="H590" s="304"/>
    </row>
    <row r="591">
      <c r="A591" s="302" t="s">
        <v>85</v>
      </c>
      <c r="B591" s="291" t="s">
        <v>5255</v>
      </c>
      <c r="C591" s="292" t="s">
        <v>48</v>
      </c>
      <c r="D591" s="293">
        <f t="shared" si="2"/>
        <v>1</v>
      </c>
      <c r="E591" s="294"/>
      <c r="F591" s="295" t="str">
        <f>IFERROR(__xludf.DUMMYFUNCTION("IF(B591="""","""",IFERROR(VLOOKUP(TO_TEXT(B591),PEDIDOS!D:I,6,0),IFERROR(VLOOKUP(B591*1,PEDIDOS!D:I,6,0),"" "")))"),"ENTREGUE")</f>
        <v>ENTREGUE</v>
      </c>
      <c r="G591" s="303"/>
      <c r="H591" s="304"/>
    </row>
    <row r="592">
      <c r="A592" s="302" t="s">
        <v>85</v>
      </c>
      <c r="B592" s="291" t="s">
        <v>6023</v>
      </c>
      <c r="C592" s="292" t="s">
        <v>48</v>
      </c>
      <c r="D592" s="293">
        <f t="shared" si="2"/>
        <v>1</v>
      </c>
      <c r="E592" s="294"/>
      <c r="F592" s="295" t="str">
        <f>IFERROR(__xludf.DUMMYFUNCTION("IF(B592="""","""",IFERROR(VLOOKUP(TO_TEXT(B592),PEDIDOS!D:I,6,0),IFERROR(VLOOKUP(B592*1,PEDIDOS!D:I,6,0),"" "")))"),"ENTREGUE")</f>
        <v>ENTREGUE</v>
      </c>
      <c r="G592" s="303"/>
      <c r="H592" s="304"/>
    </row>
    <row r="593">
      <c r="A593" s="302" t="s">
        <v>85</v>
      </c>
      <c r="B593" s="291" t="s">
        <v>4754</v>
      </c>
      <c r="C593" s="292" t="s">
        <v>48</v>
      </c>
      <c r="D593" s="293">
        <f t="shared" si="2"/>
        <v>1</v>
      </c>
      <c r="E593" s="294"/>
      <c r="F593" s="295" t="str">
        <f>IFERROR(__xludf.DUMMYFUNCTION("IF(B593="""","""",IFERROR(VLOOKUP(TO_TEXT(B593),PEDIDOS!D:I,6,0),IFERROR(VLOOKUP(B593*1,PEDIDOS!D:I,6,0),"" "")))"),"ENTREGUE")</f>
        <v>ENTREGUE</v>
      </c>
      <c r="G593" s="303"/>
      <c r="H593" s="304"/>
    </row>
    <row r="594">
      <c r="A594" s="302" t="s">
        <v>85</v>
      </c>
      <c r="B594" s="291" t="s">
        <v>7277</v>
      </c>
      <c r="C594" s="292" t="s">
        <v>48</v>
      </c>
      <c r="D594" s="293">
        <f t="shared" si="2"/>
        <v>1</v>
      </c>
      <c r="E594" s="294"/>
      <c r="F594" s="295" t="str">
        <f>IFERROR(__xludf.DUMMYFUNCTION("IF(B594="""","""",IFERROR(VLOOKUP(TO_TEXT(B594),PEDIDOS!D:I,6,0),IFERROR(VLOOKUP(B594*1,PEDIDOS!D:I,6,0),"" "")))"),"ENTREGUE")</f>
        <v>ENTREGUE</v>
      </c>
      <c r="G594" s="303"/>
      <c r="H594" s="304"/>
    </row>
    <row r="595">
      <c r="A595" s="302" t="s">
        <v>85</v>
      </c>
      <c r="B595" s="291" t="s">
        <v>6323</v>
      </c>
      <c r="C595" s="292" t="s">
        <v>48</v>
      </c>
      <c r="D595" s="293">
        <f t="shared" si="2"/>
        <v>1</v>
      </c>
      <c r="E595" s="294"/>
      <c r="F595" s="295" t="str">
        <f>IFERROR(__xludf.DUMMYFUNCTION("IF(B595="""","""",IFERROR(VLOOKUP(TO_TEXT(B595),PEDIDOS!D:I,6,0),IFERROR(VLOOKUP(B595*1,PEDIDOS!D:I,6,0),"" "")))"),"ENTREGUE")</f>
        <v>ENTREGUE</v>
      </c>
      <c r="G595" s="303"/>
      <c r="H595" s="304"/>
    </row>
    <row r="596">
      <c r="A596" s="302" t="s">
        <v>85</v>
      </c>
      <c r="B596" s="291" t="s">
        <v>5799</v>
      </c>
      <c r="C596" s="292" t="s">
        <v>48</v>
      </c>
      <c r="D596" s="293">
        <f t="shared" si="2"/>
        <v>1</v>
      </c>
      <c r="E596" s="294"/>
      <c r="F596" s="295" t="str">
        <f>IFERROR(__xludf.DUMMYFUNCTION("IF(B596="""","""",IFERROR(VLOOKUP(TO_TEXT(B596),PEDIDOS!D:I,6,0),IFERROR(VLOOKUP(B596*1,PEDIDOS!D:I,6,0),"" "")))"),"ENTREGUE")</f>
        <v>ENTREGUE</v>
      </c>
      <c r="G596" s="303"/>
      <c r="H596" s="304"/>
    </row>
    <row r="597">
      <c r="A597" s="302" t="s">
        <v>85</v>
      </c>
      <c r="B597" s="291" t="s">
        <v>4929</v>
      </c>
      <c r="C597" s="292" t="s">
        <v>48</v>
      </c>
      <c r="D597" s="293">
        <f t="shared" si="2"/>
        <v>1</v>
      </c>
      <c r="E597" s="294"/>
      <c r="F597" s="295" t="str">
        <f>IFERROR(__xludf.DUMMYFUNCTION("IF(B597="""","""",IFERROR(VLOOKUP(TO_TEXT(B597),PEDIDOS!D:I,6,0),IFERROR(VLOOKUP(B597*1,PEDIDOS!D:I,6,0),"" "")))"),"ENTREGUE")</f>
        <v>ENTREGUE</v>
      </c>
      <c r="G597" s="303"/>
      <c r="H597" s="304"/>
    </row>
    <row r="598">
      <c r="A598" s="302" t="s">
        <v>85</v>
      </c>
      <c r="B598" s="291" t="s">
        <v>5397</v>
      </c>
      <c r="C598" s="292" t="s">
        <v>48</v>
      </c>
      <c r="D598" s="293">
        <f t="shared" si="2"/>
        <v>1</v>
      </c>
      <c r="E598" s="294"/>
      <c r="F598" s="295" t="str">
        <f>IFERROR(__xludf.DUMMYFUNCTION("IF(B598="""","""",IFERROR(VLOOKUP(TO_TEXT(B598),PEDIDOS!D:I,6,0),IFERROR(VLOOKUP(B598*1,PEDIDOS!D:I,6,0),"" "")))"),"ENTREGUE")</f>
        <v>ENTREGUE</v>
      </c>
      <c r="G598" s="303"/>
      <c r="H598" s="304"/>
    </row>
    <row r="599">
      <c r="A599" s="302" t="s">
        <v>85</v>
      </c>
      <c r="B599" s="291" t="s">
        <v>5202</v>
      </c>
      <c r="C599" s="292" t="s">
        <v>48</v>
      </c>
      <c r="D599" s="293">
        <f t="shared" si="2"/>
        <v>1</v>
      </c>
      <c r="E599" s="294"/>
      <c r="F599" s="295" t="str">
        <f>IFERROR(__xludf.DUMMYFUNCTION("IF(B599="""","""",IFERROR(VLOOKUP(TO_TEXT(B599),PEDIDOS!D:I,6,0),IFERROR(VLOOKUP(B599*1,PEDIDOS!D:I,6,0),"" "")))"),"ENTREGUE")</f>
        <v>ENTREGUE</v>
      </c>
      <c r="G599" s="303"/>
      <c r="H599" s="304"/>
    </row>
    <row r="600">
      <c r="A600" s="302" t="s">
        <v>85</v>
      </c>
      <c r="B600" s="291" t="s">
        <v>84</v>
      </c>
      <c r="C600" s="292" t="s">
        <v>48</v>
      </c>
      <c r="D600" s="293">
        <f t="shared" si="2"/>
        <v>1</v>
      </c>
      <c r="E600" s="294"/>
      <c r="F600" s="295" t="str">
        <f>IFERROR(__xludf.DUMMYFUNCTION("IF(B600="""","""",IFERROR(VLOOKUP(TO_TEXT(B600),PEDIDOS!D:I,6,0),IFERROR(VLOOKUP(B600*1,PEDIDOS!D:I,6,0),"" "")))"),"ENTREGUE")</f>
        <v>ENTREGUE</v>
      </c>
      <c r="G600" s="303"/>
      <c r="H600" s="304"/>
    </row>
    <row r="601">
      <c r="A601" s="302" t="s">
        <v>85</v>
      </c>
      <c r="B601" s="291" t="s">
        <v>6238</v>
      </c>
      <c r="C601" s="292" t="s">
        <v>48</v>
      </c>
      <c r="D601" s="293">
        <f t="shared" si="2"/>
        <v>1</v>
      </c>
      <c r="E601" s="294"/>
      <c r="F601" s="295" t="str">
        <f>IFERROR(__xludf.DUMMYFUNCTION("IF(B601="""","""",IFERROR(VLOOKUP(TO_TEXT(B601),PEDIDOS!D:I,6,0),IFERROR(VLOOKUP(B601*1,PEDIDOS!D:I,6,0),"" "")))"),"ENTREGUE")</f>
        <v>ENTREGUE</v>
      </c>
      <c r="G601" s="303"/>
      <c r="H601" s="304"/>
    </row>
    <row r="602">
      <c r="A602" s="302" t="s">
        <v>85</v>
      </c>
      <c r="B602" s="291" t="s">
        <v>6280</v>
      </c>
      <c r="C602" s="292" t="s">
        <v>48</v>
      </c>
      <c r="D602" s="293">
        <f t="shared" si="2"/>
        <v>1</v>
      </c>
      <c r="E602" s="294"/>
      <c r="F602" s="295" t="str">
        <f>IFERROR(__xludf.DUMMYFUNCTION("IF(B602="""","""",IFERROR(VLOOKUP(TO_TEXT(B602),PEDIDOS!D:I,6,0),IFERROR(VLOOKUP(B602*1,PEDIDOS!D:I,6,0),"" "")))"),"ENTREGUE")</f>
        <v>ENTREGUE</v>
      </c>
      <c r="G602" s="303"/>
      <c r="H602" s="304"/>
    </row>
    <row r="603">
      <c r="A603" s="302" t="s">
        <v>85</v>
      </c>
      <c r="B603" s="291" t="s">
        <v>5858</v>
      </c>
      <c r="C603" s="292" t="s">
        <v>48</v>
      </c>
      <c r="D603" s="293">
        <f t="shared" si="2"/>
        <v>1</v>
      </c>
      <c r="E603" s="294"/>
      <c r="F603" s="295" t="str">
        <f>IFERROR(__xludf.DUMMYFUNCTION("IF(B603="""","""",IFERROR(VLOOKUP(TO_TEXT(B603),PEDIDOS!D:I,6,0),IFERROR(VLOOKUP(B603*1,PEDIDOS!D:I,6,0),"" "")))"),"ENTREGUE")</f>
        <v>ENTREGUE</v>
      </c>
      <c r="G603" s="303"/>
      <c r="H603" s="304"/>
    </row>
    <row r="604">
      <c r="A604" s="302" t="s">
        <v>85</v>
      </c>
      <c r="B604" s="291" t="s">
        <v>6577</v>
      </c>
      <c r="C604" s="292" t="s">
        <v>48</v>
      </c>
      <c r="D604" s="293">
        <f t="shared" si="2"/>
        <v>1</v>
      </c>
      <c r="E604" s="294"/>
      <c r="F604" s="295" t="str">
        <f>IFERROR(__xludf.DUMMYFUNCTION("IF(B604="""","""",IFERROR(VLOOKUP(TO_TEXT(B604),PEDIDOS!D:I,6,0),IFERROR(VLOOKUP(B604*1,PEDIDOS!D:I,6,0),"" "")))"),"ENTREGUE")</f>
        <v>ENTREGUE</v>
      </c>
      <c r="G604" s="303"/>
      <c r="H604" s="304"/>
    </row>
    <row r="605">
      <c r="A605" s="302" t="s">
        <v>85</v>
      </c>
      <c r="B605" s="291" t="s">
        <v>4891</v>
      </c>
      <c r="C605" s="292" t="s">
        <v>48</v>
      </c>
      <c r="D605" s="293">
        <f t="shared" si="2"/>
        <v>1</v>
      </c>
      <c r="E605" s="294"/>
      <c r="F605" s="295" t="str">
        <f>IFERROR(__xludf.DUMMYFUNCTION("IF(B605="""","""",IFERROR(VLOOKUP(TO_TEXT(B605),PEDIDOS!D:I,6,0),IFERROR(VLOOKUP(B605*1,PEDIDOS!D:I,6,0),"" "")))"),"ENTREGUE")</f>
        <v>ENTREGUE</v>
      </c>
      <c r="G605" s="303"/>
      <c r="H605" s="304"/>
    </row>
    <row r="606">
      <c r="A606" s="302" t="s">
        <v>85</v>
      </c>
      <c r="B606" s="291" t="s">
        <v>5191</v>
      </c>
      <c r="C606" s="292" t="s">
        <v>48</v>
      </c>
      <c r="D606" s="293">
        <f t="shared" si="2"/>
        <v>1</v>
      </c>
      <c r="E606" s="294"/>
      <c r="F606" s="295" t="str">
        <f>IFERROR(__xludf.DUMMYFUNCTION("IF(B606="""","""",IFERROR(VLOOKUP(TO_TEXT(B606),PEDIDOS!D:I,6,0),IFERROR(VLOOKUP(B606*1,PEDIDOS!D:I,6,0),"" "")))"),"ENTREGUE")</f>
        <v>ENTREGUE</v>
      </c>
      <c r="G606" s="303"/>
      <c r="H606" s="304"/>
    </row>
    <row r="607">
      <c r="A607" s="302" t="s">
        <v>85</v>
      </c>
      <c r="B607" s="291" t="s">
        <v>5983</v>
      </c>
      <c r="C607" s="292" t="s">
        <v>48</v>
      </c>
      <c r="D607" s="293">
        <f t="shared" si="2"/>
        <v>1</v>
      </c>
      <c r="E607" s="294"/>
      <c r="F607" s="295" t="str">
        <f>IFERROR(__xludf.DUMMYFUNCTION("IF(B607="""","""",IFERROR(VLOOKUP(TO_TEXT(B607),PEDIDOS!D:I,6,0),IFERROR(VLOOKUP(B607*1,PEDIDOS!D:I,6,0),"" "")))"),"ENTREGUE")</f>
        <v>ENTREGUE</v>
      </c>
      <c r="G607" s="303"/>
      <c r="H607" s="304"/>
    </row>
    <row r="608">
      <c r="A608" s="302" t="s">
        <v>85</v>
      </c>
      <c r="B608" s="291" t="s">
        <v>8022</v>
      </c>
      <c r="C608" s="292" t="s">
        <v>48</v>
      </c>
      <c r="D608" s="293">
        <f t="shared" si="2"/>
        <v>1</v>
      </c>
      <c r="E608" s="294"/>
      <c r="F608" s="295" t="str">
        <f>IFERROR(__xludf.DUMMYFUNCTION("IF(B608="""","""",IFERROR(VLOOKUP(TO_TEXT(B608),PEDIDOS!D:I,6,0),IFERROR(VLOOKUP(B608*1,PEDIDOS!D:I,6,0),"" "")))"),"ENTREGUE")</f>
        <v>ENTREGUE</v>
      </c>
      <c r="G608" s="303"/>
      <c r="H608" s="304"/>
    </row>
    <row r="609">
      <c r="A609" s="302" t="s">
        <v>85</v>
      </c>
      <c r="B609" s="291" t="s">
        <v>6192</v>
      </c>
      <c r="C609" s="292" t="s">
        <v>48</v>
      </c>
      <c r="D609" s="293">
        <f t="shared" si="2"/>
        <v>1</v>
      </c>
      <c r="E609" s="294"/>
      <c r="F609" s="295" t="str">
        <f>IFERROR(__xludf.DUMMYFUNCTION("IF(B609="""","""",IFERROR(VLOOKUP(TO_TEXT(B609),PEDIDOS!D:I,6,0),IFERROR(VLOOKUP(B609*1,PEDIDOS!D:I,6,0),"" "")))"),"ENTREGUE")</f>
        <v>ENTREGUE</v>
      </c>
      <c r="G609" s="303"/>
      <c r="H609" s="304"/>
    </row>
    <row r="610">
      <c r="A610" s="302" t="s">
        <v>85</v>
      </c>
      <c r="B610" s="291" t="s">
        <v>6230</v>
      </c>
      <c r="C610" s="292" t="s">
        <v>48</v>
      </c>
      <c r="D610" s="293">
        <f t="shared" si="2"/>
        <v>1</v>
      </c>
      <c r="E610" s="294"/>
      <c r="F610" s="295" t="str">
        <f>IFERROR(__xludf.DUMMYFUNCTION("IF(B610="""","""",IFERROR(VLOOKUP(TO_TEXT(B610),PEDIDOS!D:I,6,0),IFERROR(VLOOKUP(B610*1,PEDIDOS!D:I,6,0),"" "")))"),"ENTREGUE")</f>
        <v>ENTREGUE</v>
      </c>
      <c r="G610" s="303"/>
      <c r="H610" s="304"/>
    </row>
    <row r="611">
      <c r="A611" s="302" t="s">
        <v>85</v>
      </c>
      <c r="B611" s="291" t="s">
        <v>8047</v>
      </c>
      <c r="C611" s="292" t="s">
        <v>48</v>
      </c>
      <c r="D611" s="293">
        <f t="shared" si="2"/>
        <v>1</v>
      </c>
      <c r="E611" s="294"/>
      <c r="F611" s="295" t="str">
        <f>IFERROR(__xludf.DUMMYFUNCTION("IF(B611="""","""",IFERROR(VLOOKUP(TO_TEXT(B611),PEDIDOS!D:I,6,0),IFERROR(VLOOKUP(B611*1,PEDIDOS!D:I,6,0),"" "")))"),"ENTREGUE")</f>
        <v>ENTREGUE</v>
      </c>
      <c r="G611" s="303"/>
      <c r="H611" s="304"/>
    </row>
    <row r="612">
      <c r="A612" s="302" t="s">
        <v>85</v>
      </c>
      <c r="B612" s="291" t="s">
        <v>4826</v>
      </c>
      <c r="C612" s="292" t="s">
        <v>48</v>
      </c>
      <c r="D612" s="293">
        <f t="shared" si="2"/>
        <v>1</v>
      </c>
      <c r="E612" s="294"/>
      <c r="F612" s="295" t="str">
        <f>IFERROR(__xludf.DUMMYFUNCTION("IF(B612="""","""",IFERROR(VLOOKUP(TO_TEXT(B612),PEDIDOS!D:I,6,0),IFERROR(VLOOKUP(B612*1,PEDIDOS!D:I,6,0),"" "")))"),"ENTREGUE")</f>
        <v>ENTREGUE</v>
      </c>
      <c r="G612" s="303"/>
      <c r="H612" s="304"/>
    </row>
    <row r="613">
      <c r="A613" s="302" t="s">
        <v>85</v>
      </c>
      <c r="B613" s="291" t="s">
        <v>6234</v>
      </c>
      <c r="C613" s="292" t="s">
        <v>48</v>
      </c>
      <c r="D613" s="293">
        <f t="shared" si="2"/>
        <v>1</v>
      </c>
      <c r="E613" s="294"/>
      <c r="F613" s="295" t="str">
        <f>IFERROR(__xludf.DUMMYFUNCTION("IF(B613="""","""",IFERROR(VLOOKUP(TO_TEXT(B613),PEDIDOS!D:I,6,0),IFERROR(VLOOKUP(B613*1,PEDIDOS!D:I,6,0),"" "")))"),"ENTREGUE")</f>
        <v>ENTREGUE</v>
      </c>
      <c r="G613" s="303"/>
      <c r="H613" s="304"/>
    </row>
    <row r="614">
      <c r="A614" s="302" t="s">
        <v>85</v>
      </c>
      <c r="B614" s="291" t="s">
        <v>5796</v>
      </c>
      <c r="C614" s="292" t="s">
        <v>48</v>
      </c>
      <c r="D614" s="293">
        <f t="shared" si="2"/>
        <v>1</v>
      </c>
      <c r="E614" s="294"/>
      <c r="F614" s="295" t="str">
        <f>IFERROR(__xludf.DUMMYFUNCTION("IF(B614="""","""",IFERROR(VLOOKUP(TO_TEXT(B614),PEDIDOS!D:I,6,0),IFERROR(VLOOKUP(B614*1,PEDIDOS!D:I,6,0),"" "")))"),"ENTREGUE")</f>
        <v>ENTREGUE</v>
      </c>
      <c r="G614" s="303"/>
      <c r="H614" s="304"/>
    </row>
    <row r="615">
      <c r="A615" s="302" t="s">
        <v>85</v>
      </c>
      <c r="B615" s="291" t="s">
        <v>4886</v>
      </c>
      <c r="C615" s="292" t="s">
        <v>48</v>
      </c>
      <c r="D615" s="293">
        <f t="shared" si="2"/>
        <v>1</v>
      </c>
      <c r="E615" s="294"/>
      <c r="F615" s="295" t="str">
        <f>IFERROR(__xludf.DUMMYFUNCTION("IF(B615="""","""",IFERROR(VLOOKUP(TO_TEXT(B615),PEDIDOS!D:I,6,0),IFERROR(VLOOKUP(B615*1,PEDIDOS!D:I,6,0),"" "")))"),"ENTREGUE")</f>
        <v>ENTREGUE</v>
      </c>
      <c r="G615" s="303"/>
      <c r="H615" s="304"/>
    </row>
    <row r="616">
      <c r="A616" s="302" t="s">
        <v>85</v>
      </c>
      <c r="B616" s="291" t="s">
        <v>4935</v>
      </c>
      <c r="C616" s="292" t="s">
        <v>48</v>
      </c>
      <c r="D616" s="293">
        <f t="shared" si="2"/>
        <v>1</v>
      </c>
      <c r="E616" s="294"/>
      <c r="F616" s="295" t="str">
        <f>IFERROR(__xludf.DUMMYFUNCTION("IF(B616="""","""",IFERROR(VLOOKUP(TO_TEXT(B616),PEDIDOS!D:I,6,0),IFERROR(VLOOKUP(B616*1,PEDIDOS!D:I,6,0),"" "")))"),"ENTREGUE")</f>
        <v>ENTREGUE</v>
      </c>
      <c r="G616" s="303"/>
      <c r="H616" s="304"/>
    </row>
    <row r="617">
      <c r="A617" s="302" t="s">
        <v>85</v>
      </c>
      <c r="B617" s="291" t="s">
        <v>7823</v>
      </c>
      <c r="C617" s="292" t="s">
        <v>48</v>
      </c>
      <c r="D617" s="293">
        <f t="shared" si="2"/>
        <v>1</v>
      </c>
      <c r="E617" s="294"/>
      <c r="F617" s="295" t="str">
        <f>IFERROR(__xludf.DUMMYFUNCTION("IF(B617="""","""",IFERROR(VLOOKUP(TO_TEXT(B617),PEDIDOS!D:I,6,0),IFERROR(VLOOKUP(B617*1,PEDIDOS!D:I,6,0),"" "")))"),"ENTREGUE")</f>
        <v>ENTREGUE</v>
      </c>
      <c r="G617" s="303"/>
      <c r="H617" s="304"/>
    </row>
    <row r="618">
      <c r="A618" s="302" t="s">
        <v>85</v>
      </c>
      <c r="B618" s="291" t="s">
        <v>6368</v>
      </c>
      <c r="C618" s="292" t="s">
        <v>48</v>
      </c>
      <c r="D618" s="293">
        <f t="shared" si="2"/>
        <v>1</v>
      </c>
      <c r="E618" s="294"/>
      <c r="F618" s="295" t="str">
        <f>IFERROR(__xludf.DUMMYFUNCTION("IF(B618="""","""",IFERROR(VLOOKUP(TO_TEXT(B618),PEDIDOS!D:I,6,0),IFERROR(VLOOKUP(B618*1,PEDIDOS!D:I,6,0),"" "")))"),"ENTREGUE")</f>
        <v>ENTREGUE</v>
      </c>
      <c r="G618" s="303"/>
      <c r="H618" s="304"/>
    </row>
    <row r="619">
      <c r="A619" s="302" t="s">
        <v>85</v>
      </c>
      <c r="B619" s="291" t="s">
        <v>6204</v>
      </c>
      <c r="C619" s="292" t="s">
        <v>48</v>
      </c>
      <c r="D619" s="293">
        <f t="shared" si="2"/>
        <v>1</v>
      </c>
      <c r="E619" s="294"/>
      <c r="F619" s="295" t="str">
        <f>IFERROR(__xludf.DUMMYFUNCTION("IF(B619="""","""",IFERROR(VLOOKUP(TO_TEXT(B619),PEDIDOS!D:I,6,0),IFERROR(VLOOKUP(B619*1,PEDIDOS!D:I,6,0),"" "")))"),"ENTREGUE")</f>
        <v>ENTREGUE</v>
      </c>
      <c r="G619" s="303"/>
      <c r="H619" s="304"/>
    </row>
    <row r="620">
      <c r="A620" s="302" t="s">
        <v>85</v>
      </c>
      <c r="B620" s="291" t="s">
        <v>5976</v>
      </c>
      <c r="C620" s="292" t="s">
        <v>48</v>
      </c>
      <c r="D620" s="293">
        <f t="shared" si="2"/>
        <v>1</v>
      </c>
      <c r="E620" s="294"/>
      <c r="F620" s="295" t="str">
        <f>IFERROR(__xludf.DUMMYFUNCTION("IF(B620="""","""",IFERROR(VLOOKUP(TO_TEXT(B620),PEDIDOS!D:I,6,0),IFERROR(VLOOKUP(B620*1,PEDIDOS!D:I,6,0),"" "")))"),"ENTREGUE")</f>
        <v>ENTREGUE</v>
      </c>
      <c r="G620" s="303"/>
      <c r="H620" s="304"/>
    </row>
    <row r="621">
      <c r="A621" s="302" t="s">
        <v>85</v>
      </c>
      <c r="B621" s="291" t="s">
        <v>5986</v>
      </c>
      <c r="C621" s="292" t="s">
        <v>48</v>
      </c>
      <c r="D621" s="293">
        <f t="shared" si="2"/>
        <v>1</v>
      </c>
      <c r="E621" s="294"/>
      <c r="F621" s="295" t="str">
        <f>IFERROR(__xludf.DUMMYFUNCTION("IF(B621="""","""",IFERROR(VLOOKUP(TO_TEXT(B621),PEDIDOS!D:I,6,0),IFERROR(VLOOKUP(B621*1,PEDIDOS!D:I,6,0),"" "")))"),"ENTREGUE")</f>
        <v>ENTREGUE</v>
      </c>
      <c r="G621" s="303"/>
      <c r="H621" s="304"/>
    </row>
    <row r="622">
      <c r="A622" s="302" t="s">
        <v>85</v>
      </c>
      <c r="B622" s="291" t="s">
        <v>4505</v>
      </c>
      <c r="C622" s="292" t="s">
        <v>48</v>
      </c>
      <c r="D622" s="293">
        <f t="shared" si="2"/>
        <v>1</v>
      </c>
      <c r="E622" s="294"/>
      <c r="F622" s="295" t="str">
        <f>IFERROR(__xludf.DUMMYFUNCTION("IF(B622="""","""",IFERROR(VLOOKUP(TO_TEXT(B622),PEDIDOS!D:I,6,0),IFERROR(VLOOKUP(B622*1,PEDIDOS!D:I,6,0),"" "")))"),"ENTREGUE")</f>
        <v>ENTREGUE</v>
      </c>
      <c r="G622" s="303"/>
      <c r="H622" s="304"/>
    </row>
    <row r="623">
      <c r="A623" s="302" t="s">
        <v>85</v>
      </c>
      <c r="B623" s="291" t="s">
        <v>4420</v>
      </c>
      <c r="C623" s="292" t="s">
        <v>48</v>
      </c>
      <c r="D623" s="293">
        <f t="shared" si="2"/>
        <v>1</v>
      </c>
      <c r="E623" s="294"/>
      <c r="F623" s="295" t="str">
        <f>IFERROR(__xludf.DUMMYFUNCTION("IF(B623="""","""",IFERROR(VLOOKUP(TO_TEXT(B623),PEDIDOS!D:I,6,0),IFERROR(VLOOKUP(B623*1,PEDIDOS!D:I,6,0),"" "")))"),"ENTREGUE")</f>
        <v>ENTREGUE</v>
      </c>
      <c r="G623" s="303"/>
      <c r="H623" s="304"/>
    </row>
    <row r="624">
      <c r="A624" s="302" t="s">
        <v>91</v>
      </c>
      <c r="B624" s="291" t="s">
        <v>8617</v>
      </c>
      <c r="C624" s="292" t="s">
        <v>48</v>
      </c>
      <c r="D624" s="293">
        <f t="shared" si="2"/>
        <v>1</v>
      </c>
      <c r="E624" s="294"/>
      <c r="F624" s="295" t="str">
        <f>IFERROR(__xludf.DUMMYFUNCTION("IF(B624="""","""",IFERROR(VLOOKUP(TO_TEXT(B624),PEDIDOS!D:I,6,0),IFERROR(VLOOKUP(B624*1,PEDIDOS!D:I,6,0),"" "")))"),"ENTREGUE")</f>
        <v>ENTREGUE</v>
      </c>
      <c r="G624" s="303"/>
      <c r="H624" s="304"/>
    </row>
    <row r="625">
      <c r="A625" s="302" t="s">
        <v>91</v>
      </c>
      <c r="B625" s="291" t="s">
        <v>5464</v>
      </c>
      <c r="C625" s="292" t="s">
        <v>48</v>
      </c>
      <c r="D625" s="293">
        <f t="shared" si="2"/>
        <v>1</v>
      </c>
      <c r="E625" s="294"/>
      <c r="F625" s="295" t="str">
        <f>IFERROR(__xludf.DUMMYFUNCTION("IF(B625="""","""",IFERROR(VLOOKUP(TO_TEXT(B625),PEDIDOS!D:I,6,0),IFERROR(VLOOKUP(B625*1,PEDIDOS!D:I,6,0),"" "")))"),"ENTREGUE")</f>
        <v>ENTREGUE</v>
      </c>
      <c r="G625" s="303"/>
      <c r="H625" s="304"/>
    </row>
    <row r="626">
      <c r="A626" s="302" t="s">
        <v>91</v>
      </c>
      <c r="B626" s="291" t="s">
        <v>5418</v>
      </c>
      <c r="C626" s="292" t="s">
        <v>48</v>
      </c>
      <c r="D626" s="293">
        <f t="shared" si="2"/>
        <v>1</v>
      </c>
      <c r="E626" s="294"/>
      <c r="F626" s="295" t="str">
        <f>IFERROR(__xludf.DUMMYFUNCTION("IF(B626="""","""",IFERROR(VLOOKUP(TO_TEXT(B626),PEDIDOS!D:I,6,0),IFERROR(VLOOKUP(B626*1,PEDIDOS!D:I,6,0),"" "")))"),"ENTREGUE")</f>
        <v>ENTREGUE</v>
      </c>
      <c r="G626" s="303"/>
      <c r="H626" s="304"/>
    </row>
    <row r="627">
      <c r="A627" s="302" t="s">
        <v>91</v>
      </c>
      <c r="B627" s="291" t="s">
        <v>5454</v>
      </c>
      <c r="C627" s="292" t="s">
        <v>48</v>
      </c>
      <c r="D627" s="293">
        <f t="shared" si="2"/>
        <v>1</v>
      </c>
      <c r="E627" s="294"/>
      <c r="F627" s="295" t="str">
        <f>IFERROR(__xludf.DUMMYFUNCTION("IF(B627="""","""",IFERROR(VLOOKUP(TO_TEXT(B627),PEDIDOS!D:I,6,0),IFERROR(VLOOKUP(B627*1,PEDIDOS!D:I,6,0),"" "")))"),"ENTREGUE")</f>
        <v>ENTREGUE</v>
      </c>
      <c r="G627" s="303"/>
      <c r="H627" s="304"/>
    </row>
    <row r="628">
      <c r="A628" s="302" t="s">
        <v>91</v>
      </c>
      <c r="B628" s="291" t="s">
        <v>6091</v>
      </c>
      <c r="C628" s="292" t="s">
        <v>48</v>
      </c>
      <c r="D628" s="293">
        <f t="shared" si="2"/>
        <v>1</v>
      </c>
      <c r="E628" s="294"/>
      <c r="F628" s="295" t="str">
        <f>IFERROR(__xludf.DUMMYFUNCTION("IF(B628="""","""",IFERROR(VLOOKUP(TO_TEXT(B628),PEDIDOS!D:I,6,0),IFERROR(VLOOKUP(B628*1,PEDIDOS!D:I,6,0),"" "")))"),"ENTREGUE")</f>
        <v>ENTREGUE</v>
      </c>
      <c r="G628" s="303"/>
      <c r="H628" s="304"/>
    </row>
    <row r="629">
      <c r="A629" s="302" t="s">
        <v>91</v>
      </c>
      <c r="B629" s="291" t="s">
        <v>5302</v>
      </c>
      <c r="C629" s="292" t="s">
        <v>48</v>
      </c>
      <c r="D629" s="293">
        <f t="shared" si="2"/>
        <v>1</v>
      </c>
      <c r="E629" s="294"/>
      <c r="F629" s="295" t="str">
        <f>IFERROR(__xludf.DUMMYFUNCTION("IF(B629="""","""",IFERROR(VLOOKUP(TO_TEXT(B629),PEDIDOS!D:I,6,0),IFERROR(VLOOKUP(B629*1,PEDIDOS!D:I,6,0),"" "")))"),"ENTREGUE")</f>
        <v>ENTREGUE</v>
      </c>
      <c r="G629" s="303"/>
      <c r="H629" s="304"/>
    </row>
    <row r="630">
      <c r="A630" s="302" t="s">
        <v>91</v>
      </c>
      <c r="B630" s="291" t="s">
        <v>6242</v>
      </c>
      <c r="C630" s="292" t="s">
        <v>48</v>
      </c>
      <c r="D630" s="293">
        <f t="shared" si="2"/>
        <v>1</v>
      </c>
      <c r="E630" s="294"/>
      <c r="F630" s="295" t="str">
        <f>IFERROR(__xludf.DUMMYFUNCTION("IF(B630="""","""",IFERROR(VLOOKUP(TO_TEXT(B630),PEDIDOS!D:I,6,0),IFERROR(VLOOKUP(B630*1,PEDIDOS!D:I,6,0),"" "")))"),"ENTREGUE")</f>
        <v>ENTREGUE</v>
      </c>
      <c r="G630" s="303"/>
      <c r="H630" s="304"/>
    </row>
    <row r="631">
      <c r="A631" s="302" t="s">
        <v>91</v>
      </c>
      <c r="B631" s="291" t="s">
        <v>4319</v>
      </c>
      <c r="C631" s="292" t="s">
        <v>48</v>
      </c>
      <c r="D631" s="293">
        <f t="shared" si="2"/>
        <v>1</v>
      </c>
      <c r="E631" s="294"/>
      <c r="F631" s="295" t="str">
        <f>IFERROR(__xludf.DUMMYFUNCTION("IF(B631="""","""",IFERROR(VLOOKUP(TO_TEXT(B631),PEDIDOS!D:I,6,0),IFERROR(VLOOKUP(B631*1,PEDIDOS!D:I,6,0),"" "")))"),"ENTREGUE")</f>
        <v>ENTREGUE</v>
      </c>
      <c r="G631" s="303"/>
      <c r="H631" s="304"/>
    </row>
    <row r="632">
      <c r="A632" s="302" t="s">
        <v>91</v>
      </c>
      <c r="B632" s="291" t="s">
        <v>5383</v>
      </c>
      <c r="C632" s="292" t="s">
        <v>48</v>
      </c>
      <c r="D632" s="293">
        <f t="shared" si="2"/>
        <v>1</v>
      </c>
      <c r="E632" s="294"/>
      <c r="F632" s="295" t="str">
        <f>IFERROR(__xludf.DUMMYFUNCTION("IF(B632="""","""",IFERROR(VLOOKUP(TO_TEXT(B632),PEDIDOS!D:I,6,0),IFERROR(VLOOKUP(B632*1,PEDIDOS!D:I,6,0),"" "")))"),"ENTREGUE")</f>
        <v>ENTREGUE</v>
      </c>
      <c r="G632" s="303"/>
      <c r="H632" s="304"/>
    </row>
    <row r="633">
      <c r="A633" s="302" t="s">
        <v>91</v>
      </c>
      <c r="B633" s="291" t="s">
        <v>5474</v>
      </c>
      <c r="C633" s="292" t="s">
        <v>48</v>
      </c>
      <c r="D633" s="293">
        <f t="shared" si="2"/>
        <v>1</v>
      </c>
      <c r="E633" s="294"/>
      <c r="F633" s="295" t="str">
        <f>IFERROR(__xludf.DUMMYFUNCTION("IF(B633="""","""",IFERROR(VLOOKUP(TO_TEXT(B633),PEDIDOS!D:I,6,0),IFERROR(VLOOKUP(B633*1,PEDIDOS!D:I,6,0),"" "")))"),"ENTREGUE")</f>
        <v>ENTREGUE</v>
      </c>
      <c r="G633" s="303"/>
      <c r="H633" s="304"/>
    </row>
    <row r="634">
      <c r="A634" s="302" t="s">
        <v>91</v>
      </c>
      <c r="B634" s="291" t="s">
        <v>5319</v>
      </c>
      <c r="C634" s="292" t="s">
        <v>48</v>
      </c>
      <c r="D634" s="293">
        <f t="shared" si="2"/>
        <v>1</v>
      </c>
      <c r="E634" s="294"/>
      <c r="F634" s="295" t="str">
        <f>IFERROR(__xludf.DUMMYFUNCTION("IF(B634="""","""",IFERROR(VLOOKUP(TO_TEXT(B634),PEDIDOS!D:I,6,0),IFERROR(VLOOKUP(B634*1,PEDIDOS!D:I,6,0),"" "")))"),"ENTREGUE")</f>
        <v>ENTREGUE</v>
      </c>
      <c r="G634" s="303"/>
      <c r="H634" s="304"/>
    </row>
    <row r="635">
      <c r="A635" s="302" t="s">
        <v>91</v>
      </c>
      <c r="B635" s="291" t="s">
        <v>5055</v>
      </c>
      <c r="C635" s="292" t="s">
        <v>48</v>
      </c>
      <c r="D635" s="293">
        <f t="shared" si="2"/>
        <v>1</v>
      </c>
      <c r="E635" s="294"/>
      <c r="F635" s="295" t="str">
        <f>IFERROR(__xludf.DUMMYFUNCTION("IF(B635="""","""",IFERROR(VLOOKUP(TO_TEXT(B635),PEDIDOS!D:I,6,0),IFERROR(VLOOKUP(B635*1,PEDIDOS!D:I,6,0),"" "")))"),"ENTREGUE")</f>
        <v>ENTREGUE</v>
      </c>
      <c r="G635" s="303"/>
      <c r="H635" s="304"/>
    </row>
    <row r="636">
      <c r="A636" s="302" t="s">
        <v>91</v>
      </c>
      <c r="B636" s="291" t="s">
        <v>6110</v>
      </c>
      <c r="C636" s="292" t="s">
        <v>48</v>
      </c>
      <c r="D636" s="293">
        <f t="shared" si="2"/>
        <v>1</v>
      </c>
      <c r="E636" s="294"/>
      <c r="F636" s="295" t="str">
        <f>IFERROR(__xludf.DUMMYFUNCTION("IF(B636="""","""",IFERROR(VLOOKUP(TO_TEXT(B636),PEDIDOS!D:I,6,0),IFERROR(VLOOKUP(B636*1,PEDIDOS!D:I,6,0),"" "")))"),"ENTREGUE")</f>
        <v>ENTREGUE</v>
      </c>
      <c r="G636" s="303"/>
      <c r="H636" s="304"/>
    </row>
    <row r="637">
      <c r="A637" s="302" t="s">
        <v>91</v>
      </c>
      <c r="B637" s="291" t="s">
        <v>5548</v>
      </c>
      <c r="C637" s="292" t="s">
        <v>48</v>
      </c>
      <c r="D637" s="293">
        <f t="shared" si="2"/>
        <v>1</v>
      </c>
      <c r="E637" s="294"/>
      <c r="F637" s="295" t="str">
        <f>IFERROR(__xludf.DUMMYFUNCTION("IF(B637="""","""",IFERROR(VLOOKUP(TO_TEXT(B637),PEDIDOS!D:I,6,0),IFERROR(VLOOKUP(B637*1,PEDIDOS!D:I,6,0),"" "")))"),"ENTREGUE")</f>
        <v>ENTREGUE</v>
      </c>
      <c r="G637" s="303"/>
      <c r="H637" s="304"/>
    </row>
    <row r="638">
      <c r="A638" s="302" t="s">
        <v>91</v>
      </c>
      <c r="B638" s="291" t="s">
        <v>6106</v>
      </c>
      <c r="C638" s="292" t="s">
        <v>48</v>
      </c>
      <c r="D638" s="293">
        <f t="shared" si="2"/>
        <v>1</v>
      </c>
      <c r="E638" s="294"/>
      <c r="F638" s="295" t="str">
        <f>IFERROR(__xludf.DUMMYFUNCTION("IF(B638="""","""",IFERROR(VLOOKUP(TO_TEXT(B638),PEDIDOS!D:I,6,0),IFERROR(VLOOKUP(B638*1,PEDIDOS!D:I,6,0),"" "")))"),"ENTREGUE")</f>
        <v>ENTREGUE</v>
      </c>
      <c r="G638" s="303"/>
      <c r="H638" s="304"/>
    </row>
    <row r="639">
      <c r="A639" s="302" t="s">
        <v>91</v>
      </c>
      <c r="B639" s="291" t="s">
        <v>6583</v>
      </c>
      <c r="C639" s="292" t="s">
        <v>48</v>
      </c>
      <c r="D639" s="293">
        <f t="shared" si="2"/>
        <v>1</v>
      </c>
      <c r="E639" s="294"/>
      <c r="F639" s="295" t="str">
        <f>IFERROR(__xludf.DUMMYFUNCTION("IF(B639="""","""",IFERROR(VLOOKUP(TO_TEXT(B639),PEDIDOS!D:I,6,0),IFERROR(VLOOKUP(B639*1,PEDIDOS!D:I,6,0),"" "")))"),"ENTREGUE")</f>
        <v>ENTREGUE</v>
      </c>
      <c r="G639" s="303"/>
      <c r="H639" s="304"/>
    </row>
    <row r="640">
      <c r="A640" s="302" t="s">
        <v>91</v>
      </c>
      <c r="B640" s="291" t="s">
        <v>4913</v>
      </c>
      <c r="C640" s="292" t="s">
        <v>48</v>
      </c>
      <c r="D640" s="293">
        <f t="shared" si="2"/>
        <v>1</v>
      </c>
      <c r="E640" s="294"/>
      <c r="F640" s="295" t="str">
        <f>IFERROR(__xludf.DUMMYFUNCTION("IF(B640="""","""",IFERROR(VLOOKUP(TO_TEXT(B640),PEDIDOS!D:I,6,0),IFERROR(VLOOKUP(B640*1,PEDIDOS!D:I,6,0),"" "")))"),"ENTREGUE")</f>
        <v>ENTREGUE</v>
      </c>
      <c r="G640" s="303"/>
      <c r="H640" s="304"/>
    </row>
    <row r="641">
      <c r="A641" s="302" t="s">
        <v>91</v>
      </c>
      <c r="B641" s="291" t="s">
        <v>6609</v>
      </c>
      <c r="C641" s="292" t="s">
        <v>48</v>
      </c>
      <c r="D641" s="293">
        <f t="shared" si="2"/>
        <v>1</v>
      </c>
      <c r="E641" s="294"/>
      <c r="F641" s="295" t="str">
        <f>IFERROR(__xludf.DUMMYFUNCTION("IF(B641="""","""",IFERROR(VLOOKUP(TO_TEXT(B641),PEDIDOS!D:I,6,0),IFERROR(VLOOKUP(B641*1,PEDIDOS!D:I,6,0),"" "")))"),"ENTREGUE")</f>
        <v>ENTREGUE</v>
      </c>
      <c r="G641" s="303"/>
      <c r="H641" s="304"/>
    </row>
    <row r="642">
      <c r="A642" s="302" t="s">
        <v>91</v>
      </c>
      <c r="B642" s="291" t="s">
        <v>4671</v>
      </c>
      <c r="C642" s="292" t="s">
        <v>48</v>
      </c>
      <c r="D642" s="293">
        <f t="shared" si="2"/>
        <v>1</v>
      </c>
      <c r="E642" s="294"/>
      <c r="F642" s="295" t="str">
        <f>IFERROR(__xludf.DUMMYFUNCTION("IF(B642="""","""",IFERROR(VLOOKUP(TO_TEXT(B642),PEDIDOS!D:I,6,0),IFERROR(VLOOKUP(B642*1,PEDIDOS!D:I,6,0),"" "")))"),"ENTREGUE")</f>
        <v>ENTREGUE</v>
      </c>
      <c r="G642" s="303"/>
      <c r="H642" s="304"/>
    </row>
    <row r="643">
      <c r="A643" s="302" t="s">
        <v>91</v>
      </c>
      <c r="B643" s="291" t="s">
        <v>5426</v>
      </c>
      <c r="C643" s="292" t="s">
        <v>48</v>
      </c>
      <c r="D643" s="293">
        <f t="shared" si="2"/>
        <v>1</v>
      </c>
      <c r="E643" s="294"/>
      <c r="F643" s="295" t="str">
        <f>IFERROR(__xludf.DUMMYFUNCTION("IF(B643="""","""",IFERROR(VLOOKUP(TO_TEXT(B643),PEDIDOS!D:I,6,0),IFERROR(VLOOKUP(B643*1,PEDIDOS!D:I,6,0),"" "")))"),"ENTREGUE")</f>
        <v>ENTREGUE</v>
      </c>
      <c r="G643" s="303"/>
      <c r="H643" s="304"/>
    </row>
    <row r="644">
      <c r="A644" s="302" t="s">
        <v>91</v>
      </c>
      <c r="B644" s="291" t="s">
        <v>4918</v>
      </c>
      <c r="C644" s="292" t="s">
        <v>48</v>
      </c>
      <c r="D644" s="293">
        <f t="shared" si="2"/>
        <v>1</v>
      </c>
      <c r="E644" s="294"/>
      <c r="F644" s="295" t="str">
        <f>IFERROR(__xludf.DUMMYFUNCTION("IF(B644="""","""",IFERROR(VLOOKUP(TO_TEXT(B644),PEDIDOS!D:I,6,0),IFERROR(VLOOKUP(B644*1,PEDIDOS!D:I,6,0),"" "")))"),"ENTREGUE")</f>
        <v>ENTREGUE</v>
      </c>
      <c r="G644" s="303"/>
      <c r="H644" s="304"/>
    </row>
    <row r="645">
      <c r="A645" s="302" t="s">
        <v>91</v>
      </c>
      <c r="B645" s="291" t="s">
        <v>6246</v>
      </c>
      <c r="C645" s="292" t="s">
        <v>48</v>
      </c>
      <c r="D645" s="293">
        <f t="shared" si="2"/>
        <v>1</v>
      </c>
      <c r="E645" s="294"/>
      <c r="F645" s="295" t="str">
        <f>IFERROR(__xludf.DUMMYFUNCTION("IF(B645="""","""",IFERROR(VLOOKUP(TO_TEXT(B645),PEDIDOS!D:I,6,0),IFERROR(VLOOKUP(B645*1,PEDIDOS!D:I,6,0),"" "")))"),"ENTREGUE")</f>
        <v>ENTREGUE</v>
      </c>
      <c r="G645" s="303"/>
      <c r="H645" s="304"/>
    </row>
    <row r="646">
      <c r="A646" s="302" t="s">
        <v>91</v>
      </c>
      <c r="B646" s="291" t="s">
        <v>6587</v>
      </c>
      <c r="C646" s="292" t="s">
        <v>48</v>
      </c>
      <c r="D646" s="293">
        <f t="shared" si="2"/>
        <v>1</v>
      </c>
      <c r="E646" s="294"/>
      <c r="F646" s="295" t="str">
        <f>IFERROR(__xludf.DUMMYFUNCTION("IF(B646="""","""",IFERROR(VLOOKUP(TO_TEXT(B646),PEDIDOS!D:I,6,0),IFERROR(VLOOKUP(B646*1,PEDIDOS!D:I,6,0),"" "")))"),"ENTREGUE")</f>
        <v>ENTREGUE</v>
      </c>
      <c r="G646" s="303"/>
      <c r="H646" s="304"/>
    </row>
    <row r="647">
      <c r="A647" s="302" t="s">
        <v>91</v>
      </c>
      <c r="B647" s="291" t="s">
        <v>4692</v>
      </c>
      <c r="C647" s="292" t="s">
        <v>48</v>
      </c>
      <c r="D647" s="293">
        <f t="shared" si="2"/>
        <v>1</v>
      </c>
      <c r="E647" s="294"/>
      <c r="F647" s="295" t="str">
        <f>IFERROR(__xludf.DUMMYFUNCTION("IF(B647="""","""",IFERROR(VLOOKUP(TO_TEXT(B647),PEDIDOS!D:I,6,0),IFERROR(VLOOKUP(B647*1,PEDIDOS!D:I,6,0),"" "")))"),"ENTREGUE")</f>
        <v>ENTREGUE</v>
      </c>
      <c r="G647" s="303"/>
      <c r="H647" s="304"/>
    </row>
    <row r="648">
      <c r="A648" s="302" t="s">
        <v>91</v>
      </c>
      <c r="B648" s="291" t="s">
        <v>5543</v>
      </c>
      <c r="C648" s="292" t="s">
        <v>48</v>
      </c>
      <c r="D648" s="293">
        <f t="shared" si="2"/>
        <v>1</v>
      </c>
      <c r="E648" s="294"/>
      <c r="F648" s="295" t="str">
        <f>IFERROR(__xludf.DUMMYFUNCTION("IF(B648="""","""",IFERROR(VLOOKUP(TO_TEXT(B648),PEDIDOS!D:I,6,0),IFERROR(VLOOKUP(B648*1,PEDIDOS!D:I,6,0),"" "")))"),"ENTREGUE")</f>
        <v>ENTREGUE</v>
      </c>
      <c r="G648" s="303"/>
      <c r="H648" s="304"/>
    </row>
    <row r="649">
      <c r="A649" s="302" t="s">
        <v>91</v>
      </c>
      <c r="B649" s="291" t="s">
        <v>6383</v>
      </c>
      <c r="C649" s="292" t="s">
        <v>48</v>
      </c>
      <c r="D649" s="293">
        <f t="shared" si="2"/>
        <v>1</v>
      </c>
      <c r="E649" s="294"/>
      <c r="F649" s="295" t="str">
        <f>IFERROR(__xludf.DUMMYFUNCTION("IF(B649="""","""",IFERROR(VLOOKUP(TO_TEXT(B649),PEDIDOS!D:I,6,0),IFERROR(VLOOKUP(B649*1,PEDIDOS!D:I,6,0),"" "")))"),"ENTREGUE")</f>
        <v>ENTREGUE</v>
      </c>
      <c r="G649" s="303"/>
      <c r="H649" s="304"/>
    </row>
    <row r="650">
      <c r="A650" s="302" t="s">
        <v>91</v>
      </c>
      <c r="B650" s="291" t="s">
        <v>5587</v>
      </c>
      <c r="C650" s="292" t="s">
        <v>48</v>
      </c>
      <c r="D650" s="293">
        <f t="shared" si="2"/>
        <v>1</v>
      </c>
      <c r="E650" s="294"/>
      <c r="F650" s="295" t="str">
        <f>IFERROR(__xludf.DUMMYFUNCTION("IF(B650="""","""",IFERROR(VLOOKUP(TO_TEXT(B650),PEDIDOS!D:I,6,0),IFERROR(VLOOKUP(B650*1,PEDIDOS!D:I,6,0),"" "")))"),"ENTREGUE")</f>
        <v>ENTREGUE</v>
      </c>
      <c r="G650" s="303"/>
      <c r="H650" s="304"/>
    </row>
    <row r="651">
      <c r="A651" s="302" t="s">
        <v>91</v>
      </c>
      <c r="B651" s="291" t="s">
        <v>5601</v>
      </c>
      <c r="C651" s="292" t="s">
        <v>48</v>
      </c>
      <c r="D651" s="293">
        <f t="shared" si="2"/>
        <v>1</v>
      </c>
      <c r="E651" s="294"/>
      <c r="F651" s="295" t="str">
        <f>IFERROR(__xludf.DUMMYFUNCTION("IF(B651="""","""",IFERROR(VLOOKUP(TO_TEXT(B651),PEDIDOS!D:I,6,0),IFERROR(VLOOKUP(B651*1,PEDIDOS!D:I,6,0),"" "")))"),"ENTREGUE")</f>
        <v>ENTREGUE</v>
      </c>
      <c r="G651" s="303"/>
      <c r="H651" s="304"/>
    </row>
    <row r="652">
      <c r="A652" s="302" t="s">
        <v>91</v>
      </c>
      <c r="B652" s="291" t="s">
        <v>5697</v>
      </c>
      <c r="C652" s="292" t="s">
        <v>48</v>
      </c>
      <c r="D652" s="293">
        <f t="shared" si="2"/>
        <v>1</v>
      </c>
      <c r="E652" s="294"/>
      <c r="F652" s="295" t="str">
        <f>IFERROR(__xludf.DUMMYFUNCTION("IF(B652="""","""",IFERROR(VLOOKUP(TO_TEXT(B652),PEDIDOS!D:I,6,0),IFERROR(VLOOKUP(B652*1,PEDIDOS!D:I,6,0),"" "")))"),"ENTREGUE")</f>
        <v>ENTREGUE</v>
      </c>
      <c r="G652" s="303"/>
      <c r="H652" s="304"/>
    </row>
    <row r="653">
      <c r="A653" s="302" t="s">
        <v>91</v>
      </c>
      <c r="B653" s="291" t="s">
        <v>5207</v>
      </c>
      <c r="C653" s="292" t="s">
        <v>48</v>
      </c>
      <c r="D653" s="293">
        <f t="shared" si="2"/>
        <v>1</v>
      </c>
      <c r="E653" s="294"/>
      <c r="F653" s="295" t="str">
        <f>IFERROR(__xludf.DUMMYFUNCTION("IF(B653="""","""",IFERROR(VLOOKUP(TO_TEXT(B653),PEDIDOS!D:I,6,0),IFERROR(VLOOKUP(B653*1,PEDIDOS!D:I,6,0),"" "")))"),"ENTREGUE")</f>
        <v>ENTREGUE</v>
      </c>
      <c r="G653" s="303"/>
      <c r="H653" s="304"/>
    </row>
    <row r="654">
      <c r="A654" s="302" t="s">
        <v>91</v>
      </c>
      <c r="B654" s="291" t="s">
        <v>6102</v>
      </c>
      <c r="C654" s="292" t="s">
        <v>48</v>
      </c>
      <c r="D654" s="293">
        <f t="shared" si="2"/>
        <v>1</v>
      </c>
      <c r="E654" s="294"/>
      <c r="F654" s="295" t="str">
        <f>IFERROR(__xludf.DUMMYFUNCTION("IF(B654="""","""",IFERROR(VLOOKUP(TO_TEXT(B654),PEDIDOS!D:I,6,0),IFERROR(VLOOKUP(B654*1,PEDIDOS!D:I,6,0),"" "")))"),"ENTREGUE")</f>
        <v>ENTREGUE</v>
      </c>
      <c r="G654" s="303"/>
      <c r="H654" s="304"/>
    </row>
    <row r="655">
      <c r="A655" s="302" t="s">
        <v>91</v>
      </c>
      <c r="B655" s="291" t="s">
        <v>5490</v>
      </c>
      <c r="C655" s="292" t="s">
        <v>48</v>
      </c>
      <c r="D655" s="293">
        <f t="shared" si="2"/>
        <v>1</v>
      </c>
      <c r="E655" s="294"/>
      <c r="F655" s="295" t="str">
        <f>IFERROR(__xludf.DUMMYFUNCTION("IF(B655="""","""",IFERROR(VLOOKUP(TO_TEXT(B655),PEDIDOS!D:I,6,0),IFERROR(VLOOKUP(B655*1,PEDIDOS!D:I,6,0),"" "")))"),"ENTREGUE")</f>
        <v>ENTREGUE</v>
      </c>
      <c r="G655" s="303"/>
      <c r="H655" s="304"/>
    </row>
    <row r="656">
      <c r="A656" s="302" t="s">
        <v>91</v>
      </c>
      <c r="B656" s="291" t="s">
        <v>5494</v>
      </c>
      <c r="C656" s="292" t="s">
        <v>48</v>
      </c>
      <c r="D656" s="293">
        <f t="shared" si="2"/>
        <v>1</v>
      </c>
      <c r="E656" s="294"/>
      <c r="F656" s="295" t="str">
        <f>IFERROR(__xludf.DUMMYFUNCTION("IF(B656="""","""",IFERROR(VLOOKUP(TO_TEXT(B656),PEDIDOS!D:I,6,0),IFERROR(VLOOKUP(B656*1,PEDIDOS!D:I,6,0),"" "")))"),"ENTREGUE")</f>
        <v>ENTREGUE</v>
      </c>
      <c r="G656" s="303"/>
      <c r="H656" s="304"/>
    </row>
    <row r="657">
      <c r="A657" s="302" t="s">
        <v>91</v>
      </c>
      <c r="B657" s="291" t="s">
        <v>6097</v>
      </c>
      <c r="C657" s="292" t="s">
        <v>48</v>
      </c>
      <c r="D657" s="293">
        <f t="shared" si="2"/>
        <v>1</v>
      </c>
      <c r="E657" s="294"/>
      <c r="F657" s="295" t="str">
        <f>IFERROR(__xludf.DUMMYFUNCTION("IF(B657="""","""",IFERROR(VLOOKUP(TO_TEXT(B657),PEDIDOS!D:I,6,0),IFERROR(VLOOKUP(B657*1,PEDIDOS!D:I,6,0),"" "")))"),"ENTREGUE")</f>
        <v>ENTREGUE</v>
      </c>
      <c r="G657" s="303"/>
      <c r="H657" s="304"/>
    </row>
    <row r="658">
      <c r="A658" s="302" t="s">
        <v>91</v>
      </c>
      <c r="B658" s="291" t="s">
        <v>5229</v>
      </c>
      <c r="C658" s="292" t="s">
        <v>48</v>
      </c>
      <c r="D658" s="293">
        <f t="shared" si="2"/>
        <v>1</v>
      </c>
      <c r="E658" s="294"/>
      <c r="F658" s="295" t="str">
        <f>IFERROR(__xludf.DUMMYFUNCTION("IF(B658="""","""",IFERROR(VLOOKUP(TO_TEXT(B658),PEDIDOS!D:I,6,0),IFERROR(VLOOKUP(B658*1,PEDIDOS!D:I,6,0),"" "")))"),"ENTREGUE")</f>
        <v>ENTREGUE</v>
      </c>
      <c r="G658" s="303"/>
      <c r="H658" s="304"/>
    </row>
    <row r="659">
      <c r="A659" s="302" t="s">
        <v>112</v>
      </c>
      <c r="B659" s="291" t="s">
        <v>7329</v>
      </c>
      <c r="C659" s="292" t="s">
        <v>48</v>
      </c>
      <c r="D659" s="293">
        <f t="shared" si="2"/>
        <v>1</v>
      </c>
      <c r="E659" s="294"/>
      <c r="F659" s="295" t="str">
        <f>IFERROR(__xludf.DUMMYFUNCTION("IF(B659="""","""",IFERROR(VLOOKUP(TO_TEXT(B659),PEDIDOS!D:I,6,0),IFERROR(VLOOKUP(B659*1,PEDIDOS!D:I,6,0),"" "")))"),"ENTREGUE")</f>
        <v>ENTREGUE</v>
      </c>
      <c r="G659" s="303"/>
      <c r="H659" s="304"/>
    </row>
    <row r="660">
      <c r="A660" s="302" t="s">
        <v>112</v>
      </c>
      <c r="B660" s="291" t="s">
        <v>4563</v>
      </c>
      <c r="C660" s="292" t="s">
        <v>48</v>
      </c>
      <c r="D660" s="293">
        <f t="shared" si="2"/>
        <v>1</v>
      </c>
      <c r="E660" s="294"/>
      <c r="F660" s="295" t="str">
        <f>IFERROR(__xludf.DUMMYFUNCTION("IF(B660="""","""",IFERROR(VLOOKUP(TO_TEXT(B660),PEDIDOS!D:I,6,0),IFERROR(VLOOKUP(B660*1,PEDIDOS!D:I,6,0),"" "")))"),"ENTREGUE")</f>
        <v>ENTREGUE</v>
      </c>
      <c r="G660" s="303"/>
      <c r="H660" s="304"/>
    </row>
    <row r="661">
      <c r="A661" s="302" t="s">
        <v>112</v>
      </c>
      <c r="B661" s="291" t="s">
        <v>4641</v>
      </c>
      <c r="C661" s="292" t="s">
        <v>48</v>
      </c>
      <c r="D661" s="293">
        <f t="shared" si="2"/>
        <v>1</v>
      </c>
      <c r="E661" s="294"/>
      <c r="F661" s="295" t="str">
        <f>IFERROR(__xludf.DUMMYFUNCTION("IF(B661="""","""",IFERROR(VLOOKUP(TO_TEXT(B661),PEDIDOS!D:I,6,0),IFERROR(VLOOKUP(B661*1,PEDIDOS!D:I,6,0),"" "")))"),"ENTREGUE")</f>
        <v>ENTREGUE</v>
      </c>
      <c r="G661" s="303"/>
      <c r="H661" s="304"/>
    </row>
    <row r="662">
      <c r="A662" s="302" t="s">
        <v>112</v>
      </c>
      <c r="B662" s="291" t="s">
        <v>4438</v>
      </c>
      <c r="C662" s="292" t="s">
        <v>48</v>
      </c>
      <c r="D662" s="293">
        <f t="shared" si="2"/>
        <v>1</v>
      </c>
      <c r="E662" s="294"/>
      <c r="F662" s="295" t="str">
        <f>IFERROR(__xludf.DUMMYFUNCTION("IF(B662="""","""",IFERROR(VLOOKUP(TO_TEXT(B662),PEDIDOS!D:I,6,0),IFERROR(VLOOKUP(B662*1,PEDIDOS!D:I,6,0),"" "")))"),"ENTREGUE")</f>
        <v>ENTREGUE</v>
      </c>
      <c r="G662" s="303"/>
      <c r="H662" s="304"/>
    </row>
    <row r="663">
      <c r="A663" s="302" t="s">
        <v>112</v>
      </c>
      <c r="B663" s="291" t="s">
        <v>4353</v>
      </c>
      <c r="C663" s="292" t="s">
        <v>48</v>
      </c>
      <c r="D663" s="293">
        <f t="shared" si="2"/>
        <v>1</v>
      </c>
      <c r="E663" s="294"/>
      <c r="F663" s="295" t="str">
        <f>IFERROR(__xludf.DUMMYFUNCTION("IF(B663="""","""",IFERROR(VLOOKUP(TO_TEXT(B663),PEDIDOS!D:I,6,0),IFERROR(VLOOKUP(B663*1,PEDIDOS!D:I,6,0),"" "")))"),"ENTREGUE")</f>
        <v>ENTREGUE</v>
      </c>
      <c r="G663" s="303"/>
      <c r="H663" s="304"/>
    </row>
    <row r="664">
      <c r="A664" s="302" t="s">
        <v>112</v>
      </c>
      <c r="B664" s="291" t="s">
        <v>5409</v>
      </c>
      <c r="C664" s="292" t="s">
        <v>48</v>
      </c>
      <c r="D664" s="293">
        <f t="shared" si="2"/>
        <v>1</v>
      </c>
      <c r="E664" s="294"/>
      <c r="F664" s="295" t="str">
        <f>IFERROR(__xludf.DUMMYFUNCTION("IF(B664="""","""",IFERROR(VLOOKUP(TO_TEXT(B664),PEDIDOS!D:I,6,0),IFERROR(VLOOKUP(B664*1,PEDIDOS!D:I,6,0),"" "")))"),"ENTREGUE")</f>
        <v>ENTREGUE</v>
      </c>
      <c r="G664" s="303"/>
      <c r="H664" s="304"/>
    </row>
    <row r="665">
      <c r="A665" s="302" t="s">
        <v>112</v>
      </c>
      <c r="B665" s="291" t="s">
        <v>5015</v>
      </c>
      <c r="C665" s="292" t="s">
        <v>48</v>
      </c>
      <c r="D665" s="293">
        <f t="shared" si="2"/>
        <v>1</v>
      </c>
      <c r="E665" s="294"/>
      <c r="F665" s="295" t="str">
        <f>IFERROR(__xludf.DUMMYFUNCTION("IF(B665="""","""",IFERROR(VLOOKUP(TO_TEXT(B665),PEDIDOS!D:I,6,0),IFERROR(VLOOKUP(B665*1,PEDIDOS!D:I,6,0),"" "")))"),"ENTREGUE")</f>
        <v>ENTREGUE</v>
      </c>
      <c r="G665" s="303"/>
      <c r="H665" s="304"/>
    </row>
    <row r="666">
      <c r="A666" s="302" t="s">
        <v>112</v>
      </c>
      <c r="B666" s="291" t="s">
        <v>4682</v>
      </c>
      <c r="C666" s="292" t="s">
        <v>48</v>
      </c>
      <c r="D666" s="293">
        <f t="shared" si="2"/>
        <v>1</v>
      </c>
      <c r="E666" s="294"/>
      <c r="F666" s="295" t="str">
        <f>IFERROR(__xludf.DUMMYFUNCTION("IF(B666="""","""",IFERROR(VLOOKUP(TO_TEXT(B666),PEDIDOS!D:I,6,0),IFERROR(VLOOKUP(B666*1,PEDIDOS!D:I,6,0),"" "")))"),"ENTREGUE")</f>
        <v>ENTREGUE</v>
      </c>
      <c r="G666" s="303"/>
      <c r="H666" s="304"/>
    </row>
    <row r="667">
      <c r="A667" s="302" t="s">
        <v>112</v>
      </c>
      <c r="B667" s="291" t="s">
        <v>4514</v>
      </c>
      <c r="C667" s="292" t="s">
        <v>48</v>
      </c>
      <c r="D667" s="293">
        <f t="shared" si="2"/>
        <v>1</v>
      </c>
      <c r="E667" s="294"/>
      <c r="F667" s="295" t="str">
        <f>IFERROR(__xludf.DUMMYFUNCTION("IF(B667="""","""",IFERROR(VLOOKUP(TO_TEXT(B667),PEDIDOS!D:I,6,0),IFERROR(VLOOKUP(B667*1,PEDIDOS!D:I,6,0),"" "")))"),"ENTREGUE")</f>
        <v>ENTREGUE</v>
      </c>
      <c r="G667" s="303"/>
      <c r="H667" s="304"/>
    </row>
    <row r="668">
      <c r="A668" s="302" t="s">
        <v>112</v>
      </c>
      <c r="B668" s="291" t="s">
        <v>6448</v>
      </c>
      <c r="C668" s="292" t="s">
        <v>48</v>
      </c>
      <c r="D668" s="293">
        <f t="shared" si="2"/>
        <v>1</v>
      </c>
      <c r="E668" s="294"/>
      <c r="F668" s="295" t="str">
        <f>IFERROR(__xludf.DUMMYFUNCTION("IF(B668="""","""",IFERROR(VLOOKUP(TO_TEXT(B668),PEDIDOS!D:I,6,0),IFERROR(VLOOKUP(B668*1,PEDIDOS!D:I,6,0),"" "")))"),"ENTREGUE")</f>
        <v>ENTREGUE</v>
      </c>
      <c r="G668" s="303"/>
      <c r="H668" s="304"/>
    </row>
    <row r="669">
      <c r="A669" s="302" t="s">
        <v>112</v>
      </c>
      <c r="B669" s="291" t="s">
        <v>4238</v>
      </c>
      <c r="C669" s="292" t="s">
        <v>48</v>
      </c>
      <c r="D669" s="293">
        <f t="shared" si="2"/>
        <v>1</v>
      </c>
      <c r="E669" s="294"/>
      <c r="F669" s="295" t="str">
        <f>IFERROR(__xludf.DUMMYFUNCTION("IF(B669="""","""",IFERROR(VLOOKUP(TO_TEXT(B669),PEDIDOS!D:I,6,0),IFERROR(VLOOKUP(B669*1,PEDIDOS!D:I,6,0),"" "")))"),"ENTREGUE")</f>
        <v>ENTREGUE</v>
      </c>
      <c r="G669" s="303"/>
      <c r="H669" s="304"/>
    </row>
    <row r="670">
      <c r="A670" s="302" t="s">
        <v>112</v>
      </c>
      <c r="B670" s="291" t="s">
        <v>4122</v>
      </c>
      <c r="C670" s="292" t="s">
        <v>48</v>
      </c>
      <c r="D670" s="293">
        <f t="shared" si="2"/>
        <v>1</v>
      </c>
      <c r="E670" s="294"/>
      <c r="F670" s="295" t="str">
        <f>IFERROR(__xludf.DUMMYFUNCTION("IF(B670="""","""",IFERROR(VLOOKUP(TO_TEXT(B670),PEDIDOS!D:I,6,0),IFERROR(VLOOKUP(B670*1,PEDIDOS!D:I,6,0),"" "")))"),"ENTREGUE")</f>
        <v>ENTREGUE</v>
      </c>
      <c r="G670" s="303"/>
      <c r="H670" s="304"/>
    </row>
    <row r="671">
      <c r="A671" s="302" t="s">
        <v>112</v>
      </c>
      <c r="B671" s="291" t="s">
        <v>5175</v>
      </c>
      <c r="C671" s="292" t="s">
        <v>48</v>
      </c>
      <c r="D671" s="293">
        <f t="shared" si="2"/>
        <v>1</v>
      </c>
      <c r="E671" s="294"/>
      <c r="F671" s="295" t="str">
        <f>IFERROR(__xludf.DUMMYFUNCTION("IF(B671="""","""",IFERROR(VLOOKUP(TO_TEXT(B671),PEDIDOS!D:I,6,0),IFERROR(VLOOKUP(B671*1,PEDIDOS!D:I,6,0),"" "")))"),"ENTREGUE")</f>
        <v>ENTREGUE</v>
      </c>
      <c r="G671" s="303"/>
      <c r="H671" s="304"/>
    </row>
    <row r="672">
      <c r="A672" s="302" t="s">
        <v>112</v>
      </c>
      <c r="B672" s="291" t="s">
        <v>6196</v>
      </c>
      <c r="C672" s="292" t="s">
        <v>48</v>
      </c>
      <c r="D672" s="293">
        <f t="shared" si="2"/>
        <v>1</v>
      </c>
      <c r="E672" s="294"/>
      <c r="F672" s="295" t="str">
        <f>IFERROR(__xludf.DUMMYFUNCTION("IF(B672="""","""",IFERROR(VLOOKUP(TO_TEXT(B672),PEDIDOS!D:I,6,0),IFERROR(VLOOKUP(B672*1,PEDIDOS!D:I,6,0),"" "")))"),"ENTREGUE")</f>
        <v>ENTREGUE</v>
      </c>
      <c r="G672" s="303"/>
      <c r="H672" s="304"/>
    </row>
    <row r="673">
      <c r="A673" s="302" t="s">
        <v>112</v>
      </c>
      <c r="B673" s="291" t="s">
        <v>4278</v>
      </c>
      <c r="C673" s="292" t="s">
        <v>48</v>
      </c>
      <c r="D673" s="293">
        <f t="shared" si="2"/>
        <v>1</v>
      </c>
      <c r="E673" s="294"/>
      <c r="F673" s="295" t="str">
        <f>IFERROR(__xludf.DUMMYFUNCTION("IF(B673="""","""",IFERROR(VLOOKUP(TO_TEXT(B673),PEDIDOS!D:I,6,0),IFERROR(VLOOKUP(B673*1,PEDIDOS!D:I,6,0),"" "")))"),"ENTREGUE")</f>
        <v>ENTREGUE</v>
      </c>
      <c r="G673" s="303"/>
      <c r="H673" s="304"/>
    </row>
    <row r="674">
      <c r="A674" s="302" t="s">
        <v>112</v>
      </c>
      <c r="B674" s="291" t="s">
        <v>5450</v>
      </c>
      <c r="C674" s="292" t="s">
        <v>48</v>
      </c>
      <c r="D674" s="293">
        <f t="shared" si="2"/>
        <v>1</v>
      </c>
      <c r="E674" s="294"/>
      <c r="F674" s="295" t="str">
        <f>IFERROR(__xludf.DUMMYFUNCTION("IF(B674="""","""",IFERROR(VLOOKUP(TO_TEXT(B674),PEDIDOS!D:I,6,0),IFERROR(VLOOKUP(B674*1,PEDIDOS!D:I,6,0),"" "")))"),"ENTREGUE")</f>
        <v>ENTREGUE</v>
      </c>
      <c r="G674" s="303"/>
      <c r="H674" s="304"/>
    </row>
    <row r="675">
      <c r="A675" s="302" t="s">
        <v>112</v>
      </c>
      <c r="B675" s="291" t="s">
        <v>5025</v>
      </c>
      <c r="C675" s="292" t="s">
        <v>48</v>
      </c>
      <c r="D675" s="293">
        <f t="shared" si="2"/>
        <v>1</v>
      </c>
      <c r="E675" s="294"/>
      <c r="F675" s="295" t="str">
        <f>IFERROR(__xludf.DUMMYFUNCTION("IF(B675="""","""",IFERROR(VLOOKUP(TO_TEXT(B675),PEDIDOS!D:I,6,0),IFERROR(VLOOKUP(B675*1,PEDIDOS!D:I,6,0),"" "")))"),"ENTREGUE")</f>
        <v>ENTREGUE</v>
      </c>
      <c r="G675" s="303"/>
      <c r="H675" s="304"/>
    </row>
    <row r="676">
      <c r="A676" s="302" t="s">
        <v>112</v>
      </c>
      <c r="B676" s="291" t="s">
        <v>5019</v>
      </c>
      <c r="C676" s="292" t="s">
        <v>48</v>
      </c>
      <c r="D676" s="293">
        <f t="shared" si="2"/>
        <v>1</v>
      </c>
      <c r="E676" s="294"/>
      <c r="F676" s="295" t="str">
        <f>IFERROR(__xludf.DUMMYFUNCTION("IF(B676="""","""",IFERROR(VLOOKUP(TO_TEXT(B676),PEDIDOS!D:I,6,0),IFERROR(VLOOKUP(B676*1,PEDIDOS!D:I,6,0),"" "")))"),"ENTREGUE")</f>
        <v>ENTREGUE</v>
      </c>
      <c r="G676" s="303"/>
      <c r="H676" s="304"/>
    </row>
    <row r="677">
      <c r="A677" s="302" t="s">
        <v>112</v>
      </c>
      <c r="B677" s="291" t="s">
        <v>4926</v>
      </c>
      <c r="C677" s="292" t="s">
        <v>48</v>
      </c>
      <c r="D677" s="293">
        <f t="shared" si="2"/>
        <v>1</v>
      </c>
      <c r="E677" s="294"/>
      <c r="F677" s="295" t="str">
        <f>IFERROR(__xludf.DUMMYFUNCTION("IF(B677="""","""",IFERROR(VLOOKUP(TO_TEXT(B677),PEDIDOS!D:I,6,0),IFERROR(VLOOKUP(B677*1,PEDIDOS!D:I,6,0),"" "")))"),"ENTREGUE")</f>
        <v>ENTREGUE</v>
      </c>
      <c r="G677" s="303"/>
      <c r="H677" s="304"/>
    </row>
    <row r="678">
      <c r="A678" s="302" t="s">
        <v>112</v>
      </c>
      <c r="B678" s="291" t="s">
        <v>5022</v>
      </c>
      <c r="C678" s="292" t="s">
        <v>48</v>
      </c>
      <c r="D678" s="293">
        <f t="shared" si="2"/>
        <v>1</v>
      </c>
      <c r="E678" s="294"/>
      <c r="F678" s="295" t="str">
        <f>IFERROR(__xludf.DUMMYFUNCTION("IF(B678="""","""",IFERROR(VLOOKUP(TO_TEXT(B678),PEDIDOS!D:I,6,0),IFERROR(VLOOKUP(B678*1,PEDIDOS!D:I,6,0),"" "")))"),"ENTREGUE")</f>
        <v>ENTREGUE</v>
      </c>
      <c r="G678" s="303"/>
      <c r="H678" s="304"/>
    </row>
    <row r="679">
      <c r="A679" s="302" t="s">
        <v>112</v>
      </c>
      <c r="B679" s="291" t="s">
        <v>4852</v>
      </c>
      <c r="C679" s="292" t="s">
        <v>48</v>
      </c>
      <c r="D679" s="293">
        <f t="shared" si="2"/>
        <v>1</v>
      </c>
      <c r="E679" s="294"/>
      <c r="F679" s="295" t="str">
        <f>IFERROR(__xludf.DUMMYFUNCTION("IF(B679="""","""",IFERROR(VLOOKUP(TO_TEXT(B679),PEDIDOS!D:I,6,0),IFERROR(VLOOKUP(B679*1,PEDIDOS!D:I,6,0),"" "")))"),"ENTREGUE")</f>
        <v>ENTREGUE</v>
      </c>
      <c r="G679" s="303"/>
      <c r="H679" s="304"/>
    </row>
    <row r="680">
      <c r="A680" s="302" t="s">
        <v>112</v>
      </c>
      <c r="B680" s="291" t="s">
        <v>5078</v>
      </c>
      <c r="C680" s="292" t="s">
        <v>48</v>
      </c>
      <c r="D680" s="293">
        <f t="shared" si="2"/>
        <v>1</v>
      </c>
      <c r="E680" s="294"/>
      <c r="F680" s="295" t="str">
        <f>IFERROR(__xludf.DUMMYFUNCTION("IF(B680="""","""",IFERROR(VLOOKUP(TO_TEXT(B680),PEDIDOS!D:I,6,0),IFERROR(VLOOKUP(B680*1,PEDIDOS!D:I,6,0),"" "")))"),"ENTREGUE")</f>
        <v>ENTREGUE</v>
      </c>
      <c r="G680" s="303"/>
      <c r="H680" s="304"/>
    </row>
    <row r="681">
      <c r="A681" s="302" t="s">
        <v>112</v>
      </c>
      <c r="B681" s="291" t="s">
        <v>4139</v>
      </c>
      <c r="C681" s="292" t="s">
        <v>48</v>
      </c>
      <c r="D681" s="293">
        <f t="shared" si="2"/>
        <v>1</v>
      </c>
      <c r="E681" s="294"/>
      <c r="F681" s="295" t="str">
        <f>IFERROR(__xludf.DUMMYFUNCTION("IF(B681="""","""",IFERROR(VLOOKUP(TO_TEXT(B681),PEDIDOS!D:I,6,0),IFERROR(VLOOKUP(B681*1,PEDIDOS!D:I,6,0),"" "")))"),"ENTREGUE")</f>
        <v>ENTREGUE</v>
      </c>
      <c r="G681" s="303"/>
      <c r="H681" s="304"/>
    </row>
    <row r="682">
      <c r="A682" s="302" t="s">
        <v>112</v>
      </c>
      <c r="B682" s="291" t="s">
        <v>5393</v>
      </c>
      <c r="C682" s="292" t="s">
        <v>48</v>
      </c>
      <c r="D682" s="293">
        <f t="shared" si="2"/>
        <v>1</v>
      </c>
      <c r="E682" s="294"/>
      <c r="F682" s="295" t="str">
        <f>IFERROR(__xludf.DUMMYFUNCTION("IF(B682="""","""",IFERROR(VLOOKUP(TO_TEXT(B682),PEDIDOS!D:I,6,0),IFERROR(VLOOKUP(B682*1,PEDIDOS!D:I,6,0),"" "")))"),"ENTREGUE")</f>
        <v>ENTREGUE</v>
      </c>
      <c r="G682" s="303"/>
      <c r="H682" s="304"/>
    </row>
    <row r="683">
      <c r="A683" s="302" t="s">
        <v>112</v>
      </c>
      <c r="B683" s="291" t="s">
        <v>5477</v>
      </c>
      <c r="C683" s="292" t="s">
        <v>48</v>
      </c>
      <c r="D683" s="293">
        <f t="shared" si="2"/>
        <v>1</v>
      </c>
      <c r="E683" s="294"/>
      <c r="F683" s="295" t="str">
        <f>IFERROR(__xludf.DUMMYFUNCTION("IF(B683="""","""",IFERROR(VLOOKUP(TO_TEXT(B683),PEDIDOS!D:I,6,0),IFERROR(VLOOKUP(B683*1,PEDIDOS!D:I,6,0),"" "")))"),"ENTREGUE")</f>
        <v>ENTREGUE</v>
      </c>
      <c r="G683" s="303"/>
      <c r="H683" s="304"/>
    </row>
    <row r="684">
      <c r="A684" s="302" t="s">
        <v>112</v>
      </c>
      <c r="B684" s="291" t="s">
        <v>5374</v>
      </c>
      <c r="C684" s="292" t="s">
        <v>48</v>
      </c>
      <c r="D684" s="293">
        <f t="shared" si="2"/>
        <v>1</v>
      </c>
      <c r="E684" s="294"/>
      <c r="F684" s="295" t="str">
        <f>IFERROR(__xludf.DUMMYFUNCTION("IF(B684="""","""",IFERROR(VLOOKUP(TO_TEXT(B684),PEDIDOS!D:I,6,0),IFERROR(VLOOKUP(B684*1,PEDIDOS!D:I,6,0),"" "")))"),"ENTREGUE")</f>
        <v>ENTREGUE</v>
      </c>
      <c r="G684" s="303"/>
      <c r="H684" s="304"/>
    </row>
    <row r="685">
      <c r="A685" s="302" t="s">
        <v>112</v>
      </c>
      <c r="B685" s="291" t="s">
        <v>4676</v>
      </c>
      <c r="C685" s="292" t="s">
        <v>48</v>
      </c>
      <c r="D685" s="293">
        <f t="shared" si="2"/>
        <v>1</v>
      </c>
      <c r="E685" s="294"/>
      <c r="F685" s="295" t="str">
        <f>IFERROR(__xludf.DUMMYFUNCTION("IF(B685="""","""",IFERROR(VLOOKUP(TO_TEXT(B685),PEDIDOS!D:I,6,0),IFERROR(VLOOKUP(B685*1,PEDIDOS!D:I,6,0),"" "")))"),"ENTREGUE")</f>
        <v>ENTREGUE</v>
      </c>
      <c r="G685" s="303"/>
      <c r="H685" s="304"/>
    </row>
    <row r="686">
      <c r="A686" s="302" t="s">
        <v>112</v>
      </c>
      <c r="B686" s="291" t="s">
        <v>7325</v>
      </c>
      <c r="C686" s="292" t="s">
        <v>48</v>
      </c>
      <c r="D686" s="293">
        <f t="shared" si="2"/>
        <v>1</v>
      </c>
      <c r="E686" s="294"/>
      <c r="F686" s="295" t="str">
        <f>IFERROR(__xludf.DUMMYFUNCTION("IF(B686="""","""",IFERROR(VLOOKUP(TO_TEXT(B686),PEDIDOS!D:I,6,0),IFERROR(VLOOKUP(B686*1,PEDIDOS!D:I,6,0),"" "")))"),"ENTREGUE")</f>
        <v>ENTREGUE</v>
      </c>
      <c r="G686" s="303"/>
      <c r="H686" s="304"/>
    </row>
    <row r="687">
      <c r="A687" s="302" t="s">
        <v>112</v>
      </c>
      <c r="B687" s="291" t="s">
        <v>3998</v>
      </c>
      <c r="C687" s="292" t="s">
        <v>48</v>
      </c>
      <c r="D687" s="293">
        <f t="shared" si="2"/>
        <v>1</v>
      </c>
      <c r="E687" s="294"/>
      <c r="F687" s="295" t="str">
        <f>IFERROR(__xludf.DUMMYFUNCTION("IF(B687="""","""",IFERROR(VLOOKUP(TO_TEXT(B687),PEDIDOS!D:I,6,0),IFERROR(VLOOKUP(B687*1,PEDIDOS!D:I,6,0),"" "")))"),"ENTREGUE")</f>
        <v>ENTREGUE</v>
      </c>
      <c r="G687" s="303"/>
      <c r="H687" s="304"/>
    </row>
    <row r="688">
      <c r="A688" s="302" t="s">
        <v>112</v>
      </c>
      <c r="B688" s="291" t="s">
        <v>5259</v>
      </c>
      <c r="C688" s="292" t="s">
        <v>48</v>
      </c>
      <c r="D688" s="293">
        <f t="shared" si="2"/>
        <v>1</v>
      </c>
      <c r="E688" s="294"/>
      <c r="F688" s="295" t="str">
        <f>IFERROR(__xludf.DUMMYFUNCTION("IF(B688="""","""",IFERROR(VLOOKUP(TO_TEXT(B688),PEDIDOS!D:I,6,0),IFERROR(VLOOKUP(B688*1,PEDIDOS!D:I,6,0),"" "")))"),"ENTREGUE")</f>
        <v>ENTREGUE</v>
      </c>
      <c r="G688" s="303"/>
      <c r="H688" s="304"/>
    </row>
    <row r="689">
      <c r="A689" s="302" t="s">
        <v>112</v>
      </c>
      <c r="B689" s="291" t="s">
        <v>5012</v>
      </c>
      <c r="C689" s="292" t="s">
        <v>48</v>
      </c>
      <c r="D689" s="293">
        <f t="shared" si="2"/>
        <v>1</v>
      </c>
      <c r="E689" s="294"/>
      <c r="F689" s="295" t="str">
        <f>IFERROR(__xludf.DUMMYFUNCTION("IF(B689="""","""",IFERROR(VLOOKUP(TO_TEXT(B689),PEDIDOS!D:I,6,0),IFERROR(VLOOKUP(B689*1,PEDIDOS!D:I,6,0),"" "")))"),"ENTREGUE")</f>
        <v>ENTREGUE</v>
      </c>
      <c r="G689" s="303"/>
      <c r="H689" s="304"/>
    </row>
    <row r="690">
      <c r="A690" s="302" t="s">
        <v>112</v>
      </c>
      <c r="B690" s="291" t="s">
        <v>5009</v>
      </c>
      <c r="C690" s="292" t="s">
        <v>48</v>
      </c>
      <c r="D690" s="293">
        <f t="shared" si="2"/>
        <v>1</v>
      </c>
      <c r="E690" s="294"/>
      <c r="F690" s="295" t="str">
        <f>IFERROR(__xludf.DUMMYFUNCTION("IF(B690="""","""",IFERROR(VLOOKUP(TO_TEXT(B690),PEDIDOS!D:I,6,0),IFERROR(VLOOKUP(B690*1,PEDIDOS!D:I,6,0),"" "")))"),"ENTREGUE")</f>
        <v>ENTREGUE</v>
      </c>
      <c r="G690" s="303"/>
      <c r="H690" s="304"/>
    </row>
    <row r="691">
      <c r="A691" s="302" t="s">
        <v>112</v>
      </c>
      <c r="B691" s="291" t="s">
        <v>5508</v>
      </c>
      <c r="C691" s="292" t="s">
        <v>48</v>
      </c>
      <c r="D691" s="293">
        <f t="shared" si="2"/>
        <v>1</v>
      </c>
      <c r="E691" s="294"/>
      <c r="F691" s="295" t="str">
        <f>IFERROR(__xludf.DUMMYFUNCTION("IF(B691="""","""",IFERROR(VLOOKUP(TO_TEXT(B691),PEDIDOS!D:I,6,0),IFERROR(VLOOKUP(B691*1,PEDIDOS!D:I,6,0),"" "")))"),"ENTREGUE")</f>
        <v>ENTREGUE</v>
      </c>
      <c r="G691" s="303"/>
      <c r="H691" s="304"/>
    </row>
    <row r="692">
      <c r="A692" s="302" t="s">
        <v>112</v>
      </c>
      <c r="B692" s="291" t="s">
        <v>4304</v>
      </c>
      <c r="C692" s="292" t="s">
        <v>48</v>
      </c>
      <c r="D692" s="293">
        <f t="shared" si="2"/>
        <v>1</v>
      </c>
      <c r="E692" s="294"/>
      <c r="F692" s="295" t="str">
        <f>IFERROR(__xludf.DUMMYFUNCTION("IF(B692="""","""",IFERROR(VLOOKUP(TO_TEXT(B692),PEDIDOS!D:I,6,0),IFERROR(VLOOKUP(B692*1,PEDIDOS!D:I,6,0),"" "")))"),"ENTREGUE")</f>
        <v>ENTREGUE</v>
      </c>
      <c r="G692" s="303"/>
      <c r="H692" s="304"/>
    </row>
    <row r="693">
      <c r="A693" s="302" t="s">
        <v>112</v>
      </c>
      <c r="B693" s="291" t="s">
        <v>4282</v>
      </c>
      <c r="C693" s="292" t="s">
        <v>48</v>
      </c>
      <c r="D693" s="293">
        <f t="shared" si="2"/>
        <v>1</v>
      </c>
      <c r="E693" s="294"/>
      <c r="F693" s="295" t="str">
        <f>IFERROR(__xludf.DUMMYFUNCTION("IF(B693="""","""",IFERROR(VLOOKUP(TO_TEXT(B693),PEDIDOS!D:I,6,0),IFERROR(VLOOKUP(B693*1,PEDIDOS!D:I,6,0),"" "")))"),"ENTREGUE")</f>
        <v>ENTREGUE</v>
      </c>
      <c r="G693" s="303"/>
      <c r="H693" s="304"/>
    </row>
    <row r="694">
      <c r="A694" s="302" t="s">
        <v>47</v>
      </c>
      <c r="B694" s="291" t="s">
        <v>10547</v>
      </c>
      <c r="C694" s="292" t="s">
        <v>48</v>
      </c>
      <c r="D694" s="293">
        <f t="shared" si="2"/>
        <v>1</v>
      </c>
      <c r="E694" s="294"/>
      <c r="F694" s="295" t="str">
        <f>IFERROR(__xludf.DUMMYFUNCTION("IF(B694="""","""",IFERROR(VLOOKUP(TO_TEXT(B694),PEDIDOS!D:I,6,0),IFERROR(VLOOKUP(B694*1,PEDIDOS!D:I,6,0),"" "")))"),"ENTREGUE")</f>
        <v>ENTREGUE</v>
      </c>
      <c r="G694" s="303"/>
      <c r="H694" s="304"/>
    </row>
    <row r="695">
      <c r="A695" s="302" t="s">
        <v>47</v>
      </c>
      <c r="B695" s="291" t="s">
        <v>10352</v>
      </c>
      <c r="C695" s="292" t="s">
        <v>48</v>
      </c>
      <c r="D695" s="293">
        <f t="shared" si="2"/>
        <v>1</v>
      </c>
      <c r="E695" s="294"/>
      <c r="F695" s="295" t="str">
        <f>IFERROR(__xludf.DUMMYFUNCTION("IF(B695="""","""",IFERROR(VLOOKUP(TO_TEXT(B695),PEDIDOS!D:I,6,0),IFERROR(VLOOKUP(B695*1,PEDIDOS!D:I,6,0),"" "")))"),"ENTREGUE")</f>
        <v>ENTREGUE</v>
      </c>
      <c r="G695" s="303"/>
      <c r="H695" s="304"/>
    </row>
    <row r="696">
      <c r="A696" s="302" t="s">
        <v>47</v>
      </c>
      <c r="B696" s="291" t="s">
        <v>10303</v>
      </c>
      <c r="C696" s="292" t="s">
        <v>48</v>
      </c>
      <c r="D696" s="293">
        <f t="shared" si="2"/>
        <v>1</v>
      </c>
      <c r="E696" s="294"/>
      <c r="F696" s="295" t="str">
        <f>IFERROR(__xludf.DUMMYFUNCTION("IF(B696="""","""",IFERROR(VLOOKUP(TO_TEXT(B696),PEDIDOS!D:I,6,0),IFERROR(VLOOKUP(B696*1,PEDIDOS!D:I,6,0),"" "")))"),"ENTREGUE")</f>
        <v>ENTREGUE</v>
      </c>
      <c r="G696" s="303"/>
      <c r="H696" s="304"/>
    </row>
    <row r="697">
      <c r="A697" s="302" t="s">
        <v>47</v>
      </c>
      <c r="B697" s="291" t="s">
        <v>23340</v>
      </c>
      <c r="C697" s="292" t="s">
        <v>48</v>
      </c>
      <c r="D697" s="293">
        <f t="shared" si="2"/>
        <v>1</v>
      </c>
      <c r="E697" s="294"/>
      <c r="F697" s="295" t="str">
        <f>IFERROR(__xludf.DUMMYFUNCTION("IF(B697="""","""",IFERROR(VLOOKUP(TO_TEXT(B697),PEDIDOS!D:I,6,0),IFERROR(VLOOKUP(B697*1,PEDIDOS!D:I,6,0),"" "")))")," ")</f>
        <v> </v>
      </c>
      <c r="G697" s="303" t="s">
        <v>23337</v>
      </c>
      <c r="H697" s="304"/>
    </row>
    <row r="698">
      <c r="A698" s="302" t="s">
        <v>47</v>
      </c>
      <c r="B698" s="291" t="s">
        <v>9458</v>
      </c>
      <c r="C698" s="292" t="s">
        <v>48</v>
      </c>
      <c r="D698" s="293">
        <f t="shared" si="2"/>
        <v>1</v>
      </c>
      <c r="E698" s="294"/>
      <c r="F698" s="295" t="str">
        <f>IFERROR(__xludf.DUMMYFUNCTION("IF(B698="""","""",IFERROR(VLOOKUP(TO_TEXT(B698),PEDIDOS!D:I,6,0),IFERROR(VLOOKUP(B698*1,PEDIDOS!D:I,6,0),"" "")))"),"ENTREGUE")</f>
        <v>ENTREGUE</v>
      </c>
      <c r="G698" s="303"/>
      <c r="H698" s="304"/>
    </row>
    <row r="699">
      <c r="A699" s="302" t="s">
        <v>47</v>
      </c>
      <c r="B699" s="291" t="s">
        <v>4861</v>
      </c>
      <c r="C699" s="292" t="s">
        <v>48</v>
      </c>
      <c r="D699" s="293">
        <f t="shared" si="2"/>
        <v>1</v>
      </c>
      <c r="E699" s="294"/>
      <c r="F699" s="295" t="str">
        <f>IFERROR(__xludf.DUMMYFUNCTION("IF(B699="""","""",IFERROR(VLOOKUP(TO_TEXT(B699),PEDIDOS!D:I,6,0),IFERROR(VLOOKUP(B699*1,PEDIDOS!D:I,6,0),"" "")))"),"ENTREGUE")</f>
        <v>ENTREGUE</v>
      </c>
      <c r="G699" s="303"/>
      <c r="H699" s="304"/>
    </row>
    <row r="700">
      <c r="A700" s="302" t="s">
        <v>47</v>
      </c>
      <c r="B700" s="291" t="s">
        <v>10299</v>
      </c>
      <c r="C700" s="292" t="s">
        <v>48</v>
      </c>
      <c r="D700" s="293">
        <f t="shared" si="2"/>
        <v>1</v>
      </c>
      <c r="E700" s="294"/>
      <c r="F700" s="295" t="str">
        <f>IFERROR(__xludf.DUMMYFUNCTION("IF(B700="""","""",IFERROR(VLOOKUP(TO_TEXT(B700),PEDIDOS!D:I,6,0),IFERROR(VLOOKUP(B700*1,PEDIDOS!D:I,6,0),"" "")))"),"ENTREGUE")</f>
        <v>ENTREGUE</v>
      </c>
      <c r="G700" s="303"/>
      <c r="H700" s="304"/>
    </row>
    <row r="701">
      <c r="A701" s="302" t="s">
        <v>47</v>
      </c>
      <c r="B701" s="291" t="s">
        <v>6267</v>
      </c>
      <c r="C701" s="292" t="s">
        <v>48</v>
      </c>
      <c r="D701" s="293">
        <f t="shared" si="2"/>
        <v>1</v>
      </c>
      <c r="E701" s="294"/>
      <c r="F701" s="295" t="str">
        <f>IFERROR(__xludf.DUMMYFUNCTION("IF(B701="""","""",IFERROR(VLOOKUP(TO_TEXT(B701),PEDIDOS!D:I,6,0),IFERROR(VLOOKUP(B701*1,PEDIDOS!D:I,6,0),"" "")))"),"ENTREGUE")</f>
        <v>ENTREGUE</v>
      </c>
      <c r="G701" s="303"/>
      <c r="H701" s="304"/>
    </row>
    <row r="702">
      <c r="A702" s="302" t="s">
        <v>47</v>
      </c>
      <c r="B702" s="291" t="s">
        <v>10284</v>
      </c>
      <c r="C702" s="292" t="s">
        <v>48</v>
      </c>
      <c r="D702" s="293">
        <f t="shared" si="2"/>
        <v>1</v>
      </c>
      <c r="E702" s="294"/>
      <c r="F702" s="295" t="str">
        <f>IFERROR(__xludf.DUMMYFUNCTION("IF(B702="""","""",IFERROR(VLOOKUP(TO_TEXT(B702),PEDIDOS!D:I,6,0),IFERROR(VLOOKUP(B702*1,PEDIDOS!D:I,6,0),"" "")))"),"ENTREGUE")</f>
        <v>ENTREGUE</v>
      </c>
      <c r="G702" s="303"/>
      <c r="H702" s="304"/>
    </row>
    <row r="703">
      <c r="A703" s="302" t="s">
        <v>47</v>
      </c>
      <c r="B703" s="291" t="s">
        <v>10335</v>
      </c>
      <c r="C703" s="292" t="s">
        <v>48</v>
      </c>
      <c r="D703" s="293">
        <f t="shared" si="2"/>
        <v>1</v>
      </c>
      <c r="E703" s="294"/>
      <c r="F703" s="295" t="str">
        <f>IFERROR(__xludf.DUMMYFUNCTION("IF(B703="""","""",IFERROR(VLOOKUP(TO_TEXT(B703),PEDIDOS!D:I,6,0),IFERROR(VLOOKUP(B703*1,PEDIDOS!D:I,6,0),"" "")))"),"ENTREGUE")</f>
        <v>ENTREGUE</v>
      </c>
      <c r="G703" s="303"/>
      <c r="H703" s="304"/>
    </row>
    <row r="704">
      <c r="A704" s="302" t="s">
        <v>47</v>
      </c>
      <c r="B704" s="291" t="s">
        <v>23341</v>
      </c>
      <c r="C704" s="292" t="s">
        <v>48</v>
      </c>
      <c r="D704" s="293">
        <f t="shared" si="2"/>
        <v>1</v>
      </c>
      <c r="E704" s="294"/>
      <c r="F704" s="295" t="str">
        <f>IFERROR(__xludf.DUMMYFUNCTION("IF(B704="""","""",IFERROR(VLOOKUP(TO_TEXT(B704),PEDIDOS!D:I,6,0),IFERROR(VLOOKUP(B704*1,PEDIDOS!D:I,6,0),"" "")))")," ")</f>
        <v> </v>
      </c>
      <c r="G704" s="303" t="s">
        <v>23334</v>
      </c>
      <c r="H704" s="304"/>
    </row>
    <row r="705">
      <c r="A705" s="302" t="s">
        <v>47</v>
      </c>
      <c r="B705" s="291" t="s">
        <v>23342</v>
      </c>
      <c r="C705" s="292" t="s">
        <v>48</v>
      </c>
      <c r="D705" s="293">
        <f t="shared" si="2"/>
        <v>1</v>
      </c>
      <c r="E705" s="294"/>
      <c r="F705" s="295" t="str">
        <f>IFERROR(__xludf.DUMMYFUNCTION("IF(B705="""","""",IFERROR(VLOOKUP(TO_TEXT(B705),PEDIDOS!D:I,6,0),IFERROR(VLOOKUP(B705*1,PEDIDOS!D:I,6,0),"" "")))")," ")</f>
        <v> </v>
      </c>
      <c r="G705" s="303" t="s">
        <v>23343</v>
      </c>
      <c r="H705" s="304"/>
    </row>
    <row r="706">
      <c r="A706" s="302" t="s">
        <v>47</v>
      </c>
      <c r="B706" s="291" t="s">
        <v>10011</v>
      </c>
      <c r="C706" s="292" t="s">
        <v>48</v>
      </c>
      <c r="D706" s="293">
        <f t="shared" si="2"/>
        <v>1</v>
      </c>
      <c r="E706" s="294"/>
      <c r="F706" s="295" t="str">
        <f>IFERROR(__xludf.DUMMYFUNCTION("IF(B706="""","""",IFERROR(VLOOKUP(TO_TEXT(B706),PEDIDOS!D:I,6,0),IFERROR(VLOOKUP(B706*1,PEDIDOS!D:I,6,0),"" "")))"),"ENTREGUE")</f>
        <v>ENTREGUE</v>
      </c>
      <c r="G706" s="303"/>
      <c r="H706" s="304"/>
    </row>
    <row r="707">
      <c r="A707" s="302" t="s">
        <v>47</v>
      </c>
      <c r="B707" s="291" t="s">
        <v>5948</v>
      </c>
      <c r="C707" s="292" t="s">
        <v>48</v>
      </c>
      <c r="D707" s="293">
        <f t="shared" si="2"/>
        <v>1</v>
      </c>
      <c r="E707" s="294"/>
      <c r="F707" s="295" t="str">
        <f>IFERROR(__xludf.DUMMYFUNCTION("IF(B707="""","""",IFERROR(VLOOKUP(TO_TEXT(B707),PEDIDOS!D:I,6,0),IFERROR(VLOOKUP(B707*1,PEDIDOS!D:I,6,0),"" "")))"),"ENTREGUE")</f>
        <v>ENTREGUE</v>
      </c>
      <c r="G707" s="303"/>
      <c r="H707" s="304"/>
    </row>
    <row r="708">
      <c r="A708" s="302" t="s">
        <v>47</v>
      </c>
      <c r="B708" s="291" t="s">
        <v>23344</v>
      </c>
      <c r="C708" s="292" t="s">
        <v>48</v>
      </c>
      <c r="D708" s="293">
        <f t="shared" si="2"/>
        <v>1</v>
      </c>
      <c r="E708" s="294"/>
      <c r="F708" s="295" t="str">
        <f>IFERROR(__xludf.DUMMYFUNCTION("IF(B708="""","""",IFERROR(VLOOKUP(TO_TEXT(B708),PEDIDOS!D:I,6,0),IFERROR(VLOOKUP(B708*1,PEDIDOS!D:I,6,0),"" "")))")," ")</f>
        <v> </v>
      </c>
      <c r="G708" s="303" t="s">
        <v>23334</v>
      </c>
      <c r="H708" s="304"/>
    </row>
    <row r="709">
      <c r="A709" s="302" t="s">
        <v>47</v>
      </c>
      <c r="B709" s="291" t="s">
        <v>5324</v>
      </c>
      <c r="C709" s="292" t="s">
        <v>48</v>
      </c>
      <c r="D709" s="293">
        <f t="shared" si="2"/>
        <v>1</v>
      </c>
      <c r="E709" s="294"/>
      <c r="F709" s="295" t="str">
        <f>IFERROR(__xludf.DUMMYFUNCTION("IF(B709="""","""",IFERROR(VLOOKUP(TO_TEXT(B709),PEDIDOS!D:I,6,0),IFERROR(VLOOKUP(B709*1,PEDIDOS!D:I,6,0),"" "")))"),"ENTREGUE")</f>
        <v>ENTREGUE</v>
      </c>
      <c r="G709" s="303"/>
      <c r="H709" s="304"/>
    </row>
    <row r="710">
      <c r="A710" s="302" t="s">
        <v>47</v>
      </c>
      <c r="B710" s="291" t="s">
        <v>10175</v>
      </c>
      <c r="C710" s="292" t="s">
        <v>48</v>
      </c>
      <c r="D710" s="293">
        <f t="shared" si="2"/>
        <v>1</v>
      </c>
      <c r="E710" s="294"/>
      <c r="F710" s="295" t="str">
        <f>IFERROR(__xludf.DUMMYFUNCTION("IF(B710="""","""",IFERROR(VLOOKUP(TO_TEXT(B710),PEDIDOS!D:I,6,0),IFERROR(VLOOKUP(B710*1,PEDIDOS!D:I,6,0),"" "")))"),"ENTREGUE")</f>
        <v>ENTREGUE</v>
      </c>
      <c r="G710" s="303"/>
      <c r="H710" s="304"/>
    </row>
    <row r="711">
      <c r="A711" s="302" t="s">
        <v>47</v>
      </c>
      <c r="B711" s="291" t="s">
        <v>9577</v>
      </c>
      <c r="C711" s="292" t="s">
        <v>48</v>
      </c>
      <c r="D711" s="293">
        <f t="shared" si="2"/>
        <v>1</v>
      </c>
      <c r="E711" s="294"/>
      <c r="F711" s="295" t="str">
        <f>IFERROR(__xludf.DUMMYFUNCTION("IF(B711="""","""",IFERROR(VLOOKUP(TO_TEXT(B711),PEDIDOS!D:I,6,0),IFERROR(VLOOKUP(B711*1,PEDIDOS!D:I,6,0),"" "")))"),"ENTREGUE")</f>
        <v>ENTREGUE</v>
      </c>
      <c r="G711" s="303"/>
      <c r="H711" s="304"/>
    </row>
    <row r="712">
      <c r="A712" s="302" t="s">
        <v>47</v>
      </c>
      <c r="B712" s="291" t="s">
        <v>10133</v>
      </c>
      <c r="C712" s="292" t="s">
        <v>48</v>
      </c>
      <c r="D712" s="293">
        <f t="shared" si="2"/>
        <v>1</v>
      </c>
      <c r="E712" s="294"/>
      <c r="F712" s="295" t="str">
        <f>IFERROR(__xludf.DUMMYFUNCTION("IF(B712="""","""",IFERROR(VLOOKUP(TO_TEXT(B712),PEDIDOS!D:I,6,0),IFERROR(VLOOKUP(B712*1,PEDIDOS!D:I,6,0),"" "")))"),"ENTREGUE")</f>
        <v>ENTREGUE</v>
      </c>
      <c r="G712" s="303"/>
      <c r="H712" s="304"/>
    </row>
    <row r="713">
      <c r="A713" s="302" t="s">
        <v>47</v>
      </c>
      <c r="B713" s="291" t="s">
        <v>10857</v>
      </c>
      <c r="C713" s="292" t="s">
        <v>48</v>
      </c>
      <c r="D713" s="293">
        <f t="shared" si="2"/>
        <v>1</v>
      </c>
      <c r="E713" s="294"/>
      <c r="F713" s="295" t="str">
        <f>IFERROR(__xludf.DUMMYFUNCTION("IF(B713="""","""",IFERROR(VLOOKUP(TO_TEXT(B713),PEDIDOS!D:I,6,0),IFERROR(VLOOKUP(B713*1,PEDIDOS!D:I,6,0),"" "")))"),"ENTREGUE")</f>
        <v>ENTREGUE</v>
      </c>
      <c r="G713" s="303"/>
      <c r="H713" s="304"/>
    </row>
    <row r="714">
      <c r="A714" s="302" t="s">
        <v>47</v>
      </c>
      <c r="B714" s="291" t="s">
        <v>6560</v>
      </c>
      <c r="C714" s="292" t="s">
        <v>48</v>
      </c>
      <c r="D714" s="293">
        <f t="shared" si="2"/>
        <v>1</v>
      </c>
      <c r="E714" s="294"/>
      <c r="F714" s="295" t="str">
        <f>IFERROR(__xludf.DUMMYFUNCTION("IF(B714="""","""",IFERROR(VLOOKUP(TO_TEXT(B714),PEDIDOS!D:I,6,0),IFERROR(VLOOKUP(B714*1,PEDIDOS!D:I,6,0),"" "")))"),"ENTREGUE")</f>
        <v>ENTREGUE</v>
      </c>
      <c r="G714" s="303"/>
      <c r="H714" s="304"/>
    </row>
    <row r="715">
      <c r="A715" s="302" t="s">
        <v>47</v>
      </c>
      <c r="B715" s="291" t="s">
        <v>9462</v>
      </c>
      <c r="C715" s="292" t="s">
        <v>48</v>
      </c>
      <c r="D715" s="293">
        <f t="shared" si="2"/>
        <v>1</v>
      </c>
      <c r="E715" s="294"/>
      <c r="F715" s="295" t="str">
        <f>IFERROR(__xludf.DUMMYFUNCTION("IF(B715="""","""",IFERROR(VLOOKUP(TO_TEXT(B715),PEDIDOS!D:I,6,0),IFERROR(VLOOKUP(B715*1,PEDIDOS!D:I,6,0),"" "")))"),"ENTREGUE")</f>
        <v>ENTREGUE</v>
      </c>
      <c r="G715" s="303"/>
      <c r="H715" s="304"/>
    </row>
    <row r="716">
      <c r="A716" s="302" t="s">
        <v>47</v>
      </c>
      <c r="B716" s="291" t="s">
        <v>6389</v>
      </c>
      <c r="C716" s="292" t="s">
        <v>48</v>
      </c>
      <c r="D716" s="293">
        <f t="shared" si="2"/>
        <v>1</v>
      </c>
      <c r="E716" s="294"/>
      <c r="F716" s="295" t="str">
        <f>IFERROR(__xludf.DUMMYFUNCTION("IF(B716="""","""",IFERROR(VLOOKUP(TO_TEXT(B716),PEDIDOS!D:I,6,0),IFERROR(VLOOKUP(B716*1,PEDIDOS!D:I,6,0),"" "")))"),"ENTREGUE")</f>
        <v>ENTREGUE</v>
      </c>
      <c r="G716" s="303"/>
      <c r="H716" s="304"/>
    </row>
    <row r="717">
      <c r="A717" s="302" t="s">
        <v>47</v>
      </c>
      <c r="B717" s="291" t="s">
        <v>10853</v>
      </c>
      <c r="C717" s="292" t="s">
        <v>48</v>
      </c>
      <c r="D717" s="293">
        <f t="shared" si="2"/>
        <v>1</v>
      </c>
      <c r="E717" s="294"/>
      <c r="F717" s="295" t="str">
        <f>IFERROR(__xludf.DUMMYFUNCTION("IF(B717="""","""",IFERROR(VLOOKUP(TO_TEXT(B717),PEDIDOS!D:I,6,0),IFERROR(VLOOKUP(B717*1,PEDIDOS!D:I,6,0),"" "")))"),"ENTREGUE")</f>
        <v>ENTREGUE</v>
      </c>
      <c r="G717" s="303"/>
      <c r="H717" s="304"/>
    </row>
    <row r="718">
      <c r="A718" s="302" t="s">
        <v>47</v>
      </c>
      <c r="B718" s="291" t="s">
        <v>11090</v>
      </c>
      <c r="C718" s="292" t="s">
        <v>48</v>
      </c>
      <c r="D718" s="293">
        <f t="shared" si="2"/>
        <v>1</v>
      </c>
      <c r="E718" s="294"/>
      <c r="F718" s="295" t="str">
        <f>IFERROR(__xludf.DUMMYFUNCTION("IF(B718="""","""",IFERROR(VLOOKUP(TO_TEXT(B718),PEDIDOS!D:I,6,0),IFERROR(VLOOKUP(B718*1,PEDIDOS!D:I,6,0),"" "")))"),"ENTREGUE")</f>
        <v>ENTREGUE</v>
      </c>
      <c r="G718" s="303"/>
      <c r="H718" s="304"/>
    </row>
    <row r="719">
      <c r="A719" s="302" t="s">
        <v>47</v>
      </c>
      <c r="B719" s="291" t="s">
        <v>9759</v>
      </c>
      <c r="C719" s="292" t="s">
        <v>48</v>
      </c>
      <c r="D719" s="293">
        <f t="shared" si="2"/>
        <v>1</v>
      </c>
      <c r="E719" s="294"/>
      <c r="F719" s="295" t="str">
        <f>IFERROR(__xludf.DUMMYFUNCTION("IF(B719="""","""",IFERROR(VLOOKUP(TO_TEXT(B719),PEDIDOS!D:I,6,0),IFERROR(VLOOKUP(B719*1,PEDIDOS!D:I,6,0),"" "")))"),"ENTREGUE")</f>
        <v>ENTREGUE</v>
      </c>
      <c r="G719" s="303"/>
      <c r="H719" s="304"/>
    </row>
    <row r="720">
      <c r="A720" s="302" t="s">
        <v>47</v>
      </c>
      <c r="B720" s="291" t="s">
        <v>23345</v>
      </c>
      <c r="C720" s="292" t="s">
        <v>48</v>
      </c>
      <c r="D720" s="293">
        <f t="shared" si="2"/>
        <v>1</v>
      </c>
      <c r="E720" s="294"/>
      <c r="F720" s="295" t="str">
        <f>IFERROR(__xludf.DUMMYFUNCTION("IF(B720="""","""",IFERROR(VLOOKUP(TO_TEXT(B720),PEDIDOS!D:I,6,0),IFERROR(VLOOKUP(B720*1,PEDIDOS!D:I,6,0),"" "")))")," ")</f>
        <v> </v>
      </c>
      <c r="G720" s="303" t="s">
        <v>23334</v>
      </c>
      <c r="H720" s="304"/>
    </row>
    <row r="721">
      <c r="A721" s="302" t="s">
        <v>47</v>
      </c>
      <c r="B721" s="291" t="s">
        <v>10015</v>
      </c>
      <c r="C721" s="292" t="s">
        <v>48</v>
      </c>
      <c r="D721" s="293">
        <f t="shared" si="2"/>
        <v>1</v>
      </c>
      <c r="E721" s="294"/>
      <c r="F721" s="295" t="str">
        <f>IFERROR(__xludf.DUMMYFUNCTION("IF(B721="""","""",IFERROR(VLOOKUP(TO_TEXT(B721),PEDIDOS!D:I,6,0),IFERROR(VLOOKUP(B721*1,PEDIDOS!D:I,6,0),"" "")))"),"ENTREGUE")</f>
        <v>ENTREGUE</v>
      </c>
      <c r="G721" s="303"/>
      <c r="H721" s="304"/>
    </row>
    <row r="722">
      <c r="A722" s="302" t="s">
        <v>47</v>
      </c>
      <c r="B722" s="291" t="s">
        <v>4855</v>
      </c>
      <c r="C722" s="292" t="s">
        <v>48</v>
      </c>
      <c r="D722" s="293">
        <f t="shared" si="2"/>
        <v>1</v>
      </c>
      <c r="E722" s="294"/>
      <c r="F722" s="295" t="str">
        <f>IFERROR(__xludf.DUMMYFUNCTION("IF(B722="""","""",IFERROR(VLOOKUP(TO_TEXT(B722),PEDIDOS!D:I,6,0),IFERROR(VLOOKUP(B722*1,PEDIDOS!D:I,6,0),"" "")))"),"ENTREGUE")</f>
        <v>ENTREGUE</v>
      </c>
      <c r="G722" s="303"/>
      <c r="H722" s="304"/>
    </row>
    <row r="723">
      <c r="A723" s="302" t="s">
        <v>47</v>
      </c>
      <c r="B723" s="291" t="s">
        <v>9755</v>
      </c>
      <c r="C723" s="292" t="s">
        <v>48</v>
      </c>
      <c r="D723" s="293">
        <f t="shared" si="2"/>
        <v>1</v>
      </c>
      <c r="E723" s="294"/>
      <c r="F723" s="295" t="str">
        <f>IFERROR(__xludf.DUMMYFUNCTION("IF(B723="""","""",IFERROR(VLOOKUP(TO_TEXT(B723),PEDIDOS!D:I,6,0),IFERROR(VLOOKUP(B723*1,PEDIDOS!D:I,6,0),"" "")))"),"ENTREGUE")</f>
        <v>ENTREGUE</v>
      </c>
      <c r="G723" s="303"/>
      <c r="H723" s="304"/>
    </row>
    <row r="724">
      <c r="A724" s="302" t="s">
        <v>47</v>
      </c>
      <c r="B724" s="291" t="s">
        <v>10348</v>
      </c>
      <c r="C724" s="292" t="s">
        <v>48</v>
      </c>
      <c r="D724" s="293">
        <f t="shared" si="2"/>
        <v>1</v>
      </c>
      <c r="E724" s="294"/>
      <c r="F724" s="295" t="str">
        <f>IFERROR(__xludf.DUMMYFUNCTION("IF(B724="""","""",IFERROR(VLOOKUP(TO_TEXT(B724),PEDIDOS!D:I,6,0),IFERROR(VLOOKUP(B724*1,PEDIDOS!D:I,6,0),"" "")))"),"ENTREGUE")</f>
        <v>ENTREGUE</v>
      </c>
      <c r="G724" s="303"/>
      <c r="H724" s="304"/>
    </row>
    <row r="725">
      <c r="A725" s="302" t="s">
        <v>47</v>
      </c>
      <c r="B725" s="291" t="s">
        <v>6442</v>
      </c>
      <c r="C725" s="292" t="s">
        <v>48</v>
      </c>
      <c r="D725" s="293">
        <f t="shared" si="2"/>
        <v>1</v>
      </c>
      <c r="E725" s="294"/>
      <c r="F725" s="295" t="str">
        <f>IFERROR(__xludf.DUMMYFUNCTION("IF(B725="""","""",IFERROR(VLOOKUP(TO_TEXT(B725),PEDIDOS!D:I,6,0),IFERROR(VLOOKUP(B725*1,PEDIDOS!D:I,6,0),"" "")))"),"ENTREGUE")</f>
        <v>ENTREGUE</v>
      </c>
      <c r="G725" s="303"/>
      <c r="H725" s="304"/>
    </row>
    <row r="726">
      <c r="A726" s="302" t="s">
        <v>47</v>
      </c>
      <c r="B726" s="291" t="s">
        <v>23346</v>
      </c>
      <c r="C726" s="292" t="s">
        <v>48</v>
      </c>
      <c r="D726" s="293">
        <f t="shared" si="2"/>
        <v>1</v>
      </c>
      <c r="E726" s="294"/>
      <c r="F726" s="295" t="str">
        <f>IFERROR(__xludf.DUMMYFUNCTION("IF(B726="""","""",IFERROR(VLOOKUP(TO_TEXT(B726),PEDIDOS!D:I,6,0),IFERROR(VLOOKUP(B726*1,PEDIDOS!D:I,6,0),"" "")))")," ")</f>
        <v> </v>
      </c>
      <c r="G726" s="303" t="s">
        <v>23334</v>
      </c>
      <c r="H726" s="304"/>
    </row>
    <row r="727">
      <c r="A727" s="302" t="s">
        <v>47</v>
      </c>
      <c r="B727" s="291" t="s">
        <v>10018</v>
      </c>
      <c r="C727" s="292" t="s">
        <v>48</v>
      </c>
      <c r="D727" s="293">
        <f t="shared" si="2"/>
        <v>1</v>
      </c>
      <c r="E727" s="294"/>
      <c r="F727" s="295" t="str">
        <f>IFERROR(__xludf.DUMMYFUNCTION("IF(B727="""","""",IFERROR(VLOOKUP(TO_TEXT(B727),PEDIDOS!D:I,6,0),IFERROR(VLOOKUP(B727*1,PEDIDOS!D:I,6,0),"" "")))"),"ENTREGUE")</f>
        <v>ENTREGUE</v>
      </c>
      <c r="G727" s="303"/>
      <c r="H727" s="304"/>
    </row>
    <row r="728">
      <c r="A728" s="302" t="s">
        <v>47</v>
      </c>
      <c r="B728" s="291" t="s">
        <v>12761</v>
      </c>
      <c r="C728" s="292" t="s">
        <v>48</v>
      </c>
      <c r="D728" s="293">
        <f t="shared" si="2"/>
        <v>1</v>
      </c>
      <c r="E728" s="294"/>
      <c r="F728" s="295" t="str">
        <f>IFERROR(__xludf.DUMMYFUNCTION("IF(B728="""","""",IFERROR(VLOOKUP(TO_TEXT(B728),PEDIDOS!D:I,6,0),IFERROR(VLOOKUP(B728*1,PEDIDOS!D:I,6,0),"" "")))"),"ENTREGUE")</f>
        <v>ENTREGUE</v>
      </c>
      <c r="G728" s="303"/>
      <c r="H728" s="304"/>
    </row>
    <row r="729">
      <c r="A729" s="302" t="s">
        <v>47</v>
      </c>
      <c r="B729" s="291" t="s">
        <v>10130</v>
      </c>
      <c r="C729" s="292" t="s">
        <v>48</v>
      </c>
      <c r="D729" s="293">
        <f t="shared" si="2"/>
        <v>1</v>
      </c>
      <c r="E729" s="294"/>
      <c r="F729" s="295" t="str">
        <f>IFERROR(__xludf.DUMMYFUNCTION("IF(B729="""","""",IFERROR(VLOOKUP(TO_TEXT(B729),PEDIDOS!D:I,6,0),IFERROR(VLOOKUP(B729*1,PEDIDOS!D:I,6,0),"" "")))"),"ENTREGUE")</f>
        <v>ENTREGUE</v>
      </c>
      <c r="G729" s="303"/>
      <c r="H729" s="304"/>
    </row>
    <row r="730">
      <c r="A730" s="302" t="s">
        <v>47</v>
      </c>
      <c r="B730" s="291" t="s">
        <v>6439</v>
      </c>
      <c r="C730" s="292" t="s">
        <v>48</v>
      </c>
      <c r="D730" s="293">
        <f t="shared" si="2"/>
        <v>1</v>
      </c>
      <c r="E730" s="294"/>
      <c r="F730" s="295" t="str">
        <f>IFERROR(__xludf.DUMMYFUNCTION("IF(B730="""","""",IFERROR(VLOOKUP(TO_TEXT(B730),PEDIDOS!D:I,6,0),IFERROR(VLOOKUP(B730*1,PEDIDOS!D:I,6,0),"" "")))"),"ENTREGUE")</f>
        <v>ENTREGUE</v>
      </c>
      <c r="G730" s="303"/>
      <c r="H730" s="304"/>
    </row>
    <row r="731">
      <c r="A731" s="302" t="s">
        <v>47</v>
      </c>
      <c r="B731" s="291" t="s">
        <v>10280</v>
      </c>
      <c r="C731" s="292" t="s">
        <v>48</v>
      </c>
      <c r="D731" s="293">
        <f t="shared" si="2"/>
        <v>1</v>
      </c>
      <c r="E731" s="294"/>
      <c r="F731" s="295" t="str">
        <f>IFERROR(__xludf.DUMMYFUNCTION("IF(B731="""","""",IFERROR(VLOOKUP(TO_TEXT(B731),PEDIDOS!D:I,6,0),IFERROR(VLOOKUP(B731*1,PEDIDOS!D:I,6,0),"" "")))"),"ENTREGUE")</f>
        <v>ENTREGUE</v>
      </c>
      <c r="G731" s="303"/>
      <c r="H731" s="304"/>
    </row>
    <row r="732">
      <c r="A732" s="302" t="s">
        <v>47</v>
      </c>
      <c r="B732" s="291" t="s">
        <v>12669</v>
      </c>
      <c r="C732" s="292" t="s">
        <v>48</v>
      </c>
      <c r="D732" s="293">
        <f t="shared" si="2"/>
        <v>1</v>
      </c>
      <c r="E732" s="294"/>
      <c r="F732" s="295" t="str">
        <f>IFERROR(__xludf.DUMMYFUNCTION("IF(B732="""","""",IFERROR(VLOOKUP(TO_TEXT(B732),PEDIDOS!D:I,6,0),IFERROR(VLOOKUP(B732*1,PEDIDOS!D:I,6,0),"" "")))"),"ENTREGUE")</f>
        <v>ENTREGUE</v>
      </c>
      <c r="G732" s="303"/>
      <c r="H732" s="304"/>
    </row>
    <row r="733">
      <c r="A733" s="302" t="s">
        <v>47</v>
      </c>
      <c r="B733" s="291" t="s">
        <v>4858</v>
      </c>
      <c r="C733" s="292" t="s">
        <v>48</v>
      </c>
      <c r="D733" s="293">
        <f t="shared" si="2"/>
        <v>1</v>
      </c>
      <c r="E733" s="294"/>
      <c r="F733" s="295" t="str">
        <f>IFERROR(__xludf.DUMMYFUNCTION("IF(B733="""","""",IFERROR(VLOOKUP(TO_TEXT(B733),PEDIDOS!D:I,6,0),IFERROR(VLOOKUP(B733*1,PEDIDOS!D:I,6,0),"" "")))"),"ENTREGUE")</f>
        <v>ENTREGUE</v>
      </c>
      <c r="G733" s="303"/>
      <c r="H733" s="304"/>
    </row>
    <row r="734">
      <c r="A734" s="302" t="s">
        <v>3395</v>
      </c>
      <c r="B734" s="291" t="s">
        <v>4786</v>
      </c>
      <c r="C734" s="292" t="s">
        <v>48</v>
      </c>
      <c r="D734" s="293">
        <f t="shared" si="2"/>
        <v>1</v>
      </c>
      <c r="E734" s="294"/>
      <c r="F734" s="295" t="str">
        <f>IFERROR(__xludf.DUMMYFUNCTION("IF(B734="""","""",IFERROR(VLOOKUP(TO_TEXT(B734),PEDIDOS!D:I,6,0),IFERROR(VLOOKUP(B734*1,PEDIDOS!D:I,6,0),"" "")))"),"ENTREGUE")</f>
        <v>ENTREGUE</v>
      </c>
      <c r="G734" s="303"/>
      <c r="H734" s="304"/>
    </row>
    <row r="735">
      <c r="A735" s="302" t="s">
        <v>3395</v>
      </c>
      <c r="B735" s="291" t="s">
        <v>4745</v>
      </c>
      <c r="C735" s="292" t="s">
        <v>48</v>
      </c>
      <c r="D735" s="293">
        <f t="shared" si="2"/>
        <v>1</v>
      </c>
      <c r="E735" s="294"/>
      <c r="F735" s="295" t="str">
        <f>IFERROR(__xludf.DUMMYFUNCTION("IF(B735="""","""",IFERROR(VLOOKUP(TO_TEXT(B735),PEDIDOS!D:I,6,0),IFERROR(VLOOKUP(B735*1,PEDIDOS!D:I,6,0),"" "")))"),"ENTREGUE")</f>
        <v>ENTREGUE</v>
      </c>
      <c r="G735" s="303"/>
      <c r="H735" s="304"/>
    </row>
    <row r="736">
      <c r="A736" s="302" t="s">
        <v>3395</v>
      </c>
      <c r="B736" s="291" t="s">
        <v>5116</v>
      </c>
      <c r="C736" s="292" t="s">
        <v>48</v>
      </c>
      <c r="D736" s="293">
        <f t="shared" si="2"/>
        <v>1</v>
      </c>
      <c r="E736" s="294"/>
      <c r="F736" s="295" t="str">
        <f>IFERROR(__xludf.DUMMYFUNCTION("IF(B736="""","""",IFERROR(VLOOKUP(TO_TEXT(B736),PEDIDOS!D:I,6,0),IFERROR(VLOOKUP(B736*1,PEDIDOS!D:I,6,0),"" "")))"),"ENTREGUE")</f>
        <v>ENTREGUE</v>
      </c>
      <c r="G736" s="303"/>
      <c r="H736" s="304"/>
    </row>
    <row r="737">
      <c r="A737" s="302" t="s">
        <v>3395</v>
      </c>
      <c r="B737" s="291" t="s">
        <v>8119</v>
      </c>
      <c r="C737" s="292" t="s">
        <v>48</v>
      </c>
      <c r="D737" s="293">
        <f t="shared" si="2"/>
        <v>1</v>
      </c>
      <c r="E737" s="294"/>
      <c r="F737" s="295" t="str">
        <f>IFERROR(__xludf.DUMMYFUNCTION("IF(B737="""","""",IFERROR(VLOOKUP(TO_TEXT(B737),PEDIDOS!D:I,6,0),IFERROR(VLOOKUP(B737*1,PEDIDOS!D:I,6,0),"" "")))"),"ENTREGUE")</f>
        <v>ENTREGUE</v>
      </c>
      <c r="G737" s="303"/>
      <c r="H737" s="304"/>
    </row>
    <row r="738">
      <c r="A738" s="302" t="s">
        <v>3395</v>
      </c>
      <c r="B738" s="291" t="s">
        <v>7152</v>
      </c>
      <c r="C738" s="292" t="s">
        <v>48</v>
      </c>
      <c r="D738" s="293">
        <f t="shared" si="2"/>
        <v>1</v>
      </c>
      <c r="E738" s="294"/>
      <c r="F738" s="295" t="str">
        <f>IFERROR(__xludf.DUMMYFUNCTION("IF(B738="""","""",IFERROR(VLOOKUP(TO_TEXT(B738),PEDIDOS!D:I,6,0),IFERROR(VLOOKUP(B738*1,PEDIDOS!D:I,6,0),"" "")))"),"ENTREGUE")</f>
        <v>ENTREGUE</v>
      </c>
      <c r="G738" s="303"/>
      <c r="H738" s="304"/>
    </row>
    <row r="739">
      <c r="A739" s="302" t="s">
        <v>3395</v>
      </c>
      <c r="B739" s="291" t="s">
        <v>7414</v>
      </c>
      <c r="C739" s="292" t="s">
        <v>48</v>
      </c>
      <c r="D739" s="293">
        <f t="shared" si="2"/>
        <v>1</v>
      </c>
      <c r="E739" s="294"/>
      <c r="F739" s="295" t="str">
        <f>IFERROR(__xludf.DUMMYFUNCTION("IF(B739="""","""",IFERROR(VLOOKUP(TO_TEXT(B739),PEDIDOS!D:I,6,0),IFERROR(VLOOKUP(B739*1,PEDIDOS!D:I,6,0),"" "")))"),"ENTREGUE")</f>
        <v>ENTREGUE</v>
      </c>
      <c r="G739" s="303"/>
      <c r="H739" s="304"/>
    </row>
    <row r="740">
      <c r="A740" s="302" t="s">
        <v>3395</v>
      </c>
      <c r="B740" s="291" t="s">
        <v>7308</v>
      </c>
      <c r="C740" s="292" t="s">
        <v>48</v>
      </c>
      <c r="D740" s="293">
        <f t="shared" si="2"/>
        <v>1</v>
      </c>
      <c r="E740" s="294"/>
      <c r="F740" s="295" t="str">
        <f>IFERROR(__xludf.DUMMYFUNCTION("IF(B740="""","""",IFERROR(VLOOKUP(TO_TEXT(B740),PEDIDOS!D:I,6,0),IFERROR(VLOOKUP(B740*1,PEDIDOS!D:I,6,0),"" "")))"),"ENTREGUE")</f>
        <v>ENTREGUE</v>
      </c>
      <c r="G740" s="303"/>
      <c r="H740" s="304"/>
    </row>
    <row r="741">
      <c r="A741" s="302" t="s">
        <v>3395</v>
      </c>
      <c r="B741" s="291" t="s">
        <v>3437</v>
      </c>
      <c r="C741" s="292" t="s">
        <v>48</v>
      </c>
      <c r="D741" s="293">
        <f t="shared" si="2"/>
        <v>1</v>
      </c>
      <c r="E741" s="294"/>
      <c r="F741" s="295" t="str">
        <f>IFERROR(__xludf.DUMMYFUNCTION("IF(B741="""","""",IFERROR(VLOOKUP(TO_TEXT(B741),PEDIDOS!D:I,6,0),IFERROR(VLOOKUP(B741*1,PEDIDOS!D:I,6,0),"" "")))"),"ENTREGUE")</f>
        <v>ENTREGUE</v>
      </c>
      <c r="G741" s="303"/>
      <c r="H741" s="304"/>
    </row>
    <row r="742">
      <c r="A742" s="302" t="s">
        <v>3395</v>
      </c>
      <c r="B742" s="291" t="s">
        <v>8240</v>
      </c>
      <c r="C742" s="292" t="s">
        <v>48</v>
      </c>
      <c r="D742" s="293">
        <f t="shared" si="2"/>
        <v>1</v>
      </c>
      <c r="E742" s="294"/>
      <c r="F742" s="295" t="str">
        <f>IFERROR(__xludf.DUMMYFUNCTION("IF(B742="""","""",IFERROR(VLOOKUP(TO_TEXT(B742),PEDIDOS!D:I,6,0),IFERROR(VLOOKUP(B742*1,PEDIDOS!D:I,6,0),"" "")))"),"ENTREGUE")</f>
        <v>ENTREGUE</v>
      </c>
      <c r="G742" s="303"/>
      <c r="H742" s="304"/>
    </row>
    <row r="743">
      <c r="A743" s="302" t="s">
        <v>3395</v>
      </c>
      <c r="B743" s="291" t="s">
        <v>7716</v>
      </c>
      <c r="C743" s="292" t="s">
        <v>48</v>
      </c>
      <c r="D743" s="293">
        <f t="shared" si="2"/>
        <v>1</v>
      </c>
      <c r="E743" s="294"/>
      <c r="F743" s="295" t="str">
        <f>IFERROR(__xludf.DUMMYFUNCTION("IF(B743="""","""",IFERROR(VLOOKUP(TO_TEXT(B743),PEDIDOS!D:I,6,0),IFERROR(VLOOKUP(B743*1,PEDIDOS!D:I,6,0),"" "")))"),"ENTREGUE")</f>
        <v>ENTREGUE</v>
      </c>
      <c r="G743" s="303"/>
      <c r="H743" s="304"/>
    </row>
    <row r="744">
      <c r="A744" s="302" t="s">
        <v>3395</v>
      </c>
      <c r="B744" s="291" t="s">
        <v>3394</v>
      </c>
      <c r="C744" s="292" t="s">
        <v>48</v>
      </c>
      <c r="D744" s="293">
        <f t="shared" si="2"/>
        <v>1</v>
      </c>
      <c r="E744" s="294"/>
      <c r="F744" s="295" t="str">
        <f>IFERROR(__xludf.DUMMYFUNCTION("IF(B744="""","""",IFERROR(VLOOKUP(TO_TEXT(B744),PEDIDOS!D:I,6,0),IFERROR(VLOOKUP(B744*1,PEDIDOS!D:I,6,0),"" "")))"),"ENTREGUE")</f>
        <v>ENTREGUE</v>
      </c>
      <c r="G744" s="303"/>
      <c r="H744" s="304"/>
    </row>
    <row r="745">
      <c r="A745" s="302" t="s">
        <v>3395</v>
      </c>
      <c r="B745" s="291" t="s">
        <v>6596</v>
      </c>
      <c r="C745" s="292" t="s">
        <v>48</v>
      </c>
      <c r="D745" s="293">
        <f t="shared" si="2"/>
        <v>1</v>
      </c>
      <c r="E745" s="294"/>
      <c r="F745" s="295" t="str">
        <f>IFERROR(__xludf.DUMMYFUNCTION("IF(B745="""","""",IFERROR(VLOOKUP(TO_TEXT(B745),PEDIDOS!D:I,6,0),IFERROR(VLOOKUP(B745*1,PEDIDOS!D:I,6,0),"" "")))"),"ENTREGUE")</f>
        <v>ENTREGUE</v>
      </c>
      <c r="G745" s="303"/>
      <c r="H745" s="304"/>
    </row>
    <row r="746">
      <c r="A746" s="302" t="s">
        <v>3395</v>
      </c>
      <c r="B746" s="291" t="s">
        <v>5111</v>
      </c>
      <c r="C746" s="292" t="s">
        <v>48</v>
      </c>
      <c r="D746" s="293">
        <f t="shared" si="2"/>
        <v>1</v>
      </c>
      <c r="E746" s="294"/>
      <c r="F746" s="295" t="str">
        <f>IFERROR(__xludf.DUMMYFUNCTION("IF(B746="""","""",IFERROR(VLOOKUP(TO_TEXT(B746),PEDIDOS!D:I,6,0),IFERROR(VLOOKUP(B746*1,PEDIDOS!D:I,6,0),"" "")))"),"ENTREGUE")</f>
        <v>ENTREGUE</v>
      </c>
      <c r="G746" s="303"/>
      <c r="H746" s="304"/>
    </row>
    <row r="747">
      <c r="A747" s="302" t="s">
        <v>3395</v>
      </c>
      <c r="B747" s="291" t="s">
        <v>4637</v>
      </c>
      <c r="C747" s="292" t="s">
        <v>48</v>
      </c>
      <c r="D747" s="293">
        <f t="shared" si="2"/>
        <v>1</v>
      </c>
      <c r="E747" s="294"/>
      <c r="F747" s="295" t="str">
        <f>IFERROR(__xludf.DUMMYFUNCTION("IF(B747="""","""",IFERROR(VLOOKUP(TO_TEXT(B747),PEDIDOS!D:I,6,0),IFERROR(VLOOKUP(B747*1,PEDIDOS!D:I,6,0),"" "")))"),"ENTREGUE")</f>
        <v>ENTREGUE</v>
      </c>
      <c r="G747" s="303"/>
      <c r="H747" s="304"/>
    </row>
    <row r="748">
      <c r="A748" s="302" t="s">
        <v>3395</v>
      </c>
      <c r="B748" s="291" t="s">
        <v>7425</v>
      </c>
      <c r="C748" s="292" t="s">
        <v>48</v>
      </c>
      <c r="D748" s="293">
        <f t="shared" si="2"/>
        <v>1</v>
      </c>
      <c r="E748" s="294"/>
      <c r="F748" s="295" t="str">
        <f>IFERROR(__xludf.DUMMYFUNCTION("IF(B748="""","""",IFERROR(VLOOKUP(TO_TEXT(B748),PEDIDOS!D:I,6,0),IFERROR(VLOOKUP(B748*1,PEDIDOS!D:I,6,0),"" "")))"),"ENTREGUE")</f>
        <v>ENTREGUE</v>
      </c>
      <c r="G748" s="303"/>
      <c r="H748" s="304"/>
    </row>
    <row r="749">
      <c r="A749" s="302" t="s">
        <v>3395</v>
      </c>
      <c r="B749" s="291" t="s">
        <v>4735</v>
      </c>
      <c r="C749" s="292" t="s">
        <v>48</v>
      </c>
      <c r="D749" s="293">
        <f t="shared" si="2"/>
        <v>1</v>
      </c>
      <c r="E749" s="294"/>
      <c r="F749" s="295" t="str">
        <f>IFERROR(__xludf.DUMMYFUNCTION("IF(B749="""","""",IFERROR(VLOOKUP(TO_TEXT(B749),PEDIDOS!D:I,6,0),IFERROR(VLOOKUP(B749*1,PEDIDOS!D:I,6,0),"" "")))"),"ENTREGUE")</f>
        <v>ENTREGUE</v>
      </c>
      <c r="G749" s="303"/>
      <c r="H749" s="304"/>
    </row>
    <row r="750">
      <c r="A750" s="302" t="s">
        <v>3395</v>
      </c>
      <c r="B750" s="291" t="s">
        <v>4778</v>
      </c>
      <c r="C750" s="292" t="s">
        <v>48</v>
      </c>
      <c r="D750" s="293">
        <f t="shared" si="2"/>
        <v>1</v>
      </c>
      <c r="E750" s="294"/>
      <c r="F750" s="295" t="str">
        <f>IFERROR(__xludf.DUMMYFUNCTION("IF(B750="""","""",IFERROR(VLOOKUP(TO_TEXT(B750),PEDIDOS!D:I,6,0),IFERROR(VLOOKUP(B750*1,PEDIDOS!D:I,6,0),"" "")))"),"ENTREGUE")</f>
        <v>ENTREGUE</v>
      </c>
      <c r="G750" s="303"/>
      <c r="H750" s="304"/>
    </row>
    <row r="751">
      <c r="A751" s="302" t="s">
        <v>3395</v>
      </c>
      <c r="B751" s="291" t="s">
        <v>5701</v>
      </c>
      <c r="C751" s="292" t="s">
        <v>48</v>
      </c>
      <c r="D751" s="293">
        <f t="shared" si="2"/>
        <v>1</v>
      </c>
      <c r="E751" s="294"/>
      <c r="F751" s="295" t="str">
        <f>IFERROR(__xludf.DUMMYFUNCTION("IF(B751="""","""",IFERROR(VLOOKUP(TO_TEXT(B751),PEDIDOS!D:I,6,0),IFERROR(VLOOKUP(B751*1,PEDIDOS!D:I,6,0),"" "")))"),"ENTREGUE")</f>
        <v>ENTREGUE</v>
      </c>
      <c r="G751" s="303"/>
      <c r="H751" s="304"/>
    </row>
    <row r="752">
      <c r="A752" s="302" t="s">
        <v>3395</v>
      </c>
      <c r="B752" s="291" t="s">
        <v>4548</v>
      </c>
      <c r="C752" s="292" t="s">
        <v>48</v>
      </c>
      <c r="D752" s="293">
        <f t="shared" si="2"/>
        <v>1</v>
      </c>
      <c r="E752" s="294"/>
      <c r="F752" s="295" t="str">
        <f>IFERROR(__xludf.DUMMYFUNCTION("IF(B752="""","""",IFERROR(VLOOKUP(TO_TEXT(B752),PEDIDOS!D:I,6,0),IFERROR(VLOOKUP(B752*1,PEDIDOS!D:I,6,0),"" "")))"),"ENTREGUE")</f>
        <v>ENTREGUE</v>
      </c>
      <c r="G752" s="303"/>
      <c r="H752" s="304"/>
    </row>
    <row r="753">
      <c r="A753" s="302" t="s">
        <v>3395</v>
      </c>
      <c r="B753" s="291" t="s">
        <v>5513</v>
      </c>
      <c r="C753" s="292" t="s">
        <v>48</v>
      </c>
      <c r="D753" s="293">
        <f t="shared" si="2"/>
        <v>1</v>
      </c>
      <c r="E753" s="294"/>
      <c r="F753" s="295" t="str">
        <f>IFERROR(__xludf.DUMMYFUNCTION("IF(B753="""","""",IFERROR(VLOOKUP(TO_TEXT(B753),PEDIDOS!D:I,6,0),IFERROR(VLOOKUP(B753*1,PEDIDOS!D:I,6,0),"" "")))"),"ENTREGUE")</f>
        <v>ENTREGUE</v>
      </c>
      <c r="G753" s="303"/>
      <c r="H753" s="304"/>
    </row>
    <row r="754">
      <c r="A754" s="302" t="s">
        <v>3395</v>
      </c>
      <c r="B754" s="291" t="s">
        <v>6788</v>
      </c>
      <c r="C754" s="292" t="s">
        <v>48</v>
      </c>
      <c r="D754" s="293">
        <f t="shared" si="2"/>
        <v>1</v>
      </c>
      <c r="E754" s="294"/>
      <c r="F754" s="295" t="str">
        <f>IFERROR(__xludf.DUMMYFUNCTION("IF(B754="""","""",IFERROR(VLOOKUP(TO_TEXT(B754),PEDIDOS!D:I,6,0),IFERROR(VLOOKUP(B754*1,PEDIDOS!D:I,6,0),"" "")))"),"ENTREGUE")</f>
        <v>ENTREGUE</v>
      </c>
      <c r="G754" s="303"/>
      <c r="H754" s="304"/>
    </row>
    <row r="755">
      <c r="A755" s="302" t="s">
        <v>3395</v>
      </c>
      <c r="B755" s="291" t="s">
        <v>12076</v>
      </c>
      <c r="C755" s="292" t="s">
        <v>48</v>
      </c>
      <c r="D755" s="293">
        <f t="shared" si="2"/>
        <v>1</v>
      </c>
      <c r="E755" s="294"/>
      <c r="F755" s="295" t="str">
        <f>IFERROR(__xludf.DUMMYFUNCTION("IF(B755="""","""",IFERROR(VLOOKUP(TO_TEXT(B755),PEDIDOS!D:I,6,0),IFERROR(VLOOKUP(B755*1,PEDIDOS!D:I,6,0),"" "")))"),"ENTREGUE")</f>
        <v>ENTREGUE</v>
      </c>
      <c r="G755" s="303"/>
      <c r="H755" s="304"/>
    </row>
    <row r="756">
      <c r="A756" s="302" t="s">
        <v>3395</v>
      </c>
      <c r="B756" s="291" t="s">
        <v>7149</v>
      </c>
      <c r="C756" s="292" t="s">
        <v>48</v>
      </c>
      <c r="D756" s="293">
        <f t="shared" si="2"/>
        <v>1</v>
      </c>
      <c r="E756" s="294"/>
      <c r="F756" s="295" t="str">
        <f>IFERROR(__xludf.DUMMYFUNCTION("IF(B756="""","""",IFERROR(VLOOKUP(TO_TEXT(B756),PEDIDOS!D:I,6,0),IFERROR(VLOOKUP(B756*1,PEDIDOS!D:I,6,0),"" "")))"),"ENTREGUE")</f>
        <v>ENTREGUE</v>
      </c>
      <c r="G756" s="303"/>
      <c r="H756" s="304"/>
    </row>
    <row r="757">
      <c r="A757" s="302" t="s">
        <v>3395</v>
      </c>
      <c r="B757" s="291" t="s">
        <v>6066</v>
      </c>
      <c r="C757" s="292" t="s">
        <v>48</v>
      </c>
      <c r="D757" s="293">
        <f t="shared" si="2"/>
        <v>1</v>
      </c>
      <c r="E757" s="294"/>
      <c r="F757" s="295" t="str">
        <f>IFERROR(__xludf.DUMMYFUNCTION("IF(B757="""","""",IFERROR(VLOOKUP(TO_TEXT(B757),PEDIDOS!D:I,6,0),IFERROR(VLOOKUP(B757*1,PEDIDOS!D:I,6,0),"" "")))"),"ENTREGUE")</f>
        <v>ENTREGUE</v>
      </c>
      <c r="G757" s="303"/>
      <c r="H757" s="304"/>
    </row>
    <row r="758">
      <c r="A758" s="302" t="s">
        <v>3395</v>
      </c>
      <c r="B758" s="291" t="s">
        <v>5925</v>
      </c>
      <c r="C758" s="292" t="s">
        <v>48</v>
      </c>
      <c r="D758" s="293">
        <f t="shared" si="2"/>
        <v>1</v>
      </c>
      <c r="E758" s="294"/>
      <c r="F758" s="295" t="str">
        <f>IFERROR(__xludf.DUMMYFUNCTION("IF(B758="""","""",IFERROR(VLOOKUP(TO_TEXT(B758),PEDIDOS!D:I,6,0),IFERROR(VLOOKUP(B758*1,PEDIDOS!D:I,6,0),"" "")))"),"ENTREGUE")</f>
        <v>ENTREGUE</v>
      </c>
      <c r="G758" s="303"/>
      <c r="H758" s="304"/>
    </row>
    <row r="759">
      <c r="A759" s="302" t="s">
        <v>3395</v>
      </c>
      <c r="B759" s="291" t="s">
        <v>5283</v>
      </c>
      <c r="C759" s="292" t="s">
        <v>48</v>
      </c>
      <c r="D759" s="293">
        <f t="shared" si="2"/>
        <v>1</v>
      </c>
      <c r="E759" s="294"/>
      <c r="F759" s="295" t="str">
        <f>IFERROR(__xludf.DUMMYFUNCTION("IF(B759="""","""",IFERROR(VLOOKUP(TO_TEXT(B759),PEDIDOS!D:I,6,0),IFERROR(VLOOKUP(B759*1,PEDIDOS!D:I,6,0),"" "")))"),"ENTREGUE")</f>
        <v>ENTREGUE</v>
      </c>
      <c r="G759" s="303"/>
      <c r="H759" s="304"/>
    </row>
    <row r="760">
      <c r="A760" s="302" t="s">
        <v>3395</v>
      </c>
      <c r="B760" s="291" t="s">
        <v>6353</v>
      </c>
      <c r="C760" s="292" t="s">
        <v>48</v>
      </c>
      <c r="D760" s="293">
        <f t="shared" si="2"/>
        <v>1</v>
      </c>
      <c r="E760" s="294"/>
      <c r="F760" s="295" t="str">
        <f>IFERROR(__xludf.DUMMYFUNCTION("IF(B760="""","""",IFERROR(VLOOKUP(TO_TEXT(B760),PEDIDOS!D:I,6,0),IFERROR(VLOOKUP(B760*1,PEDIDOS!D:I,6,0),"" "")))"),"ENTREGUE")</f>
        <v>ENTREGUE</v>
      </c>
      <c r="G760" s="303"/>
      <c r="H760" s="304"/>
    </row>
    <row r="761">
      <c r="A761" s="302" t="s">
        <v>3395</v>
      </c>
      <c r="B761" s="291" t="s">
        <v>8067</v>
      </c>
      <c r="C761" s="292" t="s">
        <v>48</v>
      </c>
      <c r="D761" s="293">
        <f t="shared" si="2"/>
        <v>1</v>
      </c>
      <c r="E761" s="294"/>
      <c r="F761" s="295" t="str">
        <f>IFERROR(__xludf.DUMMYFUNCTION("IF(B761="""","""",IFERROR(VLOOKUP(TO_TEXT(B761),PEDIDOS!D:I,6,0),IFERROR(VLOOKUP(B761*1,PEDIDOS!D:I,6,0),"" "")))"),"ENTREGUE")</f>
        <v>ENTREGUE</v>
      </c>
      <c r="G761" s="303"/>
      <c r="H761" s="304"/>
    </row>
    <row r="762">
      <c r="A762" s="302" t="s">
        <v>3395</v>
      </c>
      <c r="B762" s="291" t="s">
        <v>6739</v>
      </c>
      <c r="C762" s="292" t="s">
        <v>48</v>
      </c>
      <c r="D762" s="293">
        <f t="shared" si="2"/>
        <v>1</v>
      </c>
      <c r="E762" s="294"/>
      <c r="F762" s="295" t="str">
        <f>IFERROR(__xludf.DUMMYFUNCTION("IF(B762="""","""",IFERROR(VLOOKUP(TO_TEXT(B762),PEDIDOS!D:I,6,0),IFERROR(VLOOKUP(B762*1,PEDIDOS!D:I,6,0),"" "")))"),"ENTREGUE")</f>
        <v>ENTREGUE</v>
      </c>
      <c r="G762" s="303"/>
      <c r="H762" s="304"/>
    </row>
    <row r="763">
      <c r="A763" s="302" t="s">
        <v>3395</v>
      </c>
      <c r="B763" s="291" t="s">
        <v>6910</v>
      </c>
      <c r="C763" s="292" t="s">
        <v>48</v>
      </c>
      <c r="D763" s="293">
        <f t="shared" si="2"/>
        <v>1</v>
      </c>
      <c r="E763" s="294"/>
      <c r="F763" s="295" t="str">
        <f>IFERROR(__xludf.DUMMYFUNCTION("IF(B763="""","""",IFERROR(VLOOKUP(TO_TEXT(B763),PEDIDOS!D:I,6,0),IFERROR(VLOOKUP(B763*1,PEDIDOS!D:I,6,0),"" "")))"),"ENTREGUE")</f>
        <v>ENTREGUE</v>
      </c>
      <c r="G763" s="303"/>
      <c r="H763" s="304"/>
    </row>
    <row r="764">
      <c r="A764" s="302" t="s">
        <v>3395</v>
      </c>
      <c r="B764" s="291" t="s">
        <v>7637</v>
      </c>
      <c r="C764" s="292" t="s">
        <v>48</v>
      </c>
      <c r="D764" s="293">
        <f t="shared" si="2"/>
        <v>1</v>
      </c>
      <c r="E764" s="294"/>
      <c r="F764" s="295" t="str">
        <f>IFERROR(__xludf.DUMMYFUNCTION("IF(B764="""","""",IFERROR(VLOOKUP(TO_TEXT(B764),PEDIDOS!D:I,6,0),IFERROR(VLOOKUP(B764*1,PEDIDOS!D:I,6,0),"" "")))"),"ENTREGUE")</f>
        <v>ENTREGUE</v>
      </c>
      <c r="G764" s="303"/>
      <c r="H764" s="304"/>
    </row>
    <row r="765">
      <c r="A765" s="302" t="s">
        <v>3395</v>
      </c>
      <c r="B765" s="291" t="s">
        <v>5001</v>
      </c>
      <c r="C765" s="292" t="s">
        <v>48</v>
      </c>
      <c r="D765" s="293">
        <f t="shared" si="2"/>
        <v>1</v>
      </c>
      <c r="E765" s="294"/>
      <c r="F765" s="295" t="str">
        <f>IFERROR(__xludf.DUMMYFUNCTION("IF(B765="""","""",IFERROR(VLOOKUP(TO_TEXT(B765),PEDIDOS!D:I,6,0),IFERROR(VLOOKUP(B765*1,PEDIDOS!D:I,6,0),"" "")))"),"ENTREGUE")</f>
        <v>ENTREGUE</v>
      </c>
      <c r="G765" s="303"/>
      <c r="H765" s="304"/>
    </row>
    <row r="766">
      <c r="A766" s="302" t="s">
        <v>3395</v>
      </c>
      <c r="B766" s="291" t="s">
        <v>4998</v>
      </c>
      <c r="C766" s="292" t="s">
        <v>48</v>
      </c>
      <c r="D766" s="293">
        <f t="shared" si="2"/>
        <v>1</v>
      </c>
      <c r="E766" s="294"/>
      <c r="F766" s="295" t="str">
        <f>IFERROR(__xludf.DUMMYFUNCTION("IF(B766="""","""",IFERROR(VLOOKUP(TO_TEXT(B766),PEDIDOS!D:I,6,0),IFERROR(VLOOKUP(B766*1,PEDIDOS!D:I,6,0),"" "")))"),"ENTREGUE")</f>
        <v>ENTREGUE</v>
      </c>
      <c r="G766" s="303"/>
      <c r="H766" s="304"/>
    </row>
    <row r="767">
      <c r="A767" s="302" t="s">
        <v>3395</v>
      </c>
      <c r="B767" s="291" t="s">
        <v>5814</v>
      </c>
      <c r="C767" s="292" t="s">
        <v>48</v>
      </c>
      <c r="D767" s="293">
        <f t="shared" si="2"/>
        <v>1</v>
      </c>
      <c r="E767" s="294"/>
      <c r="F767" s="295" t="str">
        <f>IFERROR(__xludf.DUMMYFUNCTION("IF(B767="""","""",IFERROR(VLOOKUP(TO_TEXT(B767),PEDIDOS!D:I,6,0),IFERROR(VLOOKUP(B767*1,PEDIDOS!D:I,6,0),"" "")))"),"ENTREGUE")</f>
        <v>ENTREGUE</v>
      </c>
      <c r="G767" s="303"/>
      <c r="H767" s="304"/>
    </row>
    <row r="768">
      <c r="A768" s="302" t="s">
        <v>3395</v>
      </c>
      <c r="B768" s="291" t="s">
        <v>3434</v>
      </c>
      <c r="C768" s="292" t="s">
        <v>48</v>
      </c>
      <c r="D768" s="293">
        <f t="shared" si="2"/>
        <v>1</v>
      </c>
      <c r="E768" s="294"/>
      <c r="F768" s="295" t="str">
        <f>IFERROR(__xludf.DUMMYFUNCTION("IF(B768="""","""",IFERROR(VLOOKUP(TO_TEXT(B768),PEDIDOS!D:I,6,0),IFERROR(VLOOKUP(B768*1,PEDIDOS!D:I,6,0),"" "")))"),"ENTREGUE")</f>
        <v>ENTREGUE</v>
      </c>
      <c r="G768" s="303"/>
      <c r="H768" s="304"/>
    </row>
    <row r="769">
      <c r="A769" s="302" t="s">
        <v>3395</v>
      </c>
      <c r="B769" s="291" t="s">
        <v>10147</v>
      </c>
      <c r="C769" s="292" t="s">
        <v>48</v>
      </c>
      <c r="D769" s="293">
        <f t="shared" si="2"/>
        <v>1</v>
      </c>
      <c r="E769" s="294"/>
      <c r="F769" s="295" t="str">
        <f>IFERROR(__xludf.DUMMYFUNCTION("IF(B769="""","""",IFERROR(VLOOKUP(TO_TEXT(B769),PEDIDOS!D:I,6,0),IFERROR(VLOOKUP(B769*1,PEDIDOS!D:I,6,0),"" "")))"),"ENTREGUE")</f>
        <v>ENTREGUE</v>
      </c>
      <c r="G769" s="303"/>
      <c r="H769" s="304"/>
    </row>
    <row r="770">
      <c r="A770" s="302" t="s">
        <v>3395</v>
      </c>
      <c r="B770" s="291" t="s">
        <v>4762</v>
      </c>
      <c r="C770" s="292" t="s">
        <v>48</v>
      </c>
      <c r="D770" s="293">
        <f t="shared" si="2"/>
        <v>1</v>
      </c>
      <c r="E770" s="294"/>
      <c r="F770" s="295" t="str">
        <f>IFERROR(__xludf.DUMMYFUNCTION("IF(B770="""","""",IFERROR(VLOOKUP(TO_TEXT(B770),PEDIDOS!D:I,6,0),IFERROR(VLOOKUP(B770*1,PEDIDOS!D:I,6,0),"" "")))"),"ENTREGUE")</f>
        <v>ENTREGUE</v>
      </c>
      <c r="G770" s="303"/>
      <c r="H770" s="304"/>
    </row>
    <row r="771">
      <c r="A771" s="302" t="s">
        <v>3395</v>
      </c>
      <c r="B771" s="291" t="s">
        <v>6844</v>
      </c>
      <c r="C771" s="292" t="s">
        <v>48</v>
      </c>
      <c r="D771" s="293">
        <f t="shared" si="2"/>
        <v>1</v>
      </c>
      <c r="E771" s="294"/>
      <c r="F771" s="295" t="str">
        <f>IFERROR(__xludf.DUMMYFUNCTION("IF(B771="""","""",IFERROR(VLOOKUP(TO_TEXT(B771),PEDIDOS!D:I,6,0),IFERROR(VLOOKUP(B771*1,PEDIDOS!D:I,6,0),"" "")))"),"ENTREGUE")</f>
        <v>ENTREGUE</v>
      </c>
      <c r="G771" s="303"/>
      <c r="H771" s="304"/>
    </row>
    <row r="772">
      <c r="A772" s="302" t="s">
        <v>3395</v>
      </c>
      <c r="B772" s="291" t="s">
        <v>6271</v>
      </c>
      <c r="C772" s="292" t="s">
        <v>48</v>
      </c>
      <c r="D772" s="293">
        <f t="shared" si="2"/>
        <v>1</v>
      </c>
      <c r="E772" s="294"/>
      <c r="F772" s="295" t="str">
        <f>IFERROR(__xludf.DUMMYFUNCTION("IF(B772="""","""",IFERROR(VLOOKUP(TO_TEXT(B772),PEDIDOS!D:I,6,0),IFERROR(VLOOKUP(B772*1,PEDIDOS!D:I,6,0),"" "")))"),"ENTREGUE")</f>
        <v>ENTREGUE</v>
      </c>
      <c r="G772" s="303"/>
      <c r="H772" s="304"/>
    </row>
    <row r="773">
      <c r="A773" s="302" t="s">
        <v>3395</v>
      </c>
      <c r="B773" s="291" t="s">
        <v>4898</v>
      </c>
      <c r="C773" s="292" t="s">
        <v>48</v>
      </c>
      <c r="D773" s="293">
        <f t="shared" si="2"/>
        <v>1</v>
      </c>
      <c r="E773" s="294"/>
      <c r="F773" s="295" t="str">
        <f>IFERROR(__xludf.DUMMYFUNCTION("IF(B773="""","""",IFERROR(VLOOKUP(TO_TEXT(B773),PEDIDOS!D:I,6,0),IFERROR(VLOOKUP(B773*1,PEDIDOS!D:I,6,0),"" "")))"),"ENTREGUE")</f>
        <v>ENTREGUE</v>
      </c>
      <c r="G773" s="303"/>
      <c r="H773" s="304"/>
    </row>
    <row r="774">
      <c r="A774" s="302" t="s">
        <v>3395</v>
      </c>
      <c r="B774" s="291" t="s">
        <v>7487</v>
      </c>
      <c r="C774" s="292" t="s">
        <v>48</v>
      </c>
      <c r="D774" s="293">
        <f t="shared" si="2"/>
        <v>1</v>
      </c>
      <c r="E774" s="294"/>
      <c r="F774" s="295" t="str">
        <f>IFERROR(__xludf.DUMMYFUNCTION("IF(B774="""","""",IFERROR(VLOOKUP(TO_TEXT(B774),PEDIDOS!D:I,6,0),IFERROR(VLOOKUP(B774*1,PEDIDOS!D:I,6,0),"" "")))"),"ENTREGUE")</f>
        <v>ENTREGUE</v>
      </c>
      <c r="G774" s="303"/>
      <c r="H774" s="304"/>
    </row>
    <row r="775">
      <c r="A775" s="302" t="s">
        <v>3395</v>
      </c>
      <c r="B775" s="291" t="s">
        <v>5557</v>
      </c>
      <c r="C775" s="292" t="s">
        <v>48</v>
      </c>
      <c r="D775" s="293">
        <f t="shared" si="2"/>
        <v>1</v>
      </c>
      <c r="E775" s="294"/>
      <c r="F775" s="295" t="str">
        <f>IFERROR(__xludf.DUMMYFUNCTION("IF(B775="""","""",IFERROR(VLOOKUP(TO_TEXT(B775),PEDIDOS!D:I,6,0),IFERROR(VLOOKUP(B775*1,PEDIDOS!D:I,6,0),"" "")))"),"ENTREGUE")</f>
        <v>ENTREGUE</v>
      </c>
      <c r="G775" s="303"/>
      <c r="H775" s="304"/>
    </row>
    <row r="776">
      <c r="A776" s="302" t="s">
        <v>3395</v>
      </c>
      <c r="B776" s="291" t="s">
        <v>8984</v>
      </c>
      <c r="C776" s="292" t="s">
        <v>48</v>
      </c>
      <c r="D776" s="293">
        <f t="shared" si="2"/>
        <v>1</v>
      </c>
      <c r="E776" s="294"/>
      <c r="F776" s="295" t="str">
        <f>IFERROR(__xludf.DUMMYFUNCTION("IF(B776="""","""",IFERROR(VLOOKUP(TO_TEXT(B776),PEDIDOS!D:I,6,0),IFERROR(VLOOKUP(B776*1,PEDIDOS!D:I,6,0),"" "")))"),"ENTREGUE")</f>
        <v>ENTREGUE</v>
      </c>
      <c r="G776" s="303"/>
      <c r="H776" s="304"/>
    </row>
    <row r="777">
      <c r="A777" s="302" t="s">
        <v>3395</v>
      </c>
      <c r="B777" s="291" t="s">
        <v>7400</v>
      </c>
      <c r="C777" s="292" t="s">
        <v>48</v>
      </c>
      <c r="D777" s="293">
        <f t="shared" si="2"/>
        <v>1</v>
      </c>
      <c r="E777" s="294"/>
      <c r="F777" s="295" t="str">
        <f>IFERROR(__xludf.DUMMYFUNCTION("IF(B777="""","""",IFERROR(VLOOKUP(TO_TEXT(B777),PEDIDOS!D:I,6,0),IFERROR(VLOOKUP(B777*1,PEDIDOS!D:I,6,0),"" "")))"),"ENTREGUE")</f>
        <v>ENTREGUE</v>
      </c>
      <c r="G777" s="303"/>
      <c r="H777" s="304"/>
    </row>
    <row r="778">
      <c r="A778" s="302" t="s">
        <v>3395</v>
      </c>
      <c r="B778" s="291" t="s">
        <v>6783</v>
      </c>
      <c r="C778" s="292" t="s">
        <v>48</v>
      </c>
      <c r="D778" s="293">
        <f t="shared" si="2"/>
        <v>1</v>
      </c>
      <c r="E778" s="294"/>
      <c r="F778" s="295" t="str">
        <f>IFERROR(__xludf.DUMMYFUNCTION("IF(B778="""","""",IFERROR(VLOOKUP(TO_TEXT(B778),PEDIDOS!D:I,6,0),IFERROR(VLOOKUP(B778*1,PEDIDOS!D:I,6,0),"" "")))"),"ENTREGUE")</f>
        <v>ENTREGUE</v>
      </c>
      <c r="G778" s="303"/>
      <c r="H778" s="304"/>
    </row>
    <row r="779">
      <c r="A779" s="302" t="s">
        <v>3395</v>
      </c>
      <c r="B779" s="291" t="s">
        <v>3431</v>
      </c>
      <c r="C779" s="292" t="s">
        <v>48</v>
      </c>
      <c r="D779" s="293">
        <f t="shared" si="2"/>
        <v>1</v>
      </c>
      <c r="E779" s="294"/>
      <c r="F779" s="295" t="str">
        <f>IFERROR(__xludf.DUMMYFUNCTION("IF(B779="""","""",IFERROR(VLOOKUP(TO_TEXT(B779),PEDIDOS!D:I,6,0),IFERROR(VLOOKUP(B779*1,PEDIDOS!D:I,6,0),"" "")))"),"ENTREGUE")</f>
        <v>ENTREGUE</v>
      </c>
      <c r="G779" s="303"/>
      <c r="H779" s="304"/>
    </row>
    <row r="780">
      <c r="A780" s="302" t="s">
        <v>3395</v>
      </c>
      <c r="B780" s="291" t="s">
        <v>4544</v>
      </c>
      <c r="C780" s="292" t="s">
        <v>48</v>
      </c>
      <c r="D780" s="293">
        <f t="shared" si="2"/>
        <v>1</v>
      </c>
      <c r="E780" s="294"/>
      <c r="F780" s="295" t="str">
        <f>IFERROR(__xludf.DUMMYFUNCTION("IF(B780="""","""",IFERROR(VLOOKUP(TO_TEXT(B780),PEDIDOS!D:I,6,0),IFERROR(VLOOKUP(B780*1,PEDIDOS!D:I,6,0),"" "")))"),"ENTREGUE")</f>
        <v>ENTREGUE</v>
      </c>
      <c r="G780" s="303"/>
      <c r="H780" s="304"/>
    </row>
    <row r="781">
      <c r="A781" s="302" t="s">
        <v>3395</v>
      </c>
      <c r="B781" s="291" t="s">
        <v>6922</v>
      </c>
      <c r="C781" s="292" t="s">
        <v>48</v>
      </c>
      <c r="D781" s="293">
        <f t="shared" si="2"/>
        <v>1</v>
      </c>
      <c r="E781" s="294"/>
      <c r="F781" s="295" t="str">
        <f>IFERROR(__xludf.DUMMYFUNCTION("IF(B781="""","""",IFERROR(VLOOKUP(TO_TEXT(B781),PEDIDOS!D:I,6,0),IFERROR(VLOOKUP(B781*1,PEDIDOS!D:I,6,0),"" "")))"),"ENTREGUE")</f>
        <v>ENTREGUE</v>
      </c>
      <c r="G781" s="303"/>
      <c r="H781" s="304"/>
    </row>
    <row r="782">
      <c r="A782" s="302" t="s">
        <v>3395</v>
      </c>
      <c r="B782" s="291" t="s">
        <v>12269</v>
      </c>
      <c r="C782" s="292" t="s">
        <v>48</v>
      </c>
      <c r="D782" s="293">
        <f t="shared" si="2"/>
        <v>1</v>
      </c>
      <c r="E782" s="294"/>
      <c r="F782" s="295" t="str">
        <f>IFERROR(__xludf.DUMMYFUNCTION("IF(B782="""","""",IFERROR(VLOOKUP(TO_TEXT(B782),PEDIDOS!D:I,6,0),IFERROR(VLOOKUP(B782*1,PEDIDOS!D:I,6,0),"" "")))"),"ENTREGUE")</f>
        <v>ENTREGUE</v>
      </c>
      <c r="G782" s="303"/>
      <c r="H782" s="304"/>
    </row>
    <row r="783">
      <c r="A783" s="302" t="s">
        <v>3395</v>
      </c>
      <c r="B783" s="291" t="s">
        <v>5034</v>
      </c>
      <c r="C783" s="292" t="s">
        <v>48</v>
      </c>
      <c r="D783" s="293">
        <f t="shared" si="2"/>
        <v>1</v>
      </c>
      <c r="E783" s="294"/>
      <c r="F783" s="295" t="str">
        <f>IFERROR(__xludf.DUMMYFUNCTION("IF(B783="""","""",IFERROR(VLOOKUP(TO_TEXT(B783),PEDIDOS!D:I,6,0),IFERROR(VLOOKUP(B783*1,PEDIDOS!D:I,6,0),"" "")))"),"ENTREGUE")</f>
        <v>ENTREGUE</v>
      </c>
      <c r="G783" s="303"/>
      <c r="H783" s="304"/>
    </row>
    <row r="784">
      <c r="A784" s="302" t="s">
        <v>3395</v>
      </c>
      <c r="B784" s="291" t="s">
        <v>7161</v>
      </c>
      <c r="C784" s="292" t="s">
        <v>48</v>
      </c>
      <c r="D784" s="293">
        <f t="shared" si="2"/>
        <v>1</v>
      </c>
      <c r="E784" s="294"/>
      <c r="F784" s="295" t="str">
        <f>IFERROR(__xludf.DUMMYFUNCTION("IF(B784="""","""",IFERROR(VLOOKUP(TO_TEXT(B784),PEDIDOS!D:I,6,0),IFERROR(VLOOKUP(B784*1,PEDIDOS!D:I,6,0),"" "")))"),"ENTREGUE")</f>
        <v>ENTREGUE</v>
      </c>
      <c r="G784" s="303"/>
      <c r="H784" s="304"/>
    </row>
    <row r="785">
      <c r="A785" s="302" t="s">
        <v>3395</v>
      </c>
      <c r="B785" s="291" t="s">
        <v>6176</v>
      </c>
      <c r="C785" s="292" t="s">
        <v>48</v>
      </c>
      <c r="D785" s="293">
        <f t="shared" si="2"/>
        <v>1</v>
      </c>
      <c r="E785" s="294"/>
      <c r="F785" s="295" t="str">
        <f>IFERROR(__xludf.DUMMYFUNCTION("IF(B785="""","""",IFERROR(VLOOKUP(TO_TEXT(B785),PEDIDOS!D:I,6,0),IFERROR(VLOOKUP(B785*1,PEDIDOS!D:I,6,0),"" "")))"),"ENTREGUE")</f>
        <v>ENTREGUE</v>
      </c>
      <c r="G785" s="303"/>
      <c r="H785" s="304"/>
    </row>
    <row r="786">
      <c r="A786" s="302" t="s">
        <v>3395</v>
      </c>
      <c r="B786" s="291" t="s">
        <v>7525</v>
      </c>
      <c r="C786" s="292" t="s">
        <v>48</v>
      </c>
      <c r="D786" s="293">
        <f t="shared" si="2"/>
        <v>1</v>
      </c>
      <c r="E786" s="294"/>
      <c r="F786" s="295" t="str">
        <f>IFERROR(__xludf.DUMMYFUNCTION("IF(B786="""","""",IFERROR(VLOOKUP(TO_TEXT(B786),PEDIDOS!D:I,6,0),IFERROR(VLOOKUP(B786*1,PEDIDOS!D:I,6,0),"" "")))"),"ENTREGUE")</f>
        <v>ENTREGUE</v>
      </c>
      <c r="G786" s="303"/>
      <c r="H786" s="304"/>
    </row>
    <row r="787">
      <c r="A787" s="302" t="s">
        <v>3395</v>
      </c>
      <c r="B787" s="291" t="s">
        <v>5308</v>
      </c>
      <c r="C787" s="292" t="s">
        <v>48</v>
      </c>
      <c r="D787" s="293">
        <f t="shared" si="2"/>
        <v>1</v>
      </c>
      <c r="E787" s="294"/>
      <c r="F787" s="295" t="str">
        <f>IFERROR(__xludf.DUMMYFUNCTION("IF(B787="""","""",IFERROR(VLOOKUP(TO_TEXT(B787),PEDIDOS!D:I,6,0),IFERROR(VLOOKUP(B787*1,PEDIDOS!D:I,6,0),"" "")))"),"ENTREGUE")</f>
        <v>ENTREGUE</v>
      </c>
      <c r="G787" s="303"/>
      <c r="H787" s="304"/>
    </row>
    <row r="788">
      <c r="A788" s="302" t="s">
        <v>3395</v>
      </c>
      <c r="B788" s="291" t="s">
        <v>4894</v>
      </c>
      <c r="C788" s="292" t="s">
        <v>48</v>
      </c>
      <c r="D788" s="293">
        <f t="shared" si="2"/>
        <v>1</v>
      </c>
      <c r="E788" s="294"/>
      <c r="F788" s="295" t="str">
        <f>IFERROR(__xludf.DUMMYFUNCTION("IF(B788="""","""",IFERROR(VLOOKUP(TO_TEXT(B788),PEDIDOS!D:I,6,0),IFERROR(VLOOKUP(B788*1,PEDIDOS!D:I,6,0),"" "")))"),"ENTREGUE")</f>
        <v>ENTREGUE</v>
      </c>
      <c r="G788" s="303"/>
      <c r="H788" s="304"/>
    </row>
    <row r="789">
      <c r="A789" s="302" t="s">
        <v>3395</v>
      </c>
      <c r="B789" s="291" t="s">
        <v>6918</v>
      </c>
      <c r="C789" s="292" t="s">
        <v>48</v>
      </c>
      <c r="D789" s="293">
        <f t="shared" si="2"/>
        <v>1</v>
      </c>
      <c r="E789" s="294"/>
      <c r="F789" s="295" t="str">
        <f>IFERROR(__xludf.DUMMYFUNCTION("IF(B789="""","""",IFERROR(VLOOKUP(TO_TEXT(B789),PEDIDOS!D:I,6,0),IFERROR(VLOOKUP(B789*1,PEDIDOS!D:I,6,0),"" "")))"),"ENTREGUE")</f>
        <v>ENTREGUE</v>
      </c>
      <c r="G789" s="303"/>
      <c r="H789" s="304"/>
    </row>
    <row r="790">
      <c r="A790" s="302" t="s">
        <v>3395</v>
      </c>
      <c r="B790" s="291" t="s">
        <v>3698</v>
      </c>
      <c r="C790" s="292" t="s">
        <v>48</v>
      </c>
      <c r="D790" s="293">
        <f t="shared" si="2"/>
        <v>1</v>
      </c>
      <c r="E790" s="294"/>
      <c r="F790" s="295" t="str">
        <f>IFERROR(__xludf.DUMMYFUNCTION("IF(B790="""","""",IFERROR(VLOOKUP(TO_TEXT(B790),PEDIDOS!D:I,6,0),IFERROR(VLOOKUP(B790*1,PEDIDOS!D:I,6,0),"" "")))"),"ENTREGUE")</f>
        <v>ENTREGUE</v>
      </c>
      <c r="G790" s="303"/>
      <c r="H790" s="304"/>
    </row>
    <row r="791">
      <c r="A791" s="302" t="s">
        <v>3395</v>
      </c>
      <c r="B791" s="291" t="s">
        <v>7155</v>
      </c>
      <c r="C791" s="292" t="s">
        <v>48</v>
      </c>
      <c r="D791" s="293">
        <f t="shared" si="2"/>
        <v>1</v>
      </c>
      <c r="E791" s="294"/>
      <c r="F791" s="295" t="str">
        <f>IFERROR(__xludf.DUMMYFUNCTION("IF(B791="""","""",IFERROR(VLOOKUP(TO_TEXT(B791),PEDIDOS!D:I,6,0),IFERROR(VLOOKUP(B791*1,PEDIDOS!D:I,6,0),"" "")))"),"ENTREGUE")</f>
        <v>ENTREGUE</v>
      </c>
      <c r="G791" s="303"/>
      <c r="H791" s="304"/>
    </row>
    <row r="792">
      <c r="A792" s="302" t="s">
        <v>3395</v>
      </c>
      <c r="B792" s="291" t="s">
        <v>4740</v>
      </c>
      <c r="C792" s="292" t="s">
        <v>48</v>
      </c>
      <c r="D792" s="293">
        <f t="shared" si="2"/>
        <v>1</v>
      </c>
      <c r="E792" s="294"/>
      <c r="F792" s="295" t="str">
        <f>IFERROR(__xludf.DUMMYFUNCTION("IF(B792="""","""",IFERROR(VLOOKUP(TO_TEXT(B792),PEDIDOS!D:I,6,0),IFERROR(VLOOKUP(B792*1,PEDIDOS!D:I,6,0),"" "")))"),"ENTREGUE")</f>
        <v>ENTREGUE</v>
      </c>
      <c r="G792" s="303"/>
      <c r="H792" s="304"/>
    </row>
    <row r="793">
      <c r="A793" s="302" t="s">
        <v>3395</v>
      </c>
      <c r="B793" s="291" t="s">
        <v>6154</v>
      </c>
      <c r="C793" s="292" t="s">
        <v>48</v>
      </c>
      <c r="D793" s="293">
        <f t="shared" si="2"/>
        <v>1</v>
      </c>
      <c r="E793" s="294"/>
      <c r="F793" s="295" t="str">
        <f>IFERROR(__xludf.DUMMYFUNCTION("IF(B793="""","""",IFERROR(VLOOKUP(TO_TEXT(B793),PEDIDOS!D:I,6,0),IFERROR(VLOOKUP(B793*1,PEDIDOS!D:I,6,0),"" "")))"),"ENTREGUE")</f>
        <v>ENTREGUE</v>
      </c>
      <c r="G793" s="303"/>
      <c r="H793" s="304"/>
    </row>
    <row r="794">
      <c r="A794" s="302" t="s">
        <v>3395</v>
      </c>
      <c r="B794" s="291" t="s">
        <v>6179</v>
      </c>
      <c r="C794" s="292" t="s">
        <v>48</v>
      </c>
      <c r="D794" s="293">
        <f t="shared" si="2"/>
        <v>1</v>
      </c>
      <c r="E794" s="294"/>
      <c r="F794" s="295" t="str">
        <f>IFERROR(__xludf.DUMMYFUNCTION("IF(B794="""","""",IFERROR(VLOOKUP(TO_TEXT(B794),PEDIDOS!D:I,6,0),IFERROR(VLOOKUP(B794*1,PEDIDOS!D:I,6,0),"" "")))"),"ENTREGUE")</f>
        <v>ENTREGUE</v>
      </c>
      <c r="G794" s="303"/>
      <c r="H794" s="304"/>
    </row>
    <row r="795">
      <c r="A795" s="302" t="s">
        <v>3395</v>
      </c>
      <c r="B795" s="291" t="s">
        <v>7158</v>
      </c>
      <c r="C795" s="292" t="s">
        <v>48</v>
      </c>
      <c r="D795" s="293">
        <f t="shared" si="2"/>
        <v>1</v>
      </c>
      <c r="E795" s="294"/>
      <c r="F795" s="295" t="str">
        <f>IFERROR(__xludf.DUMMYFUNCTION("IF(B795="""","""",IFERROR(VLOOKUP(TO_TEXT(B795),PEDIDOS!D:I,6,0),IFERROR(VLOOKUP(B795*1,PEDIDOS!D:I,6,0),"" "")))"),"ENTREGUE")</f>
        <v>ENTREGUE</v>
      </c>
      <c r="G795" s="303"/>
      <c r="H795" s="304"/>
    </row>
    <row r="796">
      <c r="A796" s="302" t="s">
        <v>3395</v>
      </c>
      <c r="B796" s="291" t="s">
        <v>8086</v>
      </c>
      <c r="C796" s="292" t="s">
        <v>48</v>
      </c>
      <c r="D796" s="293">
        <f t="shared" si="2"/>
        <v>1</v>
      </c>
      <c r="E796" s="294"/>
      <c r="F796" s="295" t="str">
        <f>IFERROR(__xludf.DUMMYFUNCTION("IF(B796="""","""",IFERROR(VLOOKUP(TO_TEXT(B796),PEDIDOS!D:I,6,0),IFERROR(VLOOKUP(B796*1,PEDIDOS!D:I,6,0),"" "")))"),"ENTREGUE")</f>
        <v>ENTREGUE</v>
      </c>
      <c r="G796" s="303"/>
      <c r="H796" s="304"/>
    </row>
    <row r="797">
      <c r="A797" s="302" t="s">
        <v>3395</v>
      </c>
      <c r="B797" s="291" t="s">
        <v>6980</v>
      </c>
      <c r="C797" s="292" t="s">
        <v>48</v>
      </c>
      <c r="D797" s="293">
        <f t="shared" si="2"/>
        <v>1</v>
      </c>
      <c r="E797" s="294"/>
      <c r="F797" s="295" t="str">
        <f>IFERROR(__xludf.DUMMYFUNCTION("IF(B797="""","""",IFERROR(VLOOKUP(TO_TEXT(B797),PEDIDOS!D:I,6,0),IFERROR(VLOOKUP(B797*1,PEDIDOS!D:I,6,0),"" "")))"),"ENTREGUE")</f>
        <v>ENTREGUE</v>
      </c>
      <c r="G797" s="303"/>
      <c r="H797" s="304"/>
    </row>
    <row r="798">
      <c r="A798" s="302" t="s">
        <v>3395</v>
      </c>
      <c r="B798" s="291" t="s">
        <v>7869</v>
      </c>
      <c r="C798" s="292" t="s">
        <v>48</v>
      </c>
      <c r="D798" s="293">
        <f t="shared" si="2"/>
        <v>1</v>
      </c>
      <c r="E798" s="294"/>
      <c r="F798" s="295" t="str">
        <f>IFERROR(__xludf.DUMMYFUNCTION("IF(B798="""","""",IFERROR(VLOOKUP(TO_TEXT(B798),PEDIDOS!D:I,6,0),IFERROR(VLOOKUP(B798*1,PEDIDOS!D:I,6,0),"" "")))"),"ENTREGUE")</f>
        <v>ENTREGUE</v>
      </c>
      <c r="G798" s="303"/>
      <c r="H798" s="304"/>
    </row>
    <row r="799">
      <c r="A799" s="302" t="s">
        <v>3395</v>
      </c>
      <c r="B799" s="291" t="s">
        <v>6349</v>
      </c>
      <c r="C799" s="292" t="s">
        <v>48</v>
      </c>
      <c r="D799" s="293">
        <f t="shared" si="2"/>
        <v>1</v>
      </c>
      <c r="E799" s="294"/>
      <c r="F799" s="295" t="str">
        <f>IFERROR(__xludf.DUMMYFUNCTION("IF(B799="""","""",IFERROR(VLOOKUP(TO_TEXT(B799),PEDIDOS!D:I,6,0),IFERROR(VLOOKUP(B799*1,PEDIDOS!D:I,6,0),"" "")))"),"ENTREGUE")</f>
        <v>ENTREGUE</v>
      </c>
      <c r="G799" s="303"/>
      <c r="H799" s="304"/>
    </row>
    <row r="800">
      <c r="A800" s="302" t="s">
        <v>3395</v>
      </c>
      <c r="B800" s="291" t="s">
        <v>4376</v>
      </c>
      <c r="C800" s="292" t="s">
        <v>48</v>
      </c>
      <c r="D800" s="293">
        <f t="shared" si="2"/>
        <v>1</v>
      </c>
      <c r="E800" s="294"/>
      <c r="F800" s="295" t="str">
        <f>IFERROR(__xludf.DUMMYFUNCTION("IF(B800="""","""",IFERROR(VLOOKUP(TO_TEXT(B800),PEDIDOS!D:I,6,0),IFERROR(VLOOKUP(B800*1,PEDIDOS!D:I,6,0),"" "")))"),"ENTREGUE")</f>
        <v>ENTREGUE</v>
      </c>
      <c r="G800" s="303"/>
      <c r="H800" s="304"/>
    </row>
    <row r="801">
      <c r="A801" s="302" t="s">
        <v>3395</v>
      </c>
      <c r="B801" s="291" t="s">
        <v>7793</v>
      </c>
      <c r="C801" s="292" t="s">
        <v>48</v>
      </c>
      <c r="D801" s="293">
        <f t="shared" si="2"/>
        <v>1</v>
      </c>
      <c r="E801" s="294"/>
      <c r="F801" s="295" t="str">
        <f>IFERROR(__xludf.DUMMYFUNCTION("IF(B801="""","""",IFERROR(VLOOKUP(TO_TEXT(B801),PEDIDOS!D:I,6,0),IFERROR(VLOOKUP(B801*1,PEDIDOS!D:I,6,0),"" "")))"),"ENTREGUE")</f>
        <v>ENTREGUE</v>
      </c>
      <c r="G801" s="303"/>
      <c r="H801" s="304"/>
    </row>
    <row r="802">
      <c r="A802" s="302" t="s">
        <v>3395</v>
      </c>
      <c r="B802" s="291" t="s">
        <v>5751</v>
      </c>
      <c r="C802" s="292" t="s">
        <v>48</v>
      </c>
      <c r="D802" s="293">
        <f t="shared" si="2"/>
        <v>1</v>
      </c>
      <c r="E802" s="294"/>
      <c r="F802" s="295" t="str">
        <f>IFERROR(__xludf.DUMMYFUNCTION("IF(B802="""","""",IFERROR(VLOOKUP(TO_TEXT(B802),PEDIDOS!D:I,6,0),IFERROR(VLOOKUP(B802*1,PEDIDOS!D:I,6,0),"" "")))"),"ENTREGUE")</f>
        <v>ENTREGUE</v>
      </c>
      <c r="G802" s="303"/>
      <c r="H802" s="304"/>
    </row>
    <row r="803">
      <c r="A803" s="302" t="s">
        <v>3395</v>
      </c>
      <c r="B803" s="291" t="s">
        <v>5757</v>
      </c>
      <c r="C803" s="292" t="s">
        <v>48</v>
      </c>
      <c r="D803" s="293">
        <f t="shared" si="2"/>
        <v>1</v>
      </c>
      <c r="E803" s="294"/>
      <c r="F803" s="295" t="str">
        <f>IFERROR(__xludf.DUMMYFUNCTION("IF(B803="""","""",IFERROR(VLOOKUP(TO_TEXT(B803),PEDIDOS!D:I,6,0),IFERROR(VLOOKUP(B803*1,PEDIDOS!D:I,6,0),"" "")))"),"ENTREGUE")</f>
        <v>ENTREGUE</v>
      </c>
      <c r="G803" s="303"/>
      <c r="H803" s="304"/>
    </row>
    <row r="804">
      <c r="A804" s="302" t="s">
        <v>3395</v>
      </c>
      <c r="B804" s="291" t="s">
        <v>5342</v>
      </c>
      <c r="C804" s="292" t="s">
        <v>48</v>
      </c>
      <c r="D804" s="293">
        <f t="shared" si="2"/>
        <v>1</v>
      </c>
      <c r="E804" s="294"/>
      <c r="F804" s="295" t="str">
        <f>IFERROR(__xludf.DUMMYFUNCTION("IF(B804="""","""",IFERROR(VLOOKUP(TO_TEXT(B804),PEDIDOS!D:I,6,0),IFERROR(VLOOKUP(B804*1,PEDIDOS!D:I,6,0),"" "")))"),"ENTREGUE")</f>
        <v>ENTREGUE</v>
      </c>
      <c r="G804" s="303"/>
      <c r="H804" s="304"/>
    </row>
    <row r="805">
      <c r="A805" s="302" t="s">
        <v>3395</v>
      </c>
      <c r="B805" s="291" t="s">
        <v>5235</v>
      </c>
      <c r="C805" s="292" t="s">
        <v>48</v>
      </c>
      <c r="D805" s="293">
        <f t="shared" si="2"/>
        <v>1</v>
      </c>
      <c r="E805" s="294"/>
      <c r="F805" s="295" t="str">
        <f>IFERROR(__xludf.DUMMYFUNCTION("IF(B805="""","""",IFERROR(VLOOKUP(TO_TEXT(B805),PEDIDOS!D:I,6,0),IFERROR(VLOOKUP(B805*1,PEDIDOS!D:I,6,0),"" "")))"),"ENTREGUE")</f>
        <v>ENTREGUE</v>
      </c>
      <c r="G805" s="303"/>
      <c r="H805" s="304"/>
    </row>
    <row r="806">
      <c r="A806" s="302" t="s">
        <v>3395</v>
      </c>
      <c r="B806" s="291" t="s">
        <v>6357</v>
      </c>
      <c r="C806" s="292" t="s">
        <v>48</v>
      </c>
      <c r="D806" s="293">
        <f t="shared" si="2"/>
        <v>1</v>
      </c>
      <c r="E806" s="294"/>
      <c r="F806" s="295" t="str">
        <f>IFERROR(__xludf.DUMMYFUNCTION("IF(B806="""","""",IFERROR(VLOOKUP(TO_TEXT(B806),PEDIDOS!D:I,6,0),IFERROR(VLOOKUP(B806*1,PEDIDOS!D:I,6,0),"" "")))"),"ENTREGUE")</f>
        <v>ENTREGUE</v>
      </c>
      <c r="G806" s="303"/>
      <c r="H806" s="304"/>
    </row>
    <row r="807">
      <c r="A807" s="302" t="s">
        <v>3395</v>
      </c>
      <c r="B807" s="291" t="s">
        <v>7976</v>
      </c>
      <c r="C807" s="292" t="s">
        <v>48</v>
      </c>
      <c r="D807" s="293">
        <f t="shared" si="2"/>
        <v>1</v>
      </c>
      <c r="E807" s="294"/>
      <c r="F807" s="295" t="str">
        <f>IFERROR(__xludf.DUMMYFUNCTION("IF(B807="""","""",IFERROR(VLOOKUP(TO_TEXT(B807),PEDIDOS!D:I,6,0),IFERROR(VLOOKUP(B807*1,PEDIDOS!D:I,6,0),"" "")))"),"ENTREGUE")</f>
        <v>ENTREGUE</v>
      </c>
      <c r="G807" s="303"/>
      <c r="H807" s="304"/>
    </row>
    <row r="808">
      <c r="A808" s="302" t="s">
        <v>3395</v>
      </c>
      <c r="B808" s="291" t="s">
        <v>6995</v>
      </c>
      <c r="C808" s="292" t="s">
        <v>48</v>
      </c>
      <c r="D808" s="293">
        <f t="shared" si="2"/>
        <v>1</v>
      </c>
      <c r="E808" s="294"/>
      <c r="F808" s="295" t="str">
        <f>IFERROR(__xludf.DUMMYFUNCTION("IF(B808="""","""",IFERROR(VLOOKUP(TO_TEXT(B808),PEDIDOS!D:I,6,0),IFERROR(VLOOKUP(B808*1,PEDIDOS!D:I,6,0),"" "")))"),"ENTREGUE")</f>
        <v>ENTREGUE</v>
      </c>
      <c r="G808" s="303"/>
      <c r="H808" s="304"/>
    </row>
    <row r="809">
      <c r="A809" s="302" t="s">
        <v>3395</v>
      </c>
      <c r="B809" s="291" t="s">
        <v>7498</v>
      </c>
      <c r="C809" s="292" t="s">
        <v>48</v>
      </c>
      <c r="D809" s="293">
        <f t="shared" si="2"/>
        <v>1</v>
      </c>
      <c r="E809" s="294"/>
      <c r="F809" s="295" t="str">
        <f>IFERROR(__xludf.DUMMYFUNCTION("IF(B809="""","""",IFERROR(VLOOKUP(TO_TEXT(B809),PEDIDOS!D:I,6,0),IFERROR(VLOOKUP(B809*1,PEDIDOS!D:I,6,0),"" "")))"),"ENTREGUE")</f>
        <v>ENTREGUE</v>
      </c>
      <c r="G809" s="303"/>
      <c r="H809" s="304"/>
    </row>
    <row r="810">
      <c r="A810" s="302" t="s">
        <v>3395</v>
      </c>
      <c r="B810" s="291" t="s">
        <v>7814</v>
      </c>
      <c r="C810" s="292" t="s">
        <v>48</v>
      </c>
      <c r="D810" s="293">
        <f t="shared" si="2"/>
        <v>1</v>
      </c>
      <c r="E810" s="294"/>
      <c r="F810" s="295" t="str">
        <f>IFERROR(__xludf.DUMMYFUNCTION("IF(B810="""","""",IFERROR(VLOOKUP(TO_TEXT(B810),PEDIDOS!D:I,6,0),IFERROR(VLOOKUP(B810*1,PEDIDOS!D:I,6,0),"" "")))"),"ENTREGUE")</f>
        <v>ENTREGUE</v>
      </c>
      <c r="G810" s="303"/>
      <c r="H810" s="304"/>
    </row>
    <row r="811">
      <c r="A811" s="302" t="s">
        <v>3395</v>
      </c>
      <c r="B811" s="291" t="s">
        <v>6018</v>
      </c>
      <c r="C811" s="292" t="s">
        <v>48</v>
      </c>
      <c r="D811" s="293">
        <f t="shared" si="2"/>
        <v>1</v>
      </c>
      <c r="E811" s="294"/>
      <c r="F811" s="295" t="str">
        <f>IFERROR(__xludf.DUMMYFUNCTION("IF(B811="""","""",IFERROR(VLOOKUP(TO_TEXT(B811),PEDIDOS!D:I,6,0),IFERROR(VLOOKUP(B811*1,PEDIDOS!D:I,6,0),"" "")))"),"ENTREGUE")</f>
        <v>ENTREGUE</v>
      </c>
      <c r="G811" s="303"/>
      <c r="H811" s="304"/>
    </row>
    <row r="812">
      <c r="A812" s="302" t="s">
        <v>3395</v>
      </c>
      <c r="B812" s="291" t="s">
        <v>4782</v>
      </c>
      <c r="C812" s="292" t="s">
        <v>48</v>
      </c>
      <c r="D812" s="293">
        <f t="shared" si="2"/>
        <v>1</v>
      </c>
      <c r="E812" s="294"/>
      <c r="F812" s="295" t="str">
        <f>IFERROR(__xludf.DUMMYFUNCTION("IF(B812="""","""",IFERROR(VLOOKUP(TO_TEXT(B812),PEDIDOS!D:I,6,0),IFERROR(VLOOKUP(B812*1,PEDIDOS!D:I,6,0),"" "")))"),"ENTREGUE")</f>
        <v>ENTREGUE</v>
      </c>
      <c r="G812" s="303"/>
      <c r="H812" s="304"/>
    </row>
    <row r="813">
      <c r="A813" s="302" t="s">
        <v>3395</v>
      </c>
      <c r="B813" s="291" t="s">
        <v>4881</v>
      </c>
      <c r="C813" s="292" t="s">
        <v>48</v>
      </c>
      <c r="D813" s="293">
        <f t="shared" si="2"/>
        <v>1</v>
      </c>
      <c r="E813" s="294"/>
      <c r="F813" s="295" t="str">
        <f>IFERROR(__xludf.DUMMYFUNCTION("IF(B813="""","""",IFERROR(VLOOKUP(TO_TEXT(B813),PEDIDOS!D:I,6,0),IFERROR(VLOOKUP(B813*1,PEDIDOS!D:I,6,0),"" "")))"),"ENTREGUE")</f>
        <v>ENTREGUE</v>
      </c>
      <c r="G813" s="303"/>
      <c r="H813" s="304"/>
    </row>
    <row r="814">
      <c r="A814" s="302" t="s">
        <v>3395</v>
      </c>
      <c r="B814" s="291" t="s">
        <v>6345</v>
      </c>
      <c r="C814" s="292" t="s">
        <v>48</v>
      </c>
      <c r="D814" s="293">
        <f t="shared" si="2"/>
        <v>1</v>
      </c>
      <c r="E814" s="294"/>
      <c r="F814" s="295" t="str">
        <f>IFERROR(__xludf.DUMMYFUNCTION("IF(B814="""","""",IFERROR(VLOOKUP(TO_TEXT(B814),PEDIDOS!D:I,6,0),IFERROR(VLOOKUP(B814*1,PEDIDOS!D:I,6,0),"" "")))"),"ENTREGUE")</f>
        <v>ENTREGUE</v>
      </c>
      <c r="G814" s="303"/>
      <c r="H814" s="304"/>
    </row>
    <row r="815">
      <c r="A815" s="302" t="s">
        <v>3395</v>
      </c>
      <c r="B815" s="291" t="s">
        <v>5459</v>
      </c>
      <c r="C815" s="292" t="s">
        <v>48</v>
      </c>
      <c r="D815" s="293">
        <f t="shared" si="2"/>
        <v>1</v>
      </c>
      <c r="E815" s="294"/>
      <c r="F815" s="295" t="str">
        <f>IFERROR(__xludf.DUMMYFUNCTION("IF(B815="""","""",IFERROR(VLOOKUP(TO_TEXT(B815),PEDIDOS!D:I,6,0),IFERROR(VLOOKUP(B815*1,PEDIDOS!D:I,6,0),"" "")))"),"ENTREGUE")</f>
        <v>ENTREGUE</v>
      </c>
      <c r="G815" s="303"/>
      <c r="H815" s="304"/>
    </row>
    <row r="816">
      <c r="A816" s="302" t="s">
        <v>3395</v>
      </c>
      <c r="B816" s="291" t="s">
        <v>5819</v>
      </c>
      <c r="C816" s="292" t="s">
        <v>48</v>
      </c>
      <c r="D816" s="293">
        <f t="shared" si="2"/>
        <v>1</v>
      </c>
      <c r="E816" s="294"/>
      <c r="F816" s="295" t="str">
        <f>IFERROR(__xludf.DUMMYFUNCTION("IF(B816="""","""",IFERROR(VLOOKUP(TO_TEXT(B816),PEDIDOS!D:I,6,0),IFERROR(VLOOKUP(B816*1,PEDIDOS!D:I,6,0),"" "")))"),"ENTREGUE")</f>
        <v>ENTREGUE</v>
      </c>
      <c r="G816" s="303"/>
      <c r="H816" s="304"/>
    </row>
    <row r="817">
      <c r="A817" s="302" t="s">
        <v>3395</v>
      </c>
      <c r="B817" s="291" t="s">
        <v>4810</v>
      </c>
      <c r="C817" s="292" t="s">
        <v>48</v>
      </c>
      <c r="D817" s="293">
        <f t="shared" si="2"/>
        <v>1</v>
      </c>
      <c r="E817" s="294"/>
      <c r="F817" s="295" t="str">
        <f>IFERROR(__xludf.DUMMYFUNCTION("IF(B817="""","""",IFERROR(VLOOKUP(TO_TEXT(B817),PEDIDOS!D:I,6,0),IFERROR(VLOOKUP(B817*1,PEDIDOS!D:I,6,0),"" "")))"),"ENTREGUE")</f>
        <v>ENTREGUE</v>
      </c>
      <c r="G817" s="303"/>
      <c r="H817" s="304"/>
    </row>
    <row r="818">
      <c r="A818" s="302" t="s">
        <v>3395</v>
      </c>
      <c r="B818" s="291" t="s">
        <v>4211</v>
      </c>
      <c r="C818" s="292" t="s">
        <v>48</v>
      </c>
      <c r="D818" s="293">
        <f t="shared" si="2"/>
        <v>1</v>
      </c>
      <c r="E818" s="294"/>
      <c r="F818" s="295" t="str">
        <f>IFERROR(__xludf.DUMMYFUNCTION("IF(B818="""","""",IFERROR(VLOOKUP(TO_TEXT(B818),PEDIDOS!D:I,6,0),IFERROR(VLOOKUP(B818*1,PEDIDOS!D:I,6,0),"" "")))"),"ENTREGUE")</f>
        <v>ENTREGUE</v>
      </c>
      <c r="G818" s="303"/>
      <c r="H818" s="304"/>
    </row>
    <row r="819">
      <c r="A819" s="302" t="s">
        <v>3395</v>
      </c>
      <c r="B819" s="291" t="s">
        <v>4574</v>
      </c>
      <c r="C819" s="292" t="s">
        <v>48</v>
      </c>
      <c r="D819" s="293">
        <f t="shared" si="2"/>
        <v>1</v>
      </c>
      <c r="E819" s="294"/>
      <c r="F819" s="295" t="str">
        <f>IFERROR(__xludf.DUMMYFUNCTION("IF(B819="""","""",IFERROR(VLOOKUP(TO_TEXT(B819),PEDIDOS!D:I,6,0),IFERROR(VLOOKUP(B819*1,PEDIDOS!D:I,6,0),"" "")))"),"ENTREGUE")</f>
        <v>ENTREGUE</v>
      </c>
      <c r="G819" s="303"/>
      <c r="H819" s="304"/>
    </row>
    <row r="820">
      <c r="A820" s="302" t="s">
        <v>3395</v>
      </c>
      <c r="B820" s="291" t="s">
        <v>3960</v>
      </c>
      <c r="C820" s="292" t="s">
        <v>48</v>
      </c>
      <c r="D820" s="293">
        <f t="shared" si="2"/>
        <v>1</v>
      </c>
      <c r="E820" s="294"/>
      <c r="F820" s="295" t="str">
        <f>IFERROR(__xludf.DUMMYFUNCTION("IF(B820="""","""",IFERROR(VLOOKUP(TO_TEXT(B820),PEDIDOS!D:I,6,0),IFERROR(VLOOKUP(B820*1,PEDIDOS!D:I,6,0),"" "")))"),"ENTREGUE")</f>
        <v>ENTREGUE</v>
      </c>
      <c r="G820" s="303"/>
      <c r="H820" s="304"/>
    </row>
    <row r="821">
      <c r="A821" s="302" t="s">
        <v>3395</v>
      </c>
      <c r="B821" s="291" t="s">
        <v>6791</v>
      </c>
      <c r="C821" s="292" t="s">
        <v>48</v>
      </c>
      <c r="D821" s="293">
        <f t="shared" si="2"/>
        <v>1</v>
      </c>
      <c r="E821" s="294"/>
      <c r="F821" s="295" t="str">
        <f>IFERROR(__xludf.DUMMYFUNCTION("IF(B821="""","""",IFERROR(VLOOKUP(TO_TEXT(B821),PEDIDOS!D:I,6,0),IFERROR(VLOOKUP(B821*1,PEDIDOS!D:I,6,0),"" "")))"),"ENTREGUE")</f>
        <v>ENTREGUE</v>
      </c>
      <c r="G821" s="303"/>
      <c r="H821" s="304"/>
    </row>
    <row r="822">
      <c r="A822" s="302" t="s">
        <v>3395</v>
      </c>
      <c r="B822" s="291" t="s">
        <v>5651</v>
      </c>
      <c r="C822" s="292" t="s">
        <v>48</v>
      </c>
      <c r="D822" s="293">
        <f t="shared" si="2"/>
        <v>1</v>
      </c>
      <c r="E822" s="294"/>
      <c r="F822" s="295" t="str">
        <f>IFERROR(__xludf.DUMMYFUNCTION("IF(B822="""","""",IFERROR(VLOOKUP(TO_TEXT(B822),PEDIDOS!D:I,6,0),IFERROR(VLOOKUP(B822*1,PEDIDOS!D:I,6,0),"" "")))"),"ENTREGUE")</f>
        <v>ENTREGUE</v>
      </c>
      <c r="G822" s="303"/>
      <c r="H822" s="304"/>
    </row>
    <row r="823">
      <c r="A823" s="302" t="s">
        <v>3395</v>
      </c>
      <c r="B823" s="291" t="s">
        <v>4839</v>
      </c>
      <c r="C823" s="292" t="s">
        <v>48</v>
      </c>
      <c r="D823" s="293">
        <f t="shared" si="2"/>
        <v>1</v>
      </c>
      <c r="E823" s="294"/>
      <c r="F823" s="295" t="str">
        <f>IFERROR(__xludf.DUMMYFUNCTION("IF(B823="""","""",IFERROR(VLOOKUP(TO_TEXT(B823),PEDIDOS!D:I,6,0),IFERROR(VLOOKUP(B823*1,PEDIDOS!D:I,6,0),"" "")))"),"ENTREGUE")</f>
        <v>ENTREGUE</v>
      </c>
      <c r="G823" s="303"/>
      <c r="H823" s="304"/>
    </row>
    <row r="824">
      <c r="A824" s="302" t="s">
        <v>72</v>
      </c>
      <c r="B824" s="291" t="s">
        <v>5843</v>
      </c>
      <c r="C824" s="292" t="s">
        <v>48</v>
      </c>
      <c r="D824" s="293">
        <f t="shared" si="2"/>
        <v>1</v>
      </c>
      <c r="E824" s="294"/>
      <c r="F824" s="295" t="str">
        <f>IFERROR(__xludf.DUMMYFUNCTION("IF(B824="""","""",IFERROR(VLOOKUP(TO_TEXT(B824),PEDIDOS!D:I,6,0),IFERROR(VLOOKUP(B824*1,PEDIDOS!D:I,6,0),"" "")))"),"ENTREGUE")</f>
        <v>ENTREGUE</v>
      </c>
      <c r="G824" s="303"/>
      <c r="H824" s="304"/>
    </row>
    <row r="825">
      <c r="A825" s="302" t="s">
        <v>72</v>
      </c>
      <c r="B825" s="291" t="s">
        <v>4274</v>
      </c>
      <c r="C825" s="292" t="s">
        <v>48</v>
      </c>
      <c r="D825" s="293">
        <f t="shared" si="2"/>
        <v>1</v>
      </c>
      <c r="E825" s="294"/>
      <c r="F825" s="295" t="str">
        <f>IFERROR(__xludf.DUMMYFUNCTION("IF(B825="""","""",IFERROR(VLOOKUP(TO_TEXT(B825),PEDIDOS!D:I,6,0),IFERROR(VLOOKUP(B825*1,PEDIDOS!D:I,6,0),"" "")))"),"ENTREGUE")</f>
        <v>ENTREGUE</v>
      </c>
      <c r="G825" s="303"/>
      <c r="H825" s="304"/>
    </row>
    <row r="826">
      <c r="A826" s="302" t="s">
        <v>72</v>
      </c>
      <c r="B826" s="291" t="s">
        <v>5781</v>
      </c>
      <c r="C826" s="292" t="s">
        <v>48</v>
      </c>
      <c r="D826" s="293">
        <f t="shared" si="2"/>
        <v>1</v>
      </c>
      <c r="E826" s="294"/>
      <c r="F826" s="295" t="str">
        <f>IFERROR(__xludf.DUMMYFUNCTION("IF(B826="""","""",IFERROR(VLOOKUP(TO_TEXT(B826),PEDIDOS!D:I,6,0),IFERROR(VLOOKUP(B826*1,PEDIDOS!D:I,6,0),"" "")))"),"ENTREGUE")</f>
        <v>ENTREGUE</v>
      </c>
      <c r="G826" s="303"/>
      <c r="H826" s="304"/>
    </row>
    <row r="827">
      <c r="A827" s="302" t="s">
        <v>72</v>
      </c>
      <c r="B827" s="291" t="s">
        <v>5855</v>
      </c>
      <c r="C827" s="292" t="s">
        <v>48</v>
      </c>
      <c r="D827" s="293">
        <f t="shared" si="2"/>
        <v>1</v>
      </c>
      <c r="E827" s="294"/>
      <c r="F827" s="295" t="str">
        <f>IFERROR(__xludf.DUMMYFUNCTION("IF(B827="""","""",IFERROR(VLOOKUP(TO_TEXT(B827),PEDIDOS!D:I,6,0),IFERROR(VLOOKUP(B827*1,PEDIDOS!D:I,6,0),"" "")))"),"ENTREGUE")</f>
        <v>ENTREGUE</v>
      </c>
      <c r="G827" s="303"/>
      <c r="H827" s="304"/>
    </row>
    <row r="828">
      <c r="A828" s="302" t="s">
        <v>72</v>
      </c>
      <c r="B828" s="291" t="s">
        <v>4329</v>
      </c>
      <c r="C828" s="292" t="s">
        <v>48</v>
      </c>
      <c r="D828" s="293">
        <f t="shared" si="2"/>
        <v>1</v>
      </c>
      <c r="E828" s="294"/>
      <c r="F828" s="295" t="str">
        <f>IFERROR(__xludf.DUMMYFUNCTION("IF(B828="""","""",IFERROR(VLOOKUP(TO_TEXT(B828),PEDIDOS!D:I,6,0),IFERROR(VLOOKUP(B828*1,PEDIDOS!D:I,6,0),"" "")))"),"ENTREGUE")</f>
        <v>ENTREGUE</v>
      </c>
      <c r="G828" s="303"/>
      <c r="H828" s="304"/>
    </row>
    <row r="829">
      <c r="A829" s="302" t="s">
        <v>72</v>
      </c>
      <c r="B829" s="291" t="s">
        <v>6284</v>
      </c>
      <c r="C829" s="292" t="s">
        <v>48</v>
      </c>
      <c r="D829" s="293">
        <f t="shared" si="2"/>
        <v>1</v>
      </c>
      <c r="E829" s="294"/>
      <c r="F829" s="295" t="str">
        <f>IFERROR(__xludf.DUMMYFUNCTION("IF(B829="""","""",IFERROR(VLOOKUP(TO_TEXT(B829),PEDIDOS!D:I,6,0),IFERROR(VLOOKUP(B829*1,PEDIDOS!D:I,6,0),"" "")))"),"ENTREGUE")</f>
        <v>ENTREGUE</v>
      </c>
      <c r="G829" s="303"/>
      <c r="H829" s="304"/>
    </row>
    <row r="830">
      <c r="A830" s="302" t="s">
        <v>72</v>
      </c>
      <c r="B830" s="291" t="s">
        <v>5052</v>
      </c>
      <c r="C830" s="292" t="s">
        <v>48</v>
      </c>
      <c r="D830" s="293">
        <f t="shared" si="2"/>
        <v>1</v>
      </c>
      <c r="E830" s="294"/>
      <c r="F830" s="295" t="str">
        <f>IFERROR(__xludf.DUMMYFUNCTION("IF(B830="""","""",IFERROR(VLOOKUP(TO_TEXT(B830),PEDIDOS!D:I,6,0),IFERROR(VLOOKUP(B830*1,PEDIDOS!D:I,6,0),"" "")))"),"ENTREGUE")</f>
        <v>ENTREGUE</v>
      </c>
      <c r="G830" s="303"/>
      <c r="H830" s="304"/>
    </row>
    <row r="831">
      <c r="A831" s="302" t="s">
        <v>72</v>
      </c>
      <c r="B831" s="291" t="s">
        <v>5482</v>
      </c>
      <c r="C831" s="292" t="s">
        <v>48</v>
      </c>
      <c r="D831" s="293">
        <f t="shared" si="2"/>
        <v>1</v>
      </c>
      <c r="E831" s="294"/>
      <c r="F831" s="295" t="str">
        <f>IFERROR(__xludf.DUMMYFUNCTION("IF(B831="""","""",IFERROR(VLOOKUP(TO_TEXT(B831),PEDIDOS!D:I,6,0),IFERROR(VLOOKUP(B831*1,PEDIDOS!D:I,6,0),"" "")))"),"ENTREGUE")</f>
        <v>ENTREGUE</v>
      </c>
      <c r="G831" s="303"/>
      <c r="H831" s="304"/>
    </row>
    <row r="832">
      <c r="A832" s="302" t="s">
        <v>72</v>
      </c>
      <c r="B832" s="291" t="s">
        <v>5125</v>
      </c>
      <c r="C832" s="292" t="s">
        <v>48</v>
      </c>
      <c r="D832" s="293">
        <f t="shared" si="2"/>
        <v>1</v>
      </c>
      <c r="E832" s="294"/>
      <c r="F832" s="295" t="str">
        <f>IFERROR(__xludf.DUMMYFUNCTION("IF(B832="""","""",IFERROR(VLOOKUP(TO_TEXT(B832),PEDIDOS!D:I,6,0),IFERROR(VLOOKUP(B832*1,PEDIDOS!D:I,6,0),"" "")))"),"ENTREGUE")</f>
        <v>ENTREGUE</v>
      </c>
      <c r="G832" s="303"/>
      <c r="H832" s="304"/>
    </row>
    <row r="833">
      <c r="A833" s="302" t="s">
        <v>72</v>
      </c>
      <c r="B833" s="291" t="s">
        <v>5849</v>
      </c>
      <c r="C833" s="292" t="s">
        <v>48</v>
      </c>
      <c r="D833" s="293">
        <f t="shared" si="2"/>
        <v>1</v>
      </c>
      <c r="E833" s="294"/>
      <c r="F833" s="295" t="str">
        <f>IFERROR(__xludf.DUMMYFUNCTION("IF(B833="""","""",IFERROR(VLOOKUP(TO_TEXT(B833),PEDIDOS!D:I,6,0),IFERROR(VLOOKUP(B833*1,PEDIDOS!D:I,6,0),"" "")))"),"ENTREGUE")</f>
        <v>ENTREGUE</v>
      </c>
      <c r="G833" s="303"/>
      <c r="H833" s="304"/>
    </row>
    <row r="834">
      <c r="A834" s="302" t="s">
        <v>72</v>
      </c>
      <c r="B834" s="291" t="s">
        <v>5065</v>
      </c>
      <c r="C834" s="292" t="s">
        <v>48</v>
      </c>
      <c r="D834" s="293">
        <f t="shared" si="2"/>
        <v>1</v>
      </c>
      <c r="E834" s="294"/>
      <c r="F834" s="295" t="str">
        <f>IFERROR(__xludf.DUMMYFUNCTION("IF(B834="""","""",IFERROR(VLOOKUP(TO_TEXT(B834),PEDIDOS!D:I,6,0),IFERROR(VLOOKUP(B834*1,PEDIDOS!D:I,6,0),"" "")))"),"ENTREGUE")</f>
        <v>ENTREGUE</v>
      </c>
      <c r="G834" s="303"/>
      <c r="H834" s="304"/>
    </row>
    <row r="835">
      <c r="A835" s="302" t="s">
        <v>72</v>
      </c>
      <c r="B835" s="291" t="s">
        <v>5852</v>
      </c>
      <c r="C835" s="292" t="s">
        <v>48</v>
      </c>
      <c r="D835" s="293">
        <f t="shared" si="2"/>
        <v>1</v>
      </c>
      <c r="E835" s="294"/>
      <c r="F835" s="295" t="str">
        <f>IFERROR(__xludf.DUMMYFUNCTION("IF(B835="""","""",IFERROR(VLOOKUP(TO_TEXT(B835),PEDIDOS!D:I,6,0),IFERROR(VLOOKUP(B835*1,PEDIDOS!D:I,6,0),"" "")))"),"ENTREGUE")</f>
        <v>ENTREGUE</v>
      </c>
      <c r="G835" s="303"/>
      <c r="H835" s="304"/>
    </row>
    <row r="836">
      <c r="A836" s="302" t="s">
        <v>72</v>
      </c>
      <c r="B836" s="291" t="s">
        <v>5846</v>
      </c>
      <c r="C836" s="292" t="s">
        <v>48</v>
      </c>
      <c r="D836" s="293">
        <f t="shared" si="2"/>
        <v>1</v>
      </c>
      <c r="E836" s="294"/>
      <c r="F836" s="295" t="str">
        <f>IFERROR(__xludf.DUMMYFUNCTION("IF(B836="""","""",IFERROR(VLOOKUP(TO_TEXT(B836),PEDIDOS!D:I,6,0),IFERROR(VLOOKUP(B836*1,PEDIDOS!D:I,6,0),"" "")))"),"ENTREGUE")</f>
        <v>ENTREGUE</v>
      </c>
      <c r="G836" s="303"/>
      <c r="H836" s="304"/>
    </row>
    <row r="837">
      <c r="A837" s="302" t="s">
        <v>72</v>
      </c>
      <c r="B837" s="291" t="s">
        <v>23347</v>
      </c>
      <c r="C837" s="292" t="s">
        <v>48</v>
      </c>
      <c r="D837" s="293">
        <f t="shared" si="2"/>
        <v>1</v>
      </c>
      <c r="E837" s="294"/>
      <c r="F837" s="295" t="str">
        <f>IFERROR(__xludf.DUMMYFUNCTION("IF(B837="""","""",IFERROR(VLOOKUP(TO_TEXT(B837),PEDIDOS!D:I,6,0),IFERROR(VLOOKUP(B837*1,PEDIDOS!D:I,6,0),"" "")))")," ")</f>
        <v> </v>
      </c>
      <c r="G837" s="303" t="s">
        <v>4129</v>
      </c>
      <c r="H837" s="304"/>
    </row>
    <row r="838">
      <c r="A838" s="302" t="s">
        <v>72</v>
      </c>
      <c r="B838" s="291" t="s">
        <v>4332</v>
      </c>
      <c r="C838" s="292" t="s">
        <v>48</v>
      </c>
      <c r="D838" s="293">
        <f t="shared" si="2"/>
        <v>1</v>
      </c>
      <c r="E838" s="294"/>
      <c r="F838" s="295" t="str">
        <f>IFERROR(__xludf.DUMMYFUNCTION("IF(B838="""","""",IFERROR(VLOOKUP(TO_TEXT(B838),PEDIDOS!D:I,6,0),IFERROR(VLOOKUP(B838*1,PEDIDOS!D:I,6,0),"" "")))"),"ENTREGUE")</f>
        <v>ENTREGUE</v>
      </c>
      <c r="G838" s="303"/>
      <c r="H838" s="304"/>
    </row>
    <row r="839">
      <c r="A839" s="302" t="s">
        <v>72</v>
      </c>
      <c r="B839" s="291" t="s">
        <v>5675</v>
      </c>
      <c r="C839" s="292" t="s">
        <v>48</v>
      </c>
      <c r="D839" s="293">
        <f t="shared" si="2"/>
        <v>1</v>
      </c>
      <c r="E839" s="294"/>
      <c r="F839" s="295" t="str">
        <f>IFERROR(__xludf.DUMMYFUNCTION("IF(B839="""","""",IFERROR(VLOOKUP(TO_TEXT(B839),PEDIDOS!D:I,6,0),IFERROR(VLOOKUP(B839*1,PEDIDOS!D:I,6,0),"" "")))"),"ENTREGUE")</f>
        <v>ENTREGUE</v>
      </c>
      <c r="G839" s="303"/>
      <c r="H839" s="304"/>
    </row>
    <row r="840">
      <c r="A840" s="302" t="s">
        <v>72</v>
      </c>
      <c r="B840" s="291" t="s">
        <v>5522</v>
      </c>
      <c r="C840" s="292" t="s">
        <v>48</v>
      </c>
      <c r="D840" s="293">
        <f t="shared" si="2"/>
        <v>1</v>
      </c>
      <c r="E840" s="294"/>
      <c r="F840" s="295" t="str">
        <f>IFERROR(__xludf.DUMMYFUNCTION("IF(B840="""","""",IFERROR(VLOOKUP(TO_TEXT(B840),PEDIDOS!D:I,6,0),IFERROR(VLOOKUP(B840*1,PEDIDOS!D:I,6,0),"" "")))"),"ENTREGUE")</f>
        <v>ENTREGUE</v>
      </c>
      <c r="G840" s="303"/>
      <c r="H840" s="304"/>
    </row>
    <row r="841">
      <c r="A841" s="302" t="s">
        <v>72</v>
      </c>
      <c r="B841" s="291" t="s">
        <v>5921</v>
      </c>
      <c r="C841" s="292" t="s">
        <v>48</v>
      </c>
      <c r="D841" s="293">
        <f t="shared" si="2"/>
        <v>1</v>
      </c>
      <c r="E841" s="294"/>
      <c r="F841" s="295" t="str">
        <f>IFERROR(__xludf.DUMMYFUNCTION("IF(B841="""","""",IFERROR(VLOOKUP(TO_TEXT(B841),PEDIDOS!D:I,6,0),IFERROR(VLOOKUP(B841*1,PEDIDOS!D:I,6,0),"" "")))"),"ENTREGUE")</f>
        <v>ENTREGUE</v>
      </c>
      <c r="G841" s="303"/>
      <c r="H841" s="304"/>
    </row>
    <row r="842">
      <c r="A842" s="302" t="s">
        <v>72</v>
      </c>
      <c r="B842" s="291" t="s">
        <v>4502</v>
      </c>
      <c r="C842" s="292" t="s">
        <v>48</v>
      </c>
      <c r="D842" s="293">
        <f t="shared" si="2"/>
        <v>1</v>
      </c>
      <c r="E842" s="294"/>
      <c r="F842" s="295" t="str">
        <f>IFERROR(__xludf.DUMMYFUNCTION("IF(B842="""","""",IFERROR(VLOOKUP(TO_TEXT(B842),PEDIDOS!D:I,6,0),IFERROR(VLOOKUP(B842*1,PEDIDOS!D:I,6,0),"" "")))"),"ENTREGUE")</f>
        <v>ENTREGUE</v>
      </c>
      <c r="G842" s="303"/>
      <c r="H842" s="304"/>
    </row>
    <row r="843">
      <c r="A843" s="302" t="s">
        <v>72</v>
      </c>
      <c r="B843" s="291" t="s">
        <v>4645</v>
      </c>
      <c r="C843" s="292" t="s">
        <v>48</v>
      </c>
      <c r="D843" s="293">
        <f t="shared" si="2"/>
        <v>1</v>
      </c>
      <c r="E843" s="294"/>
      <c r="F843" s="295" t="str">
        <f>IFERROR(__xludf.DUMMYFUNCTION("IF(B843="""","""",IFERROR(VLOOKUP(TO_TEXT(B843),PEDIDOS!D:I,6,0),IFERROR(VLOOKUP(B843*1,PEDIDOS!D:I,6,0),"" "")))"),"ENTREGUE")</f>
        <v>ENTREGUE</v>
      </c>
      <c r="G843" s="303"/>
      <c r="H843" s="304"/>
    </row>
    <row r="844">
      <c r="A844" s="302" t="s">
        <v>72</v>
      </c>
      <c r="B844" s="306" t="s">
        <v>7451</v>
      </c>
      <c r="C844" s="292" t="s">
        <v>48</v>
      </c>
      <c r="D844" s="293">
        <f t="shared" si="2"/>
        <v>1</v>
      </c>
      <c r="E844" s="294"/>
      <c r="F844" s="295" t="str">
        <f>IFERROR(__xludf.DUMMYFUNCTION("IF(B844="""","""",IFERROR(VLOOKUP(TO_TEXT(B844),PEDIDOS!D:I,6,0),IFERROR(VLOOKUP(B844*1,PEDIDOS!D:I,6,0),"" "")))"),"ENTREGUE")</f>
        <v>ENTREGUE</v>
      </c>
      <c r="G844" s="303"/>
      <c r="H844" s="304"/>
    </row>
    <row r="845">
      <c r="A845" s="302" t="s">
        <v>72</v>
      </c>
      <c r="B845" s="291" t="s">
        <v>5591</v>
      </c>
      <c r="C845" s="292" t="s">
        <v>48</v>
      </c>
      <c r="D845" s="293">
        <f t="shared" si="2"/>
        <v>1</v>
      </c>
      <c r="E845" s="294"/>
      <c r="F845" s="295" t="str">
        <f>IFERROR(__xludf.DUMMYFUNCTION("IF(B845="""","""",IFERROR(VLOOKUP(TO_TEXT(B845),PEDIDOS!D:I,6,0),IFERROR(VLOOKUP(B845*1,PEDIDOS!D:I,6,0),"" "")))"),"ENTREGUE")</f>
        <v>ENTREGUE</v>
      </c>
      <c r="G845" s="303"/>
      <c r="H845" s="304"/>
    </row>
    <row r="846">
      <c r="A846" s="302" t="s">
        <v>72</v>
      </c>
      <c r="B846" s="291" t="s">
        <v>4989</v>
      </c>
      <c r="C846" s="292" t="s">
        <v>48</v>
      </c>
      <c r="D846" s="293">
        <f t="shared" si="2"/>
        <v>1</v>
      </c>
      <c r="E846" s="294"/>
      <c r="F846" s="295" t="str">
        <f>IFERROR(__xludf.DUMMYFUNCTION("IF(B846="""","""",IFERROR(VLOOKUP(TO_TEXT(B846),PEDIDOS!D:I,6,0),IFERROR(VLOOKUP(B846*1,PEDIDOS!D:I,6,0),"" "")))"),"ENTREGUE")</f>
        <v>ENTREGUE</v>
      </c>
      <c r="G846" s="303"/>
      <c r="H846" s="304"/>
    </row>
    <row r="847">
      <c r="A847" s="302" t="s">
        <v>72</v>
      </c>
      <c r="B847" s="291" t="s">
        <v>5498</v>
      </c>
      <c r="C847" s="292" t="s">
        <v>48</v>
      </c>
      <c r="D847" s="293">
        <f t="shared" si="2"/>
        <v>1</v>
      </c>
      <c r="E847" s="294"/>
      <c r="F847" s="295" t="str">
        <f>IFERROR(__xludf.DUMMYFUNCTION("IF(B847="""","""",IFERROR(VLOOKUP(TO_TEXT(B847),PEDIDOS!D:I,6,0),IFERROR(VLOOKUP(B847*1,PEDIDOS!D:I,6,0),"" "")))"),"ENTREGUE")</f>
        <v>ENTREGUE</v>
      </c>
      <c r="G847" s="303"/>
      <c r="H847" s="304"/>
    </row>
    <row r="848">
      <c r="A848" s="302" t="s">
        <v>72</v>
      </c>
      <c r="B848" s="291" t="s">
        <v>3399</v>
      </c>
      <c r="C848" s="292" t="s">
        <v>48</v>
      </c>
      <c r="D848" s="293">
        <f t="shared" si="2"/>
        <v>1</v>
      </c>
      <c r="E848" s="294"/>
      <c r="F848" s="295" t="str">
        <f>IFERROR(__xludf.DUMMYFUNCTION("IF(B848="""","""",IFERROR(VLOOKUP(TO_TEXT(B848),PEDIDOS!D:I,6,0),IFERROR(VLOOKUP(B848*1,PEDIDOS!D:I,6,0),"" "")))"),"ENTREGUE")</f>
        <v>ENTREGUE</v>
      </c>
      <c r="G848" s="303"/>
      <c r="H848" s="304"/>
    </row>
    <row r="849">
      <c r="A849" s="302" t="s">
        <v>72</v>
      </c>
      <c r="B849" s="291" t="s">
        <v>5733</v>
      </c>
      <c r="C849" s="292" t="s">
        <v>48</v>
      </c>
      <c r="D849" s="293">
        <f t="shared" si="2"/>
        <v>1</v>
      </c>
      <c r="E849" s="294"/>
      <c r="F849" s="295" t="str">
        <f>IFERROR(__xludf.DUMMYFUNCTION("IF(B849="""","""",IFERROR(VLOOKUP(TO_TEXT(B849),PEDIDOS!D:I,6,0),IFERROR(VLOOKUP(B849*1,PEDIDOS!D:I,6,0),"" "")))"),"ENTREGUE")</f>
        <v>ENTREGUE</v>
      </c>
      <c r="G849" s="303"/>
      <c r="H849" s="304"/>
    </row>
    <row r="850">
      <c r="A850" s="302" t="s">
        <v>72</v>
      </c>
      <c r="B850" s="291" t="s">
        <v>4148</v>
      </c>
      <c r="C850" s="292" t="s">
        <v>48</v>
      </c>
      <c r="D850" s="293">
        <f t="shared" si="2"/>
        <v>1</v>
      </c>
      <c r="E850" s="294"/>
      <c r="F850" s="295" t="str">
        <f>IFERROR(__xludf.DUMMYFUNCTION("IF(B850="""","""",IFERROR(VLOOKUP(TO_TEXT(B850),PEDIDOS!D:I,6,0),IFERROR(VLOOKUP(B850*1,PEDIDOS!D:I,6,0),"" "")))"),"ENTREGUE")</f>
        <v>ENTREGUE</v>
      </c>
      <c r="G850" s="303"/>
      <c r="H850" s="304"/>
    </row>
    <row r="851">
      <c r="A851" s="302" t="s">
        <v>72</v>
      </c>
      <c r="B851" s="291" t="s">
        <v>3460</v>
      </c>
      <c r="C851" s="292" t="s">
        <v>48</v>
      </c>
      <c r="D851" s="293">
        <f t="shared" si="2"/>
        <v>1</v>
      </c>
      <c r="E851" s="294"/>
      <c r="F851" s="295" t="str">
        <f>IFERROR(__xludf.DUMMYFUNCTION("IF(B851="""","""",IFERROR(VLOOKUP(TO_TEXT(B851),PEDIDOS!D:I,6,0),IFERROR(VLOOKUP(B851*1,PEDIDOS!D:I,6,0),"" "")))"),"ENTREGUE")</f>
        <v>ENTREGUE</v>
      </c>
      <c r="G851" s="303"/>
      <c r="H851" s="304"/>
    </row>
    <row r="852">
      <c r="A852" s="302" t="s">
        <v>72</v>
      </c>
      <c r="B852" s="291" t="s">
        <v>4264</v>
      </c>
      <c r="C852" s="292" t="s">
        <v>48</v>
      </c>
      <c r="D852" s="293">
        <f t="shared" si="2"/>
        <v>1</v>
      </c>
      <c r="E852" s="294"/>
      <c r="F852" s="295" t="str">
        <f>IFERROR(__xludf.DUMMYFUNCTION("IF(B852="""","""",IFERROR(VLOOKUP(TO_TEXT(B852),PEDIDOS!D:I,6,0),IFERROR(VLOOKUP(B852*1,PEDIDOS!D:I,6,0),"" "")))"),"ENTREGUE")</f>
        <v>ENTREGUE</v>
      </c>
      <c r="G852" s="303"/>
      <c r="H852" s="304"/>
    </row>
    <row r="853">
      <c r="A853" s="302" t="s">
        <v>72</v>
      </c>
      <c r="B853" s="291" t="s">
        <v>5122</v>
      </c>
      <c r="C853" s="292" t="s">
        <v>48</v>
      </c>
      <c r="D853" s="293">
        <f t="shared" si="2"/>
        <v>1</v>
      </c>
      <c r="E853" s="294"/>
      <c r="F853" s="295" t="str">
        <f>IFERROR(__xludf.DUMMYFUNCTION("IF(B853="""","""",IFERROR(VLOOKUP(TO_TEXT(B853),PEDIDOS!D:I,6,0),IFERROR(VLOOKUP(B853*1,PEDIDOS!D:I,6,0),"" "")))"),"ENTREGUE")</f>
        <v>ENTREGUE</v>
      </c>
      <c r="G853" s="303"/>
      <c r="H853" s="304"/>
    </row>
    <row r="854">
      <c r="A854" s="302" t="s">
        <v>72</v>
      </c>
      <c r="B854" s="291" t="s">
        <v>5048</v>
      </c>
      <c r="C854" s="292" t="s">
        <v>48</v>
      </c>
      <c r="D854" s="293">
        <f t="shared" si="2"/>
        <v>1</v>
      </c>
      <c r="E854" s="294"/>
      <c r="F854" s="295" t="str">
        <f>IFERROR(__xludf.DUMMYFUNCTION("IF(B854="""","""",IFERROR(VLOOKUP(TO_TEXT(B854),PEDIDOS!D:I,6,0),IFERROR(VLOOKUP(B854*1,PEDIDOS!D:I,6,0),"" "")))"),"ENTREGUE")</f>
        <v>ENTREGUE</v>
      </c>
      <c r="G854" s="303"/>
      <c r="H854" s="304"/>
    </row>
    <row r="855">
      <c r="A855" s="302" t="s">
        <v>72</v>
      </c>
      <c r="B855" s="291" t="s">
        <v>3451</v>
      </c>
      <c r="C855" s="292" t="s">
        <v>48</v>
      </c>
      <c r="D855" s="293">
        <f t="shared" si="2"/>
        <v>1</v>
      </c>
      <c r="E855" s="294"/>
      <c r="F855" s="295" t="str">
        <f>IFERROR(__xludf.DUMMYFUNCTION("IF(B855="""","""",IFERROR(VLOOKUP(TO_TEXT(B855),PEDIDOS!D:I,6,0),IFERROR(VLOOKUP(B855*1,PEDIDOS!D:I,6,0),"" "")))"),"ENTREGUE")</f>
        <v>ENTREGUE</v>
      </c>
      <c r="G855" s="303"/>
      <c r="H855" s="304"/>
    </row>
    <row r="856">
      <c r="A856" s="302" t="s">
        <v>72</v>
      </c>
      <c r="B856" s="291" t="s">
        <v>3702</v>
      </c>
      <c r="C856" s="292" t="s">
        <v>48</v>
      </c>
      <c r="D856" s="293">
        <f t="shared" si="2"/>
        <v>1</v>
      </c>
      <c r="E856" s="294"/>
      <c r="F856" s="295" t="str">
        <f>IFERROR(__xludf.DUMMYFUNCTION("IF(B856="""","""",IFERROR(VLOOKUP(TO_TEXT(B856),PEDIDOS!D:I,6,0),IFERROR(VLOOKUP(B856*1,PEDIDOS!D:I,6,0),"" "")))"),"ENTREGUE")</f>
        <v>ENTREGUE</v>
      </c>
      <c r="G856" s="303"/>
      <c r="H856" s="304"/>
    </row>
    <row r="857">
      <c r="A857" s="302" t="s">
        <v>72</v>
      </c>
      <c r="B857" s="291" t="s">
        <v>5337</v>
      </c>
      <c r="C857" s="292" t="s">
        <v>48</v>
      </c>
      <c r="D857" s="293">
        <f t="shared" si="2"/>
        <v>1</v>
      </c>
      <c r="E857" s="294"/>
      <c r="F857" s="295" t="str">
        <f>IFERROR(__xludf.DUMMYFUNCTION("IF(B857="""","""",IFERROR(VLOOKUP(TO_TEXT(B857),PEDIDOS!D:I,6,0),IFERROR(VLOOKUP(B857*1,PEDIDOS!D:I,6,0),"" "")))"),"ENTREGUE")</f>
        <v>ENTREGUE</v>
      </c>
      <c r="G857" s="303"/>
      <c r="H857" s="304"/>
    </row>
    <row r="858">
      <c r="A858" s="302" t="s">
        <v>72</v>
      </c>
      <c r="B858" s="291" t="s">
        <v>3454</v>
      </c>
      <c r="C858" s="292" t="s">
        <v>48</v>
      </c>
      <c r="D858" s="293">
        <f t="shared" si="2"/>
        <v>1</v>
      </c>
      <c r="E858" s="294"/>
      <c r="F858" s="295" t="str">
        <f>IFERROR(__xludf.DUMMYFUNCTION("IF(B858="""","""",IFERROR(VLOOKUP(TO_TEXT(B858),PEDIDOS!D:I,6,0),IFERROR(VLOOKUP(B858*1,PEDIDOS!D:I,6,0),"" "")))"),"ENTREGUE")</f>
        <v>ENTREGUE</v>
      </c>
      <c r="G858" s="303"/>
      <c r="H858" s="304"/>
    </row>
    <row r="859">
      <c r="A859" s="302" t="s">
        <v>72</v>
      </c>
      <c r="B859" s="291" t="s">
        <v>5570</v>
      </c>
      <c r="C859" s="292" t="s">
        <v>48</v>
      </c>
      <c r="D859" s="293">
        <f t="shared" si="2"/>
        <v>1</v>
      </c>
      <c r="E859" s="294"/>
      <c r="F859" s="295" t="str">
        <f>IFERROR(__xludf.DUMMYFUNCTION("IF(B859="""","""",IFERROR(VLOOKUP(TO_TEXT(B859),PEDIDOS!D:I,6,0),IFERROR(VLOOKUP(B859*1,PEDIDOS!D:I,6,0),"" "")))"),"ENTREGUE")</f>
        <v>ENTREGUE</v>
      </c>
      <c r="G859" s="303"/>
      <c r="H859" s="304"/>
    </row>
    <row r="860">
      <c r="A860" s="302" t="s">
        <v>72</v>
      </c>
      <c r="B860" s="291" t="s">
        <v>5641</v>
      </c>
      <c r="C860" s="292" t="s">
        <v>48</v>
      </c>
      <c r="D860" s="293">
        <f t="shared" si="2"/>
        <v>1</v>
      </c>
      <c r="E860" s="294"/>
      <c r="F860" s="295" t="str">
        <f>IFERROR(__xludf.DUMMYFUNCTION("IF(B860="""","""",IFERROR(VLOOKUP(TO_TEXT(B860),PEDIDOS!D:I,6,0),IFERROR(VLOOKUP(B860*1,PEDIDOS!D:I,6,0),"" "")))"),"ENTREGUE")</f>
        <v>ENTREGUE</v>
      </c>
      <c r="G860" s="303"/>
      <c r="H860" s="304"/>
    </row>
    <row r="861">
      <c r="A861" s="302" t="s">
        <v>72</v>
      </c>
      <c r="B861" s="291" t="s">
        <v>4322</v>
      </c>
      <c r="C861" s="292" t="s">
        <v>48</v>
      </c>
      <c r="D861" s="293">
        <f t="shared" si="2"/>
        <v>1</v>
      </c>
      <c r="E861" s="294"/>
      <c r="F861" s="295" t="str">
        <f>IFERROR(__xludf.DUMMYFUNCTION("IF(B861="""","""",IFERROR(VLOOKUP(TO_TEXT(B861),PEDIDOS!D:I,6,0),IFERROR(VLOOKUP(B861*1,PEDIDOS!D:I,6,0),"" "")))"),"ENTREGUE")</f>
        <v>ENTREGUE</v>
      </c>
      <c r="G861" s="303"/>
      <c r="H861" s="304"/>
    </row>
    <row r="862">
      <c r="A862" s="302" t="s">
        <v>72</v>
      </c>
      <c r="B862" s="291" t="s">
        <v>5083</v>
      </c>
      <c r="C862" s="292" t="s">
        <v>48</v>
      </c>
      <c r="D862" s="293">
        <f t="shared" si="2"/>
        <v>1</v>
      </c>
      <c r="E862" s="294"/>
      <c r="F862" s="295" t="str">
        <f>IFERROR(__xludf.DUMMYFUNCTION("IF(B862="""","""",IFERROR(VLOOKUP(TO_TEXT(B862),PEDIDOS!D:I,6,0),IFERROR(VLOOKUP(B862*1,PEDIDOS!D:I,6,0),"" "")))"),"ENTREGUE")</f>
        <v>ENTREGUE</v>
      </c>
      <c r="G862" s="303"/>
      <c r="H862" s="304"/>
    </row>
    <row r="863">
      <c r="A863" s="302" t="s">
        <v>72</v>
      </c>
      <c r="B863" s="291" t="s">
        <v>4578</v>
      </c>
      <c r="C863" s="292" t="s">
        <v>48</v>
      </c>
      <c r="D863" s="293">
        <f t="shared" si="2"/>
        <v>1</v>
      </c>
      <c r="E863" s="294"/>
      <c r="F863" s="295" t="str">
        <f>IFERROR(__xludf.DUMMYFUNCTION("IF(B863="""","""",IFERROR(VLOOKUP(TO_TEXT(B863),PEDIDOS!D:I,6,0),IFERROR(VLOOKUP(B863*1,PEDIDOS!D:I,6,0),"" "")))"),"ENTREGUE")</f>
        <v>ENTREGUE</v>
      </c>
      <c r="G863" s="303"/>
      <c r="H863" s="304"/>
    </row>
    <row r="864">
      <c r="A864" s="302" t="s">
        <v>72</v>
      </c>
      <c r="B864" s="291" t="s">
        <v>5787</v>
      </c>
      <c r="C864" s="292" t="s">
        <v>48</v>
      </c>
      <c r="D864" s="293">
        <f t="shared" si="2"/>
        <v>1</v>
      </c>
      <c r="E864" s="294"/>
      <c r="F864" s="295" t="str">
        <f>IFERROR(__xludf.DUMMYFUNCTION("IF(B864="""","""",IFERROR(VLOOKUP(TO_TEXT(B864),PEDIDOS!D:I,6,0),IFERROR(VLOOKUP(B864*1,PEDIDOS!D:I,6,0),"" "")))"),"ENTREGUE")</f>
        <v>ENTREGUE</v>
      </c>
      <c r="G864" s="303"/>
      <c r="H864" s="304"/>
    </row>
    <row r="865">
      <c r="A865" s="302" t="s">
        <v>72</v>
      </c>
      <c r="B865" s="291" t="s">
        <v>5963</v>
      </c>
      <c r="C865" s="292" t="s">
        <v>48</v>
      </c>
      <c r="D865" s="293">
        <f t="shared" si="2"/>
        <v>1</v>
      </c>
      <c r="E865" s="294"/>
      <c r="F865" s="295" t="str">
        <f>IFERROR(__xludf.DUMMYFUNCTION("IF(B865="""","""",IFERROR(VLOOKUP(TO_TEXT(B865),PEDIDOS!D:I,6,0),IFERROR(VLOOKUP(B865*1,PEDIDOS!D:I,6,0),"" "")))"),"ENTREGUE")</f>
        <v>ENTREGUE</v>
      </c>
      <c r="G865" s="303"/>
      <c r="H865" s="304"/>
    </row>
    <row r="866">
      <c r="A866" s="302" t="s">
        <v>72</v>
      </c>
      <c r="B866" s="291" t="s">
        <v>4557</v>
      </c>
      <c r="C866" s="292" t="s">
        <v>48</v>
      </c>
      <c r="D866" s="293">
        <f t="shared" si="2"/>
        <v>1</v>
      </c>
      <c r="E866" s="294"/>
      <c r="F866" s="295" t="str">
        <f>IFERROR(__xludf.DUMMYFUNCTION("IF(B866="""","""",IFERROR(VLOOKUP(TO_TEXT(B866),PEDIDOS!D:I,6,0),IFERROR(VLOOKUP(B866*1,PEDIDOS!D:I,6,0),"" "")))"),"ENTREGUE")</f>
        <v>ENTREGUE</v>
      </c>
      <c r="G866" s="303"/>
      <c r="H866" s="304"/>
    </row>
    <row r="867">
      <c r="A867" s="302" t="s">
        <v>72</v>
      </c>
      <c r="B867" s="291" t="s">
        <v>6041</v>
      </c>
      <c r="C867" s="292" t="s">
        <v>48</v>
      </c>
      <c r="D867" s="293">
        <f t="shared" si="2"/>
        <v>1</v>
      </c>
      <c r="E867" s="294"/>
      <c r="F867" s="295" t="str">
        <f>IFERROR(__xludf.DUMMYFUNCTION("IF(B867="""","""",IFERROR(VLOOKUP(TO_TEXT(B867),PEDIDOS!D:I,6,0),IFERROR(VLOOKUP(B867*1,PEDIDOS!D:I,6,0),"" "")))"),"ENTREGUE")</f>
        <v>ENTREGUE</v>
      </c>
      <c r="G867" s="303"/>
      <c r="H867" s="304"/>
    </row>
    <row r="868">
      <c r="A868" s="302" t="s">
        <v>72</v>
      </c>
      <c r="B868" s="291" t="s">
        <v>4498</v>
      </c>
      <c r="C868" s="292" t="s">
        <v>48</v>
      </c>
      <c r="D868" s="293">
        <f t="shared" si="2"/>
        <v>1</v>
      </c>
      <c r="E868" s="294"/>
      <c r="F868" s="295" t="str">
        <f>IFERROR(__xludf.DUMMYFUNCTION("IF(B868="""","""",IFERROR(VLOOKUP(TO_TEXT(B868),PEDIDOS!D:I,6,0),IFERROR(VLOOKUP(B868*1,PEDIDOS!D:I,6,0),"" "")))"),"ENTREGUE")</f>
        <v>ENTREGUE</v>
      </c>
      <c r="G868" s="303"/>
      <c r="H868" s="304"/>
    </row>
    <row r="869">
      <c r="A869" s="302" t="s">
        <v>72</v>
      </c>
      <c r="B869" s="291" t="s">
        <v>12294</v>
      </c>
      <c r="C869" s="292" t="s">
        <v>48</v>
      </c>
      <c r="D869" s="293">
        <f t="shared" si="2"/>
        <v>1</v>
      </c>
      <c r="E869" s="294"/>
      <c r="F869" s="295" t="str">
        <f>IFERROR(__xludf.DUMMYFUNCTION("IF(B869="""","""",IFERROR(VLOOKUP(TO_TEXT(B869),PEDIDOS!D:I,6,0),IFERROR(VLOOKUP(B869*1,PEDIDOS!D:I,6,0),"" "")))"),"ENTREGUE")</f>
        <v>ENTREGUE</v>
      </c>
      <c r="G869" s="303"/>
      <c r="H869" s="304"/>
    </row>
    <row r="870">
      <c r="A870" s="302" t="s">
        <v>72</v>
      </c>
      <c r="B870" s="291" t="s">
        <v>5790</v>
      </c>
      <c r="C870" s="292" t="s">
        <v>48</v>
      </c>
      <c r="D870" s="293">
        <f t="shared" si="2"/>
        <v>1</v>
      </c>
      <c r="E870" s="294"/>
      <c r="F870" s="295" t="str">
        <f>IFERROR(__xludf.DUMMYFUNCTION("IF(B870="""","""",IFERROR(VLOOKUP(TO_TEXT(B870),PEDIDOS!D:I,6,0),IFERROR(VLOOKUP(B870*1,PEDIDOS!D:I,6,0),"" "")))"),"ENTREGUE")</f>
        <v>ENTREGUE</v>
      </c>
      <c r="G870" s="303"/>
      <c r="H870" s="304"/>
    </row>
    <row r="871">
      <c r="A871" s="302" t="s">
        <v>72</v>
      </c>
      <c r="B871" s="291" t="s">
        <v>5091</v>
      </c>
      <c r="C871" s="292" t="s">
        <v>48</v>
      </c>
      <c r="D871" s="293">
        <f t="shared" si="2"/>
        <v>1</v>
      </c>
      <c r="E871" s="294"/>
      <c r="F871" s="295" t="str">
        <f>IFERROR(__xludf.DUMMYFUNCTION("IF(B871="""","""",IFERROR(VLOOKUP(TO_TEXT(B871),PEDIDOS!D:I,6,0),IFERROR(VLOOKUP(B871*1,PEDIDOS!D:I,6,0),"" "")))"),"ENTREGUE")</f>
        <v>ENTREGUE</v>
      </c>
      <c r="G871" s="303"/>
      <c r="H871" s="304"/>
    </row>
    <row r="872">
      <c r="A872" s="302" t="s">
        <v>72</v>
      </c>
      <c r="B872" s="291" t="s">
        <v>7455</v>
      </c>
      <c r="C872" s="292" t="s">
        <v>48</v>
      </c>
      <c r="D872" s="293">
        <f t="shared" si="2"/>
        <v>1</v>
      </c>
      <c r="E872" s="294"/>
      <c r="F872" s="295" t="str">
        <f>IFERROR(__xludf.DUMMYFUNCTION("IF(B872="""","""",IFERROR(VLOOKUP(TO_TEXT(B872),PEDIDOS!D:I,6,0),IFERROR(VLOOKUP(B872*1,PEDIDOS!D:I,6,0),"" "")))"),"ENTREGUE")</f>
        <v>ENTREGUE</v>
      </c>
      <c r="G872" s="303"/>
      <c r="H872" s="304"/>
    </row>
    <row r="873">
      <c r="A873" s="302" t="s">
        <v>72</v>
      </c>
      <c r="B873" s="291" t="s">
        <v>3402</v>
      </c>
      <c r="C873" s="292" t="s">
        <v>48</v>
      </c>
      <c r="D873" s="293">
        <f t="shared" si="2"/>
        <v>1</v>
      </c>
      <c r="E873" s="294"/>
      <c r="F873" s="295" t="str">
        <f>IFERROR(__xludf.DUMMYFUNCTION("IF(B873="""","""",IFERROR(VLOOKUP(TO_TEXT(B873),PEDIDOS!D:I,6,0),IFERROR(VLOOKUP(B873*1,PEDIDOS!D:I,6,0),"" "")))"),"ENTREGUE")</f>
        <v>ENTREGUE</v>
      </c>
      <c r="G873" s="303"/>
      <c r="H873" s="304"/>
    </row>
    <row r="874">
      <c r="A874" s="302" t="s">
        <v>72</v>
      </c>
      <c r="B874" s="291" t="s">
        <v>5028</v>
      </c>
      <c r="C874" s="292" t="s">
        <v>48</v>
      </c>
      <c r="D874" s="293">
        <f t="shared" si="2"/>
        <v>1</v>
      </c>
      <c r="E874" s="294"/>
      <c r="F874" s="295" t="str">
        <f>IFERROR(__xludf.DUMMYFUNCTION("IF(B874="""","""",IFERROR(VLOOKUP(TO_TEXT(B874),PEDIDOS!D:I,6,0),IFERROR(VLOOKUP(B874*1,PEDIDOS!D:I,6,0),"" "")))"),"ENTREGUE")</f>
        <v>ENTREGUE</v>
      </c>
      <c r="G874" s="303"/>
      <c r="H874" s="304"/>
    </row>
    <row r="875">
      <c r="A875" s="302" t="s">
        <v>72</v>
      </c>
      <c r="B875" s="291" t="s">
        <v>4465</v>
      </c>
      <c r="C875" s="292" t="s">
        <v>48</v>
      </c>
      <c r="D875" s="293">
        <f t="shared" si="2"/>
        <v>1</v>
      </c>
      <c r="E875" s="294"/>
      <c r="F875" s="295" t="str">
        <f>IFERROR(__xludf.DUMMYFUNCTION("IF(B875="""","""",IFERROR(VLOOKUP(TO_TEXT(B875),PEDIDOS!D:I,6,0),IFERROR(VLOOKUP(B875*1,PEDIDOS!D:I,6,0),"" "")))"),"ENTREGUE")</f>
        <v>ENTREGUE</v>
      </c>
      <c r="G875" s="303"/>
      <c r="H875" s="304"/>
    </row>
    <row r="876">
      <c r="A876" s="302" t="s">
        <v>72</v>
      </c>
      <c r="B876" s="291" t="s">
        <v>4560</v>
      </c>
      <c r="C876" s="292" t="s">
        <v>48</v>
      </c>
      <c r="D876" s="293">
        <f t="shared" si="2"/>
        <v>1</v>
      </c>
      <c r="E876" s="294"/>
      <c r="F876" s="295" t="str">
        <f>IFERROR(__xludf.DUMMYFUNCTION("IF(B876="""","""",IFERROR(VLOOKUP(TO_TEXT(B876),PEDIDOS!D:I,6,0),IFERROR(VLOOKUP(B876*1,PEDIDOS!D:I,6,0),"" "")))"),"ENTREGUE")</f>
        <v>ENTREGUE</v>
      </c>
      <c r="G876" s="303"/>
      <c r="H876" s="304"/>
    </row>
    <row r="877">
      <c r="A877" s="302" t="s">
        <v>72</v>
      </c>
      <c r="B877" s="291" t="s">
        <v>4632</v>
      </c>
      <c r="C877" s="292" t="s">
        <v>48</v>
      </c>
      <c r="D877" s="293">
        <f t="shared" si="2"/>
        <v>1</v>
      </c>
      <c r="E877" s="294"/>
      <c r="F877" s="295" t="str">
        <f>IFERROR(__xludf.DUMMYFUNCTION("IF(B877="""","""",IFERROR(VLOOKUP(TO_TEXT(B877),PEDIDOS!D:I,6,0),IFERROR(VLOOKUP(B877*1,PEDIDOS!D:I,6,0),"" "")))"),"ENTREGUE")</f>
        <v>ENTREGUE</v>
      </c>
      <c r="G877" s="303"/>
      <c r="H877" s="304"/>
    </row>
    <row r="878">
      <c r="A878" s="302" t="s">
        <v>72</v>
      </c>
      <c r="B878" s="291" t="s">
        <v>4301</v>
      </c>
      <c r="C878" s="292" t="s">
        <v>48</v>
      </c>
      <c r="D878" s="293">
        <f t="shared" si="2"/>
        <v>1</v>
      </c>
      <c r="E878" s="294"/>
      <c r="F878" s="295" t="str">
        <f>IFERROR(__xludf.DUMMYFUNCTION("IF(B878="""","""",IFERROR(VLOOKUP(TO_TEXT(B878),PEDIDOS!D:I,6,0),IFERROR(VLOOKUP(B878*1,PEDIDOS!D:I,6,0),"" "")))"),"ENTREGUE")</f>
        <v>ENTREGUE</v>
      </c>
      <c r="G878" s="303"/>
      <c r="H878" s="304"/>
    </row>
    <row r="879">
      <c r="A879" s="302" t="s">
        <v>72</v>
      </c>
      <c r="B879" s="291" t="s">
        <v>5784</v>
      </c>
      <c r="C879" s="292" t="s">
        <v>48</v>
      </c>
      <c r="D879" s="293">
        <f t="shared" si="2"/>
        <v>1</v>
      </c>
      <c r="E879" s="294"/>
      <c r="F879" s="295" t="str">
        <f>IFERROR(__xludf.DUMMYFUNCTION("IF(B879="""","""",IFERROR(VLOOKUP(TO_TEXT(B879),PEDIDOS!D:I,6,0),IFERROR(VLOOKUP(B879*1,PEDIDOS!D:I,6,0),"" "")))"),"ENTREGUE")</f>
        <v>ENTREGUE</v>
      </c>
      <c r="G879" s="303"/>
      <c r="H879" s="304"/>
    </row>
    <row r="880">
      <c r="A880" s="302" t="s">
        <v>72</v>
      </c>
      <c r="B880" s="291" t="s">
        <v>4843</v>
      </c>
      <c r="C880" s="292" t="s">
        <v>48</v>
      </c>
      <c r="D880" s="293">
        <f t="shared" si="2"/>
        <v>1</v>
      </c>
      <c r="E880" s="294"/>
      <c r="F880" s="295" t="str">
        <f>IFERROR(__xludf.DUMMYFUNCTION("IF(B880="""","""",IFERROR(VLOOKUP(TO_TEXT(B880),PEDIDOS!D:I,6,0),IFERROR(VLOOKUP(B880*1,PEDIDOS!D:I,6,0),"" "")))"),"ENTREGUE")</f>
        <v>ENTREGUE</v>
      </c>
      <c r="G880" s="303"/>
      <c r="H880" s="304"/>
    </row>
    <row r="881">
      <c r="A881" s="302" t="s">
        <v>72</v>
      </c>
      <c r="B881" s="291" t="s">
        <v>4486</v>
      </c>
      <c r="C881" s="292" t="s">
        <v>48</v>
      </c>
      <c r="D881" s="293">
        <f t="shared" si="2"/>
        <v>1</v>
      </c>
      <c r="E881" s="294"/>
      <c r="F881" s="295" t="str">
        <f>IFERROR(__xludf.DUMMYFUNCTION("IF(B881="""","""",IFERROR(VLOOKUP(TO_TEXT(B881),PEDIDOS!D:I,6,0),IFERROR(VLOOKUP(B881*1,PEDIDOS!D:I,6,0),"" "")))"),"ENTREGUE")</f>
        <v>ENTREGUE</v>
      </c>
      <c r="G881" s="303"/>
      <c r="H881" s="304"/>
    </row>
    <row r="882">
      <c r="A882" s="302" t="s">
        <v>72</v>
      </c>
      <c r="B882" s="291" t="s">
        <v>5725</v>
      </c>
      <c r="C882" s="292" t="s">
        <v>48</v>
      </c>
      <c r="D882" s="293">
        <f t="shared" si="2"/>
        <v>1</v>
      </c>
      <c r="E882" s="294"/>
      <c r="F882" s="295" t="str">
        <f>IFERROR(__xludf.DUMMYFUNCTION("IF(B882="""","""",IFERROR(VLOOKUP(TO_TEXT(B882),PEDIDOS!D:I,6,0),IFERROR(VLOOKUP(B882*1,PEDIDOS!D:I,6,0),"" "")))"),"ENTREGUE")</f>
        <v>ENTREGUE</v>
      </c>
      <c r="G882" s="303"/>
      <c r="H882" s="304"/>
    </row>
    <row r="883">
      <c r="A883" s="302" t="s">
        <v>72</v>
      </c>
      <c r="B883" s="291" t="s">
        <v>4976</v>
      </c>
      <c r="C883" s="292" t="s">
        <v>48</v>
      </c>
      <c r="D883" s="293">
        <f t="shared" si="2"/>
        <v>1</v>
      </c>
      <c r="E883" s="294"/>
      <c r="F883" s="295" t="str">
        <f>IFERROR(__xludf.DUMMYFUNCTION("IF(B883="""","""",IFERROR(VLOOKUP(TO_TEXT(B883),PEDIDOS!D:I,6,0),IFERROR(VLOOKUP(B883*1,PEDIDOS!D:I,6,0),"" "")))"),"ENTREGUE")</f>
        <v>ENTREGUE</v>
      </c>
      <c r="G883" s="303"/>
      <c r="H883" s="304"/>
    </row>
    <row r="884">
      <c r="A884" s="302" t="s">
        <v>72</v>
      </c>
      <c r="B884" s="291" t="s">
        <v>4477</v>
      </c>
      <c r="C884" s="292" t="s">
        <v>48</v>
      </c>
      <c r="D884" s="293">
        <f t="shared" si="2"/>
        <v>1</v>
      </c>
      <c r="E884" s="294"/>
      <c r="F884" s="295" t="str">
        <f>IFERROR(__xludf.DUMMYFUNCTION("IF(B884="""","""",IFERROR(VLOOKUP(TO_TEXT(B884),PEDIDOS!D:I,6,0),IFERROR(VLOOKUP(B884*1,PEDIDOS!D:I,6,0),"" "")))"),"ENTREGUE")</f>
        <v>ENTREGUE</v>
      </c>
      <c r="G884" s="303"/>
      <c r="H884" s="304"/>
    </row>
    <row r="885">
      <c r="A885" s="302" t="s">
        <v>72</v>
      </c>
      <c r="B885" s="291" t="s">
        <v>5087</v>
      </c>
      <c r="C885" s="292" t="s">
        <v>48</v>
      </c>
      <c r="D885" s="293">
        <f t="shared" si="2"/>
        <v>1</v>
      </c>
      <c r="E885" s="294"/>
      <c r="F885" s="295" t="str">
        <f>IFERROR(__xludf.DUMMYFUNCTION("IF(B885="""","""",IFERROR(VLOOKUP(TO_TEXT(B885),PEDIDOS!D:I,6,0),IFERROR(VLOOKUP(B885*1,PEDIDOS!D:I,6,0),"" "")))"),"ENTREGUE")</f>
        <v>ENTREGUE</v>
      </c>
      <c r="G885" s="303"/>
      <c r="H885" s="304"/>
    </row>
    <row r="886">
      <c r="A886" s="302" t="s">
        <v>72</v>
      </c>
      <c r="B886" s="291" t="s">
        <v>6045</v>
      </c>
      <c r="C886" s="292" t="s">
        <v>48</v>
      </c>
      <c r="D886" s="293">
        <f t="shared" si="2"/>
        <v>1</v>
      </c>
      <c r="E886" s="294"/>
      <c r="F886" s="295" t="str">
        <f>IFERROR(__xludf.DUMMYFUNCTION("IF(B886="""","""",IFERROR(VLOOKUP(TO_TEXT(B886),PEDIDOS!D:I,6,0),IFERROR(VLOOKUP(B886*1,PEDIDOS!D:I,6,0),"" "")))"),"ENTREGUE")</f>
        <v>ENTREGUE</v>
      </c>
      <c r="G886" s="303"/>
      <c r="H886" s="304"/>
    </row>
    <row r="887">
      <c r="A887" s="302" t="s">
        <v>72</v>
      </c>
      <c r="B887" s="291" t="s">
        <v>6302</v>
      </c>
      <c r="C887" s="292" t="s">
        <v>48</v>
      </c>
      <c r="D887" s="293">
        <f t="shared" si="2"/>
        <v>1</v>
      </c>
      <c r="E887" s="294"/>
      <c r="F887" s="295" t="str">
        <f>IFERROR(__xludf.DUMMYFUNCTION("IF(B887="""","""",IFERROR(VLOOKUP(TO_TEXT(B887),PEDIDOS!D:I,6,0),IFERROR(VLOOKUP(B887*1,PEDIDOS!D:I,6,0),"" "")))"),"ENTREGUE")</f>
        <v>ENTREGUE</v>
      </c>
      <c r="G887" s="303"/>
      <c r="H887" s="304"/>
    </row>
    <row r="888">
      <c r="A888" s="302" t="s">
        <v>72</v>
      </c>
      <c r="B888" s="291" t="s">
        <v>4717</v>
      </c>
      <c r="C888" s="292" t="s">
        <v>48</v>
      </c>
      <c r="D888" s="293">
        <f t="shared" si="2"/>
        <v>1</v>
      </c>
      <c r="E888" s="294"/>
      <c r="F888" s="295" t="str">
        <f>IFERROR(__xludf.DUMMYFUNCTION("IF(B888="""","""",IFERROR(VLOOKUP(TO_TEXT(B888),PEDIDOS!D:I,6,0),IFERROR(VLOOKUP(B888*1,PEDIDOS!D:I,6,0),"" "")))"),"ENTREGUE")</f>
        <v>ENTREGUE</v>
      </c>
      <c r="G888" s="303"/>
      <c r="H888" s="304"/>
    </row>
    <row r="889">
      <c r="A889" s="302" t="s">
        <v>72</v>
      </c>
      <c r="B889" s="291" t="s">
        <v>6289</v>
      </c>
      <c r="C889" s="292" t="s">
        <v>48</v>
      </c>
      <c r="D889" s="293">
        <f t="shared" si="2"/>
        <v>1</v>
      </c>
      <c r="E889" s="294"/>
      <c r="F889" s="295" t="str">
        <f>IFERROR(__xludf.DUMMYFUNCTION("IF(B889="""","""",IFERROR(VLOOKUP(TO_TEXT(B889),PEDIDOS!D:I,6,0),IFERROR(VLOOKUP(B889*1,PEDIDOS!D:I,6,0),"" "")))"),"ENTREGUE")</f>
        <v>ENTREGUE</v>
      </c>
      <c r="G889" s="303"/>
      <c r="H889" s="304"/>
    </row>
    <row r="890">
      <c r="A890" s="302" t="s">
        <v>72</v>
      </c>
      <c r="B890" s="291" t="s">
        <v>4269</v>
      </c>
      <c r="C890" s="292" t="s">
        <v>48</v>
      </c>
      <c r="D890" s="293">
        <f t="shared" si="2"/>
        <v>1</v>
      </c>
      <c r="E890" s="294"/>
      <c r="F890" s="295" t="str">
        <f>IFERROR(__xludf.DUMMYFUNCTION("IF(B890="""","""",IFERROR(VLOOKUP(TO_TEXT(B890),PEDIDOS!D:I,6,0),IFERROR(VLOOKUP(B890*1,PEDIDOS!D:I,6,0),"" "")))"),"ENTREGUE")</f>
        <v>ENTREGUE</v>
      </c>
      <c r="G890" s="303"/>
      <c r="H890" s="304"/>
    </row>
    <row r="891">
      <c r="A891" s="302" t="s">
        <v>72</v>
      </c>
      <c r="B891" s="291" t="s">
        <v>4566</v>
      </c>
      <c r="C891" s="292" t="s">
        <v>48</v>
      </c>
      <c r="D891" s="293">
        <f t="shared" si="2"/>
        <v>1</v>
      </c>
      <c r="E891" s="294"/>
      <c r="F891" s="295" t="str">
        <f>IFERROR(__xludf.DUMMYFUNCTION("IF(B891="""","""",IFERROR(VLOOKUP(TO_TEXT(B891),PEDIDOS!D:I,6,0),IFERROR(VLOOKUP(B891*1,PEDIDOS!D:I,6,0),"" "")))"),"ENTREGUE")</f>
        <v>ENTREGUE</v>
      </c>
      <c r="G891" s="303"/>
      <c r="H891" s="304"/>
    </row>
    <row r="892">
      <c r="A892" s="302" t="s">
        <v>72</v>
      </c>
      <c r="B892" s="291" t="s">
        <v>4132</v>
      </c>
      <c r="C892" s="292" t="s">
        <v>48</v>
      </c>
      <c r="D892" s="293">
        <f t="shared" si="2"/>
        <v>1</v>
      </c>
      <c r="E892" s="294"/>
      <c r="F892" s="295" t="str">
        <f>IFERROR(__xludf.DUMMYFUNCTION("IF(B892="""","""",IFERROR(VLOOKUP(TO_TEXT(B892),PEDIDOS!D:I,6,0),IFERROR(VLOOKUP(B892*1,PEDIDOS!D:I,6,0),"" "")))"),"ENTREGUE")</f>
        <v>ENTREGUE</v>
      </c>
      <c r="G892" s="303"/>
      <c r="H892" s="304"/>
    </row>
    <row r="893">
      <c r="A893" s="302" t="s">
        <v>72</v>
      </c>
      <c r="B893" s="291" t="s">
        <v>4688</v>
      </c>
      <c r="C893" s="292" t="s">
        <v>48</v>
      </c>
      <c r="D893" s="293">
        <f t="shared" si="2"/>
        <v>1</v>
      </c>
      <c r="E893" s="294"/>
      <c r="F893" s="295" t="str">
        <f>IFERROR(__xludf.DUMMYFUNCTION("IF(B893="""","""",IFERROR(VLOOKUP(TO_TEXT(B893),PEDIDOS!D:I,6,0),IFERROR(VLOOKUP(B893*1,PEDIDOS!D:I,6,0),"" "")))"),"ENTREGUE")</f>
        <v>ENTREGUE</v>
      </c>
      <c r="G893" s="303"/>
      <c r="H893" s="304"/>
    </row>
    <row r="894">
      <c r="A894" s="302" t="s">
        <v>72</v>
      </c>
      <c r="B894" s="291" t="s">
        <v>6158</v>
      </c>
      <c r="C894" s="292" t="s">
        <v>48</v>
      </c>
      <c r="D894" s="293">
        <f t="shared" si="2"/>
        <v>1</v>
      </c>
      <c r="E894" s="294"/>
      <c r="F894" s="295" t="str">
        <f>IFERROR(__xludf.DUMMYFUNCTION("IF(B894="""","""",IFERROR(VLOOKUP(TO_TEXT(B894),PEDIDOS!D:I,6,0),IFERROR(VLOOKUP(B894*1,PEDIDOS!D:I,6,0),"" "")))"),"ENTREGUE")</f>
        <v>ENTREGUE</v>
      </c>
      <c r="G894" s="303"/>
      <c r="H894" s="304"/>
    </row>
    <row r="895">
      <c r="A895" s="302" t="s">
        <v>72</v>
      </c>
      <c r="B895" s="291" t="s">
        <v>3457</v>
      </c>
      <c r="C895" s="292" t="s">
        <v>48</v>
      </c>
      <c r="D895" s="293">
        <f t="shared" si="2"/>
        <v>1</v>
      </c>
      <c r="E895" s="294"/>
      <c r="F895" s="295" t="str">
        <f>IFERROR(__xludf.DUMMYFUNCTION("IF(B895="""","""",IFERROR(VLOOKUP(TO_TEXT(B895),PEDIDOS!D:I,6,0),IFERROR(VLOOKUP(B895*1,PEDIDOS!D:I,6,0),"" "")))"),"ENTREGUE")</f>
        <v>ENTREGUE</v>
      </c>
      <c r="G895" s="303"/>
      <c r="H895" s="304"/>
    </row>
    <row r="896">
      <c r="A896" s="302" t="s">
        <v>72</v>
      </c>
      <c r="B896" s="291" t="s">
        <v>6081</v>
      </c>
      <c r="C896" s="292" t="s">
        <v>48</v>
      </c>
      <c r="D896" s="293">
        <f t="shared" si="2"/>
        <v>1</v>
      </c>
      <c r="E896" s="294"/>
      <c r="F896" s="295" t="str">
        <f>IFERROR(__xludf.DUMMYFUNCTION("IF(B896="""","""",IFERROR(VLOOKUP(TO_TEXT(B896),PEDIDOS!D:I,6,0),IFERROR(VLOOKUP(B896*1,PEDIDOS!D:I,6,0),"" "")))"),"ENTREGUE")</f>
        <v>ENTREGUE</v>
      </c>
      <c r="G896" s="303"/>
      <c r="H896" s="304"/>
    </row>
    <row r="897">
      <c r="A897" s="302" t="s">
        <v>72</v>
      </c>
      <c r="B897" s="291" t="s">
        <v>7446</v>
      </c>
      <c r="C897" s="292" t="s">
        <v>48</v>
      </c>
      <c r="D897" s="293">
        <f t="shared" si="2"/>
        <v>1</v>
      </c>
      <c r="E897" s="294"/>
      <c r="F897" s="295" t="str">
        <f>IFERROR(__xludf.DUMMYFUNCTION("IF(B897="""","""",IFERROR(VLOOKUP(TO_TEXT(B897),PEDIDOS!D:I,6,0),IFERROR(VLOOKUP(B897*1,PEDIDOS!D:I,6,0),"" "")))"),"ENTREGUE")</f>
        <v>ENTREGUE</v>
      </c>
      <c r="G897" s="303"/>
      <c r="H897" s="304"/>
    </row>
    <row r="898">
      <c r="A898" s="302" t="s">
        <v>72</v>
      </c>
      <c r="B898" s="291" t="s">
        <v>6295</v>
      </c>
      <c r="C898" s="292" t="s">
        <v>48</v>
      </c>
      <c r="D898" s="293">
        <f t="shared" si="2"/>
        <v>1</v>
      </c>
      <c r="E898" s="294"/>
      <c r="F898" s="295" t="str">
        <f>IFERROR(__xludf.DUMMYFUNCTION("IF(B898="""","""",IFERROR(VLOOKUP(TO_TEXT(B898),PEDIDOS!D:I,6,0),IFERROR(VLOOKUP(B898*1,PEDIDOS!D:I,6,0),"" "")))"),"ENTREGUE")</f>
        <v>ENTREGUE</v>
      </c>
      <c r="G898" s="303"/>
      <c r="H898" s="304"/>
    </row>
    <row r="899">
      <c r="A899" s="302" t="s">
        <v>72</v>
      </c>
      <c r="B899" s="291" t="s">
        <v>3693</v>
      </c>
      <c r="C899" s="292" t="s">
        <v>48</v>
      </c>
      <c r="D899" s="293">
        <f t="shared" si="2"/>
        <v>1</v>
      </c>
      <c r="E899" s="294"/>
      <c r="F899" s="295" t="str">
        <f>IFERROR(__xludf.DUMMYFUNCTION("IF(B899="""","""",IFERROR(VLOOKUP(TO_TEXT(B899),PEDIDOS!D:I,6,0),IFERROR(VLOOKUP(B899*1,PEDIDOS!D:I,6,0),"" "")))"),"ENTREGUE")</f>
        <v>ENTREGUE</v>
      </c>
      <c r="G899" s="303"/>
      <c r="H899" s="304"/>
    </row>
    <row r="900">
      <c r="A900" s="302" t="s">
        <v>72</v>
      </c>
      <c r="B900" s="291" t="s">
        <v>4326</v>
      </c>
      <c r="C900" s="292" t="s">
        <v>48</v>
      </c>
      <c r="D900" s="293">
        <f t="shared" si="2"/>
        <v>1</v>
      </c>
      <c r="E900" s="294"/>
      <c r="F900" s="295" t="str">
        <f>IFERROR(__xludf.DUMMYFUNCTION("IF(B900="""","""",IFERROR(VLOOKUP(TO_TEXT(B900),PEDIDOS!D:I,6,0),IFERROR(VLOOKUP(B900*1,PEDIDOS!D:I,6,0),"" "")))"),"ENTREGUE")</f>
        <v>ENTREGUE</v>
      </c>
      <c r="G900" s="303"/>
      <c r="H900" s="304"/>
    </row>
    <row r="901">
      <c r="A901" s="302" t="s">
        <v>72</v>
      </c>
      <c r="B901" s="291" t="s">
        <v>4592</v>
      </c>
      <c r="C901" s="292" t="s">
        <v>48</v>
      </c>
      <c r="D901" s="293">
        <f t="shared" si="2"/>
        <v>1</v>
      </c>
      <c r="E901" s="294"/>
      <c r="F901" s="295" t="str">
        <f>IFERROR(__xludf.DUMMYFUNCTION("IF(B901="""","""",IFERROR(VLOOKUP(TO_TEXT(B901),PEDIDOS!D:I,6,0),IFERROR(VLOOKUP(B901*1,PEDIDOS!D:I,6,0),"" "")))"),"ENTREGUE")</f>
        <v>ENTREGUE</v>
      </c>
      <c r="G901" s="303"/>
      <c r="H901" s="304"/>
    </row>
    <row r="902">
      <c r="A902" s="302" t="s">
        <v>72</v>
      </c>
      <c r="B902" s="291" t="s">
        <v>6808</v>
      </c>
      <c r="C902" s="292" t="s">
        <v>48</v>
      </c>
      <c r="D902" s="293">
        <f t="shared" si="2"/>
        <v>1</v>
      </c>
      <c r="E902" s="294"/>
      <c r="F902" s="295" t="str">
        <f>IFERROR(__xludf.DUMMYFUNCTION("IF(B902="""","""",IFERROR(VLOOKUP(TO_TEXT(B902),PEDIDOS!D:I,6,0),IFERROR(VLOOKUP(B902*1,PEDIDOS!D:I,6,0),"" "")))"),"ENTREGUE")</f>
        <v>ENTREGUE</v>
      </c>
      <c r="G902" s="303"/>
      <c r="H902" s="304"/>
    </row>
    <row r="903">
      <c r="A903" s="302" t="s">
        <v>72</v>
      </c>
      <c r="B903" s="291" t="s">
        <v>4583</v>
      </c>
      <c r="C903" s="292" t="s">
        <v>48</v>
      </c>
      <c r="D903" s="293">
        <f t="shared" si="2"/>
        <v>1</v>
      </c>
      <c r="E903" s="294"/>
      <c r="F903" s="295" t="str">
        <f>IFERROR(__xludf.DUMMYFUNCTION("IF(B903="""","""",IFERROR(VLOOKUP(TO_TEXT(B903),PEDIDOS!D:I,6,0),IFERROR(VLOOKUP(B903*1,PEDIDOS!D:I,6,0),"" "")))"),"ENTREGUE")</f>
        <v>ENTREGUE</v>
      </c>
      <c r="G903" s="303"/>
      <c r="H903" s="304"/>
    </row>
    <row r="904">
      <c r="A904" s="302" t="s">
        <v>72</v>
      </c>
      <c r="B904" s="291" t="s">
        <v>5711</v>
      </c>
      <c r="C904" s="292" t="s">
        <v>48</v>
      </c>
      <c r="D904" s="293">
        <f t="shared" si="2"/>
        <v>1</v>
      </c>
      <c r="E904" s="294"/>
      <c r="F904" s="295" t="str">
        <f>IFERROR(__xludf.DUMMYFUNCTION("IF(B904="""","""",IFERROR(VLOOKUP(TO_TEXT(B904),PEDIDOS!D:I,6,0),IFERROR(VLOOKUP(B904*1,PEDIDOS!D:I,6,0),"" "")))"),"ENTREGUE")</f>
        <v>ENTREGUE</v>
      </c>
      <c r="G904" s="303"/>
      <c r="H904" s="304"/>
    </row>
    <row r="905">
      <c r="A905" s="302" t="s">
        <v>72</v>
      </c>
      <c r="B905" s="291" t="s">
        <v>6121</v>
      </c>
      <c r="C905" s="292" t="s">
        <v>48</v>
      </c>
      <c r="D905" s="293">
        <f t="shared" si="2"/>
        <v>1</v>
      </c>
      <c r="E905" s="294"/>
      <c r="F905" s="295" t="str">
        <f>IFERROR(__xludf.DUMMYFUNCTION("IF(B905="""","""",IFERROR(VLOOKUP(TO_TEXT(B905),PEDIDOS!D:I,6,0),IFERROR(VLOOKUP(B905*1,PEDIDOS!D:I,6,0),"" "")))"),"ENTREGUE")</f>
        <v>ENTREGUE</v>
      </c>
      <c r="G905" s="303"/>
      <c r="H905" s="304"/>
    </row>
    <row r="906">
      <c r="A906" s="302" t="s">
        <v>72</v>
      </c>
      <c r="B906" s="291" t="s">
        <v>5223</v>
      </c>
      <c r="C906" s="292" t="s">
        <v>48</v>
      </c>
      <c r="D906" s="293">
        <f t="shared" si="2"/>
        <v>1</v>
      </c>
      <c r="E906" s="294"/>
      <c r="F906" s="295" t="str">
        <f>IFERROR(__xludf.DUMMYFUNCTION("IF(B906="""","""",IFERROR(VLOOKUP(TO_TEXT(B906),PEDIDOS!D:I,6,0),IFERROR(VLOOKUP(B906*1,PEDIDOS!D:I,6,0),"" "")))"),"ENTREGUE")</f>
        <v>ENTREGUE</v>
      </c>
      <c r="G906" s="303"/>
      <c r="H906" s="304"/>
    </row>
    <row r="907">
      <c r="A907" s="302" t="s">
        <v>72</v>
      </c>
      <c r="B907" s="291" t="s">
        <v>4294</v>
      </c>
      <c r="C907" s="292" t="s">
        <v>48</v>
      </c>
      <c r="D907" s="293">
        <f t="shared" si="2"/>
        <v>1</v>
      </c>
      <c r="E907" s="294"/>
      <c r="F907" s="295" t="str">
        <f>IFERROR(__xludf.DUMMYFUNCTION("IF(B907="""","""",IFERROR(VLOOKUP(TO_TEXT(B907),PEDIDOS!D:I,6,0),IFERROR(VLOOKUP(B907*1,PEDIDOS!D:I,6,0),"" "")))"),"ENTREGUE")</f>
        <v>ENTREGUE</v>
      </c>
      <c r="G907" s="303"/>
      <c r="H907" s="304"/>
    </row>
    <row r="908">
      <c r="A908" s="302" t="s">
        <v>72</v>
      </c>
      <c r="B908" s="291" t="s">
        <v>4298</v>
      </c>
      <c r="C908" s="292" t="s">
        <v>48</v>
      </c>
      <c r="D908" s="293">
        <f t="shared" si="2"/>
        <v>1</v>
      </c>
      <c r="E908" s="294"/>
      <c r="F908" s="295" t="str">
        <f>IFERROR(__xludf.DUMMYFUNCTION("IF(B908="""","""",IFERROR(VLOOKUP(TO_TEXT(B908),PEDIDOS!D:I,6,0),IFERROR(VLOOKUP(B908*1,PEDIDOS!D:I,6,0),"" "")))"),"ENTREGUE")</f>
        <v>ENTREGUE</v>
      </c>
      <c r="G908" s="303"/>
      <c r="H908" s="304"/>
    </row>
    <row r="909">
      <c r="A909" s="302" t="s">
        <v>72</v>
      </c>
      <c r="B909" s="291" t="s">
        <v>4871</v>
      </c>
      <c r="C909" s="292" t="s">
        <v>48</v>
      </c>
      <c r="D909" s="293">
        <f t="shared" si="2"/>
        <v>1</v>
      </c>
      <c r="E909" s="294"/>
      <c r="F909" s="295" t="str">
        <f>IFERROR(__xludf.DUMMYFUNCTION("IF(B909="""","""",IFERROR(VLOOKUP(TO_TEXT(B909),PEDIDOS!D:I,6,0),IFERROR(VLOOKUP(B909*1,PEDIDOS!D:I,6,0),"" "")))"),"ENTREGUE")</f>
        <v>ENTREGUE</v>
      </c>
      <c r="G909" s="303"/>
      <c r="H909" s="304"/>
    </row>
    <row r="910">
      <c r="A910" s="302" t="s">
        <v>72</v>
      </c>
      <c r="B910" s="291" t="s">
        <v>5247</v>
      </c>
      <c r="C910" s="292" t="s">
        <v>48</v>
      </c>
      <c r="D910" s="293">
        <f t="shared" si="2"/>
        <v>1</v>
      </c>
      <c r="E910" s="294"/>
      <c r="F910" s="295" t="str">
        <f>IFERROR(__xludf.DUMMYFUNCTION("IF(B910="""","""",IFERROR(VLOOKUP(TO_TEXT(B910),PEDIDOS!D:I,6,0),IFERROR(VLOOKUP(B910*1,PEDIDOS!D:I,6,0),"" "")))"),"ENTREGUE")</f>
        <v>ENTREGUE</v>
      </c>
      <c r="G910" s="303"/>
      <c r="H910" s="304"/>
    </row>
    <row r="911">
      <c r="A911" s="302" t="s">
        <v>72</v>
      </c>
      <c r="B911" s="291" t="s">
        <v>4653</v>
      </c>
      <c r="C911" s="292" t="s">
        <v>48</v>
      </c>
      <c r="D911" s="293">
        <f t="shared" si="2"/>
        <v>1</v>
      </c>
      <c r="E911" s="294"/>
      <c r="F911" s="295" t="str">
        <f>IFERROR(__xludf.DUMMYFUNCTION("IF(B911="""","""",IFERROR(VLOOKUP(TO_TEXT(B911),PEDIDOS!D:I,6,0),IFERROR(VLOOKUP(B911*1,PEDIDOS!D:I,6,0),"" "")))"),"ENTREGUE")</f>
        <v>ENTREGUE</v>
      </c>
      <c r="G911" s="303"/>
      <c r="H911" s="304"/>
    </row>
    <row r="912">
      <c r="A912" s="302" t="s">
        <v>72</v>
      </c>
      <c r="B912" s="291" t="s">
        <v>5721</v>
      </c>
      <c r="C912" s="292" t="s">
        <v>48</v>
      </c>
      <c r="D912" s="293">
        <f t="shared" si="2"/>
        <v>1</v>
      </c>
      <c r="E912" s="294"/>
      <c r="F912" s="295" t="str">
        <f>IFERROR(__xludf.DUMMYFUNCTION("IF(B912="""","""",IFERROR(VLOOKUP(TO_TEXT(B912),PEDIDOS!D:I,6,0),IFERROR(VLOOKUP(B912*1,PEDIDOS!D:I,6,0),"" "")))"),"ENTREGUE")</f>
        <v>ENTREGUE</v>
      </c>
      <c r="G912" s="303"/>
      <c r="H912" s="304"/>
    </row>
    <row r="913">
      <c r="A913" s="302" t="s">
        <v>72</v>
      </c>
      <c r="B913" s="291" t="s">
        <v>6552</v>
      </c>
      <c r="C913" s="292" t="s">
        <v>48</v>
      </c>
      <c r="D913" s="293">
        <f t="shared" si="2"/>
        <v>1</v>
      </c>
      <c r="E913" s="294"/>
      <c r="F913" s="295" t="str">
        <f>IFERROR(__xludf.DUMMYFUNCTION("IF(B913="""","""",IFERROR(VLOOKUP(TO_TEXT(B913),PEDIDOS!D:I,6,0),IFERROR(VLOOKUP(B913*1,PEDIDOS!D:I,6,0),"" "")))"),"ENTREGUE")</f>
        <v>ENTREGUE</v>
      </c>
      <c r="G913" s="303"/>
      <c r="H913" s="304"/>
    </row>
    <row r="914">
      <c r="A914" s="302" t="s">
        <v>72</v>
      </c>
      <c r="B914" s="291" t="s">
        <v>5252</v>
      </c>
      <c r="C914" s="292" t="s">
        <v>48</v>
      </c>
      <c r="D914" s="293">
        <f t="shared" si="2"/>
        <v>1</v>
      </c>
      <c r="E914" s="294"/>
      <c r="F914" s="295" t="str">
        <f>IFERROR(__xludf.DUMMYFUNCTION("IF(B914="""","""",IFERROR(VLOOKUP(TO_TEXT(B914),PEDIDOS!D:I,6,0),IFERROR(VLOOKUP(B914*1,PEDIDOS!D:I,6,0),"" "")))"),"ENTREGUE")</f>
        <v>ENTREGUE</v>
      </c>
      <c r="G914" s="303"/>
      <c r="H914" s="304"/>
    </row>
    <row r="915">
      <c r="A915" s="302" t="s">
        <v>72</v>
      </c>
      <c r="B915" s="291" t="s">
        <v>5729</v>
      </c>
      <c r="C915" s="292" t="s">
        <v>48</v>
      </c>
      <c r="D915" s="293">
        <f t="shared" si="2"/>
        <v>1</v>
      </c>
      <c r="E915" s="294"/>
      <c r="F915" s="295" t="str">
        <f>IFERROR(__xludf.DUMMYFUNCTION("IF(B915="""","""",IFERROR(VLOOKUP(TO_TEXT(B915),PEDIDOS!D:I,6,0),IFERROR(VLOOKUP(B915*1,PEDIDOS!D:I,6,0),"" "")))"),"ENTREGUE")</f>
        <v>ENTREGUE</v>
      </c>
      <c r="G915" s="303"/>
      <c r="H915" s="304"/>
    </row>
    <row r="916">
      <c r="A916" s="302" t="s">
        <v>72</v>
      </c>
      <c r="B916" s="291" t="s">
        <v>3465</v>
      </c>
      <c r="C916" s="292" t="s">
        <v>48</v>
      </c>
      <c r="D916" s="293">
        <f t="shared" si="2"/>
        <v>1</v>
      </c>
      <c r="E916" s="294"/>
      <c r="F916" s="295" t="str">
        <f>IFERROR(__xludf.DUMMYFUNCTION("IF(B916="""","""",IFERROR(VLOOKUP(TO_TEXT(B916),PEDIDOS!D:I,6,0),IFERROR(VLOOKUP(B916*1,PEDIDOS!D:I,6,0),"" "")))"),"ENTREGUE")</f>
        <v>ENTREGUE</v>
      </c>
      <c r="G916" s="303"/>
      <c r="H916" s="304"/>
    </row>
    <row r="917">
      <c r="A917" s="302" t="s">
        <v>72</v>
      </c>
      <c r="B917" s="291" t="s">
        <v>4985</v>
      </c>
      <c r="C917" s="292" t="s">
        <v>48</v>
      </c>
      <c r="D917" s="293">
        <f t="shared" si="2"/>
        <v>1</v>
      </c>
      <c r="E917" s="294"/>
      <c r="F917" s="295" t="str">
        <f>IFERROR(__xludf.DUMMYFUNCTION("IF(B917="""","""",IFERROR(VLOOKUP(TO_TEXT(B917),PEDIDOS!D:I,6,0),IFERROR(VLOOKUP(B917*1,PEDIDOS!D:I,6,0),"" "")))"),"ENTREGUE")</f>
        <v>ENTREGUE</v>
      </c>
      <c r="G917" s="303"/>
      <c r="H917" s="304"/>
    </row>
    <row r="918">
      <c r="A918" s="302" t="s">
        <v>72</v>
      </c>
      <c r="B918" s="291" t="s">
        <v>5669</v>
      </c>
      <c r="C918" s="292" t="s">
        <v>48</v>
      </c>
      <c r="D918" s="293">
        <f t="shared" si="2"/>
        <v>1</v>
      </c>
      <c r="E918" s="294"/>
      <c r="F918" s="295" t="str">
        <f>IFERROR(__xludf.DUMMYFUNCTION("IF(B918="""","""",IFERROR(VLOOKUP(TO_TEXT(B918),PEDIDOS!D:I,6,0),IFERROR(VLOOKUP(B918*1,PEDIDOS!D:I,6,0),"" "")))"),"ENTREGUE")</f>
        <v>ENTREGUE</v>
      </c>
      <c r="G918" s="303"/>
      <c r="H918" s="304"/>
    </row>
    <row r="919">
      <c r="A919" s="302" t="s">
        <v>72</v>
      </c>
      <c r="B919" s="291" t="s">
        <v>6735</v>
      </c>
      <c r="C919" s="292" t="s">
        <v>48</v>
      </c>
      <c r="D919" s="293">
        <f t="shared" si="2"/>
        <v>1</v>
      </c>
      <c r="E919" s="294"/>
      <c r="F919" s="295" t="str">
        <f>IFERROR(__xludf.DUMMYFUNCTION("IF(B919="""","""",IFERROR(VLOOKUP(TO_TEXT(B919),PEDIDOS!D:I,6,0),IFERROR(VLOOKUP(B919*1,PEDIDOS!D:I,6,0),"" "")))"),"ENTREGUE")</f>
        <v>ENTREGUE</v>
      </c>
      <c r="G919" s="303"/>
      <c r="H919" s="304"/>
    </row>
    <row r="920">
      <c r="A920" s="302" t="s">
        <v>72</v>
      </c>
      <c r="B920" s="291" t="s">
        <v>4383</v>
      </c>
      <c r="C920" s="292" t="s">
        <v>48</v>
      </c>
      <c r="D920" s="293">
        <f t="shared" si="2"/>
        <v>1</v>
      </c>
      <c r="E920" s="294"/>
      <c r="F920" s="295" t="str">
        <f>IFERROR(__xludf.DUMMYFUNCTION("IF(B920="""","""",IFERROR(VLOOKUP(TO_TEXT(B920),PEDIDOS!D:I,6,0),IFERROR(VLOOKUP(B920*1,PEDIDOS!D:I,6,0),"" "")))"),"ENTREGUE")</f>
        <v>ENTREGUE</v>
      </c>
      <c r="G920" s="303"/>
      <c r="H920" s="304"/>
    </row>
    <row r="921">
      <c r="A921" s="302" t="s">
        <v>72</v>
      </c>
      <c r="B921" s="291" t="s">
        <v>4387</v>
      </c>
      <c r="C921" s="292" t="s">
        <v>48</v>
      </c>
      <c r="D921" s="293">
        <f t="shared" si="2"/>
        <v>1</v>
      </c>
      <c r="E921" s="294"/>
      <c r="F921" s="295" t="str">
        <f>IFERROR(__xludf.DUMMYFUNCTION("IF(B921="""","""",IFERROR(VLOOKUP(TO_TEXT(B921),PEDIDOS!D:I,6,0),IFERROR(VLOOKUP(B921*1,PEDIDOS!D:I,6,0),"" "")))"),"ENTREGUE")</f>
        <v>ENTREGUE</v>
      </c>
      <c r="G921" s="303"/>
      <c r="H921" s="304"/>
    </row>
    <row r="922">
      <c r="A922" s="302" t="s">
        <v>72</v>
      </c>
      <c r="B922" s="291" t="s">
        <v>5793</v>
      </c>
      <c r="C922" s="292" t="s">
        <v>48</v>
      </c>
      <c r="D922" s="293">
        <f t="shared" si="2"/>
        <v>1</v>
      </c>
      <c r="E922" s="294"/>
      <c r="F922" s="295" t="str">
        <f>IFERROR(__xludf.DUMMYFUNCTION("IF(B922="""","""",IFERROR(VLOOKUP(TO_TEXT(B922),PEDIDOS!D:I,6,0),IFERROR(VLOOKUP(B922*1,PEDIDOS!D:I,6,0),"" "")))"),"ENTREGUE")</f>
        <v>ENTREGUE</v>
      </c>
      <c r="G922" s="303"/>
      <c r="H922" s="304"/>
    </row>
    <row r="923">
      <c r="A923" s="302" t="s">
        <v>3441</v>
      </c>
      <c r="B923" s="291" t="s">
        <v>7234</v>
      </c>
      <c r="C923" s="292" t="s">
        <v>48</v>
      </c>
      <c r="D923" s="293">
        <f t="shared" si="2"/>
        <v>1</v>
      </c>
      <c r="E923" s="294"/>
      <c r="F923" s="295" t="str">
        <f>IFERROR(__xludf.DUMMYFUNCTION("IF(B923="""","""",IFERROR(VLOOKUP(TO_TEXT(B923),PEDIDOS!D:I,6,0),IFERROR(VLOOKUP(B923*1,PEDIDOS!D:I,6,0),"" "")))"),"ENTREGUE")</f>
        <v>ENTREGUE</v>
      </c>
      <c r="G923" s="303"/>
      <c r="H923" s="304"/>
    </row>
    <row r="924">
      <c r="A924" s="302" t="s">
        <v>3441</v>
      </c>
      <c r="B924" s="291" t="s">
        <v>5682</v>
      </c>
      <c r="C924" s="292" t="s">
        <v>48</v>
      </c>
      <c r="D924" s="293">
        <f t="shared" si="2"/>
        <v>1</v>
      </c>
      <c r="E924" s="294"/>
      <c r="F924" s="295" t="str">
        <f>IFERROR(__xludf.DUMMYFUNCTION("IF(B924="""","""",IFERROR(VLOOKUP(TO_TEXT(B924),PEDIDOS!D:I,6,0),IFERROR(VLOOKUP(B924*1,PEDIDOS!D:I,6,0),"" "")))"),"ENTREGUE")</f>
        <v>ENTREGUE</v>
      </c>
      <c r="G924" s="303"/>
      <c r="H924" s="304"/>
    </row>
    <row r="925">
      <c r="A925" s="302" t="s">
        <v>3441</v>
      </c>
      <c r="B925" s="291" t="s">
        <v>6162</v>
      </c>
      <c r="C925" s="292" t="s">
        <v>48</v>
      </c>
      <c r="D925" s="293">
        <f t="shared" si="2"/>
        <v>1</v>
      </c>
      <c r="E925" s="294"/>
      <c r="F925" s="295" t="str">
        <f>IFERROR(__xludf.DUMMYFUNCTION("IF(B925="""","""",IFERROR(VLOOKUP(TO_TEXT(B925),PEDIDOS!D:I,6,0),IFERROR(VLOOKUP(B925*1,PEDIDOS!D:I,6,0),"" "")))"),"ENTREGUE")</f>
        <v>ENTREGUE</v>
      </c>
      <c r="G925" s="303"/>
      <c r="H925" s="304"/>
    </row>
    <row r="926">
      <c r="A926" s="302" t="s">
        <v>3441</v>
      </c>
      <c r="B926" s="291" t="s">
        <v>3448</v>
      </c>
      <c r="C926" s="292" t="s">
        <v>48</v>
      </c>
      <c r="D926" s="293">
        <f t="shared" si="2"/>
        <v>1</v>
      </c>
      <c r="E926" s="294"/>
      <c r="F926" s="295" t="str">
        <f>IFERROR(__xludf.DUMMYFUNCTION("IF(B926="""","""",IFERROR(VLOOKUP(TO_TEXT(B926),PEDIDOS!D:I,6,0),IFERROR(VLOOKUP(B926*1,PEDIDOS!D:I,6,0),"" "")))"),"ENTREGUE")</f>
        <v>ENTREGUE</v>
      </c>
      <c r="G926" s="303"/>
      <c r="H926" s="304"/>
    </row>
    <row r="927">
      <c r="A927" s="302" t="s">
        <v>3441</v>
      </c>
      <c r="B927" s="291" t="s">
        <v>6002</v>
      </c>
      <c r="C927" s="292" t="s">
        <v>48</v>
      </c>
      <c r="D927" s="293">
        <f t="shared" si="2"/>
        <v>1</v>
      </c>
      <c r="E927" s="294"/>
      <c r="F927" s="295" t="str">
        <f>IFERROR(__xludf.DUMMYFUNCTION("IF(B927="""","""",IFERROR(VLOOKUP(TO_TEXT(B927),PEDIDOS!D:I,6,0),IFERROR(VLOOKUP(B927*1,PEDIDOS!D:I,6,0),"" "")))"),"ENTREGUE")</f>
        <v>ENTREGUE</v>
      </c>
      <c r="G927" s="303"/>
      <c r="H927" s="304"/>
    </row>
    <row r="928">
      <c r="A928" s="302" t="s">
        <v>3441</v>
      </c>
      <c r="B928" s="291" t="s">
        <v>6813</v>
      </c>
      <c r="C928" s="292" t="s">
        <v>48</v>
      </c>
      <c r="D928" s="293">
        <f t="shared" si="2"/>
        <v>1</v>
      </c>
      <c r="E928" s="294"/>
      <c r="F928" s="295" t="str">
        <f>IFERROR(__xludf.DUMMYFUNCTION("IF(B928="""","""",IFERROR(VLOOKUP(TO_TEXT(B928),PEDIDOS!D:I,6,0),IFERROR(VLOOKUP(B928*1,PEDIDOS!D:I,6,0),"" "")))"),"ENTREGUE")</f>
        <v>ENTREGUE</v>
      </c>
      <c r="G928" s="303"/>
      <c r="H928" s="304"/>
    </row>
    <row r="929">
      <c r="A929" s="302" t="s">
        <v>3441</v>
      </c>
      <c r="B929" s="291" t="s">
        <v>6335</v>
      </c>
      <c r="C929" s="292" t="s">
        <v>48</v>
      </c>
      <c r="D929" s="293">
        <f t="shared" si="2"/>
        <v>1</v>
      </c>
      <c r="E929" s="294"/>
      <c r="F929" s="295" t="str">
        <f>IFERROR(__xludf.DUMMYFUNCTION("IF(B929="""","""",IFERROR(VLOOKUP(TO_TEXT(B929),PEDIDOS!D:I,6,0),IFERROR(VLOOKUP(B929*1,PEDIDOS!D:I,6,0),"" "")))"),"ENTREGUE")</f>
        <v>ENTREGUE</v>
      </c>
      <c r="G929" s="303"/>
      <c r="H929" s="304"/>
    </row>
    <row r="930">
      <c r="A930" s="302" t="s">
        <v>3441</v>
      </c>
      <c r="B930" s="291" t="s">
        <v>4596</v>
      </c>
      <c r="C930" s="292" t="s">
        <v>48</v>
      </c>
      <c r="D930" s="293">
        <f t="shared" si="2"/>
        <v>1</v>
      </c>
      <c r="E930" s="294"/>
      <c r="F930" s="295" t="str">
        <f>IFERROR(__xludf.DUMMYFUNCTION("IF(B930="""","""",IFERROR(VLOOKUP(TO_TEXT(B930),PEDIDOS!D:I,6,0),IFERROR(VLOOKUP(B930*1,PEDIDOS!D:I,6,0),"" "")))"),"ENTREGUE")</f>
        <v>ENTREGUE</v>
      </c>
      <c r="G930" s="303"/>
      <c r="H930" s="304"/>
    </row>
    <row r="931">
      <c r="A931" s="302" t="s">
        <v>3441</v>
      </c>
      <c r="B931" s="291" t="s">
        <v>4030</v>
      </c>
      <c r="C931" s="292" t="s">
        <v>48</v>
      </c>
      <c r="D931" s="293">
        <f t="shared" si="2"/>
        <v>1</v>
      </c>
      <c r="E931" s="294"/>
      <c r="F931" s="295" t="str">
        <f>IFERROR(__xludf.DUMMYFUNCTION("IF(B931="""","""",IFERROR(VLOOKUP(TO_TEXT(B931),PEDIDOS!D:I,6,0),IFERROR(VLOOKUP(B931*1,PEDIDOS!D:I,6,0),"" "")))"),"ENTREGUE")</f>
        <v>ENTREGUE</v>
      </c>
      <c r="G931" s="303"/>
      <c r="H931" s="304"/>
    </row>
    <row r="932">
      <c r="A932" s="302" t="s">
        <v>3441</v>
      </c>
      <c r="B932" s="291" t="s">
        <v>4962</v>
      </c>
      <c r="C932" s="292" t="s">
        <v>48</v>
      </c>
      <c r="D932" s="293">
        <f t="shared" si="2"/>
        <v>1</v>
      </c>
      <c r="E932" s="294"/>
      <c r="F932" s="295" t="str">
        <f>IFERROR(__xludf.DUMMYFUNCTION("IF(B932="""","""",IFERROR(VLOOKUP(TO_TEXT(B932),PEDIDOS!D:I,6,0),IFERROR(VLOOKUP(B932*1,PEDIDOS!D:I,6,0),"" "")))"),"ENTREGUE")</f>
        <v>ENTREGUE</v>
      </c>
      <c r="G932" s="303"/>
      <c r="H932" s="304"/>
    </row>
    <row r="933">
      <c r="A933" s="302" t="s">
        <v>3441</v>
      </c>
      <c r="B933" s="291" t="s">
        <v>7237</v>
      </c>
      <c r="C933" s="292" t="s">
        <v>48</v>
      </c>
      <c r="D933" s="293">
        <f t="shared" si="2"/>
        <v>1</v>
      </c>
      <c r="E933" s="294"/>
      <c r="F933" s="295" t="str">
        <f>IFERROR(__xludf.DUMMYFUNCTION("IF(B933="""","""",IFERROR(VLOOKUP(TO_TEXT(B933),PEDIDOS!D:I,6,0),IFERROR(VLOOKUP(B933*1,PEDIDOS!D:I,6,0),"" "")))"),"ENTREGUE")</f>
        <v>ENTREGUE</v>
      </c>
      <c r="G933" s="303"/>
      <c r="H933" s="304"/>
    </row>
    <row r="934">
      <c r="A934" s="302" t="s">
        <v>3441</v>
      </c>
      <c r="B934" s="291" t="s">
        <v>4605</v>
      </c>
      <c r="C934" s="292" t="s">
        <v>48</v>
      </c>
      <c r="D934" s="293">
        <f t="shared" si="2"/>
        <v>1</v>
      </c>
      <c r="E934" s="294"/>
      <c r="F934" s="295" t="str">
        <f>IFERROR(__xludf.DUMMYFUNCTION("IF(B934="""","""",IFERROR(VLOOKUP(TO_TEXT(B934),PEDIDOS!D:I,6,0),IFERROR(VLOOKUP(B934*1,PEDIDOS!D:I,6,0),"" "")))"),"ENTREGUE")</f>
        <v>ENTREGUE</v>
      </c>
      <c r="G934" s="303"/>
      <c r="H934" s="304"/>
    </row>
    <row r="935">
      <c r="A935" s="302" t="s">
        <v>3441</v>
      </c>
      <c r="B935" s="291" t="s">
        <v>5119</v>
      </c>
      <c r="C935" s="292" t="s">
        <v>48</v>
      </c>
      <c r="D935" s="293">
        <f t="shared" si="2"/>
        <v>1</v>
      </c>
      <c r="E935" s="294"/>
      <c r="F935" s="295" t="str">
        <f>IFERROR(__xludf.DUMMYFUNCTION("IF(B935="""","""",IFERROR(VLOOKUP(TO_TEXT(B935),PEDIDOS!D:I,6,0),IFERROR(VLOOKUP(B935*1,PEDIDOS!D:I,6,0),"" "")))"),"ENTREGUE")</f>
        <v>ENTREGUE</v>
      </c>
      <c r="G935" s="303"/>
      <c r="H935" s="304"/>
    </row>
    <row r="936">
      <c r="A936" s="302" t="s">
        <v>3441</v>
      </c>
      <c r="B936" s="291" t="s">
        <v>5265</v>
      </c>
      <c r="C936" s="292" t="s">
        <v>48</v>
      </c>
      <c r="D936" s="293">
        <f t="shared" si="2"/>
        <v>1</v>
      </c>
      <c r="E936" s="294"/>
      <c r="F936" s="295" t="str">
        <f>IFERROR(__xludf.DUMMYFUNCTION("IF(B936="""","""",IFERROR(VLOOKUP(TO_TEXT(B936),PEDIDOS!D:I,6,0),IFERROR(VLOOKUP(B936*1,PEDIDOS!D:I,6,0),"" "")))"),"ENTREGUE")</f>
        <v>ENTREGUE</v>
      </c>
      <c r="G936" s="303"/>
      <c r="H936" s="304"/>
    </row>
    <row r="937">
      <c r="A937" s="302" t="s">
        <v>3441</v>
      </c>
      <c r="B937" s="291" t="s">
        <v>5960</v>
      </c>
      <c r="C937" s="292" t="s">
        <v>48</v>
      </c>
      <c r="D937" s="293">
        <f t="shared" si="2"/>
        <v>1</v>
      </c>
      <c r="E937" s="294"/>
      <c r="F937" s="295" t="str">
        <f>IFERROR(__xludf.DUMMYFUNCTION("IF(B937="""","""",IFERROR(VLOOKUP(TO_TEXT(B937),PEDIDOS!D:I,6,0),IFERROR(VLOOKUP(B937*1,PEDIDOS!D:I,6,0),"" "")))"),"ENTREGUE")</f>
        <v>ENTREGUE</v>
      </c>
      <c r="G937" s="303"/>
      <c r="H937" s="304"/>
    </row>
    <row r="938">
      <c r="A938" s="302" t="s">
        <v>3441</v>
      </c>
      <c r="B938" s="291" t="s">
        <v>4864</v>
      </c>
      <c r="C938" s="292" t="s">
        <v>48</v>
      </c>
      <c r="D938" s="293">
        <f t="shared" si="2"/>
        <v>1</v>
      </c>
      <c r="E938" s="294"/>
      <c r="F938" s="295" t="str">
        <f>IFERROR(__xludf.DUMMYFUNCTION("IF(B938="""","""",IFERROR(VLOOKUP(TO_TEXT(B938),PEDIDOS!D:I,6,0),IFERROR(VLOOKUP(B938*1,PEDIDOS!D:I,6,0),"" "")))"),"ENTREGUE")</f>
        <v>ENTREGUE</v>
      </c>
      <c r="G938" s="303"/>
      <c r="H938" s="304"/>
    </row>
    <row r="939">
      <c r="A939" s="302" t="s">
        <v>3441</v>
      </c>
      <c r="B939" s="291" t="s">
        <v>3445</v>
      </c>
      <c r="C939" s="292" t="s">
        <v>48</v>
      </c>
      <c r="D939" s="293">
        <f t="shared" si="2"/>
        <v>1</v>
      </c>
      <c r="E939" s="294"/>
      <c r="F939" s="295" t="str">
        <f>IFERROR(__xludf.DUMMYFUNCTION("IF(B939="""","""",IFERROR(VLOOKUP(TO_TEXT(B939),PEDIDOS!D:I,6,0),IFERROR(VLOOKUP(B939*1,PEDIDOS!D:I,6,0),"" "")))"),"ENTREGUE")</f>
        <v>ENTREGUE</v>
      </c>
      <c r="G939" s="303"/>
      <c r="H939" s="304"/>
    </row>
    <row r="940">
      <c r="A940" s="302" t="s">
        <v>3441</v>
      </c>
      <c r="B940" s="291" t="s">
        <v>6011</v>
      </c>
      <c r="C940" s="292" t="s">
        <v>48</v>
      </c>
      <c r="D940" s="293">
        <f t="shared" si="2"/>
        <v>1</v>
      </c>
      <c r="E940" s="294"/>
      <c r="F940" s="295" t="str">
        <f>IFERROR(__xludf.DUMMYFUNCTION("IF(B940="""","""",IFERROR(VLOOKUP(TO_TEXT(B940),PEDIDOS!D:I,6,0),IFERROR(VLOOKUP(B940*1,PEDIDOS!D:I,6,0),"" "")))"),"ENTREGUE")</f>
        <v>ENTREGUE</v>
      </c>
      <c r="G940" s="303"/>
      <c r="H940" s="304"/>
    </row>
    <row r="941">
      <c r="A941" s="302" t="s">
        <v>3441</v>
      </c>
      <c r="B941" s="291" t="s">
        <v>5297</v>
      </c>
      <c r="C941" s="292" t="s">
        <v>48</v>
      </c>
      <c r="D941" s="293">
        <f t="shared" si="2"/>
        <v>1</v>
      </c>
      <c r="E941" s="294"/>
      <c r="F941" s="295" t="str">
        <f>IFERROR(__xludf.DUMMYFUNCTION("IF(B941="""","""",IFERROR(VLOOKUP(TO_TEXT(B941),PEDIDOS!D:I,6,0),IFERROR(VLOOKUP(B941*1,PEDIDOS!D:I,6,0),"" "")))"),"ENTREGUE")</f>
        <v>ENTREGUE</v>
      </c>
      <c r="G941" s="303"/>
      <c r="H941" s="304"/>
    </row>
    <row r="942">
      <c r="A942" s="302" t="s">
        <v>3441</v>
      </c>
      <c r="B942" s="291" t="s">
        <v>6399</v>
      </c>
      <c r="C942" s="292" t="s">
        <v>48</v>
      </c>
      <c r="D942" s="293">
        <f t="shared" si="2"/>
        <v>1</v>
      </c>
      <c r="E942" s="294"/>
      <c r="F942" s="295" t="str">
        <f>IFERROR(__xludf.DUMMYFUNCTION("IF(B942="""","""",IFERROR(VLOOKUP(TO_TEXT(B942),PEDIDOS!D:I,6,0),IFERROR(VLOOKUP(B942*1,PEDIDOS!D:I,6,0),"" "")))"),"ENTREGUE")</f>
        <v>ENTREGUE</v>
      </c>
      <c r="G942" s="303"/>
      <c r="H942" s="304"/>
    </row>
    <row r="943">
      <c r="A943" s="302" t="s">
        <v>3441</v>
      </c>
      <c r="B943" s="291" t="s">
        <v>7168</v>
      </c>
      <c r="C943" s="292" t="s">
        <v>48</v>
      </c>
      <c r="D943" s="293">
        <f t="shared" si="2"/>
        <v>1</v>
      </c>
      <c r="E943" s="294"/>
      <c r="F943" s="295" t="str">
        <f>IFERROR(__xludf.DUMMYFUNCTION("IF(B943="""","""",IFERROR(VLOOKUP(TO_TEXT(B943),PEDIDOS!D:I,6,0),IFERROR(VLOOKUP(B943*1,PEDIDOS!D:I,6,0),"" "")))"),"ENTREGUE")</f>
        <v>ENTREGUE</v>
      </c>
      <c r="G943" s="303" t="s">
        <v>23348</v>
      </c>
      <c r="H943" s="304"/>
    </row>
    <row r="944">
      <c r="A944" s="302" t="s">
        <v>3441</v>
      </c>
      <c r="B944" s="291" t="s">
        <v>4722</v>
      </c>
      <c r="C944" s="292" t="s">
        <v>48</v>
      </c>
      <c r="D944" s="293">
        <f t="shared" si="2"/>
        <v>1</v>
      </c>
      <c r="E944" s="294"/>
      <c r="F944" s="295" t="str">
        <f>IFERROR(__xludf.DUMMYFUNCTION("IF(B944="""","""",IFERROR(VLOOKUP(TO_TEXT(B944),PEDIDOS!D:I,6,0),IFERROR(VLOOKUP(B944*1,PEDIDOS!D:I,6,0),"" "")))"),"ENTREGUE")</f>
        <v>ENTREGUE</v>
      </c>
      <c r="G944" s="303"/>
      <c r="H944" s="304"/>
    </row>
    <row r="945">
      <c r="A945" s="302" t="s">
        <v>3441</v>
      </c>
      <c r="B945" s="291" t="s">
        <v>6311</v>
      </c>
      <c r="C945" s="292" t="s">
        <v>48</v>
      </c>
      <c r="D945" s="293">
        <f t="shared" si="2"/>
        <v>1</v>
      </c>
      <c r="E945" s="294"/>
      <c r="F945" s="295" t="str">
        <f>IFERROR(__xludf.DUMMYFUNCTION("IF(B945="""","""",IFERROR(VLOOKUP(TO_TEXT(B945),PEDIDOS!D:I,6,0),IFERROR(VLOOKUP(B945*1,PEDIDOS!D:I,6,0),"" "")))"),"ENTREGUE")</f>
        <v>ENTREGUE</v>
      </c>
      <c r="G945" s="303"/>
      <c r="H945" s="304"/>
    </row>
    <row r="946">
      <c r="A946" s="302" t="s">
        <v>3441</v>
      </c>
      <c r="B946" s="291" t="s">
        <v>4992</v>
      </c>
      <c r="C946" s="292" t="s">
        <v>48</v>
      </c>
      <c r="D946" s="293">
        <f t="shared" si="2"/>
        <v>1</v>
      </c>
      <c r="E946" s="294"/>
      <c r="F946" s="295" t="str">
        <f>IFERROR(__xludf.DUMMYFUNCTION("IF(B946="""","""",IFERROR(VLOOKUP(TO_TEXT(B946),PEDIDOS!D:I,6,0),IFERROR(VLOOKUP(B946*1,PEDIDOS!D:I,6,0),"" "")))"),"ENTREGUE")</f>
        <v>ENTREGUE</v>
      </c>
      <c r="G946" s="303"/>
      <c r="H946" s="304"/>
    </row>
    <row r="947">
      <c r="A947" s="302" t="s">
        <v>3441</v>
      </c>
      <c r="B947" s="291" t="s">
        <v>6490</v>
      </c>
      <c r="C947" s="292" t="s">
        <v>48</v>
      </c>
      <c r="D947" s="293">
        <f t="shared" si="2"/>
        <v>1</v>
      </c>
      <c r="E947" s="294"/>
      <c r="F947" s="295" t="str">
        <f>IFERROR(__xludf.DUMMYFUNCTION("IF(B947="""","""",IFERROR(VLOOKUP(TO_TEXT(B947),PEDIDOS!D:I,6,0),IFERROR(VLOOKUP(B947*1,PEDIDOS!D:I,6,0),"" "")))"),"ENTREGUE")</f>
        <v>ENTREGUE</v>
      </c>
      <c r="G947" s="303"/>
      <c r="H947" s="304"/>
    </row>
    <row r="948">
      <c r="A948" s="302" t="s">
        <v>3441</v>
      </c>
      <c r="B948" s="291" t="s">
        <v>6208</v>
      </c>
      <c r="C948" s="292" t="s">
        <v>48</v>
      </c>
      <c r="D948" s="293">
        <f t="shared" si="2"/>
        <v>1</v>
      </c>
      <c r="E948" s="294"/>
      <c r="F948" s="295" t="str">
        <f>IFERROR(__xludf.DUMMYFUNCTION("IF(B948="""","""",IFERROR(VLOOKUP(TO_TEXT(B948),PEDIDOS!D:I,6,0),IFERROR(VLOOKUP(B948*1,PEDIDOS!D:I,6,0),"" "")))"),"ENTREGUE")</f>
        <v>ENTREGUE</v>
      </c>
      <c r="G948" s="303"/>
      <c r="H948" s="304"/>
    </row>
    <row r="949">
      <c r="A949" s="302" t="s">
        <v>3441</v>
      </c>
      <c r="B949" s="291" t="s">
        <v>6307</v>
      </c>
      <c r="C949" s="292" t="s">
        <v>48</v>
      </c>
      <c r="D949" s="293">
        <f t="shared" si="2"/>
        <v>1</v>
      </c>
      <c r="E949" s="294"/>
      <c r="F949" s="295" t="str">
        <f>IFERROR(__xludf.DUMMYFUNCTION("IF(B949="""","""",IFERROR(VLOOKUP(TO_TEXT(B949),PEDIDOS!D:I,6,0),IFERROR(VLOOKUP(B949*1,PEDIDOS!D:I,6,0),"" "")))"),"ENTREGUE")</f>
        <v>ENTREGUE</v>
      </c>
      <c r="G949" s="303"/>
      <c r="H949" s="304"/>
    </row>
    <row r="950">
      <c r="A950" s="302" t="s">
        <v>3441</v>
      </c>
      <c r="B950" s="291" t="s">
        <v>7001</v>
      </c>
      <c r="C950" s="292" t="s">
        <v>48</v>
      </c>
      <c r="D950" s="293">
        <f t="shared" si="2"/>
        <v>1</v>
      </c>
      <c r="E950" s="294"/>
      <c r="F950" s="295" t="str">
        <f>IFERROR(__xludf.DUMMYFUNCTION("IF(B950="""","""",IFERROR(VLOOKUP(TO_TEXT(B950),PEDIDOS!D:I,6,0),IFERROR(VLOOKUP(B950*1,PEDIDOS!D:I,6,0),"" "")))"),"ENTREGUE")</f>
        <v>ENTREGUE</v>
      </c>
      <c r="G950" s="303"/>
      <c r="H950" s="304"/>
    </row>
    <row r="951">
      <c r="A951" s="302" t="s">
        <v>3441</v>
      </c>
      <c r="B951" s="291" t="s">
        <v>5486</v>
      </c>
      <c r="C951" s="292" t="s">
        <v>48</v>
      </c>
      <c r="D951" s="293">
        <f t="shared" si="2"/>
        <v>1</v>
      </c>
      <c r="E951" s="294"/>
      <c r="F951" s="295" t="str">
        <f>IFERROR(__xludf.DUMMYFUNCTION("IF(B951="""","""",IFERROR(VLOOKUP(TO_TEXT(B951),PEDIDOS!D:I,6,0),IFERROR(VLOOKUP(B951*1,PEDIDOS!D:I,6,0),"" "")))"),"ENTREGUE")</f>
        <v>ENTREGUE</v>
      </c>
      <c r="G951" s="303"/>
      <c r="H951" s="304"/>
    </row>
    <row r="952">
      <c r="A952" s="302" t="s">
        <v>3441</v>
      </c>
      <c r="B952" s="291" t="s">
        <v>4192</v>
      </c>
      <c r="C952" s="292" t="s">
        <v>48</v>
      </c>
      <c r="D952" s="293">
        <f t="shared" si="2"/>
        <v>1</v>
      </c>
      <c r="E952" s="294"/>
      <c r="F952" s="295" t="str">
        <f>IFERROR(__xludf.DUMMYFUNCTION("IF(B952="""","""",IFERROR(VLOOKUP(TO_TEXT(B952),PEDIDOS!D:I,6,0),IFERROR(VLOOKUP(B952*1,PEDIDOS!D:I,6,0),"" "")))"),"ENTREGUE")</f>
        <v>ENTREGUE</v>
      </c>
      <c r="G952" s="303"/>
      <c r="H952" s="304"/>
    </row>
    <row r="953">
      <c r="A953" s="302" t="s">
        <v>3441</v>
      </c>
      <c r="B953" s="291" t="s">
        <v>6817</v>
      </c>
      <c r="C953" s="292" t="s">
        <v>48</v>
      </c>
      <c r="D953" s="293">
        <f t="shared" si="2"/>
        <v>1</v>
      </c>
      <c r="E953" s="294"/>
      <c r="F953" s="295" t="str">
        <f>IFERROR(__xludf.DUMMYFUNCTION("IF(B953="""","""",IFERROR(VLOOKUP(TO_TEXT(B953),PEDIDOS!D:I,6,0),IFERROR(VLOOKUP(B953*1,PEDIDOS!D:I,6,0),"" "")))"),"ENTREGUE")</f>
        <v>ENTREGUE</v>
      </c>
      <c r="G953" s="303"/>
      <c r="H953" s="304"/>
    </row>
    <row r="954">
      <c r="A954" s="302" t="s">
        <v>3441</v>
      </c>
      <c r="B954" s="291" t="s">
        <v>5293</v>
      </c>
      <c r="C954" s="292" t="s">
        <v>48</v>
      </c>
      <c r="D954" s="293">
        <f t="shared" si="2"/>
        <v>1</v>
      </c>
      <c r="E954" s="294"/>
      <c r="F954" s="295" t="str">
        <f>IFERROR(__xludf.DUMMYFUNCTION("IF(B954="""","""",IFERROR(VLOOKUP(TO_TEXT(B954),PEDIDOS!D:I,6,0),IFERROR(VLOOKUP(B954*1,PEDIDOS!D:I,6,0),"" "")))"),"ENTREGUE")</f>
        <v>ENTREGUE</v>
      </c>
      <c r="G954" s="303"/>
      <c r="H954" s="304"/>
    </row>
    <row r="955">
      <c r="A955" s="302" t="s">
        <v>3441</v>
      </c>
      <c r="B955" s="291" t="s">
        <v>9971</v>
      </c>
      <c r="C955" s="292" t="s">
        <v>48</v>
      </c>
      <c r="D955" s="293">
        <f t="shared" si="2"/>
        <v>1</v>
      </c>
      <c r="E955" s="294"/>
      <c r="F955" s="295" t="str">
        <f>IFERROR(__xludf.DUMMYFUNCTION("IF(B955="""","""",IFERROR(VLOOKUP(TO_TEXT(B955),PEDIDOS!D:I,6,0),IFERROR(VLOOKUP(B955*1,PEDIDOS!D:I,6,0),"" "")))"),"ENTREGUE")</f>
        <v>ENTREGUE</v>
      </c>
      <c r="G955" s="303"/>
      <c r="H955" s="304"/>
    </row>
    <row r="956">
      <c r="A956" s="302" t="s">
        <v>3441</v>
      </c>
      <c r="B956" s="291" t="s">
        <v>6436</v>
      </c>
      <c r="C956" s="292" t="s">
        <v>48</v>
      </c>
      <c r="D956" s="293">
        <f t="shared" si="2"/>
        <v>1</v>
      </c>
      <c r="E956" s="294"/>
      <c r="F956" s="295" t="str">
        <f>IFERROR(__xludf.DUMMYFUNCTION("IF(B956="""","""",IFERROR(VLOOKUP(TO_TEXT(B956),PEDIDOS!D:I,6,0),IFERROR(VLOOKUP(B956*1,PEDIDOS!D:I,6,0),"" "")))"),"ENTREGUE")</f>
        <v>ENTREGUE</v>
      </c>
      <c r="G956" s="303"/>
      <c r="H956" s="304"/>
    </row>
    <row r="957">
      <c r="A957" s="302" t="s">
        <v>3441</v>
      </c>
      <c r="B957" s="291" t="s">
        <v>6213</v>
      </c>
      <c r="C957" s="292" t="s">
        <v>48</v>
      </c>
      <c r="D957" s="293">
        <f t="shared" si="2"/>
        <v>1</v>
      </c>
      <c r="E957" s="294"/>
      <c r="F957" s="295" t="str">
        <f>IFERROR(__xludf.DUMMYFUNCTION("IF(B957="""","""",IFERROR(VLOOKUP(TO_TEXT(B957),PEDIDOS!D:I,6,0),IFERROR(VLOOKUP(B957*1,PEDIDOS!D:I,6,0),"" "")))"),"ENTREGUE")</f>
        <v>ENTREGUE</v>
      </c>
      <c r="G957" s="303"/>
      <c r="H957" s="304"/>
    </row>
    <row r="958">
      <c r="A958" s="302" t="s">
        <v>3441</v>
      </c>
      <c r="B958" s="291" t="s">
        <v>5882</v>
      </c>
      <c r="C958" s="292" t="s">
        <v>48</v>
      </c>
      <c r="D958" s="293">
        <f t="shared" si="2"/>
        <v>1</v>
      </c>
      <c r="E958" s="294"/>
      <c r="F958" s="295" t="str">
        <f>IFERROR(__xludf.DUMMYFUNCTION("IF(B958="""","""",IFERROR(VLOOKUP(TO_TEXT(B958),PEDIDOS!D:I,6,0),IFERROR(VLOOKUP(B958*1,PEDIDOS!D:I,6,0),"" "")))"),"ENTREGUE")</f>
        <v>ENTREGUE</v>
      </c>
      <c r="G958" s="303"/>
      <c r="H958" s="304"/>
    </row>
    <row r="959">
      <c r="A959" s="302" t="s">
        <v>3441</v>
      </c>
      <c r="B959" s="291" t="s">
        <v>6315</v>
      </c>
      <c r="C959" s="292" t="s">
        <v>48</v>
      </c>
      <c r="D959" s="293">
        <f t="shared" si="2"/>
        <v>1</v>
      </c>
      <c r="E959" s="294"/>
      <c r="F959" s="295" t="str">
        <f>IFERROR(__xludf.DUMMYFUNCTION("IF(B959="""","""",IFERROR(VLOOKUP(TO_TEXT(B959),PEDIDOS!D:I,6,0),IFERROR(VLOOKUP(B959*1,PEDIDOS!D:I,6,0),"" "")))"),"ENTREGUE")</f>
        <v>ENTREGUE</v>
      </c>
      <c r="G959" s="303"/>
      <c r="H959" s="304"/>
    </row>
    <row r="960">
      <c r="A960" s="302" t="s">
        <v>3441</v>
      </c>
      <c r="B960" s="291" t="s">
        <v>7225</v>
      </c>
      <c r="C960" s="292" t="s">
        <v>48</v>
      </c>
      <c r="D960" s="293">
        <f t="shared" si="2"/>
        <v>1</v>
      </c>
      <c r="E960" s="294"/>
      <c r="F960" s="295" t="str">
        <f>IFERROR(__xludf.DUMMYFUNCTION("IF(B960="""","""",IFERROR(VLOOKUP(TO_TEXT(B960),PEDIDOS!D:I,6,0),IFERROR(VLOOKUP(B960*1,PEDIDOS!D:I,6,0),"" "")))"),"ENTREGUE")</f>
        <v>ENTREGUE</v>
      </c>
      <c r="G960" s="303"/>
      <c r="H960" s="304"/>
    </row>
    <row r="961">
      <c r="A961" s="302" t="s">
        <v>3441</v>
      </c>
      <c r="B961" s="291" t="s">
        <v>5347</v>
      </c>
      <c r="C961" s="292" t="s">
        <v>48</v>
      </c>
      <c r="D961" s="293">
        <f t="shared" si="2"/>
        <v>1</v>
      </c>
      <c r="E961" s="294"/>
      <c r="F961" s="295" t="str">
        <f>IFERROR(__xludf.DUMMYFUNCTION("IF(B961="""","""",IFERROR(VLOOKUP(TO_TEXT(B961),PEDIDOS!D:I,6,0),IFERROR(VLOOKUP(B961*1,PEDIDOS!D:I,6,0),"" "")))"),"ENTREGUE")</f>
        <v>ENTREGUE</v>
      </c>
      <c r="G961" s="303"/>
      <c r="H961" s="304"/>
    </row>
    <row r="962">
      <c r="A962" s="302" t="s">
        <v>3441</v>
      </c>
      <c r="B962" s="291" t="s">
        <v>4868</v>
      </c>
      <c r="C962" s="292" t="s">
        <v>48</v>
      </c>
      <c r="D962" s="293">
        <f t="shared" si="2"/>
        <v>1</v>
      </c>
      <c r="E962" s="294"/>
      <c r="F962" s="295" t="str">
        <f>IFERROR(__xludf.DUMMYFUNCTION("IF(B962="""","""",IFERROR(VLOOKUP(TO_TEXT(B962),PEDIDOS!D:I,6,0),IFERROR(VLOOKUP(B962*1,PEDIDOS!D:I,6,0),"" "")))"),"ENTREGUE")</f>
        <v>ENTREGUE</v>
      </c>
      <c r="G962" s="303"/>
      <c r="H962" s="304"/>
    </row>
    <row r="963">
      <c r="A963" s="302" t="s">
        <v>3441</v>
      </c>
      <c r="B963" s="291" t="s">
        <v>4127</v>
      </c>
      <c r="C963" s="292" t="s">
        <v>48</v>
      </c>
      <c r="D963" s="293">
        <f t="shared" si="2"/>
        <v>1</v>
      </c>
      <c r="E963" s="294"/>
      <c r="F963" s="295" t="str">
        <f>IFERROR(__xludf.DUMMYFUNCTION("IF(B963="""","""",IFERROR(VLOOKUP(TO_TEXT(B963),PEDIDOS!D:I,6,0),IFERROR(VLOOKUP(B963*1,PEDIDOS!D:I,6,0),"" "")))"),"ENTREGUE")</f>
        <v>ENTREGUE</v>
      </c>
      <c r="G963" s="303"/>
      <c r="H963" s="304"/>
    </row>
    <row r="964">
      <c r="A964" s="302" t="s">
        <v>3441</v>
      </c>
      <c r="B964" s="291" t="s">
        <v>5596</v>
      </c>
      <c r="C964" s="292" t="s">
        <v>48</v>
      </c>
      <c r="D964" s="293">
        <f t="shared" si="2"/>
        <v>1</v>
      </c>
      <c r="E964" s="294"/>
      <c r="F964" s="295" t="str">
        <f>IFERROR(__xludf.DUMMYFUNCTION("IF(B964="""","""",IFERROR(VLOOKUP(TO_TEXT(B964),PEDIDOS!D:I,6,0),IFERROR(VLOOKUP(B964*1,PEDIDOS!D:I,6,0),"" "")))"),"ENTREGUE")</f>
        <v>ENTREGUE</v>
      </c>
      <c r="G964" s="303"/>
      <c r="H964" s="304"/>
    </row>
    <row r="965">
      <c r="A965" s="302" t="s">
        <v>3441</v>
      </c>
      <c r="B965" s="291" t="s">
        <v>5288</v>
      </c>
      <c r="C965" s="292" t="s">
        <v>48</v>
      </c>
      <c r="D965" s="293">
        <f t="shared" si="2"/>
        <v>1</v>
      </c>
      <c r="E965" s="294"/>
      <c r="F965" s="295" t="str">
        <f>IFERROR(__xludf.DUMMYFUNCTION("IF(B965="""","""",IFERROR(VLOOKUP(TO_TEXT(B965),PEDIDOS!D:I,6,0),IFERROR(VLOOKUP(B965*1,PEDIDOS!D:I,6,0),"" "")))"),"ENTREGUE")</f>
        <v>ENTREGUE</v>
      </c>
      <c r="G965" s="303"/>
      <c r="H965" s="304"/>
    </row>
    <row r="966">
      <c r="A966" s="302" t="s">
        <v>3441</v>
      </c>
      <c r="B966" s="291" t="s">
        <v>7004</v>
      </c>
      <c r="C966" s="292" t="s">
        <v>48</v>
      </c>
      <c r="D966" s="293">
        <f t="shared" si="2"/>
        <v>1</v>
      </c>
      <c r="E966" s="294"/>
      <c r="F966" s="295" t="str">
        <f>IFERROR(__xludf.DUMMYFUNCTION("IF(B966="""","""",IFERROR(VLOOKUP(TO_TEXT(B966),PEDIDOS!D:I,6,0),IFERROR(VLOOKUP(B966*1,PEDIDOS!D:I,6,0),"" "")))"),"ENTREGUE")</f>
        <v>ENTREGUE</v>
      </c>
      <c r="G966" s="303"/>
      <c r="H966" s="304"/>
    </row>
    <row r="967">
      <c r="A967" s="302" t="s">
        <v>3441</v>
      </c>
      <c r="B967" s="291" t="s">
        <v>5503</v>
      </c>
      <c r="C967" s="292" t="s">
        <v>48</v>
      </c>
      <c r="D967" s="293">
        <f t="shared" si="2"/>
        <v>1</v>
      </c>
      <c r="E967" s="294"/>
      <c r="F967" s="295" t="str">
        <f>IFERROR(__xludf.DUMMYFUNCTION("IF(B967="""","""",IFERROR(VLOOKUP(TO_TEXT(B967),PEDIDOS!D:I,6,0),IFERROR(VLOOKUP(B967*1,PEDIDOS!D:I,6,0),"" "")))"),"ENTREGUE")</f>
        <v>ENTREGUE</v>
      </c>
      <c r="G967" s="303"/>
      <c r="H967" s="304"/>
    </row>
    <row r="968">
      <c r="A968" s="302" t="s">
        <v>3441</v>
      </c>
      <c r="B968" s="291" t="s">
        <v>7123</v>
      </c>
      <c r="C968" s="292" t="s">
        <v>48</v>
      </c>
      <c r="D968" s="293">
        <f t="shared" si="2"/>
        <v>1</v>
      </c>
      <c r="E968" s="294"/>
      <c r="F968" s="295" t="str">
        <f>IFERROR(__xludf.DUMMYFUNCTION("IF(B968="""","""",IFERROR(VLOOKUP(TO_TEXT(B968),PEDIDOS!D:I,6,0),IFERROR(VLOOKUP(B968*1,PEDIDOS!D:I,6,0),"" "")))"),"ENTREGUE")</f>
        <v>ENTREGUE</v>
      </c>
      <c r="G968" s="303"/>
      <c r="H968" s="304"/>
    </row>
    <row r="969">
      <c r="A969" s="302" t="s">
        <v>3441</v>
      </c>
      <c r="B969" s="291" t="s">
        <v>4361</v>
      </c>
      <c r="C969" s="292" t="s">
        <v>48</v>
      </c>
      <c r="D969" s="293">
        <f t="shared" si="2"/>
        <v>1</v>
      </c>
      <c r="E969" s="294"/>
      <c r="F969" s="295" t="str">
        <f>IFERROR(__xludf.DUMMYFUNCTION("IF(B969="""","""",IFERROR(VLOOKUP(TO_TEXT(B969),PEDIDOS!D:I,6,0),IFERROR(VLOOKUP(B969*1,PEDIDOS!D:I,6,0),"" "")))"),"ENTREGUE")</f>
        <v>ENTREGUE</v>
      </c>
      <c r="G969" s="303"/>
      <c r="H969" s="304"/>
    </row>
    <row r="970">
      <c r="A970" s="302" t="s">
        <v>3441</v>
      </c>
      <c r="B970" s="291" t="s">
        <v>7164</v>
      </c>
      <c r="C970" s="292" t="s">
        <v>48</v>
      </c>
      <c r="D970" s="293">
        <f t="shared" si="2"/>
        <v>1</v>
      </c>
      <c r="E970" s="294"/>
      <c r="F970" s="295" t="str">
        <f>IFERROR(__xludf.DUMMYFUNCTION("IF(B970="""","""",IFERROR(VLOOKUP(TO_TEXT(B970),PEDIDOS!D:I,6,0),IFERROR(VLOOKUP(B970*1,PEDIDOS!D:I,6,0),"" "")))"),"ENTREGUE")</f>
        <v>ENTREGUE</v>
      </c>
      <c r="G970" s="303"/>
      <c r="H970" s="304"/>
    </row>
    <row r="971">
      <c r="A971" s="302" t="s">
        <v>3441</v>
      </c>
      <c r="B971" s="291" t="s">
        <v>5060</v>
      </c>
      <c r="C971" s="292" t="s">
        <v>48</v>
      </c>
      <c r="D971" s="293">
        <f t="shared" si="2"/>
        <v>1</v>
      </c>
      <c r="E971" s="294"/>
      <c r="F971" s="295" t="str">
        <f>IFERROR(__xludf.DUMMYFUNCTION("IF(B971="""","""",IFERROR(VLOOKUP(TO_TEXT(B971),PEDIDOS!D:I,6,0),IFERROR(VLOOKUP(B971*1,PEDIDOS!D:I,6,0),"" "")))"),"ENTREGUE")</f>
        <v>ENTREGUE</v>
      </c>
      <c r="G971" s="303"/>
      <c r="H971" s="304"/>
    </row>
    <row r="972">
      <c r="A972" s="302" t="s">
        <v>3441</v>
      </c>
      <c r="B972" s="291" t="s">
        <v>6495</v>
      </c>
      <c r="C972" s="292" t="s">
        <v>48</v>
      </c>
      <c r="D972" s="293">
        <f t="shared" si="2"/>
        <v>1</v>
      </c>
      <c r="E972" s="294"/>
      <c r="F972" s="295" t="str">
        <f>IFERROR(__xludf.DUMMYFUNCTION("IF(B972="""","""",IFERROR(VLOOKUP(TO_TEXT(B972),PEDIDOS!D:I,6,0),IFERROR(VLOOKUP(B972*1,PEDIDOS!D:I,6,0),"" "")))"),"ENTREGUE")</f>
        <v>ENTREGUE</v>
      </c>
      <c r="G972" s="303"/>
      <c r="H972" s="304"/>
    </row>
    <row r="973">
      <c r="A973" s="302" t="s">
        <v>3441</v>
      </c>
      <c r="B973" s="291" t="s">
        <v>3440</v>
      </c>
      <c r="C973" s="292" t="s">
        <v>48</v>
      </c>
      <c r="D973" s="293">
        <f t="shared" si="2"/>
        <v>1</v>
      </c>
      <c r="E973" s="294"/>
      <c r="F973" s="295" t="str">
        <f>IFERROR(__xludf.DUMMYFUNCTION("IF(B973="""","""",IFERROR(VLOOKUP(TO_TEXT(B973),PEDIDOS!D:I,6,0),IFERROR(VLOOKUP(B973*1,PEDIDOS!D:I,6,0),"" "")))"),"ENTREGUE")</f>
        <v>ENTREGUE</v>
      </c>
      <c r="G973" s="303"/>
      <c r="H973" s="304"/>
    </row>
    <row r="974">
      <c r="A974" s="302" t="s">
        <v>3441</v>
      </c>
      <c r="B974" s="291" t="s">
        <v>4876</v>
      </c>
      <c r="C974" s="292" t="s">
        <v>48</v>
      </c>
      <c r="D974" s="293">
        <f t="shared" si="2"/>
        <v>1</v>
      </c>
      <c r="E974" s="294"/>
      <c r="F974" s="295" t="str">
        <f>IFERROR(__xludf.DUMMYFUNCTION("IF(B974="""","""",IFERROR(VLOOKUP(TO_TEXT(B974),PEDIDOS!D:I,6,0),IFERROR(VLOOKUP(B974*1,PEDIDOS!D:I,6,0),"" "")))"),"ENTREGUE")</f>
        <v>ENTREGUE</v>
      </c>
      <c r="G974" s="303"/>
      <c r="H974" s="304"/>
    </row>
    <row r="975">
      <c r="A975" s="302" t="s">
        <v>3441</v>
      </c>
      <c r="B975" s="291" t="s">
        <v>5929</v>
      </c>
      <c r="C975" s="292" t="s">
        <v>48</v>
      </c>
      <c r="D975" s="293">
        <f t="shared" si="2"/>
        <v>1</v>
      </c>
      <c r="E975" s="294"/>
      <c r="F975" s="295" t="str">
        <f>IFERROR(__xludf.DUMMYFUNCTION("IF(B975="""","""",IFERROR(VLOOKUP(TO_TEXT(B975),PEDIDOS!D:I,6,0),IFERROR(VLOOKUP(B975*1,PEDIDOS!D:I,6,0),"" "")))"),"ENTREGUE")</f>
        <v>ENTREGUE</v>
      </c>
      <c r="G975" s="303"/>
      <c r="H975" s="304"/>
    </row>
    <row r="976">
      <c r="A976" s="302" t="s">
        <v>3441</v>
      </c>
      <c r="B976" s="291" t="s">
        <v>4995</v>
      </c>
      <c r="C976" s="292" t="s">
        <v>48</v>
      </c>
      <c r="D976" s="293">
        <f t="shared" si="2"/>
        <v>1</v>
      </c>
      <c r="E976" s="294"/>
      <c r="F976" s="295" t="str">
        <f>IFERROR(__xludf.DUMMYFUNCTION("IF(B976="""","""",IFERROR(VLOOKUP(TO_TEXT(B976),PEDIDOS!D:I,6,0),IFERROR(VLOOKUP(B976*1,PEDIDOS!D:I,6,0),"" "")))"),"ENTREGUE")</f>
        <v>ENTREGUE</v>
      </c>
      <c r="G976" s="303"/>
      <c r="H976" s="304"/>
    </row>
    <row r="977">
      <c r="A977" s="302" t="s">
        <v>85</v>
      </c>
      <c r="B977" s="291" t="s">
        <v>8214</v>
      </c>
      <c r="C977" s="292" t="s">
        <v>48</v>
      </c>
      <c r="D977" s="293">
        <f t="shared" si="2"/>
        <v>1</v>
      </c>
      <c r="E977" s="294"/>
      <c r="F977" s="295" t="str">
        <f>IFERROR(__xludf.DUMMYFUNCTION("IF(B977="""","""",IFERROR(VLOOKUP(TO_TEXT(B977),PEDIDOS!D:I,6,0),IFERROR(VLOOKUP(B977*1,PEDIDOS!D:I,6,0),"" "")))"),"ENTREGUE")</f>
        <v>ENTREGUE</v>
      </c>
      <c r="G977" s="303"/>
      <c r="H977" s="304"/>
    </row>
    <row r="978">
      <c r="A978" s="302" t="s">
        <v>85</v>
      </c>
      <c r="B978" s="291" t="s">
        <v>8263</v>
      </c>
      <c r="C978" s="292" t="s">
        <v>48</v>
      </c>
      <c r="D978" s="293">
        <f t="shared" si="2"/>
        <v>1</v>
      </c>
      <c r="E978" s="294"/>
      <c r="F978" s="295" t="str">
        <f>IFERROR(__xludf.DUMMYFUNCTION("IF(B978="""","""",IFERROR(VLOOKUP(TO_TEXT(B978),PEDIDOS!D:I,6,0),IFERROR(VLOOKUP(B978*1,PEDIDOS!D:I,6,0),"" "")))"),"ENTREGUE")</f>
        <v>ENTREGUE</v>
      </c>
      <c r="G978" s="303"/>
      <c r="H978" s="304"/>
    </row>
    <row r="979">
      <c r="A979" s="302" t="s">
        <v>85</v>
      </c>
      <c r="B979" s="291" t="s">
        <v>8406</v>
      </c>
      <c r="C979" s="292" t="s">
        <v>48</v>
      </c>
      <c r="D979" s="293">
        <f t="shared" si="2"/>
        <v>1</v>
      </c>
      <c r="E979" s="294"/>
      <c r="F979" s="295" t="str">
        <f>IFERROR(__xludf.DUMMYFUNCTION("IF(B979="""","""",IFERROR(VLOOKUP(TO_TEXT(B979),PEDIDOS!D:I,6,0),IFERROR(VLOOKUP(B979*1,PEDIDOS!D:I,6,0),"" "")))"),"ENTREGUE")</f>
        <v>ENTREGUE</v>
      </c>
      <c r="G979" s="303"/>
      <c r="H979" s="304"/>
    </row>
    <row r="980">
      <c r="A980" s="302" t="s">
        <v>85</v>
      </c>
      <c r="B980" s="291" t="s">
        <v>7709</v>
      </c>
      <c r="C980" s="292" t="s">
        <v>48</v>
      </c>
      <c r="D980" s="293">
        <f t="shared" si="2"/>
        <v>1</v>
      </c>
      <c r="E980" s="294"/>
      <c r="F980" s="295" t="str">
        <f>IFERROR(__xludf.DUMMYFUNCTION("IF(B980="""","""",IFERROR(VLOOKUP(TO_TEXT(B980),PEDIDOS!D:I,6,0),IFERROR(VLOOKUP(B980*1,PEDIDOS!D:I,6,0),"" "")))"),"ENTREGUE")</f>
        <v>ENTREGUE</v>
      </c>
      <c r="G980" s="303"/>
      <c r="H980" s="304"/>
    </row>
    <row r="981">
      <c r="A981" s="302" t="s">
        <v>85</v>
      </c>
      <c r="B981" s="291" t="s">
        <v>8395</v>
      </c>
      <c r="C981" s="292" t="s">
        <v>48</v>
      </c>
      <c r="D981" s="293">
        <f t="shared" si="2"/>
        <v>1</v>
      </c>
      <c r="E981" s="294"/>
      <c r="F981" s="295" t="str">
        <f>IFERROR(__xludf.DUMMYFUNCTION("IF(B981="""","""",IFERROR(VLOOKUP(TO_TEXT(B981),PEDIDOS!D:I,6,0),IFERROR(VLOOKUP(B981*1,PEDIDOS!D:I,6,0),"" "")))"),"ENTREGUE")</f>
        <v>ENTREGUE</v>
      </c>
      <c r="G981" s="303"/>
      <c r="H981" s="304"/>
    </row>
    <row r="982">
      <c r="A982" s="302" t="s">
        <v>85</v>
      </c>
      <c r="B982" s="291" t="s">
        <v>7626</v>
      </c>
      <c r="C982" s="292" t="s">
        <v>48</v>
      </c>
      <c r="D982" s="293">
        <f t="shared" si="2"/>
        <v>1</v>
      </c>
      <c r="E982" s="294"/>
      <c r="F982" s="295" t="str">
        <f>IFERROR(__xludf.DUMMYFUNCTION("IF(B982="""","""",IFERROR(VLOOKUP(TO_TEXT(B982),PEDIDOS!D:I,6,0),IFERROR(VLOOKUP(B982*1,PEDIDOS!D:I,6,0),"" "")))"),"ENTREGUE")</f>
        <v>ENTREGUE</v>
      </c>
      <c r="G982" s="303"/>
      <c r="H982" s="304"/>
    </row>
    <row r="983">
      <c r="A983" s="302" t="s">
        <v>85</v>
      </c>
      <c r="B983" s="291" t="s">
        <v>7765</v>
      </c>
      <c r="C983" s="292" t="s">
        <v>48</v>
      </c>
      <c r="D983" s="293">
        <f t="shared" si="2"/>
        <v>1</v>
      </c>
      <c r="E983" s="294"/>
      <c r="F983" s="295" t="str">
        <f>IFERROR(__xludf.DUMMYFUNCTION("IF(B983="""","""",IFERROR(VLOOKUP(TO_TEXT(B983),PEDIDOS!D:I,6,0),IFERROR(VLOOKUP(B983*1,PEDIDOS!D:I,6,0),"" "")))"),"ENTREGUE")</f>
        <v>ENTREGUE</v>
      </c>
      <c r="G983" s="303"/>
      <c r="H983" s="304"/>
    </row>
    <row r="984">
      <c r="A984" s="302" t="s">
        <v>85</v>
      </c>
      <c r="B984" s="291" t="s">
        <v>7761</v>
      </c>
      <c r="C984" s="292" t="s">
        <v>48</v>
      </c>
      <c r="D984" s="293">
        <f t="shared" si="2"/>
        <v>1</v>
      </c>
      <c r="E984" s="294"/>
      <c r="F984" s="295" t="str">
        <f>IFERROR(__xludf.DUMMYFUNCTION("IF(B984="""","""",IFERROR(VLOOKUP(TO_TEXT(B984),PEDIDOS!D:I,6,0),IFERROR(VLOOKUP(B984*1,PEDIDOS!D:I,6,0),"" "")))"),"ENTREGUE")</f>
        <v>ENTREGUE</v>
      </c>
      <c r="G984" s="303"/>
      <c r="H984" s="304"/>
    </row>
    <row r="985">
      <c r="A985" s="302" t="s">
        <v>85</v>
      </c>
      <c r="B985" s="291" t="s">
        <v>8392</v>
      </c>
      <c r="C985" s="292" t="s">
        <v>48</v>
      </c>
      <c r="D985" s="293">
        <f t="shared" si="2"/>
        <v>1</v>
      </c>
      <c r="E985" s="294"/>
      <c r="F985" s="295" t="str">
        <f>IFERROR(__xludf.DUMMYFUNCTION("IF(B985="""","""",IFERROR(VLOOKUP(TO_TEXT(B985),PEDIDOS!D:I,6,0),IFERROR(VLOOKUP(B985*1,PEDIDOS!D:I,6,0),"" "")))"),"ENTREGUE")</f>
        <v>ENTREGUE</v>
      </c>
      <c r="G985" s="303"/>
      <c r="H985" s="304"/>
    </row>
    <row r="986">
      <c r="A986" s="302" t="s">
        <v>85</v>
      </c>
      <c r="B986" s="291" t="s">
        <v>10056</v>
      </c>
      <c r="C986" s="292" t="s">
        <v>48</v>
      </c>
      <c r="D986" s="293">
        <f t="shared" si="2"/>
        <v>1</v>
      </c>
      <c r="E986" s="294"/>
      <c r="F986" s="295" t="str">
        <f>IFERROR(__xludf.DUMMYFUNCTION("IF(B986="""","""",IFERROR(VLOOKUP(TO_TEXT(B986),PEDIDOS!D:I,6,0),IFERROR(VLOOKUP(B986*1,PEDIDOS!D:I,6,0),"" "")))"),"ENTREGUE")</f>
        <v>ENTREGUE</v>
      </c>
      <c r="G986" s="303"/>
      <c r="H986" s="304"/>
    </row>
    <row r="987">
      <c r="A987" s="302" t="s">
        <v>85</v>
      </c>
      <c r="B987" s="291" t="s">
        <v>7972</v>
      </c>
      <c r="C987" s="292" t="s">
        <v>48</v>
      </c>
      <c r="D987" s="293">
        <f t="shared" si="2"/>
        <v>1</v>
      </c>
      <c r="E987" s="294"/>
      <c r="F987" s="295" t="str">
        <f>IFERROR(__xludf.DUMMYFUNCTION("IF(B987="""","""",IFERROR(VLOOKUP(TO_TEXT(B987),PEDIDOS!D:I,6,0),IFERROR(VLOOKUP(B987*1,PEDIDOS!D:I,6,0),"" "")))"),"ENTREGUE")</f>
        <v>ENTREGUE</v>
      </c>
      <c r="G987" s="303"/>
      <c r="H987" s="304"/>
    </row>
    <row r="988">
      <c r="A988" s="302" t="s">
        <v>85</v>
      </c>
      <c r="B988" s="291" t="s">
        <v>7605</v>
      </c>
      <c r="C988" s="292" t="s">
        <v>48</v>
      </c>
      <c r="D988" s="293">
        <f t="shared" si="2"/>
        <v>1</v>
      </c>
      <c r="E988" s="294"/>
      <c r="F988" s="295" t="str">
        <f>IFERROR(__xludf.DUMMYFUNCTION("IF(B988="""","""",IFERROR(VLOOKUP(TO_TEXT(B988),PEDIDOS!D:I,6,0),IFERROR(VLOOKUP(B988*1,PEDIDOS!D:I,6,0),"" "")))"),"ENTREGUE")</f>
        <v>ENTREGUE</v>
      </c>
      <c r="G988" s="303"/>
      <c r="H988" s="304"/>
    </row>
    <row r="989">
      <c r="A989" s="302" t="s">
        <v>85</v>
      </c>
      <c r="B989" s="291" t="s">
        <v>7914</v>
      </c>
      <c r="C989" s="292" t="s">
        <v>48</v>
      </c>
      <c r="D989" s="293">
        <f t="shared" si="2"/>
        <v>1</v>
      </c>
      <c r="E989" s="294"/>
      <c r="F989" s="295" t="str">
        <f>IFERROR(__xludf.DUMMYFUNCTION("IF(B989="""","""",IFERROR(VLOOKUP(TO_TEXT(B989),PEDIDOS!D:I,6,0),IFERROR(VLOOKUP(B989*1,PEDIDOS!D:I,6,0),"" "")))"),"ENTREGUE")</f>
        <v>ENTREGUE</v>
      </c>
      <c r="G989" s="303"/>
      <c r="H989" s="304"/>
    </row>
    <row r="990">
      <c r="A990" s="302" t="s">
        <v>85</v>
      </c>
      <c r="B990" s="291" t="s">
        <v>7646</v>
      </c>
      <c r="C990" s="292" t="s">
        <v>48</v>
      </c>
      <c r="D990" s="293">
        <f t="shared" si="2"/>
        <v>1</v>
      </c>
      <c r="E990" s="294"/>
      <c r="F990" s="295" t="str">
        <f>IFERROR(__xludf.DUMMYFUNCTION("IF(B990="""","""",IFERROR(VLOOKUP(TO_TEXT(B990),PEDIDOS!D:I,6,0),IFERROR(VLOOKUP(B990*1,PEDIDOS!D:I,6,0),"" "")))"),"ENTREGUE")</f>
        <v>ENTREGUE</v>
      </c>
      <c r="G990" s="303"/>
      <c r="H990" s="304"/>
    </row>
    <row r="991">
      <c r="A991" s="302" t="s">
        <v>85</v>
      </c>
      <c r="B991" s="291" t="s">
        <v>8683</v>
      </c>
      <c r="C991" s="292" t="s">
        <v>48</v>
      </c>
      <c r="D991" s="293">
        <f t="shared" si="2"/>
        <v>1</v>
      </c>
      <c r="E991" s="294"/>
      <c r="F991" s="295" t="str">
        <f>IFERROR(__xludf.DUMMYFUNCTION("IF(B991="""","""",IFERROR(VLOOKUP(TO_TEXT(B991),PEDIDOS!D:I,6,0),IFERROR(VLOOKUP(B991*1,PEDIDOS!D:I,6,0),"" "")))"),"ENTREGUE")</f>
        <v>ENTREGUE</v>
      </c>
      <c r="G991" s="303"/>
      <c r="H991" s="304"/>
    </row>
    <row r="992">
      <c r="A992" s="302" t="s">
        <v>85</v>
      </c>
      <c r="B992" s="291" t="s">
        <v>7727</v>
      </c>
      <c r="C992" s="292" t="s">
        <v>48</v>
      </c>
      <c r="D992" s="293">
        <f t="shared" si="2"/>
        <v>1</v>
      </c>
      <c r="E992" s="294"/>
      <c r="F992" s="295" t="str">
        <f>IFERROR(__xludf.DUMMYFUNCTION("IF(B992="""","""",IFERROR(VLOOKUP(TO_TEXT(B992),PEDIDOS!D:I,6,0),IFERROR(VLOOKUP(B992*1,PEDIDOS!D:I,6,0),"" "")))"),"ENTREGUE")</f>
        <v>ENTREGUE</v>
      </c>
      <c r="G992" s="303"/>
      <c r="H992" s="304"/>
    </row>
    <row r="993">
      <c r="A993" s="302" t="s">
        <v>85</v>
      </c>
      <c r="B993" s="291" t="s">
        <v>8000</v>
      </c>
      <c r="C993" s="292" t="s">
        <v>48</v>
      </c>
      <c r="D993" s="293">
        <f t="shared" si="2"/>
        <v>1</v>
      </c>
      <c r="E993" s="294"/>
      <c r="F993" s="295" t="str">
        <f>IFERROR(__xludf.DUMMYFUNCTION("IF(B993="""","""",IFERROR(VLOOKUP(TO_TEXT(B993),PEDIDOS!D:I,6,0),IFERROR(VLOOKUP(B993*1,PEDIDOS!D:I,6,0),"" "")))"),"ENTREGUE")</f>
        <v>ENTREGUE</v>
      </c>
      <c r="G993" s="303"/>
      <c r="H993" s="304"/>
    </row>
    <row r="994">
      <c r="A994" s="302" t="s">
        <v>85</v>
      </c>
      <c r="B994" s="291" t="s">
        <v>7045</v>
      </c>
      <c r="C994" s="292" t="s">
        <v>48</v>
      </c>
      <c r="D994" s="293">
        <f t="shared" si="2"/>
        <v>1</v>
      </c>
      <c r="E994" s="294"/>
      <c r="F994" s="295" t="str">
        <f>IFERROR(__xludf.DUMMYFUNCTION("IF(B994="""","""",IFERROR(VLOOKUP(TO_TEXT(B994),PEDIDOS!D:I,6,0),IFERROR(VLOOKUP(B994*1,PEDIDOS!D:I,6,0),"" "")))"),"ENTREGUE")</f>
        <v>ENTREGUE</v>
      </c>
      <c r="G994" s="303"/>
      <c r="H994" s="304"/>
    </row>
    <row r="995">
      <c r="A995" s="302" t="s">
        <v>85</v>
      </c>
      <c r="B995" s="291" t="s">
        <v>7623</v>
      </c>
      <c r="C995" s="292" t="s">
        <v>48</v>
      </c>
      <c r="D995" s="293">
        <f t="shared" si="2"/>
        <v>1</v>
      </c>
      <c r="E995" s="294"/>
      <c r="F995" s="295" t="str">
        <f>IFERROR(__xludf.DUMMYFUNCTION("IF(B995="""","""",IFERROR(VLOOKUP(TO_TEXT(B995),PEDIDOS!D:I,6,0),IFERROR(VLOOKUP(B995*1,PEDIDOS!D:I,6,0),"" "")))"),"ENTREGUE")</f>
        <v>ENTREGUE</v>
      </c>
      <c r="G995" s="303"/>
      <c r="H995" s="304"/>
    </row>
    <row r="996">
      <c r="A996" s="302" t="s">
        <v>85</v>
      </c>
      <c r="B996" s="291" t="s">
        <v>9213</v>
      </c>
      <c r="C996" s="292" t="s">
        <v>48</v>
      </c>
      <c r="D996" s="293">
        <f t="shared" si="2"/>
        <v>1</v>
      </c>
      <c r="E996" s="294"/>
      <c r="F996" s="295" t="str">
        <f>IFERROR(__xludf.DUMMYFUNCTION("IF(B996="""","""",IFERROR(VLOOKUP(TO_TEXT(B996),PEDIDOS!D:I,6,0),IFERROR(VLOOKUP(B996*1,PEDIDOS!D:I,6,0),"" "")))"),"ENTREGUE")</f>
        <v>ENTREGUE</v>
      </c>
      <c r="G996" s="303"/>
      <c r="H996" s="304"/>
    </row>
    <row r="997">
      <c r="A997" s="302" t="s">
        <v>85</v>
      </c>
      <c r="B997" s="291" t="s">
        <v>8692</v>
      </c>
      <c r="C997" s="292" t="s">
        <v>48</v>
      </c>
      <c r="D997" s="293">
        <f t="shared" si="2"/>
        <v>1</v>
      </c>
      <c r="E997" s="294"/>
      <c r="F997" s="295" t="str">
        <f>IFERROR(__xludf.DUMMYFUNCTION("IF(B997="""","""",IFERROR(VLOOKUP(TO_TEXT(B997),PEDIDOS!D:I,6,0),IFERROR(VLOOKUP(B997*1,PEDIDOS!D:I,6,0),"" "")))"),"ENTREGUE")</f>
        <v>ENTREGUE</v>
      </c>
      <c r="G997" s="303"/>
      <c r="H997" s="304"/>
    </row>
    <row r="998">
      <c r="A998" s="302" t="s">
        <v>85</v>
      </c>
      <c r="B998" s="291" t="s">
        <v>8532</v>
      </c>
      <c r="C998" s="292" t="s">
        <v>48</v>
      </c>
      <c r="D998" s="293">
        <f t="shared" si="2"/>
        <v>1</v>
      </c>
      <c r="E998" s="294"/>
      <c r="F998" s="295" t="str">
        <f>IFERROR(__xludf.DUMMYFUNCTION("IF(B998="""","""",IFERROR(VLOOKUP(TO_TEXT(B998),PEDIDOS!D:I,6,0),IFERROR(VLOOKUP(B998*1,PEDIDOS!D:I,6,0),"" "")))"),"ENTREGUE")</f>
        <v>ENTREGUE</v>
      </c>
      <c r="G998" s="303"/>
      <c r="H998" s="304"/>
    </row>
    <row r="999">
      <c r="A999" s="302" t="s">
        <v>85</v>
      </c>
      <c r="B999" s="291" t="s">
        <v>8484</v>
      </c>
      <c r="C999" s="292" t="s">
        <v>48</v>
      </c>
      <c r="D999" s="293">
        <f t="shared" si="2"/>
        <v>1</v>
      </c>
      <c r="E999" s="294"/>
      <c r="F999" s="295" t="str">
        <f>IFERROR(__xludf.DUMMYFUNCTION("IF(B999="""","""",IFERROR(VLOOKUP(TO_TEXT(B999),PEDIDOS!D:I,6,0),IFERROR(VLOOKUP(B999*1,PEDIDOS!D:I,6,0),"" "")))"),"ENTREGUE")</f>
        <v>ENTREGUE</v>
      </c>
      <c r="G999" s="303"/>
      <c r="H999" s="304"/>
    </row>
    <row r="1000">
      <c r="A1000" s="302" t="s">
        <v>85</v>
      </c>
      <c r="B1000" s="291" t="s">
        <v>7589</v>
      </c>
      <c r="C1000" s="292" t="s">
        <v>48</v>
      </c>
      <c r="D1000" s="293">
        <f t="shared" si="2"/>
        <v>1</v>
      </c>
      <c r="E1000" s="294"/>
      <c r="F1000" s="295" t="str">
        <f>IFERROR(__xludf.DUMMYFUNCTION("IF(B1000="""","""",IFERROR(VLOOKUP(TO_TEXT(B1000),PEDIDOS!D:I,6,0),IFERROR(VLOOKUP(B1000*1,PEDIDOS!D:I,6,0),"" "")))"),"ENTREGUE")</f>
        <v>ENTREGUE</v>
      </c>
      <c r="G1000" s="303"/>
      <c r="H1000" s="304"/>
    </row>
    <row r="1001">
      <c r="A1001" s="302" t="s">
        <v>85</v>
      </c>
      <c r="B1001" s="291" t="s">
        <v>8446</v>
      </c>
      <c r="C1001" s="292" t="s">
        <v>48</v>
      </c>
      <c r="D1001" s="293">
        <f t="shared" si="2"/>
        <v>1</v>
      </c>
      <c r="E1001" s="294"/>
      <c r="F1001" s="295" t="str">
        <f>IFERROR(__xludf.DUMMYFUNCTION("IF(B1001="""","""",IFERROR(VLOOKUP(TO_TEXT(B1001),PEDIDOS!D:I,6,0),IFERROR(VLOOKUP(B1001*1,PEDIDOS!D:I,6,0),"" "")))"),"ENTREGUE")</f>
        <v>ENTREGUE</v>
      </c>
      <c r="G1001" s="303"/>
      <c r="H1001" s="304"/>
    </row>
    <row r="1002">
      <c r="A1002" s="302" t="s">
        <v>85</v>
      </c>
      <c r="B1002" s="291" t="s">
        <v>7556</v>
      </c>
      <c r="C1002" s="292" t="s">
        <v>48</v>
      </c>
      <c r="D1002" s="293">
        <f t="shared" si="2"/>
        <v>1</v>
      </c>
      <c r="E1002" s="294"/>
      <c r="F1002" s="295" t="str">
        <f>IFERROR(__xludf.DUMMYFUNCTION("IF(B1002="""","""",IFERROR(VLOOKUP(TO_TEXT(B1002),PEDIDOS!D:I,6,0),IFERROR(VLOOKUP(B1002*1,PEDIDOS!D:I,6,0),"" "")))"),"ENTREGUE")</f>
        <v>ENTREGUE</v>
      </c>
      <c r="G1002" s="303"/>
      <c r="H1002" s="304"/>
    </row>
    <row r="1003">
      <c r="A1003" s="302" t="s">
        <v>85</v>
      </c>
      <c r="B1003" s="291" t="s">
        <v>8381</v>
      </c>
      <c r="C1003" s="292" t="s">
        <v>48</v>
      </c>
      <c r="D1003" s="293">
        <f t="shared" si="2"/>
        <v>1</v>
      </c>
      <c r="E1003" s="294"/>
      <c r="F1003" s="295" t="str">
        <f>IFERROR(__xludf.DUMMYFUNCTION("IF(B1003="""","""",IFERROR(VLOOKUP(TO_TEXT(B1003),PEDIDOS!D:I,6,0),IFERROR(VLOOKUP(B1003*1,PEDIDOS!D:I,6,0),"" "")))"),"ENTREGUE")</f>
        <v>ENTREGUE</v>
      </c>
      <c r="G1003" s="303"/>
      <c r="H1003" s="304"/>
    </row>
    <row r="1004">
      <c r="A1004" s="302" t="s">
        <v>85</v>
      </c>
      <c r="B1004" s="291" t="s">
        <v>8521</v>
      </c>
      <c r="C1004" s="292" t="s">
        <v>48</v>
      </c>
      <c r="D1004" s="293">
        <f t="shared" si="2"/>
        <v>1</v>
      </c>
      <c r="E1004" s="294"/>
      <c r="F1004" s="295" t="str">
        <f>IFERROR(__xludf.DUMMYFUNCTION("IF(B1004="""","""",IFERROR(VLOOKUP(TO_TEXT(B1004),PEDIDOS!D:I,6,0),IFERROR(VLOOKUP(B1004*1,PEDIDOS!D:I,6,0),"" "")))"),"ENTREGUE")</f>
        <v>ENTREGUE</v>
      </c>
      <c r="G1004" s="303"/>
      <c r="H1004" s="304"/>
    </row>
    <row r="1005">
      <c r="A1005" s="302" t="s">
        <v>85</v>
      </c>
      <c r="B1005" s="291" t="s">
        <v>9254</v>
      </c>
      <c r="C1005" s="292" t="s">
        <v>48</v>
      </c>
      <c r="D1005" s="293">
        <f t="shared" si="2"/>
        <v>1</v>
      </c>
      <c r="E1005" s="294"/>
      <c r="F1005" s="295" t="str">
        <f>IFERROR(__xludf.DUMMYFUNCTION("IF(B1005="""","""",IFERROR(VLOOKUP(TO_TEXT(B1005),PEDIDOS!D:I,6,0),IFERROR(VLOOKUP(B1005*1,PEDIDOS!D:I,6,0),"" "")))"),"ENTREGUE")</f>
        <v>ENTREGUE</v>
      </c>
      <c r="G1005" s="303"/>
      <c r="H1005" s="304"/>
    </row>
    <row r="1006">
      <c r="A1006" s="302" t="s">
        <v>85</v>
      </c>
      <c r="B1006" s="291" t="s">
        <v>9038</v>
      </c>
      <c r="C1006" s="292" t="s">
        <v>48</v>
      </c>
      <c r="D1006" s="293">
        <f t="shared" si="2"/>
        <v>1</v>
      </c>
      <c r="E1006" s="294"/>
      <c r="F1006" s="295" t="str">
        <f>IFERROR(__xludf.DUMMYFUNCTION("IF(B1006="""","""",IFERROR(VLOOKUP(TO_TEXT(B1006),PEDIDOS!D:I,6,0),IFERROR(VLOOKUP(B1006*1,PEDIDOS!D:I,6,0),"" "")))"),"ENTREGUE")</f>
        <v>ENTREGUE</v>
      </c>
      <c r="G1006" s="303"/>
      <c r="H1006" s="304"/>
    </row>
    <row r="1007">
      <c r="A1007" s="302" t="s">
        <v>91</v>
      </c>
      <c r="B1007" s="291" t="s">
        <v>6858</v>
      </c>
      <c r="C1007" s="292" t="s">
        <v>48</v>
      </c>
      <c r="D1007" s="293">
        <f t="shared" si="2"/>
        <v>1</v>
      </c>
      <c r="E1007" s="294"/>
      <c r="F1007" s="295" t="str">
        <f>IFERROR(__xludf.DUMMYFUNCTION("IF(B1007="""","""",IFERROR(VLOOKUP(TO_TEXT(B1007),PEDIDOS!D:I,6,0),IFERROR(VLOOKUP(B1007*1,PEDIDOS!D:I,6,0),"" "")))"),"ENTREGUE")</f>
        <v>ENTREGUE</v>
      </c>
      <c r="G1007" s="303"/>
      <c r="H1007" s="304"/>
    </row>
    <row r="1008">
      <c r="A1008" s="302" t="s">
        <v>91</v>
      </c>
      <c r="B1008" s="291" t="s">
        <v>6854</v>
      </c>
      <c r="C1008" s="292" t="s">
        <v>48</v>
      </c>
      <c r="D1008" s="293">
        <f t="shared" si="2"/>
        <v>1</v>
      </c>
      <c r="E1008" s="294"/>
      <c r="F1008" s="295" t="str">
        <f>IFERROR(__xludf.DUMMYFUNCTION("IF(B1008="""","""",IFERROR(VLOOKUP(TO_TEXT(B1008),PEDIDOS!D:I,6,0),IFERROR(VLOOKUP(B1008*1,PEDIDOS!D:I,6,0),"" "")))"),"ENTREGUE")</f>
        <v>ENTREGUE</v>
      </c>
      <c r="G1008" s="303"/>
      <c r="H1008" s="304"/>
    </row>
    <row r="1009">
      <c r="A1009" s="302" t="s">
        <v>91</v>
      </c>
      <c r="B1009" s="291" t="s">
        <v>6761</v>
      </c>
      <c r="C1009" s="292" t="s">
        <v>48</v>
      </c>
      <c r="D1009" s="293">
        <f t="shared" si="2"/>
        <v>1</v>
      </c>
      <c r="E1009" s="294"/>
      <c r="F1009" s="295" t="str">
        <f>IFERROR(__xludf.DUMMYFUNCTION("IF(B1009="""","""",IFERROR(VLOOKUP(TO_TEXT(B1009),PEDIDOS!D:I,6,0),IFERROR(VLOOKUP(B1009*1,PEDIDOS!D:I,6,0),"" "")))"),"ENTREGUE")</f>
        <v>ENTREGUE</v>
      </c>
      <c r="G1009" s="303"/>
      <c r="H1009" s="304"/>
    </row>
    <row r="1010">
      <c r="A1010" s="302" t="s">
        <v>91</v>
      </c>
      <c r="B1010" s="291" t="s">
        <v>7322</v>
      </c>
      <c r="C1010" s="292" t="s">
        <v>48</v>
      </c>
      <c r="D1010" s="293">
        <f t="shared" si="2"/>
        <v>1</v>
      </c>
      <c r="E1010" s="294"/>
      <c r="F1010" s="295" t="str">
        <f>IFERROR(__xludf.DUMMYFUNCTION("IF(B1010="""","""",IFERROR(VLOOKUP(TO_TEXT(B1010),PEDIDOS!D:I,6,0),IFERROR(VLOOKUP(B1010*1,PEDIDOS!D:I,6,0),"" "")))"),"ENTREGUE")</f>
        <v>ENTREGUE</v>
      </c>
      <c r="G1010" s="303"/>
      <c r="H1010" s="304"/>
    </row>
    <row r="1011">
      <c r="A1011" s="302" t="s">
        <v>91</v>
      </c>
      <c r="B1011" s="291" t="s">
        <v>7219</v>
      </c>
      <c r="C1011" s="292" t="s">
        <v>48</v>
      </c>
      <c r="D1011" s="293">
        <f t="shared" si="2"/>
        <v>1</v>
      </c>
      <c r="E1011" s="294"/>
      <c r="F1011" s="295" t="str">
        <f>IFERROR(__xludf.DUMMYFUNCTION("IF(B1011="""","""",IFERROR(VLOOKUP(TO_TEXT(B1011),PEDIDOS!D:I,6,0),IFERROR(VLOOKUP(B1011*1,PEDIDOS!D:I,6,0),"" "")))"),"ENTREGUE")</f>
        <v>ENTREGUE</v>
      </c>
      <c r="G1011" s="303"/>
      <c r="H1011" s="304"/>
    </row>
    <row r="1012">
      <c r="A1012" s="302" t="s">
        <v>91</v>
      </c>
      <c r="B1012" s="291" t="s">
        <v>7102</v>
      </c>
      <c r="C1012" s="292" t="s">
        <v>48</v>
      </c>
      <c r="D1012" s="293">
        <f t="shared" si="2"/>
        <v>1</v>
      </c>
      <c r="E1012" s="294"/>
      <c r="F1012" s="295" t="str">
        <f>IFERROR(__xludf.DUMMYFUNCTION("IF(B1012="""","""",IFERROR(VLOOKUP(TO_TEXT(B1012),PEDIDOS!D:I,6,0),IFERROR(VLOOKUP(B1012*1,PEDIDOS!D:I,6,0),"" "")))"),"ENTREGUE")</f>
        <v>ENTREGUE</v>
      </c>
      <c r="G1012" s="303"/>
      <c r="H1012" s="304"/>
    </row>
    <row r="1013">
      <c r="A1013" s="302" t="s">
        <v>91</v>
      </c>
      <c r="B1013" s="291" t="s">
        <v>6891</v>
      </c>
      <c r="C1013" s="292" t="s">
        <v>48</v>
      </c>
      <c r="D1013" s="293">
        <f t="shared" si="2"/>
        <v>1</v>
      </c>
      <c r="E1013" s="294"/>
      <c r="F1013" s="295" t="str">
        <f>IFERROR(__xludf.DUMMYFUNCTION("IF(B1013="""","""",IFERROR(VLOOKUP(TO_TEXT(B1013),PEDIDOS!D:I,6,0),IFERROR(VLOOKUP(B1013*1,PEDIDOS!D:I,6,0),"" "")))"),"ENTREGUE")</f>
        <v>ENTREGUE</v>
      </c>
      <c r="G1013" s="303"/>
      <c r="H1013" s="304"/>
    </row>
    <row r="1014">
      <c r="A1014" s="302" t="s">
        <v>91</v>
      </c>
      <c r="B1014" s="291" t="s">
        <v>7108</v>
      </c>
      <c r="C1014" s="292" t="s">
        <v>48</v>
      </c>
      <c r="D1014" s="293">
        <f t="shared" si="2"/>
        <v>1</v>
      </c>
      <c r="E1014" s="294"/>
      <c r="F1014" s="295" t="str">
        <f>IFERROR(__xludf.DUMMYFUNCTION("IF(B1014="""","""",IFERROR(VLOOKUP(TO_TEXT(B1014),PEDIDOS!D:I,6,0),IFERROR(VLOOKUP(B1014*1,PEDIDOS!D:I,6,0),"" "")))"),"ENTREGUE")</f>
        <v>ENTREGUE</v>
      </c>
      <c r="G1014" s="303"/>
      <c r="H1014" s="304"/>
    </row>
    <row r="1015">
      <c r="A1015" s="302" t="s">
        <v>91</v>
      </c>
      <c r="B1015" s="291" t="s">
        <v>7318</v>
      </c>
      <c r="C1015" s="292" t="s">
        <v>48</v>
      </c>
      <c r="D1015" s="293">
        <f t="shared" si="2"/>
        <v>1</v>
      </c>
      <c r="E1015" s="294"/>
      <c r="F1015" s="295" t="str">
        <f>IFERROR(__xludf.DUMMYFUNCTION("IF(B1015="""","""",IFERROR(VLOOKUP(TO_TEXT(B1015),PEDIDOS!D:I,6,0),IFERROR(VLOOKUP(B1015*1,PEDIDOS!D:I,6,0),"" "")))"),"ENTREGUE")</f>
        <v>ENTREGUE</v>
      </c>
      <c r="G1015" s="303"/>
      <c r="H1015" s="304"/>
    </row>
    <row r="1016">
      <c r="A1016" s="302" t="s">
        <v>91</v>
      </c>
      <c r="B1016" s="291" t="s">
        <v>7105</v>
      </c>
      <c r="C1016" s="292" t="s">
        <v>48</v>
      </c>
      <c r="D1016" s="293">
        <f t="shared" si="2"/>
        <v>1</v>
      </c>
      <c r="E1016" s="294"/>
      <c r="F1016" s="295" t="str">
        <f>IFERROR(__xludf.DUMMYFUNCTION("IF(B1016="""","""",IFERROR(VLOOKUP(TO_TEXT(B1016),PEDIDOS!D:I,6,0),IFERROR(VLOOKUP(B1016*1,PEDIDOS!D:I,6,0),"" "")))"),"ENTREGUE")</f>
        <v>ENTREGUE</v>
      </c>
      <c r="G1016" s="303"/>
      <c r="H1016" s="304"/>
    </row>
    <row r="1017">
      <c r="A1017" s="302" t="s">
        <v>91</v>
      </c>
      <c r="B1017" s="291" t="s">
        <v>7313</v>
      </c>
      <c r="C1017" s="292" t="s">
        <v>48</v>
      </c>
      <c r="D1017" s="293">
        <f t="shared" si="2"/>
        <v>1</v>
      </c>
      <c r="E1017" s="294"/>
      <c r="F1017" s="295" t="str">
        <f>IFERROR(__xludf.DUMMYFUNCTION("IF(B1017="""","""",IFERROR(VLOOKUP(TO_TEXT(B1017),PEDIDOS!D:I,6,0),IFERROR(VLOOKUP(B1017*1,PEDIDOS!D:I,6,0),"" "")))"),"ENTREGUE")</f>
        <v>ENTREGUE</v>
      </c>
      <c r="G1017" s="303"/>
      <c r="H1017" s="304"/>
    </row>
    <row r="1018">
      <c r="A1018" s="302" t="s">
        <v>91</v>
      </c>
      <c r="B1018" s="291" t="s">
        <v>7188</v>
      </c>
      <c r="C1018" s="292" t="s">
        <v>48</v>
      </c>
      <c r="D1018" s="293">
        <f t="shared" si="2"/>
        <v>1</v>
      </c>
      <c r="E1018" s="294"/>
      <c r="F1018" s="295" t="str">
        <f>IFERROR(__xludf.DUMMYFUNCTION("IF(B1018="""","""",IFERROR(VLOOKUP(TO_TEXT(B1018),PEDIDOS!D:I,6,0),IFERROR(VLOOKUP(B1018*1,PEDIDOS!D:I,6,0),"" "")))"),"ENTREGUE")</f>
        <v>ENTREGUE</v>
      </c>
      <c r="G1018" s="303"/>
      <c r="H1018" s="304"/>
    </row>
    <row r="1019">
      <c r="A1019" s="302" t="s">
        <v>91</v>
      </c>
      <c r="B1019" s="291" t="s">
        <v>6753</v>
      </c>
      <c r="C1019" s="292" t="s">
        <v>48</v>
      </c>
      <c r="D1019" s="293">
        <f t="shared" si="2"/>
        <v>1</v>
      </c>
      <c r="E1019" s="294"/>
      <c r="F1019" s="295" t="str">
        <f>IFERROR(__xludf.DUMMYFUNCTION("IF(B1019="""","""",IFERROR(VLOOKUP(TO_TEXT(B1019),PEDIDOS!D:I,6,0),IFERROR(VLOOKUP(B1019*1,PEDIDOS!D:I,6,0),"" "")))"),"ENTREGUE")</f>
        <v>ENTREGUE</v>
      </c>
      <c r="G1019" s="303"/>
      <c r="H1019" s="304"/>
    </row>
    <row r="1020">
      <c r="A1020" s="302" t="s">
        <v>91</v>
      </c>
      <c r="B1020" s="291" t="s">
        <v>7111</v>
      </c>
      <c r="C1020" s="292" t="s">
        <v>48</v>
      </c>
      <c r="D1020" s="293">
        <f t="shared" si="2"/>
        <v>1</v>
      </c>
      <c r="E1020" s="294"/>
      <c r="F1020" s="295" t="str">
        <f>IFERROR(__xludf.DUMMYFUNCTION("IF(B1020="""","""",IFERROR(VLOOKUP(TO_TEXT(B1020),PEDIDOS!D:I,6,0),IFERROR(VLOOKUP(B1020*1,PEDIDOS!D:I,6,0),"" "")))"),"ENTREGUE")</f>
        <v>ENTREGUE</v>
      </c>
      <c r="G1020" s="303"/>
      <c r="H1020" s="304"/>
    </row>
    <row r="1021">
      <c r="A1021" s="302" t="s">
        <v>91</v>
      </c>
      <c r="B1021" s="291" t="s">
        <v>7216</v>
      </c>
      <c r="C1021" s="292" t="s">
        <v>48</v>
      </c>
      <c r="D1021" s="293">
        <f t="shared" si="2"/>
        <v>1</v>
      </c>
      <c r="E1021" s="294"/>
      <c r="F1021" s="295" t="str">
        <f>IFERROR(__xludf.DUMMYFUNCTION("IF(B1021="""","""",IFERROR(VLOOKUP(TO_TEXT(B1021),PEDIDOS!D:I,6,0),IFERROR(VLOOKUP(B1021*1,PEDIDOS!D:I,6,0),"" "")))"),"ENTREGUE")</f>
        <v>ENTREGUE</v>
      </c>
      <c r="G1021" s="303"/>
      <c r="H1021" s="304"/>
    </row>
    <row r="1022">
      <c r="A1022" s="302" t="s">
        <v>112</v>
      </c>
      <c r="B1022" s="291" t="s">
        <v>10507</v>
      </c>
      <c r="C1022" s="292" t="s">
        <v>48</v>
      </c>
      <c r="D1022" s="293">
        <f t="shared" si="2"/>
        <v>1</v>
      </c>
      <c r="E1022" s="294"/>
      <c r="F1022" s="295" t="str">
        <f>IFERROR(__xludf.DUMMYFUNCTION("IF(B1022="""","""",IFERROR(VLOOKUP(TO_TEXT(B1022),PEDIDOS!D:I,6,0),IFERROR(VLOOKUP(B1022*1,PEDIDOS!D:I,6,0),"" "")))"),"ENTREGUE")</f>
        <v>ENTREGUE</v>
      </c>
      <c r="G1022" s="303"/>
      <c r="H1022" s="304"/>
    </row>
    <row r="1023">
      <c r="A1023" s="302" t="s">
        <v>112</v>
      </c>
      <c r="B1023" s="291" t="s">
        <v>10555</v>
      </c>
      <c r="C1023" s="292" t="s">
        <v>48</v>
      </c>
      <c r="D1023" s="293">
        <f t="shared" si="2"/>
        <v>1</v>
      </c>
      <c r="E1023" s="294"/>
      <c r="F1023" s="295" t="str">
        <f>IFERROR(__xludf.DUMMYFUNCTION("IF(B1023="""","""",IFERROR(VLOOKUP(TO_TEXT(B1023),PEDIDOS!D:I,6,0),IFERROR(VLOOKUP(B1023*1,PEDIDOS!D:I,6,0),"" "")))"),"ENTREGUE")</f>
        <v>ENTREGUE</v>
      </c>
      <c r="G1023" s="303"/>
      <c r="H1023" s="304"/>
    </row>
    <row r="1024">
      <c r="A1024" s="302" t="s">
        <v>112</v>
      </c>
      <c r="B1024" s="291" t="s">
        <v>10692</v>
      </c>
      <c r="C1024" s="292" t="s">
        <v>48</v>
      </c>
      <c r="D1024" s="293">
        <f t="shared" si="2"/>
        <v>1</v>
      </c>
      <c r="E1024" s="294"/>
      <c r="F1024" s="295" t="str">
        <f>IFERROR(__xludf.DUMMYFUNCTION("IF(B1024="""","""",IFERROR(VLOOKUP(TO_TEXT(B1024),PEDIDOS!D:I,6,0),IFERROR(VLOOKUP(B1024*1,PEDIDOS!D:I,6,0),"" "")))"),"ENTREGUE")</f>
        <v>ENTREGUE</v>
      </c>
      <c r="G1024" s="303"/>
      <c r="H1024" s="304"/>
    </row>
    <row r="1025">
      <c r="A1025" s="302" t="s">
        <v>112</v>
      </c>
      <c r="B1025" s="291" t="s">
        <v>10598</v>
      </c>
      <c r="C1025" s="292" t="s">
        <v>48</v>
      </c>
      <c r="D1025" s="293">
        <f t="shared" si="2"/>
        <v>1</v>
      </c>
      <c r="E1025" s="294"/>
      <c r="F1025" s="295" t="str">
        <f>IFERROR(__xludf.DUMMYFUNCTION("IF(B1025="""","""",IFERROR(VLOOKUP(TO_TEXT(B1025),PEDIDOS!D:I,6,0),IFERROR(VLOOKUP(B1025*1,PEDIDOS!D:I,6,0),"" "")))"),"ENTREGUE")</f>
        <v>ENTREGUE</v>
      </c>
      <c r="G1025" s="303"/>
      <c r="H1025" s="304"/>
    </row>
    <row r="1026">
      <c r="A1026" s="302" t="s">
        <v>112</v>
      </c>
      <c r="B1026" s="291" t="s">
        <v>10688</v>
      </c>
      <c r="C1026" s="292" t="s">
        <v>48</v>
      </c>
      <c r="D1026" s="293">
        <f t="shared" si="2"/>
        <v>1</v>
      </c>
      <c r="E1026" s="294"/>
      <c r="F1026" s="295" t="str">
        <f>IFERROR(__xludf.DUMMYFUNCTION("IF(B1026="""","""",IFERROR(VLOOKUP(TO_TEXT(B1026),PEDIDOS!D:I,6,0),IFERROR(VLOOKUP(B1026*1,PEDIDOS!D:I,6,0),"" "")))"),"ENTREGUE")</f>
        <v>ENTREGUE</v>
      </c>
      <c r="G1026" s="303"/>
      <c r="H1026" s="304"/>
    </row>
    <row r="1027">
      <c r="A1027" s="302" t="s">
        <v>112</v>
      </c>
      <c r="B1027" s="291" t="s">
        <v>10793</v>
      </c>
      <c r="C1027" s="292" t="s">
        <v>48</v>
      </c>
      <c r="D1027" s="293">
        <f t="shared" si="2"/>
        <v>1</v>
      </c>
      <c r="E1027" s="294"/>
      <c r="F1027" s="295" t="str">
        <f>IFERROR(__xludf.DUMMYFUNCTION("IF(B1027="""","""",IFERROR(VLOOKUP(TO_TEXT(B1027),PEDIDOS!D:I,6,0),IFERROR(VLOOKUP(B1027*1,PEDIDOS!D:I,6,0),"" "")))"),"ENTREGUE")</f>
        <v>ENTREGUE</v>
      </c>
      <c r="G1027" s="303"/>
      <c r="H1027" s="304"/>
    </row>
    <row r="1028">
      <c r="A1028" s="302" t="s">
        <v>112</v>
      </c>
      <c r="B1028" s="291" t="s">
        <v>10782</v>
      </c>
      <c r="C1028" s="292" t="s">
        <v>48</v>
      </c>
      <c r="D1028" s="293">
        <f t="shared" si="2"/>
        <v>1</v>
      </c>
      <c r="E1028" s="294"/>
      <c r="F1028" s="295" t="str">
        <f>IFERROR(__xludf.DUMMYFUNCTION("IF(B1028="""","""",IFERROR(VLOOKUP(TO_TEXT(B1028),PEDIDOS!D:I,6,0),IFERROR(VLOOKUP(B1028*1,PEDIDOS!D:I,6,0),"" "")))"),"ENTREGUE")</f>
        <v>ENTREGUE</v>
      </c>
      <c r="G1028" s="303"/>
      <c r="H1028" s="304"/>
    </row>
    <row r="1029">
      <c r="A1029" s="302" t="s">
        <v>112</v>
      </c>
      <c r="B1029" s="291" t="s">
        <v>10882</v>
      </c>
      <c r="C1029" s="292" t="s">
        <v>48</v>
      </c>
      <c r="D1029" s="293">
        <f t="shared" si="2"/>
        <v>1</v>
      </c>
      <c r="E1029" s="294"/>
      <c r="F1029" s="295" t="str">
        <f>IFERROR(__xludf.DUMMYFUNCTION("IF(B1029="""","""",IFERROR(VLOOKUP(TO_TEXT(B1029),PEDIDOS!D:I,6,0),IFERROR(VLOOKUP(B1029*1,PEDIDOS!D:I,6,0),"" "")))"),"ENTREGUE")</f>
        <v>ENTREGUE</v>
      </c>
      <c r="G1029" s="303"/>
      <c r="H1029" s="304"/>
    </row>
    <row r="1030">
      <c r="A1030" s="302" t="s">
        <v>112</v>
      </c>
      <c r="B1030" s="291" t="s">
        <v>11149</v>
      </c>
      <c r="C1030" s="292" t="s">
        <v>48</v>
      </c>
      <c r="D1030" s="293">
        <f t="shared" si="2"/>
        <v>1</v>
      </c>
      <c r="E1030" s="294"/>
      <c r="F1030" s="295" t="str">
        <f>IFERROR(__xludf.DUMMYFUNCTION("IF(B1030="""","""",IFERROR(VLOOKUP(TO_TEXT(B1030),PEDIDOS!D:I,6,0),IFERROR(VLOOKUP(B1030*1,PEDIDOS!D:I,6,0),"" "")))"),"ENTREGUE")</f>
        <v>ENTREGUE</v>
      </c>
      <c r="G1030" s="303"/>
      <c r="H1030" s="304"/>
    </row>
    <row r="1031">
      <c r="A1031" s="302" t="s">
        <v>112</v>
      </c>
      <c r="B1031" s="291" t="s">
        <v>10886</v>
      </c>
      <c r="C1031" s="292" t="s">
        <v>48</v>
      </c>
      <c r="D1031" s="293">
        <f t="shared" si="2"/>
        <v>1</v>
      </c>
      <c r="E1031" s="294"/>
      <c r="F1031" s="295" t="str">
        <f>IFERROR(__xludf.DUMMYFUNCTION("IF(B1031="""","""",IFERROR(VLOOKUP(TO_TEXT(B1031),PEDIDOS!D:I,6,0),IFERROR(VLOOKUP(B1031*1,PEDIDOS!D:I,6,0),"" "")))"),"ENTREGUE")</f>
        <v>ENTREGUE</v>
      </c>
      <c r="G1031" s="303"/>
      <c r="H1031" s="304"/>
    </row>
    <row r="1032">
      <c r="A1032" s="302" t="s">
        <v>112</v>
      </c>
      <c r="B1032" s="291" t="s">
        <v>11201</v>
      </c>
      <c r="C1032" s="292" t="s">
        <v>48</v>
      </c>
      <c r="D1032" s="293">
        <f t="shared" si="2"/>
        <v>1</v>
      </c>
      <c r="E1032" s="294"/>
      <c r="F1032" s="295" t="str">
        <f>IFERROR(__xludf.DUMMYFUNCTION("IF(B1032="""","""",IFERROR(VLOOKUP(TO_TEXT(B1032),PEDIDOS!D:I,6,0),IFERROR(VLOOKUP(B1032*1,PEDIDOS!D:I,6,0),"" "")))"),"ENTREGUE")</f>
        <v>ENTREGUE</v>
      </c>
      <c r="G1032" s="303"/>
      <c r="H1032" s="304"/>
    </row>
    <row r="1033">
      <c r="A1033" s="302" t="s">
        <v>112</v>
      </c>
      <c r="B1033" s="291" t="s">
        <v>10947</v>
      </c>
      <c r="C1033" s="292" t="s">
        <v>48</v>
      </c>
      <c r="D1033" s="293">
        <f t="shared" si="2"/>
        <v>1</v>
      </c>
      <c r="E1033" s="294"/>
      <c r="F1033" s="295" t="str">
        <f>IFERROR(__xludf.DUMMYFUNCTION("IF(B1033="""","""",IFERROR(VLOOKUP(TO_TEXT(B1033),PEDIDOS!D:I,6,0),IFERROR(VLOOKUP(B1033*1,PEDIDOS!D:I,6,0),"" "")))"),"ENTREGUE")</f>
        <v>ENTREGUE</v>
      </c>
      <c r="G1033" s="303"/>
      <c r="H1033" s="304"/>
    </row>
    <row r="1034">
      <c r="A1034" s="302" t="s">
        <v>112</v>
      </c>
      <c r="B1034" s="291" t="s">
        <v>10999</v>
      </c>
      <c r="C1034" s="292" t="s">
        <v>48</v>
      </c>
      <c r="D1034" s="293">
        <f t="shared" si="2"/>
        <v>1</v>
      </c>
      <c r="E1034" s="294"/>
      <c r="F1034" s="295" t="str">
        <f>IFERROR(__xludf.DUMMYFUNCTION("IF(B1034="""","""",IFERROR(VLOOKUP(TO_TEXT(B1034),PEDIDOS!D:I,6,0),IFERROR(VLOOKUP(B1034*1,PEDIDOS!D:I,6,0),"" "")))"),"ENTREGUE")</f>
        <v>ENTREGUE</v>
      </c>
      <c r="G1034" s="303"/>
      <c r="H1034" s="304"/>
    </row>
    <row r="1035">
      <c r="A1035" s="302" t="s">
        <v>112</v>
      </c>
      <c r="B1035" s="291" t="s">
        <v>11277</v>
      </c>
      <c r="C1035" s="292" t="s">
        <v>48</v>
      </c>
      <c r="D1035" s="293">
        <f t="shared" si="2"/>
        <v>1</v>
      </c>
      <c r="E1035" s="294"/>
      <c r="F1035" s="295" t="str">
        <f>IFERROR(__xludf.DUMMYFUNCTION("IF(B1035="""","""",IFERROR(VLOOKUP(TO_TEXT(B1035),PEDIDOS!D:I,6,0),IFERROR(VLOOKUP(B1035*1,PEDIDOS!D:I,6,0),"" "")))"),"ENTREGUE")</f>
        <v>ENTREGUE</v>
      </c>
      <c r="G1035" s="303"/>
      <c r="H1035" s="304"/>
    </row>
    <row r="1036">
      <c r="A1036" s="302" t="s">
        <v>112</v>
      </c>
      <c r="B1036" s="291" t="s">
        <v>11256</v>
      </c>
      <c r="C1036" s="292" t="s">
        <v>48</v>
      </c>
      <c r="D1036" s="293">
        <f t="shared" si="2"/>
        <v>1</v>
      </c>
      <c r="E1036" s="294"/>
      <c r="F1036" s="295" t="str">
        <f>IFERROR(__xludf.DUMMYFUNCTION("IF(B1036="""","""",IFERROR(VLOOKUP(TO_TEXT(B1036),PEDIDOS!D:I,6,0),IFERROR(VLOOKUP(B1036*1,PEDIDOS!D:I,6,0),"" "")))"),"ENTREGUE")</f>
        <v>ENTREGUE</v>
      </c>
      <c r="G1036" s="303"/>
      <c r="H1036" s="304"/>
    </row>
    <row r="1037">
      <c r="A1037" s="302" t="s">
        <v>112</v>
      </c>
      <c r="B1037" s="291" t="s">
        <v>11086</v>
      </c>
      <c r="C1037" s="292" t="s">
        <v>48</v>
      </c>
      <c r="D1037" s="293">
        <f t="shared" si="2"/>
        <v>1</v>
      </c>
      <c r="E1037" s="294"/>
      <c r="F1037" s="295" t="str">
        <f>IFERROR(__xludf.DUMMYFUNCTION("IF(B1037="""","""",IFERROR(VLOOKUP(TO_TEXT(B1037),PEDIDOS!D:I,6,0),IFERROR(VLOOKUP(B1037*1,PEDIDOS!D:I,6,0),"" "")))"),"ENTREGUE")</f>
        <v>ENTREGUE</v>
      </c>
      <c r="G1037" s="303"/>
      <c r="H1037" s="304"/>
    </row>
    <row r="1038">
      <c r="A1038" s="302" t="s">
        <v>112</v>
      </c>
      <c r="B1038" s="291" t="s">
        <v>11154</v>
      </c>
      <c r="C1038" s="292" t="s">
        <v>48</v>
      </c>
      <c r="D1038" s="293">
        <f t="shared" si="2"/>
        <v>1</v>
      </c>
      <c r="E1038" s="294"/>
      <c r="F1038" s="295" t="str">
        <f>IFERROR(__xludf.DUMMYFUNCTION("IF(B1038="""","""",IFERROR(VLOOKUP(TO_TEXT(B1038),PEDIDOS!D:I,6,0),IFERROR(VLOOKUP(B1038*1,PEDIDOS!D:I,6,0),"" "")))"),"ENTREGUE")</f>
        <v>ENTREGUE</v>
      </c>
      <c r="G1038" s="303"/>
      <c r="H1038" s="304"/>
    </row>
    <row r="1039">
      <c r="A1039" s="302" t="s">
        <v>112</v>
      </c>
      <c r="B1039" s="291" t="s">
        <v>11185</v>
      </c>
      <c r="C1039" s="292" t="s">
        <v>48</v>
      </c>
      <c r="D1039" s="293">
        <f t="shared" si="2"/>
        <v>1</v>
      </c>
      <c r="E1039" s="294"/>
      <c r="F1039" s="295" t="str">
        <f>IFERROR(__xludf.DUMMYFUNCTION("IF(B1039="""","""",IFERROR(VLOOKUP(TO_TEXT(B1039),PEDIDOS!D:I,6,0),IFERROR(VLOOKUP(B1039*1,PEDIDOS!D:I,6,0),"" "")))"),"ENTREGUE")</f>
        <v>ENTREGUE</v>
      </c>
      <c r="G1039" s="303"/>
      <c r="H1039" s="304"/>
    </row>
    <row r="1040">
      <c r="A1040" s="302" t="s">
        <v>112</v>
      </c>
      <c r="B1040" s="291" t="s">
        <v>11367</v>
      </c>
      <c r="C1040" s="292" t="s">
        <v>48</v>
      </c>
      <c r="D1040" s="293">
        <f t="shared" si="2"/>
        <v>1</v>
      </c>
      <c r="E1040" s="294"/>
      <c r="F1040" s="295" t="str">
        <f>IFERROR(__xludf.DUMMYFUNCTION("IF(B1040="""","""",IFERROR(VLOOKUP(TO_TEXT(B1040),PEDIDOS!D:I,6,0),IFERROR(VLOOKUP(B1040*1,PEDIDOS!D:I,6,0),"" "")))"),"ENTREGUE")</f>
        <v>ENTREGUE</v>
      </c>
      <c r="G1040" s="303"/>
      <c r="H1040" s="304"/>
    </row>
    <row r="1041">
      <c r="A1041" s="302" t="s">
        <v>112</v>
      </c>
      <c r="B1041" s="291" t="s">
        <v>11058</v>
      </c>
      <c r="C1041" s="292" t="s">
        <v>48</v>
      </c>
      <c r="D1041" s="293">
        <f t="shared" si="2"/>
        <v>1</v>
      </c>
      <c r="E1041" s="294"/>
      <c r="F1041" s="295" t="str">
        <f>IFERROR(__xludf.DUMMYFUNCTION("IF(B1041="""","""",IFERROR(VLOOKUP(TO_TEXT(B1041),PEDIDOS!D:I,6,0),IFERROR(VLOOKUP(B1041*1,PEDIDOS!D:I,6,0),"" "")))"),"ENTREGUE")</f>
        <v>ENTREGUE</v>
      </c>
      <c r="G1041" s="303"/>
      <c r="H1041" s="304"/>
    </row>
    <row r="1042">
      <c r="A1042" s="302" t="s">
        <v>112</v>
      </c>
      <c r="B1042" s="291" t="s">
        <v>11054</v>
      </c>
      <c r="C1042" s="292" t="s">
        <v>48</v>
      </c>
      <c r="D1042" s="293">
        <f t="shared" si="2"/>
        <v>1</v>
      </c>
      <c r="E1042" s="294"/>
      <c r="F1042" s="295" t="str">
        <f>IFERROR(__xludf.DUMMYFUNCTION("IF(B1042="""","""",IFERROR(VLOOKUP(TO_TEXT(B1042),PEDIDOS!D:I,6,0),IFERROR(VLOOKUP(B1042*1,PEDIDOS!D:I,6,0),"" "")))"),"ENTREGUE")</f>
        <v>ENTREGUE</v>
      </c>
      <c r="G1042" s="303"/>
      <c r="H1042" s="304"/>
    </row>
    <row r="1043">
      <c r="A1043" s="302" t="s">
        <v>112</v>
      </c>
      <c r="B1043" s="291" t="s">
        <v>10985</v>
      </c>
      <c r="C1043" s="292" t="s">
        <v>48</v>
      </c>
      <c r="D1043" s="293">
        <f t="shared" si="2"/>
        <v>1</v>
      </c>
      <c r="E1043" s="294"/>
      <c r="F1043" s="295" t="str">
        <f>IFERROR(__xludf.DUMMYFUNCTION("IF(B1043="""","""",IFERROR(VLOOKUP(TO_TEXT(B1043),PEDIDOS!D:I,6,0),IFERROR(VLOOKUP(B1043*1,PEDIDOS!D:I,6,0),"" "")))"),"ENTREGUE")</f>
        <v>ENTREGUE</v>
      </c>
      <c r="G1043" s="303"/>
      <c r="H1043" s="304"/>
    </row>
    <row r="1044">
      <c r="A1044" s="302" t="s">
        <v>112</v>
      </c>
      <c r="B1044" s="291" t="s">
        <v>11388</v>
      </c>
      <c r="C1044" s="292" t="s">
        <v>48</v>
      </c>
      <c r="D1044" s="293">
        <f t="shared" si="2"/>
        <v>1</v>
      </c>
      <c r="E1044" s="294"/>
      <c r="F1044" s="295" t="str">
        <f>IFERROR(__xludf.DUMMYFUNCTION("IF(B1044="""","""",IFERROR(VLOOKUP(TO_TEXT(B1044),PEDIDOS!D:I,6,0),IFERROR(VLOOKUP(B1044*1,PEDIDOS!D:I,6,0),"" "")))"),"ENTREGUE")</f>
        <v>ENTREGUE</v>
      </c>
      <c r="G1044" s="303"/>
      <c r="H1044" s="304"/>
    </row>
    <row r="1045">
      <c r="A1045" s="302" t="s">
        <v>112</v>
      </c>
      <c r="B1045" s="291" t="s">
        <v>11392</v>
      </c>
      <c r="C1045" s="292" t="s">
        <v>48</v>
      </c>
      <c r="D1045" s="293">
        <f t="shared" si="2"/>
        <v>1</v>
      </c>
      <c r="E1045" s="294"/>
      <c r="F1045" s="295" t="str">
        <f>IFERROR(__xludf.DUMMYFUNCTION("IF(B1045="""","""",IFERROR(VLOOKUP(TO_TEXT(B1045),PEDIDOS!D:I,6,0),IFERROR(VLOOKUP(B1045*1,PEDIDOS!D:I,6,0),"" "")))"),"ENTREGUE")</f>
        <v>ENTREGUE</v>
      </c>
      <c r="G1045" s="303"/>
      <c r="H1045" s="304"/>
    </row>
    <row r="1046">
      <c r="A1046" s="302" t="s">
        <v>112</v>
      </c>
      <c r="B1046" s="291" t="s">
        <v>12482</v>
      </c>
      <c r="C1046" s="292" t="s">
        <v>48</v>
      </c>
      <c r="D1046" s="293">
        <f t="shared" si="2"/>
        <v>1</v>
      </c>
      <c r="E1046" s="294"/>
      <c r="F1046" s="295" t="str">
        <f>IFERROR(__xludf.DUMMYFUNCTION("IF(B1046="""","""",IFERROR(VLOOKUP(TO_TEXT(B1046),PEDIDOS!D:I,6,0),IFERROR(VLOOKUP(B1046*1,PEDIDOS!D:I,6,0),"" "")))"),"ENTREGUE")</f>
        <v>ENTREGUE</v>
      </c>
      <c r="G1046" s="303"/>
      <c r="H1046" s="304"/>
    </row>
    <row r="1047">
      <c r="A1047" s="302" t="s">
        <v>112</v>
      </c>
      <c r="B1047" s="291" t="s">
        <v>11430</v>
      </c>
      <c r="C1047" s="292" t="s">
        <v>48</v>
      </c>
      <c r="D1047" s="293">
        <f t="shared" si="2"/>
        <v>1</v>
      </c>
      <c r="E1047" s="294"/>
      <c r="F1047" s="295" t="str">
        <f>IFERROR(__xludf.DUMMYFUNCTION("IF(B1047="""","""",IFERROR(VLOOKUP(TO_TEXT(B1047),PEDIDOS!D:I,6,0),IFERROR(VLOOKUP(B1047*1,PEDIDOS!D:I,6,0),"" "")))"),"ENTREGUE")</f>
        <v>ENTREGUE</v>
      </c>
      <c r="G1047" s="303"/>
      <c r="H1047" s="304"/>
    </row>
    <row r="1048">
      <c r="A1048" s="302" t="s">
        <v>112</v>
      </c>
      <c r="B1048" s="291" t="s">
        <v>11648</v>
      </c>
      <c r="C1048" s="292" t="s">
        <v>48</v>
      </c>
      <c r="D1048" s="293">
        <f t="shared" si="2"/>
        <v>1</v>
      </c>
      <c r="E1048" s="294"/>
      <c r="F1048" s="295" t="str">
        <f>IFERROR(__xludf.DUMMYFUNCTION("IF(B1048="""","""",IFERROR(VLOOKUP(TO_TEXT(B1048),PEDIDOS!D:I,6,0),IFERROR(VLOOKUP(B1048*1,PEDIDOS!D:I,6,0),"" "")))"),"ENTREGUE")</f>
        <v>ENTREGUE</v>
      </c>
      <c r="G1048" s="303"/>
      <c r="H1048" s="304"/>
    </row>
    <row r="1049">
      <c r="A1049" s="302" t="s">
        <v>112</v>
      </c>
      <c r="B1049" s="291" t="s">
        <v>9594</v>
      </c>
      <c r="C1049" s="292" t="s">
        <v>48</v>
      </c>
      <c r="D1049" s="293">
        <f t="shared" si="2"/>
        <v>1</v>
      </c>
      <c r="E1049" s="294"/>
      <c r="F1049" s="295" t="str">
        <f>IFERROR(__xludf.DUMMYFUNCTION("IF(B1049="""","""",IFERROR(VLOOKUP(TO_TEXT(B1049),PEDIDOS!D:I,6,0),IFERROR(VLOOKUP(B1049*1,PEDIDOS!D:I,6,0),"" "")))"),"ENTREGUE")</f>
        <v>ENTREGUE</v>
      </c>
      <c r="G1049" s="303"/>
      <c r="H1049" s="304"/>
    </row>
    <row r="1050">
      <c r="A1050" s="302" t="s">
        <v>112</v>
      </c>
      <c r="B1050" s="291" t="s">
        <v>23349</v>
      </c>
      <c r="C1050" s="292" t="s">
        <v>48</v>
      </c>
      <c r="D1050" s="293">
        <f t="shared" si="2"/>
        <v>1</v>
      </c>
      <c r="E1050" s="294"/>
      <c r="F1050" s="295" t="str">
        <f>IFERROR(__xludf.DUMMYFUNCTION("IF(B1050="""","""",IFERROR(VLOOKUP(TO_TEXT(B1050),PEDIDOS!D:I,6,0),IFERROR(VLOOKUP(B1050*1,PEDIDOS!D:I,6,0),"" "")))")," ")</f>
        <v> </v>
      </c>
      <c r="G1050" s="303" t="s">
        <v>23350</v>
      </c>
      <c r="H1050" s="304"/>
    </row>
    <row r="1051">
      <c r="A1051" s="302" t="s">
        <v>112</v>
      </c>
      <c r="B1051" s="291" t="s">
        <v>12028</v>
      </c>
      <c r="C1051" s="292" t="s">
        <v>48</v>
      </c>
      <c r="D1051" s="293">
        <f t="shared" si="2"/>
        <v>1</v>
      </c>
      <c r="E1051" s="294"/>
      <c r="F1051" s="295" t="str">
        <f>IFERROR(__xludf.DUMMYFUNCTION("IF(B1051="""","""",IFERROR(VLOOKUP(TO_TEXT(B1051),PEDIDOS!D:I,6,0),IFERROR(VLOOKUP(B1051*1,PEDIDOS!D:I,6,0),"" "")))"),"ENTREGUE")</f>
        <v>ENTREGUE</v>
      </c>
      <c r="G1051" s="303"/>
      <c r="H1051" s="304"/>
    </row>
    <row r="1052">
      <c r="A1052" s="302" t="s">
        <v>47</v>
      </c>
      <c r="B1052" s="291" t="s">
        <v>12181</v>
      </c>
      <c r="C1052" s="292" t="s">
        <v>48</v>
      </c>
      <c r="D1052" s="293">
        <f t="shared" si="2"/>
        <v>1</v>
      </c>
      <c r="E1052" s="294"/>
      <c r="F1052" s="295" t="str">
        <f>IFERROR(__xludf.DUMMYFUNCTION("IF(B1052="""","""",IFERROR(VLOOKUP(TO_TEXT(B1052),PEDIDOS!D:I,6,0),IFERROR(VLOOKUP(B1052*1,PEDIDOS!D:I,6,0),"" "")))"),"ENTREGUE")</f>
        <v>ENTREGUE</v>
      </c>
      <c r="G1052" s="303"/>
      <c r="H1052" s="304"/>
    </row>
    <row r="1053">
      <c r="A1053" s="302" t="s">
        <v>47</v>
      </c>
      <c r="B1053" s="291" t="s">
        <v>12139</v>
      </c>
      <c r="C1053" s="292" t="s">
        <v>48</v>
      </c>
      <c r="D1053" s="293">
        <f t="shared" si="2"/>
        <v>1</v>
      </c>
      <c r="E1053" s="294"/>
      <c r="F1053" s="295" t="str">
        <f>IFERROR(__xludf.DUMMYFUNCTION("IF(B1053="""","""",IFERROR(VLOOKUP(TO_TEXT(B1053),PEDIDOS!D:I,6,0),IFERROR(VLOOKUP(B1053*1,PEDIDOS!D:I,6,0),"" "")))"),"ENTREGUE")</f>
        <v>ENTREGUE</v>
      </c>
      <c r="G1053" s="303"/>
      <c r="H1053" s="304"/>
    </row>
    <row r="1054">
      <c r="A1054" s="302" t="s">
        <v>47</v>
      </c>
      <c r="B1054" s="291" t="s">
        <v>23351</v>
      </c>
      <c r="C1054" s="292" t="s">
        <v>48</v>
      </c>
      <c r="D1054" s="293">
        <f t="shared" si="2"/>
        <v>1</v>
      </c>
      <c r="E1054" s="294"/>
      <c r="F1054" s="295" t="str">
        <f>IFERROR(__xludf.DUMMYFUNCTION("IF(B1054="""","""",IFERROR(VLOOKUP(TO_TEXT(B1054),PEDIDOS!D:I,6,0),IFERROR(VLOOKUP(B1054*1,PEDIDOS!D:I,6,0),"" "")))")," ")</f>
        <v> </v>
      </c>
      <c r="G1054" s="303" t="s">
        <v>23350</v>
      </c>
      <c r="H1054" s="304"/>
    </row>
    <row r="1055">
      <c r="A1055" s="302" t="s">
        <v>47</v>
      </c>
      <c r="B1055" s="291" t="s">
        <v>7422</v>
      </c>
      <c r="C1055" s="292" t="s">
        <v>48</v>
      </c>
      <c r="D1055" s="293">
        <f t="shared" si="2"/>
        <v>1</v>
      </c>
      <c r="E1055" s="294"/>
      <c r="F1055" s="295" t="str">
        <f>IFERROR(__xludf.DUMMYFUNCTION("IF(B1055="""","""",IFERROR(VLOOKUP(TO_TEXT(B1055),PEDIDOS!D:I,6,0),IFERROR(VLOOKUP(B1055*1,PEDIDOS!D:I,6,0),"" "")))"),"ENTREGUE")</f>
        <v>ENTREGUE</v>
      </c>
      <c r="G1055" s="303"/>
      <c r="H1055" s="304"/>
    </row>
    <row r="1056">
      <c r="A1056" s="302" t="s">
        <v>47</v>
      </c>
      <c r="B1056" s="291" t="s">
        <v>11293</v>
      </c>
      <c r="C1056" s="292" t="s">
        <v>48</v>
      </c>
      <c r="D1056" s="293">
        <f t="shared" si="2"/>
        <v>1</v>
      </c>
      <c r="E1056" s="294"/>
      <c r="F1056" s="295" t="str">
        <f>IFERROR(__xludf.DUMMYFUNCTION("IF(B1056="""","""",IFERROR(VLOOKUP(TO_TEXT(B1056),PEDIDOS!D:I,6,0),IFERROR(VLOOKUP(B1056*1,PEDIDOS!D:I,6,0),"" "")))"),"ENTREGUE")</f>
        <v>ENTREGUE</v>
      </c>
      <c r="G1056" s="303"/>
      <c r="H1056" s="304"/>
    </row>
    <row r="1057">
      <c r="A1057" s="302" t="s">
        <v>47</v>
      </c>
      <c r="B1057" s="291" t="s">
        <v>11499</v>
      </c>
      <c r="C1057" s="292" t="s">
        <v>48</v>
      </c>
      <c r="D1057" s="293">
        <f t="shared" si="2"/>
        <v>1</v>
      </c>
      <c r="E1057" s="294"/>
      <c r="F1057" s="295" t="str">
        <f>IFERROR(__xludf.DUMMYFUNCTION("IF(B1057="""","""",IFERROR(VLOOKUP(TO_TEXT(B1057),PEDIDOS!D:I,6,0),IFERROR(VLOOKUP(B1057*1,PEDIDOS!D:I,6,0),"" "")))"),"ENTREGUE")</f>
        <v>ENTREGUE</v>
      </c>
      <c r="G1057" s="303"/>
      <c r="H1057" s="304"/>
    </row>
    <row r="1058">
      <c r="A1058" s="302" t="s">
        <v>47</v>
      </c>
      <c r="B1058" s="291" t="s">
        <v>10963</v>
      </c>
      <c r="C1058" s="292" t="s">
        <v>48</v>
      </c>
      <c r="D1058" s="293">
        <f t="shared" si="2"/>
        <v>1</v>
      </c>
      <c r="E1058" s="294"/>
      <c r="F1058" s="295" t="str">
        <f>IFERROR(__xludf.DUMMYFUNCTION("IF(B1058="""","""",IFERROR(VLOOKUP(TO_TEXT(B1058),PEDIDOS!D:I,6,0),IFERROR(VLOOKUP(B1058*1,PEDIDOS!D:I,6,0),"" "")))"),"ENTREGUE")</f>
        <v>ENTREGUE</v>
      </c>
      <c r="G1058" s="303"/>
      <c r="H1058" s="304"/>
    </row>
    <row r="1059">
      <c r="A1059" s="302" t="s">
        <v>47</v>
      </c>
      <c r="B1059" s="291" t="s">
        <v>11297</v>
      </c>
      <c r="C1059" s="292" t="s">
        <v>48</v>
      </c>
      <c r="D1059" s="293">
        <f t="shared" si="2"/>
        <v>1</v>
      </c>
      <c r="E1059" s="294"/>
      <c r="F1059" s="295" t="str">
        <f>IFERROR(__xludf.DUMMYFUNCTION("IF(B1059="""","""",IFERROR(VLOOKUP(TO_TEXT(B1059),PEDIDOS!D:I,6,0),IFERROR(VLOOKUP(B1059*1,PEDIDOS!D:I,6,0),"" "")))"),"ENTREGUE")</f>
        <v>ENTREGUE</v>
      </c>
      <c r="G1059" s="303"/>
      <c r="H1059" s="304"/>
    </row>
    <row r="1060">
      <c r="A1060" s="302" t="s">
        <v>47</v>
      </c>
      <c r="B1060" s="291" t="s">
        <v>10815</v>
      </c>
      <c r="C1060" s="292" t="s">
        <v>48</v>
      </c>
      <c r="D1060" s="293">
        <f t="shared" si="2"/>
        <v>1</v>
      </c>
      <c r="E1060" s="294"/>
      <c r="F1060" s="295" t="str">
        <f>IFERROR(__xludf.DUMMYFUNCTION("IF(B1060="""","""",IFERROR(VLOOKUP(TO_TEXT(B1060),PEDIDOS!D:I,6,0),IFERROR(VLOOKUP(B1060*1,PEDIDOS!D:I,6,0),"" "")))"),"ENTREGUE")</f>
        <v>ENTREGUE</v>
      </c>
      <c r="G1060" s="303"/>
      <c r="H1060" s="304"/>
    </row>
    <row r="1061">
      <c r="A1061" s="302" t="s">
        <v>47</v>
      </c>
      <c r="B1061" s="291" t="s">
        <v>11239</v>
      </c>
      <c r="C1061" s="292" t="s">
        <v>48</v>
      </c>
      <c r="D1061" s="293">
        <f t="shared" si="2"/>
        <v>1</v>
      </c>
      <c r="E1061" s="294"/>
      <c r="F1061" s="295" t="str">
        <f>IFERROR(__xludf.DUMMYFUNCTION("IF(B1061="""","""",IFERROR(VLOOKUP(TO_TEXT(B1061),PEDIDOS!D:I,6,0),IFERROR(VLOOKUP(B1061*1,PEDIDOS!D:I,6,0),"" "")))"),"ENTREGUE")</f>
        <v>ENTREGUE</v>
      </c>
      <c r="G1061" s="303"/>
      <c r="H1061" s="304"/>
    </row>
    <row r="1062">
      <c r="A1062" s="302" t="s">
        <v>47</v>
      </c>
      <c r="B1062" s="291" t="s">
        <v>11308</v>
      </c>
      <c r="C1062" s="292" t="s">
        <v>48</v>
      </c>
      <c r="D1062" s="293">
        <f t="shared" si="2"/>
        <v>1</v>
      </c>
      <c r="E1062" s="294"/>
      <c r="F1062" s="295" t="str">
        <f>IFERROR(__xludf.DUMMYFUNCTION("IF(B1062="""","""",IFERROR(VLOOKUP(TO_TEXT(B1062),PEDIDOS!D:I,6,0),IFERROR(VLOOKUP(B1062*1,PEDIDOS!D:I,6,0),"" "")))"),"ENTREGUE")</f>
        <v>ENTREGUE</v>
      </c>
      <c r="G1062" s="303"/>
      <c r="H1062" s="304"/>
    </row>
    <row r="1063">
      <c r="A1063" s="302" t="s">
        <v>47</v>
      </c>
      <c r="B1063" s="291" t="s">
        <v>11304</v>
      </c>
      <c r="C1063" s="292" t="s">
        <v>48</v>
      </c>
      <c r="D1063" s="293">
        <f t="shared" si="2"/>
        <v>1</v>
      </c>
      <c r="E1063" s="294"/>
      <c r="F1063" s="295" t="str">
        <f>IFERROR(__xludf.DUMMYFUNCTION("IF(B1063="""","""",IFERROR(VLOOKUP(TO_TEXT(B1063),PEDIDOS!D:I,6,0),IFERROR(VLOOKUP(B1063*1,PEDIDOS!D:I,6,0),"" "")))"),"ENTREGUE")</f>
        <v>ENTREGUE</v>
      </c>
      <c r="G1063" s="303"/>
      <c r="H1063" s="304"/>
    </row>
    <row r="1064">
      <c r="A1064" s="302" t="s">
        <v>47</v>
      </c>
      <c r="B1064" s="291" t="s">
        <v>12043</v>
      </c>
      <c r="C1064" s="292" t="s">
        <v>48</v>
      </c>
      <c r="D1064" s="293">
        <f t="shared" si="2"/>
        <v>1</v>
      </c>
      <c r="E1064" s="294"/>
      <c r="F1064" s="295" t="str">
        <f>IFERROR(__xludf.DUMMYFUNCTION("IF(B1064="""","""",IFERROR(VLOOKUP(TO_TEXT(B1064),PEDIDOS!D:I,6,0),IFERROR(VLOOKUP(B1064*1,PEDIDOS!D:I,6,0),"" "")))"),"ENTREGUE")</f>
        <v>ENTREGUE</v>
      </c>
      <c r="G1064" s="303"/>
      <c r="H1064" s="304"/>
    </row>
    <row r="1065">
      <c r="A1065" s="302" t="s">
        <v>47</v>
      </c>
      <c r="B1065" s="291" t="s">
        <v>23352</v>
      </c>
      <c r="C1065" s="292" t="s">
        <v>48</v>
      </c>
      <c r="D1065" s="293">
        <f t="shared" si="2"/>
        <v>1</v>
      </c>
      <c r="E1065" s="294"/>
      <c r="F1065" s="295" t="str">
        <f>IFERROR(__xludf.DUMMYFUNCTION("IF(B1065="""","""",IFERROR(VLOOKUP(TO_TEXT(B1065),PEDIDOS!D:I,6,0),IFERROR(VLOOKUP(B1065*1,PEDIDOS!D:I,6,0),"" "")))")," ")</f>
        <v> </v>
      </c>
      <c r="G1065" s="303" t="s">
        <v>23350</v>
      </c>
      <c r="H1065" s="304"/>
    </row>
    <row r="1066">
      <c r="A1066" s="302" t="s">
        <v>47</v>
      </c>
      <c r="B1066" s="291" t="s">
        <v>23353</v>
      </c>
      <c r="C1066" s="292" t="s">
        <v>48</v>
      </c>
      <c r="D1066" s="293">
        <f t="shared" si="2"/>
        <v>1</v>
      </c>
      <c r="E1066" s="294"/>
      <c r="F1066" s="295" t="str">
        <f>IFERROR(__xludf.DUMMYFUNCTION("IF(B1066="""","""",IFERROR(VLOOKUP(TO_TEXT(B1066),PEDIDOS!D:I,6,0),IFERROR(VLOOKUP(B1066*1,PEDIDOS!D:I,6,0),"" "")))")," ")</f>
        <v> </v>
      </c>
      <c r="G1066" s="303" t="s">
        <v>23350</v>
      </c>
      <c r="H1066" s="304"/>
    </row>
    <row r="1067">
      <c r="A1067" s="302" t="s">
        <v>47</v>
      </c>
      <c r="B1067" s="291" t="s">
        <v>12058</v>
      </c>
      <c r="C1067" s="292" t="s">
        <v>48</v>
      </c>
      <c r="D1067" s="293">
        <f t="shared" si="2"/>
        <v>1</v>
      </c>
      <c r="E1067" s="294"/>
      <c r="F1067" s="295" t="str">
        <f>IFERROR(__xludf.DUMMYFUNCTION("IF(B1067="""","""",IFERROR(VLOOKUP(TO_TEXT(B1067),PEDIDOS!D:I,6,0),IFERROR(VLOOKUP(B1067*1,PEDIDOS!D:I,6,0),"" "")))"),"ENTREGUE")</f>
        <v>ENTREGUE</v>
      </c>
      <c r="G1067" s="303"/>
      <c r="H1067" s="304"/>
    </row>
    <row r="1068">
      <c r="A1068" s="302" t="s">
        <v>47</v>
      </c>
      <c r="B1068" s="291" t="s">
        <v>8603</v>
      </c>
      <c r="C1068" s="292" t="s">
        <v>48</v>
      </c>
      <c r="D1068" s="293">
        <f t="shared" si="2"/>
        <v>1</v>
      </c>
      <c r="E1068" s="294"/>
      <c r="F1068" s="295" t="str">
        <f>IFERROR(__xludf.DUMMYFUNCTION("IF(B1068="""","""",IFERROR(VLOOKUP(TO_TEXT(B1068),PEDIDOS!D:I,6,0),IFERROR(VLOOKUP(B1068*1,PEDIDOS!D:I,6,0),"" "")))"),"ENTREGUE")</f>
        <v>ENTREGUE</v>
      </c>
      <c r="G1068" s="303"/>
      <c r="H1068" s="304"/>
    </row>
    <row r="1069">
      <c r="A1069" s="302" t="s">
        <v>47</v>
      </c>
      <c r="B1069" s="291" t="s">
        <v>23354</v>
      </c>
      <c r="C1069" s="292" t="s">
        <v>48</v>
      </c>
      <c r="D1069" s="293">
        <f t="shared" si="2"/>
        <v>1</v>
      </c>
      <c r="E1069" s="294"/>
      <c r="F1069" s="295" t="str">
        <f>IFERROR(__xludf.DUMMYFUNCTION("IF(B1069="""","""",IFERROR(VLOOKUP(TO_TEXT(B1069),PEDIDOS!D:I,6,0),IFERROR(VLOOKUP(B1069*1,PEDIDOS!D:I,6,0),"" "")))")," ")</f>
        <v> </v>
      </c>
      <c r="G1069" s="303" t="s">
        <v>23350</v>
      </c>
      <c r="H1069" s="304"/>
    </row>
    <row r="1070">
      <c r="A1070" s="302" t="s">
        <v>47</v>
      </c>
      <c r="B1070" s="291" t="s">
        <v>12062</v>
      </c>
      <c r="C1070" s="292" t="s">
        <v>48</v>
      </c>
      <c r="D1070" s="293">
        <f t="shared" si="2"/>
        <v>1</v>
      </c>
      <c r="E1070" s="294"/>
      <c r="F1070" s="295" t="str">
        <f>IFERROR(__xludf.DUMMYFUNCTION("IF(B1070="""","""",IFERROR(VLOOKUP(TO_TEXT(B1070),PEDIDOS!D:I,6,0),IFERROR(VLOOKUP(B1070*1,PEDIDOS!D:I,6,0),"" "")))"),"ENTREGUE")</f>
        <v>ENTREGUE</v>
      </c>
      <c r="G1070" s="303"/>
      <c r="H1070" s="304"/>
    </row>
    <row r="1071">
      <c r="A1071" s="302" t="s">
        <v>47</v>
      </c>
      <c r="B1071" s="291" t="s">
        <v>23355</v>
      </c>
      <c r="C1071" s="292" t="s">
        <v>48</v>
      </c>
      <c r="D1071" s="293">
        <f t="shared" si="2"/>
        <v>1</v>
      </c>
      <c r="E1071" s="294"/>
      <c r="F1071" s="295" t="str">
        <f>IFERROR(__xludf.DUMMYFUNCTION("IF(B1071="""","""",IFERROR(VLOOKUP(TO_TEXT(B1071),PEDIDOS!D:I,6,0),IFERROR(VLOOKUP(B1071*1,PEDIDOS!D:I,6,0),"" "")))")," ")</f>
        <v> </v>
      </c>
      <c r="G1071" s="303" t="s">
        <v>23350</v>
      </c>
      <c r="H1071" s="304"/>
    </row>
    <row r="1072">
      <c r="A1072" s="302" t="s">
        <v>47</v>
      </c>
      <c r="B1072" s="291" t="s">
        <v>11838</v>
      </c>
      <c r="C1072" s="292" t="s">
        <v>48</v>
      </c>
      <c r="D1072" s="293">
        <f t="shared" si="2"/>
        <v>1</v>
      </c>
      <c r="E1072" s="294"/>
      <c r="F1072" s="295" t="str">
        <f>IFERROR(__xludf.DUMMYFUNCTION("IF(B1072="""","""",IFERROR(VLOOKUP(TO_TEXT(B1072),PEDIDOS!D:I,6,0),IFERROR(VLOOKUP(B1072*1,PEDIDOS!D:I,6,0),"" "")))"),"ENTREGUE")</f>
        <v>ENTREGUE</v>
      </c>
      <c r="G1072" s="303"/>
      <c r="H1072" s="304"/>
    </row>
    <row r="1073">
      <c r="A1073" s="302" t="s">
        <v>47</v>
      </c>
      <c r="B1073" s="291" t="s">
        <v>11738</v>
      </c>
      <c r="C1073" s="292" t="s">
        <v>48</v>
      </c>
      <c r="D1073" s="293">
        <f t="shared" si="2"/>
        <v>1</v>
      </c>
      <c r="E1073" s="294"/>
      <c r="F1073" s="295" t="str">
        <f>IFERROR(__xludf.DUMMYFUNCTION("IF(B1073="""","""",IFERROR(VLOOKUP(TO_TEXT(B1073),PEDIDOS!D:I,6,0),IFERROR(VLOOKUP(B1073*1,PEDIDOS!D:I,6,0),"" "")))"),"ENTREGUE")</f>
        <v>ENTREGUE</v>
      </c>
      <c r="G1073" s="303"/>
      <c r="H1073" s="304"/>
    </row>
    <row r="1074">
      <c r="A1074" s="302" t="s">
        <v>47</v>
      </c>
      <c r="B1074" s="291" t="s">
        <v>11782</v>
      </c>
      <c r="C1074" s="292" t="s">
        <v>48</v>
      </c>
      <c r="D1074" s="293">
        <f t="shared" si="2"/>
        <v>1</v>
      </c>
      <c r="E1074" s="294"/>
      <c r="F1074" s="295" t="str">
        <f>IFERROR(__xludf.DUMMYFUNCTION("IF(B1074="""","""",IFERROR(VLOOKUP(TO_TEXT(B1074),PEDIDOS!D:I,6,0),IFERROR(VLOOKUP(B1074*1,PEDIDOS!D:I,6,0),"" "")))"),"ENTREGUE")</f>
        <v>ENTREGUE</v>
      </c>
      <c r="G1074" s="303"/>
      <c r="H1074" s="304"/>
    </row>
    <row r="1075">
      <c r="A1075" s="302" t="s">
        <v>47</v>
      </c>
      <c r="B1075" s="291" t="s">
        <v>8700</v>
      </c>
      <c r="C1075" s="292" t="s">
        <v>48</v>
      </c>
      <c r="D1075" s="293">
        <f t="shared" si="2"/>
        <v>1</v>
      </c>
      <c r="E1075" s="294"/>
      <c r="F1075" s="295" t="str">
        <f>IFERROR(__xludf.DUMMYFUNCTION("IF(B1075="""","""",IFERROR(VLOOKUP(TO_TEXT(B1075),PEDIDOS!D:I,6,0),IFERROR(VLOOKUP(B1075*1,PEDIDOS!D:I,6,0),"" "")))"),"ENTREGUE")</f>
        <v>ENTREGUE</v>
      </c>
      <c r="G1075" s="303"/>
      <c r="H1075" s="304"/>
    </row>
    <row r="1076">
      <c r="A1076" s="302" t="s">
        <v>47</v>
      </c>
      <c r="B1076" s="291" t="s">
        <v>11703</v>
      </c>
      <c r="C1076" s="292" t="s">
        <v>48</v>
      </c>
      <c r="D1076" s="293">
        <f t="shared" si="2"/>
        <v>1</v>
      </c>
      <c r="E1076" s="294"/>
      <c r="F1076" s="295" t="str">
        <f>IFERROR(__xludf.DUMMYFUNCTION("IF(B1076="""","""",IFERROR(VLOOKUP(TO_TEXT(B1076),PEDIDOS!D:I,6,0),IFERROR(VLOOKUP(B1076*1,PEDIDOS!D:I,6,0),"" "")))"),"ENTREGUE")</f>
        <v>ENTREGUE</v>
      </c>
      <c r="G1076" s="303"/>
      <c r="H1076" s="304"/>
    </row>
    <row r="1077">
      <c r="A1077" s="302" t="s">
        <v>47</v>
      </c>
      <c r="B1077" s="291" t="s">
        <v>11734</v>
      </c>
      <c r="C1077" s="292" t="s">
        <v>48</v>
      </c>
      <c r="D1077" s="293">
        <f t="shared" si="2"/>
        <v>1</v>
      </c>
      <c r="E1077" s="294"/>
      <c r="F1077" s="295" t="str">
        <f>IFERROR(__xludf.DUMMYFUNCTION("IF(B1077="""","""",IFERROR(VLOOKUP(TO_TEXT(B1077),PEDIDOS!D:I,6,0),IFERROR(VLOOKUP(B1077*1,PEDIDOS!D:I,6,0),"" "")))"),"ENTREGUE")</f>
        <v>ENTREGUE</v>
      </c>
      <c r="G1077" s="303"/>
      <c r="H1077" s="304"/>
    </row>
    <row r="1078">
      <c r="A1078" s="302" t="s">
        <v>47</v>
      </c>
      <c r="B1078" s="291" t="s">
        <v>11791</v>
      </c>
      <c r="C1078" s="292" t="s">
        <v>48</v>
      </c>
      <c r="D1078" s="293">
        <f t="shared" si="2"/>
        <v>1</v>
      </c>
      <c r="E1078" s="294"/>
      <c r="F1078" s="295" t="str">
        <f>IFERROR(__xludf.DUMMYFUNCTION("IF(B1078="""","""",IFERROR(VLOOKUP(TO_TEXT(B1078),PEDIDOS!D:I,6,0),IFERROR(VLOOKUP(B1078*1,PEDIDOS!D:I,6,0),"" "")))"),"ENTREGUE")</f>
        <v>ENTREGUE</v>
      </c>
      <c r="G1078" s="303"/>
      <c r="H1078" s="304"/>
    </row>
    <row r="1079">
      <c r="A1079" s="302" t="s">
        <v>47</v>
      </c>
      <c r="B1079" s="291" t="s">
        <v>11821</v>
      </c>
      <c r="C1079" s="292" t="s">
        <v>48</v>
      </c>
      <c r="D1079" s="293">
        <f t="shared" si="2"/>
        <v>1</v>
      </c>
      <c r="E1079" s="294"/>
      <c r="F1079" s="295" t="str">
        <f>IFERROR(__xludf.DUMMYFUNCTION("IF(B1079="""","""",IFERROR(VLOOKUP(TO_TEXT(B1079),PEDIDOS!D:I,6,0),IFERROR(VLOOKUP(B1079*1,PEDIDOS!D:I,6,0),"" "")))"),"ENTREGUE")</f>
        <v>ENTREGUE</v>
      </c>
      <c r="G1079" s="303"/>
      <c r="H1079" s="304"/>
    </row>
    <row r="1080">
      <c r="A1080" s="302" t="s">
        <v>47</v>
      </c>
      <c r="B1080" s="291" t="s">
        <v>23356</v>
      </c>
      <c r="C1080" s="292" t="s">
        <v>48</v>
      </c>
      <c r="D1080" s="293">
        <f t="shared" si="2"/>
        <v>1</v>
      </c>
      <c r="E1080" s="294"/>
      <c r="F1080" s="295" t="str">
        <f>IFERROR(__xludf.DUMMYFUNCTION("IF(B1080="""","""",IFERROR(VLOOKUP(TO_TEXT(B1080),PEDIDOS!D:I,6,0),IFERROR(VLOOKUP(B1080*1,PEDIDOS!D:I,6,0),"" "")))")," ")</f>
        <v> </v>
      </c>
      <c r="G1080" s="303" t="s">
        <v>23350</v>
      </c>
      <c r="H1080" s="304"/>
    </row>
    <row r="1081">
      <c r="A1081" s="302" t="s">
        <v>47</v>
      </c>
      <c r="B1081" s="291" t="s">
        <v>23357</v>
      </c>
      <c r="C1081" s="292" t="s">
        <v>48</v>
      </c>
      <c r="D1081" s="293">
        <f t="shared" si="2"/>
        <v>1</v>
      </c>
      <c r="E1081" s="294"/>
      <c r="F1081" s="295" t="str">
        <f>IFERROR(__xludf.DUMMYFUNCTION("IF(B1081="""","""",IFERROR(VLOOKUP(TO_TEXT(B1081),PEDIDOS!D:I,6,0),IFERROR(VLOOKUP(B1081*1,PEDIDOS!D:I,6,0),"" "")))")," ")</f>
        <v> </v>
      </c>
      <c r="G1081" s="307" t="s">
        <v>23334</v>
      </c>
      <c r="H1081" s="304"/>
    </row>
    <row r="1082">
      <c r="A1082" s="302" t="s">
        <v>47</v>
      </c>
      <c r="B1082" s="291" t="s">
        <v>23358</v>
      </c>
      <c r="C1082" s="292" t="s">
        <v>48</v>
      </c>
      <c r="D1082" s="293">
        <f t="shared" si="2"/>
        <v>1</v>
      </c>
      <c r="E1082" s="294"/>
      <c r="F1082" s="295" t="str">
        <f>IFERROR(__xludf.DUMMYFUNCTION("IF(B1082="""","""",IFERROR(VLOOKUP(TO_TEXT(B1082),PEDIDOS!D:I,6,0),IFERROR(VLOOKUP(B1082*1,PEDIDOS!D:I,6,0),"" "")))")," ")</f>
        <v> </v>
      </c>
      <c r="G1082" s="303" t="s">
        <v>23350</v>
      </c>
      <c r="H1082" s="304"/>
    </row>
    <row r="1083">
      <c r="A1083" s="302" t="s">
        <v>47</v>
      </c>
      <c r="B1083" s="291" t="s">
        <v>11676</v>
      </c>
      <c r="C1083" s="292" t="s">
        <v>48</v>
      </c>
      <c r="D1083" s="293">
        <f t="shared" si="2"/>
        <v>1</v>
      </c>
      <c r="E1083" s="294"/>
      <c r="F1083" s="295" t="str">
        <f>IFERROR(__xludf.DUMMYFUNCTION("IF(B1083="""","""",IFERROR(VLOOKUP(TO_TEXT(B1083),PEDIDOS!D:I,6,0),IFERROR(VLOOKUP(B1083*1,PEDIDOS!D:I,6,0),"" "")))"),"ENTREGUE")</f>
        <v>ENTREGUE</v>
      </c>
      <c r="G1083" s="303"/>
      <c r="H1083" s="304"/>
    </row>
    <row r="1084">
      <c r="A1084" s="302" t="s">
        <v>47</v>
      </c>
      <c r="B1084" s="291" t="s">
        <v>23359</v>
      </c>
      <c r="C1084" s="292" t="s">
        <v>48</v>
      </c>
      <c r="D1084" s="293">
        <f t="shared" si="2"/>
        <v>1</v>
      </c>
      <c r="E1084" s="294"/>
      <c r="F1084" s="295" t="str">
        <f>IFERROR(__xludf.DUMMYFUNCTION("IF(B1084="""","""",IFERROR(VLOOKUP(TO_TEXT(B1084),PEDIDOS!D:I,6,0),IFERROR(VLOOKUP(B1084*1,PEDIDOS!D:I,6,0),"" "")))")," ")</f>
        <v> </v>
      </c>
      <c r="G1084" s="307" t="s">
        <v>23334</v>
      </c>
      <c r="H1084" s="304"/>
    </row>
    <row r="1085">
      <c r="A1085" s="302" t="s">
        <v>47</v>
      </c>
      <c r="B1085" s="291" t="s">
        <v>12498</v>
      </c>
      <c r="C1085" s="292" t="s">
        <v>48</v>
      </c>
      <c r="D1085" s="293">
        <f t="shared" si="2"/>
        <v>1</v>
      </c>
      <c r="E1085" s="294"/>
      <c r="F1085" s="295" t="str">
        <f>IFERROR(__xludf.DUMMYFUNCTION("IF(B1085="""","""",IFERROR(VLOOKUP(TO_TEXT(B1085),PEDIDOS!D:I,6,0),IFERROR(VLOOKUP(B1085*1,PEDIDOS!D:I,6,0),"" "")))"),"ENTREGUE")</f>
        <v>ENTREGUE</v>
      </c>
      <c r="G1085" s="303"/>
      <c r="H1085" s="304"/>
    </row>
    <row r="1086">
      <c r="A1086" s="302" t="s">
        <v>47</v>
      </c>
      <c r="B1086" s="291" t="s">
        <v>12248</v>
      </c>
      <c r="C1086" s="292" t="s">
        <v>48</v>
      </c>
      <c r="D1086" s="293">
        <f t="shared" si="2"/>
        <v>1</v>
      </c>
      <c r="E1086" s="294"/>
      <c r="F1086" s="295" t="str">
        <f>IFERROR(__xludf.DUMMYFUNCTION("IF(B1086="""","""",IFERROR(VLOOKUP(TO_TEXT(B1086),PEDIDOS!D:I,6,0),IFERROR(VLOOKUP(B1086*1,PEDIDOS!D:I,6,0),"" "")))"),"ENTREGUE")</f>
        <v>ENTREGUE</v>
      </c>
      <c r="G1086" s="303"/>
      <c r="H1086" s="304"/>
    </row>
    <row r="1087">
      <c r="A1087" s="302" t="s">
        <v>47</v>
      </c>
      <c r="B1087" s="291" t="s">
        <v>12469</v>
      </c>
      <c r="C1087" s="292" t="s">
        <v>48</v>
      </c>
      <c r="D1087" s="293">
        <f t="shared" si="2"/>
        <v>1</v>
      </c>
      <c r="E1087" s="294"/>
      <c r="F1087" s="295" t="str">
        <f>IFERROR(__xludf.DUMMYFUNCTION("IF(B1087="""","""",IFERROR(VLOOKUP(TO_TEXT(B1087),PEDIDOS!D:I,6,0),IFERROR(VLOOKUP(B1087*1,PEDIDOS!D:I,6,0),"" "")))"),"ENTREGUE")</f>
        <v>ENTREGUE</v>
      </c>
      <c r="G1087" s="303"/>
      <c r="H1087" s="304"/>
    </row>
    <row r="1088">
      <c r="A1088" s="302" t="s">
        <v>47</v>
      </c>
      <c r="B1088" s="291" t="s">
        <v>12613</v>
      </c>
      <c r="C1088" s="292" t="s">
        <v>48</v>
      </c>
      <c r="D1088" s="293">
        <f t="shared" si="2"/>
        <v>1</v>
      </c>
      <c r="E1088" s="294"/>
      <c r="F1088" s="295" t="str">
        <f>IFERROR(__xludf.DUMMYFUNCTION("IF(B1088="""","""",IFERROR(VLOOKUP(TO_TEXT(B1088),PEDIDOS!D:I,6,0),IFERROR(VLOOKUP(B1088*1,PEDIDOS!D:I,6,0),"" "")))"),"ENTREGUE")</f>
        <v>ENTREGUE</v>
      </c>
      <c r="G1088" s="303"/>
      <c r="H1088" s="304"/>
    </row>
    <row r="1089">
      <c r="A1089" s="302" t="s">
        <v>47</v>
      </c>
      <c r="B1089" s="291" t="s">
        <v>12558</v>
      </c>
      <c r="C1089" s="292" t="s">
        <v>48</v>
      </c>
      <c r="D1089" s="293">
        <f t="shared" si="2"/>
        <v>1</v>
      </c>
      <c r="E1089" s="294"/>
      <c r="F1089" s="295" t="str">
        <f>IFERROR(__xludf.DUMMYFUNCTION("IF(B1089="""","""",IFERROR(VLOOKUP(TO_TEXT(B1089),PEDIDOS!D:I,6,0),IFERROR(VLOOKUP(B1089*1,PEDIDOS!D:I,6,0),"" "")))"),"ENTREGUE")</f>
        <v>ENTREGUE</v>
      </c>
      <c r="G1089" s="303"/>
      <c r="H1089" s="304"/>
    </row>
    <row r="1090">
      <c r="A1090" s="302" t="s">
        <v>47</v>
      </c>
      <c r="B1090" s="291" t="s">
        <v>23360</v>
      </c>
      <c r="C1090" s="292" t="s">
        <v>48</v>
      </c>
      <c r="D1090" s="293">
        <f t="shared" si="2"/>
        <v>1</v>
      </c>
      <c r="E1090" s="294"/>
      <c r="F1090" s="295" t="str">
        <f>IFERROR(__xludf.DUMMYFUNCTION("IF(B1090="""","""",IFERROR(VLOOKUP(TO_TEXT(B1090),PEDIDOS!D:I,6,0),IFERROR(VLOOKUP(B1090*1,PEDIDOS!D:I,6,0),"" "")))")," ")</f>
        <v> </v>
      </c>
      <c r="G1090" s="303" t="s">
        <v>23350</v>
      </c>
      <c r="H1090" s="304"/>
    </row>
    <row r="1091">
      <c r="A1091" s="302" t="s">
        <v>47</v>
      </c>
      <c r="B1091" s="291" t="s">
        <v>12749</v>
      </c>
      <c r="C1091" s="292" t="s">
        <v>48</v>
      </c>
      <c r="D1091" s="293">
        <f t="shared" si="2"/>
        <v>1</v>
      </c>
      <c r="E1091" s="294"/>
      <c r="F1091" s="295" t="str">
        <f>IFERROR(__xludf.DUMMYFUNCTION("IF(B1091="""","""",IFERROR(VLOOKUP(TO_TEXT(B1091),PEDIDOS!D:I,6,0),IFERROR(VLOOKUP(B1091*1,PEDIDOS!D:I,6,0),"" "")))"),"ENTREGUE")</f>
        <v>ENTREGUE</v>
      </c>
      <c r="G1091" s="303"/>
      <c r="H1091" s="304"/>
    </row>
    <row r="1092">
      <c r="A1092" s="302" t="s">
        <v>91</v>
      </c>
      <c r="B1092" s="291" t="s">
        <v>5742</v>
      </c>
      <c r="C1092" s="292" t="s">
        <v>48</v>
      </c>
      <c r="D1092" s="293">
        <f t="shared" si="2"/>
        <v>1</v>
      </c>
      <c r="E1092" s="294"/>
      <c r="F1092" s="295" t="str">
        <f>IFERROR(__xludf.DUMMYFUNCTION("IF(B1092="""","""",IFERROR(VLOOKUP(TO_TEXT(B1092),PEDIDOS!D:I,6,0),IFERROR(VLOOKUP(B1092*1,PEDIDOS!D:I,6,0),"" "")))"),"ENTREGUE")</f>
        <v>ENTREGUE</v>
      </c>
      <c r="G1092" s="303"/>
      <c r="H1092" s="304"/>
    </row>
    <row r="1093">
      <c r="A1093" s="302" t="s">
        <v>91</v>
      </c>
      <c r="B1093" s="291" t="s">
        <v>5808</v>
      </c>
      <c r="C1093" s="292" t="s">
        <v>48</v>
      </c>
      <c r="D1093" s="293">
        <f t="shared" si="2"/>
        <v>1</v>
      </c>
      <c r="E1093" s="294"/>
      <c r="F1093" s="295" t="str">
        <f>IFERROR(__xludf.DUMMYFUNCTION("IF(B1093="""","""",IFERROR(VLOOKUP(TO_TEXT(B1093),PEDIDOS!D:I,6,0),IFERROR(VLOOKUP(B1093*1,PEDIDOS!D:I,6,0),"" "")))"),"ENTREGUE")</f>
        <v>ENTREGUE</v>
      </c>
      <c r="G1093" s="303"/>
      <c r="H1093" s="304"/>
    </row>
    <row r="1094">
      <c r="A1094" s="302" t="s">
        <v>91</v>
      </c>
      <c r="B1094" s="291" t="s">
        <v>11716</v>
      </c>
      <c r="C1094" s="292" t="s">
        <v>48</v>
      </c>
      <c r="D1094" s="293">
        <f t="shared" si="2"/>
        <v>1</v>
      </c>
      <c r="E1094" s="294"/>
      <c r="F1094" s="295" t="str">
        <f>IFERROR(__xludf.DUMMYFUNCTION("IF(B1094="""","""",IFERROR(VLOOKUP(TO_TEXT(B1094),PEDIDOS!D:I,6,0),IFERROR(VLOOKUP(B1094*1,PEDIDOS!D:I,6,0),"" "")))"),"ENTREGUE")</f>
        <v>ENTREGUE</v>
      </c>
      <c r="G1094" s="303"/>
      <c r="H1094" s="304"/>
    </row>
    <row r="1095">
      <c r="A1095" s="302" t="s">
        <v>91</v>
      </c>
      <c r="B1095" s="291" t="s">
        <v>5527</v>
      </c>
      <c r="C1095" s="292" t="s">
        <v>48</v>
      </c>
      <c r="D1095" s="293">
        <f t="shared" si="2"/>
        <v>1</v>
      </c>
      <c r="E1095" s="294"/>
      <c r="F1095" s="295" t="str">
        <f>IFERROR(__xludf.DUMMYFUNCTION("IF(B1095="""","""",IFERROR(VLOOKUP(TO_TEXT(B1095),PEDIDOS!D:I,6,0),IFERROR(VLOOKUP(B1095*1,PEDIDOS!D:I,6,0),"" "")))"),"ENTREGUE")</f>
        <v>ENTREGUE</v>
      </c>
      <c r="G1095" s="303"/>
      <c r="H1095" s="304"/>
    </row>
    <row r="1096">
      <c r="A1096" s="302" t="s">
        <v>91</v>
      </c>
      <c r="B1096" s="291" t="s">
        <v>6758</v>
      </c>
      <c r="C1096" s="292" t="s">
        <v>48</v>
      </c>
      <c r="D1096" s="293">
        <f t="shared" si="2"/>
        <v>1</v>
      </c>
      <c r="E1096" s="294"/>
      <c r="F1096" s="295" t="str">
        <f>IFERROR(__xludf.DUMMYFUNCTION("IF(B1096="""","""",IFERROR(VLOOKUP(TO_TEXT(B1096),PEDIDOS!D:I,6,0),IFERROR(VLOOKUP(B1096*1,PEDIDOS!D:I,6,0),"" "")))"),"ENTREGUE")</f>
        <v>ENTREGUE</v>
      </c>
      <c r="G1096" s="303"/>
      <c r="H1096" s="304"/>
    </row>
    <row r="1097">
      <c r="A1097" s="302" t="s">
        <v>91</v>
      </c>
      <c r="B1097" s="291" t="s">
        <v>6410</v>
      </c>
      <c r="C1097" s="292" t="s">
        <v>48</v>
      </c>
      <c r="D1097" s="293">
        <f t="shared" si="2"/>
        <v>1</v>
      </c>
      <c r="E1097" s="294"/>
      <c r="F1097" s="295" t="str">
        <f>IFERROR(__xludf.DUMMYFUNCTION("IF(B1097="""","""",IFERROR(VLOOKUP(TO_TEXT(B1097),PEDIDOS!D:I,6,0),IFERROR(VLOOKUP(B1097*1,PEDIDOS!D:I,6,0),"" "")))"),"ENTREGUE")</f>
        <v>ENTREGUE</v>
      </c>
      <c r="G1097" s="303"/>
      <c r="H1097" s="304"/>
    </row>
    <row r="1098">
      <c r="A1098" s="302" t="s">
        <v>91</v>
      </c>
      <c r="B1098" s="291" t="s">
        <v>6590</v>
      </c>
      <c r="C1098" s="292" t="s">
        <v>48</v>
      </c>
      <c r="D1098" s="293">
        <f t="shared" si="2"/>
        <v>1</v>
      </c>
      <c r="E1098" s="294"/>
      <c r="F1098" s="295" t="str">
        <f>IFERROR(__xludf.DUMMYFUNCTION("IF(B1098="""","""",IFERROR(VLOOKUP(TO_TEXT(B1098),PEDIDOS!D:I,6,0),IFERROR(VLOOKUP(B1098*1,PEDIDOS!D:I,6,0),"" "")))"),"ENTREGUE")</f>
        <v>ENTREGUE</v>
      </c>
      <c r="G1098" s="303"/>
      <c r="H1098" s="304"/>
    </row>
    <row r="1099">
      <c r="A1099" s="302" t="s">
        <v>91</v>
      </c>
      <c r="B1099" s="291" t="s">
        <v>6725</v>
      </c>
      <c r="C1099" s="292" t="s">
        <v>48</v>
      </c>
      <c r="D1099" s="293">
        <f t="shared" si="2"/>
        <v>1</v>
      </c>
      <c r="E1099" s="294"/>
      <c r="F1099" s="295" t="str">
        <f>IFERROR(__xludf.DUMMYFUNCTION("IF(B1099="""","""",IFERROR(VLOOKUP(TO_TEXT(B1099),PEDIDOS!D:I,6,0),IFERROR(VLOOKUP(B1099*1,PEDIDOS!D:I,6,0),"" "")))"),"ENTREGUE")</f>
        <v>ENTREGUE</v>
      </c>
      <c r="G1099" s="303"/>
      <c r="H1099" s="304"/>
    </row>
    <row r="1100">
      <c r="A1100" s="302" t="s">
        <v>91</v>
      </c>
      <c r="B1100" s="291" t="s">
        <v>6415</v>
      </c>
      <c r="C1100" s="292" t="s">
        <v>48</v>
      </c>
      <c r="D1100" s="293">
        <f t="shared" si="2"/>
        <v>1</v>
      </c>
      <c r="E1100" s="294"/>
      <c r="F1100" s="295" t="str">
        <f>IFERROR(__xludf.DUMMYFUNCTION("IF(B1100="""","""",IFERROR(VLOOKUP(TO_TEXT(B1100),PEDIDOS!D:I,6,0),IFERROR(VLOOKUP(B1100*1,PEDIDOS!D:I,6,0),"" "")))"),"ENTREGUE")</f>
        <v>ENTREGUE</v>
      </c>
      <c r="G1100" s="303"/>
      <c r="H1100" s="304"/>
    </row>
    <row r="1101">
      <c r="A1101" s="302" t="s">
        <v>91</v>
      </c>
      <c r="B1101" s="291" t="s">
        <v>6125</v>
      </c>
      <c r="C1101" s="292" t="s">
        <v>48</v>
      </c>
      <c r="D1101" s="293">
        <f t="shared" si="2"/>
        <v>1</v>
      </c>
      <c r="E1101" s="294"/>
      <c r="F1101" s="295" t="str">
        <f>IFERROR(__xludf.DUMMYFUNCTION("IF(B1101="""","""",IFERROR(VLOOKUP(TO_TEXT(B1101),PEDIDOS!D:I,6,0),IFERROR(VLOOKUP(B1101*1,PEDIDOS!D:I,6,0),"" "")))"),"ENTREGUE")</f>
        <v>ENTREGUE</v>
      </c>
      <c r="G1101" s="303"/>
      <c r="H1101" s="304"/>
    </row>
    <row r="1102">
      <c r="A1102" s="302" t="s">
        <v>91</v>
      </c>
      <c r="B1102" s="291" t="s">
        <v>6458</v>
      </c>
      <c r="C1102" s="292" t="s">
        <v>48</v>
      </c>
      <c r="D1102" s="293">
        <f t="shared" si="2"/>
        <v>1</v>
      </c>
      <c r="E1102" s="294"/>
      <c r="F1102" s="295" t="str">
        <f>IFERROR(__xludf.DUMMYFUNCTION("IF(B1102="""","""",IFERROR(VLOOKUP(TO_TEXT(B1102),PEDIDOS!D:I,6,0),IFERROR(VLOOKUP(B1102*1,PEDIDOS!D:I,6,0),"" "")))"),"ENTREGUE")</f>
        <v>ENTREGUE</v>
      </c>
      <c r="G1102" s="303"/>
      <c r="H1102" s="304"/>
    </row>
    <row r="1103">
      <c r="A1103" s="302" t="s">
        <v>91</v>
      </c>
      <c r="B1103" s="291" t="s">
        <v>6184</v>
      </c>
      <c r="C1103" s="292" t="s">
        <v>48</v>
      </c>
      <c r="D1103" s="293">
        <f t="shared" si="2"/>
        <v>1</v>
      </c>
      <c r="E1103" s="294"/>
      <c r="F1103" s="295" t="str">
        <f>IFERROR(__xludf.DUMMYFUNCTION("IF(B1103="""","""",IFERROR(VLOOKUP(TO_TEXT(B1103),PEDIDOS!D:I,6,0),IFERROR(VLOOKUP(B1103*1,PEDIDOS!D:I,6,0),"" "")))"),"ENTREGUE")</f>
        <v>ENTREGUE</v>
      </c>
      <c r="G1103" s="303"/>
      <c r="H1103" s="304"/>
    </row>
    <row r="1104">
      <c r="A1104" s="302" t="s">
        <v>91</v>
      </c>
      <c r="B1104" s="291" t="s">
        <v>6250</v>
      </c>
      <c r="C1104" s="292" t="s">
        <v>48</v>
      </c>
      <c r="D1104" s="293">
        <f t="shared" si="2"/>
        <v>1</v>
      </c>
      <c r="E1104" s="294"/>
      <c r="F1104" s="295" t="str">
        <f>IFERROR(__xludf.DUMMYFUNCTION("IF(B1104="""","""",IFERROR(VLOOKUP(TO_TEXT(B1104),PEDIDOS!D:I,6,0),IFERROR(VLOOKUP(B1104*1,PEDIDOS!D:I,6,0),"" "")))"),"ENTREGUE")</f>
        <v>ENTREGUE</v>
      </c>
      <c r="G1104" s="303"/>
      <c r="H1104" s="304"/>
    </row>
    <row r="1105">
      <c r="A1105" s="302" t="s">
        <v>91</v>
      </c>
      <c r="B1105" s="291" t="s">
        <v>6769</v>
      </c>
      <c r="C1105" s="292" t="s">
        <v>48</v>
      </c>
      <c r="D1105" s="293">
        <f t="shared" si="2"/>
        <v>1</v>
      </c>
      <c r="E1105" s="294"/>
      <c r="F1105" s="295" t="str">
        <f>IFERROR(__xludf.DUMMYFUNCTION("IF(B1105="""","""",IFERROR(VLOOKUP(TO_TEXT(B1105),PEDIDOS!D:I,6,0),IFERROR(VLOOKUP(B1105*1,PEDIDOS!D:I,6,0),"" "")))"),"ENTREGUE")</f>
        <v>ENTREGUE</v>
      </c>
      <c r="G1105" s="303"/>
      <c r="H1105" s="304"/>
    </row>
    <row r="1106">
      <c r="A1106" s="302" t="s">
        <v>91</v>
      </c>
      <c r="B1106" s="291" t="s">
        <v>5971</v>
      </c>
      <c r="C1106" s="292" t="s">
        <v>48</v>
      </c>
      <c r="D1106" s="293">
        <f t="shared" si="2"/>
        <v>1</v>
      </c>
      <c r="E1106" s="294"/>
      <c r="F1106" s="295" t="str">
        <f>IFERROR(__xludf.DUMMYFUNCTION("IF(B1106="""","""",IFERROR(VLOOKUP(TO_TEXT(B1106),PEDIDOS!D:I,6,0),IFERROR(VLOOKUP(B1106*1,PEDIDOS!D:I,6,0),"" "")))"),"ENTREGUE")</f>
        <v>ENTREGUE</v>
      </c>
      <c r="G1106" s="303"/>
      <c r="H1106" s="304"/>
    </row>
    <row r="1107">
      <c r="A1107" s="302" t="s">
        <v>91</v>
      </c>
      <c r="B1107" s="291" t="s">
        <v>6593</v>
      </c>
      <c r="C1107" s="292" t="s">
        <v>48</v>
      </c>
      <c r="D1107" s="293">
        <f t="shared" si="2"/>
        <v>1</v>
      </c>
      <c r="E1107" s="294"/>
      <c r="F1107" s="295" t="str">
        <f>IFERROR(__xludf.DUMMYFUNCTION("IF(B1107="""","""",IFERROR(VLOOKUP(TO_TEXT(B1107),PEDIDOS!D:I,6,0),IFERROR(VLOOKUP(B1107*1,PEDIDOS!D:I,6,0),"" "")))"),"ENTREGUE")</f>
        <v>ENTREGUE</v>
      </c>
      <c r="G1107" s="303"/>
      <c r="H1107" s="304"/>
    </row>
    <row r="1108">
      <c r="A1108" s="302" t="s">
        <v>91</v>
      </c>
      <c r="B1108" s="291" t="s">
        <v>5646</v>
      </c>
      <c r="C1108" s="292" t="s">
        <v>48</v>
      </c>
      <c r="D1108" s="293">
        <f t="shared" si="2"/>
        <v>1</v>
      </c>
      <c r="E1108" s="294"/>
      <c r="F1108" s="295" t="str">
        <f>IFERROR(__xludf.DUMMYFUNCTION("IF(B1108="""","""",IFERROR(VLOOKUP(TO_TEXT(B1108),PEDIDOS!D:I,6,0),IFERROR(VLOOKUP(B1108*1,PEDIDOS!D:I,6,0),"" "")))"),"ENTREGUE")</f>
        <v>ENTREGUE</v>
      </c>
      <c r="G1108" s="303"/>
      <c r="H1108" s="304"/>
    </row>
    <row r="1109">
      <c r="A1109" s="302" t="s">
        <v>91</v>
      </c>
      <c r="B1109" s="291" t="s">
        <v>6168</v>
      </c>
      <c r="C1109" s="292" t="s">
        <v>48</v>
      </c>
      <c r="D1109" s="293">
        <f t="shared" si="2"/>
        <v>1</v>
      </c>
      <c r="E1109" s="294"/>
      <c r="F1109" s="295" t="str">
        <f>IFERROR(__xludf.DUMMYFUNCTION("IF(B1109="""","""",IFERROR(VLOOKUP(TO_TEXT(B1109),PEDIDOS!D:I,6,0),IFERROR(VLOOKUP(B1109*1,PEDIDOS!D:I,6,0),"" "")))"),"ENTREGUE")</f>
        <v>ENTREGUE</v>
      </c>
      <c r="G1109" s="303"/>
      <c r="H1109" s="304"/>
    </row>
    <row r="1110">
      <c r="A1110" s="302" t="s">
        <v>91</v>
      </c>
      <c r="B1110" s="291" t="s">
        <v>5867</v>
      </c>
      <c r="C1110" s="292" t="s">
        <v>48</v>
      </c>
      <c r="D1110" s="293">
        <f t="shared" si="2"/>
        <v>1</v>
      </c>
      <c r="E1110" s="294"/>
      <c r="F1110" s="295" t="str">
        <f>IFERROR(__xludf.DUMMYFUNCTION("IF(B1110="""","""",IFERROR(VLOOKUP(TO_TEXT(B1110),PEDIDOS!D:I,6,0),IFERROR(VLOOKUP(B1110*1,PEDIDOS!D:I,6,0),"" "")))"),"ENTREGUE")</f>
        <v>ENTREGUE</v>
      </c>
      <c r="G1110" s="303"/>
      <c r="H1110" s="304"/>
    </row>
    <row r="1111">
      <c r="A1111" s="302" t="s">
        <v>91</v>
      </c>
      <c r="B1111" s="291" t="s">
        <v>6138</v>
      </c>
      <c r="C1111" s="292" t="s">
        <v>48</v>
      </c>
      <c r="D1111" s="293">
        <f t="shared" si="2"/>
        <v>1</v>
      </c>
      <c r="E1111" s="294"/>
      <c r="F1111" s="295" t="str">
        <f>IFERROR(__xludf.DUMMYFUNCTION("IF(B1111="""","""",IFERROR(VLOOKUP(TO_TEXT(B1111),PEDIDOS!D:I,6,0),IFERROR(VLOOKUP(B1111*1,PEDIDOS!D:I,6,0),"" "")))"),"ENTREGUE")</f>
        <v>ENTREGUE</v>
      </c>
      <c r="G1111" s="303"/>
      <c r="H1111" s="304"/>
    </row>
    <row r="1112">
      <c r="A1112" s="302" t="s">
        <v>91</v>
      </c>
      <c r="B1112" s="291" t="s">
        <v>5870</v>
      </c>
      <c r="C1112" s="292" t="s">
        <v>48</v>
      </c>
      <c r="D1112" s="293">
        <f t="shared" si="2"/>
        <v>1</v>
      </c>
      <c r="E1112" s="294"/>
      <c r="F1112" s="295" t="str">
        <f>IFERROR(__xludf.DUMMYFUNCTION("IF(B1112="""","""",IFERROR(VLOOKUP(TO_TEXT(B1112),PEDIDOS!D:I,6,0),IFERROR(VLOOKUP(B1112*1,PEDIDOS!D:I,6,0),"" "")))"),"ENTREGUE")</f>
        <v>ENTREGUE</v>
      </c>
      <c r="G1112" s="303"/>
      <c r="H1112" s="304"/>
    </row>
    <row r="1113">
      <c r="A1113" s="302" t="s">
        <v>91</v>
      </c>
      <c r="B1113" s="291" t="s">
        <v>6298</v>
      </c>
      <c r="C1113" s="292" t="s">
        <v>48</v>
      </c>
      <c r="D1113" s="293">
        <f t="shared" si="2"/>
        <v>1</v>
      </c>
      <c r="E1113" s="294"/>
      <c r="F1113" s="295" t="str">
        <f>IFERROR(__xludf.DUMMYFUNCTION("IF(B1113="""","""",IFERROR(VLOOKUP(TO_TEXT(B1113),PEDIDOS!D:I,6,0),IFERROR(VLOOKUP(B1113*1,PEDIDOS!D:I,6,0),"" "")))"),"ENTREGUE")</f>
        <v>ENTREGUE</v>
      </c>
      <c r="G1113" s="303"/>
      <c r="H1113" s="304"/>
    </row>
    <row r="1114">
      <c r="A1114" s="302" t="s">
        <v>91</v>
      </c>
      <c r="B1114" s="291" t="s">
        <v>7099</v>
      </c>
      <c r="C1114" s="292" t="s">
        <v>48</v>
      </c>
      <c r="D1114" s="293">
        <f t="shared" si="2"/>
        <v>1</v>
      </c>
      <c r="E1114" s="294"/>
      <c r="F1114" s="295" t="str">
        <f>IFERROR(__xludf.DUMMYFUNCTION("IF(B1114="""","""",IFERROR(VLOOKUP(TO_TEXT(B1114),PEDIDOS!D:I,6,0),IFERROR(VLOOKUP(B1114*1,PEDIDOS!D:I,6,0),"" "")))"),"ENTREGUE")</f>
        <v>ENTREGUE</v>
      </c>
      <c r="G1114" s="303"/>
      <c r="H1114" s="304"/>
    </row>
    <row r="1115">
      <c r="A1115" s="302" t="s">
        <v>91</v>
      </c>
      <c r="B1115" s="291" t="s">
        <v>6516</v>
      </c>
      <c r="C1115" s="292" t="s">
        <v>48</v>
      </c>
      <c r="D1115" s="293">
        <f t="shared" si="2"/>
        <v>1</v>
      </c>
      <c r="E1115" s="294"/>
      <c r="F1115" s="295" t="str">
        <f>IFERROR(__xludf.DUMMYFUNCTION("IF(B1115="""","""",IFERROR(VLOOKUP(TO_TEXT(B1115),PEDIDOS!D:I,6,0),IFERROR(VLOOKUP(B1115*1,PEDIDOS!D:I,6,0),"" "")))"),"ENTREGUE")</f>
        <v>ENTREGUE</v>
      </c>
      <c r="G1115" s="303"/>
      <c r="H1115" s="304"/>
    </row>
    <row r="1116">
      <c r="A1116" s="302" t="s">
        <v>91</v>
      </c>
      <c r="B1116" s="291" t="s">
        <v>6512</v>
      </c>
      <c r="C1116" s="292" t="s">
        <v>48</v>
      </c>
      <c r="D1116" s="293">
        <f t="shared" si="2"/>
        <v>1</v>
      </c>
      <c r="E1116" s="294"/>
      <c r="F1116" s="295" t="str">
        <f>IFERROR(__xludf.DUMMYFUNCTION("IF(B1116="""","""",IFERROR(VLOOKUP(TO_TEXT(B1116),PEDIDOS!D:I,6,0),IFERROR(VLOOKUP(B1116*1,PEDIDOS!D:I,6,0),"" "")))"),"ENTREGUE")</f>
        <v>ENTREGUE</v>
      </c>
      <c r="G1116" s="303"/>
      <c r="H1116" s="304"/>
    </row>
    <row r="1117">
      <c r="A1117" s="302" t="s">
        <v>91</v>
      </c>
      <c r="B1117" s="291" t="s">
        <v>7418</v>
      </c>
      <c r="C1117" s="292" t="s">
        <v>48</v>
      </c>
      <c r="D1117" s="293">
        <f t="shared" si="2"/>
        <v>1</v>
      </c>
      <c r="E1117" s="294"/>
      <c r="F1117" s="295" t="str">
        <f>IFERROR(__xludf.DUMMYFUNCTION("IF(B1117="""","""",IFERROR(VLOOKUP(TO_TEXT(B1117),PEDIDOS!D:I,6,0),IFERROR(VLOOKUP(B1117*1,PEDIDOS!D:I,6,0),"" "")))"),"ENTREGUE")</f>
        <v>ENTREGUE</v>
      </c>
      <c r="G1117" s="303"/>
      <c r="H1117" s="304"/>
    </row>
    <row r="1118">
      <c r="A1118" s="302" t="s">
        <v>91</v>
      </c>
      <c r="B1118" s="291" t="s">
        <v>6826</v>
      </c>
      <c r="C1118" s="292" t="s">
        <v>48</v>
      </c>
      <c r="D1118" s="293">
        <f t="shared" si="2"/>
        <v>1</v>
      </c>
      <c r="E1118" s="294"/>
      <c r="F1118" s="295" t="str">
        <f>IFERROR(__xludf.DUMMYFUNCTION("IF(B1118="""","""",IFERROR(VLOOKUP(TO_TEXT(B1118),PEDIDOS!D:I,6,0),IFERROR(VLOOKUP(B1118*1,PEDIDOS!D:I,6,0),"" "")))"),"ENTREGUE")</f>
        <v>ENTREGUE</v>
      </c>
      <c r="G1118" s="303"/>
      <c r="H1118" s="304"/>
    </row>
    <row r="1119">
      <c r="A1119" s="302" t="s">
        <v>91</v>
      </c>
      <c r="B1119" s="291" t="s">
        <v>6766</v>
      </c>
      <c r="C1119" s="292" t="s">
        <v>48</v>
      </c>
      <c r="D1119" s="293">
        <f t="shared" si="2"/>
        <v>1</v>
      </c>
      <c r="E1119" s="294"/>
      <c r="F1119" s="295" t="str">
        <f>IFERROR(__xludf.DUMMYFUNCTION("IF(B1119="""","""",IFERROR(VLOOKUP(TO_TEXT(B1119),PEDIDOS!D:I,6,0),IFERROR(VLOOKUP(B1119*1,PEDIDOS!D:I,6,0),"" "")))"),"ENTREGUE")</f>
        <v>ENTREGUE</v>
      </c>
      <c r="G1119" s="303"/>
      <c r="H1119" s="304"/>
    </row>
    <row r="1120">
      <c r="A1120" s="302" t="s">
        <v>91</v>
      </c>
      <c r="B1120" s="291" t="s">
        <v>5805</v>
      </c>
      <c r="C1120" s="292" t="s">
        <v>48</v>
      </c>
      <c r="D1120" s="293">
        <f t="shared" si="2"/>
        <v>1</v>
      </c>
      <c r="E1120" s="294"/>
      <c r="F1120" s="295" t="str">
        <f>IFERROR(__xludf.DUMMYFUNCTION("IF(B1120="""","""",IFERROR(VLOOKUP(TO_TEXT(B1120),PEDIDOS!D:I,6,0),IFERROR(VLOOKUP(B1120*1,PEDIDOS!D:I,6,0),"" "")))"),"ENTREGUE")</f>
        <v>ENTREGUE</v>
      </c>
      <c r="G1120" s="303"/>
      <c r="H1120" s="304"/>
    </row>
    <row r="1121">
      <c r="A1121" s="302" t="s">
        <v>91</v>
      </c>
      <c r="B1121" s="291" t="s">
        <v>6128</v>
      </c>
      <c r="C1121" s="292" t="s">
        <v>48</v>
      </c>
      <c r="D1121" s="293">
        <f t="shared" si="2"/>
        <v>1</v>
      </c>
      <c r="E1121" s="294"/>
      <c r="F1121" s="295" t="str">
        <f>IFERROR(__xludf.DUMMYFUNCTION("IF(B1121="""","""",IFERROR(VLOOKUP(TO_TEXT(B1121),PEDIDOS!D:I,6,0),IFERROR(VLOOKUP(B1121*1,PEDIDOS!D:I,6,0),"" "")))"),"ENTREGUE")</f>
        <v>ENTREGUE</v>
      </c>
      <c r="G1121" s="303"/>
      <c r="H1121" s="304"/>
    </row>
    <row r="1122">
      <c r="A1122" s="302" t="s">
        <v>91</v>
      </c>
      <c r="B1122" s="291" t="s">
        <v>6007</v>
      </c>
      <c r="C1122" s="292" t="s">
        <v>48</v>
      </c>
      <c r="D1122" s="293">
        <f t="shared" si="2"/>
        <v>1</v>
      </c>
      <c r="E1122" s="294"/>
      <c r="F1122" s="295" t="str">
        <f>IFERROR(__xludf.DUMMYFUNCTION("IF(B1122="""","""",IFERROR(VLOOKUP(TO_TEXT(B1122),PEDIDOS!D:I,6,0),IFERROR(VLOOKUP(B1122*1,PEDIDOS!D:I,6,0),"" "")))"),"ENTREGUE")</f>
        <v>ENTREGUE</v>
      </c>
      <c r="G1122" s="303"/>
      <c r="H1122" s="304"/>
    </row>
    <row r="1123">
      <c r="A1123" s="302" t="s">
        <v>91</v>
      </c>
      <c r="B1123" s="291" t="s">
        <v>6340</v>
      </c>
      <c r="C1123" s="292" t="s">
        <v>48</v>
      </c>
      <c r="D1123" s="293">
        <f t="shared" si="2"/>
        <v>1</v>
      </c>
      <c r="E1123" s="294"/>
      <c r="F1123" s="295" t="str">
        <f>IFERROR(__xludf.DUMMYFUNCTION("IF(B1123="""","""",IFERROR(VLOOKUP(TO_TEXT(B1123),PEDIDOS!D:I,6,0),IFERROR(VLOOKUP(B1123*1,PEDIDOS!D:I,6,0),"" "")))"),"ENTREGUE")</f>
        <v>ENTREGUE</v>
      </c>
      <c r="G1123" s="303"/>
      <c r="H1123" s="304"/>
    </row>
    <row r="1124">
      <c r="A1124" s="302" t="s">
        <v>3441</v>
      </c>
      <c r="B1124" s="291" t="s">
        <v>6503</v>
      </c>
      <c r="C1124" s="292" t="s">
        <v>48</v>
      </c>
      <c r="D1124" s="293">
        <f t="shared" si="2"/>
        <v>1</v>
      </c>
      <c r="E1124" s="294"/>
      <c r="F1124" s="295" t="str">
        <f>IFERROR(__xludf.DUMMYFUNCTION("IF(B1124="""","""",IFERROR(VLOOKUP(TO_TEXT(B1124),PEDIDOS!D:I,6,0),IFERROR(VLOOKUP(B1124*1,PEDIDOS!D:I,6,0),"" "")))"),"ENTREGUE")</f>
        <v>ENTREGUE</v>
      </c>
      <c r="G1124" s="303"/>
      <c r="H1124" s="304"/>
    </row>
    <row r="1125">
      <c r="A1125" s="302" t="s">
        <v>3441</v>
      </c>
      <c r="B1125" s="291" t="s">
        <v>6226</v>
      </c>
      <c r="C1125" s="292" t="s">
        <v>48</v>
      </c>
      <c r="D1125" s="293">
        <f t="shared" si="2"/>
        <v>1</v>
      </c>
      <c r="E1125" s="294"/>
      <c r="F1125" s="295" t="str">
        <f>IFERROR(__xludf.DUMMYFUNCTION("IF(B1125="""","""",IFERROR(VLOOKUP(TO_TEXT(B1125),PEDIDOS!D:I,6,0),IFERROR(VLOOKUP(B1125*1,PEDIDOS!D:I,6,0),"" "")))"),"ENTREGUE")</f>
        <v>ENTREGUE</v>
      </c>
      <c r="G1125" s="303"/>
      <c r="H1125" s="304"/>
    </row>
    <row r="1126">
      <c r="A1126" s="302" t="s">
        <v>3441</v>
      </c>
      <c r="B1126" s="291" t="s">
        <v>7120</v>
      </c>
      <c r="C1126" s="292" t="s">
        <v>48</v>
      </c>
      <c r="D1126" s="293">
        <f t="shared" si="2"/>
        <v>1</v>
      </c>
      <c r="E1126" s="294"/>
      <c r="F1126" s="295" t="str">
        <f>IFERROR(__xludf.DUMMYFUNCTION("IF(B1126="""","""",IFERROR(VLOOKUP(TO_TEXT(B1126),PEDIDOS!D:I,6,0),IFERROR(VLOOKUP(B1126*1,PEDIDOS!D:I,6,0),"" "")))"),"ENTREGUE")</f>
        <v>ENTREGUE</v>
      </c>
      <c r="G1126" s="303"/>
      <c r="H1126" s="304"/>
    </row>
    <row r="1127">
      <c r="A1127" s="302" t="s">
        <v>3441</v>
      </c>
      <c r="B1127" s="291" t="s">
        <v>5837</v>
      </c>
      <c r="C1127" s="292" t="s">
        <v>48</v>
      </c>
      <c r="D1127" s="293">
        <f t="shared" si="2"/>
        <v>1</v>
      </c>
      <c r="E1127" s="294"/>
      <c r="F1127" s="295" t="str">
        <f>IFERROR(__xludf.DUMMYFUNCTION("IF(B1127="""","""",IFERROR(VLOOKUP(TO_TEXT(B1127),PEDIDOS!D:I,6,0),IFERROR(VLOOKUP(B1127*1,PEDIDOS!D:I,6,0),"" "")))"),"ENTREGUE")</f>
        <v>ENTREGUE</v>
      </c>
      <c r="G1127" s="303"/>
      <c r="H1127" s="304"/>
    </row>
    <row r="1128">
      <c r="A1128" s="302" t="s">
        <v>3441</v>
      </c>
      <c r="B1128" s="291" t="s">
        <v>5769</v>
      </c>
      <c r="C1128" s="292" t="s">
        <v>48</v>
      </c>
      <c r="D1128" s="293">
        <f t="shared" si="2"/>
        <v>1</v>
      </c>
      <c r="E1128" s="294"/>
      <c r="F1128" s="295" t="str">
        <f>IFERROR(__xludf.DUMMYFUNCTION("IF(B1128="""","""",IFERROR(VLOOKUP(TO_TEXT(B1128),PEDIDOS!D:I,6,0),IFERROR(VLOOKUP(B1128*1,PEDIDOS!D:I,6,0),"" "")))"),"ENTREGUE")</f>
        <v>ENTREGUE</v>
      </c>
      <c r="G1128" s="303"/>
      <c r="H1128" s="304"/>
    </row>
    <row r="1129">
      <c r="A1129" s="302" t="s">
        <v>3441</v>
      </c>
      <c r="B1129" s="291" t="s">
        <v>8357</v>
      </c>
      <c r="C1129" s="292" t="s">
        <v>48</v>
      </c>
      <c r="D1129" s="293">
        <f t="shared" si="2"/>
        <v>1</v>
      </c>
      <c r="E1129" s="294"/>
      <c r="F1129" s="295" t="str">
        <f>IFERROR(__xludf.DUMMYFUNCTION("IF(B1129="""","""",IFERROR(VLOOKUP(TO_TEXT(B1129),PEDIDOS!D:I,6,0),IFERROR(VLOOKUP(B1129*1,PEDIDOS!D:I,6,0),"" "")))"),"ENTREGUE")</f>
        <v>ENTREGUE</v>
      </c>
      <c r="G1129" s="303"/>
      <c r="H1129" s="304"/>
    </row>
    <row r="1130">
      <c r="A1130" s="302" t="s">
        <v>3441</v>
      </c>
      <c r="B1130" s="291" t="s">
        <v>5778</v>
      </c>
      <c r="C1130" s="292" t="s">
        <v>48</v>
      </c>
      <c r="D1130" s="293">
        <f t="shared" si="2"/>
        <v>1</v>
      </c>
      <c r="E1130" s="294"/>
      <c r="F1130" s="295" t="str">
        <f>IFERROR(__xludf.DUMMYFUNCTION("IF(B1130="""","""",IFERROR(VLOOKUP(TO_TEXT(B1130),PEDIDOS!D:I,6,0),IFERROR(VLOOKUP(B1130*1,PEDIDOS!D:I,6,0),"" "")))"),"ENTREGUE")</f>
        <v>ENTREGUE</v>
      </c>
      <c r="G1130" s="303"/>
      <c r="H1130" s="304"/>
    </row>
    <row r="1131">
      <c r="A1131" s="302" t="s">
        <v>3441</v>
      </c>
      <c r="B1131" s="291" t="s">
        <v>6331</v>
      </c>
      <c r="C1131" s="292" t="s">
        <v>48</v>
      </c>
      <c r="D1131" s="293">
        <f t="shared" si="2"/>
        <v>1</v>
      </c>
      <c r="E1131" s="294"/>
      <c r="F1131" s="295" t="str">
        <f>IFERROR(__xludf.DUMMYFUNCTION("IF(B1131="""","""",IFERROR(VLOOKUP(TO_TEXT(B1131),PEDIDOS!D:I,6,0),IFERROR(VLOOKUP(B1131*1,PEDIDOS!D:I,6,0),"" "")))"),"ENTREGUE")</f>
        <v>ENTREGUE</v>
      </c>
      <c r="G1131" s="303"/>
      <c r="H1131" s="304"/>
    </row>
    <row r="1132">
      <c r="A1132" s="302" t="s">
        <v>3441</v>
      </c>
      <c r="B1132" s="291" t="s">
        <v>5775</v>
      </c>
      <c r="C1132" s="292" t="s">
        <v>48</v>
      </c>
      <c r="D1132" s="293">
        <f t="shared" si="2"/>
        <v>1</v>
      </c>
      <c r="E1132" s="294"/>
      <c r="F1132" s="295" t="str">
        <f>IFERROR(__xludf.DUMMYFUNCTION("IF(B1132="""","""",IFERROR(VLOOKUP(TO_TEXT(B1132),PEDIDOS!D:I,6,0),IFERROR(VLOOKUP(B1132*1,PEDIDOS!D:I,6,0),"" "")))"),"ENTREGUE")</f>
        <v>ENTREGUE</v>
      </c>
      <c r="G1132" s="303"/>
      <c r="H1132" s="304"/>
    </row>
    <row r="1133">
      <c r="A1133" s="302" t="s">
        <v>3441</v>
      </c>
      <c r="B1133" s="291" t="s">
        <v>6327</v>
      </c>
      <c r="C1133" s="292" t="s">
        <v>48</v>
      </c>
      <c r="D1133" s="293">
        <f t="shared" si="2"/>
        <v>1</v>
      </c>
      <c r="E1133" s="294"/>
      <c r="F1133" s="295" t="str">
        <f>IFERROR(__xludf.DUMMYFUNCTION("IF(B1133="""","""",IFERROR(VLOOKUP(TO_TEXT(B1133),PEDIDOS!D:I,6,0),IFERROR(VLOOKUP(B1133*1,PEDIDOS!D:I,6,0),"" "")))"),"ENTREGUE")</f>
        <v>ENTREGUE</v>
      </c>
      <c r="G1133" s="303"/>
      <c r="H1133" s="304"/>
    </row>
    <row r="1134">
      <c r="A1134" s="302" t="s">
        <v>3441</v>
      </c>
      <c r="B1134" s="291" t="s">
        <v>5834</v>
      </c>
      <c r="C1134" s="292" t="s">
        <v>48</v>
      </c>
      <c r="D1134" s="293">
        <f t="shared" si="2"/>
        <v>1</v>
      </c>
      <c r="E1134" s="294"/>
      <c r="F1134" s="295" t="str">
        <f>IFERROR(__xludf.DUMMYFUNCTION("IF(B1134="""","""",IFERROR(VLOOKUP(TO_TEXT(B1134),PEDIDOS!D:I,6,0),IFERROR(VLOOKUP(B1134*1,PEDIDOS!D:I,6,0),"" "")))"),"ENTREGUE")</f>
        <v>ENTREGUE</v>
      </c>
      <c r="G1134" s="303"/>
      <c r="H1134" s="304"/>
    </row>
    <row r="1135">
      <c r="A1135" s="302" t="s">
        <v>3441</v>
      </c>
      <c r="B1135" s="291" t="s">
        <v>7228</v>
      </c>
      <c r="C1135" s="292" t="s">
        <v>48</v>
      </c>
      <c r="D1135" s="293">
        <f t="shared" si="2"/>
        <v>1</v>
      </c>
      <c r="E1135" s="294"/>
      <c r="F1135" s="295" t="str">
        <f>IFERROR(__xludf.DUMMYFUNCTION("IF(B1135="""","""",IFERROR(VLOOKUP(TO_TEXT(B1135),PEDIDOS!D:I,6,0),IFERROR(VLOOKUP(B1135*1,PEDIDOS!D:I,6,0),"" "")))"),"ENTREGUE")</f>
        <v>ENTREGUE</v>
      </c>
      <c r="G1135" s="303"/>
      <c r="H1135" s="304"/>
    </row>
    <row r="1136">
      <c r="A1136" s="302" t="s">
        <v>3441</v>
      </c>
      <c r="B1136" s="291" t="s">
        <v>6027</v>
      </c>
      <c r="C1136" s="292" t="s">
        <v>48</v>
      </c>
      <c r="D1136" s="293">
        <f t="shared" si="2"/>
        <v>1</v>
      </c>
      <c r="E1136" s="294"/>
      <c r="F1136" s="295" t="str">
        <f>IFERROR(__xludf.DUMMYFUNCTION("IF(B1136="""","""",IFERROR(VLOOKUP(TO_TEXT(B1136),PEDIDOS!D:I,6,0),IFERROR(VLOOKUP(B1136*1,PEDIDOS!D:I,6,0),"" "")))"),"ENTREGUE")</f>
        <v>ENTREGUE</v>
      </c>
      <c r="G1136" s="303"/>
      <c r="H1136" s="304"/>
    </row>
    <row r="1137">
      <c r="A1137" s="302" t="s">
        <v>3441</v>
      </c>
      <c r="B1137" s="291" t="s">
        <v>6431</v>
      </c>
      <c r="C1137" s="292" t="s">
        <v>48</v>
      </c>
      <c r="D1137" s="293">
        <f t="shared" si="2"/>
        <v>1</v>
      </c>
      <c r="E1137" s="294"/>
      <c r="F1137" s="295" t="str">
        <f>IFERROR(__xludf.DUMMYFUNCTION("IF(B1137="""","""",IFERROR(VLOOKUP(TO_TEXT(B1137),PEDIDOS!D:I,6,0),IFERROR(VLOOKUP(B1137*1,PEDIDOS!D:I,6,0),"" "")))"),"ENTREGUE")</f>
        <v>ENTREGUE</v>
      </c>
      <c r="G1137" s="303"/>
      <c r="H1137" s="304"/>
    </row>
    <row r="1138">
      <c r="A1138" s="302" t="s">
        <v>3441</v>
      </c>
      <c r="B1138" s="291" t="s">
        <v>10219</v>
      </c>
      <c r="C1138" s="292" t="s">
        <v>48</v>
      </c>
      <c r="D1138" s="293">
        <f t="shared" si="2"/>
        <v>1</v>
      </c>
      <c r="E1138" s="294"/>
      <c r="F1138" s="295" t="str">
        <f>IFERROR(__xludf.DUMMYFUNCTION("IF(B1138="""","""",IFERROR(VLOOKUP(TO_TEXT(B1138),PEDIDOS!D:I,6,0),IFERROR(VLOOKUP(B1138*1,PEDIDOS!D:I,6,0),"" "")))"),"ENTREGUE")</f>
        <v>ENTREGUE</v>
      </c>
      <c r="G1138" s="303"/>
      <c r="H1138" s="304"/>
    </row>
    <row r="1139">
      <c r="A1139" s="302" t="s">
        <v>3441</v>
      </c>
      <c r="B1139" s="291" t="s">
        <v>5691</v>
      </c>
      <c r="C1139" s="292" t="s">
        <v>48</v>
      </c>
      <c r="D1139" s="293">
        <f t="shared" si="2"/>
        <v>1</v>
      </c>
      <c r="E1139" s="294"/>
      <c r="F1139" s="295" t="str">
        <f>IFERROR(__xludf.DUMMYFUNCTION("IF(B1139="""","""",IFERROR(VLOOKUP(TO_TEXT(B1139),PEDIDOS!D:I,6,0),IFERROR(VLOOKUP(B1139*1,PEDIDOS!D:I,6,0),"" "")))"),"ENTREGUE")</f>
        <v>ENTREGUE</v>
      </c>
      <c r="G1139" s="303"/>
      <c r="H1139" s="304"/>
    </row>
    <row r="1140">
      <c r="A1140" s="302" t="s">
        <v>3441</v>
      </c>
      <c r="B1140" s="291" t="s">
        <v>6499</v>
      </c>
      <c r="C1140" s="292" t="s">
        <v>48</v>
      </c>
      <c r="D1140" s="293">
        <f t="shared" si="2"/>
        <v>1</v>
      </c>
      <c r="E1140" s="294"/>
      <c r="F1140" s="295" t="str">
        <f>IFERROR(__xludf.DUMMYFUNCTION("IF(B1140="""","""",IFERROR(VLOOKUP(TO_TEXT(B1140),PEDIDOS!D:I,6,0),IFERROR(VLOOKUP(B1140*1,PEDIDOS!D:I,6,0),"" "")))"),"ENTREGUE")</f>
        <v>ENTREGUE</v>
      </c>
      <c r="G1140" s="303"/>
      <c r="H1140" s="304"/>
    </row>
    <row r="1141">
      <c r="A1141" s="302" t="s">
        <v>3441</v>
      </c>
      <c r="B1141" s="291" t="s">
        <v>5953</v>
      </c>
      <c r="C1141" s="292" t="s">
        <v>48</v>
      </c>
      <c r="D1141" s="293">
        <f t="shared" si="2"/>
        <v>1</v>
      </c>
      <c r="E1141" s="294"/>
      <c r="F1141" s="295" t="str">
        <f>IFERROR(__xludf.DUMMYFUNCTION("IF(B1141="""","""",IFERROR(VLOOKUP(TO_TEXT(B1141),PEDIDOS!D:I,6,0),IFERROR(VLOOKUP(B1141*1,PEDIDOS!D:I,6,0),"" "")))"),"ENTREGUE")</f>
        <v>ENTREGUE</v>
      </c>
      <c r="G1141" s="303"/>
      <c r="H1141" s="304"/>
    </row>
    <row r="1142">
      <c r="A1142" s="302" t="s">
        <v>3441</v>
      </c>
      <c r="B1142" s="291" t="s">
        <v>5822</v>
      </c>
      <c r="C1142" s="292" t="s">
        <v>48</v>
      </c>
      <c r="D1142" s="293">
        <f t="shared" si="2"/>
        <v>1</v>
      </c>
      <c r="E1142" s="294"/>
      <c r="F1142" s="295" t="str">
        <f>IFERROR(__xludf.DUMMYFUNCTION("IF(B1142="""","""",IFERROR(VLOOKUP(TO_TEXT(B1142),PEDIDOS!D:I,6,0),IFERROR(VLOOKUP(B1142*1,PEDIDOS!D:I,6,0),"" "")))"),"ENTREGUE")</f>
        <v>ENTREGUE</v>
      </c>
      <c r="G1142" s="303"/>
      <c r="H1142" s="304"/>
    </row>
    <row r="1143">
      <c r="A1143" s="302" t="s">
        <v>3441</v>
      </c>
      <c r="B1143" s="291" t="s">
        <v>5763</v>
      </c>
      <c r="C1143" s="292" t="s">
        <v>48</v>
      </c>
      <c r="D1143" s="293">
        <f t="shared" si="2"/>
        <v>1</v>
      </c>
      <c r="E1143" s="294"/>
      <c r="F1143" s="295" t="str">
        <f>IFERROR(__xludf.DUMMYFUNCTION("IF(B1143="""","""",IFERROR(VLOOKUP(TO_TEXT(B1143),PEDIDOS!D:I,6,0),IFERROR(VLOOKUP(B1143*1,PEDIDOS!D:I,6,0),"" "")))"),"ENTREGUE")</f>
        <v>ENTREGUE</v>
      </c>
      <c r="G1143" s="303"/>
      <c r="H1143" s="304"/>
    </row>
    <row r="1144">
      <c r="A1144" s="302" t="s">
        <v>3441</v>
      </c>
      <c r="B1144" s="291" t="s">
        <v>5766</v>
      </c>
      <c r="C1144" s="292" t="s">
        <v>48</v>
      </c>
      <c r="D1144" s="293">
        <f t="shared" si="2"/>
        <v>1</v>
      </c>
      <c r="E1144" s="294"/>
      <c r="F1144" s="295" t="str">
        <f>IFERROR(__xludf.DUMMYFUNCTION("IF(B1144="""","""",IFERROR(VLOOKUP(TO_TEXT(B1144),PEDIDOS!D:I,6,0),IFERROR(VLOOKUP(B1144*1,PEDIDOS!D:I,6,0),"" "")))"),"ENTREGUE")</f>
        <v>ENTREGUE</v>
      </c>
      <c r="G1144" s="303"/>
      <c r="H1144" s="304"/>
    </row>
    <row r="1145">
      <c r="A1145" s="302" t="s">
        <v>3441</v>
      </c>
      <c r="B1145" s="291" t="s">
        <v>8835</v>
      </c>
      <c r="C1145" s="292" t="s">
        <v>48</v>
      </c>
      <c r="D1145" s="293">
        <f t="shared" si="2"/>
        <v>1</v>
      </c>
      <c r="E1145" s="294"/>
      <c r="F1145" s="295" t="str">
        <f>IFERROR(__xludf.DUMMYFUNCTION("IF(B1145="""","""",IFERROR(VLOOKUP(TO_TEXT(B1145),PEDIDOS!D:I,6,0),IFERROR(VLOOKUP(B1145*1,PEDIDOS!D:I,6,0),"" "")))"),"ENTREGUE")</f>
        <v>ENTREGUE</v>
      </c>
      <c r="G1145" s="303"/>
      <c r="H1145" s="304"/>
    </row>
    <row r="1146">
      <c r="A1146" s="302" t="s">
        <v>3441</v>
      </c>
      <c r="B1146" s="291" t="s">
        <v>5760</v>
      </c>
      <c r="C1146" s="292" t="s">
        <v>48</v>
      </c>
      <c r="D1146" s="293">
        <f t="shared" si="2"/>
        <v>1</v>
      </c>
      <c r="E1146" s="294"/>
      <c r="F1146" s="295" t="str">
        <f>IFERROR(__xludf.DUMMYFUNCTION("IF(B1146="""","""",IFERROR(VLOOKUP(TO_TEXT(B1146),PEDIDOS!D:I,6,0),IFERROR(VLOOKUP(B1146*1,PEDIDOS!D:I,6,0),"" "")))"),"ENTREGUE")</f>
        <v>ENTREGUE</v>
      </c>
      <c r="G1146" s="303"/>
      <c r="H1146" s="304"/>
    </row>
    <row r="1147">
      <c r="A1147" s="302" t="s">
        <v>3441</v>
      </c>
      <c r="B1147" s="291" t="s">
        <v>5840</v>
      </c>
      <c r="C1147" s="292" t="s">
        <v>48</v>
      </c>
      <c r="D1147" s="293">
        <f t="shared" si="2"/>
        <v>1</v>
      </c>
      <c r="E1147" s="294"/>
      <c r="F1147" s="295" t="str">
        <f>IFERROR(__xludf.DUMMYFUNCTION("IF(B1147="""","""",IFERROR(VLOOKUP(TO_TEXT(B1147),PEDIDOS!D:I,6,0),IFERROR(VLOOKUP(B1147*1,PEDIDOS!D:I,6,0),"" "")))"),"ENTREGUE")</f>
        <v>ENTREGUE</v>
      </c>
      <c r="G1147" s="303"/>
      <c r="H1147" s="304"/>
    </row>
    <row r="1148">
      <c r="A1148" s="302" t="s">
        <v>3441</v>
      </c>
      <c r="B1148" s="291" t="s">
        <v>5825</v>
      </c>
      <c r="C1148" s="292" t="s">
        <v>48</v>
      </c>
      <c r="D1148" s="293">
        <f t="shared" si="2"/>
        <v>1</v>
      </c>
      <c r="E1148" s="294"/>
      <c r="F1148" s="295" t="str">
        <f>IFERROR(__xludf.DUMMYFUNCTION("IF(B1148="""","""",IFERROR(VLOOKUP(TO_TEXT(B1148),PEDIDOS!D:I,6,0),IFERROR(VLOOKUP(B1148*1,PEDIDOS!D:I,6,0),"" "")))"),"ENTREGUE")</f>
        <v>ENTREGUE</v>
      </c>
      <c r="G1148" s="303"/>
      <c r="H1148" s="304"/>
    </row>
    <row r="1149">
      <c r="A1149" s="302" t="s">
        <v>3441</v>
      </c>
      <c r="B1149" s="291" t="s">
        <v>5828</v>
      </c>
      <c r="C1149" s="292" t="s">
        <v>48</v>
      </c>
      <c r="D1149" s="293">
        <f t="shared" si="2"/>
        <v>1</v>
      </c>
      <c r="E1149" s="294"/>
      <c r="F1149" s="295" t="str">
        <f>IFERROR(__xludf.DUMMYFUNCTION("IF(B1149="""","""",IFERROR(VLOOKUP(TO_TEXT(B1149),PEDIDOS!D:I,6,0),IFERROR(VLOOKUP(B1149*1,PEDIDOS!D:I,6,0),"" "")))"),"ENTREGUE")</f>
        <v>ENTREGUE</v>
      </c>
      <c r="G1149" s="303"/>
      <c r="H1149" s="304"/>
    </row>
    <row r="1150">
      <c r="A1150" s="302" t="s">
        <v>3441</v>
      </c>
      <c r="B1150" s="291" t="s">
        <v>5772</v>
      </c>
      <c r="C1150" s="292" t="s">
        <v>48</v>
      </c>
      <c r="D1150" s="293">
        <f t="shared" si="2"/>
        <v>1</v>
      </c>
      <c r="E1150" s="294"/>
      <c r="F1150" s="295" t="str">
        <f>IFERROR(__xludf.DUMMYFUNCTION("IF(B1150="""","""",IFERROR(VLOOKUP(TO_TEXT(B1150),PEDIDOS!D:I,6,0),IFERROR(VLOOKUP(B1150*1,PEDIDOS!D:I,6,0),"" "")))"),"ENTREGUE")</f>
        <v>ENTREGUE</v>
      </c>
      <c r="G1150" s="303"/>
      <c r="H1150" s="304"/>
    </row>
    <row r="1151">
      <c r="A1151" s="302" t="s">
        <v>3441</v>
      </c>
      <c r="B1151" s="291" t="s">
        <v>5831</v>
      </c>
      <c r="C1151" s="292" t="s">
        <v>48</v>
      </c>
      <c r="D1151" s="293">
        <f t="shared" si="2"/>
        <v>1</v>
      </c>
      <c r="E1151" s="294"/>
      <c r="F1151" s="295" t="str">
        <f>IFERROR(__xludf.DUMMYFUNCTION("IF(B1151="""","""",IFERROR(VLOOKUP(TO_TEXT(B1151),PEDIDOS!D:I,6,0),IFERROR(VLOOKUP(B1151*1,PEDIDOS!D:I,6,0),"" "")))"),"ENTREGUE")</f>
        <v>ENTREGUE</v>
      </c>
      <c r="G1151" s="303"/>
      <c r="H1151" s="304"/>
    </row>
    <row r="1152">
      <c r="A1152" s="302" t="s">
        <v>3441</v>
      </c>
      <c r="B1152" s="291" t="s">
        <v>5694</v>
      </c>
      <c r="C1152" s="292" t="s">
        <v>48</v>
      </c>
      <c r="D1152" s="293">
        <f t="shared" si="2"/>
        <v>1</v>
      </c>
      <c r="E1152" s="294"/>
      <c r="F1152" s="295" t="str">
        <f>IFERROR(__xludf.DUMMYFUNCTION("IF(B1152="""","""",IFERROR(VLOOKUP(TO_TEXT(B1152),PEDIDOS!D:I,6,0),IFERROR(VLOOKUP(B1152*1,PEDIDOS!D:I,6,0),"" "")))"),"ENTREGUE")</f>
        <v>ENTREGUE</v>
      </c>
      <c r="G1152" s="303"/>
      <c r="H1152" s="304"/>
    </row>
    <row r="1153">
      <c r="A1153" s="302" t="s">
        <v>3441</v>
      </c>
      <c r="B1153" s="291" t="s">
        <v>6362</v>
      </c>
      <c r="C1153" s="292" t="s">
        <v>48</v>
      </c>
      <c r="D1153" s="293">
        <f t="shared" si="2"/>
        <v>1</v>
      </c>
      <c r="E1153" s="294"/>
      <c r="F1153" s="295" t="str">
        <f>IFERROR(__xludf.DUMMYFUNCTION("IF(B1153="""","""",IFERROR(VLOOKUP(TO_TEXT(B1153),PEDIDOS!D:I,6,0),IFERROR(VLOOKUP(B1153*1,PEDIDOS!D:I,6,0),"" "")))"),"ENTREGUE")</f>
        <v>ENTREGUE</v>
      </c>
      <c r="G1153" s="303"/>
      <c r="H1153" s="304"/>
    </row>
    <row r="1154">
      <c r="A1154" s="302" t="s">
        <v>3441</v>
      </c>
      <c r="B1154" s="291" t="s">
        <v>6404</v>
      </c>
      <c r="C1154" s="292" t="s">
        <v>48</v>
      </c>
      <c r="D1154" s="293">
        <f t="shared" si="2"/>
        <v>1</v>
      </c>
      <c r="E1154" s="294"/>
      <c r="F1154" s="295" t="str">
        <f>IFERROR(__xludf.DUMMYFUNCTION("IF(B1154="""","""",IFERROR(VLOOKUP(TO_TEXT(B1154),PEDIDOS!D:I,6,0),IFERROR(VLOOKUP(B1154*1,PEDIDOS!D:I,6,0),"" "")))"),"ENTREGUE")</f>
        <v>ENTREGUE</v>
      </c>
      <c r="G1154" s="303"/>
      <c r="H1154" s="304"/>
    </row>
    <row r="1155">
      <c r="A1155" s="302" t="s">
        <v>3441</v>
      </c>
      <c r="B1155" s="291" t="s">
        <v>7231</v>
      </c>
      <c r="C1155" s="292" t="s">
        <v>48</v>
      </c>
      <c r="D1155" s="293">
        <f t="shared" si="2"/>
        <v>1</v>
      </c>
      <c r="E1155" s="294"/>
      <c r="F1155" s="295" t="str">
        <f>IFERROR(__xludf.DUMMYFUNCTION("IF(B1155="""","""",IFERROR(VLOOKUP(TO_TEXT(B1155),PEDIDOS!D:I,6,0),IFERROR(VLOOKUP(B1155*1,PEDIDOS!D:I,6,0),"" "")))"),"ENTREGUE")</f>
        <v>ENTREGUE</v>
      </c>
      <c r="G1155" s="303"/>
      <c r="H1155" s="304"/>
    </row>
    <row r="1156">
      <c r="A1156" s="302" t="s">
        <v>3441</v>
      </c>
      <c r="B1156" s="291" t="s">
        <v>6217</v>
      </c>
      <c r="C1156" s="292" t="s">
        <v>48</v>
      </c>
      <c r="D1156" s="293">
        <f t="shared" si="2"/>
        <v>1</v>
      </c>
      <c r="E1156" s="294"/>
      <c r="F1156" s="295" t="str">
        <f>IFERROR(__xludf.DUMMYFUNCTION("IF(B1156="""","""",IFERROR(VLOOKUP(TO_TEXT(B1156),PEDIDOS!D:I,6,0),IFERROR(VLOOKUP(B1156*1,PEDIDOS!D:I,6,0),"" "")))"),"ENTREGUE")</f>
        <v>ENTREGUE</v>
      </c>
      <c r="G1156" s="303"/>
      <c r="H1156" s="304"/>
    </row>
    <row r="1157">
      <c r="A1157" s="302" t="s">
        <v>3441</v>
      </c>
      <c r="B1157" s="291" t="s">
        <v>6572</v>
      </c>
      <c r="C1157" s="292" t="s">
        <v>48</v>
      </c>
      <c r="D1157" s="293">
        <f t="shared" si="2"/>
        <v>1</v>
      </c>
      <c r="E1157" s="294"/>
      <c r="F1157" s="295" t="str">
        <f>IFERROR(__xludf.DUMMYFUNCTION("IF(B1157="""","""",IFERROR(VLOOKUP(TO_TEXT(B1157),PEDIDOS!D:I,6,0),IFERROR(VLOOKUP(B1157*1,PEDIDOS!D:I,6,0),"" "")))"),"ENTREGUE")</f>
        <v>ENTREGUE</v>
      </c>
      <c r="G1157" s="303"/>
      <c r="H1157" s="304"/>
    </row>
    <row r="1158">
      <c r="A1158" s="302" t="s">
        <v>3441</v>
      </c>
      <c r="B1158" s="291" t="s">
        <v>7222</v>
      </c>
      <c r="C1158" s="292" t="s">
        <v>48</v>
      </c>
      <c r="D1158" s="293">
        <f t="shared" si="2"/>
        <v>1</v>
      </c>
      <c r="E1158" s="294"/>
      <c r="F1158" s="295" t="str">
        <f>IFERROR(__xludf.DUMMYFUNCTION("IF(B1158="""","""",IFERROR(VLOOKUP(TO_TEXT(B1158),PEDIDOS!D:I,6,0),IFERROR(VLOOKUP(B1158*1,PEDIDOS!D:I,6,0),"" "")))"),"ENTREGUE")</f>
        <v>ENTREGUE</v>
      </c>
      <c r="G1158" s="303"/>
      <c r="H1158" s="304"/>
    </row>
    <row r="1159">
      <c r="A1159" s="302" t="s">
        <v>85</v>
      </c>
      <c r="B1159" s="291" t="s">
        <v>9623</v>
      </c>
      <c r="C1159" s="292" t="s">
        <v>48</v>
      </c>
      <c r="D1159" s="293">
        <f t="shared" si="2"/>
        <v>1</v>
      </c>
      <c r="E1159" s="294"/>
      <c r="F1159" s="295" t="str">
        <f>IFERROR(__xludf.DUMMYFUNCTION("IF(B1159="""","""",IFERROR(VLOOKUP(TO_TEXT(B1159),PEDIDOS!D:I,6,0),IFERROR(VLOOKUP(B1159*1,PEDIDOS!D:I,6,0),"" "")))"),"ENTREGUE")</f>
        <v>ENTREGUE</v>
      </c>
      <c r="G1159" s="303"/>
      <c r="H1159" s="304"/>
    </row>
    <row r="1160">
      <c r="A1160" s="302" t="s">
        <v>85</v>
      </c>
      <c r="B1160" s="291" t="s">
        <v>9324</v>
      </c>
      <c r="C1160" s="292" t="s">
        <v>48</v>
      </c>
      <c r="D1160" s="293">
        <f t="shared" si="2"/>
        <v>1</v>
      </c>
      <c r="E1160" s="294"/>
      <c r="F1160" s="295" t="str">
        <f>IFERROR(__xludf.DUMMYFUNCTION("IF(B1160="""","""",IFERROR(VLOOKUP(TO_TEXT(B1160),PEDIDOS!D:I,6,0),IFERROR(VLOOKUP(B1160*1,PEDIDOS!D:I,6,0),"" "")))"),"ENTREGUE")</f>
        <v>ENTREGUE</v>
      </c>
      <c r="G1160" s="303"/>
      <c r="H1160" s="304"/>
    </row>
    <row r="1161">
      <c r="A1161" s="302" t="s">
        <v>85</v>
      </c>
      <c r="B1161" s="291" t="s">
        <v>8131</v>
      </c>
      <c r="C1161" s="292" t="s">
        <v>48</v>
      </c>
      <c r="D1161" s="293">
        <f t="shared" si="2"/>
        <v>1</v>
      </c>
      <c r="E1161" s="294"/>
      <c r="F1161" s="295" t="str">
        <f>IFERROR(__xludf.DUMMYFUNCTION("IF(B1161="""","""",IFERROR(VLOOKUP(TO_TEXT(B1161),PEDIDOS!D:I,6,0),IFERROR(VLOOKUP(B1161*1,PEDIDOS!D:I,6,0),"" "")))"),"ENTREGUE")</f>
        <v>ENTREGUE</v>
      </c>
      <c r="G1161" s="303"/>
      <c r="H1161" s="304"/>
    </row>
    <row r="1162">
      <c r="A1162" s="302" t="s">
        <v>85</v>
      </c>
      <c r="B1162" s="291" t="s">
        <v>8744</v>
      </c>
      <c r="C1162" s="292" t="s">
        <v>48</v>
      </c>
      <c r="D1162" s="293">
        <f t="shared" si="2"/>
        <v>1</v>
      </c>
      <c r="E1162" s="294"/>
      <c r="F1162" s="295" t="str">
        <f>IFERROR(__xludf.DUMMYFUNCTION("IF(B1162="""","""",IFERROR(VLOOKUP(TO_TEXT(B1162),PEDIDOS!D:I,6,0),IFERROR(VLOOKUP(B1162*1,PEDIDOS!D:I,6,0),"" "")))"),"ENTREGUE")</f>
        <v>ENTREGUE</v>
      </c>
      <c r="G1162" s="303"/>
      <c r="H1162" s="304"/>
    </row>
    <row r="1163">
      <c r="A1163" s="302" t="s">
        <v>85</v>
      </c>
      <c r="B1163" s="291" t="s">
        <v>8572</v>
      </c>
      <c r="C1163" s="292" t="s">
        <v>48</v>
      </c>
      <c r="D1163" s="293">
        <f t="shared" si="2"/>
        <v>1</v>
      </c>
      <c r="E1163" s="294"/>
      <c r="F1163" s="295" t="str">
        <f>IFERROR(__xludf.DUMMYFUNCTION("IF(B1163="""","""",IFERROR(VLOOKUP(TO_TEXT(B1163),PEDIDOS!D:I,6,0),IFERROR(VLOOKUP(B1163*1,PEDIDOS!D:I,6,0),"" "")))"),"ENTREGUE")</f>
        <v>ENTREGUE</v>
      </c>
      <c r="G1163" s="303"/>
      <c r="H1163" s="304"/>
    </row>
    <row r="1164">
      <c r="A1164" s="302" t="s">
        <v>85</v>
      </c>
      <c r="B1164" s="291" t="s">
        <v>8128</v>
      </c>
      <c r="C1164" s="292" t="s">
        <v>48</v>
      </c>
      <c r="D1164" s="293">
        <f t="shared" si="2"/>
        <v>1</v>
      </c>
      <c r="E1164" s="294"/>
      <c r="F1164" s="295" t="str">
        <f>IFERROR(__xludf.DUMMYFUNCTION("IF(B1164="""","""",IFERROR(VLOOKUP(TO_TEXT(B1164),PEDIDOS!D:I,6,0),IFERROR(VLOOKUP(B1164*1,PEDIDOS!D:I,6,0),"" "")))"),"ENTREGUE")</f>
        <v>ENTREGUE</v>
      </c>
      <c r="G1164" s="303"/>
      <c r="H1164" s="304"/>
    </row>
    <row r="1165">
      <c r="A1165" s="302" t="s">
        <v>85</v>
      </c>
      <c r="B1165" s="291" t="s">
        <v>8137</v>
      </c>
      <c r="C1165" s="292" t="s">
        <v>48</v>
      </c>
      <c r="D1165" s="293">
        <f t="shared" si="2"/>
        <v>1</v>
      </c>
      <c r="E1165" s="294"/>
      <c r="F1165" s="295" t="str">
        <f>IFERROR(__xludf.DUMMYFUNCTION("IF(B1165="""","""",IFERROR(VLOOKUP(TO_TEXT(B1165),PEDIDOS!D:I,6,0),IFERROR(VLOOKUP(B1165*1,PEDIDOS!D:I,6,0),"" "")))"),"ENTREGUE")</f>
        <v>ENTREGUE</v>
      </c>
      <c r="G1165" s="303"/>
      <c r="H1165" s="304"/>
    </row>
    <row r="1166">
      <c r="A1166" s="302" t="s">
        <v>85</v>
      </c>
      <c r="B1166" s="291" t="s">
        <v>6375</v>
      </c>
      <c r="C1166" s="292" t="s">
        <v>48</v>
      </c>
      <c r="D1166" s="293">
        <f t="shared" si="2"/>
        <v>1</v>
      </c>
      <c r="E1166" s="294"/>
      <c r="F1166" s="295" t="str">
        <f>IFERROR(__xludf.DUMMYFUNCTION("IF(B1166="""","""",IFERROR(VLOOKUP(TO_TEXT(B1166),PEDIDOS!D:I,6,0),IFERROR(VLOOKUP(B1166*1,PEDIDOS!D:I,6,0),"" "")))"),"ENTREGUE")</f>
        <v>ENTREGUE</v>
      </c>
      <c r="G1166" s="303"/>
      <c r="H1166" s="304"/>
    </row>
    <row r="1167">
      <c r="A1167" s="302" t="s">
        <v>85</v>
      </c>
      <c r="B1167" s="291" t="s">
        <v>8125</v>
      </c>
      <c r="C1167" s="292" t="s">
        <v>48</v>
      </c>
      <c r="D1167" s="293">
        <f t="shared" si="2"/>
        <v>1</v>
      </c>
      <c r="E1167" s="294"/>
      <c r="F1167" s="295" t="str">
        <f>IFERROR(__xludf.DUMMYFUNCTION("IF(B1167="""","""",IFERROR(VLOOKUP(TO_TEXT(B1167),PEDIDOS!D:I,6,0),IFERROR(VLOOKUP(B1167*1,PEDIDOS!D:I,6,0),"" "")))"),"ENTREGUE")</f>
        <v>ENTREGUE</v>
      </c>
      <c r="G1167" s="303"/>
      <c r="H1167" s="304"/>
    </row>
    <row r="1168">
      <c r="A1168" s="302" t="s">
        <v>85</v>
      </c>
      <c r="B1168" s="291" t="s">
        <v>7712</v>
      </c>
      <c r="C1168" s="292" t="s">
        <v>48</v>
      </c>
      <c r="D1168" s="293">
        <f t="shared" si="2"/>
        <v>1</v>
      </c>
      <c r="E1168" s="294"/>
      <c r="F1168" s="295" t="str">
        <f>IFERROR(__xludf.DUMMYFUNCTION("IF(B1168="""","""",IFERROR(VLOOKUP(TO_TEXT(B1168),PEDIDOS!D:I,6,0),IFERROR(VLOOKUP(B1168*1,PEDIDOS!D:I,6,0),"" "")))"),"ENTREGUE")</f>
        <v>ENTREGUE</v>
      </c>
      <c r="G1168" s="303"/>
      <c r="H1168" s="304"/>
    </row>
    <row r="1169">
      <c r="A1169" s="302" t="s">
        <v>85</v>
      </c>
      <c r="B1169" s="291" t="s">
        <v>7886</v>
      </c>
      <c r="C1169" s="292" t="s">
        <v>48</v>
      </c>
      <c r="D1169" s="293">
        <f t="shared" si="2"/>
        <v>1</v>
      </c>
      <c r="E1169" s="294"/>
      <c r="F1169" s="295" t="str">
        <f>IFERROR(__xludf.DUMMYFUNCTION("IF(B1169="""","""",IFERROR(VLOOKUP(TO_TEXT(B1169),PEDIDOS!D:I,6,0),IFERROR(VLOOKUP(B1169*1,PEDIDOS!D:I,6,0),"" "")))"),"ENTREGUE")</f>
        <v>ENTREGUE</v>
      </c>
      <c r="G1169" s="303"/>
      <c r="H1169" s="304"/>
    </row>
    <row r="1170">
      <c r="A1170" s="302" t="s">
        <v>85</v>
      </c>
      <c r="B1170" s="291" t="s">
        <v>9337</v>
      </c>
      <c r="C1170" s="292" t="s">
        <v>48</v>
      </c>
      <c r="D1170" s="293">
        <f t="shared" si="2"/>
        <v>1</v>
      </c>
      <c r="E1170" s="294"/>
      <c r="F1170" s="295" t="str">
        <f>IFERROR(__xludf.DUMMYFUNCTION("IF(B1170="""","""",IFERROR(VLOOKUP(TO_TEXT(B1170),PEDIDOS!D:I,6,0),IFERROR(VLOOKUP(B1170*1,PEDIDOS!D:I,6,0),"" "")))"),"ENTREGUE")</f>
        <v>ENTREGUE</v>
      </c>
      <c r="G1170" s="303"/>
      <c r="H1170" s="304"/>
    </row>
    <row r="1171">
      <c r="A1171" s="302" t="s">
        <v>85</v>
      </c>
      <c r="B1171" s="291" t="s">
        <v>9166</v>
      </c>
      <c r="C1171" s="292" t="s">
        <v>48</v>
      </c>
      <c r="D1171" s="293">
        <f t="shared" si="2"/>
        <v>1</v>
      </c>
      <c r="E1171" s="294"/>
      <c r="F1171" s="295" t="str">
        <f>IFERROR(__xludf.DUMMYFUNCTION("IF(B1171="""","""",IFERROR(VLOOKUP(TO_TEXT(B1171),PEDIDOS!D:I,6,0),IFERROR(VLOOKUP(B1171*1,PEDIDOS!D:I,6,0),"" "")))"),"ENTREGUE")</f>
        <v>ENTREGUE</v>
      </c>
      <c r="G1171" s="303"/>
      <c r="H1171" s="304"/>
    </row>
    <row r="1172">
      <c r="A1172" s="302" t="s">
        <v>85</v>
      </c>
      <c r="B1172" s="291" t="s">
        <v>8187</v>
      </c>
      <c r="C1172" s="292" t="s">
        <v>48</v>
      </c>
      <c r="D1172" s="293">
        <f t="shared" si="2"/>
        <v>1</v>
      </c>
      <c r="E1172" s="294"/>
      <c r="F1172" s="295" t="str">
        <f>IFERROR(__xludf.DUMMYFUNCTION("IF(B1172="""","""",IFERROR(VLOOKUP(TO_TEXT(B1172),PEDIDOS!D:I,6,0),IFERROR(VLOOKUP(B1172*1,PEDIDOS!D:I,6,0),"" "")))"),"ENTREGUE")</f>
        <v>ENTREGUE</v>
      </c>
      <c r="G1172" s="303"/>
      <c r="H1172" s="304"/>
    </row>
    <row r="1173">
      <c r="A1173" s="302" t="s">
        <v>85</v>
      </c>
      <c r="B1173" s="291" t="s">
        <v>9692</v>
      </c>
      <c r="C1173" s="292" t="s">
        <v>48</v>
      </c>
      <c r="D1173" s="293">
        <f t="shared" si="2"/>
        <v>1</v>
      </c>
      <c r="E1173" s="294"/>
      <c r="F1173" s="295" t="str">
        <f>IFERROR(__xludf.DUMMYFUNCTION("IF(B1173="""","""",IFERROR(VLOOKUP(TO_TEXT(B1173),PEDIDOS!D:I,6,0),IFERROR(VLOOKUP(B1173*1,PEDIDOS!D:I,6,0),"" "")))"),"ENTREGUE")</f>
        <v>ENTREGUE</v>
      </c>
      <c r="G1173" s="303"/>
      <c r="H1173" s="304"/>
    </row>
    <row r="1174">
      <c r="A1174" s="302" t="s">
        <v>85</v>
      </c>
      <c r="B1174" s="291" t="s">
        <v>8134</v>
      </c>
      <c r="C1174" s="292" t="s">
        <v>48</v>
      </c>
      <c r="D1174" s="293">
        <f t="shared" si="2"/>
        <v>1</v>
      </c>
      <c r="E1174" s="294"/>
      <c r="F1174" s="295" t="str">
        <f>IFERROR(__xludf.DUMMYFUNCTION("IF(B1174="""","""",IFERROR(VLOOKUP(TO_TEXT(B1174),PEDIDOS!D:I,6,0),IFERROR(VLOOKUP(B1174*1,PEDIDOS!D:I,6,0),"" "")))"),"ENTREGUE")</f>
        <v>ENTREGUE</v>
      </c>
      <c r="G1174" s="303"/>
      <c r="H1174" s="304"/>
    </row>
    <row r="1175">
      <c r="A1175" s="302" t="s">
        <v>85</v>
      </c>
      <c r="B1175" s="291" t="s">
        <v>8122</v>
      </c>
      <c r="C1175" s="292" t="s">
        <v>48</v>
      </c>
      <c r="D1175" s="293">
        <f t="shared" si="2"/>
        <v>1</v>
      </c>
      <c r="E1175" s="294"/>
      <c r="F1175" s="295" t="str">
        <f>IFERROR(__xludf.DUMMYFUNCTION("IF(B1175="""","""",IFERROR(VLOOKUP(TO_TEXT(B1175),PEDIDOS!D:I,6,0),IFERROR(VLOOKUP(B1175*1,PEDIDOS!D:I,6,0),"" "")))"),"ENTREGUE")</f>
        <v>ENTREGUE</v>
      </c>
      <c r="G1175" s="303"/>
      <c r="H1175" s="304"/>
    </row>
    <row r="1176">
      <c r="A1176" s="302" t="s">
        <v>85</v>
      </c>
      <c r="B1176" s="291" t="s">
        <v>6523</v>
      </c>
      <c r="C1176" s="292" t="s">
        <v>48</v>
      </c>
      <c r="D1176" s="293">
        <f t="shared" si="2"/>
        <v>1</v>
      </c>
      <c r="E1176" s="294"/>
      <c r="F1176" s="295" t="str">
        <f>IFERROR(__xludf.DUMMYFUNCTION("IF(B1176="""","""",IFERROR(VLOOKUP(TO_TEXT(B1176),PEDIDOS!D:I,6,0),IFERROR(VLOOKUP(B1176*1,PEDIDOS!D:I,6,0),"" "")))"),"ENTREGUE")</f>
        <v>ENTREGUE</v>
      </c>
      <c r="G1176" s="303"/>
      <c r="H1176" s="304"/>
    </row>
    <row r="1177">
      <c r="A1177" s="302" t="s">
        <v>85</v>
      </c>
      <c r="B1177" s="291" t="s">
        <v>6537</v>
      </c>
      <c r="C1177" s="292" t="s">
        <v>48</v>
      </c>
      <c r="D1177" s="293">
        <f t="shared" si="2"/>
        <v>1</v>
      </c>
      <c r="E1177" s="294"/>
      <c r="F1177" s="295" t="str">
        <f>IFERROR(__xludf.DUMMYFUNCTION("IF(B1177="""","""",IFERROR(VLOOKUP(TO_TEXT(B1177),PEDIDOS!D:I,6,0),IFERROR(VLOOKUP(B1177*1,PEDIDOS!D:I,6,0),"" "")))"),"ENTREGUE")</f>
        <v>ENTREGUE</v>
      </c>
      <c r="G1177" s="303"/>
      <c r="H1177" s="304"/>
    </row>
    <row r="1178">
      <c r="A1178" s="302" t="s">
        <v>85</v>
      </c>
      <c r="B1178" s="291" t="s">
        <v>7856</v>
      </c>
      <c r="C1178" s="292" t="s">
        <v>48</v>
      </c>
      <c r="D1178" s="293">
        <f t="shared" si="2"/>
        <v>1</v>
      </c>
      <c r="E1178" s="294"/>
      <c r="F1178" s="295" t="str">
        <f>IFERROR(__xludf.DUMMYFUNCTION("IF(B1178="""","""",IFERROR(VLOOKUP(TO_TEXT(B1178),PEDIDOS!D:I,6,0),IFERROR(VLOOKUP(B1178*1,PEDIDOS!D:I,6,0),"" "")))"),"ENTREGUE")</f>
        <v>ENTREGUE</v>
      </c>
      <c r="G1178" s="303"/>
      <c r="H1178" s="304"/>
    </row>
    <row r="1179">
      <c r="A1179" s="302" t="s">
        <v>85</v>
      </c>
      <c r="B1179" s="291" t="s">
        <v>6519</v>
      </c>
      <c r="C1179" s="292" t="s">
        <v>48</v>
      </c>
      <c r="D1179" s="293">
        <f t="shared" si="2"/>
        <v>1</v>
      </c>
      <c r="E1179" s="294"/>
      <c r="F1179" s="295" t="str">
        <f>IFERROR(__xludf.DUMMYFUNCTION("IF(B1179="""","""",IFERROR(VLOOKUP(TO_TEXT(B1179),PEDIDOS!D:I,6,0),IFERROR(VLOOKUP(B1179*1,PEDIDOS!D:I,6,0),"" "")))"),"ENTREGUE")</f>
        <v>ENTREGUE</v>
      </c>
      <c r="G1179" s="303"/>
      <c r="H1179" s="304"/>
    </row>
    <row r="1180">
      <c r="A1180" s="302" t="s">
        <v>85</v>
      </c>
      <c r="B1180" s="291" t="s">
        <v>9891</v>
      </c>
      <c r="C1180" s="292" t="s">
        <v>48</v>
      </c>
      <c r="D1180" s="293">
        <f t="shared" si="2"/>
        <v>1</v>
      </c>
      <c r="E1180" s="294"/>
      <c r="F1180" s="295" t="str">
        <f>IFERROR(__xludf.DUMMYFUNCTION("IF(B1180="""","""",IFERROR(VLOOKUP(TO_TEXT(B1180),PEDIDOS!D:I,6,0),IFERROR(VLOOKUP(B1180*1,PEDIDOS!D:I,6,0),"" "")))"),"ENTREGUE")</f>
        <v>ENTREGUE</v>
      </c>
      <c r="G1180" s="303"/>
      <c r="H1180" s="304"/>
    </row>
    <row r="1181">
      <c r="A1181" s="302" t="s">
        <v>85</v>
      </c>
      <c r="B1181" s="291" t="s">
        <v>7048</v>
      </c>
      <c r="C1181" s="292" t="s">
        <v>48</v>
      </c>
      <c r="D1181" s="293">
        <f t="shared" si="2"/>
        <v>1</v>
      </c>
      <c r="E1181" s="294"/>
      <c r="F1181" s="295" t="str">
        <f>IFERROR(__xludf.DUMMYFUNCTION("IF(B1181="""","""",IFERROR(VLOOKUP(TO_TEXT(B1181),PEDIDOS!D:I,6,0),IFERROR(VLOOKUP(B1181*1,PEDIDOS!D:I,6,0),"" "")))"),"ENTREGUE")</f>
        <v>ENTREGUE</v>
      </c>
      <c r="G1181" s="303"/>
      <c r="H1181" s="304"/>
    </row>
    <row r="1182">
      <c r="A1182" s="302" t="s">
        <v>85</v>
      </c>
      <c r="B1182" s="291" t="s">
        <v>9865</v>
      </c>
      <c r="C1182" s="292" t="s">
        <v>48</v>
      </c>
      <c r="D1182" s="293">
        <f t="shared" si="2"/>
        <v>1</v>
      </c>
      <c r="E1182" s="294"/>
      <c r="F1182" s="295" t="str">
        <f>IFERROR(__xludf.DUMMYFUNCTION("IF(B1182="""","""",IFERROR(VLOOKUP(TO_TEXT(B1182),PEDIDOS!D:I,6,0),IFERROR(VLOOKUP(B1182*1,PEDIDOS!D:I,6,0),"" "")))"),"ENTREGUE")</f>
        <v>ENTREGUE</v>
      </c>
      <c r="G1182" s="303"/>
      <c r="H1182" s="304"/>
    </row>
    <row r="1183">
      <c r="A1183" s="302" t="s">
        <v>85</v>
      </c>
      <c r="B1183" s="291" t="s">
        <v>9792</v>
      </c>
      <c r="C1183" s="292" t="s">
        <v>48</v>
      </c>
      <c r="D1183" s="293">
        <f t="shared" si="2"/>
        <v>1</v>
      </c>
      <c r="E1183" s="294"/>
      <c r="F1183" s="295" t="str">
        <f>IFERROR(__xludf.DUMMYFUNCTION("IF(B1183="""","""",IFERROR(VLOOKUP(TO_TEXT(B1183),PEDIDOS!D:I,6,0),IFERROR(VLOOKUP(B1183*1,PEDIDOS!D:I,6,0),"" "")))"),"ENTREGUE")</f>
        <v>ENTREGUE</v>
      </c>
      <c r="G1183" s="303"/>
      <c r="H1183" s="304"/>
    </row>
    <row r="1184">
      <c r="A1184" s="302" t="s">
        <v>85</v>
      </c>
      <c r="B1184" s="291" t="s">
        <v>8140</v>
      </c>
      <c r="C1184" s="292" t="s">
        <v>48</v>
      </c>
      <c r="D1184" s="293">
        <f t="shared" si="2"/>
        <v>1</v>
      </c>
      <c r="E1184" s="294"/>
      <c r="F1184" s="295" t="str">
        <f>IFERROR(__xludf.DUMMYFUNCTION("IF(B1184="""","""",IFERROR(VLOOKUP(TO_TEXT(B1184),PEDIDOS!D:I,6,0),IFERROR(VLOOKUP(B1184*1,PEDIDOS!D:I,6,0),"" "")))"),"ENTREGUE")</f>
        <v>ENTREGUE</v>
      </c>
      <c r="G1184" s="303"/>
      <c r="H1184" s="304"/>
    </row>
    <row r="1185">
      <c r="A1185" s="302" t="s">
        <v>85</v>
      </c>
      <c r="B1185" s="291" t="s">
        <v>9663</v>
      </c>
      <c r="C1185" s="292" t="s">
        <v>48</v>
      </c>
      <c r="D1185" s="293">
        <f t="shared" si="2"/>
        <v>1</v>
      </c>
      <c r="E1185" s="294"/>
      <c r="F1185" s="295" t="str">
        <f>IFERROR(__xludf.DUMMYFUNCTION("IF(B1185="""","""",IFERROR(VLOOKUP(TO_TEXT(B1185),PEDIDOS!D:I,6,0),IFERROR(VLOOKUP(B1185*1,PEDIDOS!D:I,6,0),"" "")))"),"ENTREGUE")</f>
        <v>ENTREGUE</v>
      </c>
      <c r="G1185" s="303"/>
      <c r="H1185" s="304"/>
    </row>
    <row r="1186">
      <c r="A1186" s="302" t="s">
        <v>85</v>
      </c>
      <c r="B1186" s="291" t="s">
        <v>8183</v>
      </c>
      <c r="C1186" s="292" t="s">
        <v>48</v>
      </c>
      <c r="D1186" s="293">
        <f t="shared" si="2"/>
        <v>1</v>
      </c>
      <c r="E1186" s="294"/>
      <c r="F1186" s="295" t="str">
        <f>IFERROR(__xludf.DUMMYFUNCTION("IF(B1186="""","""",IFERROR(VLOOKUP(TO_TEXT(B1186),PEDIDOS!D:I,6,0),IFERROR(VLOOKUP(B1186*1,PEDIDOS!D:I,6,0),"" "")))"),"ENTREGUE")</f>
        <v>ENTREGUE</v>
      </c>
      <c r="G1186" s="303"/>
      <c r="H1186" s="304"/>
    </row>
    <row r="1187">
      <c r="A1187" s="302" t="s">
        <v>85</v>
      </c>
      <c r="B1187" s="291" t="s">
        <v>8190</v>
      </c>
      <c r="C1187" s="292" t="s">
        <v>48</v>
      </c>
      <c r="D1187" s="293">
        <f t="shared" si="2"/>
        <v>1</v>
      </c>
      <c r="E1187" s="294"/>
      <c r="F1187" s="295" t="str">
        <f>IFERROR(__xludf.DUMMYFUNCTION("IF(B1187="""","""",IFERROR(VLOOKUP(TO_TEXT(B1187),PEDIDOS!D:I,6,0),IFERROR(VLOOKUP(B1187*1,PEDIDOS!D:I,6,0),"" "")))"),"ENTREGUE")</f>
        <v>ENTREGUE</v>
      </c>
      <c r="G1187" s="303"/>
      <c r="H1187" s="304"/>
    </row>
    <row r="1188">
      <c r="A1188" s="302" t="s">
        <v>85</v>
      </c>
      <c r="B1188" s="291" t="s">
        <v>9896</v>
      </c>
      <c r="C1188" s="292" t="s">
        <v>48</v>
      </c>
      <c r="D1188" s="293">
        <f t="shared" si="2"/>
        <v>1</v>
      </c>
      <c r="E1188" s="294"/>
      <c r="F1188" s="295" t="str">
        <f>IFERROR(__xludf.DUMMYFUNCTION("IF(B1188="""","""",IFERROR(VLOOKUP(TO_TEXT(B1188),PEDIDOS!D:I,6,0),IFERROR(VLOOKUP(B1188*1,PEDIDOS!D:I,6,0),"" "")))"),"ENTREGUE")</f>
        <v>ENTREGUE</v>
      </c>
      <c r="G1188" s="303"/>
      <c r="H1188" s="304"/>
    </row>
    <row r="1189">
      <c r="A1189" s="302" t="s">
        <v>85</v>
      </c>
      <c r="B1189" s="291" t="s">
        <v>6721</v>
      </c>
      <c r="C1189" s="292" t="s">
        <v>48</v>
      </c>
      <c r="D1189" s="293">
        <f t="shared" si="2"/>
        <v>1</v>
      </c>
      <c r="E1189" s="294"/>
      <c r="F1189" s="295" t="str">
        <f>IFERROR(__xludf.DUMMYFUNCTION("IF(B1189="""","""",IFERROR(VLOOKUP(TO_TEXT(B1189),PEDIDOS!D:I,6,0),IFERROR(VLOOKUP(B1189*1,PEDIDOS!D:I,6,0),"" "")))"),"ENTREGUE")</f>
        <v>ENTREGUE</v>
      </c>
      <c r="G1189" s="303"/>
      <c r="H1189" s="304"/>
    </row>
    <row r="1190">
      <c r="A1190" s="302" t="s">
        <v>85</v>
      </c>
      <c r="B1190" s="291" t="s">
        <v>8143</v>
      </c>
      <c r="C1190" s="292" t="s">
        <v>48</v>
      </c>
      <c r="D1190" s="293">
        <f t="shared" si="2"/>
        <v>1</v>
      </c>
      <c r="E1190" s="294"/>
      <c r="F1190" s="295" t="str">
        <f>IFERROR(__xludf.DUMMYFUNCTION("IF(B1190="""","""",IFERROR(VLOOKUP(TO_TEXT(B1190),PEDIDOS!D:I,6,0),IFERROR(VLOOKUP(B1190*1,PEDIDOS!D:I,6,0),"" "")))"),"ENTREGUE")</f>
        <v>ENTREGUE</v>
      </c>
      <c r="G1190" s="303"/>
      <c r="H1190" s="304"/>
    </row>
    <row r="1191">
      <c r="A1191" s="302" t="s">
        <v>85</v>
      </c>
      <c r="B1191" s="291" t="s">
        <v>7964</v>
      </c>
      <c r="C1191" s="292" t="s">
        <v>48</v>
      </c>
      <c r="D1191" s="293">
        <f t="shared" si="2"/>
        <v>1</v>
      </c>
      <c r="E1191" s="294"/>
      <c r="F1191" s="295" t="str">
        <f>IFERROR(__xludf.DUMMYFUNCTION("IF(B1191="""","""",IFERROR(VLOOKUP(TO_TEXT(B1191),PEDIDOS!D:I,6,0),IFERROR(VLOOKUP(B1191*1,PEDIDOS!D:I,6,0),"" "")))"),"ENTREGUE")</f>
        <v>ENTREGUE</v>
      </c>
      <c r="G1191" s="303"/>
      <c r="H1191" s="304"/>
    </row>
    <row r="1192">
      <c r="A1192" s="302" t="s">
        <v>85</v>
      </c>
      <c r="B1192" s="291" t="s">
        <v>23361</v>
      </c>
      <c r="C1192" s="292" t="s">
        <v>48</v>
      </c>
      <c r="D1192" s="293">
        <f t="shared" si="2"/>
        <v>1</v>
      </c>
      <c r="E1192" s="294"/>
      <c r="F1192" s="295" t="str">
        <f>IFERROR(__xludf.DUMMYFUNCTION("IF(B1192="""","""",IFERROR(VLOOKUP(TO_TEXT(B1192),PEDIDOS!D:I,6,0),IFERROR(VLOOKUP(B1192*1,PEDIDOS!D:I,6,0),"" "")))")," ")</f>
        <v> </v>
      </c>
      <c r="G1192" s="307" t="s">
        <v>23362</v>
      </c>
      <c r="H1192" s="304"/>
    </row>
    <row r="1193">
      <c r="A1193" s="302" t="s">
        <v>85</v>
      </c>
      <c r="B1193" s="291" t="s">
        <v>9568</v>
      </c>
      <c r="C1193" s="292" t="s">
        <v>48</v>
      </c>
      <c r="D1193" s="293">
        <f t="shared" si="2"/>
        <v>1</v>
      </c>
      <c r="E1193" s="294"/>
      <c r="F1193" s="295" t="str">
        <f>IFERROR(__xludf.DUMMYFUNCTION("IF(B1193="""","""",IFERROR(VLOOKUP(TO_TEXT(B1193),PEDIDOS!D:I,6,0),IFERROR(VLOOKUP(B1193*1,PEDIDOS!D:I,6,0),"" "")))"),"ENTREGUE")</f>
        <v>ENTREGUE</v>
      </c>
      <c r="G1193" s="303"/>
      <c r="H1193" s="304"/>
    </row>
    <row r="1194">
      <c r="A1194" s="302" t="s">
        <v>112</v>
      </c>
      <c r="B1194" s="291" t="s">
        <v>8753</v>
      </c>
      <c r="C1194" s="292" t="s">
        <v>48</v>
      </c>
      <c r="D1194" s="293">
        <f t="shared" si="2"/>
        <v>1</v>
      </c>
      <c r="E1194" s="294"/>
      <c r="F1194" s="295" t="str">
        <f>IFERROR(__xludf.DUMMYFUNCTION("IF(B1194="""","""",IFERROR(VLOOKUP(TO_TEXT(B1194),PEDIDOS!D:I,6,0),IFERROR(VLOOKUP(B1194*1,PEDIDOS!D:I,6,0),"" "")))"),"ENTREGUE")</f>
        <v>ENTREGUE</v>
      </c>
      <c r="G1194" s="303"/>
      <c r="H1194" s="304"/>
    </row>
    <row r="1195">
      <c r="A1195" s="302" t="s">
        <v>112</v>
      </c>
      <c r="B1195" s="291" t="s">
        <v>9408</v>
      </c>
      <c r="C1195" s="292" t="s">
        <v>48</v>
      </c>
      <c r="D1195" s="293">
        <f t="shared" si="2"/>
        <v>1</v>
      </c>
      <c r="E1195" s="294"/>
      <c r="F1195" s="295" t="str">
        <f>IFERROR(__xludf.DUMMYFUNCTION("IF(B1195="""","""",IFERROR(VLOOKUP(TO_TEXT(B1195),PEDIDOS!D:I,6,0),IFERROR(VLOOKUP(B1195*1,PEDIDOS!D:I,6,0),"" "")))"),"ENTREGUE")</f>
        <v>ENTREGUE</v>
      </c>
      <c r="G1195" s="303"/>
      <c r="H1195" s="304"/>
    </row>
    <row r="1196">
      <c r="A1196" s="302" t="s">
        <v>112</v>
      </c>
      <c r="B1196" s="291" t="s">
        <v>9061</v>
      </c>
      <c r="C1196" s="292" t="s">
        <v>48</v>
      </c>
      <c r="D1196" s="293">
        <f t="shared" si="2"/>
        <v>1</v>
      </c>
      <c r="E1196" s="294"/>
      <c r="F1196" s="295" t="str">
        <f>IFERROR(__xludf.DUMMYFUNCTION("IF(B1196="""","""",IFERROR(VLOOKUP(TO_TEXT(B1196),PEDIDOS!D:I,6,0),IFERROR(VLOOKUP(B1196*1,PEDIDOS!D:I,6,0),"" "")))"),"ENTREGUE")</f>
        <v>ENTREGUE</v>
      </c>
      <c r="G1196" s="303"/>
      <c r="H1196" s="304"/>
    </row>
    <row r="1197">
      <c r="A1197" s="302" t="s">
        <v>112</v>
      </c>
      <c r="B1197" s="291" t="s">
        <v>5738</v>
      </c>
      <c r="C1197" s="292" t="s">
        <v>48</v>
      </c>
      <c r="D1197" s="293">
        <f t="shared" si="2"/>
        <v>1</v>
      </c>
      <c r="E1197" s="294"/>
      <c r="F1197" s="295" t="str">
        <f>IFERROR(__xludf.DUMMYFUNCTION("IF(B1197="""","""",IFERROR(VLOOKUP(TO_TEXT(B1197),PEDIDOS!D:I,6,0),IFERROR(VLOOKUP(B1197*1,PEDIDOS!D:I,6,0),"" "")))"),"ENTREGUE")</f>
        <v>ENTREGUE</v>
      </c>
      <c r="G1197" s="303"/>
      <c r="H1197" s="304"/>
    </row>
    <row r="1198">
      <c r="A1198" s="302" t="s">
        <v>112</v>
      </c>
      <c r="B1198" s="291" t="s">
        <v>6319</v>
      </c>
      <c r="C1198" s="292" t="s">
        <v>48</v>
      </c>
      <c r="D1198" s="293">
        <f t="shared" si="2"/>
        <v>1</v>
      </c>
      <c r="E1198" s="294"/>
      <c r="F1198" s="295" t="str">
        <f>IFERROR(__xludf.DUMMYFUNCTION("IF(B1198="""","""",IFERROR(VLOOKUP(TO_TEXT(B1198),PEDIDOS!D:I,6,0),IFERROR(VLOOKUP(B1198*1,PEDIDOS!D:I,6,0),"" "")))"),"ENTREGUE")</f>
        <v>ENTREGUE</v>
      </c>
      <c r="G1198" s="303"/>
      <c r="H1198" s="304"/>
    </row>
    <row r="1199">
      <c r="A1199" s="302" t="s">
        <v>112</v>
      </c>
      <c r="B1199" s="291" t="s">
        <v>7091</v>
      </c>
      <c r="C1199" s="292" t="s">
        <v>48</v>
      </c>
      <c r="D1199" s="293">
        <f t="shared" si="2"/>
        <v>1</v>
      </c>
      <c r="E1199" s="294"/>
      <c r="F1199" s="295" t="str">
        <f>IFERROR(__xludf.DUMMYFUNCTION("IF(B1199="""","""",IFERROR(VLOOKUP(TO_TEXT(B1199),PEDIDOS!D:I,6,0),IFERROR(VLOOKUP(B1199*1,PEDIDOS!D:I,6,0),"" "")))"),"ENTREGUE")</f>
        <v>ENTREGUE</v>
      </c>
      <c r="G1199" s="303"/>
      <c r="H1199" s="304"/>
    </row>
    <row r="1200">
      <c r="A1200" s="302" t="s">
        <v>112</v>
      </c>
      <c r="B1200" s="291" t="s">
        <v>10068</v>
      </c>
      <c r="C1200" s="292" t="s">
        <v>48</v>
      </c>
      <c r="D1200" s="293">
        <f t="shared" si="2"/>
        <v>1</v>
      </c>
      <c r="E1200" s="294"/>
      <c r="F1200" s="295" t="str">
        <f>IFERROR(__xludf.DUMMYFUNCTION("IF(B1200="""","""",IFERROR(VLOOKUP(TO_TEXT(B1200),PEDIDOS!D:I,6,0),IFERROR(VLOOKUP(B1200*1,PEDIDOS!D:I,6,0),"" "")))"),"ENTREGUE")</f>
        <v>ENTREGUE</v>
      </c>
      <c r="G1200" s="303"/>
      <c r="H1200" s="304"/>
    </row>
    <row r="1201">
      <c r="A1201" s="302" t="s">
        <v>112</v>
      </c>
      <c r="B1201" s="291" t="s">
        <v>6445</v>
      </c>
      <c r="C1201" s="292" t="s">
        <v>48</v>
      </c>
      <c r="D1201" s="293">
        <f t="shared" si="2"/>
        <v>1</v>
      </c>
      <c r="E1201" s="294"/>
      <c r="F1201" s="295" t="str">
        <f>IFERROR(__xludf.DUMMYFUNCTION("IF(B1201="""","""",IFERROR(VLOOKUP(TO_TEXT(B1201),PEDIDOS!D:I,6,0),IFERROR(VLOOKUP(B1201*1,PEDIDOS!D:I,6,0),"" "")))"),"ENTREGUE")</f>
        <v>ENTREGUE</v>
      </c>
      <c r="G1201" s="303"/>
      <c r="H1201" s="304"/>
    </row>
    <row r="1202">
      <c r="A1202" s="302" t="s">
        <v>112</v>
      </c>
      <c r="B1202" s="291" t="s">
        <v>10411</v>
      </c>
      <c r="C1202" s="292" t="s">
        <v>48</v>
      </c>
      <c r="D1202" s="293">
        <f t="shared" si="2"/>
        <v>1</v>
      </c>
      <c r="E1202" s="294"/>
      <c r="F1202" s="295" t="str">
        <f>IFERROR(__xludf.DUMMYFUNCTION("IF(B1202="""","""",IFERROR(VLOOKUP(TO_TEXT(B1202),PEDIDOS!D:I,6,0),IFERROR(VLOOKUP(B1202*1,PEDIDOS!D:I,6,0),"" "")))"),"ENTREGUE")</f>
        <v>ENTREGUE</v>
      </c>
      <c r="G1202" s="303"/>
      <c r="H1202" s="304"/>
    </row>
    <row r="1203">
      <c r="A1203" s="302" t="s">
        <v>112</v>
      </c>
      <c r="B1203" s="291" t="s">
        <v>9627</v>
      </c>
      <c r="C1203" s="292" t="s">
        <v>48</v>
      </c>
      <c r="D1203" s="293">
        <f t="shared" si="2"/>
        <v>1</v>
      </c>
      <c r="E1203" s="294"/>
      <c r="F1203" s="295" t="str">
        <f>IFERROR(__xludf.DUMMYFUNCTION("IF(B1203="""","""",IFERROR(VLOOKUP(TO_TEXT(B1203),PEDIDOS!D:I,6,0),IFERROR(VLOOKUP(B1203*1,PEDIDOS!D:I,6,0),"" "")))"),"ENTREGUE")</f>
        <v>ENTREGUE</v>
      </c>
      <c r="G1203" s="303"/>
      <c r="H1203" s="304"/>
    </row>
    <row r="1204">
      <c r="A1204" s="302" t="s">
        <v>112</v>
      </c>
      <c r="B1204" s="291" t="s">
        <v>7980</v>
      </c>
      <c r="C1204" s="292" t="s">
        <v>48</v>
      </c>
      <c r="D1204" s="293">
        <f t="shared" si="2"/>
        <v>1</v>
      </c>
      <c r="E1204" s="294"/>
      <c r="F1204" s="295" t="str">
        <f>IFERROR(__xludf.DUMMYFUNCTION("IF(B1204="""","""",IFERROR(VLOOKUP(TO_TEXT(B1204),PEDIDOS!D:I,6,0),IFERROR(VLOOKUP(B1204*1,PEDIDOS!D:I,6,0),"" "")))"),"ENTREGUE")</f>
        <v>ENTREGUE</v>
      </c>
      <c r="G1204" s="303"/>
      <c r="H1204" s="304"/>
    </row>
    <row r="1205">
      <c r="A1205" s="302" t="s">
        <v>112</v>
      </c>
      <c r="B1205" s="291" t="s">
        <v>10750</v>
      </c>
      <c r="C1205" s="292" t="s">
        <v>48</v>
      </c>
      <c r="D1205" s="293">
        <f t="shared" si="2"/>
        <v>1</v>
      </c>
      <c r="E1205" s="294"/>
      <c r="F1205" s="295" t="str">
        <f>IFERROR(__xludf.DUMMYFUNCTION("IF(B1205="""","""",IFERROR(VLOOKUP(TO_TEXT(B1205),PEDIDOS!D:I,6,0),IFERROR(VLOOKUP(B1205*1,PEDIDOS!D:I,6,0),"" "")))"),"ENTREGUE")</f>
        <v>ENTREGUE</v>
      </c>
      <c r="G1205" s="303"/>
      <c r="H1205" s="304"/>
    </row>
    <row r="1206">
      <c r="A1206" s="302" t="s">
        <v>112</v>
      </c>
      <c r="B1206" s="291" t="s">
        <v>9057</v>
      </c>
      <c r="C1206" s="292" t="s">
        <v>48</v>
      </c>
      <c r="D1206" s="293">
        <f t="shared" si="2"/>
        <v>1</v>
      </c>
      <c r="E1206" s="294"/>
      <c r="F1206" s="295" t="str">
        <f>IFERROR(__xludf.DUMMYFUNCTION("IF(B1206="""","""",IFERROR(VLOOKUP(TO_TEXT(B1206),PEDIDOS!D:I,6,0),IFERROR(VLOOKUP(B1206*1,PEDIDOS!D:I,6,0),"" "")))"),"ENTREGUE")</f>
        <v>ENTREGUE</v>
      </c>
      <c r="G1206" s="303"/>
      <c r="H1206" s="304"/>
    </row>
    <row r="1207">
      <c r="A1207" s="302" t="s">
        <v>112</v>
      </c>
      <c r="B1207" s="291" t="s">
        <v>8621</v>
      </c>
      <c r="C1207" s="292" t="s">
        <v>48</v>
      </c>
      <c r="D1207" s="293">
        <f t="shared" si="2"/>
        <v>1</v>
      </c>
      <c r="E1207" s="294"/>
      <c r="F1207" s="295" t="str">
        <f>IFERROR(__xludf.DUMMYFUNCTION("IF(B1207="""","""",IFERROR(VLOOKUP(TO_TEXT(B1207),PEDIDOS!D:I,6,0),IFERROR(VLOOKUP(B1207*1,PEDIDOS!D:I,6,0),"" "")))"),"ENTREGUE")</f>
        <v>ENTREGUE</v>
      </c>
      <c r="G1207" s="303"/>
      <c r="H1207" s="304"/>
    </row>
    <row r="1208">
      <c r="A1208" s="302" t="s">
        <v>112</v>
      </c>
      <c r="B1208" s="291" t="s">
        <v>111</v>
      </c>
      <c r="C1208" s="292" t="s">
        <v>48</v>
      </c>
      <c r="D1208" s="293">
        <f t="shared" si="2"/>
        <v>1</v>
      </c>
      <c r="E1208" s="294"/>
      <c r="F1208" s="295" t="str">
        <f>IFERROR(__xludf.DUMMYFUNCTION("IF(B1208="""","""",IFERROR(VLOOKUP(TO_TEXT(B1208),PEDIDOS!D:I,6,0),IFERROR(VLOOKUP(B1208*1,PEDIDOS!D:I,6,0),"" "")))"),"ENTREGUE")</f>
        <v>ENTREGUE</v>
      </c>
      <c r="G1208" s="303"/>
      <c r="H1208" s="304"/>
    </row>
    <row r="1209">
      <c r="A1209" s="302" t="s">
        <v>112</v>
      </c>
      <c r="B1209" s="291" t="s">
        <v>11533</v>
      </c>
      <c r="C1209" s="292" t="s">
        <v>48</v>
      </c>
      <c r="D1209" s="293">
        <f t="shared" si="2"/>
        <v>1</v>
      </c>
      <c r="E1209" s="294"/>
      <c r="F1209" s="295" t="str">
        <f>IFERROR(__xludf.DUMMYFUNCTION("IF(B1209="""","""",IFERROR(VLOOKUP(TO_TEXT(B1209),PEDIDOS!D:I,6,0),IFERROR(VLOOKUP(B1209*1,PEDIDOS!D:I,6,0),"" "")))"),"ENTREGUE")</f>
        <v>ENTREGUE</v>
      </c>
      <c r="G1209" s="303"/>
      <c r="H1209" s="304"/>
    </row>
    <row r="1210">
      <c r="A1210" s="302" t="s">
        <v>112</v>
      </c>
      <c r="B1210" s="291" t="s">
        <v>5873</v>
      </c>
      <c r="C1210" s="292" t="s">
        <v>48</v>
      </c>
      <c r="D1210" s="293">
        <f t="shared" si="2"/>
        <v>1</v>
      </c>
      <c r="E1210" s="294"/>
      <c r="F1210" s="295" t="str">
        <f>IFERROR(__xludf.DUMMYFUNCTION("IF(B1210="""","""",IFERROR(VLOOKUP(TO_TEXT(B1210),PEDIDOS!D:I,6,0),IFERROR(VLOOKUP(B1210*1,PEDIDOS!D:I,6,0),"" "")))"),"ENTREGUE")</f>
        <v>ENTREGUE</v>
      </c>
      <c r="G1210" s="303"/>
      <c r="H1210" s="304"/>
    </row>
    <row r="1211">
      <c r="A1211" s="302" t="s">
        <v>112</v>
      </c>
      <c r="B1211" s="291" t="s">
        <v>10051</v>
      </c>
      <c r="C1211" s="292" t="s">
        <v>48</v>
      </c>
      <c r="D1211" s="293">
        <f t="shared" si="2"/>
        <v>1</v>
      </c>
      <c r="E1211" s="294"/>
      <c r="F1211" s="295" t="str">
        <f>IFERROR(__xludf.DUMMYFUNCTION("IF(B1211="""","""",IFERROR(VLOOKUP(TO_TEXT(B1211),PEDIDOS!D:I,6,0),IFERROR(VLOOKUP(B1211*1,PEDIDOS!D:I,6,0),"" "")))"),"ENTREGUE")</f>
        <v>ENTREGUE</v>
      </c>
      <c r="G1211" s="303"/>
      <c r="H1211" s="304"/>
    </row>
    <row r="1212">
      <c r="A1212" s="302" t="s">
        <v>112</v>
      </c>
      <c r="B1212" s="291" t="s">
        <v>9658</v>
      </c>
      <c r="C1212" s="292" t="s">
        <v>48</v>
      </c>
      <c r="D1212" s="293">
        <f t="shared" si="2"/>
        <v>1</v>
      </c>
      <c r="E1212" s="294"/>
      <c r="F1212" s="295" t="str">
        <f>IFERROR(__xludf.DUMMYFUNCTION("IF(B1212="""","""",IFERROR(VLOOKUP(TO_TEXT(B1212),PEDIDOS!D:I,6,0),IFERROR(VLOOKUP(B1212*1,PEDIDOS!D:I,6,0),"" "")))"),"ENTREGUE")</f>
        <v>ENTREGUE</v>
      </c>
      <c r="G1212" s="303"/>
      <c r="H1212" s="304"/>
    </row>
    <row r="1213">
      <c r="A1213" s="302" t="s">
        <v>112</v>
      </c>
      <c r="B1213" s="291" t="s">
        <v>8612</v>
      </c>
      <c r="C1213" s="292" t="s">
        <v>48</v>
      </c>
      <c r="D1213" s="293">
        <f t="shared" si="2"/>
        <v>1</v>
      </c>
      <c r="E1213" s="294"/>
      <c r="F1213" s="295" t="str">
        <f>IFERROR(__xludf.DUMMYFUNCTION("IF(B1213="""","""",IFERROR(VLOOKUP(TO_TEXT(B1213),PEDIDOS!D:I,6,0),IFERROR(VLOOKUP(B1213*1,PEDIDOS!D:I,6,0),"" "")))"),"ENTREGUE")</f>
        <v>ENTREGUE</v>
      </c>
      <c r="G1213" s="303"/>
      <c r="H1213" s="304"/>
    </row>
    <row r="1214">
      <c r="A1214" s="302" t="s">
        <v>112</v>
      </c>
      <c r="B1214" s="291" t="s">
        <v>9429</v>
      </c>
      <c r="C1214" s="292" t="s">
        <v>48</v>
      </c>
      <c r="D1214" s="293">
        <f t="shared" si="2"/>
        <v>1</v>
      </c>
      <c r="E1214" s="294"/>
      <c r="F1214" s="295" t="str">
        <f>IFERROR(__xludf.DUMMYFUNCTION("IF(B1214="""","""",IFERROR(VLOOKUP(TO_TEXT(B1214),PEDIDOS!D:I,6,0),IFERROR(VLOOKUP(B1214*1,PEDIDOS!D:I,6,0),"" "")))"),"ENTREGUE")</f>
        <v>ENTREGUE</v>
      </c>
      <c r="G1214" s="303"/>
      <c r="H1214" s="304"/>
    </row>
    <row r="1215">
      <c r="A1215" s="302" t="s">
        <v>112</v>
      </c>
      <c r="B1215" s="291" t="s">
        <v>8766</v>
      </c>
      <c r="C1215" s="292" t="s">
        <v>48</v>
      </c>
      <c r="D1215" s="293">
        <f t="shared" si="2"/>
        <v>1</v>
      </c>
      <c r="E1215" s="294"/>
      <c r="F1215" s="295" t="str">
        <f>IFERROR(__xludf.DUMMYFUNCTION("IF(B1215="""","""",IFERROR(VLOOKUP(TO_TEXT(B1215),PEDIDOS!D:I,6,0),IFERROR(VLOOKUP(B1215*1,PEDIDOS!D:I,6,0),"" "")))"),"ENTREGUE")</f>
        <v>ENTREGUE</v>
      </c>
      <c r="G1215" s="303"/>
      <c r="H1215" s="304"/>
    </row>
    <row r="1216">
      <c r="A1216" s="302" t="s">
        <v>112</v>
      </c>
      <c r="B1216" s="291" t="s">
        <v>9797</v>
      </c>
      <c r="C1216" s="292" t="s">
        <v>48</v>
      </c>
      <c r="D1216" s="293">
        <f t="shared" si="2"/>
        <v>1</v>
      </c>
      <c r="E1216" s="294"/>
      <c r="F1216" s="295" t="str">
        <f>IFERROR(__xludf.DUMMYFUNCTION("IF(B1216="""","""",IFERROR(VLOOKUP(TO_TEXT(B1216),PEDIDOS!D:I,6,0),IFERROR(VLOOKUP(B1216*1,PEDIDOS!D:I,6,0),"" "")))"),"ENTREGUE")</f>
        <v>ENTREGUE</v>
      </c>
      <c r="G1216" s="303"/>
      <c r="H1216" s="304"/>
    </row>
    <row r="1217">
      <c r="A1217" s="302" t="s">
        <v>112</v>
      </c>
      <c r="B1217" s="291" t="s">
        <v>11778</v>
      </c>
      <c r="C1217" s="292" t="s">
        <v>48</v>
      </c>
      <c r="D1217" s="293">
        <f t="shared" si="2"/>
        <v>1</v>
      </c>
      <c r="E1217" s="294"/>
      <c r="F1217" s="295" t="str">
        <f>IFERROR(__xludf.DUMMYFUNCTION("IF(B1217="""","""",IFERROR(VLOOKUP(TO_TEXT(B1217),PEDIDOS!D:I,6,0),IFERROR(VLOOKUP(B1217*1,PEDIDOS!D:I,6,0),"" "")))"),"ENTREGUE")</f>
        <v>ENTREGUE</v>
      </c>
      <c r="G1217" s="303"/>
      <c r="H1217" s="304"/>
    </row>
    <row r="1218">
      <c r="A1218" s="302" t="s">
        <v>112</v>
      </c>
      <c r="B1218" s="291" t="s">
        <v>5716</v>
      </c>
      <c r="C1218" s="292" t="s">
        <v>48</v>
      </c>
      <c r="D1218" s="293">
        <f t="shared" si="2"/>
        <v>1</v>
      </c>
      <c r="E1218" s="294"/>
      <c r="F1218" s="295" t="str">
        <f>IFERROR(__xludf.DUMMYFUNCTION("IF(B1218="""","""",IFERROR(VLOOKUP(TO_TEXT(B1218),PEDIDOS!D:I,6,0),IFERROR(VLOOKUP(B1218*1,PEDIDOS!D:I,6,0),"" "")))"),"ENTREGUE")</f>
        <v>ENTREGUE</v>
      </c>
      <c r="G1218" s="303"/>
      <c r="H1218" s="304"/>
    </row>
    <row r="1219">
      <c r="A1219" s="302" t="s">
        <v>112</v>
      </c>
      <c r="B1219" s="291" t="s">
        <v>6372</v>
      </c>
      <c r="C1219" s="292" t="s">
        <v>48</v>
      </c>
      <c r="D1219" s="293">
        <f t="shared" si="2"/>
        <v>1</v>
      </c>
      <c r="E1219" s="294"/>
      <c r="F1219" s="295" t="str">
        <f>IFERROR(__xludf.DUMMYFUNCTION("IF(B1219="""","""",IFERROR(VLOOKUP(TO_TEXT(B1219),PEDIDOS!D:I,6,0),IFERROR(VLOOKUP(B1219*1,PEDIDOS!D:I,6,0),"" "")))"),"ENTREGUE")</f>
        <v>ENTREGUE</v>
      </c>
      <c r="G1219" s="303"/>
      <c r="H1219" s="304"/>
    </row>
    <row r="1220">
      <c r="A1220" s="302" t="s">
        <v>112</v>
      </c>
      <c r="B1220" s="291" t="s">
        <v>8762</v>
      </c>
      <c r="C1220" s="292" t="s">
        <v>48</v>
      </c>
      <c r="D1220" s="293">
        <f t="shared" si="2"/>
        <v>1</v>
      </c>
      <c r="E1220" s="294"/>
      <c r="F1220" s="295" t="str">
        <f>IFERROR(__xludf.DUMMYFUNCTION("IF(B1220="""","""",IFERROR(VLOOKUP(TO_TEXT(B1220),PEDIDOS!D:I,6,0),IFERROR(VLOOKUP(B1220*1,PEDIDOS!D:I,6,0),"" "")))"),"ENTREGUE")</f>
        <v>ENTREGUE</v>
      </c>
      <c r="G1220" s="303"/>
      <c r="H1220" s="304"/>
    </row>
    <row r="1221">
      <c r="A1221" s="302" t="s">
        <v>112</v>
      </c>
      <c r="B1221" s="291" t="s">
        <v>9767</v>
      </c>
      <c r="C1221" s="292" t="s">
        <v>48</v>
      </c>
      <c r="D1221" s="293">
        <f t="shared" si="2"/>
        <v>1</v>
      </c>
      <c r="E1221" s="294"/>
      <c r="F1221" s="295" t="str">
        <f>IFERROR(__xludf.DUMMYFUNCTION("IF(B1221="""","""",IFERROR(VLOOKUP(TO_TEXT(B1221),PEDIDOS!D:I,6,0),IFERROR(VLOOKUP(B1221*1,PEDIDOS!D:I,6,0),"" "")))"),"ENTREGUE")</f>
        <v>ENTREGUE</v>
      </c>
      <c r="G1221" s="303"/>
      <c r="H1221" s="304"/>
    </row>
    <row r="1222">
      <c r="A1222" s="302" t="s">
        <v>112</v>
      </c>
      <c r="B1222" s="291" t="s">
        <v>5908</v>
      </c>
      <c r="C1222" s="292" t="s">
        <v>48</v>
      </c>
      <c r="D1222" s="293">
        <f t="shared" si="2"/>
        <v>1</v>
      </c>
      <c r="E1222" s="294"/>
      <c r="F1222" s="295" t="str">
        <f>IFERROR(__xludf.DUMMYFUNCTION("IF(B1222="""","""",IFERROR(VLOOKUP(TO_TEXT(B1222),PEDIDOS!D:I,6,0),IFERROR(VLOOKUP(B1222*1,PEDIDOS!D:I,6,0),"" "")))"),"ENTREGUE")</f>
        <v>ENTREGUE</v>
      </c>
      <c r="G1222" s="303"/>
      <c r="H1222" s="304"/>
    </row>
    <row r="1223">
      <c r="A1223" s="302" t="s">
        <v>112</v>
      </c>
      <c r="B1223" s="291" t="s">
        <v>5811</v>
      </c>
      <c r="C1223" s="292" t="s">
        <v>48</v>
      </c>
      <c r="D1223" s="293">
        <f t="shared" si="2"/>
        <v>1</v>
      </c>
      <c r="E1223" s="294"/>
      <c r="F1223" s="295" t="str">
        <f>IFERROR(__xludf.DUMMYFUNCTION("IF(B1223="""","""",IFERROR(VLOOKUP(TO_TEXT(B1223),PEDIDOS!D:I,6,0),IFERROR(VLOOKUP(B1223*1,PEDIDOS!D:I,6,0),"" "")))"),"ENTREGUE")</f>
        <v>ENTREGUE</v>
      </c>
      <c r="G1223" s="303"/>
      <c r="H1223" s="304"/>
    </row>
    <row r="1224">
      <c r="A1224" s="302" t="s">
        <v>47</v>
      </c>
      <c r="B1224" s="291" t="s">
        <v>12849</v>
      </c>
      <c r="C1224" s="292" t="s">
        <v>48</v>
      </c>
      <c r="D1224" s="293">
        <f t="shared" si="2"/>
        <v>1</v>
      </c>
      <c r="E1224" s="294"/>
      <c r="F1224" s="295" t="str">
        <f>IFERROR(__xludf.DUMMYFUNCTION("IF(B1224="""","""",IFERROR(VLOOKUP(TO_TEXT(B1224),PEDIDOS!D:I,6,0),IFERROR(VLOOKUP(B1224*1,PEDIDOS!D:I,6,0),"" "")))"),"ENTREGUE")</f>
        <v>ENTREGUE</v>
      </c>
      <c r="G1224" s="303"/>
      <c r="H1224" s="304"/>
    </row>
    <row r="1225">
      <c r="A1225" s="302" t="s">
        <v>47</v>
      </c>
      <c r="B1225" s="291" t="s">
        <v>6967</v>
      </c>
      <c r="C1225" s="292" t="s">
        <v>48</v>
      </c>
      <c r="D1225" s="293">
        <f t="shared" si="2"/>
        <v>1</v>
      </c>
      <c r="E1225" s="294"/>
      <c r="F1225" s="295" t="str">
        <f>IFERROR(__xludf.DUMMYFUNCTION("IF(B1225="""","""",IFERROR(VLOOKUP(TO_TEXT(B1225),PEDIDOS!D:I,6,0),IFERROR(VLOOKUP(B1225*1,PEDIDOS!D:I,6,0),"" "")))"),"ENTREGUE")</f>
        <v>ENTREGUE</v>
      </c>
      <c r="G1225" s="303"/>
      <c r="H1225" s="304"/>
    </row>
    <row r="1226">
      <c r="A1226" s="302" t="s">
        <v>47</v>
      </c>
      <c r="B1226" s="291" t="s">
        <v>12846</v>
      </c>
      <c r="C1226" s="292" t="s">
        <v>48</v>
      </c>
      <c r="D1226" s="293">
        <f t="shared" si="2"/>
        <v>1</v>
      </c>
      <c r="E1226" s="294"/>
      <c r="F1226" s="295" t="str">
        <f>IFERROR(__xludf.DUMMYFUNCTION("IF(B1226="""","""",IFERROR(VLOOKUP(TO_TEXT(B1226),PEDIDOS!D:I,6,0),IFERROR(VLOOKUP(B1226*1,PEDIDOS!D:I,6,0),"" "")))"),"ENTREGUE")</f>
        <v>ENTREGUE</v>
      </c>
      <c r="G1226" s="303"/>
      <c r="H1226" s="304"/>
    </row>
    <row r="1227">
      <c r="A1227" s="302" t="s">
        <v>47</v>
      </c>
      <c r="B1227" s="291" t="s">
        <v>12810</v>
      </c>
      <c r="C1227" s="292" t="s">
        <v>48</v>
      </c>
      <c r="D1227" s="293">
        <f t="shared" si="2"/>
        <v>1</v>
      </c>
      <c r="E1227" s="294"/>
      <c r="F1227" s="295" t="str">
        <f>IFERROR(__xludf.DUMMYFUNCTION("IF(B1227="""","""",IFERROR(VLOOKUP(TO_TEXT(B1227),PEDIDOS!D:I,6,0),IFERROR(VLOOKUP(B1227*1,PEDIDOS!D:I,6,0),"" "")))"),"ENTREGUE")</f>
        <v>ENTREGUE</v>
      </c>
      <c r="G1227" s="303"/>
      <c r="H1227" s="304"/>
    </row>
    <row r="1228">
      <c r="A1228" s="302" t="s">
        <v>47</v>
      </c>
      <c r="B1228" s="291" t="s">
        <v>8312</v>
      </c>
      <c r="C1228" s="292" t="s">
        <v>48</v>
      </c>
      <c r="D1228" s="293">
        <f t="shared" si="2"/>
        <v>1</v>
      </c>
      <c r="E1228" s="294"/>
      <c r="F1228" s="295" t="str">
        <f>IFERROR(__xludf.DUMMYFUNCTION("IF(B1228="""","""",IFERROR(VLOOKUP(TO_TEXT(B1228),PEDIDOS!D:I,6,0),IFERROR(VLOOKUP(B1228*1,PEDIDOS!D:I,6,0),"" "")))"),"ENTREGUE")</f>
        <v>ENTREGUE</v>
      </c>
      <c r="G1228" s="303"/>
      <c r="H1228" s="304"/>
    </row>
    <row r="1229">
      <c r="A1229" s="302" t="s">
        <v>47</v>
      </c>
      <c r="B1229" s="291" t="s">
        <v>9862</v>
      </c>
      <c r="C1229" s="292" t="s">
        <v>48</v>
      </c>
      <c r="D1229" s="293">
        <f t="shared" si="2"/>
        <v>1</v>
      </c>
      <c r="E1229" s="294"/>
      <c r="F1229" s="295" t="str">
        <f>IFERROR(__xludf.DUMMYFUNCTION("IF(B1229="""","""",IFERROR(VLOOKUP(TO_TEXT(B1229),PEDIDOS!D:I,6,0),IFERROR(VLOOKUP(B1229*1,PEDIDOS!D:I,6,0),"" "")))"),"ENTREGUE")</f>
        <v>ENTREGUE</v>
      </c>
      <c r="G1229" s="303"/>
      <c r="H1229" s="304"/>
    </row>
    <row r="1230">
      <c r="A1230" s="302" t="s">
        <v>47</v>
      </c>
      <c r="B1230" s="291" t="s">
        <v>8295</v>
      </c>
      <c r="C1230" s="292" t="s">
        <v>48</v>
      </c>
      <c r="D1230" s="293">
        <f t="shared" si="2"/>
        <v>1</v>
      </c>
      <c r="E1230" s="294"/>
      <c r="F1230" s="295" t="str">
        <f>IFERROR(__xludf.DUMMYFUNCTION("IF(B1230="""","""",IFERROR(VLOOKUP(TO_TEXT(B1230),PEDIDOS!D:I,6,0),IFERROR(VLOOKUP(B1230*1,PEDIDOS!D:I,6,0),"" "")))"),"ENTREGUE")</f>
        <v>ENTREGUE</v>
      </c>
      <c r="G1230" s="303"/>
      <c r="H1230" s="304"/>
    </row>
    <row r="1231">
      <c r="A1231" s="302" t="s">
        <v>47</v>
      </c>
      <c r="B1231" s="291" t="s">
        <v>8576</v>
      </c>
      <c r="C1231" s="292" t="s">
        <v>48</v>
      </c>
      <c r="D1231" s="293">
        <f t="shared" si="2"/>
        <v>1</v>
      </c>
      <c r="E1231" s="294"/>
      <c r="F1231" s="295" t="str">
        <f>IFERROR(__xludf.DUMMYFUNCTION("IF(B1231="""","""",IFERROR(VLOOKUP(TO_TEXT(B1231),PEDIDOS!D:I,6,0),IFERROR(VLOOKUP(B1231*1,PEDIDOS!D:I,6,0),"" "")))"),"ENTREGUE")</f>
        <v>ENTREGUE</v>
      </c>
      <c r="G1231" s="303"/>
      <c r="H1231" s="304"/>
    </row>
    <row r="1232">
      <c r="A1232" s="302" t="s">
        <v>47</v>
      </c>
      <c r="B1232" s="291" t="s">
        <v>12814</v>
      </c>
      <c r="C1232" s="292" t="s">
        <v>48</v>
      </c>
      <c r="D1232" s="293">
        <f t="shared" si="2"/>
        <v>1</v>
      </c>
      <c r="E1232" s="294"/>
      <c r="F1232" s="295" t="str">
        <f>IFERROR(__xludf.DUMMYFUNCTION("IF(B1232="""","""",IFERROR(VLOOKUP(TO_TEXT(B1232),PEDIDOS!D:I,6,0),IFERROR(VLOOKUP(B1232*1,PEDIDOS!D:I,6,0),"" "")))"),"ENTREGUE")</f>
        <v>ENTREGUE</v>
      </c>
      <c r="G1232" s="303"/>
      <c r="H1232" s="304"/>
    </row>
    <row r="1233">
      <c r="A1233" s="302" t="s">
        <v>47</v>
      </c>
      <c r="B1233" s="291" t="s">
        <v>23363</v>
      </c>
      <c r="C1233" s="292" t="s">
        <v>48</v>
      </c>
      <c r="D1233" s="293">
        <f t="shared" si="2"/>
        <v>1</v>
      </c>
      <c r="E1233" s="294"/>
      <c r="F1233" s="295" t="str">
        <f>IFERROR(__xludf.DUMMYFUNCTION("IF(B1233="""","""",IFERROR(VLOOKUP(TO_TEXT(B1233),PEDIDOS!D:I,6,0),IFERROR(VLOOKUP(B1233*1,PEDIDOS!D:I,6,0),"" "")))")," ")</f>
        <v> </v>
      </c>
      <c r="G1233" s="303" t="s">
        <v>23350</v>
      </c>
      <c r="H1233" s="304"/>
    </row>
    <row r="1234">
      <c r="A1234" s="302" t="s">
        <v>47</v>
      </c>
      <c r="B1234" s="291" t="s">
        <v>8455</v>
      </c>
      <c r="C1234" s="292" t="s">
        <v>48</v>
      </c>
      <c r="D1234" s="293">
        <f t="shared" si="2"/>
        <v>1</v>
      </c>
      <c r="E1234" s="294"/>
      <c r="F1234" s="295" t="str">
        <f>IFERROR(__xludf.DUMMYFUNCTION("IF(B1234="""","""",IFERROR(VLOOKUP(TO_TEXT(B1234),PEDIDOS!D:I,6,0),IFERROR(VLOOKUP(B1234*1,PEDIDOS!D:I,6,0),"" "")))"),"ENTREGUE")</f>
        <v>ENTREGUE</v>
      </c>
      <c r="G1234" s="303"/>
      <c r="H1234" s="304"/>
    </row>
    <row r="1235">
      <c r="A1235" s="302" t="s">
        <v>47</v>
      </c>
      <c r="B1235" s="291" t="s">
        <v>6989</v>
      </c>
      <c r="C1235" s="292" t="s">
        <v>48</v>
      </c>
      <c r="D1235" s="293">
        <f t="shared" si="2"/>
        <v>1</v>
      </c>
      <c r="E1235" s="294"/>
      <c r="F1235" s="295" t="str">
        <f>IFERROR(__xludf.DUMMYFUNCTION("IF(B1235="""","""",IFERROR(VLOOKUP(TO_TEXT(B1235),PEDIDOS!D:I,6,0),IFERROR(VLOOKUP(B1235*1,PEDIDOS!D:I,6,0),"" "")))"),"ENTREGUE")</f>
        <v>ENTREGUE</v>
      </c>
      <c r="G1235" s="303"/>
      <c r="H1235" s="304"/>
    </row>
    <row r="1236">
      <c r="A1236" s="302" t="s">
        <v>47</v>
      </c>
      <c r="B1236" s="291" t="s">
        <v>23364</v>
      </c>
      <c r="C1236" s="292" t="s">
        <v>48</v>
      </c>
      <c r="D1236" s="293">
        <f t="shared" si="2"/>
        <v>1</v>
      </c>
      <c r="E1236" s="294"/>
      <c r="F1236" s="295" t="str">
        <f>IFERROR(__xludf.DUMMYFUNCTION("IF(B1236="""","""",IFERROR(VLOOKUP(TO_TEXT(B1236),PEDIDOS!D:I,6,0),IFERROR(VLOOKUP(B1236*1,PEDIDOS!D:I,6,0),"" "")))")," ")</f>
        <v> </v>
      </c>
      <c r="G1236" s="303" t="s">
        <v>23350</v>
      </c>
      <c r="H1236" s="304"/>
    </row>
    <row r="1237">
      <c r="A1237" s="302" t="s">
        <v>47</v>
      </c>
      <c r="B1237" s="291" t="s">
        <v>23365</v>
      </c>
      <c r="C1237" s="292" t="s">
        <v>48</v>
      </c>
      <c r="D1237" s="293">
        <f t="shared" si="2"/>
        <v>1</v>
      </c>
      <c r="E1237" s="294"/>
      <c r="F1237" s="295" t="str">
        <f>IFERROR(__xludf.DUMMYFUNCTION("IF(B1237="""","""",IFERROR(VLOOKUP(TO_TEXT(B1237),PEDIDOS!D:I,6,0),IFERROR(VLOOKUP(B1237*1,PEDIDOS!D:I,6,0),"" "")))")," ")</f>
        <v> </v>
      </c>
      <c r="G1237" s="303" t="s">
        <v>23350</v>
      </c>
      <c r="H1237" s="304"/>
    </row>
    <row r="1238">
      <c r="A1238" s="302" t="s">
        <v>47</v>
      </c>
      <c r="B1238" s="291" t="s">
        <v>23366</v>
      </c>
      <c r="C1238" s="292" t="s">
        <v>48</v>
      </c>
      <c r="D1238" s="293">
        <f t="shared" si="2"/>
        <v>1</v>
      </c>
      <c r="E1238" s="294"/>
      <c r="F1238" s="295" t="str">
        <f>IFERROR(__xludf.DUMMYFUNCTION("IF(B1238="""","""",IFERROR(VLOOKUP(TO_TEXT(B1238),PEDIDOS!D:I,6,0),IFERROR(VLOOKUP(B1238*1,PEDIDOS!D:I,6,0),"" "")))")," ")</f>
        <v> </v>
      </c>
      <c r="G1238" s="303" t="s">
        <v>23350</v>
      </c>
      <c r="H1238" s="304"/>
    </row>
    <row r="1239">
      <c r="A1239" s="302" t="s">
        <v>47</v>
      </c>
      <c r="B1239" s="291" t="s">
        <v>23367</v>
      </c>
      <c r="C1239" s="292" t="s">
        <v>48</v>
      </c>
      <c r="D1239" s="293">
        <f t="shared" si="2"/>
        <v>1</v>
      </c>
      <c r="E1239" s="294"/>
      <c r="F1239" s="295" t="str">
        <f>IFERROR(__xludf.DUMMYFUNCTION("IF(B1239="""","""",IFERROR(VLOOKUP(TO_TEXT(B1239),PEDIDOS!D:I,6,0),IFERROR(VLOOKUP(B1239*1,PEDIDOS!D:I,6,0),"" "")))")," ")</f>
        <v> </v>
      </c>
      <c r="G1239" s="303" t="s">
        <v>23368</v>
      </c>
      <c r="H1239" s="304"/>
    </row>
    <row r="1240">
      <c r="A1240" s="302" t="s">
        <v>47</v>
      </c>
      <c r="B1240" s="291" t="s">
        <v>12874</v>
      </c>
      <c r="C1240" s="292" t="s">
        <v>48</v>
      </c>
      <c r="D1240" s="293">
        <f t="shared" si="2"/>
        <v>1</v>
      </c>
      <c r="E1240" s="294"/>
      <c r="F1240" s="295" t="str">
        <f>IFERROR(__xludf.DUMMYFUNCTION("IF(B1240="""","""",IFERROR(VLOOKUP(TO_TEXT(B1240),PEDIDOS!D:I,6,0),IFERROR(VLOOKUP(B1240*1,PEDIDOS!D:I,6,0),"" "")))"),"ENTREGUE")</f>
        <v>ENTREGUE</v>
      </c>
      <c r="G1240" s="303"/>
      <c r="H1240" s="304"/>
    </row>
    <row r="1241">
      <c r="A1241" s="302" t="s">
        <v>47</v>
      </c>
      <c r="B1241" s="291" t="s">
        <v>13199</v>
      </c>
      <c r="C1241" s="292" t="s">
        <v>48</v>
      </c>
      <c r="D1241" s="293">
        <f t="shared" si="2"/>
        <v>1</v>
      </c>
      <c r="E1241" s="294"/>
      <c r="F1241" s="295" t="str">
        <f>IFERROR(__xludf.DUMMYFUNCTION("IF(B1241="""","""",IFERROR(VLOOKUP(TO_TEXT(B1241),PEDIDOS!D:I,6,0),IFERROR(VLOOKUP(B1241*1,PEDIDOS!D:I,6,0),"" "")))"),"ENTREGUE")</f>
        <v>ENTREGUE</v>
      </c>
      <c r="G1241" s="303"/>
      <c r="H1241" s="304"/>
    </row>
    <row r="1242">
      <c r="A1242" s="302" t="s">
        <v>47</v>
      </c>
      <c r="B1242" s="291" t="s">
        <v>6992</v>
      </c>
      <c r="C1242" s="292" t="s">
        <v>48</v>
      </c>
      <c r="D1242" s="293">
        <f t="shared" si="2"/>
        <v>1</v>
      </c>
      <c r="E1242" s="294"/>
      <c r="F1242" s="295" t="str">
        <f>IFERROR(__xludf.DUMMYFUNCTION("IF(B1242="""","""",IFERROR(VLOOKUP(TO_TEXT(B1242),PEDIDOS!D:I,6,0),IFERROR(VLOOKUP(B1242*1,PEDIDOS!D:I,6,0),"" "")))"),"ENTREGUE")</f>
        <v>ENTREGUE</v>
      </c>
      <c r="G1242" s="303"/>
      <c r="H1242" s="304"/>
    </row>
    <row r="1243">
      <c r="A1243" s="302" t="s">
        <v>47</v>
      </c>
      <c r="B1243" s="291" t="s">
        <v>13211</v>
      </c>
      <c r="C1243" s="292" t="s">
        <v>48</v>
      </c>
      <c r="D1243" s="293">
        <f t="shared" si="2"/>
        <v>1</v>
      </c>
      <c r="E1243" s="294"/>
      <c r="F1243" s="295" t="str">
        <f>IFERROR(__xludf.DUMMYFUNCTION("IF(B1243="""","""",IFERROR(VLOOKUP(TO_TEXT(B1243),PEDIDOS!D:I,6,0),IFERROR(VLOOKUP(B1243*1,PEDIDOS!D:I,6,0),"" "")))"),"ENTREGUE")</f>
        <v>ENTREGUE</v>
      </c>
      <c r="G1243" s="303"/>
      <c r="H1243" s="304"/>
    </row>
    <row r="1244">
      <c r="A1244" s="302" t="s">
        <v>47</v>
      </c>
      <c r="B1244" s="291" t="s">
        <v>23369</v>
      </c>
      <c r="C1244" s="292" t="s">
        <v>48</v>
      </c>
      <c r="D1244" s="293">
        <f t="shared" si="2"/>
        <v>1</v>
      </c>
      <c r="E1244" s="294"/>
      <c r="F1244" s="295" t="str">
        <f>IFERROR(__xludf.DUMMYFUNCTION("IF(B1244="""","""",IFERROR(VLOOKUP(TO_TEXT(B1244),PEDIDOS!D:I,6,0),IFERROR(VLOOKUP(B1244*1,PEDIDOS!D:I,6,0),"" "")))")," ")</f>
        <v> </v>
      </c>
      <c r="G1244" s="303" t="s">
        <v>23350</v>
      </c>
      <c r="H1244" s="304"/>
    </row>
    <row r="1245">
      <c r="A1245" s="302" t="s">
        <v>47</v>
      </c>
      <c r="B1245" s="291" t="s">
        <v>7864</v>
      </c>
      <c r="C1245" s="292" t="s">
        <v>48</v>
      </c>
      <c r="D1245" s="293">
        <f t="shared" si="2"/>
        <v>1</v>
      </c>
      <c r="E1245" s="294"/>
      <c r="F1245" s="295" t="str">
        <f>IFERROR(__xludf.DUMMYFUNCTION("IF(B1245="""","""",IFERROR(VLOOKUP(TO_TEXT(B1245),PEDIDOS!D:I,6,0),IFERROR(VLOOKUP(B1245*1,PEDIDOS!D:I,6,0),"" "")))"),"ENTREGUE")</f>
        <v>ENTREGUE</v>
      </c>
      <c r="G1245" s="303"/>
      <c r="H1245" s="304"/>
    </row>
    <row r="1246">
      <c r="A1246" s="302" t="s">
        <v>47</v>
      </c>
      <c r="B1246" s="291" t="s">
        <v>8280</v>
      </c>
      <c r="C1246" s="292" t="s">
        <v>48</v>
      </c>
      <c r="D1246" s="293">
        <f t="shared" si="2"/>
        <v>1</v>
      </c>
      <c r="E1246" s="294"/>
      <c r="F1246" s="295" t="str">
        <f>IFERROR(__xludf.DUMMYFUNCTION("IF(B1246="""","""",IFERROR(VLOOKUP(TO_TEXT(B1246),PEDIDOS!D:I,6,0),IFERROR(VLOOKUP(B1246*1,PEDIDOS!D:I,6,0),"" "")))"),"ENTREGUE")</f>
        <v>ENTREGUE</v>
      </c>
      <c r="G1246" s="303"/>
      <c r="H1246" s="304"/>
    </row>
    <row r="1247">
      <c r="A1247" s="302" t="s">
        <v>47</v>
      </c>
      <c r="B1247" s="291" t="s">
        <v>7546</v>
      </c>
      <c r="C1247" s="292" t="s">
        <v>48</v>
      </c>
      <c r="D1247" s="293">
        <f t="shared" si="2"/>
        <v>1</v>
      </c>
      <c r="E1247" s="294"/>
      <c r="F1247" s="295" t="str">
        <f>IFERROR(__xludf.DUMMYFUNCTION("IF(B1247="""","""",IFERROR(VLOOKUP(TO_TEXT(B1247),PEDIDOS!D:I,6,0),IFERROR(VLOOKUP(B1247*1,PEDIDOS!D:I,6,0),"" "")))"),"ENTREGUE")</f>
        <v>ENTREGUE</v>
      </c>
      <c r="G1247" s="303"/>
      <c r="H1247" s="304"/>
    </row>
    <row r="1248">
      <c r="A1248" s="302" t="s">
        <v>47</v>
      </c>
      <c r="B1248" s="291" t="s">
        <v>23370</v>
      </c>
      <c r="C1248" s="292" t="s">
        <v>48</v>
      </c>
      <c r="D1248" s="293">
        <f t="shared" si="2"/>
        <v>1</v>
      </c>
      <c r="E1248" s="294"/>
      <c r="F1248" s="295" t="str">
        <f>IFERROR(__xludf.DUMMYFUNCTION("IF(B1248="""","""",IFERROR(VLOOKUP(TO_TEXT(B1248),PEDIDOS!D:I,6,0),IFERROR(VLOOKUP(B1248*1,PEDIDOS!D:I,6,0),"" "")))")," ")</f>
        <v> </v>
      </c>
      <c r="G1248" s="303" t="s">
        <v>23350</v>
      </c>
      <c r="H1248" s="304"/>
    </row>
    <row r="1249">
      <c r="A1249" s="302" t="s">
        <v>47</v>
      </c>
      <c r="B1249" s="291" t="s">
        <v>8082</v>
      </c>
      <c r="C1249" s="292" t="s">
        <v>48</v>
      </c>
      <c r="D1249" s="293">
        <f t="shared" si="2"/>
        <v>1</v>
      </c>
      <c r="E1249" s="294"/>
      <c r="F1249" s="295" t="str">
        <f>IFERROR(__xludf.DUMMYFUNCTION("IF(B1249="""","""",IFERROR(VLOOKUP(TO_TEXT(B1249),PEDIDOS!D:I,6,0),IFERROR(VLOOKUP(B1249*1,PEDIDOS!D:I,6,0),"" "")))"),"ENTREGUE")</f>
        <v>ENTREGUE</v>
      </c>
      <c r="G1249" s="303"/>
      <c r="H1249" s="304"/>
    </row>
    <row r="1250">
      <c r="A1250" s="302" t="s">
        <v>47</v>
      </c>
      <c r="B1250" s="291" t="s">
        <v>8504</v>
      </c>
      <c r="C1250" s="292" t="s">
        <v>48</v>
      </c>
      <c r="D1250" s="293">
        <f t="shared" si="2"/>
        <v>1</v>
      </c>
      <c r="E1250" s="294"/>
      <c r="F1250" s="295" t="str">
        <f>IFERROR(__xludf.DUMMYFUNCTION("IF(B1250="""","""",IFERROR(VLOOKUP(TO_TEXT(B1250),PEDIDOS!D:I,6,0),IFERROR(VLOOKUP(B1250*1,PEDIDOS!D:I,6,0),"" "")))"),"ENTREGUE")</f>
        <v>ENTREGUE</v>
      </c>
      <c r="G1250" s="303"/>
      <c r="H1250" s="304"/>
    </row>
    <row r="1251">
      <c r="A1251" s="302" t="s">
        <v>47</v>
      </c>
      <c r="B1251" s="291" t="s">
        <v>23371</v>
      </c>
      <c r="C1251" s="292" t="s">
        <v>48</v>
      </c>
      <c r="D1251" s="293">
        <f t="shared" si="2"/>
        <v>1</v>
      </c>
      <c r="E1251" s="294"/>
      <c r="F1251" s="295" t="str">
        <f>IFERROR(__xludf.DUMMYFUNCTION("IF(B1251="""","""",IFERROR(VLOOKUP(TO_TEXT(B1251),PEDIDOS!D:I,6,0),IFERROR(VLOOKUP(B1251*1,PEDIDOS!D:I,6,0),"" "")))")," ")</f>
        <v> </v>
      </c>
      <c r="G1251" s="303" t="s">
        <v>23350</v>
      </c>
      <c r="H1251" s="304"/>
    </row>
    <row r="1252">
      <c r="A1252" s="302" t="s">
        <v>47</v>
      </c>
      <c r="B1252" s="291" t="s">
        <v>23372</v>
      </c>
      <c r="C1252" s="292" t="s">
        <v>48</v>
      </c>
      <c r="D1252" s="293">
        <f t="shared" si="2"/>
        <v>1</v>
      </c>
      <c r="E1252" s="294"/>
      <c r="F1252" s="295" t="str">
        <f>IFERROR(__xludf.DUMMYFUNCTION("IF(B1252="""","""",IFERROR(VLOOKUP(TO_TEXT(B1252),PEDIDOS!D:I,6,0),IFERROR(VLOOKUP(B1252*1,PEDIDOS!D:I,6,0),"" "")))")," ")</f>
        <v> </v>
      </c>
      <c r="G1252" s="303" t="s">
        <v>23350</v>
      </c>
      <c r="H1252" s="304"/>
    </row>
    <row r="1253">
      <c r="A1253" s="302" t="s">
        <v>47</v>
      </c>
      <c r="B1253" s="291" t="s">
        <v>6964</v>
      </c>
      <c r="C1253" s="292" t="s">
        <v>48</v>
      </c>
      <c r="D1253" s="293">
        <f t="shared" si="2"/>
        <v>1</v>
      </c>
      <c r="E1253" s="294"/>
      <c r="F1253" s="295" t="str">
        <f>IFERROR(__xludf.DUMMYFUNCTION("IF(B1253="""","""",IFERROR(VLOOKUP(TO_TEXT(B1253),PEDIDOS!D:I,6,0),IFERROR(VLOOKUP(B1253*1,PEDIDOS!D:I,6,0),"" "")))"),"ENTREGUE")</f>
        <v>ENTREGUE</v>
      </c>
      <c r="G1253" s="303"/>
      <c r="H1253" s="304"/>
    </row>
    <row r="1254">
      <c r="A1254" s="302" t="s">
        <v>3441</v>
      </c>
      <c r="B1254" s="291" t="s">
        <v>6925</v>
      </c>
      <c r="C1254" s="292" t="s">
        <v>48</v>
      </c>
      <c r="D1254" s="293">
        <f t="shared" si="2"/>
        <v>1</v>
      </c>
      <c r="E1254" s="294"/>
      <c r="F1254" s="295" t="str">
        <f>IFERROR(__xludf.DUMMYFUNCTION("IF(B1254="""","""",IFERROR(VLOOKUP(TO_TEXT(B1254),PEDIDOS!D:I,6,0),IFERROR(VLOOKUP(B1254*1,PEDIDOS!D:I,6,0),"" "")))"),"ENTREGUE")</f>
        <v>ENTREGUE</v>
      </c>
      <c r="G1254" s="303"/>
      <c r="H1254" s="304"/>
    </row>
    <row r="1255">
      <c r="A1255" s="302" t="s">
        <v>3441</v>
      </c>
      <c r="B1255" s="291" t="s">
        <v>7390</v>
      </c>
      <c r="C1255" s="292" t="s">
        <v>48</v>
      </c>
      <c r="D1255" s="293">
        <f t="shared" si="2"/>
        <v>1</v>
      </c>
      <c r="E1255" s="294"/>
      <c r="F1255" s="295" t="str">
        <f>IFERROR(__xludf.DUMMYFUNCTION("IF(B1255="""","""",IFERROR(VLOOKUP(TO_TEXT(B1255),PEDIDOS!D:I,6,0),IFERROR(VLOOKUP(B1255*1,PEDIDOS!D:I,6,0),"" "")))"),"ENTREGUE")</f>
        <v>ENTREGUE</v>
      </c>
      <c r="G1255" s="303"/>
      <c r="H1255" s="304"/>
    </row>
    <row r="1256">
      <c r="A1256" s="302" t="s">
        <v>3441</v>
      </c>
      <c r="B1256" s="291" t="s">
        <v>7179</v>
      </c>
      <c r="C1256" s="292" t="s">
        <v>48</v>
      </c>
      <c r="D1256" s="293">
        <f t="shared" si="2"/>
        <v>1</v>
      </c>
      <c r="E1256" s="294"/>
      <c r="F1256" s="295" t="str">
        <f>IFERROR(__xludf.DUMMYFUNCTION("IF(B1256="""","""",IFERROR(VLOOKUP(TO_TEXT(B1256),PEDIDOS!D:I,6,0),IFERROR(VLOOKUP(B1256*1,PEDIDOS!D:I,6,0),"" "")))"),"ENTREGUE")</f>
        <v>ENTREGUE</v>
      </c>
      <c r="G1256" s="303"/>
      <c r="H1256" s="304"/>
    </row>
    <row r="1257">
      <c r="A1257" s="302" t="s">
        <v>3441</v>
      </c>
      <c r="B1257" s="291" t="s">
        <v>7881</v>
      </c>
      <c r="C1257" s="292" t="s">
        <v>48</v>
      </c>
      <c r="D1257" s="293">
        <f t="shared" si="2"/>
        <v>1</v>
      </c>
      <c r="E1257" s="294"/>
      <c r="F1257" s="295" t="str">
        <f>IFERROR(__xludf.DUMMYFUNCTION("IF(B1257="""","""",IFERROR(VLOOKUP(TO_TEXT(B1257),PEDIDOS!D:I,6,0),IFERROR(VLOOKUP(B1257*1,PEDIDOS!D:I,6,0),"" "")))"),"ENTREGUE")</f>
        <v>ENTREGUE</v>
      </c>
      <c r="G1257" s="303"/>
      <c r="H1257" s="304"/>
    </row>
    <row r="1258">
      <c r="A1258" s="302" t="s">
        <v>3441</v>
      </c>
      <c r="B1258" s="291" t="s">
        <v>8030</v>
      </c>
      <c r="C1258" s="292" t="s">
        <v>48</v>
      </c>
      <c r="D1258" s="293">
        <f t="shared" si="2"/>
        <v>1</v>
      </c>
      <c r="E1258" s="294"/>
      <c r="F1258" s="295" t="str">
        <f>IFERROR(__xludf.DUMMYFUNCTION("IF(B1258="""","""",IFERROR(VLOOKUP(TO_TEXT(B1258),PEDIDOS!D:I,6,0),IFERROR(VLOOKUP(B1258*1,PEDIDOS!D:I,6,0),"" "")))"),"ENTREGUE")</f>
        <v>ENTREGUE</v>
      </c>
      <c r="G1258" s="303"/>
      <c r="H1258" s="304"/>
    </row>
    <row r="1259">
      <c r="A1259" s="302" t="s">
        <v>3441</v>
      </c>
      <c r="B1259" s="291" t="s">
        <v>6931</v>
      </c>
      <c r="C1259" s="292" t="s">
        <v>48</v>
      </c>
      <c r="D1259" s="293">
        <f t="shared" si="2"/>
        <v>1</v>
      </c>
      <c r="E1259" s="294"/>
      <c r="F1259" s="295" t="str">
        <f>IFERROR(__xludf.DUMMYFUNCTION("IF(B1259="""","""",IFERROR(VLOOKUP(TO_TEXT(B1259),PEDIDOS!D:I,6,0),IFERROR(VLOOKUP(B1259*1,PEDIDOS!D:I,6,0),"" "")))"),"ENTREGUE")</f>
        <v>ENTREGUE</v>
      </c>
      <c r="G1259" s="303"/>
      <c r="H1259" s="304"/>
    </row>
    <row r="1260">
      <c r="A1260" s="302" t="s">
        <v>3441</v>
      </c>
      <c r="B1260" s="291" t="s">
        <v>8174</v>
      </c>
      <c r="C1260" s="292" t="s">
        <v>48</v>
      </c>
      <c r="D1260" s="293">
        <f t="shared" si="2"/>
        <v>1</v>
      </c>
      <c r="E1260" s="294"/>
      <c r="F1260" s="295" t="str">
        <f>IFERROR(__xludf.DUMMYFUNCTION("IF(B1260="""","""",IFERROR(VLOOKUP(TO_TEXT(B1260),PEDIDOS!D:I,6,0),IFERROR(VLOOKUP(B1260*1,PEDIDOS!D:I,6,0),"" "")))"),"ENTREGUE")</f>
        <v>ENTREGUE</v>
      </c>
      <c r="G1260" s="303"/>
      <c r="H1260" s="304"/>
    </row>
    <row r="1261">
      <c r="A1261" s="302" t="s">
        <v>3441</v>
      </c>
      <c r="B1261" s="291" t="s">
        <v>8402</v>
      </c>
      <c r="C1261" s="292" t="s">
        <v>48</v>
      </c>
      <c r="D1261" s="293">
        <f t="shared" si="2"/>
        <v>1</v>
      </c>
      <c r="E1261" s="294"/>
      <c r="F1261" s="295" t="str">
        <f>IFERROR(__xludf.DUMMYFUNCTION("IF(B1261="""","""",IFERROR(VLOOKUP(TO_TEXT(B1261),PEDIDOS!D:I,6,0),IFERROR(VLOOKUP(B1261*1,PEDIDOS!D:I,6,0),"" "")))"),"ENTREGUE")</f>
        <v>ENTREGUE</v>
      </c>
      <c r="G1261" s="303"/>
      <c r="H1261" s="304"/>
    </row>
    <row r="1262">
      <c r="A1262" s="302" t="s">
        <v>3441</v>
      </c>
      <c r="B1262" s="291" t="s">
        <v>7663</v>
      </c>
      <c r="C1262" s="292" t="s">
        <v>48</v>
      </c>
      <c r="D1262" s="293">
        <f t="shared" si="2"/>
        <v>1</v>
      </c>
      <c r="E1262" s="294"/>
      <c r="F1262" s="295" t="str">
        <f>IFERROR(__xludf.DUMMYFUNCTION("IF(B1262="""","""",IFERROR(VLOOKUP(TO_TEXT(B1262),PEDIDOS!D:I,6,0),IFERROR(VLOOKUP(B1262*1,PEDIDOS!D:I,6,0),"" "")))"),"ENTREGUE")</f>
        <v>ENTREGUE</v>
      </c>
      <c r="G1262" s="303"/>
      <c r="H1262" s="304"/>
    </row>
    <row r="1263">
      <c r="A1263" s="302" t="s">
        <v>3441</v>
      </c>
      <c r="B1263" s="291" t="s">
        <v>7018</v>
      </c>
      <c r="C1263" s="292" t="s">
        <v>48</v>
      </c>
      <c r="D1263" s="293">
        <f t="shared" si="2"/>
        <v>1</v>
      </c>
      <c r="E1263" s="294"/>
      <c r="F1263" s="295" t="str">
        <f>IFERROR(__xludf.DUMMYFUNCTION("IF(B1263="""","""",IFERROR(VLOOKUP(TO_TEXT(B1263),PEDIDOS!D:I,6,0),IFERROR(VLOOKUP(B1263*1,PEDIDOS!D:I,6,0),"" "")))"),"ENTREGUE")</f>
        <v>ENTREGUE</v>
      </c>
      <c r="G1263" s="303"/>
      <c r="H1263" s="304"/>
    </row>
    <row r="1264">
      <c r="A1264" s="302" t="s">
        <v>3441</v>
      </c>
      <c r="B1264" s="291" t="s">
        <v>7733</v>
      </c>
      <c r="C1264" s="292" t="s">
        <v>48</v>
      </c>
      <c r="D1264" s="293">
        <f t="shared" si="2"/>
        <v>1</v>
      </c>
      <c r="E1264" s="294"/>
      <c r="F1264" s="295" t="str">
        <f>IFERROR(__xludf.DUMMYFUNCTION("IF(B1264="""","""",IFERROR(VLOOKUP(TO_TEXT(B1264),PEDIDOS!D:I,6,0),IFERROR(VLOOKUP(B1264*1,PEDIDOS!D:I,6,0),"" "")))"),"ENTREGUE")</f>
        <v>ENTREGUE</v>
      </c>
      <c r="G1264" s="303"/>
      <c r="H1264" s="304"/>
    </row>
    <row r="1265">
      <c r="A1265" s="302" t="s">
        <v>3441</v>
      </c>
      <c r="B1265" s="291" t="s">
        <v>8284</v>
      </c>
      <c r="C1265" s="292" t="s">
        <v>48</v>
      </c>
      <c r="D1265" s="293">
        <f t="shared" si="2"/>
        <v>1</v>
      </c>
      <c r="E1265" s="294"/>
      <c r="F1265" s="295" t="str">
        <f>IFERROR(__xludf.DUMMYFUNCTION("IF(B1265="""","""",IFERROR(VLOOKUP(TO_TEXT(B1265),PEDIDOS!D:I,6,0),IFERROR(VLOOKUP(B1265*1,PEDIDOS!D:I,6,0),"" "")))"),"ENTREGUE")</f>
        <v>ENTREGUE</v>
      </c>
      <c r="G1265" s="303"/>
      <c r="H1265" s="304"/>
    </row>
    <row r="1266">
      <c r="A1266" s="302" t="s">
        <v>3441</v>
      </c>
      <c r="B1266" s="291" t="s">
        <v>6928</v>
      </c>
      <c r="C1266" s="292" t="s">
        <v>48</v>
      </c>
      <c r="D1266" s="293">
        <f t="shared" si="2"/>
        <v>1</v>
      </c>
      <c r="E1266" s="294"/>
      <c r="F1266" s="295" t="str">
        <f>IFERROR(__xludf.DUMMYFUNCTION("IF(B1266="""","""",IFERROR(VLOOKUP(TO_TEXT(B1266),PEDIDOS!D:I,6,0),IFERROR(VLOOKUP(B1266*1,PEDIDOS!D:I,6,0),"" "")))"),"ENTREGUE")</f>
        <v>ENTREGUE</v>
      </c>
      <c r="G1266" s="303"/>
      <c r="H1266" s="304"/>
    </row>
    <row r="1267">
      <c r="A1267" s="302" t="s">
        <v>3441</v>
      </c>
      <c r="B1267" s="291" t="s">
        <v>5181</v>
      </c>
      <c r="C1267" s="292" t="s">
        <v>48</v>
      </c>
      <c r="D1267" s="293">
        <f t="shared" si="2"/>
        <v>1</v>
      </c>
      <c r="E1267" s="294"/>
      <c r="F1267" s="295" t="str">
        <f>IFERROR(__xludf.DUMMYFUNCTION("IF(B1267="""","""",IFERROR(VLOOKUP(TO_TEXT(B1267),PEDIDOS!D:I,6,0),IFERROR(VLOOKUP(B1267*1,PEDIDOS!D:I,6,0),"" "")))"),"ENTREGUE")</f>
        <v>ENTREGUE</v>
      </c>
      <c r="G1267" s="303"/>
      <c r="H1267" s="304"/>
    </row>
    <row r="1268">
      <c r="A1268" s="302" t="s">
        <v>3441</v>
      </c>
      <c r="B1268" s="291" t="s">
        <v>8413</v>
      </c>
      <c r="C1268" s="292" t="s">
        <v>48</v>
      </c>
      <c r="D1268" s="293">
        <f t="shared" si="2"/>
        <v>1</v>
      </c>
      <c r="E1268" s="294"/>
      <c r="F1268" s="295" t="str">
        <f>IFERROR(__xludf.DUMMYFUNCTION("IF(B1268="""","""",IFERROR(VLOOKUP(TO_TEXT(B1268),PEDIDOS!D:I,6,0),IFERROR(VLOOKUP(B1268*1,PEDIDOS!D:I,6,0),"" "")))"),"ENTREGUE")</f>
        <v>ENTREGUE</v>
      </c>
      <c r="G1268" s="303"/>
      <c r="H1268" s="304"/>
    </row>
    <row r="1269">
      <c r="A1269" s="302" t="s">
        <v>3441</v>
      </c>
      <c r="B1269" s="291" t="s">
        <v>7007</v>
      </c>
      <c r="C1269" s="292" t="s">
        <v>48</v>
      </c>
      <c r="D1269" s="293">
        <f t="shared" si="2"/>
        <v>1</v>
      </c>
      <c r="E1269" s="294"/>
      <c r="F1269" s="295" t="str">
        <f>IFERROR(__xludf.DUMMYFUNCTION("IF(B1269="""","""",IFERROR(VLOOKUP(TO_TEXT(B1269),PEDIDOS!D:I,6,0),IFERROR(VLOOKUP(B1269*1,PEDIDOS!D:I,6,0),"" "")))"),"ENTREGUE")</f>
        <v>ENTREGUE</v>
      </c>
      <c r="G1269" s="303"/>
      <c r="H1269" s="304"/>
    </row>
    <row r="1270">
      <c r="A1270" s="302" t="s">
        <v>3441</v>
      </c>
      <c r="B1270" s="291" t="s">
        <v>7873</v>
      </c>
      <c r="C1270" s="292" t="s">
        <v>48</v>
      </c>
      <c r="D1270" s="293">
        <f t="shared" si="2"/>
        <v>1</v>
      </c>
      <c r="E1270" s="294"/>
      <c r="F1270" s="295" t="str">
        <f>IFERROR(__xludf.DUMMYFUNCTION("IF(B1270="""","""",IFERROR(VLOOKUP(TO_TEXT(B1270),PEDIDOS!D:I,6,0),IFERROR(VLOOKUP(B1270*1,PEDIDOS!D:I,6,0),"" "")))"),"ENTREGUE")</f>
        <v>ENTREGUE</v>
      </c>
      <c r="G1270" s="303"/>
      <c r="H1270" s="304"/>
    </row>
    <row r="1271">
      <c r="A1271" s="302" t="s">
        <v>3441</v>
      </c>
      <c r="B1271" s="291" t="s">
        <v>6934</v>
      </c>
      <c r="C1271" s="292" t="s">
        <v>48</v>
      </c>
      <c r="D1271" s="293">
        <f t="shared" si="2"/>
        <v>1</v>
      </c>
      <c r="E1271" s="294"/>
      <c r="F1271" s="295" t="str">
        <f>IFERROR(__xludf.DUMMYFUNCTION("IF(B1271="""","""",IFERROR(VLOOKUP(TO_TEXT(B1271),PEDIDOS!D:I,6,0),IFERROR(VLOOKUP(B1271*1,PEDIDOS!D:I,6,0),"" "")))"),"ENTREGUE")</f>
        <v>ENTREGUE</v>
      </c>
      <c r="G1271" s="303"/>
      <c r="H1271" s="304"/>
    </row>
    <row r="1272">
      <c r="A1272" s="302" t="s">
        <v>3441</v>
      </c>
      <c r="B1272" s="291" t="s">
        <v>7559</v>
      </c>
      <c r="C1272" s="292" t="s">
        <v>48</v>
      </c>
      <c r="D1272" s="293">
        <f t="shared" si="2"/>
        <v>1</v>
      </c>
      <c r="E1272" s="294"/>
      <c r="F1272" s="295" t="str">
        <f>IFERROR(__xludf.DUMMYFUNCTION("IF(B1272="""","""",IFERROR(VLOOKUP(TO_TEXT(B1272),PEDIDOS!D:I,6,0),IFERROR(VLOOKUP(B1272*1,PEDIDOS!D:I,6,0),"" "")))"),"ENTREGUE")</f>
        <v>ENTREGUE</v>
      </c>
      <c r="G1272" s="303"/>
      <c r="H1272" s="304"/>
    </row>
    <row r="1273">
      <c r="A1273" s="302" t="s">
        <v>3441</v>
      </c>
      <c r="B1273" s="291" t="s">
        <v>6998</v>
      </c>
      <c r="C1273" s="292" t="s">
        <v>48</v>
      </c>
      <c r="D1273" s="293">
        <f t="shared" si="2"/>
        <v>1</v>
      </c>
      <c r="E1273" s="294"/>
      <c r="F1273" s="295" t="str">
        <f>IFERROR(__xludf.DUMMYFUNCTION("IF(B1273="""","""",IFERROR(VLOOKUP(TO_TEXT(B1273),PEDIDOS!D:I,6,0),IFERROR(VLOOKUP(B1273*1,PEDIDOS!D:I,6,0),"" "")))"),"ENTREGUE")</f>
        <v>ENTREGUE</v>
      </c>
      <c r="G1273" s="303"/>
      <c r="H1273" s="304"/>
    </row>
    <row r="1274">
      <c r="A1274" s="302" t="s">
        <v>3441</v>
      </c>
      <c r="B1274" s="291" t="s">
        <v>8026</v>
      </c>
      <c r="C1274" s="292" t="s">
        <v>48</v>
      </c>
      <c r="D1274" s="293">
        <f t="shared" si="2"/>
        <v>1</v>
      </c>
      <c r="E1274" s="294"/>
      <c r="F1274" s="295" t="str">
        <f>IFERROR(__xludf.DUMMYFUNCTION("IF(B1274="""","""",IFERROR(VLOOKUP(TO_TEXT(B1274),PEDIDOS!D:I,6,0),IFERROR(VLOOKUP(B1274*1,PEDIDOS!D:I,6,0),"" "")))"),"ENTREGUE")</f>
        <v>ENTREGUE</v>
      </c>
      <c r="G1274" s="303"/>
      <c r="H1274" s="304"/>
    </row>
    <row r="1275">
      <c r="A1275" s="302" t="s">
        <v>3441</v>
      </c>
      <c r="B1275" s="291" t="s">
        <v>7021</v>
      </c>
      <c r="C1275" s="292" t="s">
        <v>48</v>
      </c>
      <c r="D1275" s="293">
        <f t="shared" si="2"/>
        <v>1</v>
      </c>
      <c r="E1275" s="294"/>
      <c r="F1275" s="295" t="str">
        <f>IFERROR(__xludf.DUMMYFUNCTION("IF(B1275="""","""",IFERROR(VLOOKUP(TO_TEXT(B1275),PEDIDOS!D:I,6,0),IFERROR(VLOOKUP(B1275*1,PEDIDOS!D:I,6,0),"" "")))"),"ENTREGUE")</f>
        <v>ENTREGUE</v>
      </c>
      <c r="G1275" s="303"/>
      <c r="H1275" s="304"/>
    </row>
    <row r="1276">
      <c r="A1276" s="302" t="s">
        <v>3441</v>
      </c>
      <c r="B1276" s="291" t="s">
        <v>7860</v>
      </c>
      <c r="C1276" s="292" t="s">
        <v>48</v>
      </c>
      <c r="D1276" s="293">
        <f t="shared" si="2"/>
        <v>1</v>
      </c>
      <c r="E1276" s="294"/>
      <c r="F1276" s="295" t="str">
        <f>IFERROR(__xludf.DUMMYFUNCTION("IF(B1276="""","""",IFERROR(VLOOKUP(TO_TEXT(B1276),PEDIDOS!D:I,6,0),IFERROR(VLOOKUP(B1276*1,PEDIDOS!D:I,6,0),"" "")))"),"ENTREGUE")</f>
        <v>ENTREGUE</v>
      </c>
      <c r="G1276" s="303"/>
      <c r="H1276" s="304"/>
    </row>
    <row r="1277">
      <c r="A1277" s="302" t="s">
        <v>3441</v>
      </c>
      <c r="B1277" s="291" t="s">
        <v>7010</v>
      </c>
      <c r="C1277" s="292" t="s">
        <v>48</v>
      </c>
      <c r="D1277" s="293">
        <f t="shared" si="2"/>
        <v>1</v>
      </c>
      <c r="E1277" s="294"/>
      <c r="F1277" s="295" t="str">
        <f>IFERROR(__xludf.DUMMYFUNCTION("IF(B1277="""","""",IFERROR(VLOOKUP(TO_TEXT(B1277),PEDIDOS!D:I,6,0),IFERROR(VLOOKUP(B1277*1,PEDIDOS!D:I,6,0),"" "")))"),"ENTREGUE")</f>
        <v>ENTREGUE</v>
      </c>
      <c r="G1277" s="303"/>
      <c r="H1277" s="304"/>
    </row>
    <row r="1278">
      <c r="A1278" s="302" t="s">
        <v>3441</v>
      </c>
      <c r="B1278" s="291" t="s">
        <v>7653</v>
      </c>
      <c r="C1278" s="292" t="s">
        <v>48</v>
      </c>
      <c r="D1278" s="293">
        <f t="shared" si="2"/>
        <v>1</v>
      </c>
      <c r="E1278" s="294"/>
      <c r="F1278" s="295" t="str">
        <f>IFERROR(__xludf.DUMMYFUNCTION("IF(B1278="""","""",IFERROR(VLOOKUP(TO_TEXT(B1278),PEDIDOS!D:I,6,0),IFERROR(VLOOKUP(B1278*1,PEDIDOS!D:I,6,0),"" "")))"),"ENTREGUE")</f>
        <v>ENTREGUE</v>
      </c>
      <c r="G1278" s="303"/>
      <c r="H1278" s="304"/>
    </row>
    <row r="1279">
      <c r="A1279" s="302" t="s">
        <v>3441</v>
      </c>
      <c r="B1279" s="291" t="s">
        <v>7411</v>
      </c>
      <c r="C1279" s="292" t="s">
        <v>48</v>
      </c>
      <c r="D1279" s="293">
        <f t="shared" si="2"/>
        <v>1</v>
      </c>
      <c r="E1279" s="294"/>
      <c r="F1279" s="295" t="str">
        <f>IFERROR(__xludf.DUMMYFUNCTION("IF(B1279="""","""",IFERROR(VLOOKUP(TO_TEXT(B1279),PEDIDOS!D:I,6,0),IFERROR(VLOOKUP(B1279*1,PEDIDOS!D:I,6,0),"" "")))"),"ENTREGUE")</f>
        <v>ENTREGUE</v>
      </c>
      <c r="G1279" s="303"/>
      <c r="H1279" s="304"/>
    </row>
    <row r="1280">
      <c r="A1280" s="302" t="s">
        <v>3441</v>
      </c>
      <c r="B1280" s="291" t="s">
        <v>8170</v>
      </c>
      <c r="C1280" s="292" t="s">
        <v>48</v>
      </c>
      <c r="D1280" s="293">
        <f t="shared" si="2"/>
        <v>1</v>
      </c>
      <c r="E1280" s="294"/>
      <c r="F1280" s="295" t="str">
        <f>IFERROR(__xludf.DUMMYFUNCTION("IF(B1280="""","""",IFERROR(VLOOKUP(TO_TEXT(B1280),PEDIDOS!D:I,6,0),IFERROR(VLOOKUP(B1280*1,PEDIDOS!D:I,6,0),"" "")))"),"ENTREGUE")</f>
        <v>ENTREGUE</v>
      </c>
      <c r="G1280" s="303"/>
      <c r="H1280" s="304"/>
    </row>
    <row r="1281">
      <c r="A1281" s="302" t="s">
        <v>3441</v>
      </c>
      <c r="B1281" s="291" t="s">
        <v>7566</v>
      </c>
      <c r="C1281" s="292" t="s">
        <v>48</v>
      </c>
      <c r="D1281" s="293">
        <f t="shared" si="2"/>
        <v>1</v>
      </c>
      <c r="E1281" s="294"/>
      <c r="F1281" s="295" t="str">
        <f>IFERROR(__xludf.DUMMYFUNCTION("IF(B1281="""","""",IFERROR(VLOOKUP(TO_TEXT(B1281),PEDIDOS!D:I,6,0),IFERROR(VLOOKUP(B1281*1,PEDIDOS!D:I,6,0),"" "")))"),"ENTREGUE")</f>
        <v>ENTREGUE</v>
      </c>
      <c r="G1281" s="303"/>
      <c r="H1281" s="304"/>
    </row>
    <row r="1282">
      <c r="A1282" s="302" t="s">
        <v>3441</v>
      </c>
      <c r="B1282" s="291" t="s">
        <v>7396</v>
      </c>
      <c r="C1282" s="292" t="s">
        <v>48</v>
      </c>
      <c r="D1282" s="293">
        <f t="shared" si="2"/>
        <v>1</v>
      </c>
      <c r="E1282" s="294"/>
      <c r="F1282" s="295" t="str">
        <f>IFERROR(__xludf.DUMMYFUNCTION("IF(B1282="""","""",IFERROR(VLOOKUP(TO_TEXT(B1282),PEDIDOS!D:I,6,0),IFERROR(VLOOKUP(B1282*1,PEDIDOS!D:I,6,0),"" "")))"),"ENTREGUE")</f>
        <v>ENTREGUE</v>
      </c>
      <c r="G1282" s="303"/>
      <c r="H1282" s="304"/>
    </row>
    <row r="1283">
      <c r="A1283" s="302" t="s">
        <v>3441</v>
      </c>
      <c r="B1283" s="291" t="s">
        <v>8308</v>
      </c>
      <c r="C1283" s="292" t="s">
        <v>48</v>
      </c>
      <c r="D1283" s="293">
        <f t="shared" si="2"/>
        <v>1</v>
      </c>
      <c r="E1283" s="294"/>
      <c r="F1283" s="295" t="str">
        <f>IFERROR(__xludf.DUMMYFUNCTION("IF(B1283="""","""",IFERROR(VLOOKUP(TO_TEXT(B1283),PEDIDOS!D:I,6,0),IFERROR(VLOOKUP(B1283*1,PEDIDOS!D:I,6,0),"" "")))"),"ENTREGUE")</f>
        <v>ENTREGUE</v>
      </c>
      <c r="G1283" s="303"/>
      <c r="H1283" s="304"/>
    </row>
    <row r="1284">
      <c r="A1284" s="302" t="s">
        <v>85</v>
      </c>
      <c r="B1284" s="291" t="s">
        <v>6949</v>
      </c>
      <c r="C1284" s="292" t="s">
        <v>48</v>
      </c>
      <c r="D1284" s="293">
        <f t="shared" si="2"/>
        <v>1</v>
      </c>
      <c r="E1284" s="294"/>
      <c r="F1284" s="295" t="str">
        <f>IFERROR(__xludf.DUMMYFUNCTION("IF(B1284="""","""",IFERROR(VLOOKUP(TO_TEXT(B1284),PEDIDOS!D:I,6,0),IFERROR(VLOOKUP(B1284*1,PEDIDOS!D:I,6,0),"" "")))"),"ENTREGUE")</f>
        <v>ENTREGUE</v>
      </c>
      <c r="G1284" s="303"/>
      <c r="H1284" s="304"/>
    </row>
    <row r="1285">
      <c r="A1285" s="302" t="s">
        <v>85</v>
      </c>
      <c r="B1285" s="291" t="s">
        <v>7185</v>
      </c>
      <c r="C1285" s="292" t="s">
        <v>48</v>
      </c>
      <c r="D1285" s="293">
        <f t="shared" si="2"/>
        <v>1</v>
      </c>
      <c r="E1285" s="294"/>
      <c r="F1285" s="295" t="str">
        <f>IFERROR(__xludf.DUMMYFUNCTION("IF(B1285="""","""",IFERROR(VLOOKUP(TO_TEXT(B1285),PEDIDOS!D:I,6,0),IFERROR(VLOOKUP(B1285*1,PEDIDOS!D:I,6,0),"" "")))"),"ENTREGUE")</f>
        <v>ENTREGUE</v>
      </c>
      <c r="G1285" s="303"/>
      <c r="H1285" s="304"/>
    </row>
    <row r="1286">
      <c r="A1286" s="302" t="s">
        <v>85</v>
      </c>
      <c r="B1286" s="291" t="s">
        <v>7369</v>
      </c>
      <c r="C1286" s="292" t="s">
        <v>48</v>
      </c>
      <c r="D1286" s="293">
        <f t="shared" si="2"/>
        <v>1</v>
      </c>
      <c r="E1286" s="294"/>
      <c r="F1286" s="295" t="str">
        <f>IFERROR(__xludf.DUMMYFUNCTION("IF(B1286="""","""",IFERROR(VLOOKUP(TO_TEXT(B1286),PEDIDOS!D:I,6,0),IFERROR(VLOOKUP(B1286*1,PEDIDOS!D:I,6,0),"" "")))"),"ENTREGUE")</f>
        <v>ENTREGUE</v>
      </c>
      <c r="G1286" s="303"/>
      <c r="H1286" s="304"/>
    </row>
    <row r="1287">
      <c r="A1287" s="302" t="s">
        <v>85</v>
      </c>
      <c r="B1287" s="291" t="s">
        <v>6940</v>
      </c>
      <c r="C1287" s="292" t="s">
        <v>48</v>
      </c>
      <c r="D1287" s="293">
        <f t="shared" si="2"/>
        <v>1</v>
      </c>
      <c r="E1287" s="294"/>
      <c r="F1287" s="295" t="str">
        <f>IFERROR(__xludf.DUMMYFUNCTION("IF(B1287="""","""",IFERROR(VLOOKUP(TO_TEXT(B1287),PEDIDOS!D:I,6,0),IFERROR(VLOOKUP(B1287*1,PEDIDOS!D:I,6,0),"" "")))"),"ENTREGUE")</f>
        <v>ENTREGUE</v>
      </c>
      <c r="G1287" s="303"/>
      <c r="H1287" s="304"/>
    </row>
    <row r="1288">
      <c r="A1288" s="302" t="s">
        <v>85</v>
      </c>
      <c r="B1288" s="291" t="s">
        <v>6937</v>
      </c>
      <c r="C1288" s="292" t="s">
        <v>48</v>
      </c>
      <c r="D1288" s="293">
        <f t="shared" si="2"/>
        <v>1</v>
      </c>
      <c r="E1288" s="294"/>
      <c r="F1288" s="295" t="str">
        <f>IFERROR(__xludf.DUMMYFUNCTION("IF(B1288="""","""",IFERROR(VLOOKUP(TO_TEXT(B1288),PEDIDOS!D:I,6,0),IFERROR(VLOOKUP(B1288*1,PEDIDOS!D:I,6,0),"" "")))"),"ENTREGUE")</f>
        <v>ENTREGUE</v>
      </c>
      <c r="G1288" s="303"/>
      <c r="H1288" s="304"/>
    </row>
    <row r="1289">
      <c r="A1289" s="302" t="s">
        <v>85</v>
      </c>
      <c r="B1289" s="291" t="s">
        <v>7366</v>
      </c>
      <c r="C1289" s="292" t="s">
        <v>48</v>
      </c>
      <c r="D1289" s="293">
        <f t="shared" si="2"/>
        <v>1</v>
      </c>
      <c r="E1289" s="294"/>
      <c r="F1289" s="295" t="str">
        <f>IFERROR(__xludf.DUMMYFUNCTION("IF(B1289="""","""",IFERROR(VLOOKUP(TO_TEXT(B1289),PEDIDOS!D:I,6,0),IFERROR(VLOOKUP(B1289*1,PEDIDOS!D:I,6,0),"" "")))"),"ENTREGUE")</f>
        <v>ENTREGUE</v>
      </c>
      <c r="G1289" s="303"/>
      <c r="H1289" s="304"/>
    </row>
    <row r="1290">
      <c r="A1290" s="302" t="s">
        <v>85</v>
      </c>
      <c r="B1290" s="291" t="s">
        <v>6946</v>
      </c>
      <c r="C1290" s="292" t="s">
        <v>48</v>
      </c>
      <c r="D1290" s="293">
        <f t="shared" si="2"/>
        <v>1</v>
      </c>
      <c r="E1290" s="294"/>
      <c r="F1290" s="295" t="str">
        <f>IFERROR(__xludf.DUMMYFUNCTION("IF(B1290="""","""",IFERROR(VLOOKUP(TO_TEXT(B1290),PEDIDOS!D:I,6,0),IFERROR(VLOOKUP(B1290*1,PEDIDOS!D:I,6,0),"" "")))"),"ENTREGUE")</f>
        <v>ENTREGUE</v>
      </c>
      <c r="G1290" s="303"/>
      <c r="H1290" s="304"/>
    </row>
    <row r="1291">
      <c r="A1291" s="302" t="s">
        <v>85</v>
      </c>
      <c r="B1291" s="291" t="s">
        <v>7659</v>
      </c>
      <c r="C1291" s="292" t="s">
        <v>48</v>
      </c>
      <c r="D1291" s="293">
        <f t="shared" si="2"/>
        <v>1</v>
      </c>
      <c r="E1291" s="294"/>
      <c r="F1291" s="295" t="str">
        <f>IFERROR(__xludf.DUMMYFUNCTION("IF(B1291="""","""",IFERROR(VLOOKUP(TO_TEXT(B1291),PEDIDOS!D:I,6,0),IFERROR(VLOOKUP(B1291*1,PEDIDOS!D:I,6,0),"" "")))"),"ENTREGUE")</f>
        <v>ENTREGUE</v>
      </c>
      <c r="G1291" s="303"/>
      <c r="H1291" s="304"/>
    </row>
    <row r="1292">
      <c r="A1292" s="302" t="s">
        <v>85</v>
      </c>
      <c r="B1292" s="291" t="s">
        <v>7363</v>
      </c>
      <c r="C1292" s="292" t="s">
        <v>48</v>
      </c>
      <c r="D1292" s="293">
        <f t="shared" si="2"/>
        <v>1</v>
      </c>
      <c r="E1292" s="294"/>
      <c r="F1292" s="295" t="str">
        <f>IFERROR(__xludf.DUMMYFUNCTION("IF(B1292="""","""",IFERROR(VLOOKUP(TO_TEXT(B1292),PEDIDOS!D:I,6,0),IFERROR(VLOOKUP(B1292*1,PEDIDOS!D:I,6,0),"" "")))"),"ENTREGUE")</f>
        <v>ENTREGUE</v>
      </c>
      <c r="G1292" s="303"/>
      <c r="H1292" s="304"/>
    </row>
    <row r="1293">
      <c r="A1293" s="302" t="s">
        <v>85</v>
      </c>
      <c r="B1293" s="291" t="s">
        <v>7027</v>
      </c>
      <c r="C1293" s="292" t="s">
        <v>48</v>
      </c>
      <c r="D1293" s="293">
        <f t="shared" si="2"/>
        <v>1</v>
      </c>
      <c r="E1293" s="294"/>
      <c r="F1293" s="295" t="str">
        <f>IFERROR(__xludf.DUMMYFUNCTION("IF(B1293="""","""",IFERROR(VLOOKUP(TO_TEXT(B1293),PEDIDOS!D:I,6,0),IFERROR(VLOOKUP(B1293*1,PEDIDOS!D:I,6,0),"" "")))"),"ENTREGUE")</f>
        <v>ENTREGUE</v>
      </c>
      <c r="G1293" s="303"/>
      <c r="H1293" s="304"/>
    </row>
    <row r="1294">
      <c r="A1294" s="302" t="s">
        <v>85</v>
      </c>
      <c r="B1294" s="291" t="s">
        <v>7030</v>
      </c>
      <c r="C1294" s="292" t="s">
        <v>48</v>
      </c>
      <c r="D1294" s="293">
        <f t="shared" si="2"/>
        <v>1</v>
      </c>
      <c r="E1294" s="294"/>
      <c r="F1294" s="295" t="str">
        <f>IFERROR(__xludf.DUMMYFUNCTION("IF(B1294="""","""",IFERROR(VLOOKUP(TO_TEXT(B1294),PEDIDOS!D:I,6,0),IFERROR(VLOOKUP(B1294*1,PEDIDOS!D:I,6,0),"" "")))"),"ENTREGUE")</f>
        <v>ENTREGUE</v>
      </c>
      <c r="G1294" s="303"/>
      <c r="H1294" s="304"/>
    </row>
    <row r="1295">
      <c r="A1295" s="302" t="s">
        <v>85</v>
      </c>
      <c r="B1295" s="291" t="s">
        <v>6943</v>
      </c>
      <c r="C1295" s="292" t="s">
        <v>48</v>
      </c>
      <c r="D1295" s="293">
        <f t="shared" si="2"/>
        <v>1</v>
      </c>
      <c r="E1295" s="294"/>
      <c r="F1295" s="295" t="str">
        <f>IFERROR(__xludf.DUMMYFUNCTION("IF(B1295="""","""",IFERROR(VLOOKUP(TO_TEXT(B1295),PEDIDOS!D:I,6,0),IFERROR(VLOOKUP(B1295*1,PEDIDOS!D:I,6,0),"" "")))"),"ENTREGUE")</f>
        <v>ENTREGUE</v>
      </c>
      <c r="G1295" s="303"/>
      <c r="H1295" s="304"/>
    </row>
    <row r="1296">
      <c r="A1296" s="302" t="s">
        <v>85</v>
      </c>
      <c r="B1296" s="291" t="s">
        <v>6546</v>
      </c>
      <c r="C1296" s="292" t="s">
        <v>48</v>
      </c>
      <c r="D1296" s="293">
        <f t="shared" si="2"/>
        <v>1</v>
      </c>
      <c r="E1296" s="294"/>
      <c r="F1296" s="295" t="str">
        <f>IFERROR(__xludf.DUMMYFUNCTION("IF(B1296="""","""",IFERROR(VLOOKUP(TO_TEXT(B1296),PEDIDOS!D:I,6,0),IFERROR(VLOOKUP(B1296*1,PEDIDOS!D:I,6,0),"" "")))"),"ENTREGUE")</f>
        <v>ENTREGUE</v>
      </c>
      <c r="G1296" s="303"/>
      <c r="H1296" s="304"/>
    </row>
    <row r="1297">
      <c r="A1297" s="302" t="s">
        <v>85</v>
      </c>
      <c r="B1297" s="291" t="s">
        <v>7182</v>
      </c>
      <c r="C1297" s="292" t="s">
        <v>48</v>
      </c>
      <c r="D1297" s="293">
        <f t="shared" si="2"/>
        <v>1</v>
      </c>
      <c r="E1297" s="294"/>
      <c r="F1297" s="295" t="str">
        <f>IFERROR(__xludf.DUMMYFUNCTION("IF(B1297="""","""",IFERROR(VLOOKUP(TO_TEXT(B1297),PEDIDOS!D:I,6,0),IFERROR(VLOOKUP(B1297*1,PEDIDOS!D:I,6,0),"" "")))"),"ENTREGUE")</f>
        <v>ENTREGUE</v>
      </c>
      <c r="G1297" s="303"/>
      <c r="H1297" s="304"/>
    </row>
    <row r="1298">
      <c r="A1298" s="302" t="s">
        <v>85</v>
      </c>
      <c r="B1298" s="291" t="s">
        <v>7304</v>
      </c>
      <c r="C1298" s="292" t="s">
        <v>48</v>
      </c>
      <c r="D1298" s="293">
        <f t="shared" si="2"/>
        <v>1</v>
      </c>
      <c r="E1298" s="294"/>
      <c r="F1298" s="295" t="str">
        <f>IFERROR(__xludf.DUMMYFUNCTION("IF(B1298="""","""",IFERROR(VLOOKUP(TO_TEXT(B1298),PEDIDOS!D:I,6,0),IFERROR(VLOOKUP(B1298*1,PEDIDOS!D:I,6,0),"" "")))"),"ENTREGUE")</f>
        <v>ENTREGUE</v>
      </c>
      <c r="G1298" s="303"/>
      <c r="H1298" s="304"/>
    </row>
    <row r="1299">
      <c r="A1299" s="302" t="s">
        <v>91</v>
      </c>
      <c r="B1299" s="291" t="s">
        <v>7333</v>
      </c>
      <c r="C1299" s="292" t="s">
        <v>48</v>
      </c>
      <c r="D1299" s="293">
        <f t="shared" si="2"/>
        <v>1</v>
      </c>
      <c r="E1299" s="294"/>
      <c r="F1299" s="295" t="str">
        <f>IFERROR(__xludf.DUMMYFUNCTION("IF(B1299="""","""",IFERROR(VLOOKUP(TO_TEXT(B1299),PEDIDOS!D:I,6,0),IFERROR(VLOOKUP(B1299*1,PEDIDOS!D:I,6,0),"" "")))"),"ENTREGUE")</f>
        <v>ENTREGUE</v>
      </c>
      <c r="G1299" s="303"/>
      <c r="H1299" s="304"/>
    </row>
    <row r="1300">
      <c r="A1300" s="302" t="s">
        <v>91</v>
      </c>
      <c r="B1300" s="291" t="s">
        <v>6955</v>
      </c>
      <c r="C1300" s="292" t="s">
        <v>48</v>
      </c>
      <c r="D1300" s="293">
        <f t="shared" si="2"/>
        <v>1</v>
      </c>
      <c r="E1300" s="294"/>
      <c r="F1300" s="295" t="str">
        <f>IFERROR(__xludf.DUMMYFUNCTION("IF(B1300="""","""",IFERROR(VLOOKUP(TO_TEXT(B1300),PEDIDOS!D:I,6,0),IFERROR(VLOOKUP(B1300*1,PEDIDOS!D:I,6,0),"" "")))"),"ENTREGUE")</f>
        <v>ENTREGUE</v>
      </c>
      <c r="G1300" s="303"/>
      <c r="H1300" s="304"/>
    </row>
    <row r="1301">
      <c r="A1301" s="302" t="s">
        <v>91</v>
      </c>
      <c r="B1301" s="291" t="s">
        <v>7066</v>
      </c>
      <c r="C1301" s="292" t="s">
        <v>48</v>
      </c>
      <c r="D1301" s="293">
        <f t="shared" si="2"/>
        <v>1</v>
      </c>
      <c r="E1301" s="294"/>
      <c r="F1301" s="295" t="str">
        <f>IFERROR(__xludf.DUMMYFUNCTION("IF(B1301="""","""",IFERROR(VLOOKUP(TO_TEXT(B1301),PEDIDOS!D:I,6,0),IFERROR(VLOOKUP(B1301*1,PEDIDOS!D:I,6,0),"" "")))"),"ENTREGUE")</f>
        <v>ENTREGUE</v>
      </c>
      <c r="G1301" s="303"/>
      <c r="H1301" s="304"/>
    </row>
    <row r="1302">
      <c r="A1302" s="302" t="s">
        <v>91</v>
      </c>
      <c r="B1302" s="291" t="s">
        <v>7375</v>
      </c>
      <c r="C1302" s="292" t="s">
        <v>48</v>
      </c>
      <c r="D1302" s="293">
        <f t="shared" si="2"/>
        <v>1</v>
      </c>
      <c r="E1302" s="294"/>
      <c r="F1302" s="295" t="str">
        <f>IFERROR(__xludf.DUMMYFUNCTION("IF(B1302="""","""",IFERROR(VLOOKUP(TO_TEXT(B1302),PEDIDOS!D:I,6,0),IFERROR(VLOOKUP(B1302*1,PEDIDOS!D:I,6,0),"" "")))"),"ENTREGUE")</f>
        <v>ENTREGUE</v>
      </c>
      <c r="G1302" s="303"/>
      <c r="H1302" s="304"/>
    </row>
    <row r="1303">
      <c r="A1303" s="302" t="s">
        <v>91</v>
      </c>
      <c r="B1303" s="291" t="s">
        <v>6952</v>
      </c>
      <c r="C1303" s="292" t="s">
        <v>48</v>
      </c>
      <c r="D1303" s="293">
        <f t="shared" si="2"/>
        <v>1</v>
      </c>
      <c r="E1303" s="294"/>
      <c r="F1303" s="295" t="str">
        <f>IFERROR(__xludf.DUMMYFUNCTION("IF(B1303="""","""",IFERROR(VLOOKUP(TO_TEXT(B1303),PEDIDOS!D:I,6,0),IFERROR(VLOOKUP(B1303*1,PEDIDOS!D:I,6,0),"" "")))"),"ENTREGUE")</f>
        <v>ENTREGUE</v>
      </c>
      <c r="G1303" s="303"/>
      <c r="H1303" s="304"/>
    </row>
    <row r="1304">
      <c r="A1304" s="302" t="s">
        <v>91</v>
      </c>
      <c r="B1304" s="291" t="s">
        <v>7404</v>
      </c>
      <c r="C1304" s="292" t="s">
        <v>48</v>
      </c>
      <c r="D1304" s="293">
        <f t="shared" si="2"/>
        <v>1</v>
      </c>
      <c r="E1304" s="294"/>
      <c r="F1304" s="295" t="str">
        <f>IFERROR(__xludf.DUMMYFUNCTION("IF(B1304="""","""",IFERROR(VLOOKUP(TO_TEXT(B1304),PEDIDOS!D:I,6,0),IFERROR(VLOOKUP(B1304*1,PEDIDOS!D:I,6,0),"" "")))"),"ENTREGUE")</f>
        <v>ENTREGUE</v>
      </c>
      <c r="G1304" s="303"/>
      <c r="H1304" s="304"/>
    </row>
    <row r="1305">
      <c r="A1305" s="302" t="s">
        <v>91</v>
      </c>
      <c r="B1305" s="291" t="s">
        <v>6254</v>
      </c>
      <c r="C1305" s="292" t="s">
        <v>48</v>
      </c>
      <c r="D1305" s="293">
        <f t="shared" si="2"/>
        <v>1</v>
      </c>
      <c r="E1305" s="294"/>
      <c r="F1305" s="295" t="str">
        <f>IFERROR(__xludf.DUMMYFUNCTION("IF(B1305="""","""",IFERROR(VLOOKUP(TO_TEXT(B1305),PEDIDOS!D:I,6,0),IFERROR(VLOOKUP(B1305*1,PEDIDOS!D:I,6,0),"" "")))"),"ENTREGUE")</f>
        <v>ENTREGUE</v>
      </c>
      <c r="G1305" s="303"/>
      <c r="H1305" s="304"/>
    </row>
    <row r="1306">
      <c r="A1306" s="302" t="s">
        <v>91</v>
      </c>
      <c r="B1306" s="291" t="s">
        <v>7057</v>
      </c>
      <c r="C1306" s="292" t="s">
        <v>48</v>
      </c>
      <c r="D1306" s="293">
        <f t="shared" si="2"/>
        <v>1</v>
      </c>
      <c r="E1306" s="294"/>
      <c r="F1306" s="295" t="str">
        <f>IFERROR(__xludf.DUMMYFUNCTION("IF(B1306="""","""",IFERROR(VLOOKUP(TO_TEXT(B1306),PEDIDOS!D:I,6,0),IFERROR(VLOOKUP(B1306*1,PEDIDOS!D:I,6,0),"" "")))"),"ENTREGUE")</f>
        <v>ENTREGUE</v>
      </c>
      <c r="G1306" s="303"/>
      <c r="H1306" s="304"/>
    </row>
    <row r="1307">
      <c r="A1307" s="302" t="s">
        <v>91</v>
      </c>
      <c r="B1307" s="291" t="s">
        <v>7338</v>
      </c>
      <c r="C1307" s="292" t="s">
        <v>48</v>
      </c>
      <c r="D1307" s="293">
        <f t="shared" si="2"/>
        <v>1</v>
      </c>
      <c r="E1307" s="294"/>
      <c r="F1307" s="295" t="str">
        <f>IFERROR(__xludf.DUMMYFUNCTION("IF(B1307="""","""",IFERROR(VLOOKUP(TO_TEXT(B1307),PEDIDOS!D:I,6,0),IFERROR(VLOOKUP(B1307*1,PEDIDOS!D:I,6,0),"" "")))"),"ENTREGUE")</f>
        <v>ENTREGUE</v>
      </c>
      <c r="G1307" s="303"/>
      <c r="H1307" s="304"/>
    </row>
    <row r="1308">
      <c r="A1308" s="302" t="s">
        <v>91</v>
      </c>
      <c r="B1308" s="291" t="s">
        <v>7063</v>
      </c>
      <c r="C1308" s="292" t="s">
        <v>48</v>
      </c>
      <c r="D1308" s="293">
        <f t="shared" si="2"/>
        <v>1</v>
      </c>
      <c r="E1308" s="294"/>
      <c r="F1308" s="295" t="str">
        <f>IFERROR(__xludf.DUMMYFUNCTION("IF(B1308="""","""",IFERROR(VLOOKUP(TO_TEXT(B1308),PEDIDOS!D:I,6,0),IFERROR(VLOOKUP(B1308*1,PEDIDOS!D:I,6,0),"" "")))"),"ENTREGUE")</f>
        <v>ENTREGUE</v>
      </c>
      <c r="G1308" s="303"/>
      <c r="H1308" s="304"/>
    </row>
    <row r="1309">
      <c r="A1309" s="302" t="s">
        <v>91</v>
      </c>
      <c r="B1309" s="291" t="s">
        <v>8450</v>
      </c>
      <c r="C1309" s="292" t="s">
        <v>48</v>
      </c>
      <c r="D1309" s="293">
        <f t="shared" si="2"/>
        <v>1</v>
      </c>
      <c r="E1309" s="294"/>
      <c r="F1309" s="295" t="str">
        <f>IFERROR(__xludf.DUMMYFUNCTION("IF(B1309="""","""",IFERROR(VLOOKUP(TO_TEXT(B1309),PEDIDOS!D:I,6,0),IFERROR(VLOOKUP(B1309*1,PEDIDOS!D:I,6,0),"" "")))"),"ENTREGUE")</f>
        <v>ENTREGUE</v>
      </c>
      <c r="G1309" s="303"/>
      <c r="H1309" s="304"/>
    </row>
    <row r="1310">
      <c r="A1310" s="302" t="s">
        <v>91</v>
      </c>
      <c r="B1310" s="291" t="s">
        <v>7250</v>
      </c>
      <c r="C1310" s="292" t="s">
        <v>48</v>
      </c>
      <c r="D1310" s="293">
        <f t="shared" si="2"/>
        <v>1</v>
      </c>
      <c r="E1310" s="294"/>
      <c r="F1310" s="295" t="str">
        <f>IFERROR(__xludf.DUMMYFUNCTION("IF(B1310="""","""",IFERROR(VLOOKUP(TO_TEXT(B1310),PEDIDOS!D:I,6,0),IFERROR(VLOOKUP(B1310*1,PEDIDOS!D:I,6,0),"" "")))"),"ENTREGUE")</f>
        <v>ENTREGUE</v>
      </c>
      <c r="G1310" s="303"/>
      <c r="H1310" s="304"/>
    </row>
    <row r="1311">
      <c r="A1311" s="302" t="s">
        <v>91</v>
      </c>
      <c r="B1311" s="291" t="s">
        <v>7518</v>
      </c>
      <c r="C1311" s="292" t="s">
        <v>48</v>
      </c>
      <c r="D1311" s="293">
        <f t="shared" si="2"/>
        <v>1</v>
      </c>
      <c r="E1311" s="294"/>
      <c r="F1311" s="295" t="str">
        <f>IFERROR(__xludf.DUMMYFUNCTION("IF(B1311="""","""",IFERROR(VLOOKUP(TO_TEXT(B1311),PEDIDOS!D:I,6,0),IFERROR(VLOOKUP(B1311*1,PEDIDOS!D:I,6,0),"" "")))"),"ENTREGUE")</f>
        <v>ENTREGUE</v>
      </c>
      <c r="G1311" s="303"/>
      <c r="H1311" s="304"/>
    </row>
    <row r="1312">
      <c r="A1312" s="302" t="s">
        <v>91</v>
      </c>
      <c r="B1312" s="291" t="s">
        <v>7372</v>
      </c>
      <c r="C1312" s="292" t="s">
        <v>48</v>
      </c>
      <c r="D1312" s="293">
        <f t="shared" si="2"/>
        <v>1</v>
      </c>
      <c r="E1312" s="294"/>
      <c r="F1312" s="295" t="str">
        <f>IFERROR(__xludf.DUMMYFUNCTION("IF(B1312="""","""",IFERROR(VLOOKUP(TO_TEXT(B1312),PEDIDOS!D:I,6,0),IFERROR(VLOOKUP(B1312*1,PEDIDOS!D:I,6,0),"" "")))"),"ENTREGUE")</f>
        <v>ENTREGUE</v>
      </c>
      <c r="G1312" s="303"/>
      <c r="H1312" s="304"/>
    </row>
    <row r="1313">
      <c r="A1313" s="302" t="s">
        <v>91</v>
      </c>
      <c r="B1313" s="291" t="s">
        <v>7378</v>
      </c>
      <c r="C1313" s="292" t="s">
        <v>48</v>
      </c>
      <c r="D1313" s="293">
        <f t="shared" si="2"/>
        <v>1</v>
      </c>
      <c r="E1313" s="294"/>
      <c r="F1313" s="295" t="str">
        <f>IFERROR(__xludf.DUMMYFUNCTION("IF(B1313="""","""",IFERROR(VLOOKUP(TO_TEXT(B1313),PEDIDOS!D:I,6,0),IFERROR(VLOOKUP(B1313*1,PEDIDOS!D:I,6,0),"" "")))"),"ENTREGUE")</f>
        <v>ENTREGUE</v>
      </c>
      <c r="G1313" s="303"/>
      <c r="H1313" s="304"/>
    </row>
    <row r="1314">
      <c r="A1314" s="302" t="s">
        <v>91</v>
      </c>
      <c r="B1314" s="291" t="s">
        <v>7290</v>
      </c>
      <c r="C1314" s="292" t="s">
        <v>48</v>
      </c>
      <c r="D1314" s="293">
        <f t="shared" si="2"/>
        <v>1</v>
      </c>
      <c r="E1314" s="294"/>
      <c r="F1314" s="295" t="str">
        <f>IFERROR(__xludf.DUMMYFUNCTION("IF(B1314="""","""",IFERROR(VLOOKUP(TO_TEXT(B1314),PEDIDOS!D:I,6,0),IFERROR(VLOOKUP(B1314*1,PEDIDOS!D:I,6,0),"" "")))"),"ENTREGUE")</f>
        <v>ENTREGUE</v>
      </c>
      <c r="G1314" s="303"/>
      <c r="H1314" s="304"/>
    </row>
    <row r="1315">
      <c r="A1315" s="302" t="s">
        <v>91</v>
      </c>
      <c r="B1315" s="291" t="s">
        <v>7534</v>
      </c>
      <c r="C1315" s="292" t="s">
        <v>48</v>
      </c>
      <c r="D1315" s="293">
        <f t="shared" si="2"/>
        <v>1</v>
      </c>
      <c r="E1315" s="294"/>
      <c r="F1315" s="295" t="str">
        <f>IFERROR(__xludf.DUMMYFUNCTION("IF(B1315="""","""",IFERROR(VLOOKUP(TO_TEXT(B1315),PEDIDOS!D:I,6,0),IFERROR(VLOOKUP(B1315*1,PEDIDOS!D:I,6,0),"" "")))"),"ENTREGUE")</f>
        <v>ENTREGUE</v>
      </c>
      <c r="G1315" s="303"/>
      <c r="H1315" s="304"/>
    </row>
    <row r="1316">
      <c r="A1316" s="302" t="s">
        <v>91</v>
      </c>
      <c r="B1316" s="291" t="s">
        <v>7247</v>
      </c>
      <c r="C1316" s="292" t="s">
        <v>48</v>
      </c>
      <c r="D1316" s="293">
        <f t="shared" si="2"/>
        <v>1</v>
      </c>
      <c r="E1316" s="294"/>
      <c r="F1316" s="295" t="str">
        <f>IFERROR(__xludf.DUMMYFUNCTION("IF(B1316="""","""",IFERROR(VLOOKUP(TO_TEXT(B1316),PEDIDOS!D:I,6,0),IFERROR(VLOOKUP(B1316*1,PEDIDOS!D:I,6,0),"" "")))"),"ENTREGUE")</f>
        <v>ENTREGUE</v>
      </c>
      <c r="G1316" s="303"/>
      <c r="H1316" s="304"/>
    </row>
    <row r="1317">
      <c r="A1317" s="302" t="s">
        <v>91</v>
      </c>
      <c r="B1317" s="291" t="s">
        <v>7656</v>
      </c>
      <c r="C1317" s="292" t="s">
        <v>48</v>
      </c>
      <c r="D1317" s="293">
        <f t="shared" si="2"/>
        <v>1</v>
      </c>
      <c r="E1317" s="294"/>
      <c r="F1317" s="295" t="str">
        <f>IFERROR(__xludf.DUMMYFUNCTION("IF(B1317="""","""",IFERROR(VLOOKUP(TO_TEXT(B1317),PEDIDOS!D:I,6,0),IFERROR(VLOOKUP(B1317*1,PEDIDOS!D:I,6,0),"" "")))"),"ENTREGUE")</f>
        <v>ENTREGUE</v>
      </c>
      <c r="G1317" s="303"/>
      <c r="H1317" s="304"/>
    </row>
    <row r="1318">
      <c r="A1318" s="302" t="s">
        <v>91</v>
      </c>
      <c r="B1318" s="291" t="s">
        <v>7076</v>
      </c>
      <c r="C1318" s="292" t="s">
        <v>48</v>
      </c>
      <c r="D1318" s="293">
        <f t="shared" si="2"/>
        <v>1</v>
      </c>
      <c r="E1318" s="294"/>
      <c r="F1318" s="295" t="str">
        <f>IFERROR(__xludf.DUMMYFUNCTION("IF(B1318="""","""",IFERROR(VLOOKUP(TO_TEXT(B1318),PEDIDOS!D:I,6,0),IFERROR(VLOOKUP(B1318*1,PEDIDOS!D:I,6,0),"" "")))"),"ENTREGUE")</f>
        <v>ENTREGUE</v>
      </c>
      <c r="G1318" s="303"/>
      <c r="H1318" s="304"/>
    </row>
    <row r="1319">
      <c r="A1319" s="302" t="s">
        <v>91</v>
      </c>
      <c r="B1319" s="291" t="s">
        <v>7244</v>
      </c>
      <c r="C1319" s="292" t="s">
        <v>48</v>
      </c>
      <c r="D1319" s="293">
        <f t="shared" si="2"/>
        <v>1</v>
      </c>
      <c r="E1319" s="294"/>
      <c r="F1319" s="295" t="str">
        <f>IFERROR(__xludf.DUMMYFUNCTION("IF(B1319="""","""",IFERROR(VLOOKUP(TO_TEXT(B1319),PEDIDOS!D:I,6,0),IFERROR(VLOOKUP(B1319*1,PEDIDOS!D:I,6,0),"" "")))"),"ENTREGUE")</f>
        <v>ENTREGUE</v>
      </c>
      <c r="G1319" s="303"/>
      <c r="H1319" s="304"/>
    </row>
    <row r="1320">
      <c r="A1320" s="302" t="s">
        <v>91</v>
      </c>
      <c r="B1320" s="291" t="s">
        <v>7515</v>
      </c>
      <c r="C1320" s="292" t="s">
        <v>48</v>
      </c>
      <c r="D1320" s="293">
        <f t="shared" si="2"/>
        <v>1</v>
      </c>
      <c r="E1320" s="294"/>
      <c r="F1320" s="295" t="str">
        <f>IFERROR(__xludf.DUMMYFUNCTION("IF(B1320="""","""",IFERROR(VLOOKUP(TO_TEXT(B1320),PEDIDOS!D:I,6,0),IFERROR(VLOOKUP(B1320*1,PEDIDOS!D:I,6,0),"" "")))"),"ENTREGUE")</f>
        <v>ENTREGUE</v>
      </c>
      <c r="G1320" s="303"/>
      <c r="H1320" s="304"/>
    </row>
    <row r="1321">
      <c r="A1321" s="302" t="s">
        <v>91</v>
      </c>
      <c r="B1321" s="291" t="s">
        <v>7069</v>
      </c>
      <c r="C1321" s="292" t="s">
        <v>48</v>
      </c>
      <c r="D1321" s="293">
        <f t="shared" si="2"/>
        <v>1</v>
      </c>
      <c r="E1321" s="294"/>
      <c r="F1321" s="295" t="str">
        <f>IFERROR(__xludf.DUMMYFUNCTION("IF(B1321="""","""",IFERROR(VLOOKUP(TO_TEXT(B1321),PEDIDOS!D:I,6,0),IFERROR(VLOOKUP(B1321*1,PEDIDOS!D:I,6,0),"" "")))"),"ENTREGUE")</f>
        <v>ENTREGUE</v>
      </c>
      <c r="G1321" s="303"/>
      <c r="H1321" s="304"/>
    </row>
    <row r="1322">
      <c r="A1322" s="302" t="s">
        <v>91</v>
      </c>
      <c r="B1322" s="291" t="s">
        <v>8436</v>
      </c>
      <c r="C1322" s="292" t="s">
        <v>48</v>
      </c>
      <c r="D1322" s="293">
        <f t="shared" si="2"/>
        <v>1</v>
      </c>
      <c r="E1322" s="294"/>
      <c r="F1322" s="295" t="str">
        <f>IFERROR(__xludf.DUMMYFUNCTION("IF(B1322="""","""",IFERROR(VLOOKUP(TO_TEXT(B1322),PEDIDOS!D:I,6,0),IFERROR(VLOOKUP(B1322*1,PEDIDOS!D:I,6,0),"" "")))"),"ENTREGUE")</f>
        <v>ENTREGUE</v>
      </c>
      <c r="G1322" s="303"/>
      <c r="H1322" s="304"/>
    </row>
    <row r="1323">
      <c r="A1323" s="302" t="s">
        <v>91</v>
      </c>
      <c r="B1323" s="291" t="s">
        <v>7060</v>
      </c>
      <c r="C1323" s="292" t="s">
        <v>48</v>
      </c>
      <c r="D1323" s="293">
        <f t="shared" si="2"/>
        <v>1</v>
      </c>
      <c r="E1323" s="294"/>
      <c r="F1323" s="295" t="str">
        <f>IFERROR(__xludf.DUMMYFUNCTION("IF(B1323="""","""",IFERROR(VLOOKUP(TO_TEXT(B1323),PEDIDOS!D:I,6,0),IFERROR(VLOOKUP(B1323*1,PEDIDOS!D:I,6,0),"" "")))"),"ENTREGUE")</f>
        <v>ENTREGUE</v>
      </c>
      <c r="G1323" s="303"/>
      <c r="H1323" s="304"/>
    </row>
    <row r="1324">
      <c r="A1324" s="302" t="s">
        <v>91</v>
      </c>
      <c r="B1324" s="291" t="s">
        <v>7790</v>
      </c>
      <c r="C1324" s="292" t="s">
        <v>48</v>
      </c>
      <c r="D1324" s="293">
        <f t="shared" si="2"/>
        <v>1</v>
      </c>
      <c r="E1324" s="294"/>
      <c r="F1324" s="295" t="str">
        <f>IFERROR(__xludf.DUMMYFUNCTION("IF(B1324="""","""",IFERROR(VLOOKUP(TO_TEXT(B1324),PEDIDOS!D:I,6,0),IFERROR(VLOOKUP(B1324*1,PEDIDOS!D:I,6,0),"" "")))"),"ENTREGUE")</f>
        <v>ENTREGUE</v>
      </c>
      <c r="G1324" s="303"/>
      <c r="H1324" s="304"/>
    </row>
    <row r="1325">
      <c r="A1325" s="302" t="s">
        <v>91</v>
      </c>
      <c r="B1325" s="291" t="s">
        <v>7351</v>
      </c>
      <c r="C1325" s="292" t="s">
        <v>48</v>
      </c>
      <c r="D1325" s="293">
        <f t="shared" si="2"/>
        <v>1</v>
      </c>
      <c r="E1325" s="294"/>
      <c r="F1325" s="295" t="str">
        <f>IFERROR(__xludf.DUMMYFUNCTION("IF(B1325="""","""",IFERROR(VLOOKUP(TO_TEXT(B1325),PEDIDOS!D:I,6,0),IFERROR(VLOOKUP(B1325*1,PEDIDOS!D:I,6,0),"" "")))"),"ENTREGUE")</f>
        <v>ENTREGUE</v>
      </c>
      <c r="G1325" s="303"/>
      <c r="H1325" s="304"/>
    </row>
    <row r="1326">
      <c r="A1326" s="302" t="s">
        <v>91</v>
      </c>
      <c r="B1326" s="291" t="s">
        <v>7287</v>
      </c>
      <c r="C1326" s="292" t="s">
        <v>48</v>
      </c>
      <c r="D1326" s="293">
        <f t="shared" si="2"/>
        <v>1</v>
      </c>
      <c r="E1326" s="294"/>
      <c r="F1326" s="295" t="str">
        <f>IFERROR(__xludf.DUMMYFUNCTION("IF(B1326="""","""",IFERROR(VLOOKUP(TO_TEXT(B1326),PEDIDOS!D:I,6,0),IFERROR(VLOOKUP(B1326*1,PEDIDOS!D:I,6,0),"" "")))"),"ENTREGUE")</f>
        <v>ENTREGUE</v>
      </c>
      <c r="G1326" s="303"/>
      <c r="H1326" s="304"/>
    </row>
    <row r="1327">
      <c r="A1327" s="302" t="s">
        <v>91</v>
      </c>
      <c r="B1327" s="291" t="s">
        <v>7576</v>
      </c>
      <c r="C1327" s="292" t="s">
        <v>48</v>
      </c>
      <c r="D1327" s="293">
        <f t="shared" si="2"/>
        <v>1</v>
      </c>
      <c r="E1327" s="294"/>
      <c r="F1327" s="295" t="str">
        <f>IFERROR(__xludf.DUMMYFUNCTION("IF(B1327="""","""",IFERROR(VLOOKUP(TO_TEXT(B1327),PEDIDOS!D:I,6,0),IFERROR(VLOOKUP(B1327*1,PEDIDOS!D:I,6,0),"" "")))"),"ENTREGUE")</f>
        <v>ENTREGUE</v>
      </c>
      <c r="G1327" s="303"/>
      <c r="H1327" s="304"/>
    </row>
    <row r="1328">
      <c r="A1328" s="302" t="s">
        <v>91</v>
      </c>
      <c r="B1328" s="291" t="s">
        <v>8361</v>
      </c>
      <c r="C1328" s="292" t="s">
        <v>48</v>
      </c>
      <c r="D1328" s="293">
        <f t="shared" si="2"/>
        <v>1</v>
      </c>
      <c r="E1328" s="294"/>
      <c r="F1328" s="295" t="str">
        <f>IFERROR(__xludf.DUMMYFUNCTION("IF(B1328="""","""",IFERROR(VLOOKUP(TO_TEXT(B1328),PEDIDOS!D:I,6,0),IFERROR(VLOOKUP(B1328*1,PEDIDOS!D:I,6,0),"" "")))"),"ENTREGUE")</f>
        <v>ENTREGUE</v>
      </c>
      <c r="G1328" s="303"/>
      <c r="H1328" s="304"/>
    </row>
    <row r="1329">
      <c r="A1329" s="302" t="s">
        <v>112</v>
      </c>
      <c r="B1329" s="291" t="s">
        <v>9138</v>
      </c>
      <c r="C1329" s="292" t="s">
        <v>48</v>
      </c>
      <c r="D1329" s="293">
        <f t="shared" si="2"/>
        <v>1</v>
      </c>
      <c r="E1329" s="294"/>
      <c r="F1329" s="295" t="str">
        <f>IFERROR(__xludf.DUMMYFUNCTION("IF(B1329="""","""",IFERROR(VLOOKUP(TO_TEXT(B1329),PEDIDOS!D:I,6,0),IFERROR(VLOOKUP(B1329*1,PEDIDOS!D:I,6,0),"" "")))"),"ENTREGUE")</f>
        <v>ENTREGUE</v>
      </c>
      <c r="G1329" s="303"/>
      <c r="H1329" s="304"/>
    </row>
    <row r="1330">
      <c r="A1330" s="302" t="s">
        <v>112</v>
      </c>
      <c r="B1330" s="291" t="s">
        <v>9210</v>
      </c>
      <c r="C1330" s="292" t="s">
        <v>48</v>
      </c>
      <c r="D1330" s="293">
        <f t="shared" si="2"/>
        <v>1</v>
      </c>
      <c r="E1330" s="294"/>
      <c r="F1330" s="295" t="str">
        <f>IFERROR(__xludf.DUMMYFUNCTION("IF(B1330="""","""",IFERROR(VLOOKUP(TO_TEXT(B1330),PEDIDOS!D:I,6,0),IFERROR(VLOOKUP(B1330*1,PEDIDOS!D:I,6,0),"" "")))"),"ENTREGUE")</f>
        <v>ENTREGUE</v>
      </c>
      <c r="G1330" s="303"/>
      <c r="H1330" s="304"/>
    </row>
    <row r="1331">
      <c r="A1331" s="302" t="s">
        <v>112</v>
      </c>
      <c r="B1331" s="291" t="s">
        <v>7117</v>
      </c>
      <c r="C1331" s="292" t="s">
        <v>48</v>
      </c>
      <c r="D1331" s="293">
        <f t="shared" si="2"/>
        <v>1</v>
      </c>
      <c r="E1331" s="294"/>
      <c r="F1331" s="295" t="str">
        <f>IFERROR(__xludf.DUMMYFUNCTION("IF(B1331="""","""",IFERROR(VLOOKUP(TO_TEXT(B1331),PEDIDOS!D:I,6,0),IFERROR(VLOOKUP(B1331*1,PEDIDOS!D:I,6,0),"" "")))"),"ENTREGUE")</f>
        <v>ENTREGUE</v>
      </c>
      <c r="G1331" s="303"/>
      <c r="H1331" s="304"/>
    </row>
    <row r="1332">
      <c r="A1332" s="302" t="s">
        <v>112</v>
      </c>
      <c r="B1332" s="291" t="s">
        <v>7297</v>
      </c>
      <c r="C1332" s="292" t="s">
        <v>48</v>
      </c>
      <c r="D1332" s="293">
        <f t="shared" si="2"/>
        <v>1</v>
      </c>
      <c r="E1332" s="294"/>
      <c r="F1332" s="295" t="str">
        <f>IFERROR(__xludf.DUMMYFUNCTION("IF(B1332="""","""",IFERROR(VLOOKUP(TO_TEXT(B1332),PEDIDOS!D:I,6,0),IFERROR(VLOOKUP(B1332*1,PEDIDOS!D:I,6,0),"" "")))"),"ENTREGUE")</f>
        <v>ENTREGUE</v>
      </c>
      <c r="G1332" s="303"/>
      <c r="H1332" s="304"/>
    </row>
    <row r="1333">
      <c r="A1333" s="302" t="s">
        <v>112</v>
      </c>
      <c r="B1333" s="291" t="s">
        <v>8536</v>
      </c>
      <c r="C1333" s="292" t="s">
        <v>48</v>
      </c>
      <c r="D1333" s="293">
        <f t="shared" si="2"/>
        <v>1</v>
      </c>
      <c r="E1333" s="294"/>
      <c r="F1333" s="295" t="str">
        <f>IFERROR(__xludf.DUMMYFUNCTION("IF(B1333="""","""",IFERROR(VLOOKUP(TO_TEXT(B1333),PEDIDOS!D:I,6,0),IFERROR(VLOOKUP(B1333*1,PEDIDOS!D:I,6,0),"" "")))"),"ENTREGUE")</f>
        <v>ENTREGUE</v>
      </c>
      <c r="G1333" s="303"/>
      <c r="H1333" s="304"/>
    </row>
    <row r="1334">
      <c r="A1334" s="302" t="s">
        <v>112</v>
      </c>
      <c r="B1334" s="291" t="s">
        <v>8167</v>
      </c>
      <c r="C1334" s="292" t="s">
        <v>48</v>
      </c>
      <c r="D1334" s="293">
        <f t="shared" si="2"/>
        <v>1</v>
      </c>
      <c r="E1334" s="294"/>
      <c r="F1334" s="295" t="str">
        <f>IFERROR(__xludf.DUMMYFUNCTION("IF(B1334="""","""",IFERROR(VLOOKUP(TO_TEXT(B1334),PEDIDOS!D:I,6,0),IFERROR(VLOOKUP(B1334*1,PEDIDOS!D:I,6,0),"" "")))"),"ENTREGUE")</f>
        <v>ENTREGUE</v>
      </c>
      <c r="G1334" s="303"/>
      <c r="H1334" s="304"/>
    </row>
    <row r="1335">
      <c r="A1335" s="302" t="s">
        <v>112</v>
      </c>
      <c r="B1335" s="291" t="s">
        <v>7096</v>
      </c>
      <c r="C1335" s="292" t="s">
        <v>48</v>
      </c>
      <c r="D1335" s="293">
        <f t="shared" si="2"/>
        <v>1</v>
      </c>
      <c r="E1335" s="294"/>
      <c r="F1335" s="295" t="str">
        <f>IFERROR(__xludf.DUMMYFUNCTION("IF(B1335="""","""",IFERROR(VLOOKUP(TO_TEXT(B1335),PEDIDOS!D:I,6,0),IFERROR(VLOOKUP(B1335*1,PEDIDOS!D:I,6,0),"" "")))"),"ENTREGUE")</f>
        <v>ENTREGUE</v>
      </c>
      <c r="G1335" s="303"/>
      <c r="H1335" s="304"/>
    </row>
    <row r="1336">
      <c r="A1336" s="302" t="s">
        <v>112</v>
      </c>
      <c r="B1336" s="291" t="s">
        <v>6986</v>
      </c>
      <c r="C1336" s="292" t="s">
        <v>48</v>
      </c>
      <c r="D1336" s="293">
        <f t="shared" si="2"/>
        <v>1</v>
      </c>
      <c r="E1336" s="294"/>
      <c r="F1336" s="295" t="str">
        <f>IFERROR(__xludf.DUMMYFUNCTION("IF(B1336="""","""",IFERROR(VLOOKUP(TO_TEXT(B1336),PEDIDOS!D:I,6,0),IFERROR(VLOOKUP(B1336*1,PEDIDOS!D:I,6,0),"" "")))"),"ENTREGUE")</f>
        <v>ENTREGUE</v>
      </c>
      <c r="G1336" s="303"/>
      <c r="H1336" s="304"/>
    </row>
    <row r="1337">
      <c r="A1337" s="302" t="s">
        <v>112</v>
      </c>
      <c r="B1337" s="291" t="s">
        <v>7384</v>
      </c>
      <c r="C1337" s="292" t="s">
        <v>48</v>
      </c>
      <c r="D1337" s="293">
        <f t="shared" si="2"/>
        <v>1</v>
      </c>
      <c r="E1337" s="294"/>
      <c r="F1337" s="295" t="str">
        <f>IFERROR(__xludf.DUMMYFUNCTION("IF(B1337="""","""",IFERROR(VLOOKUP(TO_TEXT(B1337),PEDIDOS!D:I,6,0),IFERROR(VLOOKUP(B1337*1,PEDIDOS!D:I,6,0),"" "")))"),"ENTREGUE")</f>
        <v>ENTREGUE</v>
      </c>
      <c r="G1337" s="303"/>
      <c r="H1337" s="304"/>
    </row>
    <row r="1338">
      <c r="A1338" s="302" t="s">
        <v>112</v>
      </c>
      <c r="B1338" s="291" t="s">
        <v>8209</v>
      </c>
      <c r="C1338" s="292" t="s">
        <v>48</v>
      </c>
      <c r="D1338" s="293">
        <f t="shared" si="2"/>
        <v>1</v>
      </c>
      <c r="E1338" s="294"/>
      <c r="F1338" s="295" t="str">
        <f>IFERROR(__xludf.DUMMYFUNCTION("IF(B1338="""","""",IFERROR(VLOOKUP(TO_TEXT(B1338),PEDIDOS!D:I,6,0),IFERROR(VLOOKUP(B1338*1,PEDIDOS!D:I,6,0),"" "")))"),"ENTREGUE")</f>
        <v>ENTREGUE</v>
      </c>
      <c r="G1338" s="303"/>
      <c r="H1338" s="304"/>
    </row>
    <row r="1339">
      <c r="A1339" s="302" t="s">
        <v>112</v>
      </c>
      <c r="B1339" s="291" t="s">
        <v>7114</v>
      </c>
      <c r="C1339" s="292" t="s">
        <v>48</v>
      </c>
      <c r="D1339" s="293">
        <f t="shared" si="2"/>
        <v>1</v>
      </c>
      <c r="E1339" s="294"/>
      <c r="F1339" s="295" t="str">
        <f>IFERROR(__xludf.DUMMYFUNCTION("IF(B1339="""","""",IFERROR(VLOOKUP(TO_TEXT(B1339),PEDIDOS!D:I,6,0),IFERROR(VLOOKUP(B1339*1,PEDIDOS!D:I,6,0),"" "")))"),"ENTREGUE")</f>
        <v>ENTREGUE</v>
      </c>
      <c r="G1339" s="303"/>
      <c r="H1339" s="304"/>
    </row>
    <row r="1340">
      <c r="A1340" s="302" t="s">
        <v>112</v>
      </c>
      <c r="B1340" s="291" t="s">
        <v>9883</v>
      </c>
      <c r="C1340" s="292" t="s">
        <v>48</v>
      </c>
      <c r="D1340" s="293">
        <f t="shared" si="2"/>
        <v>1</v>
      </c>
      <c r="E1340" s="294"/>
      <c r="F1340" s="295" t="str">
        <f>IFERROR(__xludf.DUMMYFUNCTION("IF(B1340="""","""",IFERROR(VLOOKUP(TO_TEXT(B1340),PEDIDOS!D:I,6,0),IFERROR(VLOOKUP(B1340*1,PEDIDOS!D:I,6,0),"" "")))"),"ENTREGUE")</f>
        <v>ENTREGUE</v>
      </c>
      <c r="G1340" s="303"/>
      <c r="H1340" s="304"/>
    </row>
    <row r="1341">
      <c r="A1341" s="302" t="s">
        <v>112</v>
      </c>
      <c r="B1341" s="291" t="s">
        <v>7294</v>
      </c>
      <c r="C1341" s="292" t="s">
        <v>48</v>
      </c>
      <c r="D1341" s="293">
        <f t="shared" si="2"/>
        <v>1</v>
      </c>
      <c r="E1341" s="294"/>
      <c r="F1341" s="295" t="str">
        <f>IFERROR(__xludf.DUMMYFUNCTION("IF(B1341="""","""",IFERROR(VLOOKUP(TO_TEXT(B1341),PEDIDOS!D:I,6,0),IFERROR(VLOOKUP(B1341*1,PEDIDOS!D:I,6,0),"" "")))"),"ENTREGUE")</f>
        <v>ENTREGUE</v>
      </c>
      <c r="G1341" s="303"/>
      <c r="H1341" s="304"/>
    </row>
    <row r="1342">
      <c r="A1342" s="302" t="s">
        <v>112</v>
      </c>
      <c r="B1342" s="291" t="s">
        <v>8158</v>
      </c>
      <c r="C1342" s="292" t="s">
        <v>48</v>
      </c>
      <c r="D1342" s="293">
        <f t="shared" si="2"/>
        <v>1</v>
      </c>
      <c r="E1342" s="294"/>
      <c r="F1342" s="295" t="str">
        <f>IFERROR(__xludf.DUMMYFUNCTION("IF(B1342="""","""",IFERROR(VLOOKUP(TO_TEXT(B1342),PEDIDOS!D:I,6,0),IFERROR(VLOOKUP(B1342*1,PEDIDOS!D:I,6,0),"" "")))"),"ENTREGUE")</f>
        <v>ENTREGUE</v>
      </c>
      <c r="G1342" s="303"/>
      <c r="H1342" s="304"/>
    </row>
    <row r="1343">
      <c r="A1343" s="302" t="s">
        <v>112</v>
      </c>
      <c r="B1343" s="291" t="s">
        <v>8009</v>
      </c>
      <c r="C1343" s="292" t="s">
        <v>48</v>
      </c>
      <c r="D1343" s="293">
        <f t="shared" si="2"/>
        <v>1</v>
      </c>
      <c r="E1343" s="294"/>
      <c r="F1343" s="295" t="str">
        <f>IFERROR(__xludf.DUMMYFUNCTION("IF(B1343="""","""",IFERROR(VLOOKUP(TO_TEXT(B1343),PEDIDOS!D:I,6,0),IFERROR(VLOOKUP(B1343*1,PEDIDOS!D:I,6,0),"" "")))"),"ENTREGUE")</f>
        <v>ENTREGUE</v>
      </c>
      <c r="G1343" s="303"/>
      <c r="H1343" s="304"/>
    </row>
    <row r="1344">
      <c r="A1344" s="302" t="s">
        <v>112</v>
      </c>
      <c r="B1344" s="291" t="s">
        <v>8739</v>
      </c>
      <c r="C1344" s="292" t="s">
        <v>48</v>
      </c>
      <c r="D1344" s="293">
        <f t="shared" si="2"/>
        <v>1</v>
      </c>
      <c r="E1344" s="294"/>
      <c r="F1344" s="295" t="str">
        <f>IFERROR(__xludf.DUMMYFUNCTION("IF(B1344="""","""",IFERROR(VLOOKUP(TO_TEXT(B1344),PEDIDOS!D:I,6,0),IFERROR(VLOOKUP(B1344*1,PEDIDOS!D:I,6,0),"" "")))"),"ENTREGUE")</f>
        <v>ENTREGUE</v>
      </c>
      <c r="G1344" s="303"/>
      <c r="H1344" s="304"/>
    </row>
    <row r="1345">
      <c r="A1345" s="302" t="s">
        <v>112</v>
      </c>
      <c r="B1345" s="291" t="s">
        <v>7643</v>
      </c>
      <c r="C1345" s="292" t="s">
        <v>48</v>
      </c>
      <c r="D1345" s="293">
        <f t="shared" si="2"/>
        <v>1</v>
      </c>
      <c r="E1345" s="294"/>
      <c r="F1345" s="295" t="str">
        <f>IFERROR(__xludf.DUMMYFUNCTION("IF(B1345="""","""",IFERROR(VLOOKUP(TO_TEXT(B1345),PEDIDOS!D:I,6,0),IFERROR(VLOOKUP(B1345*1,PEDIDOS!D:I,6,0),"" "")))"),"ENTREGUE")</f>
        <v>ENTREGUE</v>
      </c>
      <c r="G1345" s="303"/>
      <c r="H1345" s="304"/>
    </row>
    <row r="1346">
      <c r="A1346" s="302" t="s">
        <v>112</v>
      </c>
      <c r="B1346" s="291" t="s">
        <v>7537</v>
      </c>
      <c r="C1346" s="292" t="s">
        <v>48</v>
      </c>
      <c r="D1346" s="293">
        <f t="shared" si="2"/>
        <v>1</v>
      </c>
      <c r="E1346" s="294"/>
      <c r="F1346" s="295" t="str">
        <f>IFERROR(__xludf.DUMMYFUNCTION("IF(B1346="""","""",IFERROR(VLOOKUP(TO_TEXT(B1346),PEDIDOS!D:I,6,0),IFERROR(VLOOKUP(B1346*1,PEDIDOS!D:I,6,0),"" "")))"),"ENTREGUE")</f>
        <v>ENTREGUE</v>
      </c>
      <c r="G1346" s="303"/>
      <c r="H1346" s="304"/>
    </row>
    <row r="1347">
      <c r="A1347" s="302" t="s">
        <v>112</v>
      </c>
      <c r="B1347" s="291" t="s">
        <v>7890</v>
      </c>
      <c r="C1347" s="292" t="s">
        <v>48</v>
      </c>
      <c r="D1347" s="293">
        <f t="shared" si="2"/>
        <v>1</v>
      </c>
      <c r="E1347" s="294"/>
      <c r="F1347" s="295" t="str">
        <f>IFERROR(__xludf.DUMMYFUNCTION("IF(B1347="""","""",IFERROR(VLOOKUP(TO_TEXT(B1347),PEDIDOS!D:I,6,0),IFERROR(VLOOKUP(B1347*1,PEDIDOS!D:I,6,0),"" "")))"),"ENTREGUE")</f>
        <v>ENTREGUE</v>
      </c>
      <c r="G1347" s="303"/>
      <c r="H1347" s="304"/>
    </row>
    <row r="1348">
      <c r="A1348" s="302" t="s">
        <v>112</v>
      </c>
      <c r="B1348" s="291" t="s">
        <v>7387</v>
      </c>
      <c r="C1348" s="292" t="s">
        <v>48</v>
      </c>
      <c r="D1348" s="293">
        <f t="shared" si="2"/>
        <v>1</v>
      </c>
      <c r="E1348" s="294"/>
      <c r="F1348" s="295" t="str">
        <f>IFERROR(__xludf.DUMMYFUNCTION("IF(B1348="""","""",IFERROR(VLOOKUP(TO_TEXT(B1348),PEDIDOS!D:I,6,0),IFERROR(VLOOKUP(B1348*1,PEDIDOS!D:I,6,0),"" "")))"),"ENTREGUE")</f>
        <v>ENTREGUE</v>
      </c>
      <c r="G1348" s="303"/>
      <c r="H1348" s="304"/>
    </row>
    <row r="1349">
      <c r="A1349" s="302" t="s">
        <v>112</v>
      </c>
      <c r="B1349" s="291" t="s">
        <v>6961</v>
      </c>
      <c r="C1349" s="292" t="s">
        <v>48</v>
      </c>
      <c r="D1349" s="293">
        <f t="shared" si="2"/>
        <v>1</v>
      </c>
      <c r="E1349" s="294"/>
      <c r="F1349" s="295" t="str">
        <f>IFERROR(__xludf.DUMMYFUNCTION("IF(B1349="""","""",IFERROR(VLOOKUP(TO_TEXT(B1349),PEDIDOS!D:I,6,0),IFERROR(VLOOKUP(B1349*1,PEDIDOS!D:I,6,0),"" "")))"),"ENTREGUE")</f>
        <v>ENTREGUE</v>
      </c>
      <c r="G1349" s="303"/>
      <c r="H1349" s="304"/>
    </row>
    <row r="1350">
      <c r="A1350" s="302" t="s">
        <v>112</v>
      </c>
      <c r="B1350" s="291" t="s">
        <v>7831</v>
      </c>
      <c r="C1350" s="292" t="s">
        <v>48</v>
      </c>
      <c r="D1350" s="293">
        <f t="shared" si="2"/>
        <v>1</v>
      </c>
      <c r="E1350" s="294"/>
      <c r="F1350" s="295" t="str">
        <f>IFERROR(__xludf.DUMMYFUNCTION("IF(B1350="""","""",IFERROR(VLOOKUP(TO_TEXT(B1350),PEDIDOS!D:I,6,0),IFERROR(VLOOKUP(B1350*1,PEDIDOS!D:I,6,0),"" "")))"),"ENTREGUE")</f>
        <v>ENTREGUE</v>
      </c>
      <c r="G1350" s="303"/>
      <c r="H1350" s="304"/>
    </row>
    <row r="1351">
      <c r="A1351" s="302" t="s">
        <v>112</v>
      </c>
      <c r="B1351" s="291" t="s">
        <v>8033</v>
      </c>
      <c r="C1351" s="292" t="s">
        <v>48</v>
      </c>
      <c r="D1351" s="293">
        <f t="shared" si="2"/>
        <v>1</v>
      </c>
      <c r="E1351" s="294"/>
      <c r="F1351" s="295" t="str">
        <f>IFERROR(__xludf.DUMMYFUNCTION("IF(B1351="""","""",IFERROR(VLOOKUP(TO_TEXT(B1351),PEDIDOS!D:I,6,0),IFERROR(VLOOKUP(B1351*1,PEDIDOS!D:I,6,0),"" "")))"),"ENTREGUE")</f>
        <v>ENTREGUE</v>
      </c>
      <c r="G1351" s="303"/>
      <c r="H1351" s="304"/>
    </row>
    <row r="1352">
      <c r="A1352" s="302" t="s">
        <v>112</v>
      </c>
      <c r="B1352" s="291" t="s">
        <v>6983</v>
      </c>
      <c r="C1352" s="292" t="s">
        <v>48</v>
      </c>
      <c r="D1352" s="293">
        <f t="shared" si="2"/>
        <v>1</v>
      </c>
      <c r="E1352" s="294"/>
      <c r="F1352" s="295" t="str">
        <f>IFERROR(__xludf.DUMMYFUNCTION("IF(B1352="""","""",IFERROR(VLOOKUP(TO_TEXT(B1352),PEDIDOS!D:I,6,0),IFERROR(VLOOKUP(B1352*1,PEDIDOS!D:I,6,0),"" "")))"),"ENTREGUE")</f>
        <v>ENTREGUE</v>
      </c>
      <c r="G1352" s="303"/>
      <c r="H1352" s="304"/>
    </row>
    <row r="1353">
      <c r="A1353" s="302" t="s">
        <v>112</v>
      </c>
      <c r="B1353" s="291" t="s">
        <v>1152</v>
      </c>
      <c r="C1353" s="292" t="s">
        <v>48</v>
      </c>
      <c r="D1353" s="293">
        <f t="shared" si="2"/>
        <v>1</v>
      </c>
      <c r="E1353" s="294"/>
      <c r="F1353" s="295" t="str">
        <f>IFERROR(__xludf.DUMMYFUNCTION("IF(B1353="""","""",IFERROR(VLOOKUP(TO_TEXT(B1353),PEDIDOS!D:I,6,0),IFERROR(VLOOKUP(B1353*1,PEDIDOS!D:I,6,0),"" "")))"),"ENTREGUE")</f>
        <v>ENTREGUE</v>
      </c>
      <c r="G1353" s="303"/>
      <c r="H1353" s="304"/>
    </row>
    <row r="1354">
      <c r="A1354" s="302" t="s">
        <v>112</v>
      </c>
      <c r="B1354" s="291" t="s">
        <v>8164</v>
      </c>
      <c r="C1354" s="292" t="s">
        <v>48</v>
      </c>
      <c r="D1354" s="293">
        <f t="shared" si="2"/>
        <v>1</v>
      </c>
      <c r="E1354" s="294"/>
      <c r="F1354" s="295" t="str">
        <f>IFERROR(__xludf.DUMMYFUNCTION("IF(B1354="""","""",IFERROR(VLOOKUP(TO_TEXT(B1354),PEDIDOS!D:I,6,0),IFERROR(VLOOKUP(B1354*1,PEDIDOS!D:I,6,0),"" "")))"),"ENTREGUE")</f>
        <v>ENTREGUE</v>
      </c>
      <c r="G1354" s="303"/>
      <c r="H1354" s="304"/>
    </row>
    <row r="1355">
      <c r="A1355" s="302" t="s">
        <v>112</v>
      </c>
      <c r="B1355" s="291" t="s">
        <v>8464</v>
      </c>
      <c r="C1355" s="292" t="s">
        <v>48</v>
      </c>
      <c r="D1355" s="293">
        <f t="shared" si="2"/>
        <v>1</v>
      </c>
      <c r="E1355" s="294"/>
      <c r="F1355" s="295" t="str">
        <f>IFERROR(__xludf.DUMMYFUNCTION("IF(B1355="""","""",IFERROR(VLOOKUP(TO_TEXT(B1355),PEDIDOS!D:I,6,0),IFERROR(VLOOKUP(B1355*1,PEDIDOS!D:I,6,0),"" "")))"),"ENTREGUE")</f>
        <v>ENTREGUE</v>
      </c>
      <c r="G1355" s="303"/>
      <c r="H1355" s="304"/>
    </row>
    <row r="1356">
      <c r="A1356" s="302" t="s">
        <v>112</v>
      </c>
      <c r="B1356" s="291" t="s">
        <v>7785</v>
      </c>
      <c r="C1356" s="292" t="s">
        <v>48</v>
      </c>
      <c r="D1356" s="293">
        <f t="shared" si="2"/>
        <v>1</v>
      </c>
      <c r="E1356" s="294"/>
      <c r="F1356" s="295" t="str">
        <f>IFERROR(__xludf.DUMMYFUNCTION("IF(B1356="""","""",IFERROR(VLOOKUP(TO_TEXT(B1356),PEDIDOS!D:I,6,0),IFERROR(VLOOKUP(B1356*1,PEDIDOS!D:I,6,0),"" "")))"),"ENTREGUE")</f>
        <v>ENTREGUE</v>
      </c>
      <c r="G1356" s="303"/>
      <c r="H1356" s="304"/>
    </row>
    <row r="1357">
      <c r="A1357" s="302" t="s">
        <v>112</v>
      </c>
      <c r="B1357" s="291" t="s">
        <v>9887</v>
      </c>
      <c r="C1357" s="292" t="s">
        <v>48</v>
      </c>
      <c r="D1357" s="293">
        <f t="shared" si="2"/>
        <v>1</v>
      </c>
      <c r="E1357" s="294"/>
      <c r="F1357" s="295" t="str">
        <f>IFERROR(__xludf.DUMMYFUNCTION("IF(B1357="""","""",IFERROR(VLOOKUP(TO_TEXT(B1357),PEDIDOS!D:I,6,0),IFERROR(VLOOKUP(B1357*1,PEDIDOS!D:I,6,0),"" "")))"),"ENTREGUE")</f>
        <v>ENTREGUE</v>
      </c>
      <c r="G1357" s="303"/>
      <c r="H1357" s="304"/>
    </row>
    <row r="1358">
      <c r="A1358" s="302" t="s">
        <v>112</v>
      </c>
      <c r="B1358" s="291" t="s">
        <v>6958</v>
      </c>
      <c r="C1358" s="292" t="s">
        <v>48</v>
      </c>
      <c r="D1358" s="293">
        <f t="shared" si="2"/>
        <v>1</v>
      </c>
      <c r="E1358" s="294"/>
      <c r="F1358" s="295" t="str">
        <f>IFERROR(__xludf.DUMMYFUNCTION("IF(B1358="""","""",IFERROR(VLOOKUP(TO_TEXT(B1358),PEDIDOS!D:I,6,0),IFERROR(VLOOKUP(B1358*1,PEDIDOS!D:I,6,0),"" "")))"),"ENTREGUE")</f>
        <v>ENTREGUE</v>
      </c>
      <c r="G1358" s="303"/>
      <c r="H1358" s="304"/>
    </row>
    <row r="1359">
      <c r="A1359" s="302" t="s">
        <v>112</v>
      </c>
      <c r="B1359" s="291" t="s">
        <v>8551</v>
      </c>
      <c r="C1359" s="292" t="s">
        <v>48</v>
      </c>
      <c r="D1359" s="293">
        <f t="shared" si="2"/>
        <v>1</v>
      </c>
      <c r="E1359" s="294"/>
      <c r="F1359" s="295" t="str">
        <f>IFERROR(__xludf.DUMMYFUNCTION("IF(B1359="""","""",IFERROR(VLOOKUP(TO_TEXT(B1359),PEDIDOS!D:I,6,0),IFERROR(VLOOKUP(B1359*1,PEDIDOS!D:I,6,0),"" "")))"),"ENTREGUE")</f>
        <v>ENTREGUE</v>
      </c>
      <c r="G1359" s="303"/>
      <c r="H1359" s="304"/>
    </row>
    <row r="1360">
      <c r="A1360" s="302" t="s">
        <v>112</v>
      </c>
      <c r="B1360" s="291" t="s">
        <v>8161</v>
      </c>
      <c r="C1360" s="292" t="s">
        <v>48</v>
      </c>
      <c r="D1360" s="293">
        <f t="shared" si="2"/>
        <v>1</v>
      </c>
      <c r="E1360" s="294"/>
      <c r="F1360" s="295" t="str">
        <f>IFERROR(__xludf.DUMMYFUNCTION("IF(B1360="""","""",IFERROR(VLOOKUP(TO_TEXT(B1360),PEDIDOS!D:I,6,0),IFERROR(VLOOKUP(B1360*1,PEDIDOS!D:I,6,0),"" "")))"),"ENTREGUE")</f>
        <v>ENTREGUE</v>
      </c>
      <c r="G1360" s="303"/>
      <c r="H1360" s="304"/>
    </row>
    <row r="1361">
      <c r="A1361" s="302" t="s">
        <v>112</v>
      </c>
      <c r="B1361" s="291" t="s">
        <v>8077</v>
      </c>
      <c r="C1361" s="292" t="s">
        <v>48</v>
      </c>
      <c r="D1361" s="293">
        <f t="shared" si="2"/>
        <v>1</v>
      </c>
      <c r="E1361" s="294"/>
      <c r="F1361" s="295" t="str">
        <f>IFERROR(__xludf.DUMMYFUNCTION("IF(B1361="""","""",IFERROR(VLOOKUP(TO_TEXT(B1361),PEDIDOS!D:I,6,0),IFERROR(VLOOKUP(B1361*1,PEDIDOS!D:I,6,0),"" "")))"),"ENTREGUE")</f>
        <v>ENTREGUE</v>
      </c>
      <c r="G1361" s="303"/>
      <c r="H1361" s="304"/>
    </row>
    <row r="1362">
      <c r="A1362" s="302" t="s">
        <v>112</v>
      </c>
      <c r="B1362" s="291" t="s">
        <v>7381</v>
      </c>
      <c r="C1362" s="292" t="s">
        <v>48</v>
      </c>
      <c r="D1362" s="293">
        <f t="shared" si="2"/>
        <v>1</v>
      </c>
      <c r="E1362" s="294"/>
      <c r="F1362" s="295" t="str">
        <f>IFERROR(__xludf.DUMMYFUNCTION("IF(B1362="""","""",IFERROR(VLOOKUP(TO_TEXT(B1362),PEDIDOS!D:I,6,0),IFERROR(VLOOKUP(B1362*1,PEDIDOS!D:I,6,0),"" "")))"),"ENTREGUE")</f>
        <v>ENTREGUE</v>
      </c>
      <c r="G1362" s="303"/>
      <c r="H1362" s="304"/>
    </row>
    <row r="1363">
      <c r="A1363" s="302" t="s">
        <v>112</v>
      </c>
      <c r="B1363" s="291" t="s">
        <v>7781</v>
      </c>
      <c r="C1363" s="292" t="s">
        <v>48</v>
      </c>
      <c r="D1363" s="293">
        <f t="shared" si="2"/>
        <v>1</v>
      </c>
      <c r="E1363" s="294"/>
      <c r="F1363" s="295" t="str">
        <f>IFERROR(__xludf.DUMMYFUNCTION("IF(B1363="""","""",IFERROR(VLOOKUP(TO_TEXT(B1363),PEDIDOS!D:I,6,0),IFERROR(VLOOKUP(B1363*1,PEDIDOS!D:I,6,0),"" "")))"),"ENTREGUE")</f>
        <v>ENTREGUE</v>
      </c>
      <c r="G1363" s="303"/>
      <c r="H1363" s="304"/>
    </row>
    <row r="1364">
      <c r="A1364" s="302" t="s">
        <v>47</v>
      </c>
      <c r="B1364" s="291" t="s">
        <v>7549</v>
      </c>
      <c r="C1364" s="292" t="s">
        <v>48</v>
      </c>
      <c r="D1364" s="293">
        <f t="shared" si="2"/>
        <v>1</v>
      </c>
      <c r="E1364" s="294"/>
      <c r="F1364" s="295" t="str">
        <f>IFERROR(__xludf.DUMMYFUNCTION("IF(B1364="""","""",IFERROR(VLOOKUP(TO_TEXT(B1364),PEDIDOS!D:I,6,0),IFERROR(VLOOKUP(B1364*1,PEDIDOS!D:I,6,0),"" "")))"),"ENTREGUE")</f>
        <v>ENTREGUE</v>
      </c>
      <c r="G1364" s="303"/>
      <c r="H1364" s="304"/>
    </row>
    <row r="1365">
      <c r="A1365" s="302" t="s">
        <v>47</v>
      </c>
      <c r="B1365" s="291" t="s">
        <v>6886</v>
      </c>
      <c r="C1365" s="292" t="s">
        <v>48</v>
      </c>
      <c r="D1365" s="293">
        <f t="shared" si="2"/>
        <v>1</v>
      </c>
      <c r="E1365" s="294"/>
      <c r="F1365" s="295" t="str">
        <f>IFERROR(__xludf.DUMMYFUNCTION("IF(B1365="""","""",IFERROR(VLOOKUP(TO_TEXT(B1365),PEDIDOS!D:I,6,0),IFERROR(VLOOKUP(B1365*1,PEDIDOS!D:I,6,0),"" "")))"),"ENTREGUE")</f>
        <v>ENTREGUE</v>
      </c>
      <c r="G1365" s="303"/>
      <c r="H1365" s="304"/>
    </row>
    <row r="1366">
      <c r="A1366" s="302" t="s">
        <v>47</v>
      </c>
      <c r="B1366" s="291" t="s">
        <v>9150</v>
      </c>
      <c r="C1366" s="292" t="s">
        <v>48</v>
      </c>
      <c r="D1366" s="293">
        <f t="shared" si="2"/>
        <v>1</v>
      </c>
      <c r="E1366" s="294"/>
      <c r="F1366" s="295" t="str">
        <f>IFERROR(__xludf.DUMMYFUNCTION("IF(B1366="""","""",IFERROR(VLOOKUP(TO_TEXT(B1366),PEDIDOS!D:I,6,0),IFERROR(VLOOKUP(B1366*1,PEDIDOS!D:I,6,0),"" "")))"),"ENTREGUE")</f>
        <v>ENTREGUE</v>
      </c>
      <c r="G1366" s="303"/>
      <c r="H1366" s="304"/>
    </row>
    <row r="1367">
      <c r="A1367" s="302" t="s">
        <v>47</v>
      </c>
      <c r="B1367" s="291" t="s">
        <v>14448</v>
      </c>
      <c r="C1367" s="292" t="s">
        <v>48</v>
      </c>
      <c r="D1367" s="293">
        <f t="shared" si="2"/>
        <v>1</v>
      </c>
      <c r="E1367" s="294"/>
      <c r="F1367" s="295" t="str">
        <f>IFERROR(__xludf.DUMMYFUNCTION("IF(B1367="""","""",IFERROR(VLOOKUP(TO_TEXT(B1367),PEDIDOS!D:I,6,0),IFERROR(VLOOKUP(B1367*1,PEDIDOS!D:I,6,0),"" "")))"),"ENTREGUE")</f>
        <v>ENTREGUE</v>
      </c>
      <c r="G1367" s="303"/>
      <c r="H1367" s="304"/>
    </row>
    <row r="1368">
      <c r="A1368" s="302" t="s">
        <v>47</v>
      </c>
      <c r="B1368" s="291" t="s">
        <v>64</v>
      </c>
      <c r="C1368" s="292" t="s">
        <v>48</v>
      </c>
      <c r="D1368" s="293">
        <f t="shared" si="2"/>
        <v>1</v>
      </c>
      <c r="E1368" s="294"/>
      <c r="F1368" s="295" t="str">
        <f>IFERROR(__xludf.DUMMYFUNCTION("IF(B1368="""","""",IFERROR(VLOOKUP(TO_TEXT(B1368),PEDIDOS!D:I,6,0),IFERROR(VLOOKUP(B1368*1,PEDIDOS!D:I,6,0),"" "")))"),"ENTREGUE")</f>
        <v>ENTREGUE</v>
      </c>
      <c r="G1368" s="303"/>
      <c r="H1368" s="304"/>
    </row>
    <row r="1369">
      <c r="A1369" s="302" t="s">
        <v>47</v>
      </c>
      <c r="B1369" s="291" t="s">
        <v>7682</v>
      </c>
      <c r="C1369" s="292" t="s">
        <v>48</v>
      </c>
      <c r="D1369" s="293">
        <f t="shared" si="2"/>
        <v>1</v>
      </c>
      <c r="E1369" s="294"/>
      <c r="F1369" s="295" t="str">
        <f>IFERROR(__xludf.DUMMYFUNCTION("IF(B1369="""","""",IFERROR(VLOOKUP(TO_TEXT(B1369),PEDIDOS!D:I,6,0),IFERROR(VLOOKUP(B1369*1,PEDIDOS!D:I,6,0),"" "")))"),"ENTREGUE")</f>
        <v>ENTREGUE</v>
      </c>
      <c r="G1369" s="303"/>
      <c r="H1369" s="304"/>
    </row>
    <row r="1370">
      <c r="A1370" s="302" t="s">
        <v>47</v>
      </c>
      <c r="B1370" s="291" t="s">
        <v>7797</v>
      </c>
      <c r="C1370" s="292" t="s">
        <v>48</v>
      </c>
      <c r="D1370" s="293">
        <f t="shared" si="2"/>
        <v>1</v>
      </c>
      <c r="E1370" s="294"/>
      <c r="F1370" s="295" t="str">
        <f>IFERROR(__xludf.DUMMYFUNCTION("IF(B1370="""","""",IFERROR(VLOOKUP(TO_TEXT(B1370),PEDIDOS!D:I,6,0),IFERROR(VLOOKUP(B1370*1,PEDIDOS!D:I,6,0),"" "")))"),"ENTREGUE")</f>
        <v>ENTREGUE</v>
      </c>
      <c r="G1370" s="303"/>
      <c r="H1370" s="304"/>
    </row>
    <row r="1371">
      <c r="A1371" s="302" t="s">
        <v>47</v>
      </c>
      <c r="B1371" s="291" t="s">
        <v>7802</v>
      </c>
      <c r="C1371" s="292" t="s">
        <v>48</v>
      </c>
      <c r="D1371" s="293">
        <f t="shared" si="2"/>
        <v>1</v>
      </c>
      <c r="E1371" s="294"/>
      <c r="F1371" s="295" t="str">
        <f>IFERROR(__xludf.DUMMYFUNCTION("IF(B1371="""","""",IFERROR(VLOOKUP(TO_TEXT(B1371),PEDIDOS!D:I,6,0),IFERROR(VLOOKUP(B1371*1,PEDIDOS!D:I,6,0),"" "")))"),"ENTREGUE")</f>
        <v>ENTREGUE</v>
      </c>
      <c r="G1371" s="303"/>
      <c r="H1371" s="304"/>
    </row>
    <row r="1372">
      <c r="A1372" s="302" t="s">
        <v>47</v>
      </c>
      <c r="B1372" s="291" t="s">
        <v>8811</v>
      </c>
      <c r="C1372" s="292" t="s">
        <v>48</v>
      </c>
      <c r="D1372" s="293">
        <f t="shared" si="2"/>
        <v>1</v>
      </c>
      <c r="E1372" s="294"/>
      <c r="F1372" s="295" t="str">
        <f>IFERROR(__xludf.DUMMYFUNCTION("IF(B1372="""","""",IFERROR(VLOOKUP(TO_TEXT(B1372),PEDIDOS!D:I,6,0),IFERROR(VLOOKUP(B1372*1,PEDIDOS!D:I,6,0),"" "")))"),"ENTREGUE")</f>
        <v>ENTREGUE</v>
      </c>
      <c r="G1372" s="303"/>
      <c r="H1372" s="304"/>
    </row>
    <row r="1373">
      <c r="A1373" s="302" t="s">
        <v>47</v>
      </c>
      <c r="B1373" s="291" t="s">
        <v>11795</v>
      </c>
      <c r="C1373" s="292" t="s">
        <v>48</v>
      </c>
      <c r="D1373" s="293">
        <f t="shared" si="2"/>
        <v>1</v>
      </c>
      <c r="E1373" s="294"/>
      <c r="F1373" s="295" t="str">
        <f>IFERROR(__xludf.DUMMYFUNCTION("IF(B1373="""","""",IFERROR(VLOOKUP(TO_TEXT(B1373),PEDIDOS!D:I,6,0),IFERROR(VLOOKUP(B1373*1,PEDIDOS!D:I,6,0),"" "")))"),"ENTREGUE")</f>
        <v>ENTREGUE</v>
      </c>
      <c r="G1373" s="303"/>
      <c r="H1373" s="304"/>
    </row>
    <row r="1374">
      <c r="A1374" s="302" t="s">
        <v>47</v>
      </c>
      <c r="B1374" s="291" t="s">
        <v>46</v>
      </c>
      <c r="C1374" s="292" t="s">
        <v>48</v>
      </c>
      <c r="D1374" s="293">
        <f t="shared" si="2"/>
        <v>1</v>
      </c>
      <c r="E1374" s="294"/>
      <c r="F1374" s="295" t="str">
        <f>IFERROR(__xludf.DUMMYFUNCTION("IF(B1374="""","""",IFERROR(VLOOKUP(TO_TEXT(B1374),PEDIDOS!D:I,6,0),IFERROR(VLOOKUP(B1374*1,PEDIDOS!D:I,6,0),"" "")))"),"ENTREGUE")</f>
        <v>ENTREGUE</v>
      </c>
      <c r="G1374" s="303"/>
      <c r="H1374" s="304"/>
    </row>
    <row r="1375">
      <c r="A1375" s="302" t="s">
        <v>47</v>
      </c>
      <c r="B1375" s="291" t="s">
        <v>7936</v>
      </c>
      <c r="C1375" s="292" t="s">
        <v>48</v>
      </c>
      <c r="D1375" s="293">
        <f t="shared" si="2"/>
        <v>1</v>
      </c>
      <c r="E1375" s="294"/>
      <c r="F1375" s="295" t="str">
        <f>IFERROR(__xludf.DUMMYFUNCTION("IF(B1375="""","""",IFERROR(VLOOKUP(TO_TEXT(B1375),PEDIDOS!D:I,6,0),IFERROR(VLOOKUP(B1375*1,PEDIDOS!D:I,6,0),"" "")))"),"ENTREGUE")</f>
        <v>ENTREGUE</v>
      </c>
      <c r="G1375" s="303"/>
      <c r="H1375" s="304"/>
    </row>
    <row r="1376">
      <c r="A1376" s="302" t="s">
        <v>47</v>
      </c>
      <c r="B1376" s="291" t="s">
        <v>6878</v>
      </c>
      <c r="C1376" s="292" t="s">
        <v>48</v>
      </c>
      <c r="D1376" s="293">
        <f t="shared" si="2"/>
        <v>1</v>
      </c>
      <c r="E1376" s="294"/>
      <c r="F1376" s="295" t="str">
        <f>IFERROR(__xludf.DUMMYFUNCTION("IF(B1376="""","""",IFERROR(VLOOKUP(TO_TEXT(B1376),PEDIDOS!D:I,6,0),IFERROR(VLOOKUP(B1376*1,PEDIDOS!D:I,6,0),"" "")))"),"ENTREGUE")</f>
        <v>ENTREGUE</v>
      </c>
      <c r="G1376" s="303"/>
      <c r="H1376" s="304"/>
    </row>
    <row r="1377">
      <c r="A1377" s="302" t="s">
        <v>47</v>
      </c>
      <c r="B1377" s="291" t="s">
        <v>55</v>
      </c>
      <c r="C1377" s="292" t="s">
        <v>48</v>
      </c>
      <c r="D1377" s="293">
        <f t="shared" si="2"/>
        <v>1</v>
      </c>
      <c r="E1377" s="294"/>
      <c r="F1377" s="295" t="str">
        <f>IFERROR(__xludf.DUMMYFUNCTION("IF(B1377="""","""",IFERROR(VLOOKUP(TO_TEXT(B1377),PEDIDOS!D:I,6,0),IFERROR(VLOOKUP(B1377*1,PEDIDOS!D:I,6,0),"" "")))"),"ENTREGUE")</f>
        <v>ENTREGUE</v>
      </c>
      <c r="G1377" s="303"/>
      <c r="H1377" s="304"/>
    </row>
    <row r="1378">
      <c r="A1378" s="302" t="s">
        <v>47</v>
      </c>
      <c r="B1378" s="291" t="s">
        <v>8042</v>
      </c>
      <c r="C1378" s="292" t="s">
        <v>48</v>
      </c>
      <c r="D1378" s="293">
        <f t="shared" si="2"/>
        <v>1</v>
      </c>
      <c r="E1378" s="294"/>
      <c r="F1378" s="295" t="str">
        <f>IFERROR(__xludf.DUMMYFUNCTION("IF(B1378="""","""",IFERROR(VLOOKUP(TO_TEXT(B1378),PEDIDOS!D:I,6,0),IFERROR(VLOOKUP(B1378*1,PEDIDOS!D:I,6,0),"" "")))"),"ENTREGUE")</f>
        <v>ENTREGUE</v>
      </c>
      <c r="G1378" s="303"/>
      <c r="H1378" s="304"/>
    </row>
    <row r="1379">
      <c r="A1379" s="302" t="s">
        <v>47</v>
      </c>
      <c r="B1379" s="291" t="s">
        <v>7721</v>
      </c>
      <c r="C1379" s="292" t="s">
        <v>48</v>
      </c>
      <c r="D1379" s="293">
        <f t="shared" si="2"/>
        <v>1</v>
      </c>
      <c r="E1379" s="294"/>
      <c r="F1379" s="295" t="str">
        <f>IFERROR(__xludf.DUMMYFUNCTION("IF(B1379="""","""",IFERROR(VLOOKUP(TO_TEXT(B1379),PEDIDOS!D:I,6,0),IFERROR(VLOOKUP(B1379*1,PEDIDOS!D:I,6,0),"" "")))"),"ENTREGUE")</f>
        <v>ENTREGUE</v>
      </c>
      <c r="G1379" s="303"/>
      <c r="H1379" s="304"/>
    </row>
    <row r="1380">
      <c r="A1380" s="302" t="s">
        <v>47</v>
      </c>
      <c r="B1380" s="291" t="s">
        <v>11644</v>
      </c>
      <c r="C1380" s="292" t="s">
        <v>48</v>
      </c>
      <c r="D1380" s="293">
        <f t="shared" si="2"/>
        <v>1</v>
      </c>
      <c r="E1380" s="294"/>
      <c r="F1380" s="295" t="str">
        <f>IFERROR(__xludf.DUMMYFUNCTION("IF(B1380="""","""",IFERROR(VLOOKUP(TO_TEXT(B1380),PEDIDOS!D:I,6,0),IFERROR(VLOOKUP(B1380*1,PEDIDOS!D:I,6,0),"" "")))"),"ENTREGUE")</f>
        <v>ENTREGUE</v>
      </c>
      <c r="G1380" s="303"/>
      <c r="H1380" s="304"/>
    </row>
    <row r="1381">
      <c r="A1381" s="302" t="s">
        <v>47</v>
      </c>
      <c r="B1381" s="291" t="s">
        <v>7203</v>
      </c>
      <c r="C1381" s="292" t="s">
        <v>48</v>
      </c>
      <c r="D1381" s="293">
        <f t="shared" si="2"/>
        <v>1</v>
      </c>
      <c r="E1381" s="294"/>
      <c r="F1381" s="295" t="str">
        <f>IFERROR(__xludf.DUMMYFUNCTION("IF(B1381="""","""",IFERROR(VLOOKUP(TO_TEXT(B1381),PEDIDOS!D:I,6,0),IFERROR(VLOOKUP(B1381*1,PEDIDOS!D:I,6,0),"" "")))"),"ENTREGUE")</f>
        <v>ENTREGUE</v>
      </c>
      <c r="G1381" s="303"/>
      <c r="H1381" s="304"/>
    </row>
    <row r="1382">
      <c r="A1382" s="302" t="s">
        <v>47</v>
      </c>
      <c r="B1382" s="291" t="s">
        <v>9671</v>
      </c>
      <c r="C1382" s="292" t="s">
        <v>48</v>
      </c>
      <c r="D1382" s="293">
        <f t="shared" si="2"/>
        <v>1</v>
      </c>
      <c r="E1382" s="294"/>
      <c r="F1382" s="295" t="str">
        <f>IFERROR(__xludf.DUMMYFUNCTION("IF(B1382="""","""",IFERROR(VLOOKUP(TO_TEXT(B1382),PEDIDOS!D:I,6,0),IFERROR(VLOOKUP(B1382*1,PEDIDOS!D:I,6,0),"" "")))"),"ENTREGUE")</f>
        <v>ENTREGUE</v>
      </c>
      <c r="G1382" s="303"/>
      <c r="H1382" s="304"/>
    </row>
    <row r="1383">
      <c r="A1383" s="302" t="s">
        <v>47</v>
      </c>
      <c r="B1383" s="291" t="s">
        <v>7686</v>
      </c>
      <c r="C1383" s="292" t="s">
        <v>48</v>
      </c>
      <c r="D1383" s="293">
        <f t="shared" si="2"/>
        <v>1</v>
      </c>
      <c r="E1383" s="294"/>
      <c r="F1383" s="295" t="str">
        <f>IFERROR(__xludf.DUMMYFUNCTION("IF(B1383="""","""",IFERROR(VLOOKUP(TO_TEXT(B1383),PEDIDOS!D:I,6,0),IFERROR(VLOOKUP(B1383*1,PEDIDOS!D:I,6,0),"" "")))"),"ENTREGUE")</f>
        <v>ENTREGUE</v>
      </c>
      <c r="G1383" s="303"/>
      <c r="H1383" s="304"/>
    </row>
    <row r="1384">
      <c r="A1384" s="302" t="s">
        <v>47</v>
      </c>
      <c r="B1384" s="291" t="s">
        <v>6875</v>
      </c>
      <c r="C1384" s="292" t="s">
        <v>48</v>
      </c>
      <c r="D1384" s="293">
        <f t="shared" si="2"/>
        <v>1</v>
      </c>
      <c r="E1384" s="294"/>
      <c r="F1384" s="295" t="str">
        <f>IFERROR(__xludf.DUMMYFUNCTION("IF(B1384="""","""",IFERROR(VLOOKUP(TO_TEXT(B1384),PEDIDOS!D:I,6,0),IFERROR(VLOOKUP(B1384*1,PEDIDOS!D:I,6,0),"" "")))"),"ENTREGUE")</f>
        <v>ENTREGUE</v>
      </c>
      <c r="G1384" s="303"/>
      <c r="H1384" s="304"/>
    </row>
    <row r="1385">
      <c r="A1385" s="302" t="s">
        <v>47</v>
      </c>
      <c r="B1385" s="291" t="s">
        <v>7724</v>
      </c>
      <c r="C1385" s="292" t="s">
        <v>48</v>
      </c>
      <c r="D1385" s="293">
        <f t="shared" si="2"/>
        <v>1</v>
      </c>
      <c r="E1385" s="294"/>
      <c r="F1385" s="295" t="str">
        <f>IFERROR(__xludf.DUMMYFUNCTION("IF(B1385="""","""",IFERROR(VLOOKUP(TO_TEXT(B1385),PEDIDOS!D:I,6,0),IFERROR(VLOOKUP(B1385*1,PEDIDOS!D:I,6,0),"" "")))"),"ENTREGUE")</f>
        <v>ENTREGUE</v>
      </c>
      <c r="G1385" s="303"/>
      <c r="H1385" s="304"/>
    </row>
    <row r="1386">
      <c r="A1386" s="302" t="s">
        <v>47</v>
      </c>
      <c r="B1386" s="291" t="s">
        <v>6901</v>
      </c>
      <c r="C1386" s="292" t="s">
        <v>48</v>
      </c>
      <c r="D1386" s="293">
        <f t="shared" si="2"/>
        <v>1</v>
      </c>
      <c r="E1386" s="294"/>
      <c r="F1386" s="295" t="str">
        <f>IFERROR(__xludf.DUMMYFUNCTION("IF(B1386="""","""",IFERROR(VLOOKUP(TO_TEXT(B1386),PEDIDOS!D:I,6,0),IFERROR(VLOOKUP(B1386*1,PEDIDOS!D:I,6,0),"" "")))"),"ENTREGUE")</f>
        <v>ENTREGUE</v>
      </c>
      <c r="G1386" s="303"/>
      <c r="H1386" s="304"/>
    </row>
    <row r="1387">
      <c r="A1387" s="302" t="s">
        <v>47</v>
      </c>
      <c r="B1387" s="291" t="s">
        <v>8179</v>
      </c>
      <c r="C1387" s="292" t="s">
        <v>48</v>
      </c>
      <c r="D1387" s="293">
        <f t="shared" si="2"/>
        <v>1</v>
      </c>
      <c r="E1387" s="294"/>
      <c r="F1387" s="295" t="str">
        <f>IFERROR(__xludf.DUMMYFUNCTION("IF(B1387="""","""",IFERROR(VLOOKUP(TO_TEXT(B1387),PEDIDOS!D:I,6,0),IFERROR(VLOOKUP(B1387*1,PEDIDOS!D:I,6,0),"" "")))"),"ENTREGUE")</f>
        <v>ENTREGUE</v>
      </c>
      <c r="G1387" s="303"/>
      <c r="H1387" s="304"/>
    </row>
    <row r="1388">
      <c r="A1388" s="302" t="s">
        <v>47</v>
      </c>
      <c r="B1388" s="291" t="s">
        <v>8912</v>
      </c>
      <c r="C1388" s="292" t="s">
        <v>48</v>
      </c>
      <c r="D1388" s="293">
        <f t="shared" si="2"/>
        <v>1</v>
      </c>
      <c r="E1388" s="294"/>
      <c r="F1388" s="295" t="str">
        <f>IFERROR(__xludf.DUMMYFUNCTION("IF(B1388="""","""",IFERROR(VLOOKUP(TO_TEXT(B1388),PEDIDOS!D:I,6,0),IFERROR(VLOOKUP(B1388*1,PEDIDOS!D:I,6,0),"" "")))"),"ENTREGUE")</f>
        <v>ENTREGUE</v>
      </c>
      <c r="G1388" s="303"/>
      <c r="H1388" s="304"/>
    </row>
    <row r="1389">
      <c r="A1389" s="302" t="s">
        <v>47</v>
      </c>
      <c r="B1389" s="291" t="s">
        <v>10828</v>
      </c>
      <c r="C1389" s="292" t="s">
        <v>48</v>
      </c>
      <c r="D1389" s="293">
        <f t="shared" si="2"/>
        <v>1</v>
      </c>
      <c r="E1389" s="294"/>
      <c r="F1389" s="295" t="str">
        <f>IFERROR(__xludf.DUMMYFUNCTION("IF(B1389="""","""",IFERROR(VLOOKUP(TO_TEXT(B1389),PEDIDOS!D:I,6,0),IFERROR(VLOOKUP(B1389*1,PEDIDOS!D:I,6,0),"" "")))"),"ENTREGUE")</f>
        <v>ENTREGUE</v>
      </c>
      <c r="G1389" s="303"/>
      <c r="H1389" s="304"/>
    </row>
    <row r="1390">
      <c r="A1390" s="302" t="s">
        <v>47</v>
      </c>
      <c r="B1390" s="291" t="s">
        <v>10818</v>
      </c>
      <c r="C1390" s="292" t="s">
        <v>48</v>
      </c>
      <c r="D1390" s="293">
        <f t="shared" si="2"/>
        <v>1</v>
      </c>
      <c r="E1390" s="294"/>
      <c r="F1390" s="295" t="str">
        <f>IFERROR(__xludf.DUMMYFUNCTION("IF(B1390="""","""",IFERROR(VLOOKUP(TO_TEXT(B1390),PEDIDOS!D:I,6,0),IFERROR(VLOOKUP(B1390*1,PEDIDOS!D:I,6,0),"" "")))"),"ENTREGUE")</f>
        <v>ENTREGUE</v>
      </c>
      <c r="G1390" s="303"/>
      <c r="H1390" s="304"/>
    </row>
    <row r="1391">
      <c r="A1391" s="302" t="s">
        <v>47</v>
      </c>
      <c r="B1391" s="291" t="s">
        <v>8607</v>
      </c>
      <c r="C1391" s="292" t="s">
        <v>48</v>
      </c>
      <c r="D1391" s="293">
        <f t="shared" si="2"/>
        <v>1</v>
      </c>
      <c r="E1391" s="294"/>
      <c r="F1391" s="295" t="str">
        <f>IFERROR(__xludf.DUMMYFUNCTION("IF(B1391="""","""",IFERROR(VLOOKUP(TO_TEXT(B1391),PEDIDOS!D:I,6,0),IFERROR(VLOOKUP(B1391*1,PEDIDOS!D:I,6,0),"" "")))"),"ENTREGUE")</f>
        <v>ENTREGUE</v>
      </c>
      <c r="G1391" s="303"/>
      <c r="H1391" s="304"/>
    </row>
    <row r="1392">
      <c r="A1392" s="302" t="s">
        <v>47</v>
      </c>
      <c r="B1392" s="291" t="s">
        <v>6914</v>
      </c>
      <c r="C1392" s="292" t="s">
        <v>48</v>
      </c>
      <c r="D1392" s="293">
        <f t="shared" si="2"/>
        <v>1</v>
      </c>
      <c r="E1392" s="294"/>
      <c r="F1392" s="295" t="str">
        <f>IFERROR(__xludf.DUMMYFUNCTION("IF(B1392="""","""",IFERROR(VLOOKUP(TO_TEXT(B1392),PEDIDOS!D:I,6,0),IFERROR(VLOOKUP(B1392*1,PEDIDOS!D:I,6,0),"" "")))"),"ENTREGUE")</f>
        <v>ENTREGUE</v>
      </c>
      <c r="G1392" s="303"/>
      <c r="H1392" s="304"/>
    </row>
    <row r="1393">
      <c r="A1393" s="302" t="s">
        <v>47</v>
      </c>
      <c r="B1393" s="291" t="s">
        <v>11112</v>
      </c>
      <c r="C1393" s="292" t="s">
        <v>48</v>
      </c>
      <c r="D1393" s="293">
        <f t="shared" si="2"/>
        <v>1</v>
      </c>
      <c r="E1393" s="294"/>
      <c r="F1393" s="295" t="str">
        <f>IFERROR(__xludf.DUMMYFUNCTION("IF(B1393="""","""",IFERROR(VLOOKUP(TO_TEXT(B1393),PEDIDOS!D:I,6,0),IFERROR(VLOOKUP(B1393*1,PEDIDOS!D:I,6,0),"" "")))"),"ENTREGUE")</f>
        <v>ENTREGUE</v>
      </c>
      <c r="G1393" s="303"/>
      <c r="H1393" s="304"/>
    </row>
    <row r="1394">
      <c r="A1394" s="302" t="s">
        <v>47</v>
      </c>
      <c r="B1394" s="291" t="s">
        <v>6866</v>
      </c>
      <c r="C1394" s="292" t="s">
        <v>48</v>
      </c>
      <c r="D1394" s="293">
        <f t="shared" si="2"/>
        <v>1</v>
      </c>
      <c r="E1394" s="294"/>
      <c r="F1394" s="295" t="str">
        <f>IFERROR(__xludf.DUMMYFUNCTION("IF(B1394="""","""",IFERROR(VLOOKUP(TO_TEXT(B1394),PEDIDOS!D:I,6,0),IFERROR(VLOOKUP(B1394*1,PEDIDOS!D:I,6,0),"" "")))"),"ENTREGUE")</f>
        <v>ENTREGUE</v>
      </c>
      <c r="G1394" s="303"/>
      <c r="H1394" s="304"/>
    </row>
    <row r="1395">
      <c r="A1395" s="302" t="s">
        <v>47</v>
      </c>
      <c r="B1395" s="291" t="s">
        <v>9667</v>
      </c>
      <c r="C1395" s="292" t="s">
        <v>48</v>
      </c>
      <c r="D1395" s="293">
        <f t="shared" si="2"/>
        <v>1</v>
      </c>
      <c r="E1395" s="294"/>
      <c r="F1395" s="295" t="str">
        <f>IFERROR(__xludf.DUMMYFUNCTION("IF(B1395="""","""",IFERROR(VLOOKUP(TO_TEXT(B1395),PEDIDOS!D:I,6,0),IFERROR(VLOOKUP(B1395*1,PEDIDOS!D:I,6,0),"" "")))"),"ENTREGUE")</f>
        <v>ENTREGUE</v>
      </c>
      <c r="G1395" s="303"/>
      <c r="H1395" s="304"/>
    </row>
    <row r="1396">
      <c r="A1396" s="302" t="s">
        <v>47</v>
      </c>
      <c r="B1396" s="291" t="s">
        <v>10822</v>
      </c>
      <c r="C1396" s="292" t="s">
        <v>48</v>
      </c>
      <c r="D1396" s="293">
        <f t="shared" si="2"/>
        <v>1</v>
      </c>
      <c r="E1396" s="294"/>
      <c r="F1396" s="295" t="str">
        <f>IFERROR(__xludf.DUMMYFUNCTION("IF(B1396="""","""",IFERROR(VLOOKUP(TO_TEXT(B1396),PEDIDOS!D:I,6,0),IFERROR(VLOOKUP(B1396*1,PEDIDOS!D:I,6,0),"" "")))"),"ENTREGUE")</f>
        <v>ENTREGUE</v>
      </c>
      <c r="G1396" s="303"/>
      <c r="H1396" s="304"/>
    </row>
    <row r="1397">
      <c r="A1397" s="302" t="s">
        <v>47</v>
      </c>
      <c r="B1397" s="291" t="s">
        <v>59</v>
      </c>
      <c r="C1397" s="292" t="s">
        <v>48</v>
      </c>
      <c r="D1397" s="293">
        <f t="shared" si="2"/>
        <v>1</v>
      </c>
      <c r="E1397" s="294"/>
      <c r="F1397" s="295" t="str">
        <f>IFERROR(__xludf.DUMMYFUNCTION("IF(B1397="""","""",IFERROR(VLOOKUP(TO_TEXT(B1397),PEDIDOS!D:I,6,0),IFERROR(VLOOKUP(B1397*1,PEDIDOS!D:I,6,0),"" "")))"),"FILIAL PARANA")</f>
        <v>FILIAL PARANA</v>
      </c>
      <c r="G1397" s="303"/>
      <c r="H1397" s="304"/>
    </row>
    <row r="1398">
      <c r="A1398" s="302" t="s">
        <v>47</v>
      </c>
      <c r="B1398" s="291" t="s">
        <v>8005</v>
      </c>
      <c r="C1398" s="292" t="s">
        <v>48</v>
      </c>
      <c r="D1398" s="293">
        <f t="shared" si="2"/>
        <v>1</v>
      </c>
      <c r="E1398" s="294"/>
      <c r="F1398" s="295" t="str">
        <f>IFERROR(__xludf.DUMMYFUNCTION("IF(B1398="""","""",IFERROR(VLOOKUP(TO_TEXT(B1398),PEDIDOS!D:I,6,0),IFERROR(VLOOKUP(B1398*1,PEDIDOS!D:I,6,0),"" "")))"),"ENTREGUE")</f>
        <v>ENTREGUE</v>
      </c>
      <c r="G1398" s="303"/>
      <c r="H1398" s="304"/>
    </row>
    <row r="1399">
      <c r="A1399" s="302" t="s">
        <v>47</v>
      </c>
      <c r="B1399" s="291" t="s">
        <v>7355</v>
      </c>
      <c r="C1399" s="292" t="s">
        <v>48</v>
      </c>
      <c r="D1399" s="293">
        <f t="shared" si="2"/>
        <v>1</v>
      </c>
      <c r="E1399" s="294"/>
      <c r="F1399" s="295" t="str">
        <f>IFERROR(__xludf.DUMMYFUNCTION("IF(B1399="""","""",IFERROR(VLOOKUP(TO_TEXT(B1399),PEDIDOS!D:I,6,0),IFERROR(VLOOKUP(B1399*1,PEDIDOS!D:I,6,0),"" "")))"),"ENTREGUE")</f>
        <v>ENTREGUE</v>
      </c>
      <c r="G1399" s="303"/>
      <c r="H1399" s="304"/>
    </row>
    <row r="1400">
      <c r="A1400" s="302" t="s">
        <v>47</v>
      </c>
      <c r="B1400" s="291" t="s">
        <v>6872</v>
      </c>
      <c r="C1400" s="292" t="s">
        <v>48</v>
      </c>
      <c r="D1400" s="293">
        <f t="shared" si="2"/>
        <v>1</v>
      </c>
      <c r="E1400" s="294"/>
      <c r="F1400" s="295" t="str">
        <f>IFERROR(__xludf.DUMMYFUNCTION("IF(B1400="""","""",IFERROR(VLOOKUP(TO_TEXT(B1400),PEDIDOS!D:I,6,0),IFERROR(VLOOKUP(B1400*1,PEDIDOS!D:I,6,0),"" "")))"),"ENTREGUE")</f>
        <v>ENTREGUE</v>
      </c>
      <c r="G1400" s="303"/>
      <c r="H1400" s="304"/>
    </row>
    <row r="1401">
      <c r="A1401" s="302" t="s">
        <v>47</v>
      </c>
      <c r="B1401" s="291" t="s">
        <v>10825</v>
      </c>
      <c r="C1401" s="292" t="s">
        <v>48</v>
      </c>
      <c r="D1401" s="293">
        <f t="shared" si="2"/>
        <v>1</v>
      </c>
      <c r="E1401" s="294"/>
      <c r="F1401" s="295" t="str">
        <f>IFERROR(__xludf.DUMMYFUNCTION("IF(B1401="""","""",IFERROR(VLOOKUP(TO_TEXT(B1401),PEDIDOS!D:I,6,0),IFERROR(VLOOKUP(B1401*1,PEDIDOS!D:I,6,0),"" "")))"),"ENTREGUE")</f>
        <v>ENTREGUE</v>
      </c>
      <c r="G1401" s="303"/>
      <c r="H1401" s="304"/>
    </row>
    <row r="1402">
      <c r="A1402" s="302" t="s">
        <v>47</v>
      </c>
      <c r="B1402" s="291" t="s">
        <v>11640</v>
      </c>
      <c r="C1402" s="292" t="s">
        <v>48</v>
      </c>
      <c r="D1402" s="293">
        <f t="shared" si="2"/>
        <v>1</v>
      </c>
      <c r="E1402" s="294"/>
      <c r="F1402" s="295" t="str">
        <f>IFERROR(__xludf.DUMMYFUNCTION("IF(B1402="""","""",IFERROR(VLOOKUP(TO_TEXT(B1402),PEDIDOS!D:I,6,0),IFERROR(VLOOKUP(B1402*1,PEDIDOS!D:I,6,0),"" "")))"),"ENTREGUE")</f>
        <v>ENTREGUE</v>
      </c>
      <c r="G1402" s="303"/>
      <c r="H1402" s="304"/>
    </row>
    <row r="1403">
      <c r="A1403" s="302" t="s">
        <v>47</v>
      </c>
      <c r="B1403" s="291" t="s">
        <v>23373</v>
      </c>
      <c r="C1403" s="292" t="s">
        <v>48</v>
      </c>
      <c r="D1403" s="293">
        <f t="shared" si="2"/>
        <v>1</v>
      </c>
      <c r="E1403" s="294"/>
      <c r="F1403" s="295" t="str">
        <f>IFERROR(__xludf.DUMMYFUNCTION("IF(B1403="""","""",IFERROR(VLOOKUP(TO_TEXT(B1403),PEDIDOS!D:I,6,0),IFERROR(VLOOKUP(B1403*1,PEDIDOS!D:I,6,0),"" "")))")," ")</f>
        <v> </v>
      </c>
      <c r="G1403" s="303" t="s">
        <v>23334</v>
      </c>
      <c r="H1403" s="304"/>
    </row>
    <row r="1404">
      <c r="A1404" s="302" t="s">
        <v>3441</v>
      </c>
      <c r="B1404" s="291" t="s">
        <v>8517</v>
      </c>
      <c r="C1404" s="292" t="s">
        <v>48</v>
      </c>
      <c r="D1404" s="293">
        <f t="shared" si="2"/>
        <v>1</v>
      </c>
      <c r="E1404" s="294"/>
      <c r="F1404" s="295" t="str">
        <f>IFERROR(__xludf.DUMMYFUNCTION("IF(B1404="""","""",IFERROR(VLOOKUP(TO_TEXT(B1404),PEDIDOS!D:I,6,0),IFERROR(VLOOKUP(B1404*1,PEDIDOS!D:I,6,0),"" "")))"),"ENTREGUE")</f>
        <v>ENTREGUE</v>
      </c>
      <c r="G1404" s="303"/>
      <c r="H1404" s="304"/>
    </row>
    <row r="1405">
      <c r="A1405" s="302" t="s">
        <v>3441</v>
      </c>
      <c r="B1405" s="291" t="s">
        <v>8385</v>
      </c>
      <c r="C1405" s="292" t="s">
        <v>48</v>
      </c>
      <c r="D1405" s="293">
        <f t="shared" si="2"/>
        <v>1</v>
      </c>
      <c r="E1405" s="294"/>
      <c r="F1405" s="295" t="str">
        <f>IFERROR(__xludf.DUMMYFUNCTION("IF(B1405="""","""",IFERROR(VLOOKUP(TO_TEXT(B1405),PEDIDOS!D:I,6,0),IFERROR(VLOOKUP(B1405*1,PEDIDOS!D:I,6,0),"" "")))"),"ENTREGUE")</f>
        <v>ENTREGUE</v>
      </c>
      <c r="G1405" s="303"/>
      <c r="H1405" s="304"/>
    </row>
    <row r="1406">
      <c r="A1406" s="302" t="s">
        <v>3441</v>
      </c>
      <c r="B1406" s="291" t="s">
        <v>9905</v>
      </c>
      <c r="C1406" s="292" t="s">
        <v>48</v>
      </c>
      <c r="D1406" s="293">
        <f t="shared" si="2"/>
        <v>1</v>
      </c>
      <c r="E1406" s="294"/>
      <c r="F1406" s="295" t="str">
        <f>IFERROR(__xludf.DUMMYFUNCTION("IF(B1406="""","""",IFERROR(VLOOKUP(TO_TEXT(B1406),PEDIDOS!D:I,6,0),IFERROR(VLOOKUP(B1406*1,PEDIDOS!D:I,6,0),"" "")))"),"ENTREGUE")</f>
        <v>ENTREGUE</v>
      </c>
      <c r="G1406" s="303"/>
      <c r="H1406" s="304"/>
    </row>
    <row r="1407">
      <c r="A1407" s="302" t="s">
        <v>3441</v>
      </c>
      <c r="B1407" s="291" t="s">
        <v>8389</v>
      </c>
      <c r="C1407" s="292" t="s">
        <v>48</v>
      </c>
      <c r="D1407" s="293">
        <f t="shared" si="2"/>
        <v>1</v>
      </c>
      <c r="E1407" s="294"/>
      <c r="F1407" s="295" t="str">
        <f>IFERROR(__xludf.DUMMYFUNCTION("IF(B1407="""","""",IFERROR(VLOOKUP(TO_TEXT(B1407),PEDIDOS!D:I,6,0),IFERROR(VLOOKUP(B1407*1,PEDIDOS!D:I,6,0),"" "")))"),"ENTREGUE")</f>
        <v>ENTREGUE</v>
      </c>
      <c r="G1407" s="303"/>
      <c r="H1407" s="304"/>
    </row>
    <row r="1408">
      <c r="A1408" s="302" t="s">
        <v>3441</v>
      </c>
      <c r="B1408" s="291" t="s">
        <v>8107</v>
      </c>
      <c r="C1408" s="292" t="s">
        <v>48</v>
      </c>
      <c r="D1408" s="293">
        <f t="shared" si="2"/>
        <v>1</v>
      </c>
      <c r="E1408" s="294"/>
      <c r="F1408" s="295" t="str">
        <f>IFERROR(__xludf.DUMMYFUNCTION("IF(B1408="""","""",IFERROR(VLOOKUP(TO_TEXT(B1408),PEDIDOS!D:I,6,0),IFERROR(VLOOKUP(B1408*1,PEDIDOS!D:I,6,0),"" "")))"),"ENTREGUE")</f>
        <v>ENTREGUE</v>
      </c>
      <c r="G1408" s="303"/>
      <c r="H1408" s="304"/>
    </row>
    <row r="1409">
      <c r="A1409" s="302" t="s">
        <v>3441</v>
      </c>
      <c r="B1409" s="291" t="s">
        <v>8254</v>
      </c>
      <c r="C1409" s="292" t="s">
        <v>48</v>
      </c>
      <c r="D1409" s="293">
        <f t="shared" si="2"/>
        <v>1</v>
      </c>
      <c r="E1409" s="294"/>
      <c r="F1409" s="295" t="str">
        <f>IFERROR(__xludf.DUMMYFUNCTION("IF(B1409="""","""",IFERROR(VLOOKUP(TO_TEXT(B1409),PEDIDOS!D:I,6,0),IFERROR(VLOOKUP(B1409*1,PEDIDOS!D:I,6,0),"" "")))"),"ENTREGUE")</f>
        <v>ENTREGUE</v>
      </c>
      <c r="G1409" s="303"/>
      <c r="H1409" s="304"/>
    </row>
    <row r="1410">
      <c r="A1410" s="302" t="s">
        <v>3441</v>
      </c>
      <c r="B1410" s="291" t="s">
        <v>8750</v>
      </c>
      <c r="C1410" s="292" t="s">
        <v>48</v>
      </c>
      <c r="D1410" s="293">
        <f t="shared" si="2"/>
        <v>1</v>
      </c>
      <c r="E1410" s="294"/>
      <c r="F1410" s="295" t="str">
        <f>IFERROR(__xludf.DUMMYFUNCTION("IF(B1410="""","""",IFERROR(VLOOKUP(TO_TEXT(B1410),PEDIDOS!D:I,6,0),IFERROR(VLOOKUP(B1410*1,PEDIDOS!D:I,6,0),"" "")))"),"ENTREGUE")</f>
        <v>ENTREGUE</v>
      </c>
      <c r="G1410" s="303"/>
      <c r="H1410" s="304"/>
    </row>
    <row r="1411">
      <c r="A1411" s="302" t="s">
        <v>3441</v>
      </c>
      <c r="B1411" s="291" t="s">
        <v>8113</v>
      </c>
      <c r="C1411" s="292" t="s">
        <v>48</v>
      </c>
      <c r="D1411" s="293">
        <f t="shared" si="2"/>
        <v>1</v>
      </c>
      <c r="E1411" s="294"/>
      <c r="F1411" s="295" t="str">
        <f>IFERROR(__xludf.DUMMYFUNCTION("IF(B1411="""","""",IFERROR(VLOOKUP(TO_TEXT(B1411),PEDIDOS!D:I,6,0),IFERROR(VLOOKUP(B1411*1,PEDIDOS!D:I,6,0),"" "")))"),"ENTREGUE")</f>
        <v>ENTREGUE</v>
      </c>
      <c r="G1411" s="303"/>
      <c r="H1411" s="304"/>
    </row>
    <row r="1412">
      <c r="A1412" s="302" t="s">
        <v>3441</v>
      </c>
      <c r="B1412" s="291" t="s">
        <v>8097</v>
      </c>
      <c r="C1412" s="292" t="s">
        <v>48</v>
      </c>
      <c r="D1412" s="293">
        <f t="shared" si="2"/>
        <v>1</v>
      </c>
      <c r="E1412" s="294"/>
      <c r="F1412" s="295" t="str">
        <f>IFERROR(__xludf.DUMMYFUNCTION("IF(B1412="""","""",IFERROR(VLOOKUP(TO_TEXT(B1412),PEDIDOS!D:I,6,0),IFERROR(VLOOKUP(B1412*1,PEDIDOS!D:I,6,0),"" "")))"),"ENTREGUE")</f>
        <v>ENTREGUE</v>
      </c>
      <c r="G1412" s="303"/>
      <c r="H1412" s="304"/>
    </row>
    <row r="1413">
      <c r="A1413" s="302" t="s">
        <v>3441</v>
      </c>
      <c r="B1413" s="291" t="s">
        <v>8100</v>
      </c>
      <c r="C1413" s="292" t="s">
        <v>48</v>
      </c>
      <c r="D1413" s="293">
        <f t="shared" si="2"/>
        <v>1</v>
      </c>
      <c r="E1413" s="294"/>
      <c r="F1413" s="295" t="str">
        <f>IFERROR(__xludf.DUMMYFUNCTION("IF(B1413="""","""",IFERROR(VLOOKUP(TO_TEXT(B1413),PEDIDOS!D:I,6,0),IFERROR(VLOOKUP(B1413*1,PEDIDOS!D:I,6,0),"" "")))"),"ENTREGUE")</f>
        <v>ENTREGUE</v>
      </c>
      <c r="G1413" s="303"/>
      <c r="H1413" s="304"/>
    </row>
    <row r="1414">
      <c r="A1414" s="302" t="s">
        <v>3441</v>
      </c>
      <c r="B1414" s="291" t="s">
        <v>8116</v>
      </c>
      <c r="C1414" s="292" t="s">
        <v>48</v>
      </c>
      <c r="D1414" s="293">
        <f t="shared" si="2"/>
        <v>1</v>
      </c>
      <c r="E1414" s="294"/>
      <c r="F1414" s="295" t="str">
        <f>IFERROR(__xludf.DUMMYFUNCTION("IF(B1414="""","""",IFERROR(VLOOKUP(TO_TEXT(B1414),PEDIDOS!D:I,6,0),IFERROR(VLOOKUP(B1414*1,PEDIDOS!D:I,6,0),"" "")))"),"ENTREGUE")</f>
        <v>ENTREGUE</v>
      </c>
      <c r="G1414" s="303"/>
      <c r="H1414" s="304"/>
    </row>
    <row r="1415">
      <c r="A1415" s="302" t="s">
        <v>3441</v>
      </c>
      <c r="B1415" s="291" t="s">
        <v>6257</v>
      </c>
      <c r="C1415" s="292" t="s">
        <v>48</v>
      </c>
      <c r="D1415" s="293">
        <f t="shared" si="2"/>
        <v>1</v>
      </c>
      <c r="E1415" s="294"/>
      <c r="F1415" s="295" t="str">
        <f>IFERROR(__xludf.DUMMYFUNCTION("IF(B1415="""","""",IFERROR(VLOOKUP(TO_TEXT(B1415),PEDIDOS!D:I,6,0),IFERROR(VLOOKUP(B1415*1,PEDIDOS!D:I,6,0),"" "")))"),"ENTREGUE")</f>
        <v>ENTREGUE</v>
      </c>
      <c r="G1415" s="303"/>
      <c r="H1415" s="304"/>
    </row>
    <row r="1416">
      <c r="A1416" s="302" t="s">
        <v>3441</v>
      </c>
      <c r="B1416" s="291" t="s">
        <v>8090</v>
      </c>
      <c r="C1416" s="292" t="s">
        <v>48</v>
      </c>
      <c r="D1416" s="293">
        <f t="shared" si="2"/>
        <v>1</v>
      </c>
      <c r="E1416" s="294"/>
      <c r="F1416" s="295" t="str">
        <f>IFERROR(__xludf.DUMMYFUNCTION("IF(B1416="""","""",IFERROR(VLOOKUP(TO_TEXT(B1416),PEDIDOS!D:I,6,0),IFERROR(VLOOKUP(B1416*1,PEDIDOS!D:I,6,0),"" "")))"),"ENTREGUE")</f>
        <v>ENTREGUE</v>
      </c>
      <c r="G1416" s="303"/>
      <c r="H1416" s="304"/>
    </row>
    <row r="1417">
      <c r="A1417" s="302" t="s">
        <v>3441</v>
      </c>
      <c r="B1417" s="291" t="s">
        <v>8687</v>
      </c>
      <c r="C1417" s="292" t="s">
        <v>48</v>
      </c>
      <c r="D1417" s="293">
        <f t="shared" si="2"/>
        <v>1</v>
      </c>
      <c r="E1417" s="294"/>
      <c r="F1417" s="295" t="str">
        <f>IFERROR(__xludf.DUMMYFUNCTION("IF(B1417="""","""",IFERROR(VLOOKUP(TO_TEXT(B1417),PEDIDOS!D:I,6,0),IFERROR(VLOOKUP(B1417*1,PEDIDOS!D:I,6,0),"" "")))"),"ENTREGUE")</f>
        <v>ENTREGUE</v>
      </c>
      <c r="G1417" s="303"/>
      <c r="H1417" s="304"/>
    </row>
    <row r="1418">
      <c r="A1418" s="302" t="s">
        <v>3441</v>
      </c>
      <c r="B1418" s="291" t="s">
        <v>8094</v>
      </c>
      <c r="C1418" s="292" t="s">
        <v>48</v>
      </c>
      <c r="D1418" s="293">
        <f t="shared" si="2"/>
        <v>1</v>
      </c>
      <c r="E1418" s="294"/>
      <c r="F1418" s="295" t="str">
        <f>IFERROR(__xludf.DUMMYFUNCTION("IF(B1418="""","""",IFERROR(VLOOKUP(TO_TEXT(B1418),PEDIDOS!D:I,6,0),IFERROR(VLOOKUP(B1418*1,PEDIDOS!D:I,6,0),"" "")))"),"ENTREGUE")</f>
        <v>ENTREGUE</v>
      </c>
      <c r="G1418" s="303"/>
      <c r="H1418" s="304"/>
    </row>
    <row r="1419">
      <c r="A1419" s="302" t="s">
        <v>3441</v>
      </c>
      <c r="B1419" s="291" t="s">
        <v>9632</v>
      </c>
      <c r="C1419" s="292" t="s">
        <v>48</v>
      </c>
      <c r="D1419" s="293">
        <f t="shared" si="2"/>
        <v>1</v>
      </c>
      <c r="E1419" s="294"/>
      <c r="F1419" s="295" t="str">
        <f>IFERROR(__xludf.DUMMYFUNCTION("IF(B1419="""","""",IFERROR(VLOOKUP(TO_TEXT(B1419),PEDIDOS!D:I,6,0),IFERROR(VLOOKUP(B1419*1,PEDIDOS!D:I,6,0),"" "")))"),"ENTREGUE")</f>
        <v>ENTREGUE</v>
      </c>
      <c r="G1419" s="303"/>
      <c r="H1419" s="304"/>
    </row>
    <row r="1420">
      <c r="A1420" s="302" t="s">
        <v>3441</v>
      </c>
      <c r="B1420" s="291" t="s">
        <v>8336</v>
      </c>
      <c r="C1420" s="292" t="s">
        <v>48</v>
      </c>
      <c r="D1420" s="293">
        <f t="shared" si="2"/>
        <v>1</v>
      </c>
      <c r="E1420" s="294"/>
      <c r="F1420" s="295" t="str">
        <f>IFERROR(__xludf.DUMMYFUNCTION("IF(B1420="""","""",IFERROR(VLOOKUP(TO_TEXT(B1420),PEDIDOS!D:I,6,0),IFERROR(VLOOKUP(B1420*1,PEDIDOS!D:I,6,0),"" "")))"),"ENTREGUE")</f>
        <v>ENTREGUE</v>
      </c>
      <c r="G1420" s="303"/>
      <c r="H1420" s="304"/>
    </row>
    <row r="1421">
      <c r="A1421" s="302" t="s">
        <v>3441</v>
      </c>
      <c r="B1421" s="291" t="s">
        <v>8110</v>
      </c>
      <c r="C1421" s="292" t="s">
        <v>48</v>
      </c>
      <c r="D1421" s="293">
        <f t="shared" si="2"/>
        <v>1</v>
      </c>
      <c r="E1421" s="294"/>
      <c r="F1421" s="295" t="str">
        <f>IFERROR(__xludf.DUMMYFUNCTION("IF(B1421="""","""",IFERROR(VLOOKUP(TO_TEXT(B1421),PEDIDOS!D:I,6,0),IFERROR(VLOOKUP(B1421*1,PEDIDOS!D:I,6,0),"" "")))"),"ENTREGUE")</f>
        <v>ENTREGUE</v>
      </c>
      <c r="G1421" s="303"/>
      <c r="H1421" s="304"/>
    </row>
    <row r="1422">
      <c r="A1422" s="302" t="s">
        <v>3441</v>
      </c>
      <c r="B1422" s="291" t="s">
        <v>8988</v>
      </c>
      <c r="C1422" s="292" t="s">
        <v>48</v>
      </c>
      <c r="D1422" s="293">
        <f t="shared" si="2"/>
        <v>1</v>
      </c>
      <c r="E1422" s="294"/>
      <c r="F1422" s="295" t="str">
        <f>IFERROR(__xludf.DUMMYFUNCTION("IF(B1422="""","""",IFERROR(VLOOKUP(TO_TEXT(B1422),PEDIDOS!D:I,6,0),IFERROR(VLOOKUP(B1422*1,PEDIDOS!D:I,6,0),"" "")))"),"ENTREGUE")</f>
        <v>ENTREGUE</v>
      </c>
      <c r="G1422" s="303"/>
      <c r="H1422" s="304"/>
    </row>
    <row r="1423">
      <c r="A1423" s="302" t="s">
        <v>3441</v>
      </c>
      <c r="B1423" s="291" t="s">
        <v>9080</v>
      </c>
      <c r="C1423" s="292" t="s">
        <v>48</v>
      </c>
      <c r="D1423" s="293">
        <f t="shared" si="2"/>
        <v>1</v>
      </c>
      <c r="E1423" s="294"/>
      <c r="F1423" s="295" t="str">
        <f>IFERROR(__xludf.DUMMYFUNCTION("IF(B1423="""","""",IFERROR(VLOOKUP(TO_TEXT(B1423),PEDIDOS!D:I,6,0),IFERROR(VLOOKUP(B1423*1,PEDIDOS!D:I,6,0),"" "")))"),"ENTREGUE")</f>
        <v>ENTREGUE</v>
      </c>
      <c r="G1423" s="303"/>
      <c r="H1423" s="304"/>
    </row>
    <row r="1424">
      <c r="A1424" s="302" t="s">
        <v>85</v>
      </c>
      <c r="B1424" s="291" t="s">
        <v>9068</v>
      </c>
      <c r="C1424" s="292" t="s">
        <v>48</v>
      </c>
      <c r="D1424" s="293">
        <f t="shared" si="2"/>
        <v>1</v>
      </c>
      <c r="E1424" s="294"/>
      <c r="F1424" s="295" t="str">
        <f>IFERROR(__xludf.DUMMYFUNCTION("IF(B1424="""","""",IFERROR(VLOOKUP(TO_TEXT(B1424),PEDIDOS!D:I,6,0),IFERROR(VLOOKUP(B1424*1,PEDIDOS!D:I,6,0),"" "")))"),"ENTREGUE")</f>
        <v>ENTREGUE</v>
      </c>
      <c r="G1424" s="303"/>
      <c r="H1424" s="304"/>
    </row>
    <row r="1425">
      <c r="A1425" s="302" t="s">
        <v>85</v>
      </c>
      <c r="B1425" s="291" t="s">
        <v>9077</v>
      </c>
      <c r="C1425" s="292" t="s">
        <v>48</v>
      </c>
      <c r="D1425" s="293">
        <f t="shared" si="2"/>
        <v>1</v>
      </c>
      <c r="E1425" s="294"/>
      <c r="F1425" s="295" t="str">
        <f>IFERROR(__xludf.DUMMYFUNCTION("IF(B1425="""","""",IFERROR(VLOOKUP(TO_TEXT(B1425),PEDIDOS!D:I,6,0),IFERROR(VLOOKUP(B1425*1,PEDIDOS!D:I,6,0),"" "")))"),"ENTREGUE")</f>
        <v>ENTREGUE</v>
      </c>
      <c r="G1425" s="303"/>
      <c r="H1425" s="304"/>
    </row>
    <row r="1426">
      <c r="A1426" s="302" t="s">
        <v>85</v>
      </c>
      <c r="B1426" s="291" t="s">
        <v>8696</v>
      </c>
      <c r="C1426" s="292" t="s">
        <v>48</v>
      </c>
      <c r="D1426" s="293">
        <f t="shared" si="2"/>
        <v>1</v>
      </c>
      <c r="E1426" s="294"/>
      <c r="F1426" s="295" t="str">
        <f>IFERROR(__xludf.DUMMYFUNCTION("IF(B1426="""","""",IFERROR(VLOOKUP(TO_TEXT(B1426),PEDIDOS!D:I,6,0),IFERROR(VLOOKUP(B1426*1,PEDIDOS!D:I,6,0),"" "")))"),"ENTREGUE")</f>
        <v>ENTREGUE</v>
      </c>
      <c r="G1426" s="303"/>
      <c r="H1426" s="304"/>
    </row>
    <row r="1427">
      <c r="A1427" s="302" t="s">
        <v>85</v>
      </c>
      <c r="B1427" s="291" t="s">
        <v>8798</v>
      </c>
      <c r="C1427" s="292" t="s">
        <v>48</v>
      </c>
      <c r="D1427" s="293">
        <f t="shared" si="2"/>
        <v>1</v>
      </c>
      <c r="E1427" s="294"/>
      <c r="F1427" s="295" t="str">
        <f>IFERROR(__xludf.DUMMYFUNCTION("IF(B1427="""","""",IFERROR(VLOOKUP(TO_TEXT(B1427),PEDIDOS!D:I,6,0),IFERROR(VLOOKUP(B1427*1,PEDIDOS!D:I,6,0),"" "")))"),"ENTREGUE")</f>
        <v>ENTREGUE</v>
      </c>
      <c r="G1427" s="303"/>
      <c r="H1427" s="304"/>
    </row>
    <row r="1428">
      <c r="A1428" s="302" t="s">
        <v>85</v>
      </c>
      <c r="B1428" s="291" t="s">
        <v>8802</v>
      </c>
      <c r="C1428" s="292" t="s">
        <v>48</v>
      </c>
      <c r="D1428" s="293">
        <f t="shared" si="2"/>
        <v>1</v>
      </c>
      <c r="E1428" s="294"/>
      <c r="F1428" s="295" t="str">
        <f>IFERROR(__xludf.DUMMYFUNCTION("IF(B1428="""","""",IFERROR(VLOOKUP(TO_TEXT(B1428),PEDIDOS!D:I,6,0),IFERROR(VLOOKUP(B1428*1,PEDIDOS!D:I,6,0),"" "")))"),"ENTREGUE")</f>
        <v>ENTREGUE</v>
      </c>
      <c r="G1428" s="303"/>
      <c r="H1428" s="304"/>
    </row>
    <row r="1429">
      <c r="A1429" s="302" t="s">
        <v>85</v>
      </c>
      <c r="B1429" s="291" t="s">
        <v>9416</v>
      </c>
      <c r="C1429" s="292" t="s">
        <v>48</v>
      </c>
      <c r="D1429" s="293">
        <f t="shared" si="2"/>
        <v>1</v>
      </c>
      <c r="E1429" s="294"/>
      <c r="F1429" s="295" t="str">
        <f>IFERROR(__xludf.DUMMYFUNCTION("IF(B1429="""","""",IFERROR(VLOOKUP(TO_TEXT(B1429),PEDIDOS!D:I,6,0),IFERROR(VLOOKUP(B1429*1,PEDIDOS!D:I,6,0),"" "")))"),"ENTREGUE")</f>
        <v>ENTREGUE</v>
      </c>
      <c r="G1429" s="303"/>
      <c r="H1429" s="304"/>
    </row>
    <row r="1430">
      <c r="A1430" s="302" t="s">
        <v>85</v>
      </c>
      <c r="B1430" s="291" t="s">
        <v>9007</v>
      </c>
      <c r="C1430" s="292" t="s">
        <v>48</v>
      </c>
      <c r="D1430" s="293">
        <f t="shared" si="2"/>
        <v>1</v>
      </c>
      <c r="E1430" s="294"/>
      <c r="F1430" s="295" t="str">
        <f>IFERROR(__xludf.DUMMYFUNCTION("IF(B1430="""","""",IFERROR(VLOOKUP(TO_TEXT(B1430),PEDIDOS!D:I,6,0),IFERROR(VLOOKUP(B1430*1,PEDIDOS!D:I,6,0),"" "")))"),"ENTREGUE")</f>
        <v>ENTREGUE</v>
      </c>
      <c r="G1430" s="303"/>
      <c r="H1430" s="304"/>
    </row>
    <row r="1431">
      <c r="A1431" s="302" t="s">
        <v>85</v>
      </c>
      <c r="B1431" s="291" t="s">
        <v>9185</v>
      </c>
      <c r="C1431" s="292" t="s">
        <v>48</v>
      </c>
      <c r="D1431" s="293">
        <f t="shared" si="2"/>
        <v>1</v>
      </c>
      <c r="E1431" s="294"/>
      <c r="F1431" s="295" t="str">
        <f>IFERROR(__xludf.DUMMYFUNCTION("IF(B1431="""","""",IFERROR(VLOOKUP(TO_TEXT(B1431),PEDIDOS!D:I,6,0),IFERROR(VLOOKUP(B1431*1,PEDIDOS!D:I,6,0),"" "")))"),"ENTREGUE")</f>
        <v>ENTREGUE</v>
      </c>
      <c r="G1431" s="303"/>
      <c r="H1431" s="304"/>
    </row>
    <row r="1432">
      <c r="A1432" s="302" t="s">
        <v>85</v>
      </c>
      <c r="B1432" s="291" t="s">
        <v>105</v>
      </c>
      <c r="C1432" s="292" t="s">
        <v>48</v>
      </c>
      <c r="D1432" s="293">
        <f t="shared" si="2"/>
        <v>1</v>
      </c>
      <c r="E1432" s="294"/>
      <c r="F1432" s="295" t="str">
        <f>IFERROR(__xludf.DUMMYFUNCTION("IF(B1432="""","""",IFERROR(VLOOKUP(TO_TEXT(B1432),PEDIDOS!D:I,6,0),IFERROR(VLOOKUP(B1432*1,PEDIDOS!D:I,6,0),"" "")))"),"ENTREGUE")</f>
        <v>ENTREGUE</v>
      </c>
      <c r="G1432" s="303"/>
      <c r="H1432" s="304"/>
    </row>
    <row r="1433">
      <c r="A1433" s="302" t="s">
        <v>85</v>
      </c>
      <c r="B1433" s="291" t="s">
        <v>9071</v>
      </c>
      <c r="C1433" s="292" t="s">
        <v>48</v>
      </c>
      <c r="D1433" s="293">
        <f t="shared" si="2"/>
        <v>1</v>
      </c>
      <c r="E1433" s="294"/>
      <c r="F1433" s="295" t="str">
        <f>IFERROR(__xludf.DUMMYFUNCTION("IF(B1433="""","""",IFERROR(VLOOKUP(TO_TEXT(B1433),PEDIDOS!D:I,6,0),IFERROR(VLOOKUP(B1433*1,PEDIDOS!D:I,6,0),"" "")))"),"ENTREGUE")</f>
        <v>ENTREGUE</v>
      </c>
      <c r="G1433" s="303"/>
      <c r="H1433" s="304"/>
    </row>
    <row r="1434">
      <c r="A1434" s="302" t="s">
        <v>85</v>
      </c>
      <c r="B1434" s="291" t="s">
        <v>9074</v>
      </c>
      <c r="C1434" s="292" t="s">
        <v>48</v>
      </c>
      <c r="D1434" s="293">
        <f t="shared" si="2"/>
        <v>1</v>
      </c>
      <c r="E1434" s="294"/>
      <c r="F1434" s="295" t="str">
        <f>IFERROR(__xludf.DUMMYFUNCTION("IF(B1434="""","""",IFERROR(VLOOKUP(TO_TEXT(B1434),PEDIDOS!D:I,6,0),IFERROR(VLOOKUP(B1434*1,PEDIDOS!D:I,6,0),"" "")))"),"ENTREGUE")</f>
        <v>ENTREGUE</v>
      </c>
      <c r="G1434" s="303"/>
      <c r="H1434" s="304"/>
    </row>
    <row r="1435">
      <c r="A1435" s="302" t="s">
        <v>85</v>
      </c>
      <c r="B1435" s="291" t="s">
        <v>9022</v>
      </c>
      <c r="C1435" s="292" t="s">
        <v>48</v>
      </c>
      <c r="D1435" s="293">
        <f t="shared" si="2"/>
        <v>1</v>
      </c>
      <c r="E1435" s="294"/>
      <c r="F1435" s="295" t="str">
        <f>IFERROR(__xludf.DUMMYFUNCTION("IF(B1435="""","""",IFERROR(VLOOKUP(TO_TEXT(B1435),PEDIDOS!D:I,6,0),IFERROR(VLOOKUP(B1435*1,PEDIDOS!D:I,6,0),"" "")))"),"ENTREGUE")</f>
        <v>ENTREGUE</v>
      </c>
      <c r="G1435" s="303"/>
      <c r="H1435" s="304"/>
    </row>
    <row r="1436">
      <c r="A1436" s="302" t="s">
        <v>85</v>
      </c>
      <c r="B1436" s="291" t="s">
        <v>8944</v>
      </c>
      <c r="C1436" s="292" t="s">
        <v>48</v>
      </c>
      <c r="D1436" s="293">
        <f t="shared" si="2"/>
        <v>1</v>
      </c>
      <c r="E1436" s="294"/>
      <c r="F1436" s="295" t="str">
        <f>IFERROR(__xludf.DUMMYFUNCTION("IF(B1436="""","""",IFERROR(VLOOKUP(TO_TEXT(B1436),PEDIDOS!D:I,6,0),IFERROR(VLOOKUP(B1436*1,PEDIDOS!D:I,6,0),"" "")))"),"ENTREGUE")</f>
        <v>ENTREGUE</v>
      </c>
      <c r="G1436" s="303"/>
      <c r="H1436" s="304"/>
    </row>
    <row r="1437">
      <c r="A1437" s="302" t="s">
        <v>85</v>
      </c>
      <c r="B1437" s="291" t="s">
        <v>9064</v>
      </c>
      <c r="C1437" s="292" t="s">
        <v>48</v>
      </c>
      <c r="D1437" s="293">
        <f t="shared" si="2"/>
        <v>1</v>
      </c>
      <c r="E1437" s="294"/>
      <c r="F1437" s="295" t="str">
        <f>IFERROR(__xludf.DUMMYFUNCTION("IF(B1437="""","""",IFERROR(VLOOKUP(TO_TEXT(B1437),PEDIDOS!D:I,6,0),IFERROR(VLOOKUP(B1437*1,PEDIDOS!D:I,6,0),"" "")))"),"ENTREGUE")</f>
        <v>ENTREGUE</v>
      </c>
      <c r="G1437" s="303"/>
      <c r="H1437" s="304"/>
    </row>
    <row r="1438">
      <c r="A1438" s="302" t="s">
        <v>85</v>
      </c>
      <c r="B1438" s="291" t="s">
        <v>9015</v>
      </c>
      <c r="C1438" s="292" t="s">
        <v>48</v>
      </c>
      <c r="D1438" s="293">
        <f t="shared" si="2"/>
        <v>1</v>
      </c>
      <c r="E1438" s="294"/>
      <c r="F1438" s="295" t="str">
        <f>IFERROR(__xludf.DUMMYFUNCTION("IF(B1438="""","""",IFERROR(VLOOKUP(TO_TEXT(B1438),PEDIDOS!D:I,6,0),IFERROR(VLOOKUP(B1438*1,PEDIDOS!D:I,6,0),"" "")))"),"ENTREGUE")</f>
        <v>ENTREGUE</v>
      </c>
      <c r="G1438" s="303"/>
      <c r="H1438" s="304"/>
    </row>
    <row r="1439">
      <c r="A1439" s="302" t="s">
        <v>85</v>
      </c>
      <c r="B1439" s="291" t="s">
        <v>9046</v>
      </c>
      <c r="C1439" s="292" t="s">
        <v>48</v>
      </c>
      <c r="D1439" s="293">
        <f t="shared" si="2"/>
        <v>1</v>
      </c>
      <c r="E1439" s="294"/>
      <c r="F1439" s="295" t="str">
        <f>IFERROR(__xludf.DUMMYFUNCTION("IF(B1439="""","""",IFERROR(VLOOKUP(TO_TEXT(B1439),PEDIDOS!D:I,6,0),IFERROR(VLOOKUP(B1439*1,PEDIDOS!D:I,6,0),"" "")))"),"ENTREGUE")</f>
        <v>ENTREGUE</v>
      </c>
      <c r="G1439" s="303"/>
      <c r="H1439" s="304"/>
    </row>
    <row r="1440">
      <c r="A1440" s="302" t="s">
        <v>85</v>
      </c>
      <c r="B1440" s="291" t="s">
        <v>9226</v>
      </c>
      <c r="C1440" s="292" t="s">
        <v>48</v>
      </c>
      <c r="D1440" s="293">
        <f t="shared" si="2"/>
        <v>1</v>
      </c>
      <c r="E1440" s="294"/>
      <c r="F1440" s="295" t="str">
        <f>IFERROR(__xludf.DUMMYFUNCTION("IF(B1440="""","""",IFERROR(VLOOKUP(TO_TEXT(B1440),PEDIDOS!D:I,6,0),IFERROR(VLOOKUP(B1440*1,PEDIDOS!D:I,6,0),"" "")))"),"ENTREGUE")</f>
        <v>ENTREGUE</v>
      </c>
      <c r="G1440" s="303"/>
      <c r="H1440" s="304"/>
    </row>
    <row r="1441">
      <c r="A1441" s="302" t="s">
        <v>85</v>
      </c>
      <c r="B1441" s="291" t="s">
        <v>9547</v>
      </c>
      <c r="C1441" s="292" t="s">
        <v>48</v>
      </c>
      <c r="D1441" s="293">
        <f t="shared" si="2"/>
        <v>1</v>
      </c>
      <c r="E1441" s="294"/>
      <c r="F1441" s="295" t="str">
        <f>IFERROR(__xludf.DUMMYFUNCTION("IF(B1441="""","""",IFERROR(VLOOKUP(TO_TEXT(B1441),PEDIDOS!D:I,6,0),IFERROR(VLOOKUP(B1441*1,PEDIDOS!D:I,6,0),"" "")))"),"ENTREGUE")</f>
        <v>ENTREGUE</v>
      </c>
      <c r="G1441" s="303"/>
      <c r="H1441" s="304"/>
    </row>
    <row r="1442">
      <c r="A1442" s="302" t="s">
        <v>85</v>
      </c>
      <c r="B1442" s="291" t="s">
        <v>8917</v>
      </c>
      <c r="C1442" s="292" t="s">
        <v>48</v>
      </c>
      <c r="D1442" s="293">
        <f t="shared" si="2"/>
        <v>1</v>
      </c>
      <c r="E1442" s="294"/>
      <c r="F1442" s="295" t="str">
        <f>IFERROR(__xludf.DUMMYFUNCTION("IF(B1442="""","""",IFERROR(VLOOKUP(TO_TEXT(B1442),PEDIDOS!D:I,6,0),IFERROR(VLOOKUP(B1442*1,PEDIDOS!D:I,6,0),"" "")))"),"ENTREGUE")</f>
        <v>ENTREGUE</v>
      </c>
      <c r="G1442" s="303"/>
      <c r="H1442" s="304"/>
    </row>
    <row r="1443">
      <c r="A1443" s="302" t="s">
        <v>85</v>
      </c>
      <c r="B1443" s="291" t="s">
        <v>9585</v>
      </c>
      <c r="C1443" s="292" t="s">
        <v>48</v>
      </c>
      <c r="D1443" s="293">
        <f t="shared" si="2"/>
        <v>1</v>
      </c>
      <c r="E1443" s="294"/>
      <c r="F1443" s="295" t="str">
        <f>IFERROR(__xludf.DUMMYFUNCTION("IF(B1443="""","""",IFERROR(VLOOKUP(TO_TEXT(B1443),PEDIDOS!D:I,6,0),IFERROR(VLOOKUP(B1443*1,PEDIDOS!D:I,6,0),"" "")))"),"ENTREGUE")</f>
        <v>ENTREGUE</v>
      </c>
      <c r="G1443" s="303"/>
      <c r="H1443" s="304"/>
    </row>
    <row r="1444">
      <c r="A1444" s="302" t="s">
        <v>85</v>
      </c>
      <c r="B1444" s="291" t="s">
        <v>8930</v>
      </c>
      <c r="C1444" s="292" t="s">
        <v>48</v>
      </c>
      <c r="D1444" s="293">
        <f t="shared" si="2"/>
        <v>1</v>
      </c>
      <c r="E1444" s="294"/>
      <c r="F1444" s="295" t="str">
        <f>IFERROR(__xludf.DUMMYFUNCTION("IF(B1444="""","""",IFERROR(VLOOKUP(TO_TEXT(B1444),PEDIDOS!D:I,6,0),IFERROR(VLOOKUP(B1444*1,PEDIDOS!D:I,6,0),"" "")))"),"ENTREGUE")</f>
        <v>ENTREGUE</v>
      </c>
      <c r="G1444" s="303"/>
      <c r="H1444" s="304"/>
    </row>
    <row r="1445">
      <c r="A1445" s="302" t="s">
        <v>85</v>
      </c>
      <c r="B1445" s="291" t="s">
        <v>9306</v>
      </c>
      <c r="C1445" s="292" t="s">
        <v>48</v>
      </c>
      <c r="D1445" s="293">
        <f t="shared" si="2"/>
        <v>1</v>
      </c>
      <c r="E1445" s="294"/>
      <c r="F1445" s="295" t="str">
        <f>IFERROR(__xludf.DUMMYFUNCTION("IF(B1445="""","""",IFERROR(VLOOKUP(TO_TEXT(B1445),PEDIDOS!D:I,6,0),IFERROR(VLOOKUP(B1445*1,PEDIDOS!D:I,6,0),"" "")))"),"ENTREGUE")</f>
        <v>ENTREGUE</v>
      </c>
      <c r="G1445" s="303"/>
      <c r="H1445" s="304"/>
    </row>
    <row r="1446">
      <c r="A1446" s="302" t="s">
        <v>85</v>
      </c>
      <c r="B1446" s="291" t="s">
        <v>9042</v>
      </c>
      <c r="C1446" s="292" t="s">
        <v>48</v>
      </c>
      <c r="D1446" s="293">
        <f t="shared" si="2"/>
        <v>1</v>
      </c>
      <c r="E1446" s="294"/>
      <c r="F1446" s="295" t="str">
        <f>IFERROR(__xludf.DUMMYFUNCTION("IF(B1446="""","""",IFERROR(VLOOKUP(TO_TEXT(B1446),PEDIDOS!D:I,6,0),IFERROR(VLOOKUP(B1446*1,PEDIDOS!D:I,6,0),"" "")))"),"ENTREGUE")</f>
        <v>ENTREGUE</v>
      </c>
      <c r="G1446" s="303"/>
      <c r="H1446" s="304"/>
    </row>
    <row r="1447">
      <c r="A1447" s="302" t="s">
        <v>85</v>
      </c>
      <c r="B1447" s="291" t="s">
        <v>9003</v>
      </c>
      <c r="C1447" s="292" t="s">
        <v>48</v>
      </c>
      <c r="D1447" s="293">
        <f t="shared" si="2"/>
        <v>1</v>
      </c>
      <c r="E1447" s="294"/>
      <c r="F1447" s="295" t="str">
        <f>IFERROR(__xludf.DUMMYFUNCTION("IF(B1447="""","""",IFERROR(VLOOKUP(TO_TEXT(B1447),PEDIDOS!D:I,6,0),IFERROR(VLOOKUP(B1447*1,PEDIDOS!D:I,6,0),"" "")))"),"ENTREGUE")</f>
        <v>ENTREGUE</v>
      </c>
      <c r="G1447" s="303"/>
      <c r="H1447" s="304"/>
    </row>
    <row r="1448">
      <c r="A1448" s="302" t="s">
        <v>85</v>
      </c>
      <c r="B1448" s="291" t="s">
        <v>9311</v>
      </c>
      <c r="C1448" s="292" t="s">
        <v>48</v>
      </c>
      <c r="D1448" s="293">
        <f t="shared" si="2"/>
        <v>1</v>
      </c>
      <c r="E1448" s="294"/>
      <c r="F1448" s="295" t="str">
        <f>IFERROR(__xludf.DUMMYFUNCTION("IF(B1448="""","""",IFERROR(VLOOKUP(TO_TEXT(B1448),PEDIDOS!D:I,6,0),IFERROR(VLOOKUP(B1448*1,PEDIDOS!D:I,6,0),"" "")))"),"ENTREGUE")</f>
        <v>ENTREGUE</v>
      </c>
      <c r="G1448" s="303"/>
      <c r="H1448" s="304"/>
    </row>
    <row r="1449">
      <c r="A1449" s="302" t="s">
        <v>85</v>
      </c>
      <c r="B1449" s="291" t="s">
        <v>9272</v>
      </c>
      <c r="C1449" s="292" t="s">
        <v>48</v>
      </c>
      <c r="D1449" s="293">
        <f t="shared" si="2"/>
        <v>1</v>
      </c>
      <c r="E1449" s="294"/>
      <c r="F1449" s="295" t="str">
        <f>IFERROR(__xludf.DUMMYFUNCTION("IF(B1449="""","""",IFERROR(VLOOKUP(TO_TEXT(B1449),PEDIDOS!D:I,6,0),IFERROR(VLOOKUP(B1449*1,PEDIDOS!D:I,6,0),"" "")))"),"ENTREGUE")</f>
        <v>ENTREGUE</v>
      </c>
      <c r="G1449" s="303"/>
      <c r="H1449" s="304"/>
    </row>
    <row r="1450">
      <c r="A1450" s="302" t="s">
        <v>85</v>
      </c>
      <c r="B1450" s="291" t="s">
        <v>8951</v>
      </c>
      <c r="C1450" s="292" t="s">
        <v>48</v>
      </c>
      <c r="D1450" s="293">
        <f t="shared" si="2"/>
        <v>1</v>
      </c>
      <c r="E1450" s="294"/>
      <c r="F1450" s="295" t="str">
        <f>IFERROR(__xludf.DUMMYFUNCTION("IF(B1450="""","""",IFERROR(VLOOKUP(TO_TEXT(B1450),PEDIDOS!D:I,6,0),IFERROR(VLOOKUP(B1450*1,PEDIDOS!D:I,6,0),"" "")))"),"ENTREGUE")</f>
        <v>ENTREGUE</v>
      </c>
      <c r="G1450" s="303"/>
      <c r="H1450" s="304"/>
    </row>
    <row r="1451">
      <c r="A1451" s="302" t="s">
        <v>85</v>
      </c>
      <c r="B1451" s="291" t="s">
        <v>8939</v>
      </c>
      <c r="C1451" s="292" t="s">
        <v>48</v>
      </c>
      <c r="D1451" s="293">
        <f t="shared" si="2"/>
        <v>1</v>
      </c>
      <c r="E1451" s="294"/>
      <c r="F1451" s="295" t="str">
        <f>IFERROR(__xludf.DUMMYFUNCTION("IF(B1451="""","""",IFERROR(VLOOKUP(TO_TEXT(B1451),PEDIDOS!D:I,6,0),IFERROR(VLOOKUP(B1451*1,PEDIDOS!D:I,6,0),"" "")))"),"ENTREGUE")</f>
        <v>ENTREGUE</v>
      </c>
      <c r="G1451" s="303"/>
      <c r="H1451" s="304"/>
    </row>
    <row r="1452">
      <c r="A1452" s="302" t="s">
        <v>85</v>
      </c>
      <c r="B1452" s="291" t="s">
        <v>9019</v>
      </c>
      <c r="C1452" s="292" t="s">
        <v>48</v>
      </c>
      <c r="D1452" s="293">
        <f t="shared" si="2"/>
        <v>1</v>
      </c>
      <c r="E1452" s="294"/>
      <c r="F1452" s="295" t="str">
        <f>IFERROR(__xludf.DUMMYFUNCTION("IF(B1452="""","""",IFERROR(VLOOKUP(TO_TEXT(B1452),PEDIDOS!D:I,6,0),IFERROR(VLOOKUP(B1452*1,PEDIDOS!D:I,6,0),"" "")))"),"ENTREGUE")</f>
        <v>ENTREGUE</v>
      </c>
      <c r="G1452" s="303"/>
      <c r="H1452" s="304"/>
    </row>
    <row r="1453">
      <c r="A1453" s="302" t="s">
        <v>85</v>
      </c>
      <c r="B1453" s="291" t="s">
        <v>8922</v>
      </c>
      <c r="C1453" s="292" t="s">
        <v>48</v>
      </c>
      <c r="D1453" s="293">
        <f t="shared" si="2"/>
        <v>1</v>
      </c>
      <c r="E1453" s="294"/>
      <c r="F1453" s="295" t="str">
        <f>IFERROR(__xludf.DUMMYFUNCTION("IF(B1453="""","""",IFERROR(VLOOKUP(TO_TEXT(B1453),PEDIDOS!D:I,6,0),IFERROR(VLOOKUP(B1453*1,PEDIDOS!D:I,6,0),"" "")))"),"ENTREGUE")</f>
        <v>ENTREGUE</v>
      </c>
      <c r="G1453" s="303"/>
      <c r="H1453" s="304"/>
    </row>
    <row r="1454">
      <c r="A1454" s="302" t="s">
        <v>91</v>
      </c>
      <c r="B1454" s="291" t="s">
        <v>8637</v>
      </c>
      <c r="C1454" s="292" t="s">
        <v>48</v>
      </c>
      <c r="D1454" s="293">
        <f t="shared" si="2"/>
        <v>1</v>
      </c>
      <c r="E1454" s="294"/>
      <c r="F1454" s="295" t="str">
        <f>IFERROR(__xludf.DUMMYFUNCTION("IF(B1454="""","""",IFERROR(VLOOKUP(TO_TEXT(B1454),PEDIDOS!D:I,6,0),IFERROR(VLOOKUP(B1454*1,PEDIDOS!D:I,6,0),"" "")))"),"ENTREGUE")</f>
        <v>ENTREGUE</v>
      </c>
      <c r="G1454" s="303"/>
      <c r="H1454" s="304"/>
    </row>
    <row r="1455">
      <c r="A1455" s="302" t="s">
        <v>91</v>
      </c>
      <c r="B1455" s="291" t="s">
        <v>8204</v>
      </c>
      <c r="C1455" s="292" t="s">
        <v>48</v>
      </c>
      <c r="D1455" s="293">
        <f t="shared" si="2"/>
        <v>1</v>
      </c>
      <c r="E1455" s="294"/>
      <c r="F1455" s="295" t="str">
        <f>IFERROR(__xludf.DUMMYFUNCTION("IF(B1455="""","""",IFERROR(VLOOKUP(TO_TEXT(B1455),PEDIDOS!D:I,6,0),IFERROR(VLOOKUP(B1455*1,PEDIDOS!D:I,6,0),"" "")))"),"ENTREGUE")</f>
        <v>ENTREGUE</v>
      </c>
      <c r="G1455" s="303"/>
      <c r="H1455" s="304"/>
    </row>
    <row r="1456">
      <c r="A1456" s="302" t="s">
        <v>91</v>
      </c>
      <c r="B1456" s="291" t="s">
        <v>8398</v>
      </c>
      <c r="C1456" s="292" t="s">
        <v>48</v>
      </c>
      <c r="D1456" s="293">
        <f t="shared" si="2"/>
        <v>1</v>
      </c>
      <c r="E1456" s="294"/>
      <c r="F1456" s="295" t="str">
        <f>IFERROR(__xludf.DUMMYFUNCTION("IF(B1456="""","""",IFERROR(VLOOKUP(TO_TEXT(B1456),PEDIDOS!D:I,6,0),IFERROR(VLOOKUP(B1456*1,PEDIDOS!D:I,6,0),"" "")))"),"ENTREGUE")</f>
        <v>ENTREGUE</v>
      </c>
      <c r="G1456" s="303"/>
      <c r="H1456" s="304"/>
    </row>
    <row r="1457">
      <c r="A1457" s="302" t="s">
        <v>91</v>
      </c>
      <c r="B1457" s="291" t="s">
        <v>8288</v>
      </c>
      <c r="C1457" s="292" t="s">
        <v>48</v>
      </c>
      <c r="D1457" s="293">
        <f t="shared" si="2"/>
        <v>1</v>
      </c>
      <c r="E1457" s="294"/>
      <c r="F1457" s="295" t="str">
        <f>IFERROR(__xludf.DUMMYFUNCTION("IF(B1457="""","""",IFERROR(VLOOKUP(TO_TEXT(B1457),PEDIDOS!D:I,6,0),IFERROR(VLOOKUP(B1457*1,PEDIDOS!D:I,6,0),"" "")))"),"ENTREGUE")</f>
        <v>ENTREGUE</v>
      </c>
      <c r="G1457" s="303"/>
      <c r="H1457" s="304"/>
    </row>
    <row r="1458">
      <c r="A1458" s="302" t="s">
        <v>91</v>
      </c>
      <c r="B1458" s="291" t="s">
        <v>8072</v>
      </c>
      <c r="C1458" s="292" t="s">
        <v>48</v>
      </c>
      <c r="D1458" s="293">
        <f t="shared" si="2"/>
        <v>1</v>
      </c>
      <c r="E1458" s="294"/>
      <c r="F1458" s="295" t="str">
        <f>IFERROR(__xludf.DUMMYFUNCTION("IF(B1458="""","""",IFERROR(VLOOKUP(TO_TEXT(B1458),PEDIDOS!D:I,6,0),IFERROR(VLOOKUP(B1458*1,PEDIDOS!D:I,6,0),"" "")))"),"ENTREGUE")</f>
        <v>ENTREGUE</v>
      </c>
      <c r="G1458" s="303"/>
      <c r="H1458" s="304"/>
    </row>
    <row r="1459">
      <c r="A1459" s="302" t="s">
        <v>91</v>
      </c>
      <c r="B1459" s="291" t="s">
        <v>8272</v>
      </c>
      <c r="C1459" s="292" t="s">
        <v>48</v>
      </c>
      <c r="D1459" s="293">
        <f t="shared" si="2"/>
        <v>1</v>
      </c>
      <c r="E1459" s="294"/>
      <c r="F1459" s="295" t="str">
        <f>IFERROR(__xludf.DUMMYFUNCTION("IF(B1459="""","""",IFERROR(VLOOKUP(TO_TEXT(B1459),PEDIDOS!D:I,6,0),IFERROR(VLOOKUP(B1459*1,PEDIDOS!D:I,6,0),"" "")))"),"ENTREGUE")</f>
        <v>ENTREGUE</v>
      </c>
      <c r="G1459" s="303"/>
      <c r="H1459" s="304"/>
    </row>
    <row r="1460">
      <c r="A1460" s="302" t="s">
        <v>91</v>
      </c>
      <c r="B1460" s="291" t="s">
        <v>8631</v>
      </c>
      <c r="C1460" s="292" t="s">
        <v>48</v>
      </c>
      <c r="D1460" s="293">
        <f t="shared" si="2"/>
        <v>1</v>
      </c>
      <c r="E1460" s="294"/>
      <c r="F1460" s="295" t="str">
        <f>IFERROR(__xludf.DUMMYFUNCTION("IF(B1460="""","""",IFERROR(VLOOKUP(TO_TEXT(B1460),PEDIDOS!D:I,6,0),IFERROR(VLOOKUP(B1460*1,PEDIDOS!D:I,6,0),"" "")))"),"ENTREGUE")</f>
        <v>ENTREGUE</v>
      </c>
      <c r="G1460" s="303"/>
      <c r="H1460" s="304"/>
    </row>
    <row r="1461">
      <c r="A1461" s="302" t="s">
        <v>91</v>
      </c>
      <c r="B1461" s="291" t="s">
        <v>8640</v>
      </c>
      <c r="C1461" s="292" t="s">
        <v>48</v>
      </c>
      <c r="D1461" s="293">
        <f t="shared" si="2"/>
        <v>1</v>
      </c>
      <c r="E1461" s="294"/>
      <c r="F1461" s="295" t="str">
        <f>IFERROR(__xludf.DUMMYFUNCTION("IF(B1461="""","""",IFERROR(VLOOKUP(TO_TEXT(B1461),PEDIDOS!D:I,6,0),IFERROR(VLOOKUP(B1461*1,PEDIDOS!D:I,6,0),"" "")))"),"ENTREGUE")</f>
        <v>ENTREGUE</v>
      </c>
      <c r="G1461" s="303"/>
      <c r="H1461" s="304"/>
    </row>
    <row r="1462">
      <c r="A1462" s="302" t="s">
        <v>91</v>
      </c>
      <c r="B1462" s="291" t="s">
        <v>7877</v>
      </c>
      <c r="C1462" s="292" t="s">
        <v>48</v>
      </c>
      <c r="D1462" s="293">
        <f t="shared" si="2"/>
        <v>1</v>
      </c>
      <c r="E1462" s="294"/>
      <c r="F1462" s="295" t="str">
        <f>IFERROR(__xludf.DUMMYFUNCTION("IF(B1462="""","""",IFERROR(VLOOKUP(TO_TEXT(B1462),PEDIDOS!D:I,6,0),IFERROR(VLOOKUP(B1462*1,PEDIDOS!D:I,6,0),"" "")))"),"ENTREGUE")</f>
        <v>ENTREGUE</v>
      </c>
      <c r="G1462" s="303"/>
      <c r="H1462" s="304"/>
    </row>
    <row r="1463">
      <c r="A1463" s="302" t="s">
        <v>91</v>
      </c>
      <c r="B1463" s="291" t="s">
        <v>8643</v>
      </c>
      <c r="C1463" s="292" t="s">
        <v>48</v>
      </c>
      <c r="D1463" s="293">
        <f t="shared" si="2"/>
        <v>1</v>
      </c>
      <c r="E1463" s="294"/>
      <c r="F1463" s="295" t="str">
        <f>IFERROR(__xludf.DUMMYFUNCTION("IF(B1463="""","""",IFERROR(VLOOKUP(TO_TEXT(B1463),PEDIDOS!D:I,6,0),IFERROR(VLOOKUP(B1463*1,PEDIDOS!D:I,6,0),"" "")))"),"ENTREGUE")</f>
        <v>ENTREGUE</v>
      </c>
      <c r="G1463" s="303"/>
      <c r="H1463" s="304"/>
    </row>
    <row r="1464">
      <c r="A1464" s="302" t="s">
        <v>91</v>
      </c>
      <c r="B1464" s="291" t="s">
        <v>7989</v>
      </c>
      <c r="C1464" s="292" t="s">
        <v>48</v>
      </c>
      <c r="D1464" s="293">
        <f t="shared" si="2"/>
        <v>1</v>
      </c>
      <c r="E1464" s="294"/>
      <c r="F1464" s="295" t="str">
        <f>IFERROR(__xludf.DUMMYFUNCTION("IF(B1464="""","""",IFERROR(VLOOKUP(TO_TEXT(B1464),PEDIDOS!D:I,6,0),IFERROR(VLOOKUP(B1464*1,PEDIDOS!D:I,6,0),"" "")))"),"ENTREGUE")</f>
        <v>ENTREGUE</v>
      </c>
      <c r="G1464" s="303"/>
      <c r="H1464" s="304"/>
    </row>
    <row r="1465">
      <c r="A1465" s="302" t="s">
        <v>91</v>
      </c>
      <c r="B1465" s="291" t="s">
        <v>8634</v>
      </c>
      <c r="C1465" s="292" t="s">
        <v>48</v>
      </c>
      <c r="D1465" s="293">
        <f t="shared" si="2"/>
        <v>1</v>
      </c>
      <c r="E1465" s="294"/>
      <c r="F1465" s="295" t="str">
        <f>IFERROR(__xludf.DUMMYFUNCTION("IF(B1465="""","""",IFERROR(VLOOKUP(TO_TEXT(B1465),PEDIDOS!D:I,6,0),IFERROR(VLOOKUP(B1465*1,PEDIDOS!D:I,6,0),"" "")))"),"ENTREGUE")</f>
        <v>ENTREGUE</v>
      </c>
      <c r="G1465" s="303"/>
      <c r="H1465" s="304"/>
    </row>
    <row r="1466">
      <c r="A1466" s="302" t="s">
        <v>91</v>
      </c>
      <c r="B1466" s="291" t="s">
        <v>8625</v>
      </c>
      <c r="C1466" s="292" t="s">
        <v>48</v>
      </c>
      <c r="D1466" s="293">
        <f t="shared" si="2"/>
        <v>1</v>
      </c>
      <c r="E1466" s="294"/>
      <c r="F1466" s="295" t="str">
        <f>IFERROR(__xludf.DUMMYFUNCTION("IF(B1466="""","""",IFERROR(VLOOKUP(TO_TEXT(B1466),PEDIDOS!D:I,6,0),IFERROR(VLOOKUP(B1466*1,PEDIDOS!D:I,6,0),"" "")))"),"ENTREGUE")</f>
        <v>ENTREGUE</v>
      </c>
      <c r="G1466" s="303"/>
      <c r="H1466" s="304"/>
    </row>
    <row r="1467">
      <c r="A1467" s="302" t="s">
        <v>91</v>
      </c>
      <c r="B1467" s="291" t="s">
        <v>8037</v>
      </c>
      <c r="C1467" s="292" t="s">
        <v>48</v>
      </c>
      <c r="D1467" s="293">
        <f t="shared" si="2"/>
        <v>1</v>
      </c>
      <c r="E1467" s="294"/>
      <c r="F1467" s="295" t="str">
        <f>IFERROR(__xludf.DUMMYFUNCTION("IF(B1467="""","""",IFERROR(VLOOKUP(TO_TEXT(B1467),PEDIDOS!D:I,6,0),IFERROR(VLOOKUP(B1467*1,PEDIDOS!D:I,6,0),"" "")))"),"ENTREGUE")</f>
        <v>ENTREGUE</v>
      </c>
      <c r="G1467" s="303"/>
      <c r="H1467" s="304"/>
    </row>
    <row r="1468">
      <c r="A1468" s="302" t="s">
        <v>91</v>
      </c>
      <c r="B1468" s="291" t="s">
        <v>8646</v>
      </c>
      <c r="C1468" s="292" t="s">
        <v>48</v>
      </c>
      <c r="D1468" s="293">
        <f t="shared" si="2"/>
        <v>1</v>
      </c>
      <c r="E1468" s="294"/>
      <c r="F1468" s="295" t="str">
        <f>IFERROR(__xludf.DUMMYFUNCTION("IF(B1468="""","""",IFERROR(VLOOKUP(TO_TEXT(B1468),PEDIDOS!D:I,6,0),IFERROR(VLOOKUP(B1468*1,PEDIDOS!D:I,6,0),"" "")))"),"ENTREGUE")</f>
        <v>ENTREGUE</v>
      </c>
      <c r="G1468" s="303"/>
      <c r="H1468" s="304"/>
    </row>
    <row r="1469">
      <c r="A1469" s="302" t="s">
        <v>91</v>
      </c>
      <c r="B1469" s="291" t="s">
        <v>7996</v>
      </c>
      <c r="C1469" s="292" t="s">
        <v>48</v>
      </c>
      <c r="D1469" s="293">
        <f t="shared" si="2"/>
        <v>1</v>
      </c>
      <c r="E1469" s="294"/>
      <c r="F1469" s="295" t="str">
        <f>IFERROR(__xludf.DUMMYFUNCTION("IF(B1469="""","""",IFERROR(VLOOKUP(TO_TEXT(B1469),PEDIDOS!D:I,6,0),IFERROR(VLOOKUP(B1469*1,PEDIDOS!D:I,6,0),"" "")))"),"ENTREGUE")</f>
        <v>ENTREGUE</v>
      </c>
      <c r="G1469" s="303"/>
      <c r="H1469" s="304"/>
    </row>
    <row r="1470">
      <c r="A1470" s="302" t="s">
        <v>91</v>
      </c>
      <c r="B1470" s="291" t="s">
        <v>3517</v>
      </c>
      <c r="C1470" s="292" t="s">
        <v>48</v>
      </c>
      <c r="D1470" s="293">
        <f t="shared" si="2"/>
        <v>1</v>
      </c>
      <c r="E1470" s="294"/>
      <c r="F1470" s="295" t="str">
        <f>IFERROR(__xludf.DUMMYFUNCTION("IF(B1470="""","""",IFERROR(VLOOKUP(TO_TEXT(B1470),PEDIDOS!D:I,6,0),IFERROR(VLOOKUP(B1470*1,PEDIDOS!D:I,6,0),"" "")))"),"ENTREGUE")</f>
        <v>ENTREGUE</v>
      </c>
      <c r="G1470" s="303"/>
      <c r="H1470" s="304"/>
    </row>
    <row r="1471">
      <c r="A1471" s="302" t="s">
        <v>91</v>
      </c>
      <c r="B1471" s="291" t="s">
        <v>8320</v>
      </c>
      <c r="C1471" s="292" t="s">
        <v>48</v>
      </c>
      <c r="D1471" s="293">
        <f t="shared" si="2"/>
        <v>1</v>
      </c>
      <c r="E1471" s="294"/>
      <c r="F1471" s="295" t="str">
        <f>IFERROR(__xludf.DUMMYFUNCTION("IF(B1471="""","""",IFERROR(VLOOKUP(TO_TEXT(B1471),PEDIDOS!D:I,6,0),IFERROR(VLOOKUP(B1471*1,PEDIDOS!D:I,6,0),"" "")))"),"ENTREGUE")</f>
        <v>ENTREGUE</v>
      </c>
      <c r="G1471" s="303"/>
      <c r="H1471" s="304"/>
    </row>
    <row r="1472">
      <c r="A1472" s="302" t="s">
        <v>91</v>
      </c>
      <c r="B1472" s="291" t="s">
        <v>7993</v>
      </c>
      <c r="C1472" s="292" t="s">
        <v>48</v>
      </c>
      <c r="D1472" s="293">
        <f t="shared" si="2"/>
        <v>1</v>
      </c>
      <c r="E1472" s="294"/>
      <c r="F1472" s="295" t="str">
        <f>IFERROR(__xludf.DUMMYFUNCTION("IF(B1472="""","""",IFERROR(VLOOKUP(TO_TEXT(B1472),PEDIDOS!D:I,6,0),IFERROR(VLOOKUP(B1472*1,PEDIDOS!D:I,6,0),"" "")))"),"ENTREGUE")</f>
        <v>ENTREGUE</v>
      </c>
      <c r="G1472" s="303"/>
      <c r="H1472" s="304"/>
    </row>
    <row r="1473">
      <c r="A1473" s="302" t="s">
        <v>91</v>
      </c>
      <c r="B1473" s="291" t="s">
        <v>8676</v>
      </c>
      <c r="C1473" s="292" t="s">
        <v>48</v>
      </c>
      <c r="D1473" s="293">
        <f t="shared" si="2"/>
        <v>1</v>
      </c>
      <c r="E1473" s="294"/>
      <c r="F1473" s="295" t="str">
        <f>IFERROR(__xludf.DUMMYFUNCTION("IF(B1473="""","""",IFERROR(VLOOKUP(TO_TEXT(B1473),PEDIDOS!D:I,6,0),IFERROR(VLOOKUP(B1473*1,PEDIDOS!D:I,6,0),"" "")))"),"ENTREGUE")</f>
        <v>ENTREGUE</v>
      </c>
      <c r="G1473" s="303"/>
      <c r="H1473" s="304"/>
    </row>
    <row r="1474">
      <c r="A1474" s="302" t="s">
        <v>91</v>
      </c>
      <c r="B1474" s="291" t="s">
        <v>8276</v>
      </c>
      <c r="C1474" s="292" t="s">
        <v>48</v>
      </c>
      <c r="D1474" s="293">
        <f t="shared" si="2"/>
        <v>1</v>
      </c>
      <c r="E1474" s="294"/>
      <c r="F1474" s="295" t="str">
        <f>IFERROR(__xludf.DUMMYFUNCTION("IF(B1474="""","""",IFERROR(VLOOKUP(TO_TEXT(B1474),PEDIDOS!D:I,6,0),IFERROR(VLOOKUP(B1474*1,PEDIDOS!D:I,6,0),"" "")))"),"ENTREGUE")</f>
        <v>ENTREGUE</v>
      </c>
      <c r="G1474" s="303"/>
      <c r="H1474" s="304"/>
    </row>
    <row r="1475">
      <c r="A1475" s="302" t="s">
        <v>91</v>
      </c>
      <c r="B1475" s="291" t="s">
        <v>8152</v>
      </c>
      <c r="C1475" s="292" t="s">
        <v>48</v>
      </c>
      <c r="D1475" s="293">
        <f t="shared" si="2"/>
        <v>1</v>
      </c>
      <c r="E1475" s="294"/>
      <c r="F1475" s="295" t="str">
        <f>IFERROR(__xludf.DUMMYFUNCTION("IF(B1475="""","""",IFERROR(VLOOKUP(TO_TEXT(B1475),PEDIDOS!D:I,6,0),IFERROR(VLOOKUP(B1475*1,PEDIDOS!D:I,6,0),"" "")))"),"ENTREGUE")</f>
        <v>ENTREGUE</v>
      </c>
      <c r="G1475" s="303"/>
      <c r="H1475" s="304"/>
    </row>
    <row r="1476">
      <c r="A1476" s="302" t="s">
        <v>91</v>
      </c>
      <c r="B1476" s="291" t="s">
        <v>8292</v>
      </c>
      <c r="C1476" s="292" t="s">
        <v>48</v>
      </c>
      <c r="D1476" s="293">
        <f t="shared" si="2"/>
        <v>1</v>
      </c>
      <c r="E1476" s="294"/>
      <c r="F1476" s="295" t="str">
        <f>IFERROR(__xludf.DUMMYFUNCTION("IF(B1476="""","""",IFERROR(VLOOKUP(TO_TEXT(B1476),PEDIDOS!D:I,6,0),IFERROR(VLOOKUP(B1476*1,PEDIDOS!D:I,6,0),"" "")))"),"ENTREGUE")</f>
        <v>ENTREGUE</v>
      </c>
      <c r="G1476" s="303"/>
      <c r="H1476" s="304"/>
    </row>
    <row r="1477">
      <c r="A1477" s="302" t="s">
        <v>91</v>
      </c>
      <c r="B1477" s="291" t="s">
        <v>8324</v>
      </c>
      <c r="C1477" s="292" t="s">
        <v>48</v>
      </c>
      <c r="D1477" s="293">
        <f t="shared" si="2"/>
        <v>1</v>
      </c>
      <c r="E1477" s="294"/>
      <c r="F1477" s="295" t="str">
        <f>IFERROR(__xludf.DUMMYFUNCTION("IF(B1477="""","""",IFERROR(VLOOKUP(TO_TEXT(B1477),PEDIDOS!D:I,6,0),IFERROR(VLOOKUP(B1477*1,PEDIDOS!D:I,6,0),"" "")))"),"ENTREGUE")</f>
        <v>ENTREGUE</v>
      </c>
      <c r="G1477" s="303"/>
      <c r="H1477" s="304"/>
    </row>
    <row r="1478">
      <c r="A1478" s="302" t="s">
        <v>91</v>
      </c>
      <c r="B1478" s="291" t="s">
        <v>8149</v>
      </c>
      <c r="C1478" s="292" t="s">
        <v>48</v>
      </c>
      <c r="D1478" s="293">
        <f t="shared" si="2"/>
        <v>1</v>
      </c>
      <c r="E1478" s="294"/>
      <c r="F1478" s="295" t="str">
        <f>IFERROR(__xludf.DUMMYFUNCTION("IF(B1478="""","""",IFERROR(VLOOKUP(TO_TEXT(B1478),PEDIDOS!D:I,6,0),IFERROR(VLOOKUP(B1478*1,PEDIDOS!D:I,6,0),"" "")))"),"ENTREGUE")</f>
        <v>ENTREGUE</v>
      </c>
      <c r="G1478" s="303"/>
      <c r="H1478" s="304"/>
    </row>
    <row r="1479">
      <c r="A1479" s="302" t="s">
        <v>91</v>
      </c>
      <c r="B1479" s="291" t="s">
        <v>8155</v>
      </c>
      <c r="C1479" s="292" t="s">
        <v>48</v>
      </c>
      <c r="D1479" s="293">
        <f t="shared" si="2"/>
        <v>1</v>
      </c>
      <c r="E1479" s="294"/>
      <c r="F1479" s="295" t="str">
        <f>IFERROR(__xludf.DUMMYFUNCTION("IF(B1479="""","""",IFERROR(VLOOKUP(TO_TEXT(B1479),PEDIDOS!D:I,6,0),IFERROR(VLOOKUP(B1479*1,PEDIDOS!D:I,6,0),"" "")))"),"ENTREGUE")</f>
        <v>ENTREGUE</v>
      </c>
      <c r="G1479" s="303"/>
      <c r="H1479" s="304"/>
    </row>
    <row r="1480">
      <c r="A1480" s="302" t="s">
        <v>91</v>
      </c>
      <c r="B1480" s="291" t="s">
        <v>8219</v>
      </c>
      <c r="C1480" s="292" t="s">
        <v>48</v>
      </c>
      <c r="D1480" s="293">
        <f t="shared" si="2"/>
        <v>1</v>
      </c>
      <c r="E1480" s="294"/>
      <c r="F1480" s="295" t="str">
        <f>IFERROR(__xludf.DUMMYFUNCTION("IF(B1480="""","""",IFERROR(VLOOKUP(TO_TEXT(B1480),PEDIDOS!D:I,6,0),IFERROR(VLOOKUP(B1480*1,PEDIDOS!D:I,6,0),"" "")))"),"ENTREGUE")</f>
        <v>ENTREGUE</v>
      </c>
      <c r="G1480" s="303"/>
      <c r="H1480" s="304"/>
    </row>
    <row r="1481">
      <c r="A1481" s="302" t="s">
        <v>91</v>
      </c>
      <c r="B1481" s="291" t="s">
        <v>8628</v>
      </c>
      <c r="C1481" s="292" t="s">
        <v>48</v>
      </c>
      <c r="D1481" s="293">
        <f t="shared" si="2"/>
        <v>1</v>
      </c>
      <c r="E1481" s="294"/>
      <c r="F1481" s="295" t="str">
        <f>IFERROR(__xludf.DUMMYFUNCTION("IF(B1481="""","""",IFERROR(VLOOKUP(TO_TEXT(B1481),PEDIDOS!D:I,6,0),IFERROR(VLOOKUP(B1481*1,PEDIDOS!D:I,6,0),"" "")))"),"ENTREGUE")</f>
        <v>ENTREGUE</v>
      </c>
      <c r="G1481" s="303"/>
      <c r="H1481" s="304"/>
    </row>
    <row r="1482">
      <c r="A1482" s="302" t="s">
        <v>91</v>
      </c>
      <c r="B1482" s="291" t="s">
        <v>8146</v>
      </c>
      <c r="C1482" s="292" t="s">
        <v>48</v>
      </c>
      <c r="D1482" s="293">
        <f t="shared" si="2"/>
        <v>1</v>
      </c>
      <c r="E1482" s="294"/>
      <c r="F1482" s="295" t="str">
        <f>IFERROR(__xludf.DUMMYFUNCTION("IF(B1482="""","""",IFERROR(VLOOKUP(TO_TEXT(B1482),PEDIDOS!D:I,6,0),IFERROR(VLOOKUP(B1482*1,PEDIDOS!D:I,6,0),"" "")))"),"ENTREGUE")</f>
        <v>ENTREGUE</v>
      </c>
      <c r="G1482" s="303"/>
      <c r="H1482" s="304"/>
    </row>
    <row r="1483">
      <c r="A1483" s="302" t="s">
        <v>91</v>
      </c>
      <c r="B1483" s="291" t="s">
        <v>8529</v>
      </c>
      <c r="C1483" s="292" t="s">
        <v>48</v>
      </c>
      <c r="D1483" s="293">
        <f t="shared" si="2"/>
        <v>1</v>
      </c>
      <c r="E1483" s="294"/>
      <c r="F1483" s="295" t="str">
        <f>IFERROR(__xludf.DUMMYFUNCTION("IF(B1483="""","""",IFERROR(VLOOKUP(TO_TEXT(B1483),PEDIDOS!D:I,6,0),IFERROR(VLOOKUP(B1483*1,PEDIDOS!D:I,6,0),"" "")))"),"ENTREGUE")</f>
        <v>ENTREGUE</v>
      </c>
      <c r="G1483" s="303"/>
      <c r="H1483" s="304"/>
    </row>
    <row r="1484">
      <c r="A1484" s="302" t="s">
        <v>112</v>
      </c>
      <c r="B1484" s="291" t="s">
        <v>9654</v>
      </c>
      <c r="C1484" s="292" t="s">
        <v>48</v>
      </c>
      <c r="D1484" s="293">
        <f t="shared" si="2"/>
        <v>1</v>
      </c>
      <c r="E1484" s="294"/>
      <c r="F1484" s="295" t="str">
        <f>IFERROR(__xludf.DUMMYFUNCTION("IF(B1484="""","""",IFERROR(VLOOKUP(TO_TEXT(B1484),PEDIDOS!D:I,6,0),IFERROR(VLOOKUP(B1484*1,PEDIDOS!D:I,6,0),"" "")))"),"ENTREGUE")</f>
        <v>ENTREGUE</v>
      </c>
      <c r="G1484" s="303"/>
      <c r="H1484" s="304"/>
    </row>
    <row r="1485">
      <c r="A1485" s="302" t="s">
        <v>112</v>
      </c>
      <c r="B1485" s="291" t="s">
        <v>10143</v>
      </c>
      <c r="C1485" s="292" t="s">
        <v>48</v>
      </c>
      <c r="D1485" s="293">
        <f t="shared" si="2"/>
        <v>1</v>
      </c>
      <c r="E1485" s="294"/>
      <c r="F1485" s="295" t="str">
        <f>IFERROR(__xludf.DUMMYFUNCTION("IF(B1485="""","""",IFERROR(VLOOKUP(TO_TEXT(B1485),PEDIDOS!D:I,6,0),IFERROR(VLOOKUP(B1485*1,PEDIDOS!D:I,6,0),"" "")))"),"ENTREGUE")</f>
        <v>ENTREGUE</v>
      </c>
      <c r="G1485" s="303"/>
      <c r="H1485" s="304"/>
    </row>
    <row r="1486">
      <c r="A1486" s="302" t="s">
        <v>112</v>
      </c>
      <c r="B1486" s="291" t="s">
        <v>8544</v>
      </c>
      <c r="C1486" s="292" t="s">
        <v>48</v>
      </c>
      <c r="D1486" s="293">
        <f t="shared" si="2"/>
        <v>1</v>
      </c>
      <c r="E1486" s="294"/>
      <c r="F1486" s="295" t="str">
        <f>IFERROR(__xludf.DUMMYFUNCTION("IF(B1486="""","""",IFERROR(VLOOKUP(TO_TEXT(B1486),PEDIDOS!D:I,6,0),IFERROR(VLOOKUP(B1486*1,PEDIDOS!D:I,6,0),"" "")))"),"ENTREGUE")</f>
        <v>ENTREGUE</v>
      </c>
      <c r="G1486" s="303"/>
      <c r="H1486" s="304"/>
    </row>
    <row r="1487">
      <c r="A1487" s="302" t="s">
        <v>112</v>
      </c>
      <c r="B1487" s="291" t="s">
        <v>10171</v>
      </c>
      <c r="C1487" s="292" t="s">
        <v>48</v>
      </c>
      <c r="D1487" s="293">
        <f t="shared" si="2"/>
        <v>1</v>
      </c>
      <c r="E1487" s="294"/>
      <c r="F1487" s="295" t="str">
        <f>IFERROR(__xludf.DUMMYFUNCTION("IF(B1487="""","""",IFERROR(VLOOKUP(TO_TEXT(B1487),PEDIDOS!D:I,6,0),IFERROR(VLOOKUP(B1487*1,PEDIDOS!D:I,6,0),"" "")))"),"ENTREGUE")</f>
        <v>ENTREGUE</v>
      </c>
      <c r="G1487" s="303"/>
      <c r="H1487" s="304"/>
    </row>
    <row r="1488">
      <c r="A1488" s="302" t="s">
        <v>112</v>
      </c>
      <c r="B1488" s="291" t="s">
        <v>8926</v>
      </c>
      <c r="C1488" s="292" t="s">
        <v>48</v>
      </c>
      <c r="D1488" s="293">
        <f t="shared" si="2"/>
        <v>1</v>
      </c>
      <c r="E1488" s="294"/>
      <c r="F1488" s="295" t="str">
        <f>IFERROR(__xludf.DUMMYFUNCTION("IF(B1488="""","""",IFERROR(VLOOKUP(TO_TEXT(B1488),PEDIDOS!D:I,6,0),IFERROR(VLOOKUP(B1488*1,PEDIDOS!D:I,6,0),"" "")))"),"ENTREGUE")</f>
        <v>ENTREGUE</v>
      </c>
      <c r="G1488" s="303"/>
      <c r="H1488" s="304"/>
    </row>
    <row r="1489">
      <c r="A1489" s="302" t="s">
        <v>112</v>
      </c>
      <c r="B1489" s="291" t="s">
        <v>9590</v>
      </c>
      <c r="C1489" s="292" t="s">
        <v>48</v>
      </c>
      <c r="D1489" s="293">
        <f t="shared" si="2"/>
        <v>1</v>
      </c>
      <c r="E1489" s="294"/>
      <c r="F1489" s="295" t="str">
        <f>IFERROR(__xludf.DUMMYFUNCTION("IF(B1489="""","""",IFERROR(VLOOKUP(TO_TEXT(B1489),PEDIDOS!D:I,6,0),IFERROR(VLOOKUP(B1489*1,PEDIDOS!D:I,6,0),"" "")))"),"ENTREGUE")</f>
        <v>ENTREGUE</v>
      </c>
      <c r="G1489" s="303"/>
      <c r="H1489" s="304"/>
    </row>
    <row r="1490">
      <c r="A1490" s="302" t="s">
        <v>112</v>
      </c>
      <c r="B1490" s="291" t="s">
        <v>9162</v>
      </c>
      <c r="C1490" s="292" t="s">
        <v>48</v>
      </c>
      <c r="D1490" s="293">
        <f t="shared" si="2"/>
        <v>1</v>
      </c>
      <c r="E1490" s="294"/>
      <c r="F1490" s="295" t="str">
        <f>IFERROR(__xludf.DUMMYFUNCTION("IF(B1490="""","""",IFERROR(VLOOKUP(TO_TEXT(B1490),PEDIDOS!D:I,6,0),IFERROR(VLOOKUP(B1490*1,PEDIDOS!D:I,6,0),"" "")))"),"ENTREGUE")</f>
        <v>ENTREGUE</v>
      </c>
      <c r="G1490" s="303"/>
      <c r="H1490" s="304"/>
    </row>
    <row r="1491">
      <c r="A1491" s="302" t="s">
        <v>112</v>
      </c>
      <c r="B1491" s="291" t="s">
        <v>11467</v>
      </c>
      <c r="C1491" s="292" t="s">
        <v>48</v>
      </c>
      <c r="D1491" s="293">
        <f t="shared" si="2"/>
        <v>1</v>
      </c>
      <c r="E1491" s="294"/>
      <c r="F1491" s="295" t="str">
        <f>IFERROR(__xludf.DUMMYFUNCTION("IF(B1491="""","""",IFERROR(VLOOKUP(TO_TEXT(B1491),PEDIDOS!D:I,6,0),IFERROR(VLOOKUP(B1491*1,PEDIDOS!D:I,6,0),"" "")))"),"ENTREGUE")</f>
        <v>ENTREGUE</v>
      </c>
      <c r="G1491" s="303"/>
      <c r="H1491" s="304"/>
    </row>
    <row r="1492">
      <c r="A1492" s="302" t="s">
        <v>112</v>
      </c>
      <c r="B1492" s="291" t="s">
        <v>9281</v>
      </c>
      <c r="C1492" s="292" t="s">
        <v>48</v>
      </c>
      <c r="D1492" s="293">
        <f t="shared" si="2"/>
        <v>1</v>
      </c>
      <c r="E1492" s="294"/>
      <c r="F1492" s="295" t="str">
        <f>IFERROR(__xludf.DUMMYFUNCTION("IF(B1492="""","""",IFERROR(VLOOKUP(TO_TEXT(B1492),PEDIDOS!D:I,6,0),IFERROR(VLOOKUP(B1492*1,PEDIDOS!D:I,6,0),"" "")))"),"ENTREGUE")</f>
        <v>ENTREGUE</v>
      </c>
      <c r="G1492" s="303"/>
      <c r="H1492" s="304"/>
    </row>
    <row r="1493">
      <c r="A1493" s="302" t="s">
        <v>112</v>
      </c>
      <c r="B1493" s="291" t="s">
        <v>10064</v>
      </c>
      <c r="C1493" s="292" t="s">
        <v>48</v>
      </c>
      <c r="D1493" s="293">
        <f t="shared" si="2"/>
        <v>1</v>
      </c>
      <c r="E1493" s="294"/>
      <c r="F1493" s="295" t="str">
        <f>IFERROR(__xludf.DUMMYFUNCTION("IF(B1493="""","""",IFERROR(VLOOKUP(TO_TEXT(B1493),PEDIDOS!D:I,6,0),IFERROR(VLOOKUP(B1493*1,PEDIDOS!D:I,6,0),"" "")))"),"ENTREGUE")</f>
        <v>ENTREGUE</v>
      </c>
      <c r="G1493" s="303"/>
      <c r="H1493" s="304"/>
    </row>
    <row r="1494">
      <c r="A1494" s="302" t="s">
        <v>112</v>
      </c>
      <c r="B1494" s="291" t="s">
        <v>9189</v>
      </c>
      <c r="C1494" s="292" t="s">
        <v>48</v>
      </c>
      <c r="D1494" s="293">
        <f t="shared" si="2"/>
        <v>1</v>
      </c>
      <c r="E1494" s="294"/>
      <c r="F1494" s="295" t="str">
        <f>IFERROR(__xludf.DUMMYFUNCTION("IF(B1494="""","""",IFERROR(VLOOKUP(TO_TEXT(B1494),PEDIDOS!D:I,6,0),IFERROR(VLOOKUP(B1494*1,PEDIDOS!D:I,6,0),"" "")))"),"ENTREGUE")</f>
        <v>ENTREGUE</v>
      </c>
      <c r="G1494" s="303"/>
      <c r="H1494" s="304"/>
    </row>
    <row r="1495">
      <c r="A1495" s="302" t="s">
        <v>112</v>
      </c>
      <c r="B1495" s="291" t="s">
        <v>10327</v>
      </c>
      <c r="C1495" s="292" t="s">
        <v>48</v>
      </c>
      <c r="D1495" s="293">
        <f t="shared" si="2"/>
        <v>1</v>
      </c>
      <c r="E1495" s="294"/>
      <c r="F1495" s="295" t="str">
        <f>IFERROR(__xludf.DUMMYFUNCTION("IF(B1495="""","""",IFERROR(VLOOKUP(TO_TEXT(B1495),PEDIDOS!D:I,6,0),IFERROR(VLOOKUP(B1495*1,PEDIDOS!D:I,6,0),"" "")))"),"ENTREGUE")</f>
        <v>ENTREGUE</v>
      </c>
      <c r="G1495" s="303"/>
      <c r="H1495" s="304"/>
    </row>
    <row r="1496">
      <c r="A1496" s="302" t="s">
        <v>112</v>
      </c>
      <c r="B1496" s="291" t="s">
        <v>9202</v>
      </c>
      <c r="C1496" s="292" t="s">
        <v>48</v>
      </c>
      <c r="D1496" s="293">
        <f t="shared" si="2"/>
        <v>1</v>
      </c>
      <c r="E1496" s="294"/>
      <c r="F1496" s="295" t="str">
        <f>IFERROR(__xludf.DUMMYFUNCTION("IF(B1496="""","""",IFERROR(VLOOKUP(TO_TEXT(B1496),PEDIDOS!D:I,6,0),IFERROR(VLOOKUP(B1496*1,PEDIDOS!D:I,6,0),"" "")))"),"ENTREGUE")</f>
        <v>ENTREGUE</v>
      </c>
      <c r="G1496" s="303"/>
      <c r="H1496" s="304"/>
    </row>
    <row r="1497">
      <c r="A1497" s="302" t="s">
        <v>112</v>
      </c>
      <c r="B1497" s="291" t="s">
        <v>10126</v>
      </c>
      <c r="C1497" s="292" t="s">
        <v>48</v>
      </c>
      <c r="D1497" s="293">
        <f t="shared" si="2"/>
        <v>1</v>
      </c>
      <c r="E1497" s="294"/>
      <c r="F1497" s="295" t="str">
        <f>IFERROR(__xludf.DUMMYFUNCTION("IF(B1497="""","""",IFERROR(VLOOKUP(TO_TEXT(B1497),PEDIDOS!D:I,6,0),IFERROR(VLOOKUP(B1497*1,PEDIDOS!D:I,6,0),"" "")))"),"ENTREGUE")</f>
        <v>ENTREGUE</v>
      </c>
      <c r="G1497" s="303"/>
      <c r="H1497" s="304"/>
    </row>
    <row r="1498">
      <c r="A1498" s="302" t="s">
        <v>112</v>
      </c>
      <c r="B1498" s="291" t="s">
        <v>9966</v>
      </c>
      <c r="C1498" s="292" t="s">
        <v>48</v>
      </c>
      <c r="D1498" s="293">
        <f t="shared" si="2"/>
        <v>1</v>
      </c>
      <c r="E1498" s="294"/>
      <c r="F1498" s="295" t="str">
        <f>IFERROR(__xludf.DUMMYFUNCTION("IF(B1498="""","""",IFERROR(VLOOKUP(TO_TEXT(B1498),PEDIDOS!D:I,6,0),IFERROR(VLOOKUP(B1498*1,PEDIDOS!D:I,6,0),"" "")))"),"ENTREGUE")</f>
        <v>ENTREGUE</v>
      </c>
      <c r="G1498" s="303"/>
      <c r="H1498" s="304"/>
    </row>
    <row r="1499">
      <c r="A1499" s="302" t="s">
        <v>112</v>
      </c>
      <c r="B1499" s="291" t="s">
        <v>9154</v>
      </c>
      <c r="C1499" s="292" t="s">
        <v>48</v>
      </c>
      <c r="D1499" s="293">
        <f t="shared" si="2"/>
        <v>1</v>
      </c>
      <c r="E1499" s="294"/>
      <c r="F1499" s="295" t="str">
        <f>IFERROR(__xludf.DUMMYFUNCTION("IF(B1499="""","""",IFERROR(VLOOKUP(TO_TEXT(B1499),PEDIDOS!D:I,6,0),IFERROR(VLOOKUP(B1499*1,PEDIDOS!D:I,6,0),"" "")))"),"ENTREGUE")</f>
        <v>ENTREGUE</v>
      </c>
      <c r="G1499" s="303"/>
      <c r="H1499" s="304"/>
    </row>
    <row r="1500">
      <c r="A1500" s="302" t="s">
        <v>112</v>
      </c>
      <c r="B1500" s="291" t="s">
        <v>9343</v>
      </c>
      <c r="C1500" s="292" t="s">
        <v>48</v>
      </c>
      <c r="D1500" s="293">
        <f t="shared" si="2"/>
        <v>1</v>
      </c>
      <c r="E1500" s="294"/>
      <c r="F1500" s="295" t="str">
        <f>IFERROR(__xludf.DUMMYFUNCTION("IF(B1500="""","""",IFERROR(VLOOKUP(TO_TEXT(B1500),PEDIDOS!D:I,6,0),IFERROR(VLOOKUP(B1500*1,PEDIDOS!D:I,6,0),"" "")))"),"ENTREGUE")</f>
        <v>ENTREGUE</v>
      </c>
      <c r="G1500" s="303"/>
      <c r="H1500" s="304"/>
    </row>
    <row r="1501">
      <c r="A1501" s="302" t="s">
        <v>112</v>
      </c>
      <c r="B1501" s="291" t="s">
        <v>9723</v>
      </c>
      <c r="C1501" s="292" t="s">
        <v>48</v>
      </c>
      <c r="D1501" s="293">
        <f t="shared" si="2"/>
        <v>1</v>
      </c>
      <c r="E1501" s="294"/>
      <c r="F1501" s="295" t="str">
        <f>IFERROR(__xludf.DUMMYFUNCTION("IF(B1501="""","""",IFERROR(VLOOKUP(TO_TEXT(B1501),PEDIDOS!D:I,6,0),IFERROR(VLOOKUP(B1501*1,PEDIDOS!D:I,6,0),"" "")))"),"ENTREGUE")</f>
        <v>ENTREGUE</v>
      </c>
      <c r="G1501" s="303"/>
      <c r="H1501" s="304"/>
    </row>
    <row r="1502">
      <c r="A1502" s="302" t="s">
        <v>112</v>
      </c>
      <c r="B1502" s="291" t="s">
        <v>11470</v>
      </c>
      <c r="C1502" s="292" t="s">
        <v>48</v>
      </c>
      <c r="D1502" s="293">
        <f t="shared" si="2"/>
        <v>1</v>
      </c>
      <c r="E1502" s="294"/>
      <c r="F1502" s="295" t="str">
        <f>IFERROR(__xludf.DUMMYFUNCTION("IF(B1502="""","""",IFERROR(VLOOKUP(TO_TEXT(B1502),PEDIDOS!D:I,6,0),IFERROR(VLOOKUP(B1502*1,PEDIDOS!D:I,6,0),"" "")))"),"ENTREGUE")</f>
        <v>ENTREGUE</v>
      </c>
      <c r="G1502" s="303"/>
      <c r="H1502" s="304"/>
    </row>
    <row r="1503">
      <c r="A1503" s="302" t="s">
        <v>112</v>
      </c>
      <c r="B1503" s="291" t="s">
        <v>9158</v>
      </c>
      <c r="C1503" s="292" t="s">
        <v>48</v>
      </c>
      <c r="D1503" s="293">
        <f t="shared" si="2"/>
        <v>1</v>
      </c>
      <c r="E1503" s="294"/>
      <c r="F1503" s="295" t="str">
        <f>IFERROR(__xludf.DUMMYFUNCTION("IF(B1503="""","""",IFERROR(VLOOKUP(TO_TEXT(B1503),PEDIDOS!D:I,6,0),IFERROR(VLOOKUP(B1503*1,PEDIDOS!D:I,6,0),"" "")))"),"ENTREGUE")</f>
        <v>ENTREGUE</v>
      </c>
      <c r="G1503" s="303"/>
      <c r="H1503" s="304"/>
    </row>
    <row r="1504">
      <c r="A1504" s="302" t="s">
        <v>112</v>
      </c>
      <c r="B1504" s="291" t="s">
        <v>10344</v>
      </c>
      <c r="C1504" s="292" t="s">
        <v>48</v>
      </c>
      <c r="D1504" s="293">
        <f t="shared" si="2"/>
        <v>1</v>
      </c>
      <c r="E1504" s="294"/>
      <c r="F1504" s="295" t="str">
        <f>IFERROR(__xludf.DUMMYFUNCTION("IF(B1504="""","""",IFERROR(VLOOKUP(TO_TEXT(B1504),PEDIDOS!D:I,6,0),IFERROR(VLOOKUP(B1504*1,PEDIDOS!D:I,6,0),"" "")))"),"ENTREGUE")</f>
        <v>ENTREGUE</v>
      </c>
      <c r="G1504" s="303"/>
      <c r="H1504" s="304"/>
    </row>
    <row r="1505">
      <c r="A1505" s="302" t="s">
        <v>112</v>
      </c>
      <c r="B1505" s="291" t="s">
        <v>9206</v>
      </c>
      <c r="C1505" s="292" t="s">
        <v>48</v>
      </c>
      <c r="D1505" s="293">
        <f t="shared" si="2"/>
        <v>1</v>
      </c>
      <c r="E1505" s="294"/>
      <c r="F1505" s="295" t="str">
        <f>IFERROR(__xludf.DUMMYFUNCTION("IF(B1505="""","""",IFERROR(VLOOKUP(TO_TEXT(B1505),PEDIDOS!D:I,6,0),IFERROR(VLOOKUP(B1505*1,PEDIDOS!D:I,6,0),"" "")))"),"ENTREGUE")</f>
        <v>ENTREGUE</v>
      </c>
      <c r="G1505" s="303"/>
      <c r="H1505" s="304"/>
    </row>
    <row r="1506">
      <c r="A1506" s="302" t="s">
        <v>112</v>
      </c>
      <c r="B1506" s="291" t="s">
        <v>9560</v>
      </c>
      <c r="C1506" s="292" t="s">
        <v>48</v>
      </c>
      <c r="D1506" s="293">
        <f t="shared" si="2"/>
        <v>1</v>
      </c>
      <c r="E1506" s="294"/>
      <c r="F1506" s="295" t="str">
        <f>IFERROR(__xludf.DUMMYFUNCTION("IF(B1506="""","""",IFERROR(VLOOKUP(TO_TEXT(B1506),PEDIDOS!D:I,6,0),IFERROR(VLOOKUP(B1506*1,PEDIDOS!D:I,6,0),"" "")))"),"ENTREGUE")</f>
        <v>ENTREGUE</v>
      </c>
      <c r="G1506" s="303"/>
      <c r="H1506" s="304"/>
    </row>
    <row r="1507">
      <c r="A1507" s="302" t="s">
        <v>112</v>
      </c>
      <c r="B1507" s="291" t="s">
        <v>9447</v>
      </c>
      <c r="C1507" s="292" t="s">
        <v>48</v>
      </c>
      <c r="D1507" s="293">
        <f t="shared" si="2"/>
        <v>1</v>
      </c>
      <c r="E1507" s="294"/>
      <c r="F1507" s="295" t="str">
        <f>IFERROR(__xludf.DUMMYFUNCTION("IF(B1507="""","""",IFERROR(VLOOKUP(TO_TEXT(B1507),PEDIDOS!D:I,6,0),IFERROR(VLOOKUP(B1507*1,PEDIDOS!D:I,6,0),"" "")))"),"ENTREGUE")</f>
        <v>ENTREGUE</v>
      </c>
      <c r="G1507" s="303"/>
      <c r="H1507" s="304"/>
    </row>
    <row r="1508">
      <c r="A1508" s="302" t="s">
        <v>112</v>
      </c>
      <c r="B1508" s="291" t="s">
        <v>4451</v>
      </c>
      <c r="C1508" s="292" t="s">
        <v>48</v>
      </c>
      <c r="D1508" s="293">
        <f t="shared" si="2"/>
        <v>1</v>
      </c>
      <c r="E1508" s="294"/>
      <c r="F1508" s="295" t="str">
        <f>IFERROR(__xludf.DUMMYFUNCTION("IF(B1508="""","""",IFERROR(VLOOKUP(TO_TEXT(B1508),PEDIDOS!D:I,6,0),IFERROR(VLOOKUP(B1508*1,PEDIDOS!D:I,6,0),"" "")))"),"ENTREGUE")</f>
        <v>ENTREGUE</v>
      </c>
      <c r="G1508" s="303"/>
      <c r="H1508" s="304"/>
    </row>
    <row r="1509">
      <c r="A1509" s="302" t="s">
        <v>112</v>
      </c>
      <c r="B1509" s="291" t="s">
        <v>11479</v>
      </c>
      <c r="C1509" s="292" t="s">
        <v>48</v>
      </c>
      <c r="D1509" s="293">
        <f t="shared" si="2"/>
        <v>1</v>
      </c>
      <c r="E1509" s="294"/>
      <c r="F1509" s="295" t="str">
        <f>IFERROR(__xludf.DUMMYFUNCTION("IF(B1509="""","""",IFERROR(VLOOKUP(TO_TEXT(B1509),PEDIDOS!D:I,6,0),IFERROR(VLOOKUP(B1509*1,PEDIDOS!D:I,6,0),"" "")))"),"ENTREGUE")</f>
        <v>ENTREGUE</v>
      </c>
      <c r="G1509" s="303"/>
      <c r="H1509" s="304"/>
    </row>
    <row r="1510">
      <c r="A1510" s="302" t="s">
        <v>112</v>
      </c>
      <c r="B1510" s="291" t="s">
        <v>10021</v>
      </c>
      <c r="C1510" s="292" t="s">
        <v>48</v>
      </c>
      <c r="D1510" s="293">
        <f t="shared" si="2"/>
        <v>1</v>
      </c>
      <c r="E1510" s="294"/>
      <c r="F1510" s="295" t="str">
        <f>IFERROR(__xludf.DUMMYFUNCTION("IF(B1510="""","""",IFERROR(VLOOKUP(TO_TEXT(B1510),PEDIDOS!D:I,6,0),IFERROR(VLOOKUP(B1510*1,PEDIDOS!D:I,6,0),"" "")))"),"ENTREGUE")</f>
        <v>ENTREGUE</v>
      </c>
      <c r="G1510" s="303"/>
      <c r="H1510" s="304"/>
    </row>
    <row r="1511">
      <c r="A1511" s="302" t="s">
        <v>112</v>
      </c>
      <c r="B1511" s="291" t="s">
        <v>10269</v>
      </c>
      <c r="C1511" s="292" t="s">
        <v>48</v>
      </c>
      <c r="D1511" s="293">
        <f t="shared" si="2"/>
        <v>1</v>
      </c>
      <c r="E1511" s="294"/>
      <c r="F1511" s="295" t="str">
        <f>IFERROR(__xludf.DUMMYFUNCTION("IF(B1511="""","""",IFERROR(VLOOKUP(TO_TEXT(B1511),PEDIDOS!D:I,6,0),IFERROR(VLOOKUP(B1511*1,PEDIDOS!D:I,6,0),"" "")))"),"ENTREGUE")</f>
        <v>ENTREGUE</v>
      </c>
      <c r="G1511" s="303"/>
      <c r="H1511" s="304"/>
    </row>
    <row r="1512">
      <c r="A1512" s="302" t="s">
        <v>112</v>
      </c>
      <c r="B1512" s="291" t="s">
        <v>10277</v>
      </c>
      <c r="C1512" s="292" t="s">
        <v>48</v>
      </c>
      <c r="D1512" s="293">
        <f t="shared" si="2"/>
        <v>1</v>
      </c>
      <c r="E1512" s="294"/>
      <c r="F1512" s="295" t="str">
        <f>IFERROR(__xludf.DUMMYFUNCTION("IF(B1512="""","""",IFERROR(VLOOKUP(TO_TEXT(B1512),PEDIDOS!D:I,6,0),IFERROR(VLOOKUP(B1512*1,PEDIDOS!D:I,6,0),"" "")))"),"ENTREGUE")</f>
        <v>ENTREGUE</v>
      </c>
      <c r="G1512" s="303"/>
      <c r="H1512" s="304"/>
    </row>
    <row r="1513">
      <c r="A1513" s="302" t="s">
        <v>112</v>
      </c>
      <c r="B1513" s="291" t="s">
        <v>10273</v>
      </c>
      <c r="C1513" s="292" t="s">
        <v>48</v>
      </c>
      <c r="D1513" s="293">
        <f t="shared" si="2"/>
        <v>1</v>
      </c>
      <c r="E1513" s="294"/>
      <c r="F1513" s="295" t="str">
        <f>IFERROR(__xludf.DUMMYFUNCTION("IF(B1513="""","""",IFERROR(VLOOKUP(TO_TEXT(B1513),PEDIDOS!D:I,6,0),IFERROR(VLOOKUP(B1513*1,PEDIDOS!D:I,6,0),"" "")))"),"ENTREGUE")</f>
        <v>ENTREGUE</v>
      </c>
      <c r="G1513" s="303"/>
      <c r="H1513" s="304"/>
    </row>
    <row r="1514">
      <c r="A1514" s="302" t="s">
        <v>112</v>
      </c>
      <c r="B1514" s="291" t="s">
        <v>9726</v>
      </c>
      <c r="C1514" s="292" t="s">
        <v>48</v>
      </c>
      <c r="D1514" s="293">
        <f t="shared" si="2"/>
        <v>1</v>
      </c>
      <c r="E1514" s="294"/>
      <c r="F1514" s="295" t="str">
        <f>IFERROR(__xludf.DUMMYFUNCTION("IF(B1514="""","""",IFERROR(VLOOKUP(TO_TEXT(B1514),PEDIDOS!D:I,6,0),IFERROR(VLOOKUP(B1514*1,PEDIDOS!D:I,6,0),"" "")))"),"ENTREGUE")</f>
        <v>ENTREGUE</v>
      </c>
      <c r="G1514" s="303"/>
      <c r="H1514" s="304"/>
    </row>
    <row r="1515">
      <c r="A1515" s="302" t="s">
        <v>112</v>
      </c>
      <c r="B1515" s="291" t="s">
        <v>11729</v>
      </c>
      <c r="C1515" s="292" t="s">
        <v>48</v>
      </c>
      <c r="D1515" s="293">
        <f t="shared" si="2"/>
        <v>1</v>
      </c>
      <c r="E1515" s="294"/>
      <c r="F1515" s="295" t="str">
        <f>IFERROR(__xludf.DUMMYFUNCTION("IF(B1515="""","""",IFERROR(VLOOKUP(TO_TEXT(B1515),PEDIDOS!D:I,6,0),IFERROR(VLOOKUP(B1515*1,PEDIDOS!D:I,6,0),"" "")))"),"ENTREGUE")</f>
        <v>ENTREGUE</v>
      </c>
      <c r="G1515" s="303"/>
      <c r="H1515" s="304"/>
    </row>
    <row r="1516">
      <c r="A1516" s="302" t="s">
        <v>112</v>
      </c>
      <c r="B1516" s="291" t="s">
        <v>11577</v>
      </c>
      <c r="C1516" s="292" t="s">
        <v>48</v>
      </c>
      <c r="D1516" s="293">
        <f t="shared" si="2"/>
        <v>1</v>
      </c>
      <c r="E1516" s="294"/>
      <c r="F1516" s="295" t="str">
        <f>IFERROR(__xludf.DUMMYFUNCTION("IF(B1516="""","""",IFERROR(VLOOKUP(TO_TEXT(B1516),PEDIDOS!D:I,6,0),IFERROR(VLOOKUP(B1516*1,PEDIDOS!D:I,6,0),"" "")))"),"ENTREGUE")</f>
        <v>ENTREGUE</v>
      </c>
      <c r="G1516" s="303"/>
      <c r="H1516" s="304"/>
    </row>
    <row r="1517">
      <c r="A1517" s="302" t="s">
        <v>112</v>
      </c>
      <c r="B1517" s="291" t="s">
        <v>9197</v>
      </c>
      <c r="C1517" s="292" t="s">
        <v>48</v>
      </c>
      <c r="D1517" s="293">
        <f t="shared" si="2"/>
        <v>1</v>
      </c>
      <c r="E1517" s="294"/>
      <c r="F1517" s="295" t="str">
        <f>IFERROR(__xludf.DUMMYFUNCTION("IF(B1517="""","""",IFERROR(VLOOKUP(TO_TEXT(B1517),PEDIDOS!D:I,6,0),IFERROR(VLOOKUP(B1517*1,PEDIDOS!D:I,6,0),"" "")))"),"ENTREGUE")</f>
        <v>ENTREGUE</v>
      </c>
      <c r="G1517" s="303"/>
      <c r="H1517" s="304"/>
    </row>
    <row r="1518">
      <c r="A1518" s="302" t="s">
        <v>112</v>
      </c>
      <c r="B1518" s="291" t="s">
        <v>9609</v>
      </c>
      <c r="C1518" s="292" t="s">
        <v>48</v>
      </c>
      <c r="D1518" s="293">
        <f t="shared" si="2"/>
        <v>1</v>
      </c>
      <c r="E1518" s="294"/>
      <c r="F1518" s="295" t="str">
        <f>IFERROR(__xludf.DUMMYFUNCTION("IF(B1518="""","""",IFERROR(VLOOKUP(TO_TEXT(B1518),PEDIDOS!D:I,6,0),IFERROR(VLOOKUP(B1518*1,PEDIDOS!D:I,6,0),"" "")))"),"ENTREGUE")</f>
        <v>ENTREGUE</v>
      </c>
      <c r="G1518" s="303"/>
      <c r="H1518" s="304"/>
    </row>
    <row r="1519">
      <c r="A1519" s="302" t="s">
        <v>112</v>
      </c>
      <c r="B1519" s="291" t="s">
        <v>9276</v>
      </c>
      <c r="C1519" s="292" t="s">
        <v>48</v>
      </c>
      <c r="D1519" s="293">
        <f t="shared" si="2"/>
        <v>1</v>
      </c>
      <c r="E1519" s="294"/>
      <c r="F1519" s="295" t="str">
        <f>IFERROR(__xludf.DUMMYFUNCTION("IF(B1519="""","""",IFERROR(VLOOKUP(TO_TEXT(B1519),PEDIDOS!D:I,6,0),IFERROR(VLOOKUP(B1519*1,PEDIDOS!D:I,6,0),"" "")))"),"ENTREGUE")</f>
        <v>ENTREGUE</v>
      </c>
      <c r="G1519" s="303"/>
      <c r="H1519" s="304"/>
    </row>
    <row r="1520">
      <c r="A1520" s="302" t="s">
        <v>112</v>
      </c>
      <c r="B1520" s="291" t="s">
        <v>9730</v>
      </c>
      <c r="C1520" s="292" t="s">
        <v>48</v>
      </c>
      <c r="D1520" s="293">
        <f t="shared" si="2"/>
        <v>1</v>
      </c>
      <c r="E1520" s="294"/>
      <c r="F1520" s="295" t="str">
        <f>IFERROR(__xludf.DUMMYFUNCTION("IF(B1520="""","""",IFERROR(VLOOKUP(TO_TEXT(B1520),PEDIDOS!D:I,6,0),IFERROR(VLOOKUP(B1520*1,PEDIDOS!D:I,6,0),"" "")))"),"ENTREGUE")</f>
        <v>ENTREGUE</v>
      </c>
      <c r="G1520" s="303"/>
      <c r="H1520" s="304"/>
    </row>
    <row r="1521">
      <c r="A1521" s="302" t="s">
        <v>112</v>
      </c>
      <c r="B1521" s="291" t="s">
        <v>9451</v>
      </c>
      <c r="C1521" s="292" t="s">
        <v>48</v>
      </c>
      <c r="D1521" s="293">
        <f t="shared" si="2"/>
        <v>1</v>
      </c>
      <c r="E1521" s="294"/>
      <c r="F1521" s="295" t="str">
        <f>IFERROR(__xludf.DUMMYFUNCTION("IF(B1521="""","""",IFERROR(VLOOKUP(TO_TEXT(B1521),PEDIDOS!D:I,6,0),IFERROR(VLOOKUP(B1521*1,PEDIDOS!D:I,6,0),"" "")))"),"ENTREGUE")</f>
        <v>ENTREGUE</v>
      </c>
      <c r="G1521" s="303"/>
      <c r="H1521" s="304"/>
    </row>
    <row r="1522">
      <c r="A1522" s="302" t="s">
        <v>112</v>
      </c>
      <c r="B1522" s="291" t="s">
        <v>9425</v>
      </c>
      <c r="C1522" s="292" t="s">
        <v>48</v>
      </c>
      <c r="D1522" s="293">
        <f t="shared" si="2"/>
        <v>1</v>
      </c>
      <c r="E1522" s="294"/>
      <c r="F1522" s="295" t="str">
        <f>IFERROR(__xludf.DUMMYFUNCTION("IF(B1522="""","""",IFERROR(VLOOKUP(TO_TEXT(B1522),PEDIDOS!D:I,6,0),IFERROR(VLOOKUP(B1522*1,PEDIDOS!D:I,6,0),"" "")))"),"ENTREGUE")</f>
        <v>ENTREGUE</v>
      </c>
      <c r="G1522" s="303"/>
      <c r="H1522" s="304"/>
    </row>
    <row r="1523">
      <c r="A1523" s="302" t="s">
        <v>112</v>
      </c>
      <c r="B1523" s="291" t="s">
        <v>9550</v>
      </c>
      <c r="C1523" s="292" t="s">
        <v>48</v>
      </c>
      <c r="D1523" s="293">
        <f t="shared" si="2"/>
        <v>1</v>
      </c>
      <c r="E1523" s="294"/>
      <c r="F1523" s="295" t="str">
        <f>IFERROR(__xludf.DUMMYFUNCTION("IF(B1523="""","""",IFERROR(VLOOKUP(TO_TEXT(B1523),PEDIDOS!D:I,6,0),IFERROR(VLOOKUP(B1523*1,PEDIDOS!D:I,6,0),"" "")))"),"ENTREGUE")</f>
        <v>ENTREGUE</v>
      </c>
      <c r="G1523" s="303"/>
      <c r="H1523" s="304"/>
    </row>
    <row r="1524">
      <c r="A1524" s="302" t="s">
        <v>47</v>
      </c>
      <c r="B1524" s="291" t="s">
        <v>8712</v>
      </c>
      <c r="C1524" s="292" t="s">
        <v>48</v>
      </c>
      <c r="D1524" s="293">
        <f t="shared" si="2"/>
        <v>1</v>
      </c>
      <c r="E1524" s="294"/>
      <c r="F1524" s="295" t="str">
        <f>IFERROR(__xludf.DUMMYFUNCTION("IF(B1524="""","""",IFERROR(VLOOKUP(TO_TEXT(B1524),PEDIDOS!D:I,6,0),IFERROR(VLOOKUP(B1524*1,PEDIDOS!D:I,6,0),"" "")))"),"ENTREGUE")</f>
        <v>ENTREGUE</v>
      </c>
      <c r="G1524" s="303"/>
      <c r="H1524" s="304"/>
    </row>
    <row r="1525">
      <c r="A1525" s="302" t="s">
        <v>47</v>
      </c>
      <c r="B1525" s="291" t="s">
        <v>8908</v>
      </c>
      <c r="C1525" s="292" t="s">
        <v>48</v>
      </c>
      <c r="D1525" s="293">
        <f t="shared" si="2"/>
        <v>1</v>
      </c>
      <c r="E1525" s="294"/>
      <c r="F1525" s="295" t="str">
        <f>IFERROR(__xludf.DUMMYFUNCTION("IF(B1525="""","""",IFERROR(VLOOKUP(TO_TEXT(B1525),PEDIDOS!D:I,6,0),IFERROR(VLOOKUP(B1525*1,PEDIDOS!D:I,6,0),"" "")))"),"ENTREGUE")</f>
        <v>ENTREGUE</v>
      </c>
      <c r="G1525" s="303"/>
      <c r="H1525" s="304"/>
    </row>
    <row r="1526">
      <c r="A1526" s="302" t="s">
        <v>47</v>
      </c>
      <c r="B1526" s="291" t="s">
        <v>13230</v>
      </c>
      <c r="C1526" s="292" t="s">
        <v>48</v>
      </c>
      <c r="D1526" s="293">
        <f t="shared" si="2"/>
        <v>1</v>
      </c>
      <c r="E1526" s="294"/>
      <c r="F1526" s="295" t="str">
        <f>IFERROR(__xludf.DUMMYFUNCTION("IF(B1526="""","""",IFERROR(VLOOKUP(TO_TEXT(B1526),PEDIDOS!D:I,6,0),IFERROR(VLOOKUP(B1526*1,PEDIDOS!D:I,6,0),"" "")))"),"ENTREGUE")</f>
        <v>ENTREGUE</v>
      </c>
      <c r="G1526" s="303"/>
      <c r="H1526" s="304"/>
    </row>
    <row r="1527">
      <c r="A1527" s="302" t="s">
        <v>47</v>
      </c>
      <c r="B1527" s="291" t="s">
        <v>13434</v>
      </c>
      <c r="C1527" s="292" t="s">
        <v>48</v>
      </c>
      <c r="D1527" s="293">
        <f t="shared" si="2"/>
        <v>1</v>
      </c>
      <c r="E1527" s="294"/>
      <c r="F1527" s="295" t="str">
        <f>IFERROR(__xludf.DUMMYFUNCTION("IF(B1527="""","""",IFERROR(VLOOKUP(TO_TEXT(B1527),PEDIDOS!D:I,6,0),IFERROR(VLOOKUP(B1527*1,PEDIDOS!D:I,6,0),"" "")))"),"ENTREGUE")</f>
        <v>ENTREGUE</v>
      </c>
      <c r="G1527" s="303"/>
      <c r="H1527" s="304"/>
    </row>
    <row r="1528">
      <c r="A1528" s="302" t="s">
        <v>47</v>
      </c>
      <c r="B1528" s="291" t="s">
        <v>8595</v>
      </c>
      <c r="C1528" s="292" t="s">
        <v>48</v>
      </c>
      <c r="D1528" s="293">
        <f t="shared" si="2"/>
        <v>1</v>
      </c>
      <c r="E1528" s="294"/>
      <c r="F1528" s="295" t="str">
        <f>IFERROR(__xludf.DUMMYFUNCTION("IF(B1528="""","""",IFERROR(VLOOKUP(TO_TEXT(B1528),PEDIDOS!D:I,6,0),IFERROR(VLOOKUP(B1528*1,PEDIDOS!D:I,6,0),"" "")))"),"ENTREGUE")</f>
        <v>ENTREGUE</v>
      </c>
      <c r="G1528" s="303"/>
      <c r="H1528" s="304"/>
    </row>
    <row r="1529">
      <c r="A1529" s="302" t="s">
        <v>47</v>
      </c>
      <c r="B1529" s="291" t="s">
        <v>8671</v>
      </c>
      <c r="C1529" s="292" t="s">
        <v>48</v>
      </c>
      <c r="D1529" s="293">
        <f t="shared" si="2"/>
        <v>1</v>
      </c>
      <c r="E1529" s="294"/>
      <c r="F1529" s="295" t="str">
        <f>IFERROR(__xludf.DUMMYFUNCTION("IF(B1529="""","""",IFERROR(VLOOKUP(TO_TEXT(B1529),PEDIDOS!D:I,6,0),IFERROR(VLOOKUP(B1529*1,PEDIDOS!D:I,6,0),"" "")))"),"ENTREGUE")</f>
        <v>ENTREGUE</v>
      </c>
      <c r="G1529" s="303"/>
      <c r="H1529" s="304"/>
    </row>
    <row r="1530">
      <c r="A1530" s="302" t="s">
        <v>47</v>
      </c>
      <c r="B1530" s="291" t="s">
        <v>23374</v>
      </c>
      <c r="C1530" s="292" t="s">
        <v>48</v>
      </c>
      <c r="D1530" s="293">
        <f t="shared" si="2"/>
        <v>1</v>
      </c>
      <c r="E1530" s="294"/>
      <c r="F1530" s="295" t="str">
        <f>IFERROR(__xludf.DUMMYFUNCTION("IF(B1530="""","""",IFERROR(VLOOKUP(TO_TEXT(B1530),PEDIDOS!D:I,6,0),IFERROR(VLOOKUP(B1530*1,PEDIDOS!D:I,6,0),"" "")))")," ")</f>
        <v> </v>
      </c>
      <c r="G1530" s="303" t="s">
        <v>23350</v>
      </c>
      <c r="H1530" s="304"/>
    </row>
    <row r="1531">
      <c r="A1531" s="302" t="s">
        <v>47</v>
      </c>
      <c r="B1531" s="291" t="s">
        <v>9320</v>
      </c>
      <c r="C1531" s="292" t="s">
        <v>48</v>
      </c>
      <c r="D1531" s="293">
        <f t="shared" si="2"/>
        <v>1</v>
      </c>
      <c r="E1531" s="294"/>
      <c r="F1531" s="295" t="str">
        <f>IFERROR(__xludf.DUMMYFUNCTION("IF(B1531="""","""",IFERROR(VLOOKUP(TO_TEXT(B1531),PEDIDOS!D:I,6,0),IFERROR(VLOOKUP(B1531*1,PEDIDOS!D:I,6,0),"" "")))"),"ENTREGUE")</f>
        <v>ENTREGUE</v>
      </c>
      <c r="G1531" s="303"/>
      <c r="H1531" s="304"/>
    </row>
    <row r="1532">
      <c r="A1532" s="302" t="s">
        <v>47</v>
      </c>
      <c r="B1532" s="291" t="s">
        <v>9737</v>
      </c>
      <c r="C1532" s="292" t="s">
        <v>48</v>
      </c>
      <c r="D1532" s="293">
        <f t="shared" si="2"/>
        <v>1</v>
      </c>
      <c r="E1532" s="294"/>
      <c r="F1532" s="295" t="str">
        <f>IFERROR(__xludf.DUMMYFUNCTION("IF(B1532="""","""",IFERROR(VLOOKUP(TO_TEXT(B1532),PEDIDOS!D:I,6,0),IFERROR(VLOOKUP(B1532*1,PEDIDOS!D:I,6,0),"" "")))"),"ENTREGUE")</f>
        <v>ENTREGUE</v>
      </c>
      <c r="G1532" s="303"/>
      <c r="H1532" s="304"/>
    </row>
    <row r="1533">
      <c r="A1533" s="302" t="s">
        <v>47</v>
      </c>
      <c r="B1533" s="291" t="s">
        <v>13508</v>
      </c>
      <c r="C1533" s="292" t="s">
        <v>48</v>
      </c>
      <c r="D1533" s="293">
        <f t="shared" si="2"/>
        <v>1</v>
      </c>
      <c r="E1533" s="294"/>
      <c r="F1533" s="295" t="str">
        <f>IFERROR(__xludf.DUMMYFUNCTION("IF(B1533="""","""",IFERROR(VLOOKUP(TO_TEXT(B1533),PEDIDOS!D:I,6,0),IFERROR(VLOOKUP(B1533*1,PEDIDOS!D:I,6,0),"" "")))"),"ENTREGUE")</f>
        <v>ENTREGUE</v>
      </c>
      <c r="G1533" s="303"/>
      <c r="H1533" s="304"/>
    </row>
    <row r="1534">
      <c r="A1534" s="302" t="s">
        <v>47</v>
      </c>
      <c r="B1534" s="291" t="s">
        <v>23375</v>
      </c>
      <c r="C1534" s="292" t="s">
        <v>48</v>
      </c>
      <c r="D1534" s="293">
        <f t="shared" si="2"/>
        <v>1</v>
      </c>
      <c r="E1534" s="294"/>
      <c r="F1534" s="295" t="str">
        <f>IFERROR(__xludf.DUMMYFUNCTION("IF(B1534="""","""",IFERROR(VLOOKUP(TO_TEXT(B1534),PEDIDOS!D:I,6,0),IFERROR(VLOOKUP(B1534*1,PEDIDOS!D:I,6,0),"" "")))")," ")</f>
        <v> </v>
      </c>
      <c r="G1534" s="303" t="s">
        <v>23350</v>
      </c>
      <c r="H1534" s="304"/>
    </row>
    <row r="1535">
      <c r="A1535" s="302" t="s">
        <v>47</v>
      </c>
      <c r="B1535" s="291" t="s">
        <v>13337</v>
      </c>
      <c r="C1535" s="292" t="s">
        <v>48</v>
      </c>
      <c r="D1535" s="293">
        <f t="shared" si="2"/>
        <v>1</v>
      </c>
      <c r="E1535" s="294"/>
      <c r="F1535" s="295" t="str">
        <f>IFERROR(__xludf.DUMMYFUNCTION("IF(B1535="""","""",IFERROR(VLOOKUP(TO_TEXT(B1535),PEDIDOS!D:I,6,0),IFERROR(VLOOKUP(B1535*1,PEDIDOS!D:I,6,0),"" "")))"),"ENTREGUE")</f>
        <v>ENTREGUE</v>
      </c>
      <c r="G1535" s="303"/>
      <c r="H1535" s="304"/>
    </row>
    <row r="1536">
      <c r="A1536" s="302" t="s">
        <v>47</v>
      </c>
      <c r="B1536" s="291" t="s">
        <v>9244</v>
      </c>
      <c r="C1536" s="292" t="s">
        <v>48</v>
      </c>
      <c r="D1536" s="293">
        <f t="shared" si="2"/>
        <v>1</v>
      </c>
      <c r="E1536" s="294"/>
      <c r="F1536" s="295" t="str">
        <f>IFERROR(__xludf.DUMMYFUNCTION("IF(B1536="""","""",IFERROR(VLOOKUP(TO_TEXT(B1536),PEDIDOS!D:I,6,0),IFERROR(VLOOKUP(B1536*1,PEDIDOS!D:I,6,0),"" "")))"),"ENTREGUE")</f>
        <v>ENTREGUE</v>
      </c>
      <c r="G1536" s="303"/>
      <c r="H1536" s="304"/>
    </row>
    <row r="1537">
      <c r="A1537" s="302" t="s">
        <v>47</v>
      </c>
      <c r="B1537" s="291" t="s">
        <v>13577</v>
      </c>
      <c r="C1537" s="292" t="s">
        <v>48</v>
      </c>
      <c r="D1537" s="293">
        <f t="shared" si="2"/>
        <v>1</v>
      </c>
      <c r="E1537" s="294"/>
      <c r="F1537" s="295" t="str">
        <f>IFERROR(__xludf.DUMMYFUNCTION("IF(B1537="""","""",IFERROR(VLOOKUP(TO_TEXT(B1537),PEDIDOS!D:I,6,0),IFERROR(VLOOKUP(B1537*1,PEDIDOS!D:I,6,0),"" "")))"),"ENTREGUE")</f>
        <v>ENTREGUE</v>
      </c>
      <c r="G1537" s="303"/>
      <c r="H1537" s="304"/>
    </row>
    <row r="1538">
      <c r="A1538" s="302" t="s">
        <v>47</v>
      </c>
      <c r="B1538" s="291" t="s">
        <v>13644</v>
      </c>
      <c r="C1538" s="292" t="s">
        <v>48</v>
      </c>
      <c r="D1538" s="293">
        <f t="shared" si="2"/>
        <v>1</v>
      </c>
      <c r="E1538" s="294"/>
      <c r="F1538" s="295" t="str">
        <f>IFERROR(__xludf.DUMMYFUNCTION("IF(B1538="""","""",IFERROR(VLOOKUP(TO_TEXT(B1538),PEDIDOS!D:I,6,0),IFERROR(VLOOKUP(B1538*1,PEDIDOS!D:I,6,0),"" "")))"),"ENTREGUE")</f>
        <v>ENTREGUE</v>
      </c>
      <c r="G1538" s="303"/>
      <c r="H1538" s="304"/>
    </row>
    <row r="1539">
      <c r="A1539" s="302" t="s">
        <v>47</v>
      </c>
      <c r="B1539" s="291" t="s">
        <v>13790</v>
      </c>
      <c r="C1539" s="292" t="s">
        <v>48</v>
      </c>
      <c r="D1539" s="293">
        <f t="shared" si="2"/>
        <v>1</v>
      </c>
      <c r="E1539" s="294"/>
      <c r="F1539" s="295" t="str">
        <f>IFERROR(__xludf.DUMMYFUNCTION("IF(B1539="""","""",IFERROR(VLOOKUP(TO_TEXT(B1539),PEDIDOS!D:I,6,0),IFERROR(VLOOKUP(B1539*1,PEDIDOS!D:I,6,0),"" "")))"),"ENTREGUE")</f>
        <v>ENTREGUE</v>
      </c>
      <c r="G1539" s="303"/>
      <c r="H1539" s="304"/>
    </row>
    <row r="1540">
      <c r="A1540" s="302" t="s">
        <v>47</v>
      </c>
      <c r="B1540" s="291" t="s">
        <v>13863</v>
      </c>
      <c r="C1540" s="292" t="s">
        <v>48</v>
      </c>
      <c r="D1540" s="293">
        <f t="shared" si="2"/>
        <v>1</v>
      </c>
      <c r="E1540" s="294"/>
      <c r="F1540" s="295" t="str">
        <f>IFERROR(__xludf.DUMMYFUNCTION("IF(B1540="""","""",IFERROR(VLOOKUP(TO_TEXT(B1540),PEDIDOS!D:I,6,0),IFERROR(VLOOKUP(B1540*1,PEDIDOS!D:I,6,0),"" "")))"),"ENTREGUE")</f>
        <v>ENTREGUE</v>
      </c>
      <c r="G1540" s="303"/>
      <c r="H1540" s="304"/>
    </row>
    <row r="1541">
      <c r="A1541" s="302" t="s">
        <v>47</v>
      </c>
      <c r="B1541" s="291" t="s">
        <v>14036</v>
      </c>
      <c r="C1541" s="292" t="s">
        <v>48</v>
      </c>
      <c r="D1541" s="293">
        <f t="shared" si="2"/>
        <v>1</v>
      </c>
      <c r="E1541" s="294"/>
      <c r="F1541" s="295" t="str">
        <f>IFERROR(__xludf.DUMMYFUNCTION("IF(B1541="""","""",IFERROR(VLOOKUP(TO_TEXT(B1541),PEDIDOS!D:I,6,0),IFERROR(VLOOKUP(B1541*1,PEDIDOS!D:I,6,0),"" "")))"),"ENTREGUE")</f>
        <v>ENTREGUE</v>
      </c>
      <c r="G1541" s="303"/>
      <c r="H1541" s="304"/>
    </row>
    <row r="1542">
      <c r="A1542" s="302" t="s">
        <v>47</v>
      </c>
      <c r="B1542" s="291" t="s">
        <v>14140</v>
      </c>
      <c r="C1542" s="292" t="s">
        <v>48</v>
      </c>
      <c r="D1542" s="293">
        <f t="shared" si="2"/>
        <v>1</v>
      </c>
      <c r="E1542" s="294"/>
      <c r="F1542" s="295" t="str">
        <f>IFERROR(__xludf.DUMMYFUNCTION("IF(B1542="""","""",IFERROR(VLOOKUP(TO_TEXT(B1542),PEDIDOS!D:I,6,0),IFERROR(VLOOKUP(B1542*1,PEDIDOS!D:I,6,0),"" "")))"),"ENTREGUE")</f>
        <v>ENTREGUE</v>
      </c>
      <c r="G1542" s="303"/>
      <c r="H1542" s="304"/>
    </row>
    <row r="1543">
      <c r="A1543" s="302" t="s">
        <v>47</v>
      </c>
      <c r="B1543" s="291" t="s">
        <v>23376</v>
      </c>
      <c r="C1543" s="292" t="s">
        <v>48</v>
      </c>
      <c r="D1543" s="293">
        <f t="shared" si="2"/>
        <v>1</v>
      </c>
      <c r="E1543" s="294"/>
      <c r="F1543" s="295" t="str">
        <f>IFERROR(__xludf.DUMMYFUNCTION("IF(B1543="""","""",IFERROR(VLOOKUP(TO_TEXT(B1543),PEDIDOS!D:I,6,0),IFERROR(VLOOKUP(B1543*1,PEDIDOS!D:I,6,0),"" "")))")," ")</f>
        <v> </v>
      </c>
      <c r="G1543" s="303" t="s">
        <v>23334</v>
      </c>
      <c r="H1543" s="304"/>
    </row>
    <row r="1544">
      <c r="A1544" s="302" t="s">
        <v>47</v>
      </c>
      <c r="B1544" s="291" t="s">
        <v>9031</v>
      </c>
      <c r="C1544" s="292" t="s">
        <v>48</v>
      </c>
      <c r="D1544" s="293">
        <f t="shared" si="2"/>
        <v>1</v>
      </c>
      <c r="E1544" s="294"/>
      <c r="F1544" s="295" t="str">
        <f>IFERROR(__xludf.DUMMYFUNCTION("IF(B1544="""","""",IFERROR(VLOOKUP(TO_TEXT(B1544),PEDIDOS!D:I,6,0),IFERROR(VLOOKUP(B1544*1,PEDIDOS!D:I,6,0),"" "")))"),"ENTREGUE")</f>
        <v>ENTREGUE</v>
      </c>
      <c r="G1544" s="303"/>
      <c r="H1544" s="304"/>
    </row>
    <row r="1545">
      <c r="A1545" s="302" t="s">
        <v>47</v>
      </c>
      <c r="B1545" s="291" t="s">
        <v>23377</v>
      </c>
      <c r="C1545" s="292" t="s">
        <v>48</v>
      </c>
      <c r="D1545" s="293">
        <f t="shared" si="2"/>
        <v>1</v>
      </c>
      <c r="E1545" s="294"/>
      <c r="F1545" s="295" t="str">
        <f>IFERROR(__xludf.DUMMYFUNCTION("IF(B1545="""","""",IFERROR(VLOOKUP(TO_TEXT(B1545),PEDIDOS!D:I,6,0),IFERROR(VLOOKUP(B1545*1,PEDIDOS!D:I,6,0),"" "")))")," ")</f>
        <v> </v>
      </c>
      <c r="G1545" s="303" t="s">
        <v>23334</v>
      </c>
      <c r="H1545" s="304"/>
    </row>
    <row r="1546">
      <c r="A1546" s="302" t="s">
        <v>47</v>
      </c>
      <c r="B1546" s="291" t="s">
        <v>23378</v>
      </c>
      <c r="C1546" s="292" t="s">
        <v>48</v>
      </c>
      <c r="D1546" s="293">
        <f t="shared" si="2"/>
        <v>1</v>
      </c>
      <c r="E1546" s="294"/>
      <c r="F1546" s="295" t="str">
        <f>IFERROR(__xludf.DUMMYFUNCTION("IF(B1546="""","""",IFERROR(VLOOKUP(TO_TEXT(B1546),PEDIDOS!D:I,6,0),IFERROR(VLOOKUP(B1546*1,PEDIDOS!D:I,6,0),"" "")))")," ")</f>
        <v> </v>
      </c>
      <c r="G1546" s="303" t="s">
        <v>23334</v>
      </c>
      <c r="H1546" s="304"/>
    </row>
    <row r="1547">
      <c r="A1547" s="302" t="s">
        <v>47</v>
      </c>
      <c r="B1547" s="291" t="s">
        <v>10551</v>
      </c>
      <c r="C1547" s="292" t="s">
        <v>48</v>
      </c>
      <c r="D1547" s="293">
        <f t="shared" si="2"/>
        <v>1</v>
      </c>
      <c r="E1547" s="294"/>
      <c r="F1547" s="295" t="str">
        <f>IFERROR(__xludf.DUMMYFUNCTION("IF(B1547="""","""",IFERROR(VLOOKUP(TO_TEXT(B1547),PEDIDOS!D:I,6,0),IFERROR(VLOOKUP(B1547*1,PEDIDOS!D:I,6,0),"" "")))"),"ENTREGUE")</f>
        <v>ENTREGUE</v>
      </c>
      <c r="G1547" s="303"/>
      <c r="H1547" s="304"/>
    </row>
    <row r="1548">
      <c r="A1548" s="302" t="s">
        <v>47</v>
      </c>
      <c r="B1548" s="291" t="s">
        <v>9026</v>
      </c>
      <c r="C1548" s="292" t="s">
        <v>48</v>
      </c>
      <c r="D1548" s="293">
        <f t="shared" si="2"/>
        <v>1</v>
      </c>
      <c r="E1548" s="294"/>
      <c r="F1548" s="295" t="str">
        <f>IFERROR(__xludf.DUMMYFUNCTION("IF(B1548="""","""",IFERROR(VLOOKUP(TO_TEXT(B1548),PEDIDOS!D:I,6,0),IFERROR(VLOOKUP(B1548*1,PEDIDOS!D:I,6,0),"" "")))"),"ENTREGUE")</f>
        <v>ENTREGUE</v>
      </c>
      <c r="G1548" s="303"/>
      <c r="H1548" s="304"/>
    </row>
    <row r="1549">
      <c r="A1549" s="302" t="s">
        <v>47</v>
      </c>
      <c r="B1549" s="291" t="s">
        <v>9241</v>
      </c>
      <c r="C1549" s="292" t="s">
        <v>48</v>
      </c>
      <c r="D1549" s="293">
        <f t="shared" si="2"/>
        <v>1</v>
      </c>
      <c r="E1549" s="294"/>
      <c r="F1549" s="295" t="str">
        <f>IFERROR(__xludf.DUMMYFUNCTION("IF(B1549="""","""",IFERROR(VLOOKUP(TO_TEXT(B1549),PEDIDOS!D:I,6,0),IFERROR(VLOOKUP(B1549*1,PEDIDOS!D:I,6,0),"" "")))"),"ENTREGUE")</f>
        <v>ENTREGUE</v>
      </c>
      <c r="G1549" s="303"/>
      <c r="H1549" s="304"/>
    </row>
    <row r="1550">
      <c r="A1550" s="302" t="s">
        <v>47</v>
      </c>
      <c r="B1550" s="291" t="s">
        <v>9237</v>
      </c>
      <c r="C1550" s="292" t="s">
        <v>48</v>
      </c>
      <c r="D1550" s="293">
        <f t="shared" si="2"/>
        <v>1</v>
      </c>
      <c r="E1550" s="294"/>
      <c r="F1550" s="295" t="str">
        <f>IFERROR(__xludf.DUMMYFUNCTION("IF(B1550="""","""",IFERROR(VLOOKUP(TO_TEXT(B1550),PEDIDOS!D:I,6,0),IFERROR(VLOOKUP(B1550*1,PEDIDOS!D:I,6,0),"" "")))"),"ENTREGUE")</f>
        <v>ENTREGUE</v>
      </c>
      <c r="G1550" s="303"/>
      <c r="H1550" s="304"/>
    </row>
    <row r="1551">
      <c r="A1551" s="302" t="s">
        <v>47</v>
      </c>
      <c r="B1551" s="291" t="s">
        <v>10611</v>
      </c>
      <c r="C1551" s="292" t="s">
        <v>48</v>
      </c>
      <c r="D1551" s="293">
        <f t="shared" si="2"/>
        <v>1</v>
      </c>
      <c r="E1551" s="294"/>
      <c r="F1551" s="295" t="str">
        <f>IFERROR(__xludf.DUMMYFUNCTION("IF(B1551="""","""",IFERROR(VLOOKUP(TO_TEXT(B1551),PEDIDOS!D:I,6,0),IFERROR(VLOOKUP(B1551*1,PEDIDOS!D:I,6,0),"" "")))"),"ENTREGUE")</f>
        <v>ENTREGUE</v>
      </c>
      <c r="G1551" s="303"/>
      <c r="H1551" s="304"/>
    </row>
    <row r="1552">
      <c r="A1552" s="302" t="s">
        <v>47</v>
      </c>
      <c r="B1552" s="291" t="s">
        <v>9437</v>
      </c>
      <c r="C1552" s="292" t="s">
        <v>48</v>
      </c>
      <c r="D1552" s="293">
        <f t="shared" si="2"/>
        <v>1</v>
      </c>
      <c r="E1552" s="294"/>
      <c r="F1552" s="295" t="str">
        <f>IFERROR(__xludf.DUMMYFUNCTION("IF(B1552="""","""",IFERROR(VLOOKUP(TO_TEXT(B1552),PEDIDOS!D:I,6,0),IFERROR(VLOOKUP(B1552*1,PEDIDOS!D:I,6,0),"" "")))"),"ENTREGUE")</f>
        <v>ENTREGUE</v>
      </c>
      <c r="G1552" s="303"/>
      <c r="H1552" s="304"/>
    </row>
    <row r="1553">
      <c r="A1553" s="302" t="s">
        <v>47</v>
      </c>
      <c r="B1553" s="291" t="s">
        <v>9440</v>
      </c>
      <c r="C1553" s="292" t="s">
        <v>48</v>
      </c>
      <c r="D1553" s="293">
        <f t="shared" si="2"/>
        <v>1</v>
      </c>
      <c r="E1553" s="294"/>
      <c r="F1553" s="295" t="str">
        <f>IFERROR(__xludf.DUMMYFUNCTION("IF(B1553="""","""",IFERROR(VLOOKUP(TO_TEXT(B1553),PEDIDOS!D:I,6,0),IFERROR(VLOOKUP(B1553*1,PEDIDOS!D:I,6,0),"" "")))"),"ENTREGUE")</f>
        <v>ENTREGUE</v>
      </c>
      <c r="G1553" s="303"/>
      <c r="H1553" s="304"/>
    </row>
    <row r="1554">
      <c r="A1554" s="302" t="s">
        <v>47</v>
      </c>
      <c r="B1554" s="291" t="s">
        <v>9433</v>
      </c>
      <c r="C1554" s="292" t="s">
        <v>48</v>
      </c>
      <c r="D1554" s="293">
        <f t="shared" si="2"/>
        <v>1</v>
      </c>
      <c r="E1554" s="294"/>
      <c r="F1554" s="295" t="str">
        <f>IFERROR(__xludf.DUMMYFUNCTION("IF(B1554="""","""",IFERROR(VLOOKUP(TO_TEXT(B1554),PEDIDOS!D:I,6,0),IFERROR(VLOOKUP(B1554*1,PEDIDOS!D:I,6,0),"" "")))"),"ENTREGUE")</f>
        <v>ENTREGUE</v>
      </c>
      <c r="G1554" s="303"/>
      <c r="H1554" s="304"/>
    </row>
    <row r="1555">
      <c r="A1555" s="302" t="s">
        <v>47</v>
      </c>
      <c r="B1555" s="291" t="s">
        <v>10503</v>
      </c>
      <c r="C1555" s="292" t="s">
        <v>48</v>
      </c>
      <c r="D1555" s="293">
        <f t="shared" si="2"/>
        <v>1</v>
      </c>
      <c r="E1555" s="294"/>
      <c r="F1555" s="295" t="str">
        <f>IFERROR(__xludf.DUMMYFUNCTION("IF(B1555="""","""",IFERROR(VLOOKUP(TO_TEXT(B1555),PEDIDOS!D:I,6,0),IFERROR(VLOOKUP(B1555*1,PEDIDOS!D:I,6,0),"" "")))"),"ENTREGUE")</f>
        <v>ENTREGUE</v>
      </c>
      <c r="G1555" s="303"/>
      <c r="H1555" s="304"/>
    </row>
    <row r="1556">
      <c r="A1556" s="302" t="s">
        <v>47</v>
      </c>
      <c r="B1556" s="291" t="s">
        <v>9900</v>
      </c>
      <c r="C1556" s="292" t="s">
        <v>48</v>
      </c>
      <c r="D1556" s="293">
        <f t="shared" si="2"/>
        <v>1</v>
      </c>
      <c r="E1556" s="294"/>
      <c r="F1556" s="295" t="str">
        <f>IFERROR(__xludf.DUMMYFUNCTION("IF(B1556="""","""",IFERROR(VLOOKUP(TO_TEXT(B1556),PEDIDOS!D:I,6,0),IFERROR(VLOOKUP(B1556*1,PEDIDOS!D:I,6,0),"" "")))"),"ENTREGUE")</f>
        <v>ENTREGUE</v>
      </c>
      <c r="G1556" s="303"/>
      <c r="H1556" s="304"/>
    </row>
    <row r="1557">
      <c r="A1557" s="302" t="s">
        <v>47</v>
      </c>
      <c r="B1557" s="291" t="s">
        <v>9146</v>
      </c>
      <c r="C1557" s="292" t="s">
        <v>48</v>
      </c>
      <c r="D1557" s="293">
        <f t="shared" si="2"/>
        <v>1</v>
      </c>
      <c r="E1557" s="294"/>
      <c r="F1557" s="295" t="str">
        <f>IFERROR(__xludf.DUMMYFUNCTION("IF(B1557="""","""",IFERROR(VLOOKUP(TO_TEXT(B1557),PEDIDOS!D:I,6,0),IFERROR(VLOOKUP(B1557*1,PEDIDOS!D:I,6,0),"" "")))"),"ENTREGUE")</f>
        <v>ENTREGUE</v>
      </c>
      <c r="G1557" s="303"/>
      <c r="H1557" s="304"/>
    </row>
    <row r="1558">
      <c r="A1558" s="302" t="s">
        <v>47</v>
      </c>
      <c r="B1558" s="291" t="s">
        <v>10185</v>
      </c>
      <c r="C1558" s="292" t="s">
        <v>48</v>
      </c>
      <c r="D1558" s="293">
        <f t="shared" si="2"/>
        <v>1</v>
      </c>
      <c r="E1558" s="294"/>
      <c r="F1558" s="295" t="str">
        <f>IFERROR(__xludf.DUMMYFUNCTION("IF(B1558="""","""",IFERROR(VLOOKUP(TO_TEXT(B1558),PEDIDOS!D:I,6,0),IFERROR(VLOOKUP(B1558*1,PEDIDOS!D:I,6,0),"" "")))"),"ENTREGUE")</f>
        <v>ENTREGUE</v>
      </c>
      <c r="G1558" s="303"/>
      <c r="H1558" s="304"/>
    </row>
    <row r="1559">
      <c r="A1559" s="302" t="s">
        <v>47</v>
      </c>
      <c r="B1559" s="291" t="s">
        <v>9176</v>
      </c>
      <c r="C1559" s="292" t="s">
        <v>48</v>
      </c>
      <c r="D1559" s="293">
        <f t="shared" si="2"/>
        <v>1</v>
      </c>
      <c r="E1559" s="294"/>
      <c r="F1559" s="295" t="str">
        <f>IFERROR(__xludf.DUMMYFUNCTION("IF(B1559="""","""",IFERROR(VLOOKUP(TO_TEXT(B1559),PEDIDOS!D:I,6,0),IFERROR(VLOOKUP(B1559*1,PEDIDOS!D:I,6,0),"" "")))"),"ENTREGUE")</f>
        <v>ENTREGUE</v>
      </c>
      <c r="G1559" s="303"/>
      <c r="H1559" s="304"/>
    </row>
    <row r="1560">
      <c r="A1560" s="302" t="s">
        <v>47</v>
      </c>
      <c r="B1560" s="291" t="s">
        <v>9248</v>
      </c>
      <c r="C1560" s="292" t="s">
        <v>48</v>
      </c>
      <c r="D1560" s="293">
        <f t="shared" si="2"/>
        <v>1</v>
      </c>
      <c r="E1560" s="294"/>
      <c r="F1560" s="295" t="str">
        <f>IFERROR(__xludf.DUMMYFUNCTION("IF(B1560="""","""",IFERROR(VLOOKUP(TO_TEXT(B1560),PEDIDOS!D:I,6,0),IFERROR(VLOOKUP(B1560*1,PEDIDOS!D:I,6,0),"" "")))"),"ENTREGUE")</f>
        <v>ENTREGUE</v>
      </c>
      <c r="G1560" s="303"/>
      <c r="H1560" s="304"/>
    </row>
    <row r="1561">
      <c r="A1561" s="302" t="s">
        <v>47</v>
      </c>
      <c r="B1561" s="291" t="s">
        <v>10180</v>
      </c>
      <c r="C1561" s="292" t="s">
        <v>48</v>
      </c>
      <c r="D1561" s="293">
        <f t="shared" si="2"/>
        <v>1</v>
      </c>
      <c r="E1561" s="294"/>
      <c r="F1561" s="295" t="str">
        <f>IFERROR(__xludf.DUMMYFUNCTION("IF(B1561="""","""",IFERROR(VLOOKUP(TO_TEXT(B1561),PEDIDOS!D:I,6,0),IFERROR(VLOOKUP(B1561*1,PEDIDOS!D:I,6,0),"" "")))"),"ENTREGUE")</f>
        <v>ENTREGUE</v>
      </c>
      <c r="G1561" s="303"/>
      <c r="H1561" s="304"/>
    </row>
    <row r="1562">
      <c r="A1562" s="302" t="s">
        <v>47</v>
      </c>
      <c r="B1562" s="291" t="s">
        <v>9251</v>
      </c>
      <c r="C1562" s="292" t="s">
        <v>48</v>
      </c>
      <c r="D1562" s="293">
        <f t="shared" si="2"/>
        <v>1</v>
      </c>
      <c r="E1562" s="294"/>
      <c r="F1562" s="295" t="str">
        <f>IFERROR(__xludf.DUMMYFUNCTION("IF(B1562="""","""",IFERROR(VLOOKUP(TO_TEXT(B1562),PEDIDOS!D:I,6,0),IFERROR(VLOOKUP(B1562*1,PEDIDOS!D:I,6,0),"" "")))"),"ENTREGUE")</f>
        <v>ENTREGUE</v>
      </c>
      <c r="G1562" s="303"/>
      <c r="H1562" s="304"/>
    </row>
    <row r="1563">
      <c r="A1563" s="302" t="s">
        <v>47</v>
      </c>
      <c r="B1563" s="291" t="s">
        <v>8525</v>
      </c>
      <c r="C1563" s="292" t="s">
        <v>48</v>
      </c>
      <c r="D1563" s="293">
        <f t="shared" si="2"/>
        <v>1</v>
      </c>
      <c r="E1563" s="294"/>
      <c r="F1563" s="295" t="str">
        <f>IFERROR(__xludf.DUMMYFUNCTION("IF(B1563="""","""",IFERROR(VLOOKUP(TO_TEXT(B1563),PEDIDOS!D:I,6,0),IFERROR(VLOOKUP(B1563*1,PEDIDOS!D:I,6,0),"" "")))"),"ENTREGUE")</f>
        <v>ENTREGUE</v>
      </c>
      <c r="G1563" s="303"/>
      <c r="H1563" s="304"/>
    </row>
    <row r="1564">
      <c r="A1564" s="302" t="s">
        <v>3395</v>
      </c>
      <c r="B1564" s="291" t="s">
        <v>9102</v>
      </c>
      <c r="C1564" s="292" t="s">
        <v>48</v>
      </c>
      <c r="D1564" s="293">
        <f t="shared" si="2"/>
        <v>1</v>
      </c>
      <c r="E1564" s="294"/>
      <c r="F1564" s="295" t="str">
        <f>IFERROR(__xludf.DUMMYFUNCTION("IF(B1564="""","""",IFERROR(VLOOKUP(TO_TEXT(B1564),PEDIDOS!D:I,6,0),IFERROR(VLOOKUP(B1564*1,PEDIDOS!D:I,6,0),"" "")))"),"ENTREGUE")</f>
        <v>ENTREGUE</v>
      </c>
      <c r="G1564" s="303"/>
      <c r="H1564" s="304"/>
    </row>
    <row r="1565">
      <c r="A1565" s="302" t="s">
        <v>3395</v>
      </c>
      <c r="B1565" s="291" t="s">
        <v>10262</v>
      </c>
      <c r="C1565" s="292" t="s">
        <v>48</v>
      </c>
      <c r="D1565" s="293">
        <f t="shared" si="2"/>
        <v>1</v>
      </c>
      <c r="E1565" s="294"/>
      <c r="F1565" s="295" t="str">
        <f>IFERROR(__xludf.DUMMYFUNCTION("IF(B1565="""","""",IFERROR(VLOOKUP(TO_TEXT(B1565),PEDIDOS!D:I,6,0),IFERROR(VLOOKUP(B1565*1,PEDIDOS!D:I,6,0),"" "")))"),"ENTREGUE")</f>
        <v>ENTREGUE</v>
      </c>
      <c r="G1565" s="303"/>
      <c r="H1565" s="304"/>
    </row>
    <row r="1566">
      <c r="A1566" s="302" t="s">
        <v>3395</v>
      </c>
      <c r="B1566" s="291" t="s">
        <v>8783</v>
      </c>
      <c r="C1566" s="292" t="s">
        <v>48</v>
      </c>
      <c r="D1566" s="293">
        <f t="shared" si="2"/>
        <v>1</v>
      </c>
      <c r="E1566" s="294"/>
      <c r="F1566" s="295" t="str">
        <f>IFERROR(__xludf.DUMMYFUNCTION("IF(B1566="""","""",IFERROR(VLOOKUP(TO_TEXT(B1566),PEDIDOS!D:I,6,0),IFERROR(VLOOKUP(B1566*1,PEDIDOS!D:I,6,0),"" "")))"),"ENTREGUE")</f>
        <v>ENTREGUE</v>
      </c>
      <c r="G1566" s="303"/>
      <c r="H1566" s="304"/>
    </row>
    <row r="1567">
      <c r="A1567" s="302" t="s">
        <v>3395</v>
      </c>
      <c r="B1567" s="291" t="s">
        <v>8879</v>
      </c>
      <c r="C1567" s="292" t="s">
        <v>48</v>
      </c>
      <c r="D1567" s="293">
        <f t="shared" si="2"/>
        <v>1</v>
      </c>
      <c r="E1567" s="294"/>
      <c r="F1567" s="295" t="str">
        <f>IFERROR(__xludf.DUMMYFUNCTION("IF(B1567="""","""",IFERROR(VLOOKUP(TO_TEXT(B1567),PEDIDOS!D:I,6,0),IFERROR(VLOOKUP(B1567*1,PEDIDOS!D:I,6,0),"" "")))"),"ENTREGUE")</f>
        <v>ENTREGUE</v>
      </c>
      <c r="G1567" s="303"/>
      <c r="H1567" s="304"/>
    </row>
    <row r="1568">
      <c r="A1568" s="302" t="s">
        <v>3395</v>
      </c>
      <c r="B1568" s="291" t="s">
        <v>10227</v>
      </c>
      <c r="C1568" s="292" t="s">
        <v>48</v>
      </c>
      <c r="D1568" s="293">
        <f t="shared" si="2"/>
        <v>1</v>
      </c>
      <c r="E1568" s="294"/>
      <c r="F1568" s="295" t="str">
        <f>IFERROR(__xludf.DUMMYFUNCTION("IF(B1568="""","""",IFERROR(VLOOKUP(TO_TEXT(B1568),PEDIDOS!D:I,6,0),IFERROR(VLOOKUP(B1568*1,PEDIDOS!D:I,6,0),"" "")))"),"ENTREGUE")</f>
        <v>ENTREGUE</v>
      </c>
      <c r="G1568" s="303"/>
      <c r="H1568" s="304"/>
    </row>
    <row r="1569">
      <c r="A1569" s="302" t="s">
        <v>3395</v>
      </c>
      <c r="B1569" s="291" t="s">
        <v>10223</v>
      </c>
      <c r="C1569" s="292" t="s">
        <v>48</v>
      </c>
      <c r="D1569" s="293">
        <f t="shared" si="2"/>
        <v>1</v>
      </c>
      <c r="E1569" s="294"/>
      <c r="F1569" s="295" t="str">
        <f>IFERROR(__xludf.DUMMYFUNCTION("IF(B1569="""","""",IFERROR(VLOOKUP(TO_TEXT(B1569),PEDIDOS!D:I,6,0),IFERROR(VLOOKUP(B1569*1,PEDIDOS!D:I,6,0),"" "")))"),"ENTREGUE")</f>
        <v>ENTREGUE</v>
      </c>
      <c r="G1569" s="303"/>
      <c r="H1569" s="304"/>
    </row>
    <row r="1570">
      <c r="A1570" s="302" t="s">
        <v>3395</v>
      </c>
      <c r="B1570" s="291" t="s">
        <v>9332</v>
      </c>
      <c r="C1570" s="292" t="s">
        <v>48</v>
      </c>
      <c r="D1570" s="293">
        <f t="shared" si="2"/>
        <v>1</v>
      </c>
      <c r="E1570" s="294"/>
      <c r="F1570" s="295" t="str">
        <f>IFERROR(__xludf.DUMMYFUNCTION("IF(B1570="""","""",IFERROR(VLOOKUP(TO_TEXT(B1570),PEDIDOS!D:I,6,0),IFERROR(VLOOKUP(B1570*1,PEDIDOS!D:I,6,0),"" "")))"),"ENTREGUE")</f>
        <v>ENTREGUE</v>
      </c>
      <c r="G1570" s="303"/>
      <c r="H1570" s="304"/>
    </row>
    <row r="1571">
      <c r="A1571" s="302" t="s">
        <v>3395</v>
      </c>
      <c r="B1571" s="291" t="s">
        <v>9995</v>
      </c>
      <c r="C1571" s="292" t="s">
        <v>48</v>
      </c>
      <c r="D1571" s="293">
        <f t="shared" si="2"/>
        <v>1</v>
      </c>
      <c r="E1571" s="294"/>
      <c r="F1571" s="295" t="str">
        <f>IFERROR(__xludf.DUMMYFUNCTION("IF(B1571="""","""",IFERROR(VLOOKUP(TO_TEXT(B1571),PEDIDOS!D:I,6,0),IFERROR(VLOOKUP(B1571*1,PEDIDOS!D:I,6,0),"" "")))"),"ENTREGUE")</f>
        <v>ENTREGUE</v>
      </c>
      <c r="G1571" s="303"/>
      <c r="H1571" s="304"/>
    </row>
    <row r="1572">
      <c r="A1572" s="302" t="s">
        <v>3395</v>
      </c>
      <c r="B1572" s="291" t="s">
        <v>9142</v>
      </c>
      <c r="C1572" s="292" t="s">
        <v>48</v>
      </c>
      <c r="D1572" s="293">
        <f t="shared" si="2"/>
        <v>1</v>
      </c>
      <c r="E1572" s="294"/>
      <c r="F1572" s="295" t="str">
        <f>IFERROR(__xludf.DUMMYFUNCTION("IF(B1572="""","""",IFERROR(VLOOKUP(TO_TEXT(B1572),PEDIDOS!D:I,6,0),IFERROR(VLOOKUP(B1572*1,PEDIDOS!D:I,6,0),"" "")))"),"ENTREGUE")</f>
        <v>ENTREGUE</v>
      </c>
      <c r="G1572" s="303"/>
      <c r="H1572" s="304"/>
    </row>
    <row r="1573">
      <c r="A1573" s="302" t="s">
        <v>3395</v>
      </c>
      <c r="B1573" s="291" t="s">
        <v>9688</v>
      </c>
      <c r="C1573" s="292" t="s">
        <v>48</v>
      </c>
      <c r="D1573" s="293">
        <f t="shared" si="2"/>
        <v>1</v>
      </c>
      <c r="E1573" s="294"/>
      <c r="F1573" s="295" t="str">
        <f>IFERROR(__xludf.DUMMYFUNCTION("IF(B1573="""","""",IFERROR(VLOOKUP(TO_TEXT(B1573),PEDIDOS!D:I,6,0),IFERROR(VLOOKUP(B1573*1,PEDIDOS!D:I,6,0),"" "")))"),"ENTREGUE")</f>
        <v>ENTREGUE</v>
      </c>
      <c r="G1573" s="303"/>
      <c r="H1573" s="304"/>
    </row>
    <row r="1574">
      <c r="A1574" s="302" t="s">
        <v>3395</v>
      </c>
      <c r="B1574" s="291" t="s">
        <v>9823</v>
      </c>
      <c r="C1574" s="292" t="s">
        <v>48</v>
      </c>
      <c r="D1574" s="293">
        <f t="shared" si="2"/>
        <v>1</v>
      </c>
      <c r="E1574" s="294"/>
      <c r="F1574" s="295" t="str">
        <f>IFERROR(__xludf.DUMMYFUNCTION("IF(B1574="""","""",IFERROR(VLOOKUP(TO_TEXT(B1574),PEDIDOS!D:I,6,0),IFERROR(VLOOKUP(B1574*1,PEDIDOS!D:I,6,0),"" "")))"),"ENTREGUE")</f>
        <v>ENTREGUE</v>
      </c>
      <c r="G1574" s="303"/>
      <c r="H1574" s="304"/>
    </row>
    <row r="1575">
      <c r="A1575" s="302" t="s">
        <v>3395</v>
      </c>
      <c r="B1575" s="291" t="s">
        <v>9443</v>
      </c>
      <c r="C1575" s="292" t="s">
        <v>48</v>
      </c>
      <c r="D1575" s="293">
        <f t="shared" si="2"/>
        <v>1</v>
      </c>
      <c r="E1575" s="294"/>
      <c r="F1575" s="295" t="str">
        <f>IFERROR(__xludf.DUMMYFUNCTION("IF(B1575="""","""",IFERROR(VLOOKUP(TO_TEXT(B1575),PEDIDOS!D:I,6,0),IFERROR(VLOOKUP(B1575*1,PEDIDOS!D:I,6,0),"" "")))"),"ENTREGUE")</f>
        <v>ENTREGUE</v>
      </c>
      <c r="G1575" s="303"/>
      <c r="H1575" s="304"/>
    </row>
    <row r="1576">
      <c r="A1576" s="302" t="s">
        <v>3395</v>
      </c>
      <c r="B1576" s="291" t="s">
        <v>9636</v>
      </c>
      <c r="C1576" s="292" t="s">
        <v>48</v>
      </c>
      <c r="D1576" s="293">
        <f t="shared" si="2"/>
        <v>1</v>
      </c>
      <c r="E1576" s="294"/>
      <c r="F1576" s="295" t="str">
        <f>IFERROR(__xludf.DUMMYFUNCTION("IF(B1576="""","""",IFERROR(VLOOKUP(TO_TEXT(B1576),PEDIDOS!D:I,6,0),IFERROR(VLOOKUP(B1576*1,PEDIDOS!D:I,6,0),"" "")))"),"ENTREGUE")</f>
        <v>ENTREGUE</v>
      </c>
      <c r="G1576" s="303"/>
      <c r="H1576" s="304"/>
    </row>
    <row r="1577">
      <c r="A1577" s="302" t="s">
        <v>3395</v>
      </c>
      <c r="B1577" s="291" t="s">
        <v>10266</v>
      </c>
      <c r="C1577" s="292" t="s">
        <v>48</v>
      </c>
      <c r="D1577" s="293">
        <f t="shared" si="2"/>
        <v>1</v>
      </c>
      <c r="E1577" s="294"/>
      <c r="F1577" s="295" t="str">
        <f>IFERROR(__xludf.DUMMYFUNCTION("IF(B1577="""","""",IFERROR(VLOOKUP(TO_TEXT(B1577),PEDIDOS!D:I,6,0),IFERROR(VLOOKUP(B1577*1,PEDIDOS!D:I,6,0),"" "")))"),"ENTREGUE")</f>
        <v>ENTREGUE</v>
      </c>
      <c r="G1577" s="303"/>
      <c r="H1577" s="304"/>
    </row>
    <row r="1578">
      <c r="A1578" s="302" t="s">
        <v>3395</v>
      </c>
      <c r="B1578" s="291" t="s">
        <v>9643</v>
      </c>
      <c r="C1578" s="292" t="s">
        <v>48</v>
      </c>
      <c r="D1578" s="293">
        <f t="shared" si="2"/>
        <v>1</v>
      </c>
      <c r="E1578" s="294"/>
      <c r="F1578" s="295" t="str">
        <f>IFERROR(__xludf.DUMMYFUNCTION("IF(B1578="""","""",IFERROR(VLOOKUP(TO_TEXT(B1578),PEDIDOS!D:I,6,0),IFERROR(VLOOKUP(B1578*1,PEDIDOS!D:I,6,0),"" "")))"),"ENTREGUE")</f>
        <v>ENTREGUE</v>
      </c>
      <c r="G1578" s="303"/>
      <c r="H1578" s="304"/>
    </row>
    <row r="1579">
      <c r="A1579" s="302" t="s">
        <v>3395</v>
      </c>
      <c r="B1579" s="291" t="s">
        <v>9400</v>
      </c>
      <c r="C1579" s="292" t="s">
        <v>48</v>
      </c>
      <c r="D1579" s="293">
        <f t="shared" si="2"/>
        <v>1</v>
      </c>
      <c r="E1579" s="294"/>
      <c r="F1579" s="295" t="str">
        <f>IFERROR(__xludf.DUMMYFUNCTION("IF(B1579="""","""",IFERROR(VLOOKUP(TO_TEXT(B1579),PEDIDOS!D:I,6,0),IFERROR(VLOOKUP(B1579*1,PEDIDOS!D:I,6,0),"" "")))"),"ENTREGUE")</f>
        <v>ENTREGUE</v>
      </c>
      <c r="G1579" s="303"/>
      <c r="H1579" s="304"/>
    </row>
    <row r="1580">
      <c r="A1580" s="302" t="s">
        <v>3395</v>
      </c>
      <c r="B1580" s="291" t="s">
        <v>8889</v>
      </c>
      <c r="C1580" s="292" t="s">
        <v>48</v>
      </c>
      <c r="D1580" s="293">
        <f t="shared" si="2"/>
        <v>1</v>
      </c>
      <c r="E1580" s="294"/>
      <c r="F1580" s="295" t="str">
        <f>IFERROR(__xludf.DUMMYFUNCTION("IF(B1580="""","""",IFERROR(VLOOKUP(TO_TEXT(B1580),PEDIDOS!D:I,6,0),IFERROR(VLOOKUP(B1580*1,PEDIDOS!D:I,6,0),"" "")))"),"ENTREGUE")</f>
        <v>ENTREGUE</v>
      </c>
      <c r="G1580" s="303"/>
      <c r="H1580" s="304"/>
    </row>
    <row r="1581">
      <c r="A1581" s="302" t="s">
        <v>3395</v>
      </c>
      <c r="B1581" s="291" t="s">
        <v>10047</v>
      </c>
      <c r="C1581" s="292" t="s">
        <v>48</v>
      </c>
      <c r="D1581" s="293">
        <f t="shared" si="2"/>
        <v>1</v>
      </c>
      <c r="E1581" s="294"/>
      <c r="F1581" s="295" t="str">
        <f>IFERROR(__xludf.DUMMYFUNCTION("IF(B1581="""","""",IFERROR(VLOOKUP(TO_TEXT(B1581),PEDIDOS!D:I,6,0),IFERROR(VLOOKUP(B1581*1,PEDIDOS!D:I,6,0),"" "")))"),"ENTREGUE")</f>
        <v>ENTREGUE</v>
      </c>
      <c r="G1581" s="303"/>
      <c r="H1581" s="304"/>
    </row>
    <row r="1582">
      <c r="A1582" s="302" t="s">
        <v>3395</v>
      </c>
      <c r="B1582" s="291" t="s">
        <v>9844</v>
      </c>
      <c r="C1582" s="292" t="s">
        <v>48</v>
      </c>
      <c r="D1582" s="293">
        <f t="shared" si="2"/>
        <v>1</v>
      </c>
      <c r="E1582" s="294"/>
      <c r="F1582" s="295" t="str">
        <f>IFERROR(__xludf.DUMMYFUNCTION("IF(B1582="""","""",IFERROR(VLOOKUP(TO_TEXT(B1582),PEDIDOS!D:I,6,0),IFERROR(VLOOKUP(B1582*1,PEDIDOS!D:I,6,0),"" "")))"),"ENTREGUE")</f>
        <v>ENTREGUE</v>
      </c>
      <c r="G1582" s="303"/>
      <c r="H1582" s="304"/>
    </row>
    <row r="1583">
      <c r="A1583" s="302" t="s">
        <v>3395</v>
      </c>
      <c r="B1583" s="291" t="s">
        <v>15321</v>
      </c>
      <c r="C1583" s="292" t="s">
        <v>48</v>
      </c>
      <c r="D1583" s="293">
        <f t="shared" si="2"/>
        <v>1</v>
      </c>
      <c r="E1583" s="294"/>
      <c r="F1583" s="295" t="str">
        <f>IFERROR(__xludf.DUMMYFUNCTION("IF(B1583="""","""",IFERROR(VLOOKUP(TO_TEXT(B1583),PEDIDOS!D:I,6,0),IFERROR(VLOOKUP(B1583*1,PEDIDOS!D:I,6,0),"" "")))"),"ENTREGUE")</f>
        <v>ENTREGUE</v>
      </c>
      <c r="G1583" s="303"/>
      <c r="H1583" s="304"/>
    </row>
    <row r="1584">
      <c r="A1584" s="302" t="s">
        <v>3395</v>
      </c>
      <c r="B1584" s="291" t="s">
        <v>8193</v>
      </c>
      <c r="C1584" s="292" t="s">
        <v>48</v>
      </c>
      <c r="D1584" s="293">
        <f t="shared" si="2"/>
        <v>1</v>
      </c>
      <c r="E1584" s="294"/>
      <c r="F1584" s="295" t="str">
        <f>IFERROR(__xludf.DUMMYFUNCTION("IF(B1584="""","""",IFERROR(VLOOKUP(TO_TEXT(B1584),PEDIDOS!D:I,6,0),IFERROR(VLOOKUP(B1584*1,PEDIDOS!D:I,6,0),"" "")))"),"ENTREGUE")</f>
        <v>ENTREGUE</v>
      </c>
      <c r="G1584" s="303"/>
      <c r="H1584" s="304"/>
    </row>
    <row r="1585">
      <c r="A1585" s="302" t="s">
        <v>3395</v>
      </c>
      <c r="B1585" s="291" t="s">
        <v>8822</v>
      </c>
      <c r="C1585" s="292" t="s">
        <v>48</v>
      </c>
      <c r="D1585" s="293">
        <f t="shared" si="2"/>
        <v>1</v>
      </c>
      <c r="E1585" s="294"/>
      <c r="F1585" s="295" t="str">
        <f>IFERROR(__xludf.DUMMYFUNCTION("IF(B1585="""","""",IFERROR(VLOOKUP(TO_TEXT(B1585),PEDIDOS!D:I,6,0),IFERROR(VLOOKUP(B1585*1,PEDIDOS!D:I,6,0),"" "")))"),"ENTREGUE")</f>
        <v>ENTREGUE</v>
      </c>
      <c r="G1585" s="303"/>
      <c r="H1585" s="304"/>
    </row>
    <row r="1586">
      <c r="A1586" s="302" t="s">
        <v>3395</v>
      </c>
      <c r="B1586" s="291" t="s">
        <v>8830</v>
      </c>
      <c r="C1586" s="292" t="s">
        <v>48</v>
      </c>
      <c r="D1586" s="293">
        <f t="shared" si="2"/>
        <v>1</v>
      </c>
      <c r="E1586" s="294"/>
      <c r="F1586" s="295" t="str">
        <f>IFERROR(__xludf.DUMMYFUNCTION("IF(B1586="""","""",IFERROR(VLOOKUP(TO_TEXT(B1586),PEDIDOS!D:I,6,0),IFERROR(VLOOKUP(B1586*1,PEDIDOS!D:I,6,0),"" "")))"),"ENTREGUE")</f>
        <v>ENTREGUE</v>
      </c>
      <c r="G1586" s="303"/>
      <c r="H1586" s="304"/>
    </row>
    <row r="1587">
      <c r="A1587" s="302" t="s">
        <v>3395</v>
      </c>
      <c r="B1587" s="291" t="s">
        <v>9639</v>
      </c>
      <c r="C1587" s="292" t="s">
        <v>48</v>
      </c>
      <c r="D1587" s="293">
        <f t="shared" si="2"/>
        <v>1</v>
      </c>
      <c r="E1587" s="294"/>
      <c r="F1587" s="295" t="str">
        <f>IFERROR(__xludf.DUMMYFUNCTION("IF(B1587="""","""",IFERROR(VLOOKUP(TO_TEXT(B1587),PEDIDOS!D:I,6,0),IFERROR(VLOOKUP(B1587*1,PEDIDOS!D:I,6,0),"" "")))"),"ENTREGUE")</f>
        <v>ENTREGUE</v>
      </c>
      <c r="G1587" s="303"/>
      <c r="H1587" s="304"/>
    </row>
    <row r="1588">
      <c r="A1588" s="302" t="s">
        <v>3395</v>
      </c>
      <c r="B1588" s="291" t="s">
        <v>9555</v>
      </c>
      <c r="C1588" s="292" t="s">
        <v>48</v>
      </c>
      <c r="D1588" s="293">
        <f t="shared" si="2"/>
        <v>1</v>
      </c>
      <c r="E1588" s="294"/>
      <c r="F1588" s="295" t="str">
        <f>IFERROR(__xludf.DUMMYFUNCTION("IF(B1588="""","""",IFERROR(VLOOKUP(TO_TEXT(B1588),PEDIDOS!D:I,6,0),IFERROR(VLOOKUP(B1588*1,PEDIDOS!D:I,6,0),"" "")))"),"ENTREGUE")</f>
        <v>ENTREGUE</v>
      </c>
      <c r="G1588" s="303"/>
      <c r="H1588" s="304"/>
    </row>
    <row r="1589">
      <c r="A1589" s="302" t="s">
        <v>3395</v>
      </c>
      <c r="B1589" s="291" t="s">
        <v>9222</v>
      </c>
      <c r="C1589" s="292" t="s">
        <v>48</v>
      </c>
      <c r="D1589" s="293">
        <f t="shared" si="2"/>
        <v>1</v>
      </c>
      <c r="E1589" s="294"/>
      <c r="F1589" s="295" t="str">
        <f>IFERROR(__xludf.DUMMYFUNCTION("IF(B1589="""","""",IFERROR(VLOOKUP(TO_TEXT(B1589),PEDIDOS!D:I,6,0),IFERROR(VLOOKUP(B1589*1,PEDIDOS!D:I,6,0),"" "")))"),"ENTREGUE")</f>
        <v>ENTREGUE</v>
      </c>
      <c r="G1589" s="303"/>
      <c r="H1589" s="304"/>
    </row>
    <row r="1590">
      <c r="A1590" s="302" t="s">
        <v>3441</v>
      </c>
      <c r="B1590" s="291" t="s">
        <v>9679</v>
      </c>
      <c r="C1590" s="292" t="s">
        <v>48</v>
      </c>
      <c r="D1590" s="293">
        <f t="shared" si="2"/>
        <v>1</v>
      </c>
      <c r="E1590" s="294"/>
      <c r="F1590" s="295" t="str">
        <f>IFERROR(__xludf.DUMMYFUNCTION("IF(B1590="""","""",IFERROR(VLOOKUP(TO_TEXT(B1590),PEDIDOS!D:I,6,0),IFERROR(VLOOKUP(B1590*1,PEDIDOS!D:I,6,0),"" "")))"),"ENTREGUE")</f>
        <v>ENTREGUE</v>
      </c>
      <c r="G1590" s="303"/>
      <c r="H1590" s="304"/>
    </row>
    <row r="1591">
      <c r="A1591" s="302" t="s">
        <v>3441</v>
      </c>
      <c r="B1591" s="291" t="s">
        <v>9684</v>
      </c>
      <c r="C1591" s="292" t="s">
        <v>48</v>
      </c>
      <c r="D1591" s="293">
        <f t="shared" si="2"/>
        <v>1</v>
      </c>
      <c r="E1591" s="294"/>
      <c r="F1591" s="295" t="str">
        <f>IFERROR(__xludf.DUMMYFUNCTION("IF(B1591="""","""",IFERROR(VLOOKUP(TO_TEXT(B1591),PEDIDOS!D:I,6,0),IFERROR(VLOOKUP(B1591*1,PEDIDOS!D:I,6,0),"" "")))"),"ENTREGUE")</f>
        <v>ENTREGUE</v>
      </c>
      <c r="G1591" s="303"/>
      <c r="H1591" s="304"/>
    </row>
    <row r="1592">
      <c r="A1592" s="302" t="s">
        <v>3441</v>
      </c>
      <c r="B1592" s="291" t="s">
        <v>9647</v>
      </c>
      <c r="C1592" s="292" t="s">
        <v>48</v>
      </c>
      <c r="D1592" s="293">
        <f t="shared" si="2"/>
        <v>1</v>
      </c>
      <c r="E1592" s="294"/>
      <c r="F1592" s="295" t="str">
        <f>IFERROR(__xludf.DUMMYFUNCTION("IF(B1592="""","""",IFERROR(VLOOKUP(TO_TEXT(B1592),PEDIDOS!D:I,6,0),IFERROR(VLOOKUP(B1592*1,PEDIDOS!D:I,6,0),"" "")))"),"ENTREGUE")</f>
        <v>ENTREGUE</v>
      </c>
      <c r="G1592" s="303"/>
      <c r="H1592" s="304"/>
    </row>
    <row r="1593">
      <c r="A1593" s="302" t="s">
        <v>3441</v>
      </c>
      <c r="B1593" s="291" t="s">
        <v>7013</v>
      </c>
      <c r="C1593" s="292" t="s">
        <v>48</v>
      </c>
      <c r="D1593" s="293">
        <f t="shared" si="2"/>
        <v>1</v>
      </c>
      <c r="E1593" s="294"/>
      <c r="F1593" s="295" t="str">
        <f>IFERROR(__xludf.DUMMYFUNCTION("IF(B1593="""","""",IFERROR(VLOOKUP(TO_TEXT(B1593),PEDIDOS!D:I,6,0),IFERROR(VLOOKUP(B1593*1,PEDIDOS!D:I,6,0),"" "")))"),"ENTREGUE")</f>
        <v>ENTREGUE</v>
      </c>
      <c r="G1593" s="303"/>
      <c r="H1593" s="304"/>
    </row>
    <row r="1594">
      <c r="A1594" s="302" t="s">
        <v>3441</v>
      </c>
      <c r="B1594" s="291" t="s">
        <v>9285</v>
      </c>
      <c r="C1594" s="292" t="s">
        <v>48</v>
      </c>
      <c r="D1594" s="293">
        <f t="shared" si="2"/>
        <v>1</v>
      </c>
      <c r="E1594" s="294"/>
      <c r="F1594" s="295" t="str">
        <f>IFERROR(__xludf.DUMMYFUNCTION("IF(B1594="""","""",IFERROR(VLOOKUP(TO_TEXT(B1594),PEDIDOS!D:I,6,0),IFERROR(VLOOKUP(B1594*1,PEDIDOS!D:I,6,0),"" "")))"),"ENTREGUE")</f>
        <v>ENTREGUE</v>
      </c>
      <c r="G1594" s="303"/>
      <c r="H1594" s="304"/>
    </row>
    <row r="1595">
      <c r="A1595" s="302" t="s">
        <v>3441</v>
      </c>
      <c r="B1595" s="291" t="s">
        <v>9011</v>
      </c>
      <c r="C1595" s="292" t="s">
        <v>48</v>
      </c>
      <c r="D1595" s="293">
        <f t="shared" si="2"/>
        <v>1</v>
      </c>
      <c r="E1595" s="294"/>
      <c r="F1595" s="295" t="str">
        <f>IFERROR(__xludf.DUMMYFUNCTION("IF(B1595="""","""",IFERROR(VLOOKUP(TO_TEXT(B1595),PEDIDOS!D:I,6,0),IFERROR(VLOOKUP(B1595*1,PEDIDOS!D:I,6,0),"" "")))"),"ENTREGUE")</f>
        <v>ENTREGUE</v>
      </c>
      <c r="G1595" s="303"/>
      <c r="H1595" s="304"/>
    </row>
    <row r="1596">
      <c r="A1596" s="302" t="s">
        <v>3441</v>
      </c>
      <c r="B1596" s="291" t="s">
        <v>9294</v>
      </c>
      <c r="C1596" s="292" t="s">
        <v>48</v>
      </c>
      <c r="D1596" s="293">
        <f t="shared" si="2"/>
        <v>1</v>
      </c>
      <c r="E1596" s="294"/>
      <c r="F1596" s="295" t="str">
        <f>IFERROR(__xludf.DUMMYFUNCTION("IF(B1596="""","""",IFERROR(VLOOKUP(TO_TEXT(B1596),PEDIDOS!D:I,6,0),IFERROR(VLOOKUP(B1596*1,PEDIDOS!D:I,6,0),"" "")))"),"ENTREGUE")</f>
        <v>ENTREGUE</v>
      </c>
      <c r="G1596" s="303"/>
      <c r="H1596" s="304"/>
    </row>
    <row r="1597">
      <c r="A1597" s="302" t="s">
        <v>3441</v>
      </c>
      <c r="B1597" s="291" t="s">
        <v>8826</v>
      </c>
      <c r="C1597" s="292" t="s">
        <v>48</v>
      </c>
      <c r="D1597" s="293">
        <f t="shared" si="2"/>
        <v>1</v>
      </c>
      <c r="E1597" s="294"/>
      <c r="F1597" s="295" t="str">
        <f>IFERROR(__xludf.DUMMYFUNCTION("IF(B1597="""","""",IFERROR(VLOOKUP(TO_TEXT(B1597),PEDIDOS!D:I,6,0),IFERROR(VLOOKUP(B1597*1,PEDIDOS!D:I,6,0),"" "")))"),"ENTREGUE")</f>
        <v>ENTREGUE</v>
      </c>
      <c r="G1597" s="303"/>
      <c r="H1597" s="304"/>
    </row>
    <row r="1598">
      <c r="A1598" s="302" t="s">
        <v>3441</v>
      </c>
      <c r="B1598" s="291" t="s">
        <v>8198</v>
      </c>
      <c r="C1598" s="292" t="s">
        <v>48</v>
      </c>
      <c r="D1598" s="293">
        <f t="shared" si="2"/>
        <v>1</v>
      </c>
      <c r="E1598" s="294"/>
      <c r="F1598" s="295" t="str">
        <f>IFERROR(__xludf.DUMMYFUNCTION("IF(B1598="""","""",IFERROR(VLOOKUP(TO_TEXT(B1598),PEDIDOS!D:I,6,0),IFERROR(VLOOKUP(B1598*1,PEDIDOS!D:I,6,0),"" "")))"),"ENTREGUE")</f>
        <v>ENTREGUE</v>
      </c>
      <c r="G1598" s="303"/>
      <c r="H1598" s="304"/>
    </row>
    <row r="1599">
      <c r="A1599" s="302" t="s">
        <v>3441</v>
      </c>
      <c r="B1599" s="291" t="s">
        <v>9948</v>
      </c>
      <c r="C1599" s="292" t="s">
        <v>48</v>
      </c>
      <c r="D1599" s="293">
        <f t="shared" si="2"/>
        <v>1</v>
      </c>
      <c r="E1599" s="294"/>
      <c r="F1599" s="295" t="str">
        <f>IFERROR(__xludf.DUMMYFUNCTION("IF(B1599="""","""",IFERROR(VLOOKUP(TO_TEXT(B1599),PEDIDOS!D:I,6,0),IFERROR(VLOOKUP(B1599*1,PEDIDOS!D:I,6,0),"" "")))"),"ENTREGUE")</f>
        <v>ENTREGUE</v>
      </c>
      <c r="G1599" s="303"/>
      <c r="H1599" s="304"/>
    </row>
    <row r="1600">
      <c r="A1600" s="302" t="s">
        <v>3441</v>
      </c>
      <c r="B1600" s="291" t="s">
        <v>9933</v>
      </c>
      <c r="C1600" s="292" t="s">
        <v>48</v>
      </c>
      <c r="D1600" s="293">
        <f t="shared" si="2"/>
        <v>1</v>
      </c>
      <c r="E1600" s="294"/>
      <c r="F1600" s="295" t="str">
        <f>IFERROR(__xludf.DUMMYFUNCTION("IF(B1600="""","""",IFERROR(VLOOKUP(TO_TEXT(B1600),PEDIDOS!D:I,6,0),IFERROR(VLOOKUP(B1600*1,PEDIDOS!D:I,6,0),"" "")))"),"ENTREGUE")</f>
        <v>ENTREGUE</v>
      </c>
      <c r="G1600" s="303"/>
      <c r="H1600" s="304"/>
    </row>
    <row r="1601">
      <c r="A1601" s="302" t="s">
        <v>3441</v>
      </c>
      <c r="B1601" s="291" t="s">
        <v>10024</v>
      </c>
      <c r="C1601" s="292" t="s">
        <v>48</v>
      </c>
      <c r="D1601" s="293">
        <f t="shared" si="2"/>
        <v>1</v>
      </c>
      <c r="E1601" s="294"/>
      <c r="F1601" s="295" t="str">
        <f>IFERROR(__xludf.DUMMYFUNCTION("IF(B1601="""","""",IFERROR(VLOOKUP(TO_TEXT(B1601),PEDIDOS!D:I,6,0),IFERROR(VLOOKUP(B1601*1,PEDIDOS!D:I,6,0),"" "")))"),"ENTREGUE")</f>
        <v>ENTREGUE</v>
      </c>
      <c r="G1601" s="303"/>
      <c r="H1601" s="304"/>
    </row>
    <row r="1602">
      <c r="A1602" s="302" t="s">
        <v>3441</v>
      </c>
      <c r="B1602" s="291" t="s">
        <v>8898</v>
      </c>
      <c r="C1602" s="292" t="s">
        <v>48</v>
      </c>
      <c r="D1602" s="293">
        <f t="shared" si="2"/>
        <v>1</v>
      </c>
      <c r="E1602" s="294"/>
      <c r="F1602" s="295" t="str">
        <f>IFERROR(__xludf.DUMMYFUNCTION("IF(B1602="""","""",IFERROR(VLOOKUP(TO_TEXT(B1602),PEDIDOS!D:I,6,0),IFERROR(VLOOKUP(B1602*1,PEDIDOS!D:I,6,0),"" "")))"),"ENTREGUE")</f>
        <v>ENTREGUE</v>
      </c>
      <c r="G1602" s="303"/>
      <c r="H1602" s="304"/>
    </row>
    <row r="1603">
      <c r="A1603" s="302" t="s">
        <v>3441</v>
      </c>
      <c r="B1603" s="291" t="s">
        <v>8806</v>
      </c>
      <c r="C1603" s="292" t="s">
        <v>48</v>
      </c>
      <c r="D1603" s="293">
        <f t="shared" si="2"/>
        <v>1</v>
      </c>
      <c r="E1603" s="294"/>
      <c r="F1603" s="295" t="str">
        <f>IFERROR(__xludf.DUMMYFUNCTION("IF(B1603="""","""",IFERROR(VLOOKUP(TO_TEXT(B1603),PEDIDOS!D:I,6,0),IFERROR(VLOOKUP(B1603*1,PEDIDOS!D:I,6,0),"" "")))"),"ENTREGUE")</f>
        <v>ENTREGUE</v>
      </c>
      <c r="G1603" s="303"/>
      <c r="H1603" s="304"/>
    </row>
    <row r="1604">
      <c r="A1604" s="302" t="s">
        <v>3441</v>
      </c>
      <c r="B1604" s="291" t="s">
        <v>9106</v>
      </c>
      <c r="C1604" s="292" t="s">
        <v>48</v>
      </c>
      <c r="D1604" s="293">
        <f t="shared" si="2"/>
        <v>1</v>
      </c>
      <c r="E1604" s="294"/>
      <c r="F1604" s="295" t="str">
        <f>IFERROR(__xludf.DUMMYFUNCTION("IF(B1604="""","""",IFERROR(VLOOKUP(TO_TEXT(B1604),PEDIDOS!D:I,6,0),IFERROR(VLOOKUP(B1604*1,PEDIDOS!D:I,6,0),"" "")))"),"ENTREGUE")</f>
        <v>ENTREGUE</v>
      </c>
      <c r="G1604" s="303"/>
      <c r="H1604" s="304"/>
    </row>
    <row r="1605">
      <c r="A1605" s="302" t="s">
        <v>3441</v>
      </c>
      <c r="B1605" s="291" t="s">
        <v>8103</v>
      </c>
      <c r="C1605" s="292" t="s">
        <v>48</v>
      </c>
      <c r="D1605" s="293">
        <f t="shared" si="2"/>
        <v>1</v>
      </c>
      <c r="E1605" s="294"/>
      <c r="F1605" s="295" t="str">
        <f>IFERROR(__xludf.DUMMYFUNCTION("IF(B1605="""","""",IFERROR(VLOOKUP(TO_TEXT(B1605),PEDIDOS!D:I,6,0),IFERROR(VLOOKUP(B1605*1,PEDIDOS!D:I,6,0),"" "")))"),"ENTREGUE")</f>
        <v>ENTREGUE</v>
      </c>
      <c r="G1605" s="303"/>
      <c r="H1605" s="304"/>
    </row>
    <row r="1606">
      <c r="A1606" s="302" t="s">
        <v>3441</v>
      </c>
      <c r="B1606" s="291" t="s">
        <v>9084</v>
      </c>
      <c r="C1606" s="292" t="s">
        <v>48</v>
      </c>
      <c r="D1606" s="293">
        <f t="shared" si="2"/>
        <v>1</v>
      </c>
      <c r="E1606" s="294"/>
      <c r="F1606" s="295" t="str">
        <f>IFERROR(__xludf.DUMMYFUNCTION("IF(B1606="""","""",IFERROR(VLOOKUP(TO_TEXT(B1606),PEDIDOS!D:I,6,0),IFERROR(VLOOKUP(B1606*1,PEDIDOS!D:I,6,0),"" "")))"),"ENTREGUE")</f>
        <v>ENTREGUE</v>
      </c>
      <c r="G1606" s="303"/>
      <c r="H1606" s="304"/>
    </row>
    <row r="1607">
      <c r="A1607" s="302" t="s">
        <v>3441</v>
      </c>
      <c r="B1607" s="291" t="s">
        <v>8976</v>
      </c>
      <c r="C1607" s="292" t="s">
        <v>48</v>
      </c>
      <c r="D1607" s="293">
        <f t="shared" si="2"/>
        <v>1</v>
      </c>
      <c r="E1607" s="294"/>
      <c r="F1607" s="295" t="str">
        <f>IFERROR(__xludf.DUMMYFUNCTION("IF(B1607="""","""",IFERROR(VLOOKUP(TO_TEXT(B1607),PEDIDOS!D:I,6,0),IFERROR(VLOOKUP(B1607*1,PEDIDOS!D:I,6,0),"" "")))"),"ENTREGUE")</f>
        <v>ENTREGUE</v>
      </c>
      <c r="G1607" s="303"/>
      <c r="H1607" s="304"/>
    </row>
    <row r="1608">
      <c r="A1608" s="302" t="s">
        <v>3441</v>
      </c>
      <c r="B1608" s="291" t="s">
        <v>10105</v>
      </c>
      <c r="C1608" s="292" t="s">
        <v>48</v>
      </c>
      <c r="D1608" s="293">
        <f t="shared" si="2"/>
        <v>1</v>
      </c>
      <c r="E1608" s="294"/>
      <c r="F1608" s="295" t="str">
        <f>IFERROR(__xludf.DUMMYFUNCTION("IF(B1608="""","""",IFERROR(VLOOKUP(TO_TEXT(B1608),PEDIDOS!D:I,6,0),IFERROR(VLOOKUP(B1608*1,PEDIDOS!D:I,6,0),"" "")))"),"ENTREGUE")</f>
        <v>ENTREGUE</v>
      </c>
      <c r="G1608" s="303"/>
      <c r="H1608" s="304"/>
    </row>
    <row r="1609">
      <c r="A1609" s="302" t="s">
        <v>3441</v>
      </c>
      <c r="B1609" s="291" t="s">
        <v>9719</v>
      </c>
      <c r="C1609" s="292" t="s">
        <v>48</v>
      </c>
      <c r="D1609" s="293">
        <f t="shared" si="2"/>
        <v>1</v>
      </c>
      <c r="E1609" s="294"/>
      <c r="F1609" s="295" t="str">
        <f>IFERROR(__xludf.DUMMYFUNCTION("IF(B1609="""","""",IFERROR(VLOOKUP(TO_TEXT(B1609),PEDIDOS!D:I,6,0),IFERROR(VLOOKUP(B1609*1,PEDIDOS!D:I,6,0),"" "")))"),"ENTREGUE")</f>
        <v>ENTREGUE</v>
      </c>
      <c r="G1609" s="303"/>
      <c r="H1609" s="304"/>
    </row>
    <row r="1610">
      <c r="A1610" s="302" t="s">
        <v>72</v>
      </c>
      <c r="B1610" s="291" t="s">
        <v>9787</v>
      </c>
      <c r="C1610" s="292" t="s">
        <v>48</v>
      </c>
      <c r="D1610" s="293">
        <f t="shared" si="2"/>
        <v>1</v>
      </c>
      <c r="E1610" s="294"/>
      <c r="F1610" s="295" t="str">
        <f>IFERROR(__xludf.DUMMYFUNCTION("IF(B1610="""","""",IFERROR(VLOOKUP(TO_TEXT(B1610),PEDIDOS!D:I,6,0),IFERROR(VLOOKUP(B1610*1,PEDIDOS!D:I,6,0),"" "")))"),"ENTREGUE")</f>
        <v>ENTREGUE</v>
      </c>
      <c r="G1610" s="303"/>
      <c r="H1610" s="304"/>
    </row>
    <row r="1611">
      <c r="A1611" s="302" t="s">
        <v>72</v>
      </c>
      <c r="B1611" s="291" t="s">
        <v>10571</v>
      </c>
      <c r="C1611" s="292" t="s">
        <v>48</v>
      </c>
      <c r="D1611" s="293">
        <f t="shared" si="2"/>
        <v>1</v>
      </c>
      <c r="E1611" s="294"/>
      <c r="F1611" s="295" t="str">
        <f>IFERROR(__xludf.DUMMYFUNCTION("IF(B1611="""","""",IFERROR(VLOOKUP(TO_TEXT(B1611),PEDIDOS!D:I,6,0),IFERROR(VLOOKUP(B1611*1,PEDIDOS!D:I,6,0),"" "")))"),"ENTREGUE")</f>
        <v>ENTREGUE</v>
      </c>
      <c r="G1611" s="303"/>
      <c r="H1611" s="304"/>
    </row>
    <row r="1612">
      <c r="A1612" s="302" t="s">
        <v>72</v>
      </c>
      <c r="B1612" s="291" t="s">
        <v>10667</v>
      </c>
      <c r="C1612" s="292" t="s">
        <v>48</v>
      </c>
      <c r="D1612" s="293">
        <f t="shared" si="2"/>
        <v>1</v>
      </c>
      <c r="E1612" s="294"/>
      <c r="F1612" s="295" t="str">
        <f>IFERROR(__xludf.DUMMYFUNCTION("IF(B1612="""","""",IFERROR(VLOOKUP(TO_TEXT(B1612),PEDIDOS!D:I,6,0),IFERROR(VLOOKUP(B1612*1,PEDIDOS!D:I,6,0),"" "")))"),"ENTREGUE")</f>
        <v>ENTREGUE</v>
      </c>
      <c r="G1612" s="303"/>
      <c r="H1612" s="304"/>
    </row>
    <row r="1613">
      <c r="A1613" s="302" t="s">
        <v>72</v>
      </c>
      <c r="B1613" s="291" t="s">
        <v>10091</v>
      </c>
      <c r="C1613" s="292" t="s">
        <v>48</v>
      </c>
      <c r="D1613" s="293">
        <f t="shared" si="2"/>
        <v>1</v>
      </c>
      <c r="E1613" s="294"/>
      <c r="F1613" s="295" t="str">
        <f>IFERROR(__xludf.DUMMYFUNCTION("IF(B1613="""","""",IFERROR(VLOOKUP(TO_TEXT(B1613),PEDIDOS!D:I,6,0),IFERROR(VLOOKUP(B1613*1,PEDIDOS!D:I,6,0),"" "")))"),"ENTREGUE")</f>
        <v>ENTREGUE</v>
      </c>
      <c r="G1613" s="303"/>
      <c r="H1613" s="304"/>
    </row>
    <row r="1614">
      <c r="A1614" s="302" t="s">
        <v>72</v>
      </c>
      <c r="B1614" s="291" t="s">
        <v>71</v>
      </c>
      <c r="C1614" s="292" t="s">
        <v>48</v>
      </c>
      <c r="D1614" s="293">
        <f t="shared" si="2"/>
        <v>1</v>
      </c>
      <c r="E1614" s="294"/>
      <c r="F1614" s="295" t="str">
        <f>IFERROR(__xludf.DUMMYFUNCTION("IF(B1614="""","""",IFERROR(VLOOKUP(TO_TEXT(B1614),PEDIDOS!D:I,6,0),IFERROR(VLOOKUP(B1614*1,PEDIDOS!D:I,6,0),"" "")))"),"ENTREGUE")</f>
        <v>ENTREGUE</v>
      </c>
      <c r="G1614" s="303"/>
      <c r="H1614" s="304"/>
    </row>
    <row r="1615">
      <c r="A1615" s="302" t="s">
        <v>72</v>
      </c>
      <c r="B1615" s="291" t="s">
        <v>10615</v>
      </c>
      <c r="C1615" s="292" t="s">
        <v>48</v>
      </c>
      <c r="D1615" s="293">
        <f t="shared" si="2"/>
        <v>1</v>
      </c>
      <c r="E1615" s="294"/>
      <c r="F1615" s="295" t="str">
        <f>IFERROR(__xludf.DUMMYFUNCTION("IF(B1615="""","""",IFERROR(VLOOKUP(TO_TEXT(B1615),PEDIDOS!D:I,6,0),IFERROR(VLOOKUP(B1615*1,PEDIDOS!D:I,6,0),"" "")))"),"ENTREGUE")</f>
        <v>ENTREGUE</v>
      </c>
      <c r="G1615" s="303"/>
      <c r="H1615" s="304"/>
    </row>
    <row r="1616">
      <c r="A1616" s="302" t="s">
        <v>72</v>
      </c>
      <c r="B1616" s="291" t="s">
        <v>23379</v>
      </c>
      <c r="C1616" s="292" t="s">
        <v>48</v>
      </c>
      <c r="D1616" s="293">
        <f t="shared" si="2"/>
        <v>1</v>
      </c>
      <c r="E1616" s="294"/>
      <c r="F1616" s="295" t="str">
        <f>IFERROR(__xludf.DUMMYFUNCTION("IF(B1616="""","""",IFERROR(VLOOKUP(TO_TEXT(B1616),PEDIDOS!D:I,6,0),IFERROR(VLOOKUP(B1616*1,PEDIDOS!D:I,6,0),"" "")))")," ")</f>
        <v> </v>
      </c>
      <c r="G1616" s="303" t="s">
        <v>4129</v>
      </c>
      <c r="H1616" s="304"/>
    </row>
    <row r="1617">
      <c r="A1617" s="302" t="s">
        <v>72</v>
      </c>
      <c r="B1617" s="291" t="s">
        <v>15571</v>
      </c>
      <c r="C1617" s="292" t="s">
        <v>48</v>
      </c>
      <c r="D1617" s="293">
        <f t="shared" si="2"/>
        <v>1</v>
      </c>
      <c r="E1617" s="294"/>
      <c r="F1617" s="295" t="str">
        <f>IFERROR(__xludf.DUMMYFUNCTION("IF(B1617="""","""",IFERROR(VLOOKUP(TO_TEXT(B1617),PEDIDOS!D:I,6,0),IFERROR(VLOOKUP(B1617*1,PEDIDOS!D:I,6,0),"" "")))"),"ENTREGUE")</f>
        <v>ENTREGUE</v>
      </c>
      <c r="G1617" s="303"/>
      <c r="H1617" s="304"/>
    </row>
    <row r="1618">
      <c r="A1618" s="302" t="s">
        <v>72</v>
      </c>
      <c r="B1618" s="291" t="s">
        <v>9092</v>
      </c>
      <c r="C1618" s="292" t="s">
        <v>48</v>
      </c>
      <c r="D1618" s="293">
        <f t="shared" si="2"/>
        <v>1</v>
      </c>
      <c r="E1618" s="294"/>
      <c r="F1618" s="295" t="str">
        <f>IFERROR(__xludf.DUMMYFUNCTION("IF(B1618="""","""",IFERROR(VLOOKUP(TO_TEXT(B1618),PEDIDOS!D:I,6,0),IFERROR(VLOOKUP(B1618*1,PEDIDOS!D:I,6,0),"" "")))"),"ENTREGUE")</f>
        <v>ENTREGUE</v>
      </c>
      <c r="G1618" s="303"/>
      <c r="H1618" s="304"/>
    </row>
    <row r="1619">
      <c r="A1619" s="302" t="s">
        <v>72</v>
      </c>
      <c r="B1619" s="291" t="s">
        <v>10578</v>
      </c>
      <c r="C1619" s="292" t="s">
        <v>48</v>
      </c>
      <c r="D1619" s="293">
        <f t="shared" si="2"/>
        <v>1</v>
      </c>
      <c r="E1619" s="294"/>
      <c r="F1619" s="295" t="str">
        <f>IFERROR(__xludf.DUMMYFUNCTION("IF(B1619="""","""",IFERROR(VLOOKUP(TO_TEXT(B1619),PEDIDOS!D:I,6,0),IFERROR(VLOOKUP(B1619*1,PEDIDOS!D:I,6,0),"" "")))"),"ENTREGUE")</f>
        <v>ENTREGUE</v>
      </c>
      <c r="G1619" s="303"/>
      <c r="H1619" s="304"/>
    </row>
    <row r="1620">
      <c r="A1620" s="302" t="s">
        <v>72</v>
      </c>
      <c r="B1620" s="291" t="s">
        <v>8961</v>
      </c>
      <c r="C1620" s="292" t="s">
        <v>48</v>
      </c>
      <c r="D1620" s="293">
        <f t="shared" si="2"/>
        <v>1</v>
      </c>
      <c r="E1620" s="294"/>
      <c r="F1620" s="295" t="str">
        <f>IFERROR(__xludf.DUMMYFUNCTION("IF(B1620="""","""",IFERROR(VLOOKUP(TO_TEXT(B1620),PEDIDOS!D:I,6,0),IFERROR(VLOOKUP(B1620*1,PEDIDOS!D:I,6,0),"" "")))"),"ENTREGUE")</f>
        <v>ENTREGUE</v>
      </c>
      <c r="G1620" s="303"/>
      <c r="H1620" s="304"/>
    </row>
    <row r="1621">
      <c r="A1621" s="302" t="s">
        <v>72</v>
      </c>
      <c r="B1621" s="291" t="s">
        <v>9095</v>
      </c>
      <c r="C1621" s="292" t="s">
        <v>48</v>
      </c>
      <c r="D1621" s="293">
        <f t="shared" si="2"/>
        <v>1</v>
      </c>
      <c r="E1621" s="294"/>
      <c r="F1621" s="295" t="str">
        <f>IFERROR(__xludf.DUMMYFUNCTION("IF(B1621="""","""",IFERROR(VLOOKUP(TO_TEXT(B1621),PEDIDOS!D:I,6,0),IFERROR(VLOOKUP(B1621*1,PEDIDOS!D:I,6,0),"" "")))"),"ENTREGUE")</f>
        <v>ENTREGUE</v>
      </c>
      <c r="G1621" s="303"/>
      <c r="H1621" s="304"/>
    </row>
    <row r="1622">
      <c r="A1622" s="302" t="s">
        <v>72</v>
      </c>
      <c r="B1622" s="291" t="s">
        <v>9088</v>
      </c>
      <c r="C1622" s="292" t="s">
        <v>48</v>
      </c>
      <c r="D1622" s="293">
        <f t="shared" si="2"/>
        <v>1</v>
      </c>
      <c r="E1622" s="294"/>
      <c r="F1622" s="295" t="str">
        <f>IFERROR(__xludf.DUMMYFUNCTION("IF(B1622="""","""",IFERROR(VLOOKUP(TO_TEXT(B1622),PEDIDOS!D:I,6,0),IFERROR(VLOOKUP(B1622*1,PEDIDOS!D:I,6,0),"" "")))"),"ENTREGUE")</f>
        <v>ENTREGUE</v>
      </c>
      <c r="G1622" s="303"/>
      <c r="H1622" s="304"/>
    </row>
    <row r="1623">
      <c r="A1623" s="302" t="s">
        <v>72</v>
      </c>
      <c r="B1623" s="291" t="s">
        <v>9513</v>
      </c>
      <c r="C1623" s="292" t="s">
        <v>48</v>
      </c>
      <c r="D1623" s="293">
        <f t="shared" si="2"/>
        <v>1</v>
      </c>
      <c r="E1623" s="294"/>
      <c r="F1623" s="295" t="str">
        <f>IFERROR(__xludf.DUMMYFUNCTION("IF(B1623="""","""",IFERROR(VLOOKUP(TO_TEXT(B1623),PEDIDOS!D:I,6,0),IFERROR(VLOOKUP(B1623*1,PEDIDOS!D:I,6,0),"" "")))"),"ENTREGUE")</f>
        <v>ENTREGUE</v>
      </c>
      <c r="G1623" s="303"/>
      <c r="H1623" s="304"/>
    </row>
    <row r="1624">
      <c r="A1624" s="302" t="s">
        <v>72</v>
      </c>
      <c r="B1624" s="291" t="s">
        <v>10397</v>
      </c>
      <c r="C1624" s="292" t="s">
        <v>48</v>
      </c>
      <c r="D1624" s="293">
        <f t="shared" si="2"/>
        <v>1</v>
      </c>
      <c r="E1624" s="294"/>
      <c r="F1624" s="295" t="str">
        <f>IFERROR(__xludf.DUMMYFUNCTION("IF(B1624="""","""",IFERROR(VLOOKUP(TO_TEXT(B1624),PEDIDOS!D:I,6,0),IFERROR(VLOOKUP(B1624*1,PEDIDOS!D:I,6,0),"" "")))"),"ENTREGUE")</f>
        <v>ENTREGUE</v>
      </c>
      <c r="G1624" s="303"/>
      <c r="H1624" s="304"/>
    </row>
    <row r="1625">
      <c r="A1625" s="302" t="s">
        <v>72</v>
      </c>
      <c r="B1625" s="291" t="s">
        <v>9504</v>
      </c>
      <c r="C1625" s="292" t="s">
        <v>48</v>
      </c>
      <c r="D1625" s="293">
        <f t="shared" si="2"/>
        <v>1</v>
      </c>
      <c r="E1625" s="294"/>
      <c r="F1625" s="295" t="str">
        <f>IFERROR(__xludf.DUMMYFUNCTION("IF(B1625="""","""",IFERROR(VLOOKUP(TO_TEXT(B1625),PEDIDOS!D:I,6,0),IFERROR(VLOOKUP(B1625*1,PEDIDOS!D:I,6,0),"" "")))"),"ENTREGUE")</f>
        <v>ENTREGUE</v>
      </c>
      <c r="G1625" s="303"/>
      <c r="H1625" s="304"/>
    </row>
    <row r="1626">
      <c r="A1626" s="302" t="s">
        <v>72</v>
      </c>
      <c r="B1626" s="291" t="s">
        <v>9868</v>
      </c>
      <c r="C1626" s="292" t="s">
        <v>48</v>
      </c>
      <c r="D1626" s="293">
        <f t="shared" si="2"/>
        <v>1</v>
      </c>
      <c r="E1626" s="294"/>
      <c r="F1626" s="295" t="str">
        <f>IFERROR(__xludf.DUMMYFUNCTION("IF(B1626="""","""",IFERROR(VLOOKUP(TO_TEXT(B1626),PEDIDOS!D:I,6,0),IFERROR(VLOOKUP(B1626*1,PEDIDOS!D:I,6,0),"" "")))"),"ENTREGUE")</f>
        <v>ENTREGUE</v>
      </c>
      <c r="G1626" s="303"/>
      <c r="H1626" s="304"/>
    </row>
    <row r="1627">
      <c r="A1627" s="302" t="s">
        <v>72</v>
      </c>
      <c r="B1627" s="291" t="s">
        <v>10741</v>
      </c>
      <c r="C1627" s="292" t="s">
        <v>48</v>
      </c>
      <c r="D1627" s="293">
        <f t="shared" si="2"/>
        <v>1</v>
      </c>
      <c r="E1627" s="294"/>
      <c r="F1627" s="295" t="str">
        <f>IFERROR(__xludf.DUMMYFUNCTION("IF(B1627="""","""",IFERROR(VLOOKUP(TO_TEXT(B1627),PEDIDOS!D:I,6,0),IFERROR(VLOOKUP(B1627*1,PEDIDOS!D:I,6,0),"" "")))"),"ENTREGUE")</f>
        <v>ENTREGUE</v>
      </c>
      <c r="G1627" s="303"/>
      <c r="H1627" s="304"/>
    </row>
    <row r="1628">
      <c r="A1628" s="302" t="s">
        <v>72</v>
      </c>
      <c r="B1628" s="291" t="s">
        <v>10157</v>
      </c>
      <c r="C1628" s="292" t="s">
        <v>48</v>
      </c>
      <c r="D1628" s="293">
        <f t="shared" si="2"/>
        <v>1</v>
      </c>
      <c r="E1628" s="294"/>
      <c r="F1628" s="295" t="str">
        <f>IFERROR(__xludf.DUMMYFUNCTION("IF(B1628="""","""",IFERROR(VLOOKUP(TO_TEXT(B1628),PEDIDOS!D:I,6,0),IFERROR(VLOOKUP(B1628*1,PEDIDOS!D:I,6,0),"" "")))"),"ENTREGUE")</f>
        <v>ENTREGUE</v>
      </c>
      <c r="G1628" s="303"/>
      <c r="H1628" s="304"/>
    </row>
    <row r="1629">
      <c r="A1629" s="302" t="s">
        <v>72</v>
      </c>
      <c r="B1629" s="291" t="s">
        <v>9498</v>
      </c>
      <c r="C1629" s="292" t="s">
        <v>48</v>
      </c>
      <c r="D1629" s="293">
        <f t="shared" si="2"/>
        <v>1</v>
      </c>
      <c r="E1629" s="294"/>
      <c r="F1629" s="295" t="str">
        <f>IFERROR(__xludf.DUMMYFUNCTION("IF(B1629="""","""",IFERROR(VLOOKUP(TO_TEXT(B1629),PEDIDOS!D:I,6,0),IFERROR(VLOOKUP(B1629*1,PEDIDOS!D:I,6,0),"" "")))"),"ENTREGUE")</f>
        <v>ENTREGUE</v>
      </c>
      <c r="G1629" s="303"/>
      <c r="H1629" s="304"/>
    </row>
    <row r="1630">
      <c r="A1630" s="302" t="s">
        <v>72</v>
      </c>
      <c r="B1630" s="291" t="s">
        <v>9944</v>
      </c>
      <c r="C1630" s="292" t="s">
        <v>48</v>
      </c>
      <c r="D1630" s="293">
        <f t="shared" si="2"/>
        <v>1</v>
      </c>
      <c r="E1630" s="294"/>
      <c r="F1630" s="295" t="str">
        <f>IFERROR(__xludf.DUMMYFUNCTION("IF(B1630="""","""",IFERROR(VLOOKUP(TO_TEXT(B1630),PEDIDOS!D:I,6,0),IFERROR(VLOOKUP(B1630*1,PEDIDOS!D:I,6,0),"" "")))"),"ENTREGUE")</f>
        <v>ENTREGUE</v>
      </c>
      <c r="G1630" s="303"/>
      <c r="H1630" s="304"/>
    </row>
    <row r="1631">
      <c r="A1631" s="302" t="s">
        <v>72</v>
      </c>
      <c r="B1631" s="291" t="s">
        <v>9510</v>
      </c>
      <c r="C1631" s="292" t="s">
        <v>48</v>
      </c>
      <c r="D1631" s="293">
        <f t="shared" si="2"/>
        <v>1</v>
      </c>
      <c r="E1631" s="294"/>
      <c r="F1631" s="295" t="str">
        <f>IFERROR(__xludf.DUMMYFUNCTION("IF(B1631="""","""",IFERROR(VLOOKUP(TO_TEXT(B1631),PEDIDOS!D:I,6,0),IFERROR(VLOOKUP(B1631*1,PEDIDOS!D:I,6,0),"" "")))"),"ENTREGUE")</f>
        <v>ENTREGUE</v>
      </c>
      <c r="G1631" s="303"/>
      <c r="H1631" s="304"/>
    </row>
    <row r="1632">
      <c r="A1632" s="302" t="s">
        <v>72</v>
      </c>
      <c r="B1632" s="291" t="s">
        <v>10483</v>
      </c>
      <c r="C1632" s="292" t="s">
        <v>48</v>
      </c>
      <c r="D1632" s="293">
        <f t="shared" si="2"/>
        <v>1</v>
      </c>
      <c r="E1632" s="294"/>
      <c r="F1632" s="295" t="str">
        <f>IFERROR(__xludf.DUMMYFUNCTION("IF(B1632="""","""",IFERROR(VLOOKUP(TO_TEXT(B1632),PEDIDOS!D:I,6,0),IFERROR(VLOOKUP(B1632*1,PEDIDOS!D:I,6,0),"" "")))"),"ENTREGUE")</f>
        <v>ENTREGUE</v>
      </c>
      <c r="G1632" s="303"/>
      <c r="H1632" s="304"/>
    </row>
    <row r="1633">
      <c r="A1633" s="302" t="s">
        <v>72</v>
      </c>
      <c r="B1633" s="291" t="s">
        <v>10160</v>
      </c>
      <c r="C1633" s="292" t="s">
        <v>48</v>
      </c>
      <c r="D1633" s="293">
        <f t="shared" si="2"/>
        <v>1</v>
      </c>
      <c r="E1633" s="294"/>
      <c r="F1633" s="295" t="str">
        <f>IFERROR(__xludf.DUMMYFUNCTION("IF(B1633="""","""",IFERROR(VLOOKUP(TO_TEXT(B1633),PEDIDOS!D:I,6,0),IFERROR(VLOOKUP(B1633*1,PEDIDOS!D:I,6,0),"" "")))"),"ENTREGUE")</f>
        <v>ENTREGUE</v>
      </c>
      <c r="G1633" s="303"/>
      <c r="H1633" s="304"/>
    </row>
    <row r="1634">
      <c r="A1634" s="302" t="s">
        <v>72</v>
      </c>
      <c r="B1634" s="291" t="s">
        <v>159</v>
      </c>
      <c r="C1634" s="292" t="s">
        <v>48</v>
      </c>
      <c r="D1634" s="293">
        <f t="shared" si="2"/>
        <v>1</v>
      </c>
      <c r="E1634" s="294"/>
      <c r="F1634" s="295" t="str">
        <f>IFERROR(__xludf.DUMMYFUNCTION("IF(B1634="""","""",IFERROR(VLOOKUP(TO_TEXT(B1634),PEDIDOS!D:I,6,0),IFERROR(VLOOKUP(B1634*1,PEDIDOS!D:I,6,0),"" "")))"),"ENTREGUE")</f>
        <v>ENTREGUE</v>
      </c>
      <c r="G1634" s="303"/>
      <c r="H1634" s="304"/>
    </row>
    <row r="1635">
      <c r="A1635" s="302" t="s">
        <v>72</v>
      </c>
      <c r="B1635" s="291" t="s">
        <v>10039</v>
      </c>
      <c r="C1635" s="292" t="s">
        <v>48</v>
      </c>
      <c r="D1635" s="293">
        <f t="shared" si="2"/>
        <v>1</v>
      </c>
      <c r="E1635" s="294"/>
      <c r="F1635" s="295" t="str">
        <f>IFERROR(__xludf.DUMMYFUNCTION("IF(B1635="""","""",IFERROR(VLOOKUP(TO_TEXT(B1635),PEDIDOS!D:I,6,0),IFERROR(VLOOKUP(B1635*1,PEDIDOS!D:I,6,0),"" "")))"),"ENTREGUE")</f>
        <v>ENTREGUE</v>
      </c>
      <c r="G1635" s="303"/>
      <c r="H1635" s="304"/>
    </row>
    <row r="1636">
      <c r="A1636" s="302" t="s">
        <v>72</v>
      </c>
      <c r="B1636" s="291" t="s">
        <v>9507</v>
      </c>
      <c r="C1636" s="292" t="s">
        <v>48</v>
      </c>
      <c r="D1636" s="293">
        <f t="shared" si="2"/>
        <v>1</v>
      </c>
      <c r="E1636" s="294"/>
      <c r="F1636" s="295" t="str">
        <f>IFERROR(__xludf.DUMMYFUNCTION("IF(B1636="""","""",IFERROR(VLOOKUP(TO_TEXT(B1636),PEDIDOS!D:I,6,0),IFERROR(VLOOKUP(B1636*1,PEDIDOS!D:I,6,0),"" "")))"),"ENTREGUE")</f>
        <v>ENTREGUE</v>
      </c>
      <c r="G1636" s="303"/>
      <c r="H1636" s="304"/>
    </row>
    <row r="1637">
      <c r="A1637" s="302" t="s">
        <v>72</v>
      </c>
      <c r="B1637" s="291" t="s">
        <v>10406</v>
      </c>
      <c r="C1637" s="292" t="s">
        <v>48</v>
      </c>
      <c r="D1637" s="293">
        <f t="shared" si="2"/>
        <v>1</v>
      </c>
      <c r="E1637" s="294"/>
      <c r="F1637" s="295" t="str">
        <f>IFERROR(__xludf.DUMMYFUNCTION("IF(B1637="""","""",IFERROR(VLOOKUP(TO_TEXT(B1637),PEDIDOS!D:I,6,0),IFERROR(VLOOKUP(B1637*1,PEDIDOS!D:I,6,0),"" "")))"),"ENTREGUE")</f>
        <v>ENTREGUE</v>
      </c>
      <c r="G1637" s="303"/>
      <c r="H1637" s="304"/>
    </row>
    <row r="1638">
      <c r="A1638" s="302" t="s">
        <v>72</v>
      </c>
      <c r="B1638" s="291" t="s">
        <v>9519</v>
      </c>
      <c r="C1638" s="292" t="s">
        <v>48</v>
      </c>
      <c r="D1638" s="293">
        <f t="shared" si="2"/>
        <v>1</v>
      </c>
      <c r="E1638" s="294"/>
      <c r="F1638" s="295" t="str">
        <f>IFERROR(__xludf.DUMMYFUNCTION("IF(B1638="""","""",IFERROR(VLOOKUP(TO_TEXT(B1638),PEDIDOS!D:I,6,0),IFERROR(VLOOKUP(B1638*1,PEDIDOS!D:I,6,0),"" "")))"),"ENTREGUE")</f>
        <v>ENTREGUE</v>
      </c>
      <c r="G1638" s="303"/>
      <c r="H1638" s="304"/>
    </row>
    <row r="1639">
      <c r="A1639" s="302" t="s">
        <v>72</v>
      </c>
      <c r="B1639" s="291" t="s">
        <v>10163</v>
      </c>
      <c r="C1639" s="292" t="s">
        <v>48</v>
      </c>
      <c r="D1639" s="293">
        <f t="shared" si="2"/>
        <v>1</v>
      </c>
      <c r="E1639" s="294"/>
      <c r="F1639" s="295" t="str">
        <f>IFERROR(__xludf.DUMMYFUNCTION("IF(B1639="""","""",IFERROR(VLOOKUP(TO_TEXT(B1639),PEDIDOS!D:I,6,0),IFERROR(VLOOKUP(B1639*1,PEDIDOS!D:I,6,0),"" "")))"),"ENTREGUE")</f>
        <v>ENTREGUE</v>
      </c>
      <c r="G1639" s="303"/>
      <c r="H1639" s="304"/>
    </row>
    <row r="1640">
      <c r="A1640" s="302" t="s">
        <v>72</v>
      </c>
      <c r="B1640" s="291" t="s">
        <v>10205</v>
      </c>
      <c r="C1640" s="292" t="s">
        <v>48</v>
      </c>
      <c r="D1640" s="293">
        <f t="shared" si="2"/>
        <v>1</v>
      </c>
      <c r="E1640" s="294"/>
      <c r="F1640" s="295" t="str">
        <f>IFERROR(__xludf.DUMMYFUNCTION("IF(B1640="""","""",IFERROR(VLOOKUP(TO_TEXT(B1640),PEDIDOS!D:I,6,0),IFERROR(VLOOKUP(B1640*1,PEDIDOS!D:I,6,0),"" "")))"),"ENTREGUE")</f>
        <v>ENTREGUE</v>
      </c>
      <c r="G1640" s="303"/>
      <c r="H1640" s="304"/>
    </row>
    <row r="1641">
      <c r="A1641" s="302" t="s">
        <v>72</v>
      </c>
      <c r="B1641" s="291" t="s">
        <v>8973</v>
      </c>
      <c r="C1641" s="292" t="s">
        <v>48</v>
      </c>
      <c r="D1641" s="293">
        <f t="shared" si="2"/>
        <v>1</v>
      </c>
      <c r="E1641" s="294"/>
      <c r="F1641" s="295" t="str">
        <f>IFERROR(__xludf.DUMMYFUNCTION("IF(B1641="""","""",IFERROR(VLOOKUP(TO_TEXT(B1641),PEDIDOS!D:I,6,0),IFERROR(VLOOKUP(B1641*1,PEDIDOS!D:I,6,0),"" "")))"),"ENTREGUE")</f>
        <v>ENTREGUE</v>
      </c>
      <c r="G1641" s="303"/>
      <c r="H1641" s="304"/>
    </row>
    <row r="1642">
      <c r="A1642" s="302" t="s">
        <v>72</v>
      </c>
      <c r="B1642" s="291" t="s">
        <v>11178</v>
      </c>
      <c r="C1642" s="292" t="s">
        <v>48</v>
      </c>
      <c r="D1642" s="293">
        <f t="shared" si="2"/>
        <v>1</v>
      </c>
      <c r="E1642" s="294"/>
      <c r="F1642" s="295" t="str">
        <f>IFERROR(__xludf.DUMMYFUNCTION("IF(B1642="""","""",IFERROR(VLOOKUP(TO_TEXT(B1642),PEDIDOS!D:I,6,0),IFERROR(VLOOKUP(B1642*1,PEDIDOS!D:I,6,0),"" "")))"),"ENTREGUE")</f>
        <v>ENTREGUE</v>
      </c>
      <c r="G1642" s="303"/>
      <c r="H1642" s="304"/>
    </row>
    <row r="1643">
      <c r="A1643" s="302" t="s">
        <v>72</v>
      </c>
      <c r="B1643" s="291" t="s">
        <v>9871</v>
      </c>
      <c r="C1643" s="292" t="s">
        <v>48</v>
      </c>
      <c r="D1643" s="293">
        <f t="shared" si="2"/>
        <v>1</v>
      </c>
      <c r="E1643" s="294"/>
      <c r="F1643" s="295" t="str">
        <f>IFERROR(__xludf.DUMMYFUNCTION("IF(B1643="""","""",IFERROR(VLOOKUP(TO_TEXT(B1643),PEDIDOS!D:I,6,0),IFERROR(VLOOKUP(B1643*1,PEDIDOS!D:I,6,0),"" "")))"),"ENTREGUE")</f>
        <v>ENTREGUE</v>
      </c>
      <c r="G1643" s="303"/>
      <c r="H1643" s="304"/>
    </row>
    <row r="1644">
      <c r="A1644" s="302" t="s">
        <v>72</v>
      </c>
      <c r="B1644" s="291" t="s">
        <v>10443</v>
      </c>
      <c r="C1644" s="292" t="s">
        <v>48</v>
      </c>
      <c r="D1644" s="293">
        <f t="shared" si="2"/>
        <v>1</v>
      </c>
      <c r="E1644" s="294"/>
      <c r="F1644" s="295" t="str">
        <f>IFERROR(__xludf.DUMMYFUNCTION("IF(B1644="""","""",IFERROR(VLOOKUP(TO_TEXT(B1644),PEDIDOS!D:I,6,0),IFERROR(VLOOKUP(B1644*1,PEDIDOS!D:I,6,0),"" "")))"),"ENTREGUE")</f>
        <v>ENTREGUE</v>
      </c>
      <c r="G1644" s="303"/>
      <c r="H1644" s="304"/>
    </row>
    <row r="1645">
      <c r="A1645" s="302" t="s">
        <v>72</v>
      </c>
      <c r="B1645" s="291" t="s">
        <v>11175</v>
      </c>
      <c r="C1645" s="292" t="s">
        <v>48</v>
      </c>
      <c r="D1645" s="293">
        <f t="shared" si="2"/>
        <v>1</v>
      </c>
      <c r="E1645" s="294"/>
      <c r="F1645" s="295" t="str">
        <f>IFERROR(__xludf.DUMMYFUNCTION("IF(B1645="""","""",IFERROR(VLOOKUP(TO_TEXT(B1645),PEDIDOS!D:I,6,0),IFERROR(VLOOKUP(B1645*1,PEDIDOS!D:I,6,0),"" "")))"),"ENTREGUE")</f>
        <v>ENTREGUE</v>
      </c>
      <c r="G1645" s="303"/>
      <c r="H1645" s="304"/>
    </row>
    <row r="1646">
      <c r="A1646" s="302" t="s">
        <v>72</v>
      </c>
      <c r="B1646" s="291" t="s">
        <v>9516</v>
      </c>
      <c r="C1646" s="292" t="s">
        <v>48</v>
      </c>
      <c r="D1646" s="293">
        <f t="shared" si="2"/>
        <v>1</v>
      </c>
      <c r="E1646" s="294"/>
      <c r="F1646" s="295" t="str">
        <f>IFERROR(__xludf.DUMMYFUNCTION("IF(B1646="""","""",IFERROR(VLOOKUP(TO_TEXT(B1646),PEDIDOS!D:I,6,0),IFERROR(VLOOKUP(B1646*1,PEDIDOS!D:I,6,0),"" "")))"),"ENTREGUE")</f>
        <v>ENTREGUE</v>
      </c>
      <c r="G1646" s="303"/>
      <c r="H1646" s="304"/>
    </row>
    <row r="1647">
      <c r="A1647" s="302" t="s">
        <v>72</v>
      </c>
      <c r="B1647" s="291" t="s">
        <v>10109</v>
      </c>
      <c r="C1647" s="292" t="s">
        <v>48</v>
      </c>
      <c r="D1647" s="293">
        <f t="shared" si="2"/>
        <v>1</v>
      </c>
      <c r="E1647" s="294"/>
      <c r="F1647" s="295" t="str">
        <f>IFERROR(__xludf.DUMMYFUNCTION("IF(B1647="""","""",IFERROR(VLOOKUP(TO_TEXT(B1647),PEDIDOS!D:I,6,0),IFERROR(VLOOKUP(B1647*1,PEDIDOS!D:I,6,0),"" "")))"),"ENTREGUE")</f>
        <v>ENTREGUE</v>
      </c>
      <c r="G1647" s="303"/>
      <c r="H1647" s="304"/>
    </row>
    <row r="1648">
      <c r="A1648" s="302" t="s">
        <v>72</v>
      </c>
      <c r="B1648" s="291" t="s">
        <v>9874</v>
      </c>
      <c r="C1648" s="292" t="s">
        <v>48</v>
      </c>
      <c r="D1648" s="293">
        <f t="shared" si="2"/>
        <v>1</v>
      </c>
      <c r="E1648" s="294"/>
      <c r="F1648" s="295" t="str">
        <f>IFERROR(__xludf.DUMMYFUNCTION("IF(B1648="""","""",IFERROR(VLOOKUP(TO_TEXT(B1648),PEDIDOS!D:I,6,0),IFERROR(VLOOKUP(B1648*1,PEDIDOS!D:I,6,0),"" "")))"),"ENTREGUE")</f>
        <v>ENTREGUE</v>
      </c>
      <c r="G1648" s="303"/>
      <c r="H1648" s="304"/>
    </row>
    <row r="1649">
      <c r="A1649" s="302" t="s">
        <v>72</v>
      </c>
      <c r="B1649" s="291" t="s">
        <v>8969</v>
      </c>
      <c r="C1649" s="292" t="s">
        <v>48</v>
      </c>
      <c r="D1649" s="293">
        <f t="shared" si="2"/>
        <v>1</v>
      </c>
      <c r="E1649" s="294"/>
      <c r="F1649" s="295" t="str">
        <f>IFERROR(__xludf.DUMMYFUNCTION("IF(B1649="""","""",IFERROR(VLOOKUP(TO_TEXT(B1649),PEDIDOS!D:I,6,0),IFERROR(VLOOKUP(B1649*1,PEDIDOS!D:I,6,0),"" "")))"),"ENTREGUE")</f>
        <v>ENTREGUE</v>
      </c>
      <c r="G1649" s="303"/>
      <c r="H1649" s="304"/>
    </row>
    <row r="1650">
      <c r="A1650" s="302" t="s">
        <v>72</v>
      </c>
      <c r="B1650" s="291" t="s">
        <v>11211</v>
      </c>
      <c r="C1650" s="292" t="s">
        <v>48</v>
      </c>
      <c r="D1650" s="293">
        <f t="shared" si="2"/>
        <v>1</v>
      </c>
      <c r="E1650" s="294"/>
      <c r="F1650" s="295" t="str">
        <f>IFERROR(__xludf.DUMMYFUNCTION("IF(B1650="""","""",IFERROR(VLOOKUP(TO_TEXT(B1650),PEDIDOS!D:I,6,0),IFERROR(VLOOKUP(B1650*1,PEDIDOS!D:I,6,0),"" "")))"),"ENTREGUE")</f>
        <v>ENTREGUE</v>
      </c>
      <c r="G1650" s="303"/>
      <c r="H1650" s="304"/>
    </row>
    <row r="1651">
      <c r="A1651" s="302" t="s">
        <v>72</v>
      </c>
      <c r="B1651" s="291" t="s">
        <v>10197</v>
      </c>
      <c r="C1651" s="292" t="s">
        <v>48</v>
      </c>
      <c r="D1651" s="293">
        <f t="shared" si="2"/>
        <v>1</v>
      </c>
      <c r="E1651" s="294"/>
      <c r="F1651" s="295" t="str">
        <f>IFERROR(__xludf.DUMMYFUNCTION("IF(B1651="""","""",IFERROR(VLOOKUP(TO_TEXT(B1651),PEDIDOS!D:I,6,0),IFERROR(VLOOKUP(B1651*1,PEDIDOS!D:I,6,0),"" "")))"),"ENTREGUE")</f>
        <v>ENTREGUE</v>
      </c>
      <c r="G1651" s="303"/>
      <c r="H1651" s="304"/>
    </row>
    <row r="1652">
      <c r="A1652" s="302" t="s">
        <v>72</v>
      </c>
      <c r="B1652" s="291" t="s">
        <v>9802</v>
      </c>
      <c r="C1652" s="292" t="s">
        <v>48</v>
      </c>
      <c r="D1652" s="293">
        <f t="shared" si="2"/>
        <v>1</v>
      </c>
      <c r="E1652" s="294"/>
      <c r="F1652" s="295" t="str">
        <f>IFERROR(__xludf.DUMMYFUNCTION("IF(B1652="""","""",IFERROR(VLOOKUP(TO_TEXT(B1652),PEDIDOS!D:I,6,0),IFERROR(VLOOKUP(B1652*1,PEDIDOS!D:I,6,0),"" "")))"),"ENTREGUE")</f>
        <v>ENTREGUE</v>
      </c>
      <c r="G1652" s="303"/>
      <c r="H1652" s="304"/>
    </row>
    <row r="1653">
      <c r="A1653" s="302" t="s">
        <v>72</v>
      </c>
      <c r="B1653" s="291" t="s">
        <v>10737</v>
      </c>
      <c r="C1653" s="292" t="s">
        <v>48</v>
      </c>
      <c r="D1653" s="293">
        <f t="shared" si="2"/>
        <v>1</v>
      </c>
      <c r="E1653" s="294"/>
      <c r="F1653" s="295" t="str">
        <f>IFERROR(__xludf.DUMMYFUNCTION("IF(B1653="""","""",IFERROR(VLOOKUP(TO_TEXT(B1653),PEDIDOS!D:I,6,0),IFERROR(VLOOKUP(B1653*1,PEDIDOS!D:I,6,0),"" "")))"),"ENTREGUE")</f>
        <v>ENTREGUE</v>
      </c>
      <c r="G1653" s="303"/>
      <c r="H1653" s="304"/>
    </row>
    <row r="1654">
      <c r="A1654" s="302" t="s">
        <v>72</v>
      </c>
      <c r="B1654" s="291" t="s">
        <v>10188</v>
      </c>
      <c r="C1654" s="292" t="s">
        <v>48</v>
      </c>
      <c r="D1654" s="293">
        <f t="shared" si="2"/>
        <v>1</v>
      </c>
      <c r="E1654" s="294"/>
      <c r="F1654" s="295" t="str">
        <f>IFERROR(__xludf.DUMMYFUNCTION("IF(B1654="""","""",IFERROR(VLOOKUP(TO_TEXT(B1654),PEDIDOS!D:I,6,0),IFERROR(VLOOKUP(B1654*1,PEDIDOS!D:I,6,0),"" "")))"),"ENTREGUE")</f>
        <v>ENTREGUE</v>
      </c>
      <c r="G1654" s="303"/>
      <c r="H1654" s="304"/>
    </row>
    <row r="1655">
      <c r="A1655" s="302" t="s">
        <v>72</v>
      </c>
      <c r="B1655" s="291" t="s">
        <v>10972</v>
      </c>
      <c r="C1655" s="292" t="s">
        <v>48</v>
      </c>
      <c r="D1655" s="293">
        <f t="shared" si="2"/>
        <v>1</v>
      </c>
      <c r="E1655" s="294"/>
      <c r="F1655" s="295" t="str">
        <f>IFERROR(__xludf.DUMMYFUNCTION("IF(B1655="""","""",IFERROR(VLOOKUP(TO_TEXT(B1655),PEDIDOS!D:I,6,0),IFERROR(VLOOKUP(B1655*1,PEDIDOS!D:I,6,0),"" "")))"),"ENTREGUE")</f>
        <v>ENTREGUE</v>
      </c>
      <c r="G1655" s="303"/>
      <c r="H1655" s="304"/>
    </row>
    <row r="1656">
      <c r="A1656" s="302" t="s">
        <v>72</v>
      </c>
      <c r="B1656" s="291" t="s">
        <v>10499</v>
      </c>
      <c r="C1656" s="292" t="s">
        <v>48</v>
      </c>
      <c r="D1656" s="293">
        <f t="shared" si="2"/>
        <v>1</v>
      </c>
      <c r="E1656" s="294"/>
      <c r="F1656" s="295" t="str">
        <f>IFERROR(__xludf.DUMMYFUNCTION("IF(B1656="""","""",IFERROR(VLOOKUP(TO_TEXT(B1656),PEDIDOS!D:I,6,0),IFERROR(VLOOKUP(B1656*1,PEDIDOS!D:I,6,0),"" "")))"),"ENTREGUE")</f>
        <v>ENTREGUE</v>
      </c>
      <c r="G1656" s="303"/>
      <c r="H1656" s="304"/>
    </row>
    <row r="1657">
      <c r="A1657" s="302" t="s">
        <v>72</v>
      </c>
      <c r="B1657" s="291" t="s">
        <v>9543</v>
      </c>
      <c r="C1657" s="292" t="s">
        <v>48</v>
      </c>
      <c r="D1657" s="293">
        <f t="shared" si="2"/>
        <v>1</v>
      </c>
      <c r="E1657" s="294"/>
      <c r="F1657" s="295" t="str">
        <f>IFERROR(__xludf.DUMMYFUNCTION("IF(B1657="""","""",IFERROR(VLOOKUP(TO_TEXT(B1657),PEDIDOS!D:I,6,0),IFERROR(VLOOKUP(B1657*1,PEDIDOS!D:I,6,0),"" "")))"),"ENTREGUE")</f>
        <v>ENTREGUE</v>
      </c>
      <c r="G1657" s="303"/>
      <c r="H1657" s="304"/>
    </row>
    <row r="1658">
      <c r="A1658" s="302" t="s">
        <v>72</v>
      </c>
      <c r="B1658" s="291" t="s">
        <v>10420</v>
      </c>
      <c r="C1658" s="292" t="s">
        <v>48</v>
      </c>
      <c r="D1658" s="293">
        <f t="shared" si="2"/>
        <v>1</v>
      </c>
      <c r="E1658" s="294"/>
      <c r="F1658" s="295" t="str">
        <f>IFERROR(__xludf.DUMMYFUNCTION("IF(B1658="""","""",IFERROR(VLOOKUP(TO_TEXT(B1658),PEDIDOS!D:I,6,0),IFERROR(VLOOKUP(B1658*1,PEDIDOS!D:I,6,0),"" "")))"),"ENTREGUE")</f>
        <v>ENTREGUE</v>
      </c>
      <c r="G1658" s="303"/>
      <c r="H1658" s="304"/>
    </row>
    <row r="1659">
      <c r="A1659" s="302" t="s">
        <v>72</v>
      </c>
      <c r="B1659" s="291" t="s">
        <v>10875</v>
      </c>
      <c r="C1659" s="292" t="s">
        <v>48</v>
      </c>
      <c r="D1659" s="293">
        <f t="shared" si="2"/>
        <v>1</v>
      </c>
      <c r="E1659" s="294"/>
      <c r="F1659" s="295" t="str">
        <f>IFERROR(__xludf.DUMMYFUNCTION("IF(B1659="""","""",IFERROR(VLOOKUP(TO_TEXT(B1659),PEDIDOS!D:I,6,0),IFERROR(VLOOKUP(B1659*1,PEDIDOS!D:I,6,0),"" "")))"),"ENTREGUE")</f>
        <v>ENTREGUE</v>
      </c>
      <c r="G1659" s="303"/>
      <c r="H1659" s="304"/>
    </row>
    <row r="1660">
      <c r="A1660" s="302" t="s">
        <v>72</v>
      </c>
      <c r="B1660" s="291" t="s">
        <v>9910</v>
      </c>
      <c r="C1660" s="292" t="s">
        <v>48</v>
      </c>
      <c r="D1660" s="293">
        <f t="shared" si="2"/>
        <v>1</v>
      </c>
      <c r="E1660" s="294"/>
      <c r="F1660" s="295" t="str">
        <f>IFERROR(__xludf.DUMMYFUNCTION("IF(B1660="""","""",IFERROR(VLOOKUP(TO_TEXT(B1660),PEDIDOS!D:I,6,0),IFERROR(VLOOKUP(B1660*1,PEDIDOS!D:I,6,0),"" "")))"),"ENTREGUE")</f>
        <v>ENTREGUE</v>
      </c>
      <c r="G1660" s="303"/>
      <c r="H1660" s="304"/>
    </row>
    <row r="1661">
      <c r="A1661" s="302" t="s">
        <v>72</v>
      </c>
      <c r="B1661" s="291" t="s">
        <v>10976</v>
      </c>
      <c r="C1661" s="292" t="s">
        <v>48</v>
      </c>
      <c r="D1661" s="293">
        <f t="shared" si="2"/>
        <v>1</v>
      </c>
      <c r="E1661" s="294"/>
      <c r="F1661" s="295" t="str">
        <f>IFERROR(__xludf.DUMMYFUNCTION("IF(B1661="""","""",IFERROR(VLOOKUP(TO_TEXT(B1661),PEDIDOS!D:I,6,0),IFERROR(VLOOKUP(B1661*1,PEDIDOS!D:I,6,0),"" "")))"),"ENTREGUE")</f>
        <v>ENTREGUE</v>
      </c>
      <c r="G1661" s="303"/>
      <c r="H1661" s="304"/>
    </row>
    <row r="1662">
      <c r="A1662" s="302" t="s">
        <v>72</v>
      </c>
      <c r="B1662" s="291" t="s">
        <v>10981</v>
      </c>
      <c r="C1662" s="292" t="s">
        <v>48</v>
      </c>
      <c r="D1662" s="293">
        <f t="shared" si="2"/>
        <v>1</v>
      </c>
      <c r="E1662" s="294"/>
      <c r="F1662" s="295" t="str">
        <f>IFERROR(__xludf.DUMMYFUNCTION("IF(B1662="""","""",IFERROR(VLOOKUP(TO_TEXT(B1662),PEDIDOS!D:I,6,0),IFERROR(VLOOKUP(B1662*1,PEDIDOS!D:I,6,0),"" "")))"),"ENTREGUE")</f>
        <v>ENTREGUE</v>
      </c>
      <c r="G1662" s="303"/>
      <c r="H1662" s="304"/>
    </row>
    <row r="1663">
      <c r="A1663" s="302" t="s">
        <v>72</v>
      </c>
      <c r="B1663" s="291" t="s">
        <v>10797</v>
      </c>
      <c r="C1663" s="292" t="s">
        <v>48</v>
      </c>
      <c r="D1663" s="293">
        <f t="shared" si="2"/>
        <v>1</v>
      </c>
      <c r="E1663" s="294"/>
      <c r="F1663" s="295" t="str">
        <f>IFERROR(__xludf.DUMMYFUNCTION("IF(B1663="""","""",IFERROR(VLOOKUP(TO_TEXT(B1663),PEDIDOS!D:I,6,0),IFERROR(VLOOKUP(B1663*1,PEDIDOS!D:I,6,0),"" "")))"),"ENTREGUE")</f>
        <v>ENTREGUE</v>
      </c>
      <c r="G1663" s="303"/>
      <c r="H1663" s="304"/>
    </row>
    <row r="1664">
      <c r="A1664" s="302" t="s">
        <v>72</v>
      </c>
      <c r="B1664" s="291" t="s">
        <v>10801</v>
      </c>
      <c r="C1664" s="292" t="s">
        <v>48</v>
      </c>
      <c r="D1664" s="293">
        <f t="shared" si="2"/>
        <v>1</v>
      </c>
      <c r="E1664" s="294"/>
      <c r="F1664" s="295" t="str">
        <f>IFERROR(__xludf.DUMMYFUNCTION("IF(B1664="""","""",IFERROR(VLOOKUP(TO_TEXT(B1664),PEDIDOS!D:I,6,0),IFERROR(VLOOKUP(B1664*1,PEDIDOS!D:I,6,0),"" "")))"),"ENTREGUE")</f>
        <v>ENTREGUE</v>
      </c>
      <c r="G1664" s="303"/>
      <c r="H1664" s="304"/>
    </row>
    <row r="1665">
      <c r="A1665" s="302" t="s">
        <v>72</v>
      </c>
      <c r="B1665" s="291" t="s">
        <v>10754</v>
      </c>
      <c r="C1665" s="292" t="s">
        <v>48</v>
      </c>
      <c r="D1665" s="293">
        <f t="shared" si="2"/>
        <v>1</v>
      </c>
      <c r="E1665" s="294"/>
      <c r="F1665" s="295" t="str">
        <f>IFERROR(__xludf.DUMMYFUNCTION("IF(B1665="""","""",IFERROR(VLOOKUP(TO_TEXT(B1665),PEDIDOS!D:I,6,0),IFERROR(VLOOKUP(B1665*1,PEDIDOS!D:I,6,0),"" "")))"),"ENTREGUE")</f>
        <v>ENTREGUE</v>
      </c>
      <c r="G1665" s="303"/>
      <c r="H1665" s="304"/>
    </row>
    <row r="1666">
      <c r="A1666" s="302" t="s">
        <v>72</v>
      </c>
      <c r="B1666" s="291" t="s">
        <v>9393</v>
      </c>
      <c r="C1666" s="292" t="s">
        <v>48</v>
      </c>
      <c r="D1666" s="293">
        <f t="shared" si="2"/>
        <v>1</v>
      </c>
      <c r="E1666" s="294"/>
      <c r="F1666" s="295" t="str">
        <f>IFERROR(__xludf.DUMMYFUNCTION("IF(B1666="""","""",IFERROR(VLOOKUP(TO_TEXT(B1666),PEDIDOS!D:I,6,0),IFERROR(VLOOKUP(B1666*1,PEDIDOS!D:I,6,0),"" "")))"),"ENTREGUE")</f>
        <v>ENTREGUE</v>
      </c>
      <c r="G1666" s="303"/>
      <c r="H1666" s="304"/>
    </row>
    <row r="1667">
      <c r="A1667" s="302" t="s">
        <v>72</v>
      </c>
      <c r="B1667" s="291" t="s">
        <v>10933</v>
      </c>
      <c r="C1667" s="292" t="s">
        <v>48</v>
      </c>
      <c r="D1667" s="293">
        <f t="shared" si="2"/>
        <v>1</v>
      </c>
      <c r="E1667" s="294"/>
      <c r="F1667" s="295" t="str">
        <f>IFERROR(__xludf.DUMMYFUNCTION("IF(B1667="""","""",IFERROR(VLOOKUP(TO_TEXT(B1667),PEDIDOS!D:I,6,0),IFERROR(VLOOKUP(B1667*1,PEDIDOS!D:I,6,0),"" "")))"),"ENTREGUE")</f>
        <v>ENTREGUE</v>
      </c>
      <c r="G1667" s="303"/>
      <c r="H1667" s="304"/>
    </row>
    <row r="1668">
      <c r="A1668" s="302" t="s">
        <v>72</v>
      </c>
      <c r="B1668" s="291" t="s">
        <v>10943</v>
      </c>
      <c r="C1668" s="292" t="s">
        <v>48</v>
      </c>
      <c r="D1668" s="293">
        <f t="shared" si="2"/>
        <v>1</v>
      </c>
      <c r="E1668" s="294"/>
      <c r="F1668" s="295" t="str">
        <f>IFERROR(__xludf.DUMMYFUNCTION("IF(B1668="""","""",IFERROR(VLOOKUP(TO_TEXT(B1668),PEDIDOS!D:I,6,0),IFERROR(VLOOKUP(B1668*1,PEDIDOS!D:I,6,0),"" "")))"),"ENTREGUE")</f>
        <v>ENTREGUE</v>
      </c>
      <c r="G1668" s="303"/>
      <c r="H1668" s="304"/>
    </row>
    <row r="1669">
      <c r="A1669" s="302" t="s">
        <v>72</v>
      </c>
      <c r="B1669" s="291" t="s">
        <v>10929</v>
      </c>
      <c r="C1669" s="292" t="s">
        <v>48</v>
      </c>
      <c r="D1669" s="293">
        <f t="shared" si="2"/>
        <v>1</v>
      </c>
      <c r="E1669" s="294"/>
      <c r="F1669" s="295" t="str">
        <f>IFERROR(__xludf.DUMMYFUNCTION("IF(B1669="""","""",IFERROR(VLOOKUP(TO_TEXT(B1669),PEDIDOS!D:I,6,0),IFERROR(VLOOKUP(B1669*1,PEDIDOS!D:I,6,0),"" "")))"),"ENTREGUE")</f>
        <v>ENTREGUE</v>
      </c>
      <c r="G1669" s="303"/>
      <c r="H1669" s="304"/>
    </row>
    <row r="1670">
      <c r="A1670" s="302" t="s">
        <v>72</v>
      </c>
      <c r="B1670" s="291" t="s">
        <v>10951</v>
      </c>
      <c r="C1670" s="292" t="s">
        <v>48</v>
      </c>
      <c r="D1670" s="293">
        <f t="shared" si="2"/>
        <v>1</v>
      </c>
      <c r="E1670" s="294"/>
      <c r="F1670" s="295" t="str">
        <f>IFERROR(__xludf.DUMMYFUNCTION("IF(B1670="""","""",IFERROR(VLOOKUP(TO_TEXT(B1670),PEDIDOS!D:I,6,0),IFERROR(VLOOKUP(B1670*1,PEDIDOS!D:I,6,0),"" "")))"),"ENTREGUE")</f>
        <v>ENTREGUE</v>
      </c>
      <c r="G1670" s="303"/>
      <c r="H1670" s="304"/>
    </row>
    <row r="1671">
      <c r="A1671" s="302" t="s">
        <v>72</v>
      </c>
      <c r="B1671" s="291" t="s">
        <v>10995</v>
      </c>
      <c r="C1671" s="292" t="s">
        <v>48</v>
      </c>
      <c r="D1671" s="293">
        <f t="shared" si="2"/>
        <v>1</v>
      </c>
      <c r="E1671" s="294"/>
      <c r="F1671" s="295" t="str">
        <f>IFERROR(__xludf.DUMMYFUNCTION("IF(B1671="""","""",IFERROR(VLOOKUP(TO_TEXT(B1671),PEDIDOS!D:I,6,0),IFERROR(VLOOKUP(B1671*1,PEDIDOS!D:I,6,0),"" "")))"),"ENTREGUE")</f>
        <v>ENTREGUE</v>
      </c>
      <c r="G1671" s="303"/>
      <c r="H1671" s="304"/>
    </row>
    <row r="1672">
      <c r="A1672" s="302" t="s">
        <v>72</v>
      </c>
      <c r="B1672" s="291" t="s">
        <v>11051</v>
      </c>
      <c r="C1672" s="292" t="s">
        <v>48</v>
      </c>
      <c r="D1672" s="293">
        <f t="shared" si="2"/>
        <v>1</v>
      </c>
      <c r="E1672" s="294"/>
      <c r="F1672" s="295" t="str">
        <f>IFERROR(__xludf.DUMMYFUNCTION("IF(B1672="""","""",IFERROR(VLOOKUP(TO_TEXT(B1672),PEDIDOS!D:I,6,0),IFERROR(VLOOKUP(B1672*1,PEDIDOS!D:I,6,0),"" "")))"),"ENTREGUE")</f>
        <v>ENTREGUE</v>
      </c>
      <c r="G1672" s="303"/>
      <c r="H1672" s="304"/>
    </row>
    <row r="1673">
      <c r="A1673" s="302" t="s">
        <v>72</v>
      </c>
      <c r="B1673" s="291" t="s">
        <v>11047</v>
      </c>
      <c r="C1673" s="292" t="s">
        <v>48</v>
      </c>
      <c r="D1673" s="293">
        <f t="shared" si="2"/>
        <v>1</v>
      </c>
      <c r="E1673" s="294"/>
      <c r="F1673" s="295" t="str">
        <f>IFERROR(__xludf.DUMMYFUNCTION("IF(B1673="""","""",IFERROR(VLOOKUP(TO_TEXT(B1673),PEDIDOS!D:I,6,0),IFERROR(VLOOKUP(B1673*1,PEDIDOS!D:I,6,0),"" "")))"),"ENTREGUE")</f>
        <v>ENTREGUE</v>
      </c>
      <c r="G1673" s="303"/>
      <c r="H1673" s="304"/>
    </row>
    <row r="1674">
      <c r="A1674" s="302" t="s">
        <v>72</v>
      </c>
      <c r="B1674" s="291" t="s">
        <v>11078</v>
      </c>
      <c r="C1674" s="292" t="s">
        <v>48</v>
      </c>
      <c r="D1674" s="293">
        <f t="shared" si="2"/>
        <v>1</v>
      </c>
      <c r="E1674" s="294"/>
      <c r="F1674" s="295" t="str">
        <f>IFERROR(__xludf.DUMMYFUNCTION("IF(B1674="""","""",IFERROR(VLOOKUP(TO_TEXT(B1674),PEDIDOS!D:I,6,0),IFERROR(VLOOKUP(B1674*1,PEDIDOS!D:I,6,0),"" "")))"),"ENTREGUE")</f>
        <v>ENTREGUE</v>
      </c>
      <c r="G1674" s="303"/>
      <c r="H1674" s="304"/>
    </row>
    <row r="1675">
      <c r="A1675" s="302" t="s">
        <v>72</v>
      </c>
      <c r="B1675" s="291" t="s">
        <v>11117</v>
      </c>
      <c r="C1675" s="292" t="s">
        <v>48</v>
      </c>
      <c r="D1675" s="293">
        <f t="shared" si="2"/>
        <v>1</v>
      </c>
      <c r="E1675" s="294"/>
      <c r="F1675" s="295" t="str">
        <f>IFERROR(__xludf.DUMMYFUNCTION("IF(B1675="""","""",IFERROR(VLOOKUP(TO_TEXT(B1675),PEDIDOS!D:I,6,0),IFERROR(VLOOKUP(B1675*1,PEDIDOS!D:I,6,0),"" "")))"),"ENTREGUE")</f>
        <v>ENTREGUE</v>
      </c>
      <c r="G1675" s="303"/>
      <c r="H1675" s="304"/>
    </row>
    <row r="1676">
      <c r="A1676" s="302" t="s">
        <v>72</v>
      </c>
      <c r="B1676" s="291" t="s">
        <v>11206</v>
      </c>
      <c r="C1676" s="292" t="s">
        <v>48</v>
      </c>
      <c r="D1676" s="293">
        <f t="shared" si="2"/>
        <v>1</v>
      </c>
      <c r="E1676" s="294"/>
      <c r="F1676" s="295" t="str">
        <f>IFERROR(__xludf.DUMMYFUNCTION("IF(B1676="""","""",IFERROR(VLOOKUP(TO_TEXT(B1676),PEDIDOS!D:I,6,0),IFERROR(VLOOKUP(B1676*1,PEDIDOS!D:I,6,0),"" "")))"),"ENTREGUE")</f>
        <v>ENTREGUE</v>
      </c>
      <c r="G1676" s="303"/>
      <c r="H1676" s="304"/>
    </row>
    <row r="1677">
      <c r="A1677" s="302" t="s">
        <v>72</v>
      </c>
      <c r="B1677" s="291" t="s">
        <v>11171</v>
      </c>
      <c r="C1677" s="292" t="s">
        <v>48</v>
      </c>
      <c r="D1677" s="293">
        <f t="shared" si="2"/>
        <v>1</v>
      </c>
      <c r="E1677" s="294"/>
      <c r="F1677" s="295" t="str">
        <f>IFERROR(__xludf.DUMMYFUNCTION("IF(B1677="""","""",IFERROR(VLOOKUP(TO_TEXT(B1677),PEDIDOS!D:I,6,0),IFERROR(VLOOKUP(B1677*1,PEDIDOS!D:I,6,0),"" "")))"),"ENTREGUE")</f>
        <v>ENTREGUE</v>
      </c>
      <c r="G1677" s="303"/>
      <c r="H1677" s="304"/>
    </row>
    <row r="1678">
      <c r="A1678" s="302" t="s">
        <v>72</v>
      </c>
      <c r="B1678" s="291" t="s">
        <v>11127</v>
      </c>
      <c r="C1678" s="292" t="s">
        <v>48</v>
      </c>
      <c r="D1678" s="293">
        <f t="shared" si="2"/>
        <v>1</v>
      </c>
      <c r="E1678" s="294"/>
      <c r="F1678" s="295" t="str">
        <f>IFERROR(__xludf.DUMMYFUNCTION("IF(B1678="""","""",IFERROR(VLOOKUP(TO_TEXT(B1678),PEDIDOS!D:I,6,0),IFERROR(VLOOKUP(B1678*1,PEDIDOS!D:I,6,0),"" "")))"),"ENTREGUE")</f>
        <v>ENTREGUE</v>
      </c>
      <c r="G1678" s="303"/>
      <c r="H1678" s="304"/>
    </row>
    <row r="1679">
      <c r="A1679" s="302" t="s">
        <v>72</v>
      </c>
      <c r="B1679" s="291" t="s">
        <v>11103</v>
      </c>
      <c r="C1679" s="292" t="s">
        <v>48</v>
      </c>
      <c r="D1679" s="293">
        <f t="shared" si="2"/>
        <v>1</v>
      </c>
      <c r="E1679" s="294"/>
      <c r="F1679" s="295" t="str">
        <f>IFERROR(__xludf.DUMMYFUNCTION("IF(B1679="""","""",IFERROR(VLOOKUP(TO_TEXT(B1679),PEDIDOS!D:I,6,0),IFERROR(VLOOKUP(B1679*1,PEDIDOS!D:I,6,0),"" "")))"),"ENTREGUE")</f>
        <v>ENTREGUE</v>
      </c>
      <c r="G1679" s="303"/>
      <c r="H1679" s="304"/>
    </row>
    <row r="1680">
      <c r="A1680" s="302" t="s">
        <v>72</v>
      </c>
      <c r="B1680" s="291" t="s">
        <v>11284</v>
      </c>
      <c r="C1680" s="292" t="s">
        <v>48</v>
      </c>
      <c r="D1680" s="293">
        <f t="shared" si="2"/>
        <v>1</v>
      </c>
      <c r="E1680" s="294"/>
      <c r="F1680" s="295" t="str">
        <f>IFERROR(__xludf.DUMMYFUNCTION("IF(B1680="""","""",IFERROR(VLOOKUP(TO_TEXT(B1680),PEDIDOS!D:I,6,0),IFERROR(VLOOKUP(B1680*1,PEDIDOS!D:I,6,0),"" "")))"),"ENTREGUE")</f>
        <v>ENTREGUE</v>
      </c>
      <c r="G1680" s="303"/>
      <c r="H1680" s="304"/>
    </row>
    <row r="1681">
      <c r="A1681" s="302" t="s">
        <v>72</v>
      </c>
      <c r="B1681" s="291" t="s">
        <v>9501</v>
      </c>
      <c r="C1681" s="292" t="s">
        <v>48</v>
      </c>
      <c r="D1681" s="293">
        <f t="shared" si="2"/>
        <v>1</v>
      </c>
      <c r="E1681" s="294"/>
      <c r="F1681" s="295" t="str">
        <f>IFERROR(__xludf.DUMMYFUNCTION("IF(B1681="""","""",IFERROR(VLOOKUP(TO_TEXT(B1681),PEDIDOS!D:I,6,0),IFERROR(VLOOKUP(B1681*1,PEDIDOS!D:I,6,0),"" "")))"),"ENTREGUE")</f>
        <v>ENTREGUE</v>
      </c>
      <c r="G1681" s="303"/>
      <c r="H1681" s="304"/>
    </row>
    <row r="1682">
      <c r="A1682" s="302" t="s">
        <v>72</v>
      </c>
      <c r="B1682" s="291" t="s">
        <v>11062</v>
      </c>
      <c r="C1682" s="292" t="s">
        <v>48</v>
      </c>
      <c r="D1682" s="293">
        <f t="shared" si="2"/>
        <v>1</v>
      </c>
      <c r="E1682" s="294"/>
      <c r="F1682" s="295" t="str">
        <f>IFERROR(__xludf.DUMMYFUNCTION("IF(B1682="""","""",IFERROR(VLOOKUP(TO_TEXT(B1682),PEDIDOS!D:I,6,0),IFERROR(VLOOKUP(B1682*1,PEDIDOS!D:I,6,0),"" "")))"),"ENTREGUE")</f>
        <v>ENTREGUE</v>
      </c>
      <c r="G1682" s="303"/>
      <c r="H1682" s="304"/>
    </row>
    <row r="1683">
      <c r="A1683" s="302" t="s">
        <v>72</v>
      </c>
      <c r="B1683" s="291" t="s">
        <v>11221</v>
      </c>
      <c r="C1683" s="292" t="s">
        <v>48</v>
      </c>
      <c r="D1683" s="293">
        <f t="shared" si="2"/>
        <v>1</v>
      </c>
      <c r="E1683" s="294"/>
      <c r="F1683" s="295" t="str">
        <f>IFERROR(__xludf.DUMMYFUNCTION("IF(B1683="""","""",IFERROR(VLOOKUP(TO_TEXT(B1683),PEDIDOS!D:I,6,0),IFERROR(VLOOKUP(B1683*1,PEDIDOS!D:I,6,0),"" "")))"),"ENTREGUE")</f>
        <v>ENTREGUE</v>
      </c>
      <c r="G1683" s="303"/>
      <c r="H1683" s="304"/>
    </row>
    <row r="1684">
      <c r="A1684" s="302" t="s">
        <v>72</v>
      </c>
      <c r="B1684" s="291" t="s">
        <v>9914</v>
      </c>
      <c r="C1684" s="292" t="s">
        <v>48</v>
      </c>
      <c r="D1684" s="293">
        <f t="shared" si="2"/>
        <v>1</v>
      </c>
      <c r="E1684" s="294"/>
      <c r="F1684" s="295" t="str">
        <f>IFERROR(__xludf.DUMMYFUNCTION("IF(B1684="""","""",IFERROR(VLOOKUP(TO_TEXT(B1684),PEDIDOS!D:I,6,0),IFERROR(VLOOKUP(B1684*1,PEDIDOS!D:I,6,0),"" "")))"),"ENTREGUE")</f>
        <v>ENTREGUE</v>
      </c>
      <c r="G1684" s="303"/>
      <c r="H1684" s="304"/>
    </row>
    <row r="1685">
      <c r="A1685" s="302" t="s">
        <v>72</v>
      </c>
      <c r="B1685" s="291" t="s">
        <v>11319</v>
      </c>
      <c r="C1685" s="292" t="s">
        <v>48</v>
      </c>
      <c r="D1685" s="293">
        <f t="shared" si="2"/>
        <v>1</v>
      </c>
      <c r="E1685" s="294"/>
      <c r="F1685" s="295" t="str">
        <f>IFERROR(__xludf.DUMMYFUNCTION("IF(B1685="""","""",IFERROR(VLOOKUP(TO_TEXT(B1685),PEDIDOS!D:I,6,0),IFERROR(VLOOKUP(B1685*1,PEDIDOS!D:I,6,0),"" "")))"),"ENTREGUE")</f>
        <v>ENTREGUE</v>
      </c>
      <c r="G1685" s="303"/>
      <c r="H1685" s="304"/>
    </row>
    <row r="1686">
      <c r="A1686" s="302" t="s">
        <v>72</v>
      </c>
      <c r="B1686" s="291" t="s">
        <v>11281</v>
      </c>
      <c r="C1686" s="292" t="s">
        <v>48</v>
      </c>
      <c r="D1686" s="293">
        <f t="shared" si="2"/>
        <v>1</v>
      </c>
      <c r="E1686" s="294"/>
      <c r="F1686" s="295" t="str">
        <f>IFERROR(__xludf.DUMMYFUNCTION("IF(B1686="""","""",IFERROR(VLOOKUP(TO_TEXT(B1686),PEDIDOS!D:I,6,0),IFERROR(VLOOKUP(B1686*1,PEDIDOS!D:I,6,0),"" "")))"),"ENTREGUE")</f>
        <v>ENTREGUE</v>
      </c>
      <c r="G1686" s="303"/>
      <c r="H1686" s="304"/>
    </row>
    <row r="1687">
      <c r="A1687" s="302" t="s">
        <v>72</v>
      </c>
      <c r="B1687" s="291" t="s">
        <v>11216</v>
      </c>
      <c r="C1687" s="292" t="s">
        <v>48</v>
      </c>
      <c r="D1687" s="293">
        <f t="shared" si="2"/>
        <v>1</v>
      </c>
      <c r="E1687" s="294"/>
      <c r="F1687" s="295" t="str">
        <f>IFERROR(__xludf.DUMMYFUNCTION("IF(B1687="""","""",IFERROR(VLOOKUP(TO_TEXT(B1687),PEDIDOS!D:I,6,0),IFERROR(VLOOKUP(B1687*1,PEDIDOS!D:I,6,0),"" "")))"),"ENTREGUE")</f>
        <v>ENTREGUE</v>
      </c>
      <c r="G1687" s="303"/>
      <c r="H1687" s="304"/>
    </row>
    <row r="1688">
      <c r="A1688" s="302" t="s">
        <v>72</v>
      </c>
      <c r="B1688" s="291" t="s">
        <v>10388</v>
      </c>
      <c r="C1688" s="292" t="s">
        <v>48</v>
      </c>
      <c r="D1688" s="293">
        <f t="shared" si="2"/>
        <v>1</v>
      </c>
      <c r="E1688" s="294"/>
      <c r="F1688" s="295" t="str">
        <f>IFERROR(__xludf.DUMMYFUNCTION("IF(B1688="""","""",IFERROR(VLOOKUP(TO_TEXT(B1688),PEDIDOS!D:I,6,0),IFERROR(VLOOKUP(B1688*1,PEDIDOS!D:I,6,0),"" "")))"),"ENTREGUE")</f>
        <v>ENTREGUE</v>
      </c>
      <c r="G1688" s="303"/>
      <c r="H1688" s="304"/>
    </row>
    <row r="1689">
      <c r="A1689" s="302" t="s">
        <v>72</v>
      </c>
      <c r="B1689" s="291" t="s">
        <v>11265</v>
      </c>
      <c r="C1689" s="292" t="s">
        <v>48</v>
      </c>
      <c r="D1689" s="293">
        <f t="shared" si="2"/>
        <v>1</v>
      </c>
      <c r="E1689" s="294"/>
      <c r="F1689" s="295" t="str">
        <f>IFERROR(__xludf.DUMMYFUNCTION("IF(B1689="""","""",IFERROR(VLOOKUP(TO_TEXT(B1689),PEDIDOS!D:I,6,0),IFERROR(VLOOKUP(B1689*1,PEDIDOS!D:I,6,0),"" "")))"),"ENTREGUE")</f>
        <v>ENTREGUE</v>
      </c>
      <c r="G1689" s="303"/>
      <c r="H1689" s="304"/>
    </row>
    <row r="1690">
      <c r="A1690" s="302" t="s">
        <v>72</v>
      </c>
      <c r="B1690" s="291" t="s">
        <v>11400</v>
      </c>
      <c r="C1690" s="292" t="s">
        <v>48</v>
      </c>
      <c r="D1690" s="293">
        <f t="shared" si="2"/>
        <v>1</v>
      </c>
      <c r="E1690" s="294"/>
      <c r="F1690" s="295" t="str">
        <f>IFERROR(__xludf.DUMMYFUNCTION("IF(B1690="""","""",IFERROR(VLOOKUP(TO_TEXT(B1690),PEDIDOS!D:I,6,0),IFERROR(VLOOKUP(B1690*1,PEDIDOS!D:I,6,0),"" "")))"),"ENTREGUE")</f>
        <v>ENTREGUE</v>
      </c>
      <c r="G1690" s="303"/>
      <c r="H1690" s="304"/>
    </row>
    <row r="1691">
      <c r="A1691" s="302" t="s">
        <v>72</v>
      </c>
      <c r="B1691" s="291" t="s">
        <v>11330</v>
      </c>
      <c r="C1691" s="292" t="s">
        <v>48</v>
      </c>
      <c r="D1691" s="293">
        <f t="shared" si="2"/>
        <v>1</v>
      </c>
      <c r="E1691" s="294"/>
      <c r="F1691" s="295" t="str">
        <f>IFERROR(__xludf.DUMMYFUNCTION("IF(B1691="""","""",IFERROR(VLOOKUP(TO_TEXT(B1691),PEDIDOS!D:I,6,0),IFERROR(VLOOKUP(B1691*1,PEDIDOS!D:I,6,0),"" "")))"),"ENTREGUE")</f>
        <v>ENTREGUE</v>
      </c>
      <c r="G1691" s="303"/>
      <c r="H1691" s="304"/>
    </row>
    <row r="1692">
      <c r="A1692" s="302" t="s">
        <v>72</v>
      </c>
      <c r="B1692" s="291" t="s">
        <v>11327</v>
      </c>
      <c r="C1692" s="292" t="s">
        <v>48</v>
      </c>
      <c r="D1692" s="293">
        <f t="shared" si="2"/>
        <v>1</v>
      </c>
      <c r="E1692" s="294"/>
      <c r="F1692" s="295" t="str">
        <f>IFERROR(__xludf.DUMMYFUNCTION("IF(B1692="""","""",IFERROR(VLOOKUP(TO_TEXT(B1692),PEDIDOS!D:I,6,0),IFERROR(VLOOKUP(B1692*1,PEDIDOS!D:I,6,0),"" "")))"),"ENTREGUE")</f>
        <v>ENTREGUE</v>
      </c>
      <c r="G1692" s="303"/>
      <c r="H1692" s="304"/>
    </row>
    <row r="1693">
      <c r="A1693" s="302" t="s">
        <v>72</v>
      </c>
      <c r="B1693" s="291" t="s">
        <v>11269</v>
      </c>
      <c r="C1693" s="292" t="s">
        <v>48</v>
      </c>
      <c r="D1693" s="293">
        <f t="shared" si="2"/>
        <v>1</v>
      </c>
      <c r="E1693" s="294"/>
      <c r="F1693" s="295" t="str">
        <f>IFERROR(__xludf.DUMMYFUNCTION("IF(B1693="""","""",IFERROR(VLOOKUP(TO_TEXT(B1693),PEDIDOS!D:I,6,0),IFERROR(VLOOKUP(B1693*1,PEDIDOS!D:I,6,0),"" "")))"),"ENTREGUE")</f>
        <v>ENTREGUE</v>
      </c>
      <c r="G1693" s="303"/>
      <c r="H1693" s="304"/>
    </row>
    <row r="1694">
      <c r="A1694" s="302" t="s">
        <v>72</v>
      </c>
      <c r="B1694" s="291" t="s">
        <v>11323</v>
      </c>
      <c r="C1694" s="292" t="s">
        <v>48</v>
      </c>
      <c r="D1694" s="293">
        <f t="shared" si="2"/>
        <v>1</v>
      </c>
      <c r="E1694" s="294"/>
      <c r="F1694" s="295" t="str">
        <f>IFERROR(__xludf.DUMMYFUNCTION("IF(B1694="""","""",IFERROR(VLOOKUP(TO_TEXT(B1694),PEDIDOS!D:I,6,0),IFERROR(VLOOKUP(B1694*1,PEDIDOS!D:I,6,0),"" "")))"),"ENTREGUE")</f>
        <v>ENTREGUE</v>
      </c>
      <c r="G1694" s="303"/>
      <c r="H1694" s="304"/>
    </row>
    <row r="1695">
      <c r="A1695" s="302" t="s">
        <v>72</v>
      </c>
      <c r="B1695" s="291" t="s">
        <v>11351</v>
      </c>
      <c r="C1695" s="292" t="s">
        <v>48</v>
      </c>
      <c r="D1695" s="293">
        <f t="shared" si="2"/>
        <v>1</v>
      </c>
      <c r="E1695" s="294"/>
      <c r="F1695" s="295" t="str">
        <f>IFERROR(__xludf.DUMMYFUNCTION("IF(B1695="""","""",IFERROR(VLOOKUP(TO_TEXT(B1695),PEDIDOS!D:I,6,0),IFERROR(VLOOKUP(B1695*1,PEDIDOS!D:I,6,0),"" "")))"),"ENTREGUE")</f>
        <v>ENTREGUE</v>
      </c>
      <c r="G1695" s="303"/>
      <c r="H1695" s="304"/>
    </row>
    <row r="1696">
      <c r="A1696" s="302" t="s">
        <v>72</v>
      </c>
      <c r="B1696" s="291" t="s">
        <v>11685</v>
      </c>
      <c r="C1696" s="292" t="s">
        <v>48</v>
      </c>
      <c r="D1696" s="293">
        <f t="shared" si="2"/>
        <v>1</v>
      </c>
      <c r="E1696" s="294"/>
      <c r="F1696" s="295" t="str">
        <f>IFERROR(__xludf.DUMMYFUNCTION("IF(B1696="""","""",IFERROR(VLOOKUP(TO_TEXT(B1696),PEDIDOS!D:I,6,0),IFERROR(VLOOKUP(B1696*1,PEDIDOS!D:I,6,0),"" "")))"),"ENTREGUE")</f>
        <v>ENTREGUE</v>
      </c>
      <c r="G1696" s="303"/>
      <c r="H1696" s="304"/>
    </row>
    <row r="1697">
      <c r="A1697" s="302" t="s">
        <v>72</v>
      </c>
      <c r="B1697" s="291" t="s">
        <v>11384</v>
      </c>
      <c r="C1697" s="292" t="s">
        <v>48</v>
      </c>
      <c r="D1697" s="293">
        <f t="shared" si="2"/>
        <v>1</v>
      </c>
      <c r="E1697" s="294"/>
      <c r="F1697" s="295" t="str">
        <f>IFERROR(__xludf.DUMMYFUNCTION("IF(B1697="""","""",IFERROR(VLOOKUP(TO_TEXT(B1697),PEDIDOS!D:I,6,0),IFERROR(VLOOKUP(B1697*1,PEDIDOS!D:I,6,0),"" "")))"),"ENTREGUE")</f>
        <v>ENTREGUE</v>
      </c>
      <c r="G1697" s="303"/>
      <c r="H1697" s="304"/>
    </row>
    <row r="1698">
      <c r="A1698" s="302" t="s">
        <v>72</v>
      </c>
      <c r="B1698" s="291" t="s">
        <v>11721</v>
      </c>
      <c r="C1698" s="292" t="s">
        <v>48</v>
      </c>
      <c r="D1698" s="293">
        <f t="shared" si="2"/>
        <v>1</v>
      </c>
      <c r="E1698" s="294"/>
      <c r="F1698" s="295" t="str">
        <f>IFERROR(__xludf.DUMMYFUNCTION("IF(B1698="""","""",IFERROR(VLOOKUP(TO_TEXT(B1698),PEDIDOS!D:I,6,0),IFERROR(VLOOKUP(B1698*1,PEDIDOS!D:I,6,0),"" "")))"),"ENTREGUE")</f>
        <v>ENTREGUE</v>
      </c>
      <c r="G1698" s="303"/>
      <c r="H1698" s="304"/>
    </row>
    <row r="1699">
      <c r="A1699" s="302" t="s">
        <v>72</v>
      </c>
      <c r="B1699" s="291" t="s">
        <v>10623</v>
      </c>
      <c r="C1699" s="292" t="s">
        <v>48</v>
      </c>
      <c r="D1699" s="293">
        <f t="shared" si="2"/>
        <v>1</v>
      </c>
      <c r="E1699" s="294"/>
      <c r="F1699" s="295" t="str">
        <f>IFERROR(__xludf.DUMMYFUNCTION("IF(B1699="""","""",IFERROR(VLOOKUP(TO_TEXT(B1699),PEDIDOS!D:I,6,0),IFERROR(VLOOKUP(B1699*1,PEDIDOS!D:I,6,0),"" "")))"),"ENTREGUE")</f>
        <v>ENTREGUE</v>
      </c>
      <c r="G1699" s="303"/>
      <c r="H1699" s="304"/>
    </row>
    <row r="1700">
      <c r="A1700" s="302" t="s">
        <v>72</v>
      </c>
      <c r="B1700" s="291" t="s">
        <v>10619</v>
      </c>
      <c r="C1700" s="292" t="s">
        <v>48</v>
      </c>
      <c r="D1700" s="293">
        <f t="shared" si="2"/>
        <v>1</v>
      </c>
      <c r="E1700" s="294"/>
      <c r="F1700" s="295" t="str">
        <f>IFERROR(__xludf.DUMMYFUNCTION("IF(B1700="""","""",IFERROR(VLOOKUP(TO_TEXT(B1700),PEDIDOS!D:I,6,0),IFERROR(VLOOKUP(B1700*1,PEDIDOS!D:I,6,0),"" "")))"),"ENTREGUE")</f>
        <v>ENTREGUE</v>
      </c>
      <c r="G1700" s="303"/>
      <c r="H1700" s="304"/>
    </row>
    <row r="1701">
      <c r="A1701" s="302" t="s">
        <v>72</v>
      </c>
      <c r="B1701" s="291" t="s">
        <v>11725</v>
      </c>
      <c r="C1701" s="292" t="s">
        <v>48</v>
      </c>
      <c r="D1701" s="293">
        <f t="shared" si="2"/>
        <v>1</v>
      </c>
      <c r="E1701" s="294"/>
      <c r="F1701" s="295" t="str">
        <f>IFERROR(__xludf.DUMMYFUNCTION("IF(B1701="""","""",IFERROR(VLOOKUP(TO_TEXT(B1701),PEDIDOS!D:I,6,0),IFERROR(VLOOKUP(B1701*1,PEDIDOS!D:I,6,0),"" "")))"),"ENTREGUE")</f>
        <v>ENTREGUE</v>
      </c>
      <c r="G1701" s="303"/>
      <c r="H1701" s="304"/>
    </row>
    <row r="1702">
      <c r="A1702" s="302" t="s">
        <v>72</v>
      </c>
      <c r="B1702" s="291" t="s">
        <v>11848</v>
      </c>
      <c r="C1702" s="292" t="s">
        <v>48</v>
      </c>
      <c r="D1702" s="293">
        <f t="shared" si="2"/>
        <v>1</v>
      </c>
      <c r="E1702" s="294"/>
      <c r="F1702" s="295" t="str">
        <f>IFERROR(__xludf.DUMMYFUNCTION("IF(B1702="""","""",IFERROR(VLOOKUP(TO_TEXT(B1702),PEDIDOS!D:I,6,0),IFERROR(VLOOKUP(B1702*1,PEDIDOS!D:I,6,0),"" "")))"),"ENTREGUE")</f>
        <v>ENTREGUE</v>
      </c>
      <c r="G1702" s="303"/>
      <c r="H1702" s="304"/>
    </row>
    <row r="1703">
      <c r="A1703" s="302" t="s">
        <v>72</v>
      </c>
      <c r="B1703" s="291" t="s">
        <v>11871</v>
      </c>
      <c r="C1703" s="292" t="s">
        <v>48</v>
      </c>
      <c r="D1703" s="293">
        <f t="shared" si="2"/>
        <v>1</v>
      </c>
      <c r="E1703" s="294"/>
      <c r="F1703" s="295" t="str">
        <f>IFERROR(__xludf.DUMMYFUNCTION("IF(B1703="""","""",IFERROR(VLOOKUP(TO_TEXT(B1703),PEDIDOS!D:I,6,0),IFERROR(VLOOKUP(B1703*1,PEDIDOS!D:I,6,0),"" "")))"),"ENTREGUE")</f>
        <v>ENTREGUE</v>
      </c>
      <c r="G1703" s="303"/>
      <c r="H1703" s="304"/>
    </row>
    <row r="1704">
      <c r="A1704" s="302" t="s">
        <v>72</v>
      </c>
      <c r="B1704" s="291" t="s">
        <v>11786</v>
      </c>
      <c r="C1704" s="292" t="s">
        <v>48</v>
      </c>
      <c r="D1704" s="293">
        <f t="shared" si="2"/>
        <v>1</v>
      </c>
      <c r="E1704" s="294"/>
      <c r="F1704" s="295" t="str">
        <f>IFERROR(__xludf.DUMMYFUNCTION("IF(B1704="""","""",IFERROR(VLOOKUP(TO_TEXT(B1704),PEDIDOS!D:I,6,0),IFERROR(VLOOKUP(B1704*1,PEDIDOS!D:I,6,0),"" "")))"),"ENTREGUE")</f>
        <v>ENTREGUE</v>
      </c>
      <c r="G1704" s="303"/>
      <c r="H1704" s="304"/>
    </row>
    <row r="1705">
      <c r="A1705" s="302" t="s">
        <v>72</v>
      </c>
      <c r="B1705" s="291" t="s">
        <v>10626</v>
      </c>
      <c r="C1705" s="292" t="s">
        <v>48</v>
      </c>
      <c r="D1705" s="293">
        <f t="shared" si="2"/>
        <v>1</v>
      </c>
      <c r="E1705" s="294"/>
      <c r="F1705" s="295" t="str">
        <f>IFERROR(__xludf.DUMMYFUNCTION("IF(B1705="""","""",IFERROR(VLOOKUP(TO_TEXT(B1705),PEDIDOS!D:I,6,0),IFERROR(VLOOKUP(B1705*1,PEDIDOS!D:I,6,0),"" "")))"),"ENTREGUE")</f>
        <v>ENTREGUE</v>
      </c>
      <c r="G1705" s="303"/>
      <c r="H1705" s="304"/>
    </row>
    <row r="1706">
      <c r="A1706" s="302" t="s">
        <v>72</v>
      </c>
      <c r="B1706" s="291" t="s">
        <v>11672</v>
      </c>
      <c r="C1706" s="292" t="s">
        <v>48</v>
      </c>
      <c r="D1706" s="293">
        <f t="shared" si="2"/>
        <v>1</v>
      </c>
      <c r="E1706" s="294"/>
      <c r="F1706" s="295" t="str">
        <f>IFERROR(__xludf.DUMMYFUNCTION("IF(B1706="""","""",IFERROR(VLOOKUP(TO_TEXT(B1706),PEDIDOS!D:I,6,0),IFERROR(VLOOKUP(B1706*1,PEDIDOS!D:I,6,0),"" "")))"),"ENTREGUE")</f>
        <v>ENTREGUE</v>
      </c>
      <c r="G1706" s="303"/>
      <c r="H1706" s="304"/>
    </row>
    <row r="1707">
      <c r="A1707" s="302" t="s">
        <v>72</v>
      </c>
      <c r="B1707" s="291" t="s">
        <v>11553</v>
      </c>
      <c r="C1707" s="292" t="s">
        <v>48</v>
      </c>
      <c r="D1707" s="293">
        <f t="shared" si="2"/>
        <v>1</v>
      </c>
      <c r="E1707" s="294"/>
      <c r="F1707" s="295" t="str">
        <f>IFERROR(__xludf.DUMMYFUNCTION("IF(B1707="""","""",IFERROR(VLOOKUP(TO_TEXT(B1707),PEDIDOS!D:I,6,0),IFERROR(VLOOKUP(B1707*1,PEDIDOS!D:I,6,0),"" "")))"),"ENTREGUE")</f>
        <v>ENTREGUE</v>
      </c>
      <c r="G1707" s="303"/>
      <c r="H1707" s="304"/>
    </row>
    <row r="1708">
      <c r="A1708" s="302" t="s">
        <v>72</v>
      </c>
      <c r="B1708" s="291" t="s">
        <v>11656</v>
      </c>
      <c r="C1708" s="292" t="s">
        <v>48</v>
      </c>
      <c r="D1708" s="293">
        <f t="shared" si="2"/>
        <v>1</v>
      </c>
      <c r="E1708" s="294"/>
      <c r="F1708" s="295" t="str">
        <f>IFERROR(__xludf.DUMMYFUNCTION("IF(B1708="""","""",IFERROR(VLOOKUP(TO_TEXT(B1708),PEDIDOS!D:I,6,0),IFERROR(VLOOKUP(B1708*1,PEDIDOS!D:I,6,0),"" "")))"),"ENTREGUE")</f>
        <v>ENTREGUE</v>
      </c>
      <c r="G1708" s="303"/>
      <c r="H1708" s="304"/>
    </row>
    <row r="1709">
      <c r="A1709" s="302" t="s">
        <v>72</v>
      </c>
      <c r="B1709" s="291" t="s">
        <v>11693</v>
      </c>
      <c r="C1709" s="292" t="s">
        <v>48</v>
      </c>
      <c r="D1709" s="293">
        <f t="shared" si="2"/>
        <v>1</v>
      </c>
      <c r="E1709" s="294"/>
      <c r="F1709" s="295" t="str">
        <f>IFERROR(__xludf.DUMMYFUNCTION("IF(B1709="""","""",IFERROR(VLOOKUP(TO_TEXT(B1709),PEDIDOS!D:I,6,0),IFERROR(VLOOKUP(B1709*1,PEDIDOS!D:I,6,0),"" "")))"),"ENTREGUE")</f>
        <v>ENTREGUE</v>
      </c>
      <c r="G1709" s="303"/>
      <c r="H1709" s="304"/>
    </row>
    <row r="1710">
      <c r="A1710" s="302" t="s">
        <v>91</v>
      </c>
      <c r="B1710" s="291" t="s">
        <v>8787</v>
      </c>
      <c r="C1710" s="292" t="s">
        <v>48</v>
      </c>
      <c r="D1710" s="293">
        <f t="shared" si="2"/>
        <v>1</v>
      </c>
      <c r="E1710" s="294"/>
      <c r="F1710" s="295" t="str">
        <f>IFERROR(__xludf.DUMMYFUNCTION("IF(B1710="""","""",IFERROR(VLOOKUP(TO_TEXT(B1710),PEDIDOS!D:I,6,0),IFERROR(VLOOKUP(B1710*1,PEDIDOS!D:I,6,0),"" "")))"),"ENTREGUE")</f>
        <v>ENTREGUE</v>
      </c>
      <c r="G1710" s="303"/>
      <c r="H1710" s="304"/>
    </row>
    <row r="1711">
      <c r="A1711" s="302" t="s">
        <v>91</v>
      </c>
      <c r="B1711" s="291" t="s">
        <v>9840</v>
      </c>
      <c r="C1711" s="292" t="s">
        <v>48</v>
      </c>
      <c r="D1711" s="293">
        <f t="shared" si="2"/>
        <v>1</v>
      </c>
      <c r="E1711" s="294"/>
      <c r="F1711" s="295" t="str">
        <f>IFERROR(__xludf.DUMMYFUNCTION("IF(B1711="""","""",IFERROR(VLOOKUP(TO_TEXT(B1711),PEDIDOS!D:I,6,0),IFERROR(VLOOKUP(B1711*1,PEDIDOS!D:I,6,0),"" "")))"),"ENTREGUE")</f>
        <v>ENTREGUE</v>
      </c>
      <c r="G1711" s="303"/>
      <c r="H1711" s="304"/>
    </row>
    <row r="1712">
      <c r="A1712" s="302" t="s">
        <v>91</v>
      </c>
      <c r="B1712" s="291" t="s">
        <v>9852</v>
      </c>
      <c r="C1712" s="292" t="s">
        <v>48</v>
      </c>
      <c r="D1712" s="293">
        <f t="shared" si="2"/>
        <v>1</v>
      </c>
      <c r="E1712" s="294"/>
      <c r="F1712" s="295" t="str">
        <f>IFERROR(__xludf.DUMMYFUNCTION("IF(B1712="""","""",IFERROR(VLOOKUP(TO_TEXT(B1712),PEDIDOS!D:I,6,0),IFERROR(VLOOKUP(B1712*1,PEDIDOS!D:I,6,0),"" "")))"),"ENTREGUE")</f>
        <v>ENTREGUE</v>
      </c>
      <c r="G1712" s="303"/>
      <c r="H1712" s="304"/>
    </row>
    <row r="1713">
      <c r="A1713" s="302" t="s">
        <v>91</v>
      </c>
      <c r="B1713" s="291" t="s">
        <v>9573</v>
      </c>
      <c r="C1713" s="292" t="s">
        <v>48</v>
      </c>
      <c r="D1713" s="293">
        <f t="shared" si="2"/>
        <v>1</v>
      </c>
      <c r="E1713" s="294"/>
      <c r="F1713" s="295" t="str">
        <f>IFERROR(__xludf.DUMMYFUNCTION("IF(B1713="""","""",IFERROR(VLOOKUP(TO_TEXT(B1713),PEDIDOS!D:I,6,0),IFERROR(VLOOKUP(B1713*1,PEDIDOS!D:I,6,0),"" "")))"),"ENTREGUE")</f>
        <v>ENTREGUE</v>
      </c>
      <c r="G1713" s="303"/>
      <c r="H1713" s="304"/>
    </row>
    <row r="1714">
      <c r="A1714" s="302" t="s">
        <v>91</v>
      </c>
      <c r="B1714" s="291" t="s">
        <v>9712</v>
      </c>
      <c r="C1714" s="292" t="s">
        <v>48</v>
      </c>
      <c r="D1714" s="293">
        <f t="shared" si="2"/>
        <v>1</v>
      </c>
      <c r="E1714" s="294"/>
      <c r="F1714" s="295" t="str">
        <f>IFERROR(__xludf.DUMMYFUNCTION("IF(B1714="""","""",IFERROR(VLOOKUP(TO_TEXT(B1714),PEDIDOS!D:I,6,0),IFERROR(VLOOKUP(B1714*1,PEDIDOS!D:I,6,0),"" "")))"),"ENTREGUE")</f>
        <v>ENTREGUE</v>
      </c>
      <c r="G1714" s="303"/>
      <c r="H1714" s="304"/>
    </row>
    <row r="1715">
      <c r="A1715" s="302" t="s">
        <v>91</v>
      </c>
      <c r="B1715" s="291" t="s">
        <v>9471</v>
      </c>
      <c r="C1715" s="292" t="s">
        <v>48</v>
      </c>
      <c r="D1715" s="293">
        <f t="shared" si="2"/>
        <v>1</v>
      </c>
      <c r="E1715" s="294"/>
      <c r="F1715" s="295" t="str">
        <f>IFERROR(__xludf.DUMMYFUNCTION("IF(B1715="""","""",IFERROR(VLOOKUP(TO_TEXT(B1715),PEDIDOS!D:I,6,0),IFERROR(VLOOKUP(B1715*1,PEDIDOS!D:I,6,0),"" "")))"),"ENTREGUE")</f>
        <v>ENTREGUE</v>
      </c>
      <c r="G1715" s="303"/>
      <c r="H1715" s="304"/>
    </row>
    <row r="1716">
      <c r="A1716" s="302" t="s">
        <v>91</v>
      </c>
      <c r="B1716" s="291" t="s">
        <v>9383</v>
      </c>
      <c r="C1716" s="292" t="s">
        <v>48</v>
      </c>
      <c r="D1716" s="293">
        <f t="shared" si="2"/>
        <v>1</v>
      </c>
      <c r="E1716" s="294"/>
      <c r="F1716" s="295" t="str">
        <f>IFERROR(__xludf.DUMMYFUNCTION("IF(B1716="""","""",IFERROR(VLOOKUP(TO_TEXT(B1716),PEDIDOS!D:I,6,0),IFERROR(VLOOKUP(B1716*1,PEDIDOS!D:I,6,0),"" "")))"),"ENTREGUE")</f>
        <v>ENTREGUE</v>
      </c>
      <c r="G1716" s="303"/>
      <c r="H1716" s="304"/>
    </row>
    <row r="1717">
      <c r="A1717" s="302" t="s">
        <v>91</v>
      </c>
      <c r="B1717" s="291" t="s">
        <v>9957</v>
      </c>
      <c r="C1717" s="292" t="s">
        <v>48</v>
      </c>
      <c r="D1717" s="293">
        <f t="shared" si="2"/>
        <v>1</v>
      </c>
      <c r="E1717" s="294"/>
      <c r="F1717" s="295" t="str">
        <f>IFERROR(__xludf.DUMMYFUNCTION("IF(B1717="""","""",IFERROR(VLOOKUP(TO_TEXT(B1717),PEDIDOS!D:I,6,0),IFERROR(VLOOKUP(B1717*1,PEDIDOS!D:I,6,0),"" "")))"),"ENTREGUE")</f>
        <v>ENTREGUE</v>
      </c>
      <c r="G1717" s="303"/>
      <c r="H1717" s="304"/>
    </row>
    <row r="1718">
      <c r="A1718" s="302" t="s">
        <v>91</v>
      </c>
      <c r="B1718" s="291" t="s">
        <v>8948</v>
      </c>
      <c r="C1718" s="292" t="s">
        <v>48</v>
      </c>
      <c r="D1718" s="293">
        <f t="shared" si="2"/>
        <v>1</v>
      </c>
      <c r="E1718" s="294"/>
      <c r="F1718" s="295" t="str">
        <f>IFERROR(__xludf.DUMMYFUNCTION("IF(B1718="""","""",IFERROR(VLOOKUP(TO_TEXT(B1718),PEDIDOS!D:I,6,0),IFERROR(VLOOKUP(B1718*1,PEDIDOS!D:I,6,0),"" "")))"),"ENTREGUE")</f>
        <v>ENTREGUE</v>
      </c>
      <c r="G1718" s="303"/>
      <c r="H1718" s="304"/>
    </row>
    <row r="1719">
      <c r="A1719" s="302" t="s">
        <v>91</v>
      </c>
      <c r="B1719" s="291" t="s">
        <v>9762</v>
      </c>
      <c r="C1719" s="292" t="s">
        <v>48</v>
      </c>
      <c r="D1719" s="293">
        <f t="shared" si="2"/>
        <v>1</v>
      </c>
      <c r="E1719" s="294"/>
      <c r="F1719" s="295" t="str">
        <f>IFERROR(__xludf.DUMMYFUNCTION("IF(B1719="""","""",IFERROR(VLOOKUP(TO_TEXT(B1719),PEDIDOS!D:I,6,0),IFERROR(VLOOKUP(B1719*1,PEDIDOS!D:I,6,0),"" "")))"),"ENTREGUE")</f>
        <v>ENTREGUE</v>
      </c>
      <c r="G1719" s="303"/>
      <c r="H1719" s="304"/>
    </row>
    <row r="1720">
      <c r="A1720" s="302" t="s">
        <v>91</v>
      </c>
      <c r="B1720" s="291" t="s">
        <v>9581</v>
      </c>
      <c r="C1720" s="292" t="s">
        <v>48</v>
      </c>
      <c r="D1720" s="293">
        <f t="shared" si="2"/>
        <v>1</v>
      </c>
      <c r="E1720" s="294"/>
      <c r="F1720" s="295" t="str">
        <f>IFERROR(__xludf.DUMMYFUNCTION("IF(B1720="""","""",IFERROR(VLOOKUP(TO_TEXT(B1720),PEDIDOS!D:I,6,0),IFERROR(VLOOKUP(B1720*1,PEDIDOS!D:I,6,0),"" "")))"),"ENTREGUE")</f>
        <v>ENTREGUE</v>
      </c>
      <c r="G1720" s="303"/>
      <c r="H1720" s="304"/>
    </row>
    <row r="1721">
      <c r="A1721" s="302" t="s">
        <v>91</v>
      </c>
      <c r="B1721" s="291" t="s">
        <v>9266</v>
      </c>
      <c r="C1721" s="292" t="s">
        <v>48</v>
      </c>
      <c r="D1721" s="293">
        <f t="shared" si="2"/>
        <v>1</v>
      </c>
      <c r="E1721" s="294"/>
      <c r="F1721" s="295" t="str">
        <f>IFERROR(__xludf.DUMMYFUNCTION("IF(B1721="""","""",IFERROR(VLOOKUP(TO_TEXT(B1721),PEDIDOS!D:I,6,0),IFERROR(VLOOKUP(B1721*1,PEDIDOS!D:I,6,0),"" "")))"),"ENTREGUE")</f>
        <v>ENTREGUE</v>
      </c>
      <c r="G1721" s="303"/>
      <c r="H1721" s="304"/>
    </row>
    <row r="1722">
      <c r="A1722" s="302" t="s">
        <v>91</v>
      </c>
      <c r="B1722" s="291" t="s">
        <v>9468</v>
      </c>
      <c r="C1722" s="292" t="s">
        <v>48</v>
      </c>
      <c r="D1722" s="293">
        <f t="shared" si="2"/>
        <v>1</v>
      </c>
      <c r="E1722" s="294"/>
      <c r="F1722" s="295" t="str">
        <f>IFERROR(__xludf.DUMMYFUNCTION("IF(B1722="""","""",IFERROR(VLOOKUP(TO_TEXT(B1722),PEDIDOS!D:I,6,0),IFERROR(VLOOKUP(B1722*1,PEDIDOS!D:I,6,0),"" "")))"),"ENTREGUE")</f>
        <v>ENTREGUE</v>
      </c>
      <c r="G1722" s="303"/>
      <c r="H1722" s="304"/>
    </row>
    <row r="1723">
      <c r="A1723" s="302" t="s">
        <v>91</v>
      </c>
      <c r="B1723" s="291" t="s">
        <v>9298</v>
      </c>
      <c r="C1723" s="292" t="s">
        <v>48</v>
      </c>
      <c r="D1723" s="293">
        <f t="shared" si="2"/>
        <v>1</v>
      </c>
      <c r="E1723" s="294"/>
      <c r="F1723" s="295" t="str">
        <f>IFERROR(__xludf.DUMMYFUNCTION("IF(B1723="""","""",IFERROR(VLOOKUP(TO_TEXT(B1723),PEDIDOS!D:I,6,0),IFERROR(VLOOKUP(B1723*1,PEDIDOS!D:I,6,0),"" "")))"),"ENTREGUE")</f>
        <v>ENTREGUE</v>
      </c>
      <c r="G1723" s="303"/>
      <c r="H1723" s="304"/>
    </row>
    <row r="1724">
      <c r="A1724" s="302" t="s">
        <v>91</v>
      </c>
      <c r="B1724" s="291" t="s">
        <v>9474</v>
      </c>
      <c r="C1724" s="292" t="s">
        <v>48</v>
      </c>
      <c r="D1724" s="293">
        <f t="shared" si="2"/>
        <v>1</v>
      </c>
      <c r="E1724" s="294"/>
      <c r="F1724" s="295" t="str">
        <f>IFERROR(__xludf.DUMMYFUNCTION("IF(B1724="""","""",IFERROR(VLOOKUP(TO_TEXT(B1724),PEDIDOS!D:I,6,0),IFERROR(VLOOKUP(B1724*1,PEDIDOS!D:I,6,0),"" "")))"),"ENTREGUE")</f>
        <v>ENTREGUE</v>
      </c>
      <c r="G1724" s="303"/>
      <c r="H1724" s="304"/>
    </row>
    <row r="1725">
      <c r="A1725" s="302" t="s">
        <v>91</v>
      </c>
      <c r="B1725" s="291" t="s">
        <v>8894</v>
      </c>
      <c r="C1725" s="292" t="s">
        <v>48</v>
      </c>
      <c r="D1725" s="293">
        <f t="shared" si="2"/>
        <v>1</v>
      </c>
      <c r="E1725" s="294"/>
      <c r="F1725" s="295" t="str">
        <f>IFERROR(__xludf.DUMMYFUNCTION("IF(B1725="""","""",IFERROR(VLOOKUP(TO_TEXT(B1725),PEDIDOS!D:I,6,0),IFERROR(VLOOKUP(B1725*1,PEDIDOS!D:I,6,0),"" "")))"),"ENTREGUE")</f>
        <v>ENTREGUE</v>
      </c>
      <c r="G1725" s="303"/>
      <c r="H1725" s="304"/>
    </row>
    <row r="1726">
      <c r="A1726" s="302" t="s">
        <v>91</v>
      </c>
      <c r="B1726" s="291" t="s">
        <v>9412</v>
      </c>
      <c r="C1726" s="292" t="s">
        <v>48</v>
      </c>
      <c r="D1726" s="293">
        <f t="shared" si="2"/>
        <v>1</v>
      </c>
      <c r="E1726" s="294"/>
      <c r="F1726" s="295" t="str">
        <f>IFERROR(__xludf.DUMMYFUNCTION("IF(B1726="""","""",IFERROR(VLOOKUP(TO_TEXT(B1726),PEDIDOS!D:I,6,0),IFERROR(VLOOKUP(B1726*1,PEDIDOS!D:I,6,0),"" "")))"),"ENTREGUE")</f>
        <v>ENTREGUE</v>
      </c>
      <c r="G1726" s="303"/>
      <c r="H1726" s="304"/>
    </row>
    <row r="1727">
      <c r="A1727" s="302" t="s">
        <v>91</v>
      </c>
      <c r="B1727" s="291" t="s">
        <v>9180</v>
      </c>
      <c r="C1727" s="292" t="s">
        <v>48</v>
      </c>
      <c r="D1727" s="293">
        <f t="shared" si="2"/>
        <v>1</v>
      </c>
      <c r="E1727" s="294"/>
      <c r="F1727" s="295" t="str">
        <f>IFERROR(__xludf.DUMMYFUNCTION("IF(B1727="""","""",IFERROR(VLOOKUP(TO_TEXT(B1727),PEDIDOS!D:I,6,0),IFERROR(VLOOKUP(B1727*1,PEDIDOS!D:I,6,0),"" "")))"),"ENTREGUE")</f>
        <v>ENTREGUE</v>
      </c>
      <c r="G1727" s="303"/>
      <c r="H1727" s="304"/>
    </row>
    <row r="1728">
      <c r="A1728" s="302" t="s">
        <v>91</v>
      </c>
      <c r="B1728" s="291" t="s">
        <v>9262</v>
      </c>
      <c r="C1728" s="292" t="s">
        <v>48</v>
      </c>
      <c r="D1728" s="293">
        <f t="shared" si="2"/>
        <v>1</v>
      </c>
      <c r="E1728" s="294"/>
      <c r="F1728" s="295" t="str">
        <f>IFERROR(__xludf.DUMMYFUNCTION("IF(B1728="""","""",IFERROR(VLOOKUP(TO_TEXT(B1728),PEDIDOS!D:I,6,0),IFERROR(VLOOKUP(B1728*1,PEDIDOS!D:I,6,0),"" "")))"),"ENTREGUE")</f>
        <v>ENTREGUE</v>
      </c>
      <c r="G1728" s="303"/>
      <c r="H1728" s="304"/>
    </row>
    <row r="1729">
      <c r="A1729" s="302" t="s">
        <v>91</v>
      </c>
      <c r="B1729" s="291" t="s">
        <v>9480</v>
      </c>
      <c r="C1729" s="292" t="s">
        <v>48</v>
      </c>
      <c r="D1729" s="293">
        <f t="shared" si="2"/>
        <v>1</v>
      </c>
      <c r="E1729" s="294"/>
      <c r="F1729" s="295" t="str">
        <f>IFERROR(__xludf.DUMMYFUNCTION("IF(B1729="""","""",IFERROR(VLOOKUP(TO_TEXT(B1729),PEDIDOS!D:I,6,0),IFERROR(VLOOKUP(B1729*1,PEDIDOS!D:I,6,0),"" "")))"),"ENTREGUE")</f>
        <v>ENTREGUE</v>
      </c>
      <c r="G1729" s="303"/>
      <c r="H1729" s="304"/>
    </row>
    <row r="1730">
      <c r="A1730" s="302" t="s">
        <v>91</v>
      </c>
      <c r="B1730" s="291" t="s">
        <v>9098</v>
      </c>
      <c r="C1730" s="292" t="s">
        <v>48</v>
      </c>
      <c r="D1730" s="293">
        <f t="shared" si="2"/>
        <v>1</v>
      </c>
      <c r="E1730" s="294"/>
      <c r="F1730" s="295" t="str">
        <f>IFERROR(__xludf.DUMMYFUNCTION("IF(B1730="""","""",IFERROR(VLOOKUP(TO_TEXT(B1730),PEDIDOS!D:I,6,0),IFERROR(VLOOKUP(B1730*1,PEDIDOS!D:I,6,0),"" "")))"),"ENTREGUE")</f>
        <v>ENTREGUE</v>
      </c>
      <c r="G1730" s="303"/>
      <c r="H1730" s="304"/>
    </row>
    <row r="1731">
      <c r="A1731" s="302" t="s">
        <v>91</v>
      </c>
      <c r="B1731" s="291" t="s">
        <v>8965</v>
      </c>
      <c r="C1731" s="292" t="s">
        <v>48</v>
      </c>
      <c r="D1731" s="293">
        <f t="shared" si="2"/>
        <v>1</v>
      </c>
      <c r="E1731" s="294"/>
      <c r="F1731" s="295" t="str">
        <f>IFERROR(__xludf.DUMMYFUNCTION("IF(B1731="""","""",IFERROR(VLOOKUP(TO_TEXT(B1731),PEDIDOS!D:I,6,0),IFERROR(VLOOKUP(B1731*1,PEDIDOS!D:I,6,0),"" "")))"),"ENTREGUE")</f>
        <v>ENTREGUE</v>
      </c>
      <c r="G1731" s="303"/>
      <c r="H1731" s="304"/>
    </row>
    <row r="1732">
      <c r="A1732" s="302" t="s">
        <v>91</v>
      </c>
      <c r="B1732" s="291" t="s">
        <v>9618</v>
      </c>
      <c r="C1732" s="292" t="s">
        <v>48</v>
      </c>
      <c r="D1732" s="293">
        <f t="shared" si="2"/>
        <v>1</v>
      </c>
      <c r="E1732" s="294"/>
      <c r="F1732" s="295" t="str">
        <f>IFERROR(__xludf.DUMMYFUNCTION("IF(B1732="""","""",IFERROR(VLOOKUP(TO_TEXT(B1732),PEDIDOS!D:I,6,0),IFERROR(VLOOKUP(B1732*1,PEDIDOS!D:I,6,0),"" "")))"),"ENTREGUE")</f>
        <v>ENTREGUE</v>
      </c>
      <c r="G1732" s="303"/>
      <c r="H1732" s="304"/>
    </row>
    <row r="1733">
      <c r="A1733" s="302" t="s">
        <v>91</v>
      </c>
      <c r="B1733" s="291" t="s">
        <v>9483</v>
      </c>
      <c r="C1733" s="292" t="s">
        <v>48</v>
      </c>
      <c r="D1733" s="293">
        <f t="shared" si="2"/>
        <v>1</v>
      </c>
      <c r="E1733" s="294"/>
      <c r="F1733" s="295" t="str">
        <f>IFERROR(__xludf.DUMMYFUNCTION("IF(B1733="""","""",IFERROR(VLOOKUP(TO_TEXT(B1733),PEDIDOS!D:I,6,0),IFERROR(VLOOKUP(B1733*1,PEDIDOS!D:I,6,0),"" "")))"),"ENTREGUE")</f>
        <v>ENTREGUE</v>
      </c>
      <c r="G1733" s="303"/>
      <c r="H1733" s="304"/>
    </row>
    <row r="1734">
      <c r="A1734" s="302" t="s">
        <v>91</v>
      </c>
      <c r="B1734" s="291" t="s">
        <v>8680</v>
      </c>
      <c r="C1734" s="292" t="s">
        <v>48</v>
      </c>
      <c r="D1734" s="293">
        <f t="shared" si="2"/>
        <v>1</v>
      </c>
      <c r="E1734" s="294"/>
      <c r="F1734" s="295" t="str">
        <f>IFERROR(__xludf.DUMMYFUNCTION("IF(B1734="""","""",IFERROR(VLOOKUP(TO_TEXT(B1734),PEDIDOS!D:I,6,0),IFERROR(VLOOKUP(B1734*1,PEDIDOS!D:I,6,0),"" "")))"),"ENTREGUE")</f>
        <v>ENTREGUE</v>
      </c>
      <c r="G1734" s="303"/>
      <c r="H1734" s="304"/>
    </row>
    <row r="1735">
      <c r="A1735" s="302" t="s">
        <v>91</v>
      </c>
      <c r="B1735" s="291" t="s">
        <v>9992</v>
      </c>
      <c r="C1735" s="292" t="s">
        <v>48</v>
      </c>
      <c r="D1735" s="293">
        <f t="shared" si="2"/>
        <v>1</v>
      </c>
      <c r="E1735" s="294"/>
      <c r="F1735" s="295" t="str">
        <f>IFERROR(__xludf.DUMMYFUNCTION("IF(B1735="""","""",IFERROR(VLOOKUP(TO_TEXT(B1735),PEDIDOS!D:I,6,0),IFERROR(VLOOKUP(B1735*1,PEDIDOS!D:I,6,0),"" "")))"),"ENTREGUE")</f>
        <v>ENTREGUE</v>
      </c>
      <c r="G1735" s="303"/>
      <c r="H1735" s="304"/>
    </row>
    <row r="1736">
      <c r="A1736" s="302" t="s">
        <v>91</v>
      </c>
      <c r="B1736" s="291" t="s">
        <v>9454</v>
      </c>
      <c r="C1736" s="292" t="s">
        <v>48</v>
      </c>
      <c r="D1736" s="293">
        <f t="shared" si="2"/>
        <v>1</v>
      </c>
      <c r="E1736" s="294"/>
      <c r="F1736" s="295" t="str">
        <f>IFERROR(__xludf.DUMMYFUNCTION("IF(B1736="""","""",IFERROR(VLOOKUP(TO_TEXT(B1736),PEDIDOS!D:I,6,0),IFERROR(VLOOKUP(B1736*1,PEDIDOS!D:I,6,0),"" "")))"),"ENTREGUE")</f>
        <v>ENTREGUE</v>
      </c>
      <c r="G1736" s="303"/>
      <c r="H1736" s="304"/>
    </row>
    <row r="1737">
      <c r="A1737" s="302" t="s">
        <v>91</v>
      </c>
      <c r="B1737" s="291" t="s">
        <v>9477</v>
      </c>
      <c r="C1737" s="292" t="s">
        <v>48</v>
      </c>
      <c r="D1737" s="293">
        <f t="shared" si="2"/>
        <v>1</v>
      </c>
      <c r="E1737" s="294"/>
      <c r="F1737" s="295" t="str">
        <f>IFERROR(__xludf.DUMMYFUNCTION("IF(B1737="""","""",IFERROR(VLOOKUP(TO_TEXT(B1737),PEDIDOS!D:I,6,0),IFERROR(VLOOKUP(B1737*1,PEDIDOS!D:I,6,0),"" "")))"),"ENTREGUE")</f>
        <v>ENTREGUE</v>
      </c>
      <c r="G1737" s="303"/>
      <c r="H1737" s="304"/>
    </row>
    <row r="1738">
      <c r="A1738" s="302" t="s">
        <v>91</v>
      </c>
      <c r="B1738" s="291" t="s">
        <v>9751</v>
      </c>
      <c r="C1738" s="292" t="s">
        <v>48</v>
      </c>
      <c r="D1738" s="293">
        <f t="shared" si="2"/>
        <v>1</v>
      </c>
      <c r="E1738" s="294"/>
      <c r="F1738" s="295" t="str">
        <f>IFERROR(__xludf.DUMMYFUNCTION("IF(B1738="""","""",IFERROR(VLOOKUP(TO_TEXT(B1738),PEDIDOS!D:I,6,0),IFERROR(VLOOKUP(B1738*1,PEDIDOS!D:I,6,0),"" "")))"),"ENTREGUE")</f>
        <v>ENTREGUE</v>
      </c>
      <c r="G1738" s="303"/>
      <c r="H1738" s="304"/>
    </row>
    <row r="1739">
      <c r="A1739" s="302" t="s">
        <v>91</v>
      </c>
      <c r="B1739" s="291" t="s">
        <v>8649</v>
      </c>
      <c r="C1739" s="292" t="s">
        <v>48</v>
      </c>
      <c r="D1739" s="293">
        <f t="shared" si="2"/>
        <v>1</v>
      </c>
      <c r="E1739" s="294"/>
      <c r="F1739" s="295" t="str">
        <f>IFERROR(__xludf.DUMMYFUNCTION("IF(B1739="""","""",IFERROR(VLOOKUP(TO_TEXT(B1739),PEDIDOS!D:I,6,0),IFERROR(VLOOKUP(B1739*1,PEDIDOS!D:I,6,0),"" "")))"),"ENTREGUE")</f>
        <v>ENTREGUE</v>
      </c>
      <c r="G1739" s="303"/>
      <c r="H1739" s="304"/>
    </row>
    <row r="1740">
      <c r="A1740" s="302" t="s">
        <v>91</v>
      </c>
      <c r="B1740" s="291" t="s">
        <v>9856</v>
      </c>
      <c r="C1740" s="292" t="s">
        <v>48</v>
      </c>
      <c r="D1740" s="293">
        <f t="shared" si="2"/>
        <v>1</v>
      </c>
      <c r="E1740" s="294"/>
      <c r="F1740" s="295" t="str">
        <f>IFERROR(__xludf.DUMMYFUNCTION("IF(B1740="""","""",IFERROR(VLOOKUP(TO_TEXT(B1740),PEDIDOS!D:I,6,0),IFERROR(VLOOKUP(B1740*1,PEDIDOS!D:I,6,0),"" "")))"),"ENTREGUE")</f>
        <v>ENTREGUE</v>
      </c>
      <c r="G1740" s="303"/>
      <c r="H1740" s="304"/>
    </row>
    <row r="1741">
      <c r="A1741" s="302" t="s">
        <v>91</v>
      </c>
      <c r="B1741" s="291" t="s">
        <v>9848</v>
      </c>
      <c r="C1741" s="292" t="s">
        <v>48</v>
      </c>
      <c r="D1741" s="293">
        <f t="shared" si="2"/>
        <v>1</v>
      </c>
      <c r="E1741" s="294"/>
      <c r="F1741" s="295" t="str">
        <f>IFERROR(__xludf.DUMMYFUNCTION("IF(B1741="""","""",IFERROR(VLOOKUP(TO_TEXT(B1741),PEDIDOS!D:I,6,0),IFERROR(VLOOKUP(B1741*1,PEDIDOS!D:I,6,0),"" "")))"),"ENTREGUE")</f>
        <v>ENTREGUE</v>
      </c>
      <c r="G1741" s="303"/>
      <c r="H1741" s="304"/>
    </row>
    <row r="1742">
      <c r="A1742" s="302" t="s">
        <v>91</v>
      </c>
      <c r="B1742" s="291" t="s">
        <v>8540</v>
      </c>
      <c r="C1742" s="292" t="s">
        <v>48</v>
      </c>
      <c r="D1742" s="293">
        <f t="shared" si="2"/>
        <v>1</v>
      </c>
      <c r="E1742" s="294"/>
      <c r="F1742" s="295" t="str">
        <f>IFERROR(__xludf.DUMMYFUNCTION("IF(B1742="""","""",IFERROR(VLOOKUP(TO_TEXT(B1742),PEDIDOS!D:I,6,0),IFERROR(VLOOKUP(B1742*1,PEDIDOS!D:I,6,0),"" "")))"),"ENTREGUE")</f>
        <v>ENTREGUE</v>
      </c>
      <c r="G1742" s="303"/>
      <c r="H1742" s="304"/>
    </row>
    <row r="1743">
      <c r="A1743" s="302" t="s">
        <v>91</v>
      </c>
      <c r="B1743" s="291" t="s">
        <v>9700</v>
      </c>
      <c r="C1743" s="292" t="s">
        <v>48</v>
      </c>
      <c r="D1743" s="293">
        <f t="shared" si="2"/>
        <v>1</v>
      </c>
      <c r="E1743" s="294"/>
      <c r="F1743" s="295" t="str">
        <f>IFERROR(__xludf.DUMMYFUNCTION("IF(B1743="""","""",IFERROR(VLOOKUP(TO_TEXT(B1743),PEDIDOS!D:I,6,0),IFERROR(VLOOKUP(B1743*1,PEDIDOS!D:I,6,0),"" "")))"),"ENTREGUE")</f>
        <v>ENTREGUE</v>
      </c>
      <c r="G1743" s="303"/>
      <c r="H1743" s="304"/>
    </row>
    <row r="1744">
      <c r="A1744" s="302" t="s">
        <v>91</v>
      </c>
      <c r="B1744" s="291" t="s">
        <v>9859</v>
      </c>
      <c r="C1744" s="292" t="s">
        <v>48</v>
      </c>
      <c r="D1744" s="293">
        <f t="shared" si="2"/>
        <v>1</v>
      </c>
      <c r="E1744" s="294"/>
      <c r="F1744" s="295" t="str">
        <f>IFERROR(__xludf.DUMMYFUNCTION("IF(B1744="""","""",IFERROR(VLOOKUP(TO_TEXT(B1744),PEDIDOS!D:I,6,0),IFERROR(VLOOKUP(B1744*1,PEDIDOS!D:I,6,0),"" "")))"),"ENTREGUE")</f>
        <v>ENTREGUE</v>
      </c>
      <c r="G1744" s="303"/>
      <c r="H1744" s="304"/>
    </row>
    <row r="1745">
      <c r="A1745" s="302" t="s">
        <v>91</v>
      </c>
      <c r="B1745" s="291" t="s">
        <v>9976</v>
      </c>
      <c r="C1745" s="292" t="s">
        <v>48</v>
      </c>
      <c r="D1745" s="293">
        <f t="shared" si="2"/>
        <v>1</v>
      </c>
      <c r="E1745" s="294"/>
      <c r="F1745" s="295" t="str">
        <f>IFERROR(__xludf.DUMMYFUNCTION("IF(B1745="""","""",IFERROR(VLOOKUP(TO_TEXT(B1745),PEDIDOS!D:I,6,0),IFERROR(VLOOKUP(B1745*1,PEDIDOS!D:I,6,0),"" "")))"),"ENTREGUE")</f>
        <v>ENTREGUE</v>
      </c>
      <c r="G1745" s="303"/>
      <c r="H1745" s="304"/>
    </row>
    <row r="1746">
      <c r="A1746" s="302" t="s">
        <v>91</v>
      </c>
      <c r="B1746" s="291" t="s">
        <v>9708</v>
      </c>
      <c r="C1746" s="292" t="s">
        <v>48</v>
      </c>
      <c r="D1746" s="293">
        <f t="shared" si="2"/>
        <v>1</v>
      </c>
      <c r="E1746" s="294"/>
      <c r="F1746" s="295" t="str">
        <f>IFERROR(__xludf.DUMMYFUNCTION("IF(B1746="""","""",IFERROR(VLOOKUP(TO_TEXT(B1746),PEDIDOS!D:I,6,0),IFERROR(VLOOKUP(B1746*1,PEDIDOS!D:I,6,0),"" "")))"),"ENTREGUE")</f>
        <v>ENTREGUE</v>
      </c>
      <c r="G1746" s="303"/>
      <c r="H1746" s="304"/>
    </row>
    <row r="1747">
      <c r="A1747" s="302" t="s">
        <v>91</v>
      </c>
      <c r="B1747" s="291" t="s">
        <v>9989</v>
      </c>
      <c r="C1747" s="292" t="s">
        <v>48</v>
      </c>
      <c r="D1747" s="293">
        <f t="shared" si="2"/>
        <v>1</v>
      </c>
      <c r="E1747" s="294"/>
      <c r="F1747" s="295" t="str">
        <f>IFERROR(__xludf.DUMMYFUNCTION("IF(B1747="""","""",IFERROR(VLOOKUP(TO_TEXT(B1747),PEDIDOS!D:I,6,0),IFERROR(VLOOKUP(B1747*1,PEDIDOS!D:I,6,0),"" "")))"),"ENTREGUE")</f>
        <v>ENTREGUE</v>
      </c>
      <c r="G1747" s="303"/>
      <c r="H1747" s="304"/>
    </row>
    <row r="1748">
      <c r="A1748" s="302" t="s">
        <v>91</v>
      </c>
      <c r="B1748" s="291" t="s">
        <v>9733</v>
      </c>
      <c r="C1748" s="292" t="s">
        <v>48</v>
      </c>
      <c r="D1748" s="293">
        <f t="shared" si="2"/>
        <v>1</v>
      </c>
      <c r="E1748" s="294"/>
      <c r="F1748" s="295" t="str">
        <f>IFERROR(__xludf.DUMMYFUNCTION("IF(B1748="""","""",IFERROR(VLOOKUP(TO_TEXT(B1748),PEDIDOS!D:I,6,0),IFERROR(VLOOKUP(B1748*1,PEDIDOS!D:I,6,0),"" "")))"),"ENTREGUE")</f>
        <v>ENTREGUE</v>
      </c>
      <c r="G1748" s="303"/>
      <c r="H1748" s="304"/>
    </row>
    <row r="1749">
      <c r="A1749" s="302" t="s">
        <v>91</v>
      </c>
      <c r="B1749" s="291" t="s">
        <v>9985</v>
      </c>
      <c r="C1749" s="292" t="s">
        <v>48</v>
      </c>
      <c r="D1749" s="293">
        <f t="shared" si="2"/>
        <v>1</v>
      </c>
      <c r="E1749" s="294"/>
      <c r="F1749" s="295" t="str">
        <f>IFERROR(__xludf.DUMMYFUNCTION("IF(B1749="""","""",IFERROR(VLOOKUP(TO_TEXT(B1749),PEDIDOS!D:I,6,0),IFERROR(VLOOKUP(B1749*1,PEDIDOS!D:I,6,0),"" "")))"),"ENTREGUE")</f>
        <v>ENTREGUE</v>
      </c>
      <c r="G1749" s="303"/>
      <c r="H1749" s="304"/>
    </row>
    <row r="1750">
      <c r="A1750" s="302" t="s">
        <v>3395</v>
      </c>
      <c r="B1750" s="291" t="s">
        <v>13883</v>
      </c>
      <c r="C1750" s="292" t="s">
        <v>48</v>
      </c>
      <c r="D1750" s="293">
        <f t="shared" si="2"/>
        <v>1</v>
      </c>
      <c r="E1750" s="294"/>
      <c r="F1750" s="295" t="str">
        <f>IFERROR(__xludf.DUMMYFUNCTION("IF(B1750="""","""",IFERROR(VLOOKUP(TO_TEXT(B1750),PEDIDOS!D:I,6,0),IFERROR(VLOOKUP(B1750*1,PEDIDOS!D:I,6,0),"" "")))"),"ENTREGUE")</f>
        <v>ENTREGUE</v>
      </c>
      <c r="G1750" s="303"/>
      <c r="H1750" s="304"/>
    </row>
    <row r="1751">
      <c r="A1751" s="302" t="s">
        <v>3395</v>
      </c>
      <c r="B1751" s="291" t="s">
        <v>9613</v>
      </c>
      <c r="C1751" s="292" t="s">
        <v>48</v>
      </c>
      <c r="D1751" s="293">
        <f t="shared" si="2"/>
        <v>1</v>
      </c>
      <c r="E1751" s="294"/>
      <c r="F1751" s="295" t="str">
        <f>IFERROR(__xludf.DUMMYFUNCTION("IF(B1751="""","""",IFERROR(VLOOKUP(TO_TEXT(B1751),PEDIDOS!D:I,6,0),IFERROR(VLOOKUP(B1751*1,PEDIDOS!D:I,6,0),"" "")))"),"ENTREGUE")</f>
        <v>ENTREGUE</v>
      </c>
      <c r="G1751" s="303"/>
      <c r="H1751" s="304"/>
    </row>
    <row r="1752">
      <c r="A1752" s="302" t="s">
        <v>3395</v>
      </c>
      <c r="B1752" s="291" t="s">
        <v>10151</v>
      </c>
      <c r="C1752" s="292" t="s">
        <v>48</v>
      </c>
      <c r="D1752" s="293">
        <f t="shared" si="2"/>
        <v>1</v>
      </c>
      <c r="E1752" s="294"/>
      <c r="F1752" s="295" t="str">
        <f>IFERROR(__xludf.DUMMYFUNCTION("IF(B1752="""","""",IFERROR(VLOOKUP(TO_TEXT(B1752),PEDIDOS!D:I,6,0),IFERROR(VLOOKUP(B1752*1,PEDIDOS!D:I,6,0),"" "")))"),"ENTREGUE")</f>
        <v>ENTREGUE</v>
      </c>
      <c r="G1752" s="303"/>
      <c r="H1752" s="304"/>
    </row>
    <row r="1753">
      <c r="A1753" s="302" t="s">
        <v>3395</v>
      </c>
      <c r="B1753" s="291" t="s">
        <v>13748</v>
      </c>
      <c r="C1753" s="292" t="s">
        <v>48</v>
      </c>
      <c r="D1753" s="293">
        <f t="shared" si="2"/>
        <v>1</v>
      </c>
      <c r="E1753" s="294"/>
      <c r="F1753" s="295" t="str">
        <f>IFERROR(__xludf.DUMMYFUNCTION("IF(B1753="""","""",IFERROR(VLOOKUP(TO_TEXT(B1753),PEDIDOS!D:I,6,0),IFERROR(VLOOKUP(B1753*1,PEDIDOS!D:I,6,0),"" "")))"),"ENTREGUE")</f>
        <v>ENTREGUE</v>
      </c>
      <c r="G1753" s="303"/>
      <c r="H1753" s="304"/>
    </row>
    <row r="1754">
      <c r="A1754" s="302" t="s">
        <v>3395</v>
      </c>
      <c r="B1754" s="291" t="s">
        <v>10253</v>
      </c>
      <c r="C1754" s="292" t="s">
        <v>48</v>
      </c>
      <c r="D1754" s="293">
        <f t="shared" si="2"/>
        <v>1</v>
      </c>
      <c r="E1754" s="294"/>
      <c r="F1754" s="295" t="str">
        <f>IFERROR(__xludf.DUMMYFUNCTION("IF(B1754="""","""",IFERROR(VLOOKUP(TO_TEXT(B1754),PEDIDOS!D:I,6,0),IFERROR(VLOOKUP(B1754*1,PEDIDOS!D:I,6,0),"" "")))"),"ENTREGUE")</f>
        <v>ENTREGUE</v>
      </c>
      <c r="G1754" s="303"/>
      <c r="H1754" s="304"/>
    </row>
    <row r="1755">
      <c r="A1755" s="302" t="s">
        <v>3395</v>
      </c>
      <c r="B1755" s="291" t="s">
        <v>10293</v>
      </c>
      <c r="C1755" s="292" t="s">
        <v>48</v>
      </c>
      <c r="D1755" s="293">
        <f t="shared" si="2"/>
        <v>1</v>
      </c>
      <c r="E1755" s="294"/>
      <c r="F1755" s="295" t="str">
        <f>IFERROR(__xludf.DUMMYFUNCTION("IF(B1755="""","""",IFERROR(VLOOKUP(TO_TEXT(B1755),PEDIDOS!D:I,6,0),IFERROR(VLOOKUP(B1755*1,PEDIDOS!D:I,6,0),"" "")))"),"ENTREGUE")</f>
        <v>ENTREGUE</v>
      </c>
      <c r="G1755" s="303"/>
      <c r="H1755" s="304"/>
    </row>
    <row r="1756">
      <c r="A1756" s="302" t="s">
        <v>3395</v>
      </c>
      <c r="B1756" s="291" t="s">
        <v>23380</v>
      </c>
      <c r="C1756" s="292" t="s">
        <v>48</v>
      </c>
      <c r="D1756" s="293">
        <f t="shared" si="2"/>
        <v>1</v>
      </c>
      <c r="E1756" s="294"/>
      <c r="F1756" s="295" t="str">
        <f>IFERROR(__xludf.DUMMYFUNCTION("IF(B1756="""","""",IFERROR(VLOOKUP(TO_TEXT(B1756),PEDIDOS!D:I,6,0),IFERROR(VLOOKUP(B1756*1,PEDIDOS!D:I,6,0),"" "")))")," ")</f>
        <v> </v>
      </c>
      <c r="G1756" s="307" t="s">
        <v>4129</v>
      </c>
      <c r="H1756" s="305"/>
    </row>
    <row r="1757">
      <c r="A1757" s="302" t="s">
        <v>3395</v>
      </c>
      <c r="B1757" s="291" t="s">
        <v>10439</v>
      </c>
      <c r="C1757" s="292" t="s">
        <v>48</v>
      </c>
      <c r="D1757" s="293">
        <f t="shared" si="2"/>
        <v>1</v>
      </c>
      <c r="E1757" s="294"/>
      <c r="F1757" s="295" t="str">
        <f>IFERROR(__xludf.DUMMYFUNCTION("IF(B1757="""","""",IFERROR(VLOOKUP(TO_TEXT(B1757),PEDIDOS!D:I,6,0),IFERROR(VLOOKUP(B1757*1,PEDIDOS!D:I,6,0),"" "")))"),"ENTREGUE")</f>
        <v>ENTREGUE</v>
      </c>
      <c r="G1757" s="303"/>
      <c r="H1757" s="304"/>
    </row>
    <row r="1758">
      <c r="A1758" s="302" t="s">
        <v>3395</v>
      </c>
      <c r="B1758" s="291" t="s">
        <v>10460</v>
      </c>
      <c r="C1758" s="292" t="s">
        <v>48</v>
      </c>
      <c r="D1758" s="293">
        <f t="shared" si="2"/>
        <v>1</v>
      </c>
      <c r="E1758" s="294"/>
      <c r="F1758" s="295" t="str">
        <f>IFERROR(__xludf.DUMMYFUNCTION("IF(B1758="""","""",IFERROR(VLOOKUP(TO_TEXT(B1758),PEDIDOS!D:I,6,0),IFERROR(VLOOKUP(B1758*1,PEDIDOS!D:I,6,0),"" "")))"),"ENTREGUE")</f>
        <v>ENTREGUE</v>
      </c>
      <c r="G1758" s="303"/>
      <c r="H1758" s="304"/>
    </row>
    <row r="1759">
      <c r="A1759" s="302" t="s">
        <v>3395</v>
      </c>
      <c r="B1759" s="291" t="s">
        <v>10543</v>
      </c>
      <c r="C1759" s="292" t="s">
        <v>48</v>
      </c>
      <c r="D1759" s="293">
        <f t="shared" si="2"/>
        <v>1</v>
      </c>
      <c r="E1759" s="294"/>
      <c r="F1759" s="295" t="str">
        <f>IFERROR(__xludf.DUMMYFUNCTION("IF(B1759="""","""",IFERROR(VLOOKUP(TO_TEXT(B1759),PEDIDOS!D:I,6,0),IFERROR(VLOOKUP(B1759*1,PEDIDOS!D:I,6,0),"" "")))"),"ENTREGUE")</f>
        <v>ENTREGUE</v>
      </c>
      <c r="G1759" s="303"/>
      <c r="H1759" s="304"/>
    </row>
    <row r="1760">
      <c r="A1760" s="302" t="s">
        <v>3395</v>
      </c>
      <c r="B1760" s="291" t="s">
        <v>10586</v>
      </c>
      <c r="C1760" s="292" t="s">
        <v>48</v>
      </c>
      <c r="D1760" s="293">
        <f t="shared" si="2"/>
        <v>1</v>
      </c>
      <c r="E1760" s="294"/>
      <c r="F1760" s="295" t="str">
        <f>IFERROR(__xludf.DUMMYFUNCTION("IF(B1760="""","""",IFERROR(VLOOKUP(TO_TEXT(B1760),PEDIDOS!D:I,6,0),IFERROR(VLOOKUP(B1760*1,PEDIDOS!D:I,6,0),"" "")))"),"ENTREGUE")</f>
        <v>ENTREGUE</v>
      </c>
      <c r="G1760" s="303"/>
      <c r="H1760" s="304"/>
    </row>
    <row r="1761">
      <c r="A1761" s="302" t="s">
        <v>3395</v>
      </c>
      <c r="B1761" s="291" t="s">
        <v>10590</v>
      </c>
      <c r="C1761" s="292" t="s">
        <v>48</v>
      </c>
      <c r="D1761" s="293">
        <f t="shared" si="2"/>
        <v>1</v>
      </c>
      <c r="E1761" s="294"/>
      <c r="F1761" s="295" t="str">
        <f>IFERROR(__xludf.DUMMYFUNCTION("IF(B1761="""","""",IFERROR(VLOOKUP(TO_TEXT(B1761),PEDIDOS!D:I,6,0),IFERROR(VLOOKUP(B1761*1,PEDIDOS!D:I,6,0),"" "")))"),"ENTREGUE")</f>
        <v>ENTREGUE</v>
      </c>
      <c r="G1761" s="303"/>
      <c r="H1761" s="304"/>
    </row>
    <row r="1762">
      <c r="A1762" s="302" t="s">
        <v>3395</v>
      </c>
      <c r="B1762" s="291" t="s">
        <v>12986</v>
      </c>
      <c r="C1762" s="292" t="s">
        <v>48</v>
      </c>
      <c r="D1762" s="293">
        <f t="shared" si="2"/>
        <v>1</v>
      </c>
      <c r="E1762" s="294"/>
      <c r="F1762" s="295" t="str">
        <f>IFERROR(__xludf.DUMMYFUNCTION("IF(B1762="""","""",IFERROR(VLOOKUP(TO_TEXT(B1762),PEDIDOS!D:I,6,0),IFERROR(VLOOKUP(B1762*1,PEDIDOS!D:I,6,0),"" "")))"),"ENTREGUE")</f>
        <v>ENTREGUE</v>
      </c>
      <c r="G1762" s="303"/>
      <c r="H1762" s="304"/>
    </row>
    <row r="1763">
      <c r="A1763" s="302" t="s">
        <v>3395</v>
      </c>
      <c r="B1763" s="291" t="s">
        <v>10778</v>
      </c>
      <c r="C1763" s="292" t="s">
        <v>48</v>
      </c>
      <c r="D1763" s="293">
        <f t="shared" si="2"/>
        <v>1</v>
      </c>
      <c r="E1763" s="294"/>
      <c r="F1763" s="295" t="str">
        <f>IFERROR(__xludf.DUMMYFUNCTION("IF(B1763="""","""",IFERROR(VLOOKUP(TO_TEXT(B1763),PEDIDOS!D:I,6,0),IFERROR(VLOOKUP(B1763*1,PEDIDOS!D:I,6,0),"" "")))"),"ENTREGUE")</f>
        <v>ENTREGUE</v>
      </c>
      <c r="G1763" s="303"/>
      <c r="H1763" s="304"/>
    </row>
    <row r="1764">
      <c r="A1764" s="302" t="s">
        <v>3395</v>
      </c>
      <c r="B1764" s="291" t="s">
        <v>10339</v>
      </c>
      <c r="C1764" s="292" t="s">
        <v>48</v>
      </c>
      <c r="D1764" s="293">
        <f t="shared" si="2"/>
        <v>1</v>
      </c>
      <c r="E1764" s="294"/>
      <c r="F1764" s="295" t="str">
        <f>IFERROR(__xludf.DUMMYFUNCTION("IF(B1764="""","""",IFERROR(VLOOKUP(TO_TEXT(B1764),PEDIDOS!D:I,6,0),IFERROR(VLOOKUP(B1764*1,PEDIDOS!D:I,6,0),"" "")))"),"ENTREGUE")</f>
        <v>ENTREGUE</v>
      </c>
      <c r="G1764" s="303"/>
      <c r="H1764" s="304"/>
    </row>
    <row r="1765">
      <c r="A1765" s="302" t="s">
        <v>3395</v>
      </c>
      <c r="B1765" s="291" t="s">
        <v>12955</v>
      </c>
      <c r="C1765" s="292" t="s">
        <v>48</v>
      </c>
      <c r="D1765" s="293">
        <f t="shared" si="2"/>
        <v>1</v>
      </c>
      <c r="E1765" s="294"/>
      <c r="F1765" s="295" t="str">
        <f>IFERROR(__xludf.DUMMYFUNCTION("IF(B1765="""","""",IFERROR(VLOOKUP(TO_TEXT(B1765),PEDIDOS!D:I,6,0),IFERROR(VLOOKUP(B1765*1,PEDIDOS!D:I,6,0),"" "")))"),"ENTREGUE")</f>
        <v>ENTREGUE</v>
      </c>
      <c r="G1765" s="303"/>
      <c r="H1765" s="304"/>
    </row>
    <row r="1766">
      <c r="A1766" s="302" t="s">
        <v>3395</v>
      </c>
      <c r="B1766" s="291" t="s">
        <v>10832</v>
      </c>
      <c r="C1766" s="292" t="s">
        <v>48</v>
      </c>
      <c r="D1766" s="293">
        <f t="shared" si="2"/>
        <v>1</v>
      </c>
      <c r="E1766" s="294"/>
      <c r="F1766" s="295" t="str">
        <f>IFERROR(__xludf.DUMMYFUNCTION("IF(B1766="""","""",IFERROR(VLOOKUP(TO_TEXT(B1766),PEDIDOS!D:I,6,0),IFERROR(VLOOKUP(B1766*1,PEDIDOS!D:I,6,0),"" "")))"),"ENTREGUE")</f>
        <v>ENTREGUE</v>
      </c>
      <c r="G1766" s="303"/>
      <c r="H1766" s="304"/>
    </row>
    <row r="1767">
      <c r="A1767" s="302" t="s">
        <v>3395</v>
      </c>
      <c r="B1767" s="291" t="s">
        <v>9388</v>
      </c>
      <c r="C1767" s="292" t="s">
        <v>48</v>
      </c>
      <c r="D1767" s="293">
        <f t="shared" si="2"/>
        <v>1</v>
      </c>
      <c r="E1767" s="294"/>
      <c r="F1767" s="295" t="str">
        <f>IFERROR(__xludf.DUMMYFUNCTION("IF(B1767="""","""",IFERROR(VLOOKUP(TO_TEXT(B1767),PEDIDOS!D:I,6,0),IFERROR(VLOOKUP(B1767*1,PEDIDOS!D:I,6,0),"" "")))"),"ENTREGUE")</f>
        <v>ENTREGUE</v>
      </c>
      <c r="G1767" s="303"/>
      <c r="H1767" s="304"/>
    </row>
    <row r="1768">
      <c r="A1768" s="302" t="s">
        <v>3395</v>
      </c>
      <c r="B1768" s="291" t="s">
        <v>10733</v>
      </c>
      <c r="C1768" s="292" t="s">
        <v>48</v>
      </c>
      <c r="D1768" s="293">
        <f t="shared" si="2"/>
        <v>1</v>
      </c>
      <c r="E1768" s="294"/>
      <c r="F1768" s="295" t="str">
        <f>IFERROR(__xludf.DUMMYFUNCTION("IF(B1768="""","""",IFERROR(VLOOKUP(TO_TEXT(B1768),PEDIDOS!D:I,6,0),IFERROR(VLOOKUP(B1768*1,PEDIDOS!D:I,6,0),"" "")))"),"ENTREGUE")</f>
        <v>ENTREGUE</v>
      </c>
      <c r="G1768" s="303"/>
      <c r="H1768" s="304"/>
    </row>
    <row r="1769">
      <c r="A1769" s="302" t="s">
        <v>3395</v>
      </c>
      <c r="B1769" s="291" t="s">
        <v>14843</v>
      </c>
      <c r="C1769" s="292" t="s">
        <v>48</v>
      </c>
      <c r="D1769" s="293">
        <f t="shared" si="2"/>
        <v>1</v>
      </c>
      <c r="E1769" s="294"/>
      <c r="F1769" s="295" t="str">
        <f>IFERROR(__xludf.DUMMYFUNCTION("IF(B1769="""","""",IFERROR(VLOOKUP(TO_TEXT(B1769),PEDIDOS!D:I,6,0),IFERROR(VLOOKUP(B1769*1,PEDIDOS!D:I,6,0),"" "")))"),"ENTREGUE")</f>
        <v>ENTREGUE</v>
      </c>
      <c r="G1769" s="303"/>
      <c r="H1769" s="304"/>
    </row>
    <row r="1770">
      <c r="A1770" s="302" t="s">
        <v>3395</v>
      </c>
      <c r="B1770" s="291" t="s">
        <v>10938</v>
      </c>
      <c r="C1770" s="292" t="s">
        <v>48</v>
      </c>
      <c r="D1770" s="293">
        <f t="shared" si="2"/>
        <v>1</v>
      </c>
      <c r="E1770" s="294"/>
      <c r="F1770" s="295" t="str">
        <f>IFERROR(__xludf.DUMMYFUNCTION("IF(B1770="""","""",IFERROR(VLOOKUP(TO_TEXT(B1770),PEDIDOS!D:I,6,0),IFERROR(VLOOKUP(B1770*1,PEDIDOS!D:I,6,0),"" "")))"),"ENTREGUE")</f>
        <v>ENTREGUE</v>
      </c>
      <c r="G1770" s="303"/>
      <c r="H1770" s="304"/>
    </row>
    <row r="1771">
      <c r="A1771" s="302" t="s">
        <v>3395</v>
      </c>
      <c r="B1771" s="291" t="s">
        <v>10955</v>
      </c>
      <c r="C1771" s="292" t="s">
        <v>48</v>
      </c>
      <c r="D1771" s="293">
        <f t="shared" si="2"/>
        <v>1</v>
      </c>
      <c r="E1771" s="294"/>
      <c r="F1771" s="295" t="str">
        <f>IFERROR(__xludf.DUMMYFUNCTION("IF(B1771="""","""",IFERROR(VLOOKUP(TO_TEXT(B1771),PEDIDOS!D:I,6,0),IFERROR(VLOOKUP(B1771*1,PEDIDOS!D:I,6,0),"" "")))"),"ENTREGUE")</f>
        <v>ENTREGUE</v>
      </c>
      <c r="G1771" s="303"/>
      <c r="H1771" s="304"/>
    </row>
    <row r="1772">
      <c r="A1772" s="302" t="s">
        <v>3395</v>
      </c>
      <c r="B1772" s="291" t="s">
        <v>10871</v>
      </c>
      <c r="C1772" s="292" t="s">
        <v>48</v>
      </c>
      <c r="D1772" s="293">
        <f t="shared" si="2"/>
        <v>1</v>
      </c>
      <c r="E1772" s="294"/>
      <c r="F1772" s="295" t="str">
        <f>IFERROR(__xludf.DUMMYFUNCTION("IF(B1772="""","""",IFERROR(VLOOKUP(TO_TEXT(B1772),PEDIDOS!D:I,6,0),IFERROR(VLOOKUP(B1772*1,PEDIDOS!D:I,6,0),"" "")))"),"ENTREGUE")</f>
        <v>ENTREGUE</v>
      </c>
      <c r="G1772" s="303"/>
      <c r="H1772" s="304"/>
    </row>
    <row r="1773">
      <c r="A1773" s="302" t="s">
        <v>3395</v>
      </c>
      <c r="B1773" s="291" t="s">
        <v>11131</v>
      </c>
      <c r="C1773" s="292" t="s">
        <v>48</v>
      </c>
      <c r="D1773" s="293">
        <f t="shared" si="2"/>
        <v>1</v>
      </c>
      <c r="E1773" s="294"/>
      <c r="F1773" s="295" t="str">
        <f>IFERROR(__xludf.DUMMYFUNCTION("IF(B1773="""","""",IFERROR(VLOOKUP(TO_TEXT(B1773),PEDIDOS!D:I,6,0),IFERROR(VLOOKUP(B1773*1,PEDIDOS!D:I,6,0),"" "")))"),"ENTREGUE")</f>
        <v>ENTREGUE</v>
      </c>
      <c r="G1773" s="303"/>
      <c r="H1773" s="304"/>
    </row>
    <row r="1774">
      <c r="A1774" s="302" t="s">
        <v>3395</v>
      </c>
      <c r="B1774" s="291" t="s">
        <v>11158</v>
      </c>
      <c r="C1774" s="292" t="s">
        <v>48</v>
      </c>
      <c r="D1774" s="293">
        <f t="shared" si="2"/>
        <v>1</v>
      </c>
      <c r="E1774" s="294"/>
      <c r="F1774" s="295" t="str">
        <f>IFERROR(__xludf.DUMMYFUNCTION("IF(B1774="""","""",IFERROR(VLOOKUP(TO_TEXT(B1774),PEDIDOS!D:I,6,0),IFERROR(VLOOKUP(B1774*1,PEDIDOS!D:I,6,0),"" "")))"),"ENTREGUE")</f>
        <v>ENTREGUE</v>
      </c>
      <c r="G1774" s="303"/>
      <c r="H1774" s="304"/>
    </row>
    <row r="1775">
      <c r="A1775" s="302" t="s">
        <v>3395</v>
      </c>
      <c r="B1775" s="291" t="s">
        <v>10154</v>
      </c>
      <c r="C1775" s="292" t="s">
        <v>48</v>
      </c>
      <c r="D1775" s="293">
        <f t="shared" si="2"/>
        <v>1</v>
      </c>
      <c r="E1775" s="294"/>
      <c r="F1775" s="295" t="str">
        <f>IFERROR(__xludf.DUMMYFUNCTION("IF(B1775="""","""",IFERROR(VLOOKUP(TO_TEXT(B1775),PEDIDOS!D:I,6,0),IFERROR(VLOOKUP(B1775*1,PEDIDOS!D:I,6,0),"" "")))"),"ENTREGUE")</f>
        <v>ENTREGUE</v>
      </c>
      <c r="G1775" s="303"/>
      <c r="H1775" s="304"/>
    </row>
    <row r="1776">
      <c r="A1776" s="302" t="s">
        <v>3395</v>
      </c>
      <c r="B1776" s="291" t="s">
        <v>10448</v>
      </c>
      <c r="C1776" s="292" t="s">
        <v>48</v>
      </c>
      <c r="D1776" s="293">
        <f t="shared" si="2"/>
        <v>1</v>
      </c>
      <c r="E1776" s="294"/>
      <c r="F1776" s="295" t="str">
        <f>IFERROR(__xludf.DUMMYFUNCTION("IF(B1776="""","""",IFERROR(VLOOKUP(TO_TEXT(B1776),PEDIDOS!D:I,6,0),IFERROR(VLOOKUP(B1776*1,PEDIDOS!D:I,6,0),"" "")))"),"ENTREGUE")</f>
        <v>ENTREGUE</v>
      </c>
      <c r="G1776" s="303"/>
      <c r="H1776" s="304"/>
    </row>
    <row r="1777">
      <c r="A1777" s="302" t="s">
        <v>3395</v>
      </c>
      <c r="B1777" s="291" t="s">
        <v>11335</v>
      </c>
      <c r="C1777" s="292" t="s">
        <v>48</v>
      </c>
      <c r="D1777" s="293">
        <f t="shared" si="2"/>
        <v>1</v>
      </c>
      <c r="E1777" s="294"/>
      <c r="F1777" s="295" t="str">
        <f>IFERROR(__xludf.DUMMYFUNCTION("IF(B1777="""","""",IFERROR(VLOOKUP(TO_TEXT(B1777),PEDIDOS!D:I,6,0),IFERROR(VLOOKUP(B1777*1,PEDIDOS!D:I,6,0),"" "")))"),"ENTREGUE")</f>
        <v>ENTREGUE</v>
      </c>
      <c r="G1777" s="303"/>
      <c r="H1777" s="304"/>
    </row>
    <row r="1778">
      <c r="A1778" s="302" t="s">
        <v>3395</v>
      </c>
      <c r="B1778" s="291" t="s">
        <v>11359</v>
      </c>
      <c r="C1778" s="292" t="s">
        <v>48</v>
      </c>
      <c r="D1778" s="293">
        <f t="shared" si="2"/>
        <v>1</v>
      </c>
      <c r="E1778" s="294"/>
      <c r="F1778" s="295" t="str">
        <f>IFERROR(__xludf.DUMMYFUNCTION("IF(B1778="""","""",IFERROR(VLOOKUP(TO_TEXT(B1778),PEDIDOS!D:I,6,0),IFERROR(VLOOKUP(B1778*1,PEDIDOS!D:I,6,0),"" "")))"),"ENTREGUE")</f>
        <v>ENTREGUE</v>
      </c>
      <c r="G1778" s="303"/>
      <c r="H1778" s="304"/>
    </row>
    <row r="1779">
      <c r="A1779" s="302" t="s">
        <v>3395</v>
      </c>
      <c r="B1779" s="291" t="s">
        <v>11363</v>
      </c>
      <c r="C1779" s="292" t="s">
        <v>48</v>
      </c>
      <c r="D1779" s="293">
        <f t="shared" si="2"/>
        <v>1</v>
      </c>
      <c r="E1779" s="294"/>
      <c r="F1779" s="295" t="str">
        <f>IFERROR(__xludf.DUMMYFUNCTION("IF(B1779="""","""",IFERROR(VLOOKUP(TO_TEXT(B1779),PEDIDOS!D:I,6,0),IFERROR(VLOOKUP(B1779*1,PEDIDOS!D:I,6,0),"" "")))"),"ENTREGUE")</f>
        <v>ENTREGUE</v>
      </c>
      <c r="G1779" s="303"/>
      <c r="H1779" s="304"/>
    </row>
    <row r="1780">
      <c r="A1780" s="302" t="s">
        <v>3395</v>
      </c>
      <c r="B1780" s="291" t="s">
        <v>11099</v>
      </c>
      <c r="C1780" s="292" t="s">
        <v>48</v>
      </c>
      <c r="D1780" s="293">
        <f t="shared" si="2"/>
        <v>1</v>
      </c>
      <c r="E1780" s="294"/>
      <c r="F1780" s="295" t="str">
        <f>IFERROR(__xludf.DUMMYFUNCTION("IF(B1780="""","""",IFERROR(VLOOKUP(TO_TEXT(B1780),PEDIDOS!D:I,6,0),IFERROR(VLOOKUP(B1780*1,PEDIDOS!D:I,6,0),"" "")))"),"ENTREGUE")</f>
        <v>ENTREGUE</v>
      </c>
      <c r="G1780" s="303"/>
      <c r="H1780" s="304"/>
    </row>
    <row r="1781">
      <c r="A1781" s="302" t="s">
        <v>3395</v>
      </c>
      <c r="B1781" s="291" t="s">
        <v>11396</v>
      </c>
      <c r="C1781" s="292" t="s">
        <v>48</v>
      </c>
      <c r="D1781" s="293">
        <f t="shared" si="2"/>
        <v>1</v>
      </c>
      <c r="E1781" s="294"/>
      <c r="F1781" s="295" t="str">
        <f>IFERROR(__xludf.DUMMYFUNCTION("IF(B1781="""","""",IFERROR(VLOOKUP(TO_TEXT(B1781),PEDIDOS!D:I,6,0),IFERROR(VLOOKUP(B1781*1,PEDIDOS!D:I,6,0),"" "")))"),"ENTREGUE")</f>
        <v>ENTREGUE</v>
      </c>
      <c r="G1781" s="303"/>
      <c r="H1781" s="304"/>
    </row>
    <row r="1782">
      <c r="A1782" s="302" t="s">
        <v>3395</v>
      </c>
      <c r="B1782" s="291" t="s">
        <v>11408</v>
      </c>
      <c r="C1782" s="292" t="s">
        <v>48</v>
      </c>
      <c r="D1782" s="293">
        <f t="shared" si="2"/>
        <v>1</v>
      </c>
      <c r="E1782" s="294"/>
      <c r="F1782" s="295" t="str">
        <f>IFERROR(__xludf.DUMMYFUNCTION("IF(B1782="""","""",IFERROR(VLOOKUP(TO_TEXT(B1782),PEDIDOS!D:I,6,0),IFERROR(VLOOKUP(B1782*1,PEDIDOS!D:I,6,0),"" "")))"),"ENTREGUE")</f>
        <v>ENTREGUE</v>
      </c>
      <c r="G1782" s="303"/>
      <c r="H1782" s="304"/>
    </row>
    <row r="1783">
      <c r="A1783" s="302" t="s">
        <v>3395</v>
      </c>
      <c r="B1783" s="291" t="s">
        <v>11261</v>
      </c>
      <c r="C1783" s="292" t="s">
        <v>48</v>
      </c>
      <c r="D1783" s="293">
        <f t="shared" si="2"/>
        <v>1</v>
      </c>
      <c r="E1783" s="294"/>
      <c r="F1783" s="295" t="str">
        <f>IFERROR(__xludf.DUMMYFUNCTION("IF(B1783="""","""",IFERROR(VLOOKUP(TO_TEXT(B1783),PEDIDOS!D:I,6,0),IFERROR(VLOOKUP(B1783*1,PEDIDOS!D:I,6,0),"" "")))"),"ENTREGUE")</f>
        <v>ENTREGUE</v>
      </c>
      <c r="G1783" s="303"/>
      <c r="H1783" s="304"/>
    </row>
    <row r="1784">
      <c r="A1784" s="302" t="s">
        <v>72</v>
      </c>
      <c r="B1784" s="291" t="s">
        <v>11697</v>
      </c>
      <c r="C1784" s="292" t="s">
        <v>48</v>
      </c>
      <c r="D1784" s="293">
        <f t="shared" si="2"/>
        <v>1</v>
      </c>
      <c r="E1784" s="294"/>
      <c r="F1784" s="295" t="str">
        <f>IFERROR(__xludf.DUMMYFUNCTION("IF(B1784="""","""",IFERROR(VLOOKUP(TO_TEXT(B1784),PEDIDOS!D:I,6,0),IFERROR(VLOOKUP(B1784*1,PEDIDOS!D:I,6,0),"" "")))"),"ENTREGUE")</f>
        <v>ENTREGUE</v>
      </c>
      <c r="G1784" s="303"/>
      <c r="H1784" s="304"/>
    </row>
    <row r="1785">
      <c r="A1785" s="302" t="s">
        <v>72</v>
      </c>
      <c r="B1785" s="291" t="s">
        <v>11619</v>
      </c>
      <c r="C1785" s="292" t="s">
        <v>48</v>
      </c>
      <c r="D1785" s="293">
        <f t="shared" si="2"/>
        <v>1</v>
      </c>
      <c r="E1785" s="294"/>
      <c r="F1785" s="295" t="str">
        <f>IFERROR(__xludf.DUMMYFUNCTION("IF(B1785="""","""",IFERROR(VLOOKUP(TO_TEXT(B1785),PEDIDOS!D:I,6,0),IFERROR(VLOOKUP(B1785*1,PEDIDOS!D:I,6,0),"" "")))"),"ENTREGUE")</f>
        <v>ENTREGUE</v>
      </c>
      <c r="G1785" s="303"/>
      <c r="H1785" s="304"/>
    </row>
    <row r="1786">
      <c r="A1786" s="302" t="s">
        <v>72</v>
      </c>
      <c r="B1786" s="291" t="s">
        <v>11652</v>
      </c>
      <c r="C1786" s="292" t="s">
        <v>48</v>
      </c>
      <c r="D1786" s="293">
        <f t="shared" si="2"/>
        <v>1</v>
      </c>
      <c r="E1786" s="294"/>
      <c r="F1786" s="295" t="str">
        <f>IFERROR(__xludf.DUMMYFUNCTION("IF(B1786="""","""",IFERROR(VLOOKUP(TO_TEXT(B1786),PEDIDOS!D:I,6,0),IFERROR(VLOOKUP(B1786*1,PEDIDOS!D:I,6,0),"" "")))"),"ENTREGUE")</f>
        <v>ENTREGUE</v>
      </c>
      <c r="G1786" s="303"/>
      <c r="H1786" s="304"/>
    </row>
    <row r="1787">
      <c r="A1787" s="302" t="s">
        <v>72</v>
      </c>
      <c r="B1787" s="291" t="s">
        <v>11525</v>
      </c>
      <c r="C1787" s="292" t="s">
        <v>48</v>
      </c>
      <c r="D1787" s="293">
        <f t="shared" si="2"/>
        <v>1</v>
      </c>
      <c r="E1787" s="294"/>
      <c r="F1787" s="295" t="str">
        <f>IFERROR(__xludf.DUMMYFUNCTION("IF(B1787="""","""",IFERROR(VLOOKUP(TO_TEXT(B1787),PEDIDOS!D:I,6,0),IFERROR(VLOOKUP(B1787*1,PEDIDOS!D:I,6,0),"" "")))"),"ENTREGUE")</f>
        <v>ENTREGUE</v>
      </c>
      <c r="G1787" s="303"/>
      <c r="H1787" s="304"/>
    </row>
    <row r="1788">
      <c r="A1788" s="302" t="s">
        <v>72</v>
      </c>
      <c r="B1788" s="291" t="s">
        <v>11550</v>
      </c>
      <c r="C1788" s="292" t="s">
        <v>48</v>
      </c>
      <c r="D1788" s="293">
        <f t="shared" si="2"/>
        <v>1</v>
      </c>
      <c r="E1788" s="294"/>
      <c r="F1788" s="295" t="str">
        <f>IFERROR(__xludf.DUMMYFUNCTION("IF(B1788="""","""",IFERROR(VLOOKUP(TO_TEXT(B1788),PEDIDOS!D:I,6,0),IFERROR(VLOOKUP(B1788*1,PEDIDOS!D:I,6,0),"" "")))"),"ENTREGUE")</f>
        <v>ENTREGUE</v>
      </c>
      <c r="G1788" s="303"/>
      <c r="H1788" s="304"/>
    </row>
    <row r="1789">
      <c r="A1789" s="302" t="s">
        <v>72</v>
      </c>
      <c r="B1789" s="291" t="s">
        <v>11458</v>
      </c>
      <c r="C1789" s="292" t="s">
        <v>48</v>
      </c>
      <c r="D1789" s="293">
        <f t="shared" si="2"/>
        <v>1</v>
      </c>
      <c r="E1789" s="294"/>
      <c r="F1789" s="295" t="str">
        <f>IFERROR(__xludf.DUMMYFUNCTION("IF(B1789="""","""",IFERROR(VLOOKUP(TO_TEXT(B1789),PEDIDOS!D:I,6,0),IFERROR(VLOOKUP(B1789*1,PEDIDOS!D:I,6,0),"" "")))"),"ENTREGUE")</f>
        <v>ENTREGUE</v>
      </c>
      <c r="G1789" s="303"/>
      <c r="H1789" s="304"/>
    </row>
    <row r="1790">
      <c r="A1790" s="302" t="s">
        <v>72</v>
      </c>
      <c r="B1790" s="291" t="s">
        <v>11513</v>
      </c>
      <c r="C1790" s="292" t="s">
        <v>48</v>
      </c>
      <c r="D1790" s="293">
        <f t="shared" si="2"/>
        <v>1</v>
      </c>
      <c r="E1790" s="294"/>
      <c r="F1790" s="295" t="str">
        <f>IFERROR(__xludf.DUMMYFUNCTION("IF(B1790="""","""",IFERROR(VLOOKUP(TO_TEXT(B1790),PEDIDOS!D:I,6,0),IFERROR(VLOOKUP(B1790*1,PEDIDOS!D:I,6,0),"" "")))"),"ENTREGUE")</f>
        <v>ENTREGUE</v>
      </c>
      <c r="G1790" s="303"/>
      <c r="H1790" s="304"/>
    </row>
    <row r="1791">
      <c r="A1791" s="302" t="s">
        <v>72</v>
      </c>
      <c r="B1791" s="291" t="s">
        <v>23381</v>
      </c>
      <c r="C1791" s="292" t="s">
        <v>48</v>
      </c>
      <c r="D1791" s="293">
        <f t="shared" si="2"/>
        <v>1</v>
      </c>
      <c r="E1791" s="294"/>
      <c r="F1791" s="295" t="str">
        <f>IFERROR(__xludf.DUMMYFUNCTION("IF(B1791="""","""",IFERROR(VLOOKUP(TO_TEXT(B1791),PEDIDOS!D:I,6,0),IFERROR(VLOOKUP(B1791*1,PEDIDOS!D:I,6,0),"" "")))")," ")</f>
        <v> </v>
      </c>
      <c r="G1791" s="303" t="s">
        <v>4129</v>
      </c>
      <c r="H1791" s="304"/>
    </row>
    <row r="1792">
      <c r="A1792" s="302" t="s">
        <v>72</v>
      </c>
      <c r="B1792" s="291" t="s">
        <v>11879</v>
      </c>
      <c r="C1792" s="292" t="s">
        <v>48</v>
      </c>
      <c r="D1792" s="293">
        <f t="shared" si="2"/>
        <v>1</v>
      </c>
      <c r="E1792" s="294"/>
      <c r="F1792" s="295" t="str">
        <f>IFERROR(__xludf.DUMMYFUNCTION("IF(B1792="""","""",IFERROR(VLOOKUP(TO_TEXT(B1792),PEDIDOS!D:I,6,0),IFERROR(VLOOKUP(B1792*1,PEDIDOS!D:I,6,0),"" "")))"),"ENTREGUE")</f>
        <v>ENTREGUE</v>
      </c>
      <c r="G1792" s="303"/>
      <c r="H1792" s="304"/>
    </row>
    <row r="1793">
      <c r="A1793" s="302" t="s">
        <v>72</v>
      </c>
      <c r="B1793" s="291" t="s">
        <v>11963</v>
      </c>
      <c r="C1793" s="292" t="s">
        <v>48</v>
      </c>
      <c r="D1793" s="293">
        <f t="shared" si="2"/>
        <v>1</v>
      </c>
      <c r="E1793" s="294"/>
      <c r="F1793" s="295" t="str">
        <f>IFERROR(__xludf.DUMMYFUNCTION("IF(B1793="""","""",IFERROR(VLOOKUP(TO_TEXT(B1793),PEDIDOS!D:I,6,0),IFERROR(VLOOKUP(B1793*1,PEDIDOS!D:I,6,0),"" "")))"),"ENTREGUE")</f>
        <v>ENTREGUE</v>
      </c>
      <c r="G1793" s="303"/>
      <c r="H1793" s="304"/>
    </row>
    <row r="1794">
      <c r="A1794" s="302" t="s">
        <v>72</v>
      </c>
      <c r="B1794" s="291" t="s">
        <v>11936</v>
      </c>
      <c r="C1794" s="292" t="s">
        <v>48</v>
      </c>
      <c r="D1794" s="293">
        <f t="shared" si="2"/>
        <v>1</v>
      </c>
      <c r="E1794" s="294"/>
      <c r="F1794" s="295" t="str">
        <f>IFERROR(__xludf.DUMMYFUNCTION("IF(B1794="""","""",IFERROR(VLOOKUP(TO_TEXT(B1794),PEDIDOS!D:I,6,0),IFERROR(VLOOKUP(B1794*1,PEDIDOS!D:I,6,0),"" "")))"),"ENTREGUE")</f>
        <v>ENTREGUE</v>
      </c>
      <c r="G1794" s="303"/>
      <c r="H1794" s="304"/>
    </row>
    <row r="1795">
      <c r="A1795" s="302" t="s">
        <v>72</v>
      </c>
      <c r="B1795" s="291" t="s">
        <v>12094</v>
      </c>
      <c r="C1795" s="292" t="s">
        <v>48</v>
      </c>
      <c r="D1795" s="293">
        <f t="shared" si="2"/>
        <v>1</v>
      </c>
      <c r="E1795" s="294"/>
      <c r="F1795" s="295" t="str">
        <f>IFERROR(__xludf.DUMMYFUNCTION("IF(B1795="""","""",IFERROR(VLOOKUP(TO_TEXT(B1795),PEDIDOS!D:I,6,0),IFERROR(VLOOKUP(B1795*1,PEDIDOS!D:I,6,0),"" "")))"),"ENTREGUE")</f>
        <v>ENTREGUE</v>
      </c>
      <c r="G1795" s="303"/>
      <c r="H1795" s="304"/>
    </row>
    <row r="1796">
      <c r="A1796" s="302" t="s">
        <v>72</v>
      </c>
      <c r="B1796" s="291" t="s">
        <v>12086</v>
      </c>
      <c r="C1796" s="292" t="s">
        <v>48</v>
      </c>
      <c r="D1796" s="293">
        <f t="shared" si="2"/>
        <v>1</v>
      </c>
      <c r="E1796" s="294"/>
      <c r="F1796" s="295" t="str">
        <f>IFERROR(__xludf.DUMMYFUNCTION("IF(B1796="""","""",IFERROR(VLOOKUP(TO_TEXT(B1796),PEDIDOS!D:I,6,0),IFERROR(VLOOKUP(B1796*1,PEDIDOS!D:I,6,0),"" "")))"),"ENTREGUE")</f>
        <v>ENTREGUE</v>
      </c>
      <c r="G1796" s="303"/>
      <c r="H1796" s="304"/>
    </row>
    <row r="1797">
      <c r="A1797" s="302" t="s">
        <v>72</v>
      </c>
      <c r="B1797" s="291" t="s">
        <v>14564</v>
      </c>
      <c r="C1797" s="292" t="s">
        <v>48</v>
      </c>
      <c r="D1797" s="293">
        <f t="shared" si="2"/>
        <v>1</v>
      </c>
      <c r="E1797" s="294"/>
      <c r="F1797" s="295" t="str">
        <f>IFERROR(__xludf.DUMMYFUNCTION("IF(B1797="""","""",IFERROR(VLOOKUP(TO_TEXT(B1797),PEDIDOS!D:I,6,0),IFERROR(VLOOKUP(B1797*1,PEDIDOS!D:I,6,0),"" "")))"),"ENTREGUE")</f>
        <v>ENTREGUE</v>
      </c>
      <c r="G1797" s="303"/>
      <c r="H1797" s="304"/>
    </row>
    <row r="1798">
      <c r="A1798" s="302" t="s">
        <v>72</v>
      </c>
      <c r="B1798" s="291" t="s">
        <v>11940</v>
      </c>
      <c r="C1798" s="292" t="s">
        <v>48</v>
      </c>
      <c r="D1798" s="293">
        <f t="shared" si="2"/>
        <v>1</v>
      </c>
      <c r="E1798" s="294"/>
      <c r="F1798" s="295" t="str">
        <f>IFERROR(__xludf.DUMMYFUNCTION("IF(B1798="""","""",IFERROR(VLOOKUP(TO_TEXT(B1798),PEDIDOS!D:I,6,0),IFERROR(VLOOKUP(B1798*1,PEDIDOS!D:I,6,0),"" "")))"),"ENTREGUE")</f>
        <v>ENTREGUE</v>
      </c>
      <c r="G1798" s="303"/>
      <c r="H1798" s="304"/>
    </row>
    <row r="1799">
      <c r="A1799" s="302" t="s">
        <v>72</v>
      </c>
      <c r="B1799" s="291" t="s">
        <v>130</v>
      </c>
      <c r="C1799" s="292" t="s">
        <v>48</v>
      </c>
      <c r="D1799" s="293">
        <f t="shared" si="2"/>
        <v>1</v>
      </c>
      <c r="E1799" s="294"/>
      <c r="F1799" s="295" t="str">
        <f>IFERROR(__xludf.DUMMYFUNCTION("IF(B1799="""","""",IFERROR(VLOOKUP(TO_TEXT(B1799),PEDIDOS!D:I,6,0),IFERROR(VLOOKUP(B1799*1,PEDIDOS!D:I,6,0),"" "")))"),"ENTREGUE")</f>
        <v>ENTREGUE</v>
      </c>
      <c r="G1799" s="303"/>
      <c r="H1799" s="304"/>
    </row>
    <row r="1800">
      <c r="A1800" s="302" t="s">
        <v>72</v>
      </c>
      <c r="B1800" s="291" t="s">
        <v>12036</v>
      </c>
      <c r="C1800" s="292" t="s">
        <v>48</v>
      </c>
      <c r="D1800" s="293">
        <f t="shared" si="2"/>
        <v>1</v>
      </c>
      <c r="E1800" s="294"/>
      <c r="F1800" s="295" t="str">
        <f>IFERROR(__xludf.DUMMYFUNCTION("IF(B1800="""","""",IFERROR(VLOOKUP(TO_TEXT(B1800),PEDIDOS!D:I,6,0),IFERROR(VLOOKUP(B1800*1,PEDIDOS!D:I,6,0),"" "")))"),"ENTREGUE")</f>
        <v>ENTREGUE</v>
      </c>
      <c r="G1800" s="303"/>
      <c r="H1800" s="304"/>
    </row>
    <row r="1801">
      <c r="A1801" s="302" t="s">
        <v>72</v>
      </c>
      <c r="B1801" s="291" t="s">
        <v>12040</v>
      </c>
      <c r="C1801" s="292" t="s">
        <v>48</v>
      </c>
      <c r="D1801" s="293">
        <f t="shared" si="2"/>
        <v>1</v>
      </c>
      <c r="E1801" s="294"/>
      <c r="F1801" s="295" t="str">
        <f>IFERROR(__xludf.DUMMYFUNCTION("IF(B1801="""","""",IFERROR(VLOOKUP(TO_TEXT(B1801),PEDIDOS!D:I,6,0),IFERROR(VLOOKUP(B1801*1,PEDIDOS!D:I,6,0),"" "")))"),"ENTREGUE")</f>
        <v>ENTREGUE</v>
      </c>
      <c r="G1801" s="303"/>
      <c r="H1801" s="304"/>
    </row>
    <row r="1802">
      <c r="A1802" s="302" t="s">
        <v>72</v>
      </c>
      <c r="B1802" s="291" t="s">
        <v>12154</v>
      </c>
      <c r="C1802" s="292" t="s">
        <v>48</v>
      </c>
      <c r="D1802" s="293">
        <f t="shared" si="2"/>
        <v>1</v>
      </c>
      <c r="E1802" s="294"/>
      <c r="F1802" s="295" t="str">
        <f>IFERROR(__xludf.DUMMYFUNCTION("IF(B1802="""","""",IFERROR(VLOOKUP(TO_TEXT(B1802),PEDIDOS!D:I,6,0),IFERROR(VLOOKUP(B1802*1,PEDIDOS!D:I,6,0),"" "")))"),"ENTREGUE")</f>
        <v>ENTREGUE</v>
      </c>
      <c r="G1802" s="303"/>
      <c r="H1802" s="304"/>
    </row>
    <row r="1803">
      <c r="A1803" s="302" t="s">
        <v>72</v>
      </c>
      <c r="B1803" s="291" t="s">
        <v>12150</v>
      </c>
      <c r="C1803" s="292" t="s">
        <v>48</v>
      </c>
      <c r="D1803" s="293">
        <f t="shared" si="2"/>
        <v>1</v>
      </c>
      <c r="E1803" s="294"/>
      <c r="F1803" s="295" t="str">
        <f>IFERROR(__xludf.DUMMYFUNCTION("IF(B1803="""","""",IFERROR(VLOOKUP(TO_TEXT(B1803),PEDIDOS!D:I,6,0),IFERROR(VLOOKUP(B1803*1,PEDIDOS!D:I,6,0),"" "")))"),"ENTREGUE")</f>
        <v>ENTREGUE</v>
      </c>
      <c r="G1803" s="303"/>
      <c r="H1803" s="304"/>
    </row>
    <row r="1804">
      <c r="A1804" s="302" t="s">
        <v>72</v>
      </c>
      <c r="B1804" s="291" t="s">
        <v>12226</v>
      </c>
      <c r="C1804" s="292" t="s">
        <v>48</v>
      </c>
      <c r="D1804" s="293">
        <f t="shared" si="2"/>
        <v>1</v>
      </c>
      <c r="E1804" s="294"/>
      <c r="F1804" s="295" t="str">
        <f>IFERROR(__xludf.DUMMYFUNCTION("IF(B1804="""","""",IFERROR(VLOOKUP(TO_TEXT(B1804),PEDIDOS!D:I,6,0),IFERROR(VLOOKUP(B1804*1,PEDIDOS!D:I,6,0),"" "")))"),"ENTREGUE")</f>
        <v>ENTREGUE</v>
      </c>
      <c r="G1804" s="303"/>
      <c r="H1804" s="304"/>
    </row>
    <row r="1805">
      <c r="A1805" s="302" t="s">
        <v>72</v>
      </c>
      <c r="B1805" s="291" t="s">
        <v>12220</v>
      </c>
      <c r="C1805" s="292" t="s">
        <v>48</v>
      </c>
      <c r="D1805" s="293">
        <f t="shared" si="2"/>
        <v>1</v>
      </c>
      <c r="E1805" s="294"/>
      <c r="F1805" s="295" t="str">
        <f>IFERROR(__xludf.DUMMYFUNCTION("IF(B1805="""","""",IFERROR(VLOOKUP(TO_TEXT(B1805),PEDIDOS!D:I,6,0),IFERROR(VLOOKUP(B1805*1,PEDIDOS!D:I,6,0),"" "")))"),"ENTREGUE")</f>
        <v>ENTREGUE</v>
      </c>
      <c r="G1805" s="303"/>
      <c r="H1805" s="304"/>
    </row>
    <row r="1806">
      <c r="A1806" s="302" t="s">
        <v>72</v>
      </c>
      <c r="B1806" s="291" t="s">
        <v>12209</v>
      </c>
      <c r="C1806" s="292" t="s">
        <v>48</v>
      </c>
      <c r="D1806" s="293">
        <f t="shared" si="2"/>
        <v>1</v>
      </c>
      <c r="E1806" s="294"/>
      <c r="F1806" s="295" t="str">
        <f>IFERROR(__xludf.DUMMYFUNCTION("IF(B1806="""","""",IFERROR(VLOOKUP(TO_TEXT(B1806),PEDIDOS!D:I,6,0),IFERROR(VLOOKUP(B1806*1,PEDIDOS!D:I,6,0),"" "")))"),"ENTREGUE")</f>
        <v>ENTREGUE</v>
      </c>
      <c r="G1806" s="303"/>
      <c r="H1806" s="304"/>
    </row>
    <row r="1807">
      <c r="A1807" s="302" t="s">
        <v>72</v>
      </c>
      <c r="B1807" s="291" t="s">
        <v>12301</v>
      </c>
      <c r="C1807" s="292" t="s">
        <v>48</v>
      </c>
      <c r="D1807" s="293">
        <f t="shared" si="2"/>
        <v>1</v>
      </c>
      <c r="E1807" s="294"/>
      <c r="F1807" s="295" t="str">
        <f>IFERROR(__xludf.DUMMYFUNCTION("IF(B1807="""","""",IFERROR(VLOOKUP(TO_TEXT(B1807),PEDIDOS!D:I,6,0),IFERROR(VLOOKUP(B1807*1,PEDIDOS!D:I,6,0),"" "")))"),"ENTREGUE")</f>
        <v>ENTREGUE</v>
      </c>
      <c r="G1807" s="303"/>
      <c r="H1807" s="304"/>
    </row>
    <row r="1808">
      <c r="A1808" s="302" t="s">
        <v>72</v>
      </c>
      <c r="B1808" s="291" t="s">
        <v>12256</v>
      </c>
      <c r="C1808" s="292" t="s">
        <v>48</v>
      </c>
      <c r="D1808" s="293">
        <f t="shared" si="2"/>
        <v>1</v>
      </c>
      <c r="E1808" s="294"/>
      <c r="F1808" s="295" t="str">
        <f>IFERROR(__xludf.DUMMYFUNCTION("IF(B1808="""","""",IFERROR(VLOOKUP(TO_TEXT(B1808),PEDIDOS!D:I,6,0),IFERROR(VLOOKUP(B1808*1,PEDIDOS!D:I,6,0),"" "")))"),"ENTREGUE")</f>
        <v>ENTREGUE</v>
      </c>
      <c r="G1808" s="303"/>
      <c r="H1808" s="304"/>
    </row>
    <row r="1809">
      <c r="A1809" s="302" t="s">
        <v>72</v>
      </c>
      <c r="B1809" s="291" t="s">
        <v>12252</v>
      </c>
      <c r="C1809" s="292" t="s">
        <v>48</v>
      </c>
      <c r="D1809" s="293">
        <f t="shared" si="2"/>
        <v>1</v>
      </c>
      <c r="E1809" s="294"/>
      <c r="F1809" s="295" t="str">
        <f>IFERROR(__xludf.DUMMYFUNCTION("IF(B1809="""","""",IFERROR(VLOOKUP(TO_TEXT(B1809),PEDIDOS!D:I,6,0),IFERROR(VLOOKUP(B1809*1,PEDIDOS!D:I,6,0),"" "")))"),"ENTREGUE")</f>
        <v>ENTREGUE</v>
      </c>
      <c r="G1809" s="303"/>
      <c r="H1809" s="304"/>
    </row>
    <row r="1810">
      <c r="A1810" s="302" t="s">
        <v>72</v>
      </c>
      <c r="B1810" s="291" t="s">
        <v>12244</v>
      </c>
      <c r="C1810" s="292" t="s">
        <v>48</v>
      </c>
      <c r="D1810" s="293">
        <f t="shared" si="2"/>
        <v>1</v>
      </c>
      <c r="E1810" s="294"/>
      <c r="F1810" s="295" t="str">
        <f>IFERROR(__xludf.DUMMYFUNCTION("IF(B1810="""","""",IFERROR(VLOOKUP(TO_TEXT(B1810),PEDIDOS!D:I,6,0),IFERROR(VLOOKUP(B1810*1,PEDIDOS!D:I,6,0),"" "")))"),"ENTREGUE")</f>
        <v>ENTREGUE</v>
      </c>
      <c r="G1810" s="303"/>
      <c r="H1810" s="304"/>
    </row>
    <row r="1811">
      <c r="A1811" s="302" t="s">
        <v>72</v>
      </c>
      <c r="B1811" s="291" t="s">
        <v>12284</v>
      </c>
      <c r="C1811" s="292" t="s">
        <v>48</v>
      </c>
      <c r="D1811" s="293">
        <f t="shared" si="2"/>
        <v>1</v>
      </c>
      <c r="E1811" s="294"/>
      <c r="F1811" s="295" t="str">
        <f>IFERROR(__xludf.DUMMYFUNCTION("IF(B1811="""","""",IFERROR(VLOOKUP(TO_TEXT(B1811),PEDIDOS!D:I,6,0),IFERROR(VLOOKUP(B1811*1,PEDIDOS!D:I,6,0),"" "")))"),"ENTREGUE")</f>
        <v>ENTREGUE</v>
      </c>
      <c r="G1811" s="303"/>
      <c r="H1811" s="304"/>
    </row>
    <row r="1812">
      <c r="A1812" s="302" t="s">
        <v>72</v>
      </c>
      <c r="B1812" s="291" t="s">
        <v>11799</v>
      </c>
      <c r="C1812" s="292" t="s">
        <v>48</v>
      </c>
      <c r="D1812" s="293">
        <f t="shared" si="2"/>
        <v>1</v>
      </c>
      <c r="E1812" s="294"/>
      <c r="F1812" s="295" t="str">
        <f>IFERROR(__xludf.DUMMYFUNCTION("IF(B1812="""","""",IFERROR(VLOOKUP(TO_TEXT(B1812),PEDIDOS!D:I,6,0),IFERROR(VLOOKUP(B1812*1,PEDIDOS!D:I,6,0),"" "")))"),"ENTREGUE")</f>
        <v>ENTREGUE</v>
      </c>
      <c r="G1812" s="303"/>
      <c r="H1812" s="304"/>
    </row>
    <row r="1813">
      <c r="A1813" s="302" t="s">
        <v>72</v>
      </c>
      <c r="B1813" s="291" t="s">
        <v>12298</v>
      </c>
      <c r="C1813" s="292" t="s">
        <v>48</v>
      </c>
      <c r="D1813" s="293">
        <f t="shared" si="2"/>
        <v>1</v>
      </c>
      <c r="E1813" s="294"/>
      <c r="F1813" s="295" t="str">
        <f>IFERROR(__xludf.DUMMYFUNCTION("IF(B1813="""","""",IFERROR(VLOOKUP(TO_TEXT(B1813),PEDIDOS!D:I,6,0),IFERROR(VLOOKUP(B1813*1,PEDIDOS!D:I,6,0),"" "")))"),"ENTREGUE")</f>
        <v>ENTREGUE</v>
      </c>
      <c r="G1813" s="303"/>
      <c r="H1813" s="304"/>
    </row>
    <row r="1814">
      <c r="A1814" s="302" t="s">
        <v>91</v>
      </c>
      <c r="B1814" s="291" t="s">
        <v>7571</v>
      </c>
      <c r="C1814" s="292" t="s">
        <v>48</v>
      </c>
      <c r="D1814" s="293">
        <f t="shared" si="2"/>
        <v>1</v>
      </c>
      <c r="E1814" s="294"/>
      <c r="F1814" s="295" t="str">
        <f>IFERROR(__xludf.DUMMYFUNCTION("IF(B1814="""","""",IFERROR(VLOOKUP(TO_TEXT(B1814),PEDIDOS!D:I,6,0),IFERROR(VLOOKUP(B1814*1,PEDIDOS!D:I,6,0),"" "")))"),"ENTREGUE")</f>
        <v>ENTREGUE</v>
      </c>
      <c r="G1814" s="303"/>
      <c r="H1814" s="304"/>
    </row>
    <row r="1815">
      <c r="A1815" s="302" t="s">
        <v>91</v>
      </c>
      <c r="B1815" s="291" t="s">
        <v>11233</v>
      </c>
      <c r="C1815" s="292" t="s">
        <v>48</v>
      </c>
      <c r="D1815" s="293">
        <f t="shared" si="2"/>
        <v>1</v>
      </c>
      <c r="E1815" s="294"/>
      <c r="F1815" s="295" t="str">
        <f>IFERROR(__xludf.DUMMYFUNCTION("IF(B1815="""","""",IFERROR(VLOOKUP(TO_TEXT(B1815),PEDIDOS!D:I,6,0),IFERROR(VLOOKUP(B1815*1,PEDIDOS!D:I,6,0),"" "")))"),"ENTREGUE")</f>
        <v>ENTREGUE</v>
      </c>
      <c r="G1815" s="303"/>
      <c r="H1815" s="304"/>
    </row>
    <row r="1816">
      <c r="A1816" s="302" t="s">
        <v>91</v>
      </c>
      <c r="B1816" s="291" t="s">
        <v>9742</v>
      </c>
      <c r="C1816" s="292" t="s">
        <v>48</v>
      </c>
      <c r="D1816" s="293">
        <f t="shared" si="2"/>
        <v>1</v>
      </c>
      <c r="E1816" s="294"/>
      <c r="F1816" s="295" t="str">
        <f>IFERROR(__xludf.DUMMYFUNCTION("IF(B1816="""","""",IFERROR(VLOOKUP(TO_TEXT(B1816),PEDIDOS!D:I,6,0),IFERROR(VLOOKUP(B1816*1,PEDIDOS!D:I,6,0),"" "")))"),"ENTREGUE")</f>
        <v>ENTREGUE</v>
      </c>
      <c r="G1816" s="303"/>
      <c r="H1816" s="304"/>
    </row>
    <row r="1817">
      <c r="A1817" s="302" t="s">
        <v>91</v>
      </c>
      <c r="B1817" s="291" t="s">
        <v>9747</v>
      </c>
      <c r="C1817" s="292" t="s">
        <v>48</v>
      </c>
      <c r="D1817" s="293">
        <f t="shared" si="2"/>
        <v>1</v>
      </c>
      <c r="E1817" s="294"/>
      <c r="F1817" s="295" t="str">
        <f>IFERROR(__xludf.DUMMYFUNCTION("IF(B1817="""","""",IFERROR(VLOOKUP(TO_TEXT(B1817),PEDIDOS!D:I,6,0),IFERROR(VLOOKUP(B1817*1,PEDIDOS!D:I,6,0),"" "")))"),"ENTREGUE")</f>
        <v>ENTREGUE</v>
      </c>
      <c r="G1817" s="303"/>
      <c r="H1817" s="304"/>
    </row>
    <row r="1818">
      <c r="A1818" s="302" t="s">
        <v>91</v>
      </c>
      <c r="B1818" s="291" t="s">
        <v>9937</v>
      </c>
      <c r="C1818" s="292" t="s">
        <v>48</v>
      </c>
      <c r="D1818" s="293">
        <f t="shared" si="2"/>
        <v>1</v>
      </c>
      <c r="E1818" s="294"/>
      <c r="F1818" s="295" t="str">
        <f>IFERROR(__xludf.DUMMYFUNCTION("IF(B1818="""","""",IFERROR(VLOOKUP(TO_TEXT(B1818),PEDIDOS!D:I,6,0),IFERROR(VLOOKUP(B1818*1,PEDIDOS!D:I,6,0),"" "")))"),"ENTREGUE")</f>
        <v>ENTREGUE</v>
      </c>
      <c r="G1818" s="303"/>
      <c r="H1818" s="304"/>
    </row>
    <row r="1819">
      <c r="A1819" s="302" t="s">
        <v>91</v>
      </c>
      <c r="B1819" s="291" t="s">
        <v>9941</v>
      </c>
      <c r="C1819" s="292" t="s">
        <v>48</v>
      </c>
      <c r="D1819" s="293">
        <f t="shared" si="2"/>
        <v>1</v>
      </c>
      <c r="E1819" s="294"/>
      <c r="F1819" s="295" t="str">
        <f>IFERROR(__xludf.DUMMYFUNCTION("IF(B1819="""","""",IFERROR(VLOOKUP(TO_TEXT(B1819),PEDIDOS!D:I,6,0),IFERROR(VLOOKUP(B1819*1,PEDIDOS!D:I,6,0),"" "")))"),"ENTREGUE")</f>
        <v>ENTREGUE</v>
      </c>
      <c r="G1819" s="303"/>
      <c r="H1819" s="304"/>
    </row>
    <row r="1820">
      <c r="A1820" s="302" t="s">
        <v>91</v>
      </c>
      <c r="B1820" s="291" t="s">
        <v>10060</v>
      </c>
      <c r="C1820" s="292" t="s">
        <v>48</v>
      </c>
      <c r="D1820" s="293">
        <f t="shared" si="2"/>
        <v>1</v>
      </c>
      <c r="E1820" s="294"/>
      <c r="F1820" s="295" t="str">
        <f>IFERROR(__xludf.DUMMYFUNCTION("IF(B1820="""","""",IFERROR(VLOOKUP(TO_TEXT(B1820),PEDIDOS!D:I,6,0),IFERROR(VLOOKUP(B1820*1,PEDIDOS!D:I,6,0),"" "")))"),"ENTREGUE")</f>
        <v>ENTREGUE</v>
      </c>
      <c r="G1820" s="303"/>
      <c r="H1820" s="304"/>
    </row>
    <row r="1821">
      <c r="A1821" s="302" t="s">
        <v>91</v>
      </c>
      <c r="B1821" s="291" t="s">
        <v>10095</v>
      </c>
      <c r="C1821" s="292" t="s">
        <v>48</v>
      </c>
      <c r="D1821" s="293">
        <f t="shared" si="2"/>
        <v>1</v>
      </c>
      <c r="E1821" s="294"/>
      <c r="F1821" s="295" t="str">
        <f>IFERROR(__xludf.DUMMYFUNCTION("IF(B1821="""","""",IFERROR(VLOOKUP(TO_TEXT(B1821),PEDIDOS!D:I,6,0),IFERROR(VLOOKUP(B1821*1,PEDIDOS!D:I,6,0),"" "")))"),"ENTREGUE")</f>
        <v>ENTREGUE</v>
      </c>
      <c r="G1821" s="303"/>
      <c r="H1821" s="304"/>
    </row>
    <row r="1822">
      <c r="A1822" s="302" t="s">
        <v>91</v>
      </c>
      <c r="B1822" s="291" t="s">
        <v>10100</v>
      </c>
      <c r="C1822" s="292" t="s">
        <v>48</v>
      </c>
      <c r="D1822" s="293">
        <f t="shared" si="2"/>
        <v>1</v>
      </c>
      <c r="E1822" s="294"/>
      <c r="F1822" s="295" t="str">
        <f>IFERROR(__xludf.DUMMYFUNCTION("IF(B1822="""","""",IFERROR(VLOOKUP(TO_TEXT(B1822),PEDIDOS!D:I,6,0),IFERROR(VLOOKUP(B1822*1,PEDIDOS!D:I,6,0),"" "")))"),"ENTREGUE")</f>
        <v>ENTREGUE</v>
      </c>
      <c r="G1822" s="303"/>
      <c r="H1822" s="304"/>
    </row>
    <row r="1823">
      <c r="A1823" s="302" t="s">
        <v>91</v>
      </c>
      <c r="B1823" s="291" t="s">
        <v>10122</v>
      </c>
      <c r="C1823" s="292" t="s">
        <v>48</v>
      </c>
      <c r="D1823" s="293">
        <f t="shared" si="2"/>
        <v>1</v>
      </c>
      <c r="E1823" s="294"/>
      <c r="F1823" s="295" t="str">
        <f>IFERROR(__xludf.DUMMYFUNCTION("IF(B1823="""","""",IFERROR(VLOOKUP(TO_TEXT(B1823),PEDIDOS!D:I,6,0),IFERROR(VLOOKUP(B1823*1,PEDIDOS!D:I,6,0),"" "")))"),"ENTREGUE")</f>
        <v>ENTREGUE</v>
      </c>
      <c r="G1823" s="303"/>
      <c r="H1823" s="304"/>
    </row>
    <row r="1824">
      <c r="A1824" s="302" t="s">
        <v>91</v>
      </c>
      <c r="B1824" s="291" t="s">
        <v>10136</v>
      </c>
      <c r="C1824" s="292" t="s">
        <v>48</v>
      </c>
      <c r="D1824" s="293">
        <f t="shared" si="2"/>
        <v>1</v>
      </c>
      <c r="E1824" s="294"/>
      <c r="F1824" s="295" t="str">
        <f>IFERROR(__xludf.DUMMYFUNCTION("IF(B1824="""","""",IFERROR(VLOOKUP(TO_TEXT(B1824),PEDIDOS!D:I,6,0),IFERROR(VLOOKUP(B1824*1,PEDIDOS!D:I,6,0),"" "")))"),"ENTREGUE")</f>
        <v>ENTREGUE</v>
      </c>
      <c r="G1824" s="303"/>
      <c r="H1824" s="304"/>
    </row>
    <row r="1825">
      <c r="A1825" s="302" t="s">
        <v>91</v>
      </c>
      <c r="B1825" s="291" t="s">
        <v>10139</v>
      </c>
      <c r="C1825" s="292" t="s">
        <v>48</v>
      </c>
      <c r="D1825" s="293">
        <f t="shared" si="2"/>
        <v>1</v>
      </c>
      <c r="E1825" s="294"/>
      <c r="F1825" s="295" t="str">
        <f>IFERROR(__xludf.DUMMYFUNCTION("IF(B1825="""","""",IFERROR(VLOOKUP(TO_TEXT(B1825),PEDIDOS!D:I,6,0),IFERROR(VLOOKUP(B1825*1,PEDIDOS!D:I,6,0),"" "")))"),"ENTREGUE")</f>
        <v>ENTREGUE</v>
      </c>
      <c r="G1825" s="303"/>
      <c r="H1825" s="304"/>
    </row>
    <row r="1826">
      <c r="A1826" s="302" t="s">
        <v>91</v>
      </c>
      <c r="B1826" s="291" t="s">
        <v>11236</v>
      </c>
      <c r="C1826" s="292" t="s">
        <v>48</v>
      </c>
      <c r="D1826" s="293">
        <f t="shared" si="2"/>
        <v>1</v>
      </c>
      <c r="E1826" s="294"/>
      <c r="F1826" s="295" t="str">
        <f>IFERROR(__xludf.DUMMYFUNCTION("IF(B1826="""","""",IFERROR(VLOOKUP(TO_TEXT(B1826),PEDIDOS!D:I,6,0),IFERROR(VLOOKUP(B1826*1,PEDIDOS!D:I,6,0),"" "")))"),"ENTREGUE")</f>
        <v>ENTREGUE</v>
      </c>
      <c r="G1826" s="303"/>
      <c r="H1826" s="304"/>
    </row>
    <row r="1827">
      <c r="A1827" s="302" t="s">
        <v>91</v>
      </c>
      <c r="B1827" s="291" t="s">
        <v>11193</v>
      </c>
      <c r="C1827" s="292" t="s">
        <v>48</v>
      </c>
      <c r="D1827" s="293">
        <f t="shared" si="2"/>
        <v>1</v>
      </c>
      <c r="E1827" s="294"/>
      <c r="F1827" s="295" t="str">
        <f>IFERROR(__xludf.DUMMYFUNCTION("IF(B1827="""","""",IFERROR(VLOOKUP(TO_TEXT(B1827),PEDIDOS!D:I,6,0),IFERROR(VLOOKUP(B1827*1,PEDIDOS!D:I,6,0),"" "")))"),"ENTREGUE")</f>
        <v>ENTREGUE</v>
      </c>
      <c r="G1827" s="303"/>
      <c r="H1827" s="304"/>
    </row>
    <row r="1828">
      <c r="A1828" s="302" t="s">
        <v>91</v>
      </c>
      <c r="B1828" s="291" t="s">
        <v>10296</v>
      </c>
      <c r="C1828" s="292" t="s">
        <v>48</v>
      </c>
      <c r="D1828" s="293">
        <f t="shared" si="2"/>
        <v>1</v>
      </c>
      <c r="E1828" s="294"/>
      <c r="F1828" s="295" t="str">
        <f>IFERROR(__xludf.DUMMYFUNCTION("IF(B1828="""","""",IFERROR(VLOOKUP(TO_TEXT(B1828),PEDIDOS!D:I,6,0),IFERROR(VLOOKUP(B1828*1,PEDIDOS!D:I,6,0),"" "")))"),"ENTREGUE")</f>
        <v>ENTREGUE</v>
      </c>
      <c r="G1828" s="303"/>
      <c r="H1828" s="304"/>
    </row>
    <row r="1829">
      <c r="A1829" s="302" t="s">
        <v>91</v>
      </c>
      <c r="B1829" s="291" t="s">
        <v>10358</v>
      </c>
      <c r="C1829" s="292" t="s">
        <v>48</v>
      </c>
      <c r="D1829" s="293">
        <f t="shared" si="2"/>
        <v>1</v>
      </c>
      <c r="E1829" s="294"/>
      <c r="F1829" s="295" t="str">
        <f>IFERROR(__xludf.DUMMYFUNCTION("IF(B1829="""","""",IFERROR(VLOOKUP(TO_TEXT(B1829),PEDIDOS!D:I,6,0),IFERROR(VLOOKUP(B1829*1,PEDIDOS!D:I,6,0),"" "")))"),"ENTREGUE")</f>
        <v>ENTREGUE</v>
      </c>
      <c r="G1829" s="303"/>
      <c r="H1829" s="304"/>
    </row>
    <row r="1830">
      <c r="A1830" s="302" t="s">
        <v>91</v>
      </c>
      <c r="B1830" s="291" t="s">
        <v>10362</v>
      </c>
      <c r="C1830" s="292" t="s">
        <v>48</v>
      </c>
      <c r="D1830" s="293">
        <f t="shared" si="2"/>
        <v>1</v>
      </c>
      <c r="E1830" s="294"/>
      <c r="F1830" s="295" t="str">
        <f>IFERROR(__xludf.DUMMYFUNCTION("IF(B1830="""","""",IFERROR(VLOOKUP(TO_TEXT(B1830),PEDIDOS!D:I,6,0),IFERROR(VLOOKUP(B1830*1,PEDIDOS!D:I,6,0),"" "")))"),"ENTREGUE")</f>
        <v>ENTREGUE</v>
      </c>
      <c r="G1830" s="303"/>
      <c r="H1830" s="304"/>
    </row>
    <row r="1831">
      <c r="A1831" s="302" t="s">
        <v>91</v>
      </c>
      <c r="B1831" s="291" t="s">
        <v>10379</v>
      </c>
      <c r="C1831" s="292" t="s">
        <v>48</v>
      </c>
      <c r="D1831" s="293">
        <f t="shared" si="2"/>
        <v>1</v>
      </c>
      <c r="E1831" s="294"/>
      <c r="F1831" s="295" t="str">
        <f>IFERROR(__xludf.DUMMYFUNCTION("IF(B1831="""","""",IFERROR(VLOOKUP(TO_TEXT(B1831),PEDIDOS!D:I,6,0),IFERROR(VLOOKUP(B1831*1,PEDIDOS!D:I,6,0),"" "")))"),"ENTREGUE")</f>
        <v>ENTREGUE</v>
      </c>
      <c r="G1831" s="303"/>
      <c r="H1831" s="304"/>
    </row>
    <row r="1832">
      <c r="A1832" s="302" t="s">
        <v>91</v>
      </c>
      <c r="B1832" s="291" t="s">
        <v>10424</v>
      </c>
      <c r="C1832" s="292" t="s">
        <v>48</v>
      </c>
      <c r="D1832" s="293">
        <f t="shared" si="2"/>
        <v>1</v>
      </c>
      <c r="E1832" s="294"/>
      <c r="F1832" s="295" t="str">
        <f>IFERROR(__xludf.DUMMYFUNCTION("IF(B1832="""","""",IFERROR(VLOOKUP(TO_TEXT(B1832),PEDIDOS!D:I,6,0),IFERROR(VLOOKUP(B1832*1,PEDIDOS!D:I,6,0),"" "")))"),"ENTREGUE")</f>
        <v>ENTREGUE</v>
      </c>
      <c r="G1832" s="303"/>
      <c r="H1832" s="304"/>
    </row>
    <row r="1833">
      <c r="A1833" s="302" t="s">
        <v>91</v>
      </c>
      <c r="B1833" s="291" t="s">
        <v>10428</v>
      </c>
      <c r="C1833" s="292" t="s">
        <v>48</v>
      </c>
      <c r="D1833" s="293">
        <f t="shared" si="2"/>
        <v>1</v>
      </c>
      <c r="E1833" s="294"/>
      <c r="F1833" s="295" t="str">
        <f>IFERROR(__xludf.DUMMYFUNCTION("IF(B1833="""","""",IFERROR(VLOOKUP(TO_TEXT(B1833),PEDIDOS!D:I,6,0),IFERROR(VLOOKUP(B1833*1,PEDIDOS!D:I,6,0),"" "")))"),"ENTREGUE")</f>
        <v>ENTREGUE</v>
      </c>
      <c r="G1833" s="303"/>
      <c r="H1833" s="304"/>
    </row>
    <row r="1834">
      <c r="A1834" s="302" t="s">
        <v>91</v>
      </c>
      <c r="B1834" s="291" t="s">
        <v>10464</v>
      </c>
      <c r="C1834" s="292" t="s">
        <v>48</v>
      </c>
      <c r="D1834" s="293">
        <f t="shared" si="2"/>
        <v>1</v>
      </c>
      <c r="E1834" s="294"/>
      <c r="F1834" s="295" t="str">
        <f>IFERROR(__xludf.DUMMYFUNCTION("IF(B1834="""","""",IFERROR(VLOOKUP(TO_TEXT(B1834),PEDIDOS!D:I,6,0),IFERROR(VLOOKUP(B1834*1,PEDIDOS!D:I,6,0),"" "")))"),"ENTREGUE")</f>
        <v>ENTREGUE</v>
      </c>
      <c r="G1834" s="303"/>
      <c r="H1834" s="304"/>
    </row>
    <row r="1835">
      <c r="A1835" s="302" t="s">
        <v>91</v>
      </c>
      <c r="B1835" s="291" t="s">
        <v>10490</v>
      </c>
      <c r="C1835" s="292" t="s">
        <v>48</v>
      </c>
      <c r="D1835" s="293">
        <f t="shared" si="2"/>
        <v>1</v>
      </c>
      <c r="E1835" s="294"/>
      <c r="F1835" s="295" t="str">
        <f>IFERROR(__xludf.DUMMYFUNCTION("IF(B1835="""","""",IFERROR(VLOOKUP(TO_TEXT(B1835),PEDIDOS!D:I,6,0),IFERROR(VLOOKUP(B1835*1,PEDIDOS!D:I,6,0),"" "")))"),"ENTREGUE")</f>
        <v>ENTREGUE</v>
      </c>
      <c r="G1835" s="303"/>
      <c r="H1835" s="304"/>
    </row>
    <row r="1836">
      <c r="A1836" s="302" t="s">
        <v>91</v>
      </c>
      <c r="B1836" s="291" t="s">
        <v>10486</v>
      </c>
      <c r="C1836" s="292" t="s">
        <v>48</v>
      </c>
      <c r="D1836" s="293">
        <f t="shared" si="2"/>
        <v>1</v>
      </c>
      <c r="E1836" s="294"/>
      <c r="F1836" s="295" t="str">
        <f>IFERROR(__xludf.DUMMYFUNCTION("IF(B1836="""","""",IFERROR(VLOOKUP(TO_TEXT(B1836),PEDIDOS!D:I,6,0),IFERROR(VLOOKUP(B1836*1,PEDIDOS!D:I,6,0),"" "")))"),"ENTREGUE")</f>
        <v>ENTREGUE</v>
      </c>
      <c r="G1836" s="303"/>
      <c r="H1836" s="304"/>
    </row>
    <row r="1837">
      <c r="A1837" s="302" t="s">
        <v>91</v>
      </c>
      <c r="B1837" s="291" t="s">
        <v>10530</v>
      </c>
      <c r="C1837" s="292" t="s">
        <v>48</v>
      </c>
      <c r="D1837" s="293">
        <f t="shared" si="2"/>
        <v>1</v>
      </c>
      <c r="E1837" s="294"/>
      <c r="F1837" s="295" t="str">
        <f>IFERROR(__xludf.DUMMYFUNCTION("IF(B1837="""","""",IFERROR(VLOOKUP(TO_TEXT(B1837),PEDIDOS!D:I,6,0),IFERROR(VLOOKUP(B1837*1,PEDIDOS!D:I,6,0),"" "")))"),"ENTREGUE")</f>
        <v>ENTREGUE</v>
      </c>
      <c r="G1837" s="303"/>
      <c r="H1837" s="304"/>
    </row>
    <row r="1838">
      <c r="A1838" s="302" t="s">
        <v>91</v>
      </c>
      <c r="B1838" s="291" t="s">
        <v>10007</v>
      </c>
      <c r="C1838" s="292" t="s">
        <v>48</v>
      </c>
      <c r="D1838" s="293">
        <f t="shared" si="2"/>
        <v>1</v>
      </c>
      <c r="E1838" s="294"/>
      <c r="F1838" s="295" t="str">
        <f>IFERROR(__xludf.DUMMYFUNCTION("IF(B1838="""","""",IFERROR(VLOOKUP(TO_TEXT(B1838),PEDIDOS!D:I,6,0),IFERROR(VLOOKUP(B1838*1,PEDIDOS!D:I,6,0),"" "")))"),"ENTREGUE")</f>
        <v>ENTREGUE</v>
      </c>
      <c r="G1838" s="303"/>
      <c r="H1838" s="304"/>
    </row>
    <row r="1839">
      <c r="A1839" s="302" t="s">
        <v>91</v>
      </c>
      <c r="B1839" s="291" t="s">
        <v>10539</v>
      </c>
      <c r="C1839" s="292" t="s">
        <v>48</v>
      </c>
      <c r="D1839" s="293">
        <f t="shared" si="2"/>
        <v>1</v>
      </c>
      <c r="E1839" s="294"/>
      <c r="F1839" s="295" t="str">
        <f>IFERROR(__xludf.DUMMYFUNCTION("IF(B1839="""","""",IFERROR(VLOOKUP(TO_TEXT(B1839),PEDIDOS!D:I,6,0),IFERROR(VLOOKUP(B1839*1,PEDIDOS!D:I,6,0),"" "")))"),"ENTREGUE")</f>
        <v>ENTREGUE</v>
      </c>
      <c r="G1839" s="303"/>
      <c r="H1839" s="304"/>
    </row>
    <row r="1840">
      <c r="A1840" s="302" t="s">
        <v>91</v>
      </c>
      <c r="B1840" s="291" t="s">
        <v>10567</v>
      </c>
      <c r="C1840" s="292" t="s">
        <v>48</v>
      </c>
      <c r="D1840" s="293">
        <f t="shared" si="2"/>
        <v>1</v>
      </c>
      <c r="E1840" s="294"/>
      <c r="F1840" s="295" t="str">
        <f>IFERROR(__xludf.DUMMYFUNCTION("IF(B1840="""","""",IFERROR(VLOOKUP(TO_TEXT(B1840),PEDIDOS!D:I,6,0),IFERROR(VLOOKUP(B1840*1,PEDIDOS!D:I,6,0),"" "")))"),"ENTREGUE")</f>
        <v>ENTREGUE</v>
      </c>
      <c r="G1840" s="303"/>
      <c r="H1840" s="304"/>
    </row>
    <row r="1841">
      <c r="A1841" s="302" t="s">
        <v>91</v>
      </c>
      <c r="B1841" s="291" t="s">
        <v>10575</v>
      </c>
      <c r="C1841" s="292" t="s">
        <v>48</v>
      </c>
      <c r="D1841" s="293">
        <f t="shared" si="2"/>
        <v>1</v>
      </c>
      <c r="E1841" s="294"/>
      <c r="F1841" s="295" t="str">
        <f>IFERROR(__xludf.DUMMYFUNCTION("IF(B1841="""","""",IFERROR(VLOOKUP(TO_TEXT(B1841),PEDIDOS!D:I,6,0),IFERROR(VLOOKUP(B1841*1,PEDIDOS!D:I,6,0),"" "")))"),"ENTREGUE")</f>
        <v>ENTREGUE</v>
      </c>
      <c r="G1841" s="303"/>
      <c r="H1841" s="304"/>
    </row>
    <row r="1842">
      <c r="A1842" s="302" t="s">
        <v>91</v>
      </c>
      <c r="B1842" s="291" t="s">
        <v>10582</v>
      </c>
      <c r="C1842" s="292" t="s">
        <v>48</v>
      </c>
      <c r="D1842" s="293">
        <f t="shared" si="2"/>
        <v>1</v>
      </c>
      <c r="E1842" s="294"/>
      <c r="F1842" s="295" t="str">
        <f>IFERROR(__xludf.DUMMYFUNCTION("IF(B1842="""","""",IFERROR(VLOOKUP(TO_TEXT(B1842),PEDIDOS!D:I,6,0),IFERROR(VLOOKUP(B1842*1,PEDIDOS!D:I,6,0),"" "")))"),"ENTREGUE")</f>
        <v>ENTREGUE</v>
      </c>
      <c r="G1842" s="303"/>
      <c r="H1842" s="304"/>
    </row>
    <row r="1843">
      <c r="A1843" s="302" t="s">
        <v>91</v>
      </c>
      <c r="B1843" s="291" t="s">
        <v>10594</v>
      </c>
      <c r="C1843" s="292" t="s">
        <v>48</v>
      </c>
      <c r="D1843" s="293">
        <f t="shared" si="2"/>
        <v>1</v>
      </c>
      <c r="E1843" s="294"/>
      <c r="F1843" s="295" t="str">
        <f>IFERROR(__xludf.DUMMYFUNCTION("IF(B1843="""","""",IFERROR(VLOOKUP(TO_TEXT(B1843),PEDIDOS!D:I,6,0),IFERROR(VLOOKUP(B1843*1,PEDIDOS!D:I,6,0),"" "")))"),"ENTREGUE")</f>
        <v>ENTREGUE</v>
      </c>
      <c r="G1843" s="303"/>
      <c r="H1843" s="304"/>
    </row>
    <row r="1844">
      <c r="A1844" s="302" t="s">
        <v>91</v>
      </c>
      <c r="B1844" s="291" t="s">
        <v>10602</v>
      </c>
      <c r="C1844" s="292" t="s">
        <v>48</v>
      </c>
      <c r="D1844" s="293">
        <f t="shared" si="2"/>
        <v>1</v>
      </c>
      <c r="E1844" s="294"/>
      <c r="F1844" s="295" t="str">
        <f>IFERROR(__xludf.DUMMYFUNCTION("IF(B1844="""","""",IFERROR(VLOOKUP(TO_TEXT(B1844),PEDIDOS!D:I,6,0),IFERROR(VLOOKUP(B1844*1,PEDIDOS!D:I,6,0),"" "")))"),"ENTREGUE")</f>
        <v>ENTREGUE</v>
      </c>
      <c r="G1844" s="303"/>
      <c r="H1844" s="304"/>
    </row>
    <row r="1845">
      <c r="A1845" s="302" t="s">
        <v>91</v>
      </c>
      <c r="B1845" s="291" t="s">
        <v>10607</v>
      </c>
      <c r="C1845" s="292" t="s">
        <v>48</v>
      </c>
      <c r="D1845" s="293">
        <f t="shared" si="2"/>
        <v>1</v>
      </c>
      <c r="E1845" s="294"/>
      <c r="F1845" s="295" t="str">
        <f>IFERROR(__xludf.DUMMYFUNCTION("IF(B1845="""","""",IFERROR(VLOOKUP(TO_TEXT(B1845),PEDIDOS!D:I,6,0),IFERROR(VLOOKUP(B1845*1,PEDIDOS!D:I,6,0),"" "")))"),"ENTREGUE")</f>
        <v>ENTREGUE</v>
      </c>
      <c r="G1845" s="303"/>
      <c r="H1845" s="304"/>
    </row>
    <row r="1846">
      <c r="A1846" s="302" t="s">
        <v>91</v>
      </c>
      <c r="B1846" s="291" t="s">
        <v>10675</v>
      </c>
      <c r="C1846" s="292" t="s">
        <v>48</v>
      </c>
      <c r="D1846" s="293">
        <f t="shared" si="2"/>
        <v>1</v>
      </c>
      <c r="E1846" s="294"/>
      <c r="F1846" s="295" t="str">
        <f>IFERROR(__xludf.DUMMYFUNCTION("IF(B1846="""","""",IFERROR(VLOOKUP(TO_TEXT(B1846),PEDIDOS!D:I,6,0),IFERROR(VLOOKUP(B1846*1,PEDIDOS!D:I,6,0),"" "")))"),"ENTREGUE")</f>
        <v>ENTREGUE</v>
      </c>
      <c r="G1846" s="303"/>
      <c r="H1846" s="304"/>
    </row>
    <row r="1847">
      <c r="A1847" s="302" t="s">
        <v>91</v>
      </c>
      <c r="B1847" s="291" t="s">
        <v>10679</v>
      </c>
      <c r="C1847" s="292" t="s">
        <v>48</v>
      </c>
      <c r="D1847" s="293">
        <f t="shared" si="2"/>
        <v>1</v>
      </c>
      <c r="E1847" s="294"/>
      <c r="F1847" s="295" t="str">
        <f>IFERROR(__xludf.DUMMYFUNCTION("IF(B1847="""","""",IFERROR(VLOOKUP(TO_TEXT(B1847),PEDIDOS!D:I,6,0),IFERROR(VLOOKUP(B1847*1,PEDIDOS!D:I,6,0),"" "")))"),"ENTREGUE")</f>
        <v>ENTREGUE</v>
      </c>
      <c r="G1847" s="303"/>
      <c r="H1847" s="304"/>
    </row>
    <row r="1848">
      <c r="A1848" s="302" t="s">
        <v>91</v>
      </c>
      <c r="B1848" s="291" t="s">
        <v>14028</v>
      </c>
      <c r="C1848" s="292" t="s">
        <v>48</v>
      </c>
      <c r="D1848" s="293">
        <f t="shared" si="2"/>
        <v>1</v>
      </c>
      <c r="E1848" s="294"/>
      <c r="F1848" s="295" t="str">
        <f>IFERROR(__xludf.DUMMYFUNCTION("IF(B1848="""","""",IFERROR(VLOOKUP(TO_TEXT(B1848),PEDIDOS!D:I,6,0),IFERROR(VLOOKUP(B1848*1,PEDIDOS!D:I,6,0),"" "")))"),"ENTREGUE")</f>
        <v>ENTREGUE</v>
      </c>
      <c r="G1848" s="303"/>
      <c r="H1848" s="304"/>
    </row>
    <row r="1849">
      <c r="A1849" s="302" t="s">
        <v>91</v>
      </c>
      <c r="B1849" s="291" t="s">
        <v>11225</v>
      </c>
      <c r="C1849" s="292" t="s">
        <v>48</v>
      </c>
      <c r="D1849" s="293">
        <f t="shared" si="2"/>
        <v>1</v>
      </c>
      <c r="E1849" s="294"/>
      <c r="F1849" s="295" t="str">
        <f>IFERROR(__xludf.DUMMYFUNCTION("IF(B1849="""","""",IFERROR(VLOOKUP(TO_TEXT(B1849),PEDIDOS!D:I,6,0),IFERROR(VLOOKUP(B1849*1,PEDIDOS!D:I,6,0),"" "")))"),"ENTREGUE")</f>
        <v>ENTREGUE</v>
      </c>
      <c r="G1849" s="303"/>
      <c r="H1849" s="304"/>
    </row>
    <row r="1850">
      <c r="A1850" s="302" t="s">
        <v>91</v>
      </c>
      <c r="B1850" s="291" t="s">
        <v>10894</v>
      </c>
      <c r="C1850" s="292" t="s">
        <v>48</v>
      </c>
      <c r="D1850" s="293">
        <f t="shared" si="2"/>
        <v>1</v>
      </c>
      <c r="E1850" s="294"/>
      <c r="F1850" s="295" t="str">
        <f>IFERROR(__xludf.DUMMYFUNCTION("IF(B1850="""","""",IFERROR(VLOOKUP(TO_TEXT(B1850),PEDIDOS!D:I,6,0),IFERROR(VLOOKUP(B1850*1,PEDIDOS!D:I,6,0),"" "")))"),"ENTREGUE")</f>
        <v>ENTREGUE</v>
      </c>
      <c r="G1850" s="303"/>
      <c r="H1850" s="304"/>
    </row>
    <row r="1851">
      <c r="A1851" s="302" t="s">
        <v>91</v>
      </c>
      <c r="B1851" s="291" t="s">
        <v>10878</v>
      </c>
      <c r="C1851" s="292" t="s">
        <v>48</v>
      </c>
      <c r="D1851" s="293">
        <f t="shared" si="2"/>
        <v>1</v>
      </c>
      <c r="E1851" s="294"/>
      <c r="F1851" s="295" t="str">
        <f>IFERROR(__xludf.DUMMYFUNCTION("IF(B1851="""","""",IFERROR(VLOOKUP(TO_TEXT(B1851),PEDIDOS!D:I,6,0),IFERROR(VLOOKUP(B1851*1,PEDIDOS!D:I,6,0),"" "")))"),"ENTREGUE")</f>
        <v>ENTREGUE</v>
      </c>
      <c r="G1851" s="303"/>
      <c r="H1851" s="304"/>
    </row>
    <row r="1852">
      <c r="A1852" s="302" t="s">
        <v>91</v>
      </c>
      <c r="B1852" s="291" t="s">
        <v>10847</v>
      </c>
      <c r="C1852" s="292" t="s">
        <v>48</v>
      </c>
      <c r="D1852" s="293">
        <f t="shared" si="2"/>
        <v>1</v>
      </c>
      <c r="E1852" s="294"/>
      <c r="F1852" s="295" t="str">
        <f>IFERROR(__xludf.DUMMYFUNCTION("IF(B1852="""","""",IFERROR(VLOOKUP(TO_TEXT(B1852),PEDIDOS!D:I,6,0),IFERROR(VLOOKUP(B1852*1,PEDIDOS!D:I,6,0),"" "")))"),"ENTREGUE")</f>
        <v>ENTREGUE</v>
      </c>
      <c r="G1852" s="303"/>
      <c r="H1852" s="304"/>
    </row>
    <row r="1853">
      <c r="A1853" s="302" t="s">
        <v>91</v>
      </c>
      <c r="B1853" s="291" t="s">
        <v>10842</v>
      </c>
      <c r="C1853" s="292" t="s">
        <v>48</v>
      </c>
      <c r="D1853" s="293">
        <f t="shared" si="2"/>
        <v>1</v>
      </c>
      <c r="E1853" s="294"/>
      <c r="F1853" s="295" t="str">
        <f>IFERROR(__xludf.DUMMYFUNCTION("IF(B1853="""","""",IFERROR(VLOOKUP(TO_TEXT(B1853),PEDIDOS!D:I,6,0),IFERROR(VLOOKUP(B1853*1,PEDIDOS!D:I,6,0),"" "")))"),"ENTREGUE")</f>
        <v>ENTREGUE</v>
      </c>
      <c r="G1853" s="303"/>
      <c r="H1853" s="304"/>
    </row>
    <row r="1854">
      <c r="A1854" s="302" t="s">
        <v>91</v>
      </c>
      <c r="B1854" s="291" t="s">
        <v>10683</v>
      </c>
      <c r="C1854" s="292" t="s">
        <v>48</v>
      </c>
      <c r="D1854" s="293">
        <f t="shared" si="2"/>
        <v>1</v>
      </c>
      <c r="E1854" s="294"/>
      <c r="F1854" s="295" t="str">
        <f>IFERROR(__xludf.DUMMYFUNCTION("IF(B1854="""","""",IFERROR(VLOOKUP(TO_TEXT(B1854),PEDIDOS!D:I,6,0),IFERROR(VLOOKUP(B1854*1,PEDIDOS!D:I,6,0),"" "")))"),"ENTREGUE")</f>
        <v>ENTREGUE</v>
      </c>
      <c r="G1854" s="303"/>
      <c r="H1854" s="304"/>
    </row>
    <row r="1855">
      <c r="A1855" s="302" t="s">
        <v>91</v>
      </c>
      <c r="B1855" s="291" t="s">
        <v>10804</v>
      </c>
      <c r="C1855" s="292" t="s">
        <v>48</v>
      </c>
      <c r="D1855" s="293">
        <f t="shared" si="2"/>
        <v>1</v>
      </c>
      <c r="E1855" s="294"/>
      <c r="F1855" s="295" t="str">
        <f>IFERROR(__xludf.DUMMYFUNCTION("IF(B1855="""","""",IFERROR(VLOOKUP(TO_TEXT(B1855),PEDIDOS!D:I,6,0),IFERROR(VLOOKUP(B1855*1,PEDIDOS!D:I,6,0),"" "")))"),"ENTREGUE")</f>
        <v>ENTREGUE</v>
      </c>
      <c r="G1855" s="303"/>
      <c r="H1855" s="304"/>
    </row>
    <row r="1856">
      <c r="A1856" s="302" t="s">
        <v>91</v>
      </c>
      <c r="B1856" s="291" t="s">
        <v>10837</v>
      </c>
      <c r="C1856" s="292" t="s">
        <v>48</v>
      </c>
      <c r="D1856" s="293">
        <f t="shared" si="2"/>
        <v>1</v>
      </c>
      <c r="E1856" s="294"/>
      <c r="F1856" s="295" t="str">
        <f>IFERROR(__xludf.DUMMYFUNCTION("IF(B1856="""","""",IFERROR(VLOOKUP(TO_TEXT(B1856),PEDIDOS!D:I,6,0),IFERROR(VLOOKUP(B1856*1,PEDIDOS!D:I,6,0),"" "")))"),"ENTREGUE")</f>
        <v>ENTREGUE</v>
      </c>
      <c r="G1856" s="303"/>
      <c r="H1856" s="304"/>
    </row>
    <row r="1857">
      <c r="A1857" s="302" t="s">
        <v>91</v>
      </c>
      <c r="B1857" s="291" t="s">
        <v>10761</v>
      </c>
      <c r="C1857" s="292" t="s">
        <v>48</v>
      </c>
      <c r="D1857" s="293">
        <f t="shared" si="2"/>
        <v>1</v>
      </c>
      <c r="E1857" s="294"/>
      <c r="F1857" s="295" t="str">
        <f>IFERROR(__xludf.DUMMYFUNCTION("IF(B1857="""","""",IFERROR(VLOOKUP(TO_TEXT(B1857),PEDIDOS!D:I,6,0),IFERROR(VLOOKUP(B1857*1,PEDIDOS!D:I,6,0),"" "")))"),"ENTREGUE")</f>
        <v>ENTREGUE</v>
      </c>
      <c r="G1857" s="303"/>
      <c r="H1857" s="304"/>
    </row>
    <row r="1858">
      <c r="A1858" s="302" t="s">
        <v>91</v>
      </c>
      <c r="B1858" s="291" t="s">
        <v>10671</v>
      </c>
      <c r="C1858" s="292" t="s">
        <v>48</v>
      </c>
      <c r="D1858" s="293">
        <f t="shared" si="2"/>
        <v>1</v>
      </c>
      <c r="E1858" s="294"/>
      <c r="F1858" s="295" t="str">
        <f>IFERROR(__xludf.DUMMYFUNCTION("IF(B1858="""","""",IFERROR(VLOOKUP(TO_TEXT(B1858),PEDIDOS!D:I,6,0),IFERROR(VLOOKUP(B1858*1,PEDIDOS!D:I,6,0),"" "")))"),"ENTREGUE")</f>
        <v>ENTREGUE</v>
      </c>
      <c r="G1858" s="303"/>
      <c r="H1858" s="304"/>
    </row>
    <row r="1859">
      <c r="A1859" s="302" t="s">
        <v>91</v>
      </c>
      <c r="B1859" s="291" t="s">
        <v>10864</v>
      </c>
      <c r="C1859" s="292" t="s">
        <v>48</v>
      </c>
      <c r="D1859" s="293">
        <f t="shared" si="2"/>
        <v>1</v>
      </c>
      <c r="E1859" s="294"/>
      <c r="F1859" s="295" t="str">
        <f>IFERROR(__xludf.DUMMYFUNCTION("IF(B1859="""","""",IFERROR(VLOOKUP(TO_TEXT(B1859),PEDIDOS!D:I,6,0),IFERROR(VLOOKUP(B1859*1,PEDIDOS!D:I,6,0),"" "")))"),"ENTREGUE")</f>
        <v>ENTREGUE</v>
      </c>
      <c r="G1859" s="303"/>
      <c r="H1859" s="304"/>
    </row>
    <row r="1860">
      <c r="A1860" s="302" t="s">
        <v>91</v>
      </c>
      <c r="B1860" s="291" t="s">
        <v>10384</v>
      </c>
      <c r="C1860" s="292" t="s">
        <v>48</v>
      </c>
      <c r="D1860" s="293">
        <f t="shared" si="2"/>
        <v>1</v>
      </c>
      <c r="E1860" s="294"/>
      <c r="F1860" s="295" t="str">
        <f>IFERROR(__xludf.DUMMYFUNCTION("IF(B1860="""","""",IFERROR(VLOOKUP(TO_TEXT(B1860),PEDIDOS!D:I,6,0),IFERROR(VLOOKUP(B1860*1,PEDIDOS!D:I,6,0),"" "")))"),"ENTREGUE")</f>
        <v>ENTREGUE</v>
      </c>
      <c r="G1860" s="303"/>
      <c r="H1860" s="304"/>
    </row>
    <row r="1861">
      <c r="A1861" s="302" t="s">
        <v>91</v>
      </c>
      <c r="B1861" s="291" t="s">
        <v>9396</v>
      </c>
      <c r="C1861" s="292" t="s">
        <v>48</v>
      </c>
      <c r="D1861" s="293">
        <f t="shared" si="2"/>
        <v>1</v>
      </c>
      <c r="E1861" s="294"/>
      <c r="F1861" s="295" t="str">
        <f>IFERROR(__xludf.DUMMYFUNCTION("IF(B1861="""","""",IFERROR(VLOOKUP(TO_TEXT(B1861),PEDIDOS!D:I,6,0),IFERROR(VLOOKUP(B1861*1,PEDIDOS!D:I,6,0),"" "")))"),"ENTREGUE")</f>
        <v>ENTREGUE</v>
      </c>
      <c r="G1861" s="303"/>
      <c r="H1861" s="304"/>
    </row>
    <row r="1862">
      <c r="A1862" s="302" t="s">
        <v>91</v>
      </c>
      <c r="B1862" s="291" t="s">
        <v>10807</v>
      </c>
      <c r="C1862" s="292" t="s">
        <v>48</v>
      </c>
      <c r="D1862" s="293">
        <f t="shared" si="2"/>
        <v>1</v>
      </c>
      <c r="E1862" s="294"/>
      <c r="F1862" s="295" t="str">
        <f>IFERROR(__xludf.DUMMYFUNCTION("IF(B1862="""","""",IFERROR(VLOOKUP(TO_TEXT(B1862),PEDIDOS!D:I,6,0),IFERROR(VLOOKUP(B1862*1,PEDIDOS!D:I,6,0),"" "")))"),"ENTREGUE")</f>
        <v>ENTREGUE</v>
      </c>
      <c r="G1862" s="303"/>
      <c r="H1862" s="304"/>
    </row>
    <row r="1863">
      <c r="A1863" s="302" t="s">
        <v>91</v>
      </c>
      <c r="B1863" s="291" t="s">
        <v>10811</v>
      </c>
      <c r="C1863" s="292" t="s">
        <v>48</v>
      </c>
      <c r="D1863" s="293">
        <f t="shared" si="2"/>
        <v>1</v>
      </c>
      <c r="E1863" s="294"/>
      <c r="F1863" s="295" t="str">
        <f>IFERROR(__xludf.DUMMYFUNCTION("IF(B1863="""","""",IFERROR(VLOOKUP(TO_TEXT(B1863),PEDIDOS!D:I,6,0),IFERROR(VLOOKUP(B1863*1,PEDIDOS!D:I,6,0),"" "")))"),"ENTREGUE")</f>
        <v>ENTREGUE</v>
      </c>
      <c r="G1863" s="303"/>
      <c r="H1863" s="304"/>
    </row>
    <row r="1864">
      <c r="A1864" s="302" t="s">
        <v>6133</v>
      </c>
      <c r="B1864" s="291" t="s">
        <v>10238</v>
      </c>
      <c r="C1864" s="292" t="s">
        <v>48</v>
      </c>
      <c r="D1864" s="293">
        <f t="shared" si="2"/>
        <v>1</v>
      </c>
      <c r="E1864" s="294"/>
      <c r="F1864" s="295" t="str">
        <f>IFERROR(__xludf.DUMMYFUNCTION("IF(B1864="""","""",IFERROR(VLOOKUP(TO_TEXT(B1864),PEDIDOS!D:I,6,0),IFERROR(VLOOKUP(B1864*1,PEDIDOS!D:I,6,0),"" "")))"),"ENTREGUE")</f>
        <v>ENTREGUE</v>
      </c>
      <c r="G1864" s="303"/>
      <c r="H1864" s="304"/>
    </row>
    <row r="1865">
      <c r="A1865" s="302" t="s">
        <v>6133</v>
      </c>
      <c r="B1865" s="291" t="s">
        <v>14276</v>
      </c>
      <c r="C1865" s="292" t="s">
        <v>48</v>
      </c>
      <c r="D1865" s="293">
        <f t="shared" si="2"/>
        <v>1</v>
      </c>
      <c r="E1865" s="294"/>
      <c r="F1865" s="295" t="str">
        <f>IFERROR(__xludf.DUMMYFUNCTION("IF(B1865="""","""",IFERROR(VLOOKUP(TO_TEXT(B1865),PEDIDOS!D:I,6,0),IFERROR(VLOOKUP(B1865*1,PEDIDOS!D:I,6,0),"" "")))"),"ENTREGUE")</f>
        <v>ENTREGUE</v>
      </c>
      <c r="G1865" s="303"/>
      <c r="H1865" s="304"/>
    </row>
    <row r="1866">
      <c r="A1866" s="302" t="s">
        <v>6133</v>
      </c>
      <c r="B1866" s="291" t="s">
        <v>23382</v>
      </c>
      <c r="C1866" s="292" t="s">
        <v>48</v>
      </c>
      <c r="D1866" s="293">
        <f t="shared" si="2"/>
        <v>1</v>
      </c>
      <c r="E1866" s="294"/>
      <c r="F1866" s="295" t="str">
        <f>IFERROR(__xludf.DUMMYFUNCTION("IF(B1866="""","""",IFERROR(VLOOKUP(TO_TEXT(B1866),PEDIDOS!D:I,6,0),IFERROR(VLOOKUP(B1866*1,PEDIDOS!D:I,6,0),"" "")))")," ")</f>
        <v> </v>
      </c>
      <c r="G1866" s="303" t="s">
        <v>23334</v>
      </c>
      <c r="H1866" s="304"/>
    </row>
    <row r="1867">
      <c r="A1867" s="302" t="s">
        <v>6133</v>
      </c>
      <c r="B1867" s="291" t="s">
        <v>12072</v>
      </c>
      <c r="C1867" s="292" t="s">
        <v>48</v>
      </c>
      <c r="D1867" s="293">
        <f t="shared" si="2"/>
        <v>1</v>
      </c>
      <c r="E1867" s="294"/>
      <c r="F1867" s="295" t="str">
        <f>IFERROR(__xludf.DUMMYFUNCTION("IF(B1867="""","""",IFERROR(VLOOKUP(TO_TEXT(B1867),PEDIDOS!D:I,6,0),IFERROR(VLOOKUP(B1867*1,PEDIDOS!D:I,6,0),"" "")))"),"ENTREGUE")</f>
        <v>ENTREGUE</v>
      </c>
      <c r="G1867" s="303"/>
      <c r="H1867" s="304"/>
    </row>
    <row r="1868">
      <c r="A1868" s="302" t="s">
        <v>6133</v>
      </c>
      <c r="B1868" s="291" t="s">
        <v>13272</v>
      </c>
      <c r="C1868" s="292" t="s">
        <v>48</v>
      </c>
      <c r="D1868" s="293">
        <f t="shared" si="2"/>
        <v>1</v>
      </c>
      <c r="E1868" s="294"/>
      <c r="F1868" s="295" t="str">
        <f>IFERROR(__xludf.DUMMYFUNCTION("IF(B1868="""","""",IFERROR(VLOOKUP(TO_TEXT(B1868),PEDIDOS!D:I,6,0),IFERROR(VLOOKUP(B1868*1,PEDIDOS!D:I,6,0),"" "")))"),"ENTREGUE")</f>
        <v>ENTREGUE</v>
      </c>
      <c r="G1868" s="303"/>
      <c r="H1868" s="304"/>
    </row>
    <row r="1869">
      <c r="A1869" s="302" t="s">
        <v>6133</v>
      </c>
      <c r="B1869" s="291" t="s">
        <v>14228</v>
      </c>
      <c r="C1869" s="292" t="s">
        <v>48</v>
      </c>
      <c r="D1869" s="293">
        <f t="shared" si="2"/>
        <v>1</v>
      </c>
      <c r="E1869" s="294"/>
      <c r="F1869" s="295" t="str">
        <f>IFERROR(__xludf.DUMMYFUNCTION("IF(B1869="""","""",IFERROR(VLOOKUP(TO_TEXT(B1869),PEDIDOS!D:I,6,0),IFERROR(VLOOKUP(B1869*1,PEDIDOS!D:I,6,0),"" "")))"),"ENTREGUE")</f>
        <v>ENTREGUE</v>
      </c>
      <c r="G1869" s="303"/>
      <c r="H1869" s="304"/>
    </row>
    <row r="1870">
      <c r="A1870" s="302" t="s">
        <v>6133</v>
      </c>
      <c r="B1870" s="291" t="s">
        <v>12450</v>
      </c>
      <c r="C1870" s="292" t="s">
        <v>48</v>
      </c>
      <c r="D1870" s="293">
        <f t="shared" si="2"/>
        <v>1</v>
      </c>
      <c r="E1870" s="294"/>
      <c r="F1870" s="295" t="str">
        <f>IFERROR(__xludf.DUMMYFUNCTION("IF(B1870="""","""",IFERROR(VLOOKUP(TO_TEXT(B1870),PEDIDOS!D:I,6,0),IFERROR(VLOOKUP(B1870*1,PEDIDOS!D:I,6,0),"" "")))"),"ENTREGUE")</f>
        <v>ENTREGUE</v>
      </c>
      <c r="G1870" s="303"/>
      <c r="H1870" s="304"/>
    </row>
    <row r="1871">
      <c r="A1871" s="302" t="s">
        <v>6133</v>
      </c>
      <c r="B1871" s="291" t="s">
        <v>13765</v>
      </c>
      <c r="C1871" s="292" t="s">
        <v>48</v>
      </c>
      <c r="D1871" s="293">
        <f t="shared" si="2"/>
        <v>1</v>
      </c>
      <c r="E1871" s="294"/>
      <c r="F1871" s="295" t="str">
        <f>IFERROR(__xludf.DUMMYFUNCTION("IF(B1871="""","""",IFERROR(VLOOKUP(TO_TEXT(B1871),PEDIDOS!D:I,6,0),IFERROR(VLOOKUP(B1871*1,PEDIDOS!D:I,6,0),"" "")))"),"ENTREGUE")</f>
        <v>ENTREGUE</v>
      </c>
      <c r="G1871" s="303"/>
      <c r="H1871" s="304"/>
    </row>
    <row r="1872">
      <c r="A1872" s="302" t="s">
        <v>6133</v>
      </c>
      <c r="B1872" s="291" t="s">
        <v>11998</v>
      </c>
      <c r="C1872" s="292" t="s">
        <v>48</v>
      </c>
      <c r="D1872" s="293">
        <f t="shared" si="2"/>
        <v>1</v>
      </c>
      <c r="E1872" s="294"/>
      <c r="F1872" s="295" t="str">
        <f>IFERROR(__xludf.DUMMYFUNCTION("IF(B1872="""","""",IFERROR(VLOOKUP(TO_TEXT(B1872),PEDIDOS!D:I,6,0),IFERROR(VLOOKUP(B1872*1,PEDIDOS!D:I,6,0),"" "")))"),"ENTREGUE")</f>
        <v>ENTREGUE</v>
      </c>
      <c r="G1872" s="303"/>
      <c r="H1872" s="304"/>
    </row>
    <row r="1873">
      <c r="A1873" s="302" t="s">
        <v>6133</v>
      </c>
      <c r="B1873" s="291" t="s">
        <v>16190</v>
      </c>
      <c r="C1873" s="292" t="s">
        <v>48</v>
      </c>
      <c r="D1873" s="293">
        <f t="shared" si="2"/>
        <v>1</v>
      </c>
      <c r="E1873" s="294"/>
      <c r="F1873" s="295" t="str">
        <f>IFERROR(__xludf.DUMMYFUNCTION("IF(B1873="""","""",IFERROR(VLOOKUP(TO_TEXT(B1873),PEDIDOS!D:I,6,0),IFERROR(VLOOKUP(B1873*1,PEDIDOS!D:I,6,0),"" "")))"),"ENTREGUE")</f>
        <v>ENTREGUE</v>
      </c>
      <c r="G1873" s="303"/>
      <c r="H1873" s="304"/>
    </row>
    <row r="1874">
      <c r="A1874" s="302" t="s">
        <v>6133</v>
      </c>
      <c r="B1874" s="291" t="s">
        <v>16632</v>
      </c>
      <c r="C1874" s="292" t="s">
        <v>48</v>
      </c>
      <c r="D1874" s="293">
        <f t="shared" si="2"/>
        <v>1</v>
      </c>
      <c r="E1874" s="294"/>
      <c r="F1874" s="295" t="str">
        <f>IFERROR(__xludf.DUMMYFUNCTION("IF(B1874="""","""",IFERROR(VLOOKUP(TO_TEXT(B1874),PEDIDOS!D:I,6,0),IFERROR(VLOOKUP(B1874*1,PEDIDOS!D:I,6,0),"" "")))"),"ENTREGUE")</f>
        <v>ENTREGUE</v>
      </c>
      <c r="G1874" s="303"/>
      <c r="H1874" s="304"/>
    </row>
    <row r="1875">
      <c r="A1875" s="302" t="s">
        <v>6133</v>
      </c>
      <c r="B1875" s="291" t="s">
        <v>20153</v>
      </c>
      <c r="C1875" s="292" t="s">
        <v>48</v>
      </c>
      <c r="D1875" s="293">
        <f t="shared" si="2"/>
        <v>1</v>
      </c>
      <c r="E1875" s="294"/>
      <c r="F1875" s="295" t="str">
        <f>IFERROR(__xludf.DUMMYFUNCTION("IF(B1875="""","""",IFERROR(VLOOKUP(TO_TEXT(B1875),PEDIDOS!D:I,6,0),IFERROR(VLOOKUP(B1875*1,PEDIDOS!D:I,6,0),"" "")))"),"ENTREGUE")</f>
        <v>ENTREGUE</v>
      </c>
      <c r="G1875" s="303"/>
      <c r="H1875" s="304"/>
    </row>
    <row r="1876">
      <c r="A1876" s="302" t="s">
        <v>6133</v>
      </c>
      <c r="B1876" s="291" t="s">
        <v>20148</v>
      </c>
      <c r="C1876" s="292" t="s">
        <v>48</v>
      </c>
      <c r="D1876" s="293">
        <f t="shared" si="2"/>
        <v>1</v>
      </c>
      <c r="E1876" s="294"/>
      <c r="F1876" s="295" t="str">
        <f>IFERROR(__xludf.DUMMYFUNCTION("IF(B1876="""","""",IFERROR(VLOOKUP(TO_TEXT(B1876),PEDIDOS!D:I,6,0),IFERROR(VLOOKUP(B1876*1,PEDIDOS!D:I,6,0),"" "")))"),"ENTREGUE")</f>
        <v>ENTREGUE</v>
      </c>
      <c r="G1876" s="303"/>
      <c r="H1876" s="304"/>
    </row>
    <row r="1877">
      <c r="A1877" s="302" t="s">
        <v>6133</v>
      </c>
      <c r="B1877" s="291" t="s">
        <v>23383</v>
      </c>
      <c r="C1877" s="292" t="s">
        <v>48</v>
      </c>
      <c r="D1877" s="293">
        <f t="shared" si="2"/>
        <v>0</v>
      </c>
      <c r="E1877" s="294"/>
      <c r="F1877" s="295" t="str">
        <f>IFERROR(__xludf.DUMMYFUNCTION("IF(B1877="""","""",IFERROR(VLOOKUP(TO_TEXT(B1877),PEDIDOS!D:I,6,0),IFERROR(VLOOKUP(B1877*1,PEDIDOS!D:I,6,0),"" "")))")," ")</f>
        <v> </v>
      </c>
      <c r="G1877" s="303"/>
      <c r="H1877" s="304"/>
    </row>
    <row r="1878">
      <c r="A1878" s="302" t="s">
        <v>6133</v>
      </c>
      <c r="B1878" s="291" t="s">
        <v>22063</v>
      </c>
      <c r="C1878" s="292" t="s">
        <v>48</v>
      </c>
      <c r="D1878" s="293">
        <f t="shared" si="2"/>
        <v>1</v>
      </c>
      <c r="E1878" s="294"/>
      <c r="F1878" s="295" t="str">
        <f>IFERROR(__xludf.DUMMYFUNCTION("IF(B1878="""","""",IFERROR(VLOOKUP(TO_TEXT(B1878),PEDIDOS!D:I,6,0),IFERROR(VLOOKUP(B1878*1,PEDIDOS!D:I,6,0),"" "")))"),"ENTREGUE")</f>
        <v>ENTREGUE</v>
      </c>
      <c r="G1878" s="303"/>
      <c r="H1878" s="304"/>
    </row>
    <row r="1879">
      <c r="A1879" s="302" t="s">
        <v>6133</v>
      </c>
      <c r="B1879" s="291" t="s">
        <v>19384</v>
      </c>
      <c r="C1879" s="292" t="s">
        <v>48</v>
      </c>
      <c r="D1879" s="293">
        <f t="shared" si="2"/>
        <v>1</v>
      </c>
      <c r="E1879" s="294"/>
      <c r="F1879" s="295" t="str">
        <f>IFERROR(__xludf.DUMMYFUNCTION("IF(B1879="""","""",IFERROR(VLOOKUP(TO_TEXT(B1879),PEDIDOS!D:I,6,0),IFERROR(VLOOKUP(B1879*1,PEDIDOS!D:I,6,0),"" "")))"),"ENTREGUE")</f>
        <v>ENTREGUE</v>
      </c>
      <c r="G1879" s="303"/>
      <c r="H1879" s="304"/>
    </row>
    <row r="1880">
      <c r="A1880" s="302" t="s">
        <v>6133</v>
      </c>
      <c r="B1880" s="291" t="s">
        <v>19587</v>
      </c>
      <c r="C1880" s="292" t="s">
        <v>48</v>
      </c>
      <c r="D1880" s="293">
        <f t="shared" si="2"/>
        <v>1</v>
      </c>
      <c r="E1880" s="294"/>
      <c r="F1880" s="295" t="str">
        <f>IFERROR(__xludf.DUMMYFUNCTION("IF(B1880="""","""",IFERROR(VLOOKUP(TO_TEXT(B1880),PEDIDOS!D:I,6,0),IFERROR(VLOOKUP(B1880*1,PEDIDOS!D:I,6,0),"" "")))"),"ENTREGUE")</f>
        <v>ENTREGUE</v>
      </c>
      <c r="G1880" s="303"/>
      <c r="H1880" s="304"/>
    </row>
    <row r="1881">
      <c r="A1881" s="302" t="s">
        <v>6133</v>
      </c>
      <c r="B1881" s="291" t="s">
        <v>19804</v>
      </c>
      <c r="C1881" s="292" t="s">
        <v>48</v>
      </c>
      <c r="D1881" s="293">
        <f t="shared" si="2"/>
        <v>1</v>
      </c>
      <c r="E1881" s="294"/>
      <c r="F1881" s="295" t="str">
        <f>IFERROR(__xludf.DUMMYFUNCTION("IF(B1881="""","""",IFERROR(VLOOKUP(TO_TEXT(B1881),PEDIDOS!D:I,6,0),IFERROR(VLOOKUP(B1881*1,PEDIDOS!D:I,6,0),"" "")))"),"ENTREGUE")</f>
        <v>ENTREGUE</v>
      </c>
      <c r="G1881" s="303"/>
      <c r="H1881" s="304"/>
    </row>
    <row r="1882">
      <c r="A1882" s="302" t="s">
        <v>6133</v>
      </c>
      <c r="B1882" s="291" t="s">
        <v>22151</v>
      </c>
      <c r="C1882" s="292" t="s">
        <v>48</v>
      </c>
      <c r="D1882" s="293">
        <f t="shared" si="2"/>
        <v>1</v>
      </c>
      <c r="E1882" s="294"/>
      <c r="F1882" s="295" t="str">
        <f>IFERROR(__xludf.DUMMYFUNCTION("IF(B1882="""","""",IFERROR(VLOOKUP(TO_TEXT(B1882),PEDIDOS!D:I,6,0),IFERROR(VLOOKUP(B1882*1,PEDIDOS!D:I,6,0),"" "")))"),"ENTREGUE")</f>
        <v>ENTREGUE</v>
      </c>
      <c r="G1882" s="303"/>
      <c r="H1882" s="304"/>
    </row>
    <row r="1883">
      <c r="A1883" s="302" t="s">
        <v>6133</v>
      </c>
      <c r="B1883" s="291" t="s">
        <v>23237</v>
      </c>
      <c r="C1883" s="292" t="s">
        <v>48</v>
      </c>
      <c r="D1883" s="293">
        <f t="shared" si="2"/>
        <v>1</v>
      </c>
      <c r="E1883" s="294"/>
      <c r="F1883" s="295" t="str">
        <f>IFERROR(__xludf.DUMMYFUNCTION("IF(B1883="""","""",IFERROR(VLOOKUP(TO_TEXT(B1883),PEDIDOS!D:I,6,0),IFERROR(VLOOKUP(B1883*1,PEDIDOS!D:I,6,0),"" "")))"),"FINALIZADO")</f>
        <v>FINALIZADO</v>
      </c>
      <c r="G1883" s="303"/>
      <c r="H1883" s="304"/>
    </row>
    <row r="1884">
      <c r="A1884" s="302" t="s">
        <v>6133</v>
      </c>
      <c r="B1884" s="291" t="s">
        <v>15356</v>
      </c>
      <c r="C1884" s="292" t="s">
        <v>48</v>
      </c>
      <c r="D1884" s="293">
        <f t="shared" si="2"/>
        <v>1</v>
      </c>
      <c r="E1884" s="294"/>
      <c r="F1884" s="295" t="str">
        <f>IFERROR(__xludf.DUMMYFUNCTION("IF(B1884="""","""",IFERROR(VLOOKUP(TO_TEXT(B1884),PEDIDOS!D:I,6,0),IFERROR(VLOOKUP(B1884*1,PEDIDOS!D:I,6,0),"" "")))"),"ENTREGUE")</f>
        <v>ENTREGUE</v>
      </c>
      <c r="G1884" s="303"/>
      <c r="H1884" s="304"/>
    </row>
    <row r="1885">
      <c r="A1885" s="302" t="s">
        <v>6133</v>
      </c>
      <c r="B1885" s="291" t="s">
        <v>23384</v>
      </c>
      <c r="C1885" s="292" t="s">
        <v>48</v>
      </c>
      <c r="D1885" s="293">
        <f t="shared" si="2"/>
        <v>0</v>
      </c>
      <c r="E1885" s="294"/>
      <c r="F1885" s="295" t="str">
        <f>IFERROR(__xludf.DUMMYFUNCTION("IF(B1885="""","""",IFERROR(VLOOKUP(TO_TEXT(B1885),PEDIDOS!D:I,6,0),IFERROR(VLOOKUP(B1885*1,PEDIDOS!D:I,6,0),"" "")))")," ")</f>
        <v> </v>
      </c>
      <c r="G1885" s="303"/>
      <c r="H1885" s="304"/>
    </row>
    <row r="1886">
      <c r="A1886" s="302" t="s">
        <v>6133</v>
      </c>
      <c r="B1886" s="291" t="s">
        <v>23385</v>
      </c>
      <c r="C1886" s="292" t="s">
        <v>48</v>
      </c>
      <c r="D1886" s="293">
        <f t="shared" si="2"/>
        <v>0</v>
      </c>
      <c r="E1886" s="294"/>
      <c r="F1886" s="295" t="str">
        <f>IFERROR(__xludf.DUMMYFUNCTION("IF(B1886="""","""",IFERROR(VLOOKUP(TO_TEXT(B1886),PEDIDOS!D:I,6,0),IFERROR(VLOOKUP(B1886*1,PEDIDOS!D:I,6,0),"" "")))")," ")</f>
        <v> </v>
      </c>
      <c r="G1886" s="303"/>
      <c r="H1886" s="304"/>
    </row>
    <row r="1887">
      <c r="A1887" s="302" t="s">
        <v>6133</v>
      </c>
      <c r="B1887" s="291" t="s">
        <v>23386</v>
      </c>
      <c r="C1887" s="292" t="s">
        <v>48</v>
      </c>
      <c r="D1887" s="293">
        <f t="shared" si="2"/>
        <v>0</v>
      </c>
      <c r="E1887" s="294"/>
      <c r="F1887" s="295" t="str">
        <f>IFERROR(__xludf.DUMMYFUNCTION("IF(B1887="""","""",IFERROR(VLOOKUP(TO_TEXT(B1887),PEDIDOS!D:I,6,0),IFERROR(VLOOKUP(B1887*1,PEDIDOS!D:I,6,0),"" "")))")," ")</f>
        <v> </v>
      </c>
      <c r="G1887" s="303"/>
      <c r="H1887" s="304"/>
    </row>
    <row r="1888">
      <c r="A1888" s="302" t="s">
        <v>6133</v>
      </c>
      <c r="B1888" s="291" t="s">
        <v>20102</v>
      </c>
      <c r="C1888" s="292" t="s">
        <v>48</v>
      </c>
      <c r="D1888" s="293">
        <f t="shared" si="2"/>
        <v>1</v>
      </c>
      <c r="E1888" s="294"/>
      <c r="F1888" s="295" t="str">
        <f>IFERROR(__xludf.DUMMYFUNCTION("IF(B1888="""","""",IFERROR(VLOOKUP(TO_TEXT(B1888),PEDIDOS!D:I,6,0),IFERROR(VLOOKUP(B1888*1,PEDIDOS!D:I,6,0),"" "")))"),"ENTREGUE")</f>
        <v>ENTREGUE</v>
      </c>
      <c r="G1888" s="303"/>
      <c r="H1888" s="304"/>
    </row>
    <row r="1889">
      <c r="A1889" s="302" t="s">
        <v>6133</v>
      </c>
      <c r="B1889" s="291" t="s">
        <v>17726</v>
      </c>
      <c r="C1889" s="292" t="s">
        <v>48</v>
      </c>
      <c r="D1889" s="293">
        <f t="shared" si="2"/>
        <v>1</v>
      </c>
      <c r="E1889" s="294"/>
      <c r="F1889" s="295" t="str">
        <f>IFERROR(__xludf.DUMMYFUNCTION("IF(B1889="""","""",IFERROR(VLOOKUP(TO_TEXT(B1889),PEDIDOS!D:I,6,0),IFERROR(VLOOKUP(B1889*1,PEDIDOS!D:I,6,0),"" "")))"),"ENTREGUE")</f>
        <v>ENTREGUE</v>
      </c>
      <c r="G1889" s="303"/>
      <c r="H1889" s="304"/>
    </row>
    <row r="1890">
      <c r="A1890" s="302" t="s">
        <v>6133</v>
      </c>
      <c r="B1890" s="291" t="s">
        <v>17183</v>
      </c>
      <c r="C1890" s="292" t="s">
        <v>48</v>
      </c>
      <c r="D1890" s="293">
        <f t="shared" si="2"/>
        <v>1</v>
      </c>
      <c r="E1890" s="294"/>
      <c r="F1890" s="295" t="str">
        <f>IFERROR(__xludf.DUMMYFUNCTION("IF(B1890="""","""",IFERROR(VLOOKUP(TO_TEXT(B1890),PEDIDOS!D:I,6,0),IFERROR(VLOOKUP(B1890*1,PEDIDOS!D:I,6,0),"" "")))"),"ENTREGUE")</f>
        <v>ENTREGUE</v>
      </c>
      <c r="G1890" s="303"/>
      <c r="H1890" s="304"/>
    </row>
    <row r="1891">
      <c r="A1891" s="302" t="s">
        <v>6133</v>
      </c>
      <c r="B1891" s="291" t="s">
        <v>17179</v>
      </c>
      <c r="C1891" s="292" t="s">
        <v>48</v>
      </c>
      <c r="D1891" s="293">
        <f t="shared" si="2"/>
        <v>1</v>
      </c>
      <c r="E1891" s="294"/>
      <c r="F1891" s="295" t="str">
        <f>IFERROR(__xludf.DUMMYFUNCTION("IF(B1891="""","""",IFERROR(VLOOKUP(TO_TEXT(B1891),PEDIDOS!D:I,6,0),IFERROR(VLOOKUP(B1891*1,PEDIDOS!D:I,6,0),"" "")))"),"ENTREGUE")</f>
        <v>ENTREGUE</v>
      </c>
      <c r="G1891" s="303"/>
      <c r="H1891" s="304"/>
    </row>
    <row r="1892">
      <c r="A1892" s="302" t="s">
        <v>6133</v>
      </c>
      <c r="B1892" s="291" t="s">
        <v>17170</v>
      </c>
      <c r="C1892" s="292" t="s">
        <v>48</v>
      </c>
      <c r="D1892" s="293">
        <f t="shared" si="2"/>
        <v>1</v>
      </c>
      <c r="E1892" s="294"/>
      <c r="F1892" s="295" t="str">
        <f>IFERROR(__xludf.DUMMYFUNCTION("IF(B1892="""","""",IFERROR(VLOOKUP(TO_TEXT(B1892),PEDIDOS!D:I,6,0),IFERROR(VLOOKUP(B1892*1,PEDIDOS!D:I,6,0),"" "")))"),"ENTREGUE")</f>
        <v>ENTREGUE</v>
      </c>
      <c r="G1892" s="303"/>
      <c r="H1892" s="304"/>
    </row>
    <row r="1893">
      <c r="A1893" s="302" t="s">
        <v>6133</v>
      </c>
      <c r="B1893" s="291" t="s">
        <v>17175</v>
      </c>
      <c r="C1893" s="292" t="s">
        <v>48</v>
      </c>
      <c r="D1893" s="293">
        <f t="shared" si="2"/>
        <v>1</v>
      </c>
      <c r="E1893" s="294"/>
      <c r="F1893" s="295" t="str">
        <f>IFERROR(__xludf.DUMMYFUNCTION("IF(B1893="""","""",IFERROR(VLOOKUP(TO_TEXT(B1893),PEDIDOS!D:I,6,0),IFERROR(VLOOKUP(B1893*1,PEDIDOS!D:I,6,0),"" "")))"),"ENTREGUE")</f>
        <v>ENTREGUE</v>
      </c>
      <c r="G1893" s="303"/>
      <c r="H1893" s="304"/>
    </row>
    <row r="1894">
      <c r="A1894" s="302" t="s">
        <v>4430</v>
      </c>
      <c r="B1894" s="291" t="s">
        <v>10209</v>
      </c>
      <c r="C1894" s="292" t="s">
        <v>48</v>
      </c>
      <c r="D1894" s="293">
        <f t="shared" si="2"/>
        <v>1</v>
      </c>
      <c r="E1894" s="294"/>
      <c r="F1894" s="295" t="str">
        <f>IFERROR(__xludf.DUMMYFUNCTION("IF(B1894="""","""",IFERROR(VLOOKUP(TO_TEXT(B1894),PEDIDOS!D:I,6,0),IFERROR(VLOOKUP(B1894*1,PEDIDOS!D:I,6,0),"" "")))"),"ENTREGUE")</f>
        <v>ENTREGUE</v>
      </c>
      <c r="G1894" s="303"/>
      <c r="H1894" s="304"/>
    </row>
    <row r="1895">
      <c r="A1895" s="302" t="s">
        <v>4430</v>
      </c>
      <c r="B1895" s="291" t="s">
        <v>10287</v>
      </c>
      <c r="C1895" s="292" t="s">
        <v>48</v>
      </c>
      <c r="D1895" s="293">
        <f t="shared" si="2"/>
        <v>1</v>
      </c>
      <c r="E1895" s="294"/>
      <c r="F1895" s="295" t="str">
        <f>IFERROR(__xludf.DUMMYFUNCTION("IF(B1895="""","""",IFERROR(VLOOKUP(TO_TEXT(B1895),PEDIDOS!D:I,6,0),IFERROR(VLOOKUP(B1895*1,PEDIDOS!D:I,6,0),"" "")))"),"ENTREGUE")</f>
        <v>ENTREGUE</v>
      </c>
      <c r="G1895" s="303"/>
      <c r="H1895" s="304"/>
    </row>
    <row r="1896">
      <c r="A1896" s="302" t="s">
        <v>4430</v>
      </c>
      <c r="B1896" s="291" t="s">
        <v>10290</v>
      </c>
      <c r="C1896" s="292" t="s">
        <v>48</v>
      </c>
      <c r="D1896" s="293">
        <f t="shared" si="2"/>
        <v>1</v>
      </c>
      <c r="E1896" s="294"/>
      <c r="F1896" s="295" t="str">
        <f>IFERROR(__xludf.DUMMYFUNCTION("IF(B1896="""","""",IFERROR(VLOOKUP(TO_TEXT(B1896),PEDIDOS!D:I,6,0),IFERROR(VLOOKUP(B1896*1,PEDIDOS!D:I,6,0),"" "")))"),"ENTREGUE")</f>
        <v>ENTREGUE</v>
      </c>
      <c r="G1896" s="303"/>
      <c r="H1896" s="304"/>
    </row>
    <row r="1897">
      <c r="A1897" s="302" t="s">
        <v>4430</v>
      </c>
      <c r="B1897" s="291" t="s">
        <v>10472</v>
      </c>
      <c r="C1897" s="292" t="s">
        <v>48</v>
      </c>
      <c r="D1897" s="293">
        <f t="shared" si="2"/>
        <v>1</v>
      </c>
      <c r="E1897" s="294"/>
      <c r="F1897" s="295" t="str">
        <f>IFERROR(__xludf.DUMMYFUNCTION("IF(B1897="""","""",IFERROR(VLOOKUP(TO_TEXT(B1897),PEDIDOS!D:I,6,0),IFERROR(VLOOKUP(B1897*1,PEDIDOS!D:I,6,0),"" "")))"),"ENTREGUE")</f>
        <v>ENTREGUE</v>
      </c>
      <c r="G1897" s="303"/>
      <c r="H1897" s="304"/>
    </row>
    <row r="1898">
      <c r="A1898" s="302" t="s">
        <v>4430</v>
      </c>
      <c r="B1898" s="291" t="s">
        <v>10468</v>
      </c>
      <c r="C1898" s="292" t="s">
        <v>48</v>
      </c>
      <c r="D1898" s="293">
        <f t="shared" si="2"/>
        <v>1</v>
      </c>
      <c r="E1898" s="294"/>
      <c r="F1898" s="295" t="str">
        <f>IFERROR(__xludf.DUMMYFUNCTION("IF(B1898="""","""",IFERROR(VLOOKUP(TO_TEXT(B1898),PEDIDOS!D:I,6,0),IFERROR(VLOOKUP(B1898*1,PEDIDOS!D:I,6,0),"" "")))"),"ENTREGUE")</f>
        <v>ENTREGUE</v>
      </c>
      <c r="G1898" s="303"/>
      <c r="H1898" s="304"/>
    </row>
    <row r="1899">
      <c r="A1899" s="302" t="s">
        <v>4430</v>
      </c>
      <c r="B1899" s="291" t="s">
        <v>10243</v>
      </c>
      <c r="C1899" s="292" t="s">
        <v>48</v>
      </c>
      <c r="D1899" s="293">
        <f t="shared" si="2"/>
        <v>1</v>
      </c>
      <c r="E1899" s="294"/>
      <c r="F1899" s="295" t="str">
        <f>IFERROR(__xludf.DUMMYFUNCTION("IF(B1899="""","""",IFERROR(VLOOKUP(TO_TEXT(B1899),PEDIDOS!D:I,6,0),IFERROR(VLOOKUP(B1899*1,PEDIDOS!D:I,6,0),"" "")))"),"ENTREGUE")</f>
        <v>ENTREGUE</v>
      </c>
      <c r="G1899" s="303"/>
      <c r="H1899" s="304"/>
    </row>
    <row r="1900">
      <c r="A1900" s="302" t="s">
        <v>4430</v>
      </c>
      <c r="B1900" s="291" t="s">
        <v>10246</v>
      </c>
      <c r="C1900" s="292" t="s">
        <v>48</v>
      </c>
      <c r="D1900" s="293">
        <f t="shared" si="2"/>
        <v>1</v>
      </c>
      <c r="E1900" s="294"/>
      <c r="F1900" s="295" t="str">
        <f>IFERROR(__xludf.DUMMYFUNCTION("IF(B1900="""","""",IFERROR(VLOOKUP(TO_TEXT(B1900),PEDIDOS!D:I,6,0),IFERROR(VLOOKUP(B1900*1,PEDIDOS!D:I,6,0),"" "")))"),"ENTREGUE")</f>
        <v>ENTREGUE</v>
      </c>
      <c r="G1900" s="303"/>
      <c r="H1900" s="304"/>
    </row>
    <row r="1901">
      <c r="A1901" s="302" t="s">
        <v>4430</v>
      </c>
      <c r="B1901" s="291" t="s">
        <v>10306</v>
      </c>
      <c r="C1901" s="292" t="s">
        <v>48</v>
      </c>
      <c r="D1901" s="293">
        <f t="shared" si="2"/>
        <v>1</v>
      </c>
      <c r="E1901" s="294"/>
      <c r="F1901" s="295" t="str">
        <f>IFERROR(__xludf.DUMMYFUNCTION("IF(B1901="""","""",IFERROR(VLOOKUP(TO_TEXT(B1901),PEDIDOS!D:I,6,0),IFERROR(VLOOKUP(B1901*1,PEDIDOS!D:I,6,0),"" "")))"),"ENTREGUE")</f>
        <v>ENTREGUE</v>
      </c>
      <c r="G1901" s="303"/>
      <c r="H1901" s="304"/>
    </row>
    <row r="1902">
      <c r="A1902" s="302" t="s">
        <v>4430</v>
      </c>
      <c r="B1902" s="291" t="s">
        <v>10317</v>
      </c>
      <c r="C1902" s="292" t="s">
        <v>48</v>
      </c>
      <c r="D1902" s="293">
        <f t="shared" si="2"/>
        <v>1</v>
      </c>
      <c r="E1902" s="294"/>
      <c r="F1902" s="295" t="str">
        <f>IFERROR(__xludf.DUMMYFUNCTION("IF(B1902="""","""",IFERROR(VLOOKUP(TO_TEXT(B1902),PEDIDOS!D:I,6,0),IFERROR(VLOOKUP(B1902*1,PEDIDOS!D:I,6,0),"" "")))"),"ENTREGUE")</f>
        <v>ENTREGUE</v>
      </c>
      <c r="G1902" s="303"/>
      <c r="H1902" s="304"/>
    </row>
    <row r="1903">
      <c r="A1903" s="302" t="s">
        <v>4430</v>
      </c>
      <c r="B1903" s="291" t="s">
        <v>10321</v>
      </c>
      <c r="C1903" s="292" t="s">
        <v>48</v>
      </c>
      <c r="D1903" s="293">
        <f t="shared" si="2"/>
        <v>1</v>
      </c>
      <c r="E1903" s="294"/>
      <c r="F1903" s="295" t="str">
        <f>IFERROR(__xludf.DUMMYFUNCTION("IF(B1903="""","""",IFERROR(VLOOKUP(TO_TEXT(B1903),PEDIDOS!D:I,6,0),IFERROR(VLOOKUP(B1903*1,PEDIDOS!D:I,6,0),"" "")))"),"ENTREGUE")</f>
        <v>ENTREGUE</v>
      </c>
      <c r="G1903" s="303"/>
      <c r="H1903" s="304"/>
    </row>
    <row r="1904">
      <c r="A1904" s="302" t="s">
        <v>4430</v>
      </c>
      <c r="B1904" s="291" t="s">
        <v>10494</v>
      </c>
      <c r="C1904" s="292" t="s">
        <v>48</v>
      </c>
      <c r="D1904" s="293">
        <f t="shared" si="2"/>
        <v>1</v>
      </c>
      <c r="E1904" s="294"/>
      <c r="F1904" s="295" t="str">
        <f>IFERROR(__xludf.DUMMYFUNCTION("IF(B1904="""","""",IFERROR(VLOOKUP(TO_TEXT(B1904),PEDIDOS!D:I,6,0),IFERROR(VLOOKUP(B1904*1,PEDIDOS!D:I,6,0),"" "")))"),"ENTREGUE")</f>
        <v>ENTREGUE</v>
      </c>
      <c r="G1904" s="303"/>
      <c r="H1904" s="304"/>
    </row>
    <row r="1905">
      <c r="A1905" s="302" t="s">
        <v>4430</v>
      </c>
      <c r="B1905" s="291" t="s">
        <v>23387</v>
      </c>
      <c r="C1905" s="292" t="s">
        <v>48</v>
      </c>
      <c r="D1905" s="293">
        <f t="shared" si="2"/>
        <v>1</v>
      </c>
      <c r="E1905" s="294"/>
      <c r="F1905" s="295" t="str">
        <f>IFERROR(__xludf.DUMMYFUNCTION("IF(B1905="""","""",IFERROR(VLOOKUP(TO_TEXT(B1905),PEDIDOS!D:I,6,0),IFERROR(VLOOKUP(B1905*1,PEDIDOS!D:I,6,0),"" "")))")," ")</f>
        <v> </v>
      </c>
      <c r="G1905" s="303" t="s">
        <v>23334</v>
      </c>
      <c r="H1905" s="304"/>
    </row>
    <row r="1906">
      <c r="A1906" s="302" t="s">
        <v>4430</v>
      </c>
      <c r="B1906" s="291" t="s">
        <v>11971</v>
      </c>
      <c r="C1906" s="292" t="s">
        <v>48</v>
      </c>
      <c r="D1906" s="293">
        <f t="shared" si="2"/>
        <v>1</v>
      </c>
      <c r="E1906" s="294"/>
      <c r="F1906" s="295" t="str">
        <f>IFERROR(__xludf.DUMMYFUNCTION("IF(B1906="""","""",IFERROR(VLOOKUP(TO_TEXT(B1906),PEDIDOS!D:I,6,0),IFERROR(VLOOKUP(B1906*1,PEDIDOS!D:I,6,0),"" "")))"),"ENTREGUE")</f>
        <v>ENTREGUE</v>
      </c>
      <c r="G1906" s="303"/>
      <c r="H1906" s="304"/>
    </row>
    <row r="1907">
      <c r="A1907" s="302" t="s">
        <v>4430</v>
      </c>
      <c r="B1907" s="291" t="s">
        <v>11975</v>
      </c>
      <c r="C1907" s="292" t="s">
        <v>48</v>
      </c>
      <c r="D1907" s="293">
        <f t="shared" si="2"/>
        <v>1</v>
      </c>
      <c r="E1907" s="294"/>
      <c r="F1907" s="295" t="str">
        <f>IFERROR(__xludf.DUMMYFUNCTION("IF(B1907="""","""",IFERROR(VLOOKUP(TO_TEXT(B1907),PEDIDOS!D:I,6,0),IFERROR(VLOOKUP(B1907*1,PEDIDOS!D:I,6,0),"" "")))"),"ENTREGUE")</f>
        <v>ENTREGUE</v>
      </c>
      <c r="G1907" s="303"/>
      <c r="H1907" s="304"/>
    </row>
    <row r="1908">
      <c r="A1908" s="302" t="s">
        <v>4430</v>
      </c>
      <c r="B1908" s="291" t="s">
        <v>23388</v>
      </c>
      <c r="C1908" s="292" t="s">
        <v>48</v>
      </c>
      <c r="D1908" s="293">
        <f t="shared" si="2"/>
        <v>1</v>
      </c>
      <c r="E1908" s="294"/>
      <c r="F1908" s="295" t="str">
        <f>IFERROR(__xludf.DUMMYFUNCTION("IF(B1908="""","""",IFERROR(VLOOKUP(TO_TEXT(B1908),PEDIDOS!D:I,6,0),IFERROR(VLOOKUP(B1908*1,PEDIDOS!D:I,6,0),"" "")))")," ")</f>
        <v> </v>
      </c>
      <c r="G1908" s="305" t="s">
        <v>4129</v>
      </c>
      <c r="H1908" s="305" t="s">
        <v>4129</v>
      </c>
    </row>
    <row r="1909">
      <c r="A1909" s="302" t="s">
        <v>4430</v>
      </c>
      <c r="B1909" s="291" t="s">
        <v>23389</v>
      </c>
      <c r="C1909" s="292" t="s">
        <v>48</v>
      </c>
      <c r="D1909" s="293">
        <f t="shared" si="2"/>
        <v>1</v>
      </c>
      <c r="E1909" s="294"/>
      <c r="F1909" s="295" t="str">
        <f>IFERROR(__xludf.DUMMYFUNCTION("IF(B1909="""","""",IFERROR(VLOOKUP(TO_TEXT(B1909),PEDIDOS!D:I,6,0),IFERROR(VLOOKUP(B1909*1,PEDIDOS!D:I,6,0),"" "")))")," ")</f>
        <v> </v>
      </c>
      <c r="G1909" s="305" t="s">
        <v>4129</v>
      </c>
      <c r="H1909" s="305" t="s">
        <v>4129</v>
      </c>
    </row>
    <row r="1910">
      <c r="A1910" s="302" t="s">
        <v>4430</v>
      </c>
      <c r="B1910" s="291" t="s">
        <v>11492</v>
      </c>
      <c r="C1910" s="292" t="s">
        <v>48</v>
      </c>
      <c r="D1910" s="293">
        <f t="shared" si="2"/>
        <v>1</v>
      </c>
      <c r="E1910" s="294"/>
      <c r="F1910" s="295" t="str">
        <f>IFERROR(__xludf.DUMMYFUNCTION("IF(B1910="""","""",IFERROR(VLOOKUP(TO_TEXT(B1910),PEDIDOS!D:I,6,0),IFERROR(VLOOKUP(B1910*1,PEDIDOS!D:I,6,0),"" "")))"),"ENTREGUE")</f>
        <v>ENTREGUE</v>
      </c>
      <c r="G1910" s="303"/>
      <c r="H1910" s="304"/>
    </row>
    <row r="1911">
      <c r="A1911" s="302" t="s">
        <v>4430</v>
      </c>
      <c r="B1911" s="291" t="s">
        <v>11489</v>
      </c>
      <c r="C1911" s="292" t="s">
        <v>48</v>
      </c>
      <c r="D1911" s="293">
        <f t="shared" si="2"/>
        <v>1</v>
      </c>
      <c r="E1911" s="294"/>
      <c r="F1911" s="295" t="str">
        <f>IFERROR(__xludf.DUMMYFUNCTION("IF(B1911="""","""",IFERROR(VLOOKUP(TO_TEXT(B1911),PEDIDOS!D:I,6,0),IFERROR(VLOOKUP(B1911*1,PEDIDOS!D:I,6,0),"" "")))"),"ENTREGUE")</f>
        <v>ENTREGUE</v>
      </c>
      <c r="G1911" s="303"/>
      <c r="H1911" s="304"/>
    </row>
    <row r="1912">
      <c r="A1912" s="302" t="s">
        <v>4430</v>
      </c>
      <c r="B1912" s="291" t="s">
        <v>11484</v>
      </c>
      <c r="C1912" s="292" t="s">
        <v>48</v>
      </c>
      <c r="D1912" s="293">
        <f t="shared" si="2"/>
        <v>1</v>
      </c>
      <c r="E1912" s="294"/>
      <c r="F1912" s="295" t="str">
        <f>IFERROR(__xludf.DUMMYFUNCTION("IF(B1912="""","""",IFERROR(VLOOKUP(TO_TEXT(B1912),PEDIDOS!D:I,6,0),IFERROR(VLOOKUP(B1912*1,PEDIDOS!D:I,6,0),"" "")))"),"ENTREGUE")</f>
        <v>ENTREGUE</v>
      </c>
      <c r="G1912" s="303"/>
      <c r="H1912" s="304"/>
    </row>
    <row r="1913">
      <c r="A1913" s="302" t="s">
        <v>4430</v>
      </c>
      <c r="B1913" s="291" t="s">
        <v>11598</v>
      </c>
      <c r="C1913" s="292" t="s">
        <v>48</v>
      </c>
      <c r="D1913" s="293">
        <f t="shared" si="2"/>
        <v>1</v>
      </c>
      <c r="E1913" s="294"/>
      <c r="F1913" s="295" t="str">
        <f>IFERROR(__xludf.DUMMYFUNCTION("IF(B1913="""","""",IFERROR(VLOOKUP(TO_TEXT(B1913),PEDIDOS!D:I,6,0),IFERROR(VLOOKUP(B1913*1,PEDIDOS!D:I,6,0),"" "")))"),"ENTREGUE")</f>
        <v>ENTREGUE</v>
      </c>
      <c r="G1913" s="303"/>
      <c r="H1913" s="304"/>
    </row>
    <row r="1914">
      <c r="A1914" s="302" t="s">
        <v>4430</v>
      </c>
      <c r="B1914" s="291" t="s">
        <v>12369</v>
      </c>
      <c r="C1914" s="292" t="s">
        <v>48</v>
      </c>
      <c r="D1914" s="293">
        <f t="shared" si="2"/>
        <v>1</v>
      </c>
      <c r="E1914" s="294"/>
      <c r="F1914" s="295" t="str">
        <f>IFERROR(__xludf.DUMMYFUNCTION("IF(B1914="""","""",IFERROR(VLOOKUP(TO_TEXT(B1914),PEDIDOS!D:I,6,0),IFERROR(VLOOKUP(B1914*1,PEDIDOS!D:I,6,0),"" "")))"),"ENTREGUE")</f>
        <v>ENTREGUE</v>
      </c>
      <c r="G1914" s="303"/>
      <c r="H1914" s="304"/>
    </row>
    <row r="1915">
      <c r="A1915" s="302" t="s">
        <v>4430</v>
      </c>
      <c r="B1915" s="291" t="s">
        <v>11993</v>
      </c>
      <c r="C1915" s="292" t="s">
        <v>48</v>
      </c>
      <c r="D1915" s="293">
        <f t="shared" si="2"/>
        <v>1</v>
      </c>
      <c r="E1915" s="294"/>
      <c r="F1915" s="295" t="str">
        <f>IFERROR(__xludf.DUMMYFUNCTION("IF(B1915="""","""",IFERROR(VLOOKUP(TO_TEXT(B1915),PEDIDOS!D:I,6,0),IFERROR(VLOOKUP(B1915*1,PEDIDOS!D:I,6,0),"" "")))"),"ENTREGUE")</f>
        <v>ENTREGUE</v>
      </c>
      <c r="G1915" s="303"/>
      <c r="H1915" s="304"/>
    </row>
    <row r="1916">
      <c r="A1916" s="302" t="s">
        <v>4430</v>
      </c>
      <c r="B1916" s="291" t="s">
        <v>12047</v>
      </c>
      <c r="C1916" s="292" t="s">
        <v>48</v>
      </c>
      <c r="D1916" s="293">
        <f t="shared" si="2"/>
        <v>1</v>
      </c>
      <c r="E1916" s="294"/>
      <c r="F1916" s="295" t="str">
        <f>IFERROR(__xludf.DUMMYFUNCTION("IF(B1916="""","""",IFERROR(VLOOKUP(TO_TEXT(B1916),PEDIDOS!D:I,6,0),IFERROR(VLOOKUP(B1916*1,PEDIDOS!D:I,6,0),"" "")))"),"ENTREGUE")</f>
        <v>ENTREGUE</v>
      </c>
      <c r="G1916" s="303"/>
      <c r="H1916" s="304"/>
    </row>
    <row r="1917">
      <c r="A1917" s="302" t="s">
        <v>4430</v>
      </c>
      <c r="B1917" s="291" t="s">
        <v>12159</v>
      </c>
      <c r="C1917" s="292" t="s">
        <v>48</v>
      </c>
      <c r="D1917" s="293">
        <f t="shared" si="2"/>
        <v>1</v>
      </c>
      <c r="E1917" s="294"/>
      <c r="F1917" s="295" t="str">
        <f>IFERROR(__xludf.DUMMYFUNCTION("IF(B1917="""","""",IFERROR(VLOOKUP(TO_TEXT(B1917),PEDIDOS!D:I,6,0),IFERROR(VLOOKUP(B1917*1,PEDIDOS!D:I,6,0),"" "")))"),"ENTREGUE")</f>
        <v>ENTREGUE</v>
      </c>
      <c r="G1917" s="303"/>
      <c r="H1917" s="304"/>
    </row>
    <row r="1918">
      <c r="A1918" s="302" t="s">
        <v>4430</v>
      </c>
      <c r="B1918" s="291" t="s">
        <v>12185</v>
      </c>
      <c r="C1918" s="292" t="s">
        <v>48</v>
      </c>
      <c r="D1918" s="293">
        <f t="shared" si="2"/>
        <v>1</v>
      </c>
      <c r="E1918" s="294"/>
      <c r="F1918" s="295" t="str">
        <f>IFERROR(__xludf.DUMMYFUNCTION("IF(B1918="""","""",IFERROR(VLOOKUP(TO_TEXT(B1918),PEDIDOS!D:I,6,0),IFERROR(VLOOKUP(B1918*1,PEDIDOS!D:I,6,0),"" "")))"),"ENTREGUE")</f>
        <v>ENTREGUE</v>
      </c>
      <c r="G1918" s="303"/>
      <c r="H1918" s="304"/>
    </row>
    <row r="1919">
      <c r="A1919" s="302" t="s">
        <v>4430</v>
      </c>
      <c r="B1919" s="291" t="s">
        <v>8052</v>
      </c>
      <c r="C1919" s="292" t="s">
        <v>48</v>
      </c>
      <c r="D1919" s="293">
        <f t="shared" si="2"/>
        <v>1</v>
      </c>
      <c r="E1919" s="294"/>
      <c r="F1919" s="295" t="str">
        <f>IFERROR(__xludf.DUMMYFUNCTION("IF(B1919="""","""",IFERROR(VLOOKUP(TO_TEXT(B1919),PEDIDOS!D:I,6,0),IFERROR(VLOOKUP(B1919*1,PEDIDOS!D:I,6,0),"" "")))"),"ENTREGUE")</f>
        <v>ENTREGUE</v>
      </c>
      <c r="G1919" s="303"/>
      <c r="H1919" s="304"/>
    </row>
    <row r="1920">
      <c r="A1920" s="302" t="s">
        <v>4430</v>
      </c>
      <c r="B1920" s="291" t="s">
        <v>8059</v>
      </c>
      <c r="C1920" s="292" t="s">
        <v>48</v>
      </c>
      <c r="D1920" s="293">
        <f t="shared" si="2"/>
        <v>1</v>
      </c>
      <c r="E1920" s="294"/>
      <c r="F1920" s="295" t="str">
        <f>IFERROR(__xludf.DUMMYFUNCTION("IF(B1920="""","""",IFERROR(VLOOKUP(TO_TEXT(B1920),PEDIDOS!D:I,6,0),IFERROR(VLOOKUP(B1920*1,PEDIDOS!D:I,6,0),"" "")))"),"ENTREGUE")</f>
        <v>ENTREGUE</v>
      </c>
      <c r="G1920" s="303"/>
      <c r="H1920" s="304"/>
    </row>
    <row r="1921">
      <c r="A1921" s="302" t="s">
        <v>4430</v>
      </c>
      <c r="B1921" s="291" t="s">
        <v>8056</v>
      </c>
      <c r="C1921" s="292" t="s">
        <v>48</v>
      </c>
      <c r="D1921" s="293">
        <f t="shared" si="2"/>
        <v>1</v>
      </c>
      <c r="E1921" s="294"/>
      <c r="F1921" s="295" t="str">
        <f>IFERROR(__xludf.DUMMYFUNCTION("IF(B1921="""","""",IFERROR(VLOOKUP(TO_TEXT(B1921),PEDIDOS!D:I,6,0),IFERROR(VLOOKUP(B1921*1,PEDIDOS!D:I,6,0),"" "")))"),"ENTREGUE")</f>
        <v>ENTREGUE</v>
      </c>
      <c r="G1921" s="303"/>
      <c r="H1921" s="304"/>
    </row>
    <row r="1922">
      <c r="A1922" s="302" t="s">
        <v>4430</v>
      </c>
      <c r="B1922" s="291" t="s">
        <v>12373</v>
      </c>
      <c r="C1922" s="292" t="s">
        <v>48</v>
      </c>
      <c r="D1922" s="293">
        <f t="shared" si="2"/>
        <v>1</v>
      </c>
      <c r="E1922" s="294"/>
      <c r="F1922" s="295" t="str">
        <f>IFERROR(__xludf.DUMMYFUNCTION("IF(B1922="""","""",IFERROR(VLOOKUP(TO_TEXT(B1922),PEDIDOS!D:I,6,0),IFERROR(VLOOKUP(B1922*1,PEDIDOS!D:I,6,0),"" "")))"),"ENTREGUE")</f>
        <v>ENTREGUE</v>
      </c>
      <c r="G1922" s="303"/>
      <c r="H1922" s="304"/>
    </row>
    <row r="1923">
      <c r="A1923" s="302" t="s">
        <v>4430</v>
      </c>
      <c r="B1923" s="291" t="s">
        <v>23390</v>
      </c>
      <c r="C1923" s="292" t="s">
        <v>48</v>
      </c>
      <c r="D1923" s="293">
        <f t="shared" si="2"/>
        <v>1</v>
      </c>
      <c r="E1923" s="294"/>
      <c r="F1923" s="295" t="str">
        <f>IFERROR(__xludf.DUMMYFUNCTION("IF(B1923="""","""",IFERROR(VLOOKUP(TO_TEXT(B1923),PEDIDOS!D:I,6,0),IFERROR(VLOOKUP(B1923*1,PEDIDOS!D:I,6,0),"" "")))")," ")</f>
        <v> </v>
      </c>
      <c r="G1923" s="307" t="s">
        <v>23334</v>
      </c>
      <c r="H1923" s="304"/>
    </row>
    <row r="1924">
      <c r="A1924" s="302" t="s">
        <v>3395</v>
      </c>
      <c r="B1924" s="291" t="s">
        <v>11529</v>
      </c>
      <c r="C1924" s="292" t="s">
        <v>48</v>
      </c>
      <c r="D1924" s="293">
        <f t="shared" si="2"/>
        <v>1</v>
      </c>
      <c r="E1924" s="294"/>
      <c r="F1924" s="295" t="str">
        <f>IFERROR(__xludf.DUMMYFUNCTION("IF(B1924="""","""",IFERROR(VLOOKUP(TO_TEXT(B1924),PEDIDOS!D:I,6,0),IFERROR(VLOOKUP(B1924*1,PEDIDOS!D:I,6,0),"" "")))"),"ENTREGUE")</f>
        <v>ENTREGUE</v>
      </c>
      <c r="G1924" s="303"/>
      <c r="H1924" s="304"/>
    </row>
    <row r="1925">
      <c r="A1925" s="302" t="s">
        <v>3395</v>
      </c>
      <c r="B1925" s="291" t="s">
        <v>12099</v>
      </c>
      <c r="C1925" s="292" t="s">
        <v>48</v>
      </c>
      <c r="D1925" s="293">
        <f t="shared" si="2"/>
        <v>1</v>
      </c>
      <c r="E1925" s="294"/>
      <c r="F1925" s="295" t="str">
        <f>IFERROR(__xludf.DUMMYFUNCTION("IF(B1925="""","""",IFERROR(VLOOKUP(TO_TEXT(B1925),PEDIDOS!D:I,6,0),IFERROR(VLOOKUP(B1925*1,PEDIDOS!D:I,6,0),"" "")))"),"ENTREGUE")</f>
        <v>ENTREGUE</v>
      </c>
      <c r="G1925" s="303"/>
      <c r="H1925" s="304"/>
    </row>
    <row r="1926">
      <c r="A1926" s="302" t="s">
        <v>3395</v>
      </c>
      <c r="B1926" s="291" t="s">
        <v>12349</v>
      </c>
      <c r="C1926" s="292" t="s">
        <v>48</v>
      </c>
      <c r="D1926" s="293">
        <f t="shared" si="2"/>
        <v>1</v>
      </c>
      <c r="E1926" s="294"/>
      <c r="F1926" s="295" t="str">
        <f>IFERROR(__xludf.DUMMYFUNCTION("IF(B1926="""","""",IFERROR(VLOOKUP(TO_TEXT(B1926),PEDIDOS!D:I,6,0),IFERROR(VLOOKUP(B1926*1,PEDIDOS!D:I,6,0),"" "")))"),"ENTREGUE")</f>
        <v>ENTREGUE</v>
      </c>
      <c r="G1926" s="303"/>
      <c r="H1926" s="304"/>
    </row>
    <row r="1927">
      <c r="A1927" s="302" t="s">
        <v>3395</v>
      </c>
      <c r="B1927" s="291" t="s">
        <v>10638</v>
      </c>
      <c r="C1927" s="292" t="s">
        <v>48</v>
      </c>
      <c r="D1927" s="293">
        <f t="shared" si="2"/>
        <v>1</v>
      </c>
      <c r="E1927" s="294"/>
      <c r="F1927" s="295" t="str">
        <f>IFERROR(__xludf.DUMMYFUNCTION("IF(B1927="""","""",IFERROR(VLOOKUP(TO_TEXT(B1927),PEDIDOS!D:I,6,0),IFERROR(VLOOKUP(B1927*1,PEDIDOS!D:I,6,0),"" "")))"),"ENTREGUE")</f>
        <v>ENTREGUE</v>
      </c>
      <c r="G1927" s="303"/>
      <c r="H1927" s="304"/>
    </row>
    <row r="1928">
      <c r="A1928" s="302" t="s">
        <v>3395</v>
      </c>
      <c r="B1928" s="291" t="s">
        <v>10642</v>
      </c>
      <c r="C1928" s="292" t="s">
        <v>48</v>
      </c>
      <c r="D1928" s="293">
        <f t="shared" si="2"/>
        <v>1</v>
      </c>
      <c r="E1928" s="294"/>
      <c r="F1928" s="295" t="str">
        <f>IFERROR(__xludf.DUMMYFUNCTION("IF(B1928="""","""",IFERROR(VLOOKUP(TO_TEXT(B1928),PEDIDOS!D:I,6,0),IFERROR(VLOOKUP(B1928*1,PEDIDOS!D:I,6,0),"" "")))"),"ENTREGUE")</f>
        <v>ENTREGUE</v>
      </c>
      <c r="G1928" s="303"/>
      <c r="H1928" s="304"/>
    </row>
    <row r="1929">
      <c r="A1929" s="302" t="s">
        <v>3395</v>
      </c>
      <c r="B1929" s="291" t="s">
        <v>10645</v>
      </c>
      <c r="C1929" s="292" t="s">
        <v>48</v>
      </c>
      <c r="D1929" s="293">
        <f t="shared" si="2"/>
        <v>1</v>
      </c>
      <c r="E1929" s="294"/>
      <c r="F1929" s="295" t="str">
        <f>IFERROR(__xludf.DUMMYFUNCTION("IF(B1929="""","""",IFERROR(VLOOKUP(TO_TEXT(B1929),PEDIDOS!D:I,6,0),IFERROR(VLOOKUP(B1929*1,PEDIDOS!D:I,6,0),"" "")))"),"ENTREGUE")</f>
        <v>ENTREGUE</v>
      </c>
      <c r="G1929" s="303"/>
      <c r="H1929" s="304"/>
    </row>
    <row r="1930">
      <c r="A1930" s="302" t="s">
        <v>3395</v>
      </c>
      <c r="B1930" s="291" t="s">
        <v>11450</v>
      </c>
      <c r="C1930" s="292" t="s">
        <v>48</v>
      </c>
      <c r="D1930" s="293">
        <f t="shared" si="2"/>
        <v>1</v>
      </c>
      <c r="E1930" s="294"/>
      <c r="F1930" s="295" t="str">
        <f>IFERROR(__xludf.DUMMYFUNCTION("IF(B1930="""","""",IFERROR(VLOOKUP(TO_TEXT(B1930),PEDIDOS!D:I,6,0),IFERROR(VLOOKUP(B1930*1,PEDIDOS!D:I,6,0),"" "")))"),"ENTREGUE")</f>
        <v>ENTREGUE</v>
      </c>
      <c r="G1930" s="303"/>
      <c r="H1930" s="304"/>
    </row>
    <row r="1931">
      <c r="A1931" s="302" t="s">
        <v>3395</v>
      </c>
      <c r="B1931" s="291" t="s">
        <v>11926</v>
      </c>
      <c r="C1931" s="292" t="s">
        <v>48</v>
      </c>
      <c r="D1931" s="293">
        <f t="shared" si="2"/>
        <v>1</v>
      </c>
      <c r="E1931" s="294"/>
      <c r="F1931" s="295" t="str">
        <f>IFERROR(__xludf.DUMMYFUNCTION("IF(B1931="""","""",IFERROR(VLOOKUP(TO_TEXT(B1931),PEDIDOS!D:I,6,0),IFERROR(VLOOKUP(B1931*1,PEDIDOS!D:I,6,0),"" "")))"),"ENTREGUE")</f>
        <v>ENTREGUE</v>
      </c>
      <c r="G1931" s="303"/>
      <c r="H1931" s="304"/>
    </row>
    <row r="1932">
      <c r="A1932" s="302" t="s">
        <v>3395</v>
      </c>
      <c r="B1932" s="291" t="s">
        <v>12107</v>
      </c>
      <c r="C1932" s="292" t="s">
        <v>48</v>
      </c>
      <c r="D1932" s="293">
        <f t="shared" si="2"/>
        <v>1</v>
      </c>
      <c r="E1932" s="294"/>
      <c r="F1932" s="295" t="str">
        <f>IFERROR(__xludf.DUMMYFUNCTION("IF(B1932="""","""",IFERROR(VLOOKUP(TO_TEXT(B1932),PEDIDOS!D:I,6,0),IFERROR(VLOOKUP(B1932*1,PEDIDOS!D:I,6,0),"" "")))"),"ENTREGUE")</f>
        <v>ENTREGUE</v>
      </c>
      <c r="G1932" s="303"/>
      <c r="H1932" s="304"/>
    </row>
    <row r="1933">
      <c r="A1933" s="302" t="s">
        <v>3395</v>
      </c>
      <c r="B1933" s="291" t="s">
        <v>12264</v>
      </c>
      <c r="C1933" s="292" t="s">
        <v>48</v>
      </c>
      <c r="D1933" s="293">
        <f t="shared" si="2"/>
        <v>1</v>
      </c>
      <c r="E1933" s="294"/>
      <c r="F1933" s="295" t="str">
        <f>IFERROR(__xludf.DUMMYFUNCTION("IF(B1933="""","""",IFERROR(VLOOKUP(TO_TEXT(B1933),PEDIDOS!D:I,6,0),IFERROR(VLOOKUP(B1933*1,PEDIDOS!D:I,6,0),"" "")))"),"ENTREGUE")</f>
        <v>ENTREGUE</v>
      </c>
      <c r="G1933" s="303"/>
      <c r="H1933" s="304"/>
    </row>
    <row r="1934">
      <c r="A1934" s="302" t="s">
        <v>3395</v>
      </c>
      <c r="B1934" s="291" t="s">
        <v>12288</v>
      </c>
      <c r="C1934" s="292" t="s">
        <v>48</v>
      </c>
      <c r="D1934" s="293">
        <f t="shared" si="2"/>
        <v>1</v>
      </c>
      <c r="E1934" s="294"/>
      <c r="F1934" s="295" t="str">
        <f>IFERROR(__xludf.DUMMYFUNCTION("IF(B1934="""","""",IFERROR(VLOOKUP(TO_TEXT(B1934),PEDIDOS!D:I,6,0),IFERROR(VLOOKUP(B1934*1,PEDIDOS!D:I,6,0),"" "")))"),"ENTREGUE")</f>
        <v>ENTREGUE</v>
      </c>
      <c r="G1934" s="303"/>
      <c r="H1934" s="304"/>
    </row>
    <row r="1935">
      <c r="A1935" s="302" t="s">
        <v>3395</v>
      </c>
      <c r="B1935" s="291" t="s">
        <v>12769</v>
      </c>
      <c r="C1935" s="292" t="s">
        <v>48</v>
      </c>
      <c r="D1935" s="293">
        <f t="shared" si="2"/>
        <v>1</v>
      </c>
      <c r="E1935" s="294"/>
      <c r="F1935" s="295" t="str">
        <f>IFERROR(__xludf.DUMMYFUNCTION("IF(B1935="""","""",IFERROR(VLOOKUP(TO_TEXT(B1935),PEDIDOS!D:I,6,0),IFERROR(VLOOKUP(B1935*1,PEDIDOS!D:I,6,0),"" "")))"),"ENTREGUE")</f>
        <v>ENTREGUE</v>
      </c>
      <c r="G1935" s="303"/>
      <c r="H1935" s="304"/>
    </row>
    <row r="1936">
      <c r="A1936" s="302" t="s">
        <v>3395</v>
      </c>
      <c r="B1936" s="291" t="s">
        <v>13959</v>
      </c>
      <c r="C1936" s="292" t="s">
        <v>48</v>
      </c>
      <c r="D1936" s="293">
        <f t="shared" si="2"/>
        <v>1</v>
      </c>
      <c r="E1936" s="294"/>
      <c r="F1936" s="295" t="str">
        <f>IFERROR(__xludf.DUMMYFUNCTION("IF(B1936="""","""",IFERROR(VLOOKUP(TO_TEXT(B1936),PEDIDOS!D:I,6,0),IFERROR(VLOOKUP(B1936*1,PEDIDOS!D:I,6,0),"" "")))"),"ENTREGUE")</f>
        <v>ENTREGUE</v>
      </c>
      <c r="G1936" s="303"/>
      <c r="H1936" s="304"/>
    </row>
    <row r="1937">
      <c r="A1937" s="302" t="s">
        <v>3395</v>
      </c>
      <c r="B1937" s="291" t="s">
        <v>13226</v>
      </c>
      <c r="C1937" s="292" t="s">
        <v>48</v>
      </c>
      <c r="D1937" s="293">
        <f t="shared" si="2"/>
        <v>1</v>
      </c>
      <c r="E1937" s="294"/>
      <c r="F1937" s="295" t="str">
        <f>IFERROR(__xludf.DUMMYFUNCTION("IF(B1937="""","""",IFERROR(VLOOKUP(TO_TEXT(B1937),PEDIDOS!D:I,6,0),IFERROR(VLOOKUP(B1937*1,PEDIDOS!D:I,6,0),"" "")))"),"ENTREGUE")</f>
        <v>ENTREGUE</v>
      </c>
      <c r="G1937" s="303"/>
      <c r="H1937" s="304"/>
    </row>
    <row r="1938">
      <c r="A1938" s="302" t="s">
        <v>3395</v>
      </c>
      <c r="B1938" s="291" t="s">
        <v>11556</v>
      </c>
      <c r="C1938" s="292" t="s">
        <v>48</v>
      </c>
      <c r="D1938" s="293">
        <f t="shared" si="2"/>
        <v>1</v>
      </c>
      <c r="E1938" s="294"/>
      <c r="F1938" s="295" t="str">
        <f>IFERROR(__xludf.DUMMYFUNCTION("IF(B1938="""","""",IFERROR(VLOOKUP(TO_TEXT(B1938),PEDIDOS!D:I,6,0),IFERROR(VLOOKUP(B1938*1,PEDIDOS!D:I,6,0),"" "")))"),"ENTREGUE")</f>
        <v>ENTREGUE</v>
      </c>
      <c r="G1938" s="303"/>
      <c r="H1938" s="304"/>
    </row>
    <row r="1939">
      <c r="A1939" s="302" t="s">
        <v>3395</v>
      </c>
      <c r="B1939" s="291" t="s">
        <v>13032</v>
      </c>
      <c r="C1939" s="292" t="s">
        <v>48</v>
      </c>
      <c r="D1939" s="293">
        <f t="shared" si="2"/>
        <v>1</v>
      </c>
      <c r="E1939" s="294"/>
      <c r="F1939" s="295" t="str">
        <f>IFERROR(__xludf.DUMMYFUNCTION("IF(B1939="""","""",IFERROR(VLOOKUP(TO_TEXT(B1939),PEDIDOS!D:I,6,0),IFERROR(VLOOKUP(B1939*1,PEDIDOS!D:I,6,0),"" "")))"),"ENTREGUE")</f>
        <v>ENTREGUE</v>
      </c>
      <c r="G1939" s="303"/>
      <c r="H1939" s="304"/>
    </row>
    <row r="1940">
      <c r="A1940" s="302" t="s">
        <v>3395</v>
      </c>
      <c r="B1940" s="291" t="s">
        <v>12806</v>
      </c>
      <c r="C1940" s="292" t="s">
        <v>48</v>
      </c>
      <c r="D1940" s="293">
        <f t="shared" si="2"/>
        <v>1</v>
      </c>
      <c r="E1940" s="294"/>
      <c r="F1940" s="295" t="str">
        <f>IFERROR(__xludf.DUMMYFUNCTION("IF(B1940="""","""",IFERROR(VLOOKUP(TO_TEXT(B1940),PEDIDOS!D:I,6,0),IFERROR(VLOOKUP(B1940*1,PEDIDOS!D:I,6,0),"" "")))"),"ENTREGUE")</f>
        <v>ENTREGUE</v>
      </c>
      <c r="G1940" s="303"/>
      <c r="H1940" s="304"/>
    </row>
    <row r="1941">
      <c r="A1941" s="302" t="s">
        <v>3395</v>
      </c>
      <c r="B1941" s="291" t="s">
        <v>12922</v>
      </c>
      <c r="C1941" s="292" t="s">
        <v>48</v>
      </c>
      <c r="D1941" s="293">
        <f t="shared" si="2"/>
        <v>1</v>
      </c>
      <c r="E1941" s="294"/>
      <c r="F1941" s="295" t="str">
        <f>IFERROR(__xludf.DUMMYFUNCTION("IF(B1941="""","""",IFERROR(VLOOKUP(TO_TEXT(B1941),PEDIDOS!D:I,6,0),IFERROR(VLOOKUP(B1941*1,PEDIDOS!D:I,6,0),"" "")))"),"ENTREGUE")</f>
        <v>ENTREGUE</v>
      </c>
      <c r="G1941" s="303"/>
      <c r="H1941" s="304"/>
    </row>
    <row r="1942">
      <c r="A1942" s="302" t="s">
        <v>3395</v>
      </c>
      <c r="B1942" s="291" t="s">
        <v>13341</v>
      </c>
      <c r="C1942" s="292" t="s">
        <v>48</v>
      </c>
      <c r="D1942" s="293">
        <f t="shared" si="2"/>
        <v>1</v>
      </c>
      <c r="E1942" s="294"/>
      <c r="F1942" s="295" t="str">
        <f>IFERROR(__xludf.DUMMYFUNCTION("IF(B1942="""","""",IFERROR(VLOOKUP(TO_TEXT(B1942),PEDIDOS!D:I,6,0),IFERROR(VLOOKUP(B1942*1,PEDIDOS!D:I,6,0),"" "")))"),"ENTREGUE")</f>
        <v>ENTREGUE</v>
      </c>
      <c r="G1942" s="303"/>
      <c r="H1942" s="304"/>
    </row>
    <row r="1943">
      <c r="A1943" s="302" t="s">
        <v>3395</v>
      </c>
      <c r="B1943" s="291" t="s">
        <v>12414</v>
      </c>
      <c r="C1943" s="292" t="s">
        <v>48</v>
      </c>
      <c r="D1943" s="293">
        <f t="shared" si="2"/>
        <v>1</v>
      </c>
      <c r="E1943" s="294"/>
      <c r="F1943" s="295" t="str">
        <f>IFERROR(__xludf.DUMMYFUNCTION("IF(B1943="""","""",IFERROR(VLOOKUP(TO_TEXT(B1943),PEDIDOS!D:I,6,0),IFERROR(VLOOKUP(B1943*1,PEDIDOS!D:I,6,0),"" "")))"),"ENTREGUE")</f>
        <v>ENTREGUE</v>
      </c>
      <c r="G1943" s="303"/>
      <c r="H1943" s="304"/>
    </row>
    <row r="1944">
      <c r="A1944" s="302" t="s">
        <v>3395</v>
      </c>
      <c r="B1944" s="291" t="s">
        <v>12673</v>
      </c>
      <c r="C1944" s="292" t="s">
        <v>48</v>
      </c>
      <c r="D1944" s="293">
        <f t="shared" si="2"/>
        <v>1</v>
      </c>
      <c r="E1944" s="294"/>
      <c r="F1944" s="295" t="str">
        <f>IFERROR(__xludf.DUMMYFUNCTION("IF(B1944="""","""",IFERROR(VLOOKUP(TO_TEXT(B1944),PEDIDOS!D:I,6,0),IFERROR(VLOOKUP(B1944*1,PEDIDOS!D:I,6,0),"" "")))"),"ENTREGUE")</f>
        <v>ENTREGUE</v>
      </c>
      <c r="G1944" s="303"/>
      <c r="H1944" s="304"/>
    </row>
    <row r="1945">
      <c r="A1945" s="302" t="s">
        <v>3395</v>
      </c>
      <c r="B1945" s="291" t="s">
        <v>12494</v>
      </c>
      <c r="C1945" s="292" t="s">
        <v>48</v>
      </c>
      <c r="D1945" s="293">
        <f t="shared" si="2"/>
        <v>1</v>
      </c>
      <c r="E1945" s="294"/>
      <c r="F1945" s="295" t="str">
        <f>IFERROR(__xludf.DUMMYFUNCTION("IF(B1945="""","""",IFERROR(VLOOKUP(TO_TEXT(B1945),PEDIDOS!D:I,6,0),IFERROR(VLOOKUP(B1945*1,PEDIDOS!D:I,6,0),"" "")))"),"ENTREGUE")</f>
        <v>ENTREGUE</v>
      </c>
      <c r="G1945" s="303"/>
      <c r="H1945" s="304"/>
    </row>
    <row r="1946">
      <c r="A1946" s="302" t="s">
        <v>3395</v>
      </c>
      <c r="B1946" s="291" t="s">
        <v>13329</v>
      </c>
      <c r="C1946" s="292" t="s">
        <v>48</v>
      </c>
      <c r="D1946" s="293">
        <f t="shared" si="2"/>
        <v>1</v>
      </c>
      <c r="E1946" s="294"/>
      <c r="F1946" s="295" t="str">
        <f>IFERROR(__xludf.DUMMYFUNCTION("IF(B1946="""","""",IFERROR(VLOOKUP(TO_TEXT(B1946),PEDIDOS!D:I,6,0),IFERROR(VLOOKUP(B1946*1,PEDIDOS!D:I,6,0),"" "")))"),"ENTREGUE")</f>
        <v>ENTREGUE</v>
      </c>
      <c r="G1946" s="303"/>
      <c r="H1946" s="304"/>
    </row>
    <row r="1947">
      <c r="A1947" s="302" t="s">
        <v>3395</v>
      </c>
      <c r="B1947" s="291" t="s">
        <v>14789</v>
      </c>
      <c r="C1947" s="292" t="s">
        <v>48</v>
      </c>
      <c r="D1947" s="293">
        <f t="shared" si="2"/>
        <v>1</v>
      </c>
      <c r="E1947" s="294"/>
      <c r="F1947" s="295" t="str">
        <f>IFERROR(__xludf.DUMMYFUNCTION("IF(B1947="""","""",IFERROR(VLOOKUP(TO_TEXT(B1947),PEDIDOS!D:I,6,0),IFERROR(VLOOKUP(B1947*1,PEDIDOS!D:I,6,0),"" "")))"),"ENTREGUE")</f>
        <v>ENTREGUE</v>
      </c>
      <c r="G1947" s="303"/>
      <c r="H1947" s="304"/>
    </row>
    <row r="1948">
      <c r="A1948" s="302" t="s">
        <v>3395</v>
      </c>
      <c r="B1948" s="291" t="s">
        <v>12870</v>
      </c>
      <c r="C1948" s="292" t="s">
        <v>48</v>
      </c>
      <c r="D1948" s="293">
        <f t="shared" si="2"/>
        <v>1</v>
      </c>
      <c r="E1948" s="294"/>
      <c r="F1948" s="295" t="str">
        <f>IFERROR(__xludf.DUMMYFUNCTION("IF(B1948="""","""",IFERROR(VLOOKUP(TO_TEXT(B1948),PEDIDOS!D:I,6,0),IFERROR(VLOOKUP(B1948*1,PEDIDOS!D:I,6,0),"" "")))"),"ENTREGUE")</f>
        <v>ENTREGUE</v>
      </c>
      <c r="G1948" s="303"/>
      <c r="H1948" s="304"/>
    </row>
    <row r="1949">
      <c r="A1949" s="302" t="s">
        <v>3441</v>
      </c>
      <c r="B1949" s="291" t="s">
        <v>10402</v>
      </c>
      <c r="C1949" s="292" t="s">
        <v>48</v>
      </c>
      <c r="D1949" s="293">
        <f t="shared" si="2"/>
        <v>1</v>
      </c>
      <c r="E1949" s="294"/>
      <c r="F1949" s="295" t="str">
        <f>IFERROR(__xludf.DUMMYFUNCTION("IF(B1949="""","""",IFERROR(VLOOKUP(TO_TEXT(B1949),PEDIDOS!D:I,6,0),IFERROR(VLOOKUP(B1949*1,PEDIDOS!D:I,6,0),"" "")))"),"ENTREGUE")</f>
        <v>ENTREGUE</v>
      </c>
      <c r="G1949" s="303"/>
      <c r="H1949" s="304"/>
    </row>
    <row r="1950">
      <c r="A1950" s="302" t="s">
        <v>3441</v>
      </c>
      <c r="B1950" s="291" t="s">
        <v>10431</v>
      </c>
      <c r="C1950" s="292" t="s">
        <v>48</v>
      </c>
      <c r="D1950" s="293">
        <f t="shared" si="2"/>
        <v>1</v>
      </c>
      <c r="E1950" s="294"/>
      <c r="F1950" s="295" t="str">
        <f>IFERROR(__xludf.DUMMYFUNCTION("IF(B1950="""","""",IFERROR(VLOOKUP(TO_TEXT(B1950),PEDIDOS!D:I,6,0),IFERROR(VLOOKUP(B1950*1,PEDIDOS!D:I,6,0),"" "")))"),"ENTREGUE")</f>
        <v>ENTREGUE</v>
      </c>
      <c r="G1950" s="303"/>
      <c r="H1950" s="304"/>
    </row>
    <row r="1951">
      <c r="A1951" s="302" t="s">
        <v>3441</v>
      </c>
      <c r="B1951" s="291" t="s">
        <v>11611</v>
      </c>
      <c r="C1951" s="292" t="s">
        <v>48</v>
      </c>
      <c r="D1951" s="293">
        <f t="shared" si="2"/>
        <v>1</v>
      </c>
      <c r="E1951" s="294"/>
      <c r="F1951" s="295" t="str">
        <f>IFERROR(__xludf.DUMMYFUNCTION("IF(B1951="""","""",IFERROR(VLOOKUP(TO_TEXT(B1951),PEDIDOS!D:I,6,0),IFERROR(VLOOKUP(B1951*1,PEDIDOS!D:I,6,0),"" "")))"),"ENTREGUE")</f>
        <v>ENTREGUE</v>
      </c>
      <c r="G1951" s="303"/>
      <c r="H1951" s="304"/>
    </row>
    <row r="1952">
      <c r="A1952" s="302" t="s">
        <v>3441</v>
      </c>
      <c r="B1952" s="291" t="s">
        <v>11978</v>
      </c>
      <c r="C1952" s="292" t="s">
        <v>48</v>
      </c>
      <c r="D1952" s="293">
        <f t="shared" si="2"/>
        <v>1</v>
      </c>
      <c r="E1952" s="294"/>
      <c r="F1952" s="295" t="str">
        <f>IFERROR(__xludf.DUMMYFUNCTION("IF(B1952="""","""",IFERROR(VLOOKUP(TO_TEXT(B1952),PEDIDOS!D:I,6,0),IFERROR(VLOOKUP(B1952*1,PEDIDOS!D:I,6,0),"" "")))"),"ENTREGUE")</f>
        <v>ENTREGUE</v>
      </c>
      <c r="G1952" s="303"/>
      <c r="H1952" s="304"/>
    </row>
    <row r="1953">
      <c r="A1953" s="302" t="s">
        <v>3441</v>
      </c>
      <c r="B1953" s="291" t="s">
        <v>12443</v>
      </c>
      <c r="C1953" s="292" t="s">
        <v>48</v>
      </c>
      <c r="D1953" s="293">
        <f t="shared" si="2"/>
        <v>1</v>
      </c>
      <c r="E1953" s="294"/>
      <c r="F1953" s="295" t="str">
        <f>IFERROR(__xludf.DUMMYFUNCTION("IF(B1953="""","""",IFERROR(VLOOKUP(TO_TEXT(B1953),PEDIDOS!D:I,6,0),IFERROR(VLOOKUP(B1953*1,PEDIDOS!D:I,6,0),"" "")))"),"ENTREGUE")</f>
        <v>ENTREGUE</v>
      </c>
      <c r="G1953" s="303"/>
      <c r="H1953" s="304"/>
    </row>
    <row r="1954">
      <c r="A1954" s="302" t="s">
        <v>3441</v>
      </c>
      <c r="B1954" s="291" t="s">
        <v>9522</v>
      </c>
      <c r="C1954" s="292" t="s">
        <v>48</v>
      </c>
      <c r="D1954" s="293">
        <f t="shared" si="2"/>
        <v>1</v>
      </c>
      <c r="E1954" s="294"/>
      <c r="F1954" s="295" t="str">
        <f>IFERROR(__xludf.DUMMYFUNCTION("IF(B1954="""","""",IFERROR(VLOOKUP(TO_TEXT(B1954),PEDIDOS!D:I,6,0),IFERROR(VLOOKUP(B1954*1,PEDIDOS!D:I,6,0),"" "")))"),"ENTREGUE")</f>
        <v>ENTREGUE</v>
      </c>
      <c r="G1954" s="303"/>
      <c r="H1954" s="304"/>
    </row>
    <row r="1955">
      <c r="A1955" s="302" t="s">
        <v>3441</v>
      </c>
      <c r="B1955" s="291" t="s">
        <v>9525</v>
      </c>
      <c r="C1955" s="292" t="s">
        <v>48</v>
      </c>
      <c r="D1955" s="293">
        <f t="shared" si="2"/>
        <v>1</v>
      </c>
      <c r="E1955" s="294"/>
      <c r="F1955" s="295" t="str">
        <f>IFERROR(__xludf.DUMMYFUNCTION("IF(B1955="""","""",IFERROR(VLOOKUP(TO_TEXT(B1955),PEDIDOS!D:I,6,0),IFERROR(VLOOKUP(B1955*1,PEDIDOS!D:I,6,0),"" "")))"),"ENTREGUE")</f>
        <v>ENTREGUE</v>
      </c>
      <c r="G1955" s="303"/>
      <c r="H1955" s="304"/>
    </row>
    <row r="1956">
      <c r="A1956" s="302" t="s">
        <v>3441</v>
      </c>
      <c r="B1956" s="291" t="s">
        <v>9528</v>
      </c>
      <c r="C1956" s="292" t="s">
        <v>48</v>
      </c>
      <c r="D1956" s="293">
        <f t="shared" si="2"/>
        <v>1</v>
      </c>
      <c r="E1956" s="294"/>
      <c r="F1956" s="295" t="str">
        <f>IFERROR(__xludf.DUMMYFUNCTION("IF(B1956="""","""",IFERROR(VLOOKUP(TO_TEXT(B1956),PEDIDOS!D:I,6,0),IFERROR(VLOOKUP(B1956*1,PEDIDOS!D:I,6,0),"" "")))"),"ENTREGUE")</f>
        <v>ENTREGUE</v>
      </c>
      <c r="G1956" s="303"/>
      <c r="H1956" s="304"/>
    </row>
    <row r="1957">
      <c r="A1957" s="302" t="s">
        <v>3441</v>
      </c>
      <c r="B1957" s="291" t="s">
        <v>9540</v>
      </c>
      <c r="C1957" s="292" t="s">
        <v>48</v>
      </c>
      <c r="D1957" s="293">
        <f t="shared" si="2"/>
        <v>1</v>
      </c>
      <c r="E1957" s="294"/>
      <c r="F1957" s="295" t="str">
        <f>IFERROR(__xludf.DUMMYFUNCTION("IF(B1957="""","""",IFERROR(VLOOKUP(TO_TEXT(B1957),PEDIDOS!D:I,6,0),IFERROR(VLOOKUP(B1957*1,PEDIDOS!D:I,6,0),"" "")))"),"ENTREGUE")</f>
        <v>ENTREGUE</v>
      </c>
      <c r="G1957" s="303"/>
      <c r="H1957" s="304"/>
    </row>
    <row r="1958">
      <c r="A1958" s="302" t="s">
        <v>3441</v>
      </c>
      <c r="B1958" s="291" t="s">
        <v>9537</v>
      </c>
      <c r="C1958" s="292" t="s">
        <v>48</v>
      </c>
      <c r="D1958" s="293">
        <f t="shared" si="2"/>
        <v>1</v>
      </c>
      <c r="E1958" s="294"/>
      <c r="F1958" s="295" t="str">
        <f>IFERROR(__xludf.DUMMYFUNCTION("IF(B1958="""","""",IFERROR(VLOOKUP(TO_TEXT(B1958),PEDIDOS!D:I,6,0),IFERROR(VLOOKUP(B1958*1,PEDIDOS!D:I,6,0),"" "")))"),"ENTREGUE")</f>
        <v>ENTREGUE</v>
      </c>
      <c r="G1958" s="303"/>
      <c r="H1958" s="304"/>
    </row>
    <row r="1959">
      <c r="A1959" s="302" t="s">
        <v>3441</v>
      </c>
      <c r="B1959" s="291" t="s">
        <v>9534</v>
      </c>
      <c r="C1959" s="292" t="s">
        <v>48</v>
      </c>
      <c r="D1959" s="293">
        <f t="shared" si="2"/>
        <v>1</v>
      </c>
      <c r="E1959" s="294"/>
      <c r="F1959" s="295" t="str">
        <f>IFERROR(__xludf.DUMMYFUNCTION("IF(B1959="""","""",IFERROR(VLOOKUP(TO_TEXT(B1959),PEDIDOS!D:I,6,0),IFERROR(VLOOKUP(B1959*1,PEDIDOS!D:I,6,0),"" "")))"),"ENTREGUE")</f>
        <v>ENTREGUE</v>
      </c>
      <c r="G1959" s="303"/>
      <c r="H1959" s="304"/>
    </row>
    <row r="1960">
      <c r="A1960" s="302" t="s">
        <v>3441</v>
      </c>
      <c r="B1960" s="291" t="s">
        <v>9531</v>
      </c>
      <c r="C1960" s="292" t="s">
        <v>48</v>
      </c>
      <c r="D1960" s="293">
        <f t="shared" si="2"/>
        <v>1</v>
      </c>
      <c r="E1960" s="294"/>
      <c r="F1960" s="295" t="str">
        <f>IFERROR(__xludf.DUMMYFUNCTION("IF(B1960="""","""",IFERROR(VLOOKUP(TO_TEXT(B1960),PEDIDOS!D:I,6,0),IFERROR(VLOOKUP(B1960*1,PEDIDOS!D:I,6,0),"" "")))"),"ENTREGUE")</f>
        <v>ENTREGUE</v>
      </c>
      <c r="G1960" s="303"/>
      <c r="H1960" s="304"/>
    </row>
    <row r="1961">
      <c r="A1961" s="302" t="s">
        <v>3441</v>
      </c>
      <c r="B1961" s="291" t="s">
        <v>10648</v>
      </c>
      <c r="C1961" s="292" t="s">
        <v>48</v>
      </c>
      <c r="D1961" s="293">
        <f t="shared" si="2"/>
        <v>1</v>
      </c>
      <c r="E1961" s="294"/>
      <c r="F1961" s="295" t="str">
        <f>IFERROR(__xludf.DUMMYFUNCTION("IF(B1961="""","""",IFERROR(VLOOKUP(TO_TEXT(B1961),PEDIDOS!D:I,6,0),IFERROR(VLOOKUP(B1961*1,PEDIDOS!D:I,6,0),"" "")))"),"ENTREGUE")</f>
        <v>ENTREGUE</v>
      </c>
      <c r="G1961" s="303"/>
      <c r="H1961" s="304"/>
    </row>
    <row r="1962">
      <c r="A1962" s="302" t="s">
        <v>3441</v>
      </c>
      <c r="B1962" s="291" t="s">
        <v>10651</v>
      </c>
      <c r="C1962" s="292" t="s">
        <v>48</v>
      </c>
      <c r="D1962" s="293">
        <f t="shared" si="2"/>
        <v>1</v>
      </c>
      <c r="E1962" s="294"/>
      <c r="F1962" s="295" t="str">
        <f>IFERROR(__xludf.DUMMYFUNCTION("IF(B1962="""","""",IFERROR(VLOOKUP(TO_TEXT(B1962),PEDIDOS!D:I,6,0),IFERROR(VLOOKUP(B1962*1,PEDIDOS!D:I,6,0),"" "")))"),"ENTREGUE")</f>
        <v>ENTREGUE</v>
      </c>
      <c r="G1962" s="303"/>
      <c r="H1962" s="304"/>
    </row>
    <row r="1963">
      <c r="A1963" s="302" t="s">
        <v>3441</v>
      </c>
      <c r="B1963" s="291" t="s">
        <v>10654</v>
      </c>
      <c r="C1963" s="292" t="s">
        <v>48</v>
      </c>
      <c r="D1963" s="293">
        <f t="shared" si="2"/>
        <v>1</v>
      </c>
      <c r="E1963" s="294"/>
      <c r="F1963" s="295" t="str">
        <f>IFERROR(__xludf.DUMMYFUNCTION("IF(B1963="""","""",IFERROR(VLOOKUP(TO_TEXT(B1963),PEDIDOS!D:I,6,0),IFERROR(VLOOKUP(B1963*1,PEDIDOS!D:I,6,0),"" "")))"),"ENTREGUE")</f>
        <v>ENTREGUE</v>
      </c>
      <c r="G1963" s="303"/>
      <c r="H1963" s="304"/>
    </row>
    <row r="1964">
      <c r="A1964" s="302" t="s">
        <v>3441</v>
      </c>
      <c r="B1964" s="291" t="s">
        <v>11124</v>
      </c>
      <c r="C1964" s="292" t="s">
        <v>48</v>
      </c>
      <c r="D1964" s="293">
        <f t="shared" si="2"/>
        <v>1</v>
      </c>
      <c r="E1964" s="294"/>
      <c r="F1964" s="295" t="str">
        <f>IFERROR(__xludf.DUMMYFUNCTION("IF(B1964="""","""",IFERROR(VLOOKUP(TO_TEXT(B1964),PEDIDOS!D:I,6,0),IFERROR(VLOOKUP(B1964*1,PEDIDOS!D:I,6,0),"" "")))"),"ENTREGUE")</f>
        <v>ENTREGUE</v>
      </c>
      <c r="G1964" s="303"/>
      <c r="H1964" s="304"/>
    </row>
    <row r="1965">
      <c r="A1965" s="302" t="s">
        <v>3441</v>
      </c>
      <c r="B1965" s="291" t="s">
        <v>11435</v>
      </c>
      <c r="C1965" s="292" t="s">
        <v>48</v>
      </c>
      <c r="D1965" s="293">
        <f t="shared" si="2"/>
        <v>1</v>
      </c>
      <c r="E1965" s="294"/>
      <c r="F1965" s="295" t="str">
        <f>IFERROR(__xludf.DUMMYFUNCTION("IF(B1965="""","""",IFERROR(VLOOKUP(TO_TEXT(B1965),PEDIDOS!D:I,6,0),IFERROR(VLOOKUP(B1965*1,PEDIDOS!D:I,6,0),"" "")))"),"ENTREGUE")</f>
        <v>ENTREGUE</v>
      </c>
      <c r="G1965" s="303"/>
      <c r="H1965" s="304"/>
    </row>
    <row r="1966">
      <c r="A1966" s="302" t="s">
        <v>3441</v>
      </c>
      <c r="B1966" s="291" t="s">
        <v>11455</v>
      </c>
      <c r="C1966" s="292" t="s">
        <v>48</v>
      </c>
      <c r="D1966" s="293">
        <f t="shared" si="2"/>
        <v>1</v>
      </c>
      <c r="E1966" s="294"/>
      <c r="F1966" s="295" t="str">
        <f>IFERROR(__xludf.DUMMYFUNCTION("IF(B1966="""","""",IFERROR(VLOOKUP(TO_TEXT(B1966),PEDIDOS!D:I,6,0),IFERROR(VLOOKUP(B1966*1,PEDIDOS!D:I,6,0),"" "")))"),"ENTREGUE")</f>
        <v>ENTREGUE</v>
      </c>
      <c r="G1966" s="303"/>
      <c r="H1966" s="304"/>
    </row>
    <row r="1967">
      <c r="A1967" s="302" t="s">
        <v>3441</v>
      </c>
      <c r="B1967" s="291" t="s">
        <v>13744</v>
      </c>
      <c r="C1967" s="292" t="s">
        <v>48</v>
      </c>
      <c r="D1967" s="293">
        <f t="shared" si="2"/>
        <v>1</v>
      </c>
      <c r="E1967" s="294"/>
      <c r="F1967" s="295" t="str">
        <f>IFERROR(__xludf.DUMMYFUNCTION("IF(B1967="""","""",IFERROR(VLOOKUP(TO_TEXT(B1967),PEDIDOS!D:I,6,0),IFERROR(VLOOKUP(B1967*1,PEDIDOS!D:I,6,0),"" "")))"),"ENTREGUE")</f>
        <v>ENTREGUE</v>
      </c>
      <c r="G1967" s="303"/>
      <c r="H1967" s="304"/>
    </row>
    <row r="1968">
      <c r="A1968" s="302" t="s">
        <v>3441</v>
      </c>
      <c r="B1968" s="291" t="s">
        <v>12146</v>
      </c>
      <c r="C1968" s="292" t="s">
        <v>48</v>
      </c>
      <c r="D1968" s="293">
        <f t="shared" si="2"/>
        <v>1</v>
      </c>
      <c r="E1968" s="294"/>
      <c r="F1968" s="295" t="str">
        <f>IFERROR(__xludf.DUMMYFUNCTION("IF(B1968="""","""",IFERROR(VLOOKUP(TO_TEXT(B1968),PEDIDOS!D:I,6,0),IFERROR(VLOOKUP(B1968*1,PEDIDOS!D:I,6,0),"" "")))"),"ENTREGUE")</f>
        <v>ENTREGUE</v>
      </c>
      <c r="G1968" s="303"/>
      <c r="H1968" s="304"/>
    </row>
    <row r="1969">
      <c r="A1969" s="302" t="s">
        <v>3441</v>
      </c>
      <c r="B1969" s="291" t="s">
        <v>11544</v>
      </c>
      <c r="C1969" s="292" t="s">
        <v>48</v>
      </c>
      <c r="D1969" s="293">
        <f t="shared" si="2"/>
        <v>1</v>
      </c>
      <c r="E1969" s="294"/>
      <c r="F1969" s="295" t="str">
        <f>IFERROR(__xludf.DUMMYFUNCTION("IF(B1969="""","""",IFERROR(VLOOKUP(TO_TEXT(B1969),PEDIDOS!D:I,6,0),IFERROR(VLOOKUP(B1969*1,PEDIDOS!D:I,6,0),"" "")))"),"ENTREGUE")</f>
        <v>ENTREGUE</v>
      </c>
      <c r="G1969" s="303"/>
      <c r="H1969" s="304"/>
    </row>
    <row r="1970">
      <c r="A1970" s="302" t="s">
        <v>3441</v>
      </c>
      <c r="B1970" s="291" t="s">
        <v>13395</v>
      </c>
      <c r="C1970" s="292" t="s">
        <v>48</v>
      </c>
      <c r="D1970" s="293">
        <f t="shared" si="2"/>
        <v>1</v>
      </c>
      <c r="E1970" s="294"/>
      <c r="F1970" s="295" t="str">
        <f>IFERROR(__xludf.DUMMYFUNCTION("IF(B1970="""","""",IFERROR(VLOOKUP(TO_TEXT(B1970),PEDIDOS!D:I,6,0),IFERROR(VLOOKUP(B1970*1,PEDIDOS!D:I,6,0),"" "")))"),"ENTREGUE")</f>
        <v>ENTREGUE</v>
      </c>
      <c r="G1970" s="303"/>
      <c r="H1970" s="304"/>
    </row>
    <row r="1971">
      <c r="A1971" s="302" t="s">
        <v>3441</v>
      </c>
      <c r="B1971" s="291" t="s">
        <v>11541</v>
      </c>
      <c r="C1971" s="292" t="s">
        <v>48</v>
      </c>
      <c r="D1971" s="293">
        <f t="shared" si="2"/>
        <v>1</v>
      </c>
      <c r="E1971" s="294"/>
      <c r="F1971" s="295" t="str">
        <f>IFERROR(__xludf.DUMMYFUNCTION("IF(B1971="""","""",IFERROR(VLOOKUP(TO_TEXT(B1971),PEDIDOS!D:I,6,0),IFERROR(VLOOKUP(B1971*1,PEDIDOS!D:I,6,0),"" "")))"),"ENTREGUE")</f>
        <v>ENTREGUE</v>
      </c>
      <c r="G1971" s="303"/>
      <c r="H1971" s="304"/>
    </row>
    <row r="1972">
      <c r="A1972" s="302" t="s">
        <v>3441</v>
      </c>
      <c r="B1972" s="291" t="s">
        <v>11602</v>
      </c>
      <c r="C1972" s="292" t="s">
        <v>48</v>
      </c>
      <c r="D1972" s="293">
        <f t="shared" si="2"/>
        <v>1</v>
      </c>
      <c r="E1972" s="294"/>
      <c r="F1972" s="295" t="str">
        <f>IFERROR(__xludf.DUMMYFUNCTION("IF(B1972="""","""",IFERROR(VLOOKUP(TO_TEXT(B1972),PEDIDOS!D:I,6,0),IFERROR(VLOOKUP(B1972*1,PEDIDOS!D:I,6,0),"" "")))"),"ENTREGUE")</f>
        <v>ENTREGUE</v>
      </c>
      <c r="G1972" s="303"/>
      <c r="H1972" s="304"/>
    </row>
    <row r="1973">
      <c r="A1973" s="302" t="s">
        <v>3441</v>
      </c>
      <c r="B1973" s="291" t="s">
        <v>13148</v>
      </c>
      <c r="C1973" s="292" t="s">
        <v>48</v>
      </c>
      <c r="D1973" s="293">
        <f t="shared" si="2"/>
        <v>1</v>
      </c>
      <c r="E1973" s="294"/>
      <c r="F1973" s="295" t="str">
        <f>IFERROR(__xludf.DUMMYFUNCTION("IF(B1973="""","""",IFERROR(VLOOKUP(TO_TEXT(B1973),PEDIDOS!D:I,6,0),IFERROR(VLOOKUP(B1973*1,PEDIDOS!D:I,6,0),"" "")))"),"ENTREGUE")</f>
        <v>ENTREGUE</v>
      </c>
      <c r="G1973" s="303"/>
      <c r="H1973" s="304"/>
    </row>
    <row r="1974">
      <c r="A1974" s="302" t="s">
        <v>3441</v>
      </c>
      <c r="B1974" s="291" t="s">
        <v>12753</v>
      </c>
      <c r="C1974" s="292" t="s">
        <v>48</v>
      </c>
      <c r="D1974" s="293">
        <f t="shared" si="2"/>
        <v>1</v>
      </c>
      <c r="E1974" s="294"/>
      <c r="F1974" s="295" t="str">
        <f>IFERROR(__xludf.DUMMYFUNCTION("IF(B1974="""","""",IFERROR(VLOOKUP(TO_TEXT(B1974),PEDIDOS!D:I,6,0),IFERROR(VLOOKUP(B1974*1,PEDIDOS!D:I,6,0),"" "")))"),"ENTREGUE")</f>
        <v>ENTREGUE</v>
      </c>
      <c r="G1974" s="303"/>
      <c r="H1974" s="304"/>
    </row>
    <row r="1975">
      <c r="A1975" s="302" t="s">
        <v>3441</v>
      </c>
      <c r="B1975" s="291" t="s">
        <v>11339</v>
      </c>
      <c r="C1975" s="292" t="s">
        <v>48</v>
      </c>
      <c r="D1975" s="293">
        <f t="shared" si="2"/>
        <v>1</v>
      </c>
      <c r="E1975" s="294"/>
      <c r="F1975" s="295" t="str">
        <f>IFERROR(__xludf.DUMMYFUNCTION("IF(B1975="""","""",IFERROR(VLOOKUP(TO_TEXT(B1975),PEDIDOS!D:I,6,0),IFERROR(VLOOKUP(B1975*1,PEDIDOS!D:I,6,0),"" "")))"),"ENTREGUE")</f>
        <v>ENTREGUE</v>
      </c>
      <c r="G1975" s="303"/>
      <c r="H1975" s="304"/>
    </row>
    <row r="1976">
      <c r="A1976" s="302" t="s">
        <v>3441</v>
      </c>
      <c r="B1976" s="291" t="s">
        <v>11547</v>
      </c>
      <c r="C1976" s="292" t="s">
        <v>48</v>
      </c>
      <c r="D1976" s="293">
        <f t="shared" si="2"/>
        <v>1</v>
      </c>
      <c r="E1976" s="294"/>
      <c r="F1976" s="295" t="str">
        <f>IFERROR(__xludf.DUMMYFUNCTION("IF(B1976="""","""",IFERROR(VLOOKUP(TO_TEXT(B1976),PEDIDOS!D:I,6,0),IFERROR(VLOOKUP(B1976*1,PEDIDOS!D:I,6,0),"" "")))"),"ENTREGUE")</f>
        <v>ENTREGUE</v>
      </c>
      <c r="G1976" s="303"/>
      <c r="H1976" s="304"/>
    </row>
    <row r="1977">
      <c r="A1977" s="302" t="s">
        <v>3441</v>
      </c>
      <c r="B1977" s="291" t="s">
        <v>11537</v>
      </c>
      <c r="C1977" s="292" t="s">
        <v>48</v>
      </c>
      <c r="D1977" s="293">
        <f t="shared" si="2"/>
        <v>1</v>
      </c>
      <c r="E1977" s="294"/>
      <c r="F1977" s="295" t="str">
        <f>IFERROR(__xludf.DUMMYFUNCTION("IF(B1977="""","""",IFERROR(VLOOKUP(TO_TEXT(B1977),PEDIDOS!D:I,6,0),IFERROR(VLOOKUP(B1977*1,PEDIDOS!D:I,6,0),"" "")))"),"ENTREGUE")</f>
        <v>ENTREGUE</v>
      </c>
      <c r="G1977" s="303"/>
      <c r="H1977" s="304"/>
    </row>
    <row r="1978">
      <c r="A1978" s="302" t="s">
        <v>3441</v>
      </c>
      <c r="B1978" s="291" t="s">
        <v>6221</v>
      </c>
      <c r="C1978" s="292" t="s">
        <v>48</v>
      </c>
      <c r="D1978" s="293">
        <f t="shared" si="2"/>
        <v>1</v>
      </c>
      <c r="E1978" s="294"/>
      <c r="F1978" s="295" t="str">
        <f>IFERROR(__xludf.DUMMYFUNCTION("IF(B1978="""","""",IFERROR(VLOOKUP(TO_TEXT(B1978),PEDIDOS!D:I,6,0),IFERROR(VLOOKUP(B1978*1,PEDIDOS!D:I,6,0),"" "")))"),"ENTREGUE")</f>
        <v>ENTREGUE</v>
      </c>
      <c r="G1978" s="303"/>
      <c r="H1978" s="304"/>
    </row>
    <row r="1979">
      <c r="A1979" s="302" t="s">
        <v>3441</v>
      </c>
      <c r="B1979" s="291" t="s">
        <v>12702</v>
      </c>
      <c r="C1979" s="292" t="s">
        <v>48</v>
      </c>
      <c r="D1979" s="293">
        <f t="shared" si="2"/>
        <v>1</v>
      </c>
      <c r="E1979" s="294"/>
      <c r="F1979" s="295" t="str">
        <f>IFERROR(__xludf.DUMMYFUNCTION("IF(B1979="""","""",IFERROR(VLOOKUP(TO_TEXT(B1979),PEDIDOS!D:I,6,0),IFERROR(VLOOKUP(B1979*1,PEDIDOS!D:I,6,0),"" "")))"),"ENTREGUE")</f>
        <v>ENTREGUE</v>
      </c>
      <c r="G1979" s="303"/>
      <c r="H1979" s="304"/>
    </row>
    <row r="1980">
      <c r="A1980" s="302" t="s">
        <v>3441</v>
      </c>
      <c r="B1980" s="291" t="s">
        <v>12309</v>
      </c>
      <c r="C1980" s="292" t="s">
        <v>48</v>
      </c>
      <c r="D1980" s="293">
        <f t="shared" si="2"/>
        <v>1</v>
      </c>
      <c r="E1980" s="294"/>
      <c r="F1980" s="295" t="str">
        <f>IFERROR(__xludf.DUMMYFUNCTION("IF(B1980="""","""",IFERROR(VLOOKUP(TO_TEXT(B1980),PEDIDOS!D:I,6,0),IFERROR(VLOOKUP(B1980*1,PEDIDOS!D:I,6,0),"" "")))"),"ENTREGUE")</f>
        <v>ENTREGUE</v>
      </c>
      <c r="G1980" s="303"/>
      <c r="H1980" s="304"/>
    </row>
    <row r="1981">
      <c r="A1981" s="302" t="s">
        <v>3441</v>
      </c>
      <c r="B1981" s="291" t="s">
        <v>12745</v>
      </c>
      <c r="C1981" s="292" t="s">
        <v>48</v>
      </c>
      <c r="D1981" s="293">
        <f t="shared" si="2"/>
        <v>1</v>
      </c>
      <c r="E1981" s="294"/>
      <c r="F1981" s="295" t="str">
        <f>IFERROR(__xludf.DUMMYFUNCTION("IF(B1981="""","""",IFERROR(VLOOKUP(TO_TEXT(B1981),PEDIDOS!D:I,6,0),IFERROR(VLOOKUP(B1981*1,PEDIDOS!D:I,6,0),"" "")))"),"ENTREGUE")</f>
        <v>ENTREGUE</v>
      </c>
      <c r="G1981" s="303"/>
      <c r="H1981" s="304"/>
    </row>
    <row r="1982">
      <c r="A1982" s="302" t="s">
        <v>3441</v>
      </c>
      <c r="B1982" s="291" t="s">
        <v>12336</v>
      </c>
      <c r="C1982" s="292" t="s">
        <v>48</v>
      </c>
      <c r="D1982" s="293">
        <f t="shared" si="2"/>
        <v>1</v>
      </c>
      <c r="E1982" s="294"/>
      <c r="F1982" s="295" t="str">
        <f>IFERROR(__xludf.DUMMYFUNCTION("IF(B1982="""","""",IFERROR(VLOOKUP(TO_TEXT(B1982),PEDIDOS!D:I,6,0),IFERROR(VLOOKUP(B1982*1,PEDIDOS!D:I,6,0),"" "")))"),"ENTREGUE")</f>
        <v>ENTREGUE</v>
      </c>
      <c r="G1982" s="303"/>
      <c r="H1982" s="304"/>
    </row>
    <row r="1983">
      <c r="A1983" s="302" t="s">
        <v>3441</v>
      </c>
      <c r="B1983" s="291" t="s">
        <v>12765</v>
      </c>
      <c r="C1983" s="292" t="s">
        <v>48</v>
      </c>
      <c r="D1983" s="293">
        <f t="shared" si="2"/>
        <v>1</v>
      </c>
      <c r="E1983" s="294"/>
      <c r="F1983" s="295" t="str">
        <f>IFERROR(__xludf.DUMMYFUNCTION("IF(B1983="""","""",IFERROR(VLOOKUP(TO_TEXT(B1983),PEDIDOS!D:I,6,0),IFERROR(VLOOKUP(B1983*1,PEDIDOS!D:I,6,0),"" "")))"),"ENTREGUE")</f>
        <v>ENTREGUE</v>
      </c>
      <c r="G1983" s="303"/>
      <c r="H1983" s="304"/>
    </row>
    <row r="1984">
      <c r="A1984" s="302" t="s">
        <v>72</v>
      </c>
      <c r="B1984" s="291" t="s">
        <v>11773</v>
      </c>
      <c r="C1984" s="292" t="s">
        <v>48</v>
      </c>
      <c r="D1984" s="293">
        <f t="shared" si="2"/>
        <v>1</v>
      </c>
      <c r="E1984" s="294"/>
      <c r="F1984" s="295" t="str">
        <f>IFERROR(__xludf.DUMMYFUNCTION("IF(B1984="""","""",IFERROR(VLOOKUP(TO_TEXT(B1984),PEDIDOS!D:I,6,0),IFERROR(VLOOKUP(B1984*1,PEDIDOS!D:I,6,0),"" "")))"),"ENTREGUE")</f>
        <v>ENTREGUE</v>
      </c>
      <c r="G1984" s="303"/>
      <c r="H1984" s="304"/>
    </row>
    <row r="1985">
      <c r="A1985" s="302" t="s">
        <v>72</v>
      </c>
      <c r="B1985" s="291" t="s">
        <v>12103</v>
      </c>
      <c r="C1985" s="292" t="s">
        <v>48</v>
      </c>
      <c r="D1985" s="293">
        <f t="shared" si="2"/>
        <v>1</v>
      </c>
      <c r="E1985" s="294"/>
      <c r="F1985" s="295" t="str">
        <f>IFERROR(__xludf.DUMMYFUNCTION("IF(B1985="""","""",IFERROR(VLOOKUP(TO_TEXT(B1985),PEDIDOS!D:I,6,0),IFERROR(VLOOKUP(B1985*1,PEDIDOS!D:I,6,0),"" "")))"),"ENTREGUE")</f>
        <v>ENTREGUE</v>
      </c>
      <c r="G1985" s="303"/>
      <c r="H1985" s="304"/>
    </row>
    <row r="1986">
      <c r="A1986" s="302" t="s">
        <v>72</v>
      </c>
      <c r="B1986" s="291" t="s">
        <v>12466</v>
      </c>
      <c r="C1986" s="292" t="s">
        <v>48</v>
      </c>
      <c r="D1986" s="293">
        <f t="shared" si="2"/>
        <v>1</v>
      </c>
      <c r="E1986" s="294"/>
      <c r="F1986" s="295" t="str">
        <f>IFERROR(__xludf.DUMMYFUNCTION("IF(B1986="""","""",IFERROR(VLOOKUP(TO_TEXT(B1986),PEDIDOS!D:I,6,0),IFERROR(VLOOKUP(B1986*1,PEDIDOS!D:I,6,0),"" "")))"),"ENTREGUE")</f>
        <v>ENTREGUE</v>
      </c>
      <c r="G1986" s="303"/>
      <c r="H1986" s="304"/>
    </row>
    <row r="1987">
      <c r="A1987" s="302" t="s">
        <v>72</v>
      </c>
      <c r="B1987" s="291" t="s">
        <v>12384</v>
      </c>
      <c r="C1987" s="292" t="s">
        <v>48</v>
      </c>
      <c r="D1987" s="293">
        <f t="shared" si="2"/>
        <v>1</v>
      </c>
      <c r="E1987" s="294"/>
      <c r="F1987" s="295" t="str">
        <f>IFERROR(__xludf.DUMMYFUNCTION("IF(B1987="""","""",IFERROR(VLOOKUP(TO_TEXT(B1987),PEDIDOS!D:I,6,0),IFERROR(VLOOKUP(B1987*1,PEDIDOS!D:I,6,0),"" "")))"),"ENTREGUE")</f>
        <v>ENTREGUE</v>
      </c>
      <c r="G1987" s="303"/>
      <c r="H1987" s="304"/>
    </row>
    <row r="1988">
      <c r="A1988" s="302" t="s">
        <v>72</v>
      </c>
      <c r="B1988" s="291" t="s">
        <v>12419</v>
      </c>
      <c r="C1988" s="292" t="s">
        <v>48</v>
      </c>
      <c r="D1988" s="293">
        <f t="shared" si="2"/>
        <v>1</v>
      </c>
      <c r="E1988" s="294"/>
      <c r="F1988" s="295" t="str">
        <f>IFERROR(__xludf.DUMMYFUNCTION("IF(B1988="""","""",IFERROR(VLOOKUP(TO_TEXT(B1988),PEDIDOS!D:I,6,0),IFERROR(VLOOKUP(B1988*1,PEDIDOS!D:I,6,0),"" "")))"),"ENTREGUE")</f>
        <v>ENTREGUE</v>
      </c>
      <c r="G1988" s="303"/>
      <c r="H1988" s="304"/>
    </row>
    <row r="1989">
      <c r="A1989" s="302" t="s">
        <v>72</v>
      </c>
      <c r="B1989" s="291" t="s">
        <v>12424</v>
      </c>
      <c r="C1989" s="292" t="s">
        <v>48</v>
      </c>
      <c r="D1989" s="293">
        <f t="shared" si="2"/>
        <v>1</v>
      </c>
      <c r="E1989" s="294"/>
      <c r="F1989" s="295" t="str">
        <f>IFERROR(__xludf.DUMMYFUNCTION("IF(B1989="""","""",IFERROR(VLOOKUP(TO_TEXT(B1989),PEDIDOS!D:I,6,0),IFERROR(VLOOKUP(B1989*1,PEDIDOS!D:I,6,0),"" "")))"),"ENTREGUE")</f>
        <v>ENTREGUE</v>
      </c>
      <c r="G1989" s="303"/>
      <c r="H1989" s="304"/>
    </row>
    <row r="1990">
      <c r="A1990" s="302" t="s">
        <v>72</v>
      </c>
      <c r="B1990" s="291" t="s">
        <v>12429</v>
      </c>
      <c r="C1990" s="292" t="s">
        <v>48</v>
      </c>
      <c r="D1990" s="293">
        <f t="shared" si="2"/>
        <v>1</v>
      </c>
      <c r="E1990" s="294"/>
      <c r="F1990" s="295" t="str">
        <f>IFERROR(__xludf.DUMMYFUNCTION("IF(B1990="""","""",IFERROR(VLOOKUP(TO_TEXT(B1990),PEDIDOS!D:I,6,0),IFERROR(VLOOKUP(B1990*1,PEDIDOS!D:I,6,0),"" "")))"),"ENTREGUE")</f>
        <v>ENTREGUE</v>
      </c>
      <c r="G1990" s="303"/>
      <c r="H1990" s="304"/>
    </row>
    <row r="1991">
      <c r="A1991" s="302" t="s">
        <v>72</v>
      </c>
      <c r="B1991" s="291" t="s">
        <v>12432</v>
      </c>
      <c r="C1991" s="292" t="s">
        <v>48</v>
      </c>
      <c r="D1991" s="293">
        <f t="shared" si="2"/>
        <v>1</v>
      </c>
      <c r="E1991" s="294"/>
      <c r="F1991" s="295" t="str">
        <f>IFERROR(__xludf.DUMMYFUNCTION("IF(B1991="""","""",IFERROR(VLOOKUP(TO_TEXT(B1991),PEDIDOS!D:I,6,0),IFERROR(VLOOKUP(B1991*1,PEDIDOS!D:I,6,0),"" "")))"),"ENTREGUE")</f>
        <v>ENTREGUE</v>
      </c>
      <c r="G1991" s="303"/>
      <c r="H1991" s="304"/>
    </row>
    <row r="1992">
      <c r="A1992" s="302" t="s">
        <v>72</v>
      </c>
      <c r="B1992" s="291" t="s">
        <v>12549</v>
      </c>
      <c r="C1992" s="292" t="s">
        <v>48</v>
      </c>
      <c r="D1992" s="293">
        <f t="shared" si="2"/>
        <v>1</v>
      </c>
      <c r="E1992" s="294"/>
      <c r="F1992" s="295" t="str">
        <f>IFERROR(__xludf.DUMMYFUNCTION("IF(B1992="""","""",IFERROR(VLOOKUP(TO_TEXT(B1992),PEDIDOS!D:I,6,0),IFERROR(VLOOKUP(B1992*1,PEDIDOS!D:I,6,0),"" "")))"),"ENTREGUE")</f>
        <v>ENTREGUE</v>
      </c>
      <c r="G1992" s="303"/>
      <c r="H1992" s="304"/>
    </row>
    <row r="1993">
      <c r="A1993" s="302" t="s">
        <v>72</v>
      </c>
      <c r="B1993" s="291" t="s">
        <v>7633</v>
      </c>
      <c r="C1993" s="292" t="s">
        <v>48</v>
      </c>
      <c r="D1993" s="293">
        <f t="shared" si="2"/>
        <v>1</v>
      </c>
      <c r="E1993" s="294"/>
      <c r="F1993" s="295" t="str">
        <f>IFERROR(__xludf.DUMMYFUNCTION("IF(B1993="""","""",IFERROR(VLOOKUP(TO_TEXT(B1993),PEDIDOS!D:I,6,0),IFERROR(VLOOKUP(B1993*1,PEDIDOS!D:I,6,0),"" "")))"),"ENTREGUE")</f>
        <v>ENTREGUE</v>
      </c>
      <c r="G1993" s="303"/>
      <c r="H1993" s="304"/>
    </row>
    <row r="1994">
      <c r="A1994" s="302" t="s">
        <v>72</v>
      </c>
      <c r="B1994" s="291" t="s">
        <v>13370</v>
      </c>
      <c r="C1994" s="292" t="s">
        <v>48</v>
      </c>
      <c r="D1994" s="293">
        <f t="shared" si="2"/>
        <v>1</v>
      </c>
      <c r="E1994" s="294"/>
      <c r="F1994" s="295" t="str">
        <f>IFERROR(__xludf.DUMMYFUNCTION("IF(B1994="""","""",IFERROR(VLOOKUP(TO_TEXT(B1994),PEDIDOS!D:I,6,0),IFERROR(VLOOKUP(B1994*1,PEDIDOS!D:I,6,0),"" "")))"),"ENTREGUE")</f>
        <v>ENTREGUE</v>
      </c>
      <c r="G1994" s="303"/>
      <c r="H1994" s="304"/>
    </row>
    <row r="1995">
      <c r="A1995" s="302" t="s">
        <v>72</v>
      </c>
      <c r="B1995" s="291" t="s">
        <v>13457</v>
      </c>
      <c r="C1995" s="292" t="s">
        <v>48</v>
      </c>
      <c r="D1995" s="293">
        <f t="shared" si="2"/>
        <v>1</v>
      </c>
      <c r="E1995" s="294"/>
      <c r="F1995" s="295" t="str">
        <f>IFERROR(__xludf.DUMMYFUNCTION("IF(B1995="""","""",IFERROR(VLOOKUP(TO_TEXT(B1995),PEDIDOS!D:I,6,0),IFERROR(VLOOKUP(B1995*1,PEDIDOS!D:I,6,0),"" "")))"),"ENTREGUE")</f>
        <v>ENTREGUE</v>
      </c>
      <c r="G1995" s="303"/>
      <c r="H1995" s="304"/>
    </row>
    <row r="1996">
      <c r="A1996" s="302" t="s">
        <v>72</v>
      </c>
      <c r="B1996" s="291" t="s">
        <v>13240</v>
      </c>
      <c r="C1996" s="292" t="s">
        <v>48</v>
      </c>
      <c r="D1996" s="293">
        <f t="shared" si="2"/>
        <v>1</v>
      </c>
      <c r="E1996" s="294"/>
      <c r="F1996" s="295" t="str">
        <f>IFERROR(__xludf.DUMMYFUNCTION("IF(B1996="""","""",IFERROR(VLOOKUP(TO_TEXT(B1996),PEDIDOS!D:I,6,0),IFERROR(VLOOKUP(B1996*1,PEDIDOS!D:I,6,0),"" "")))"),"ENTREGUE")</f>
        <v>ENTREGUE</v>
      </c>
      <c r="G1996" s="303"/>
      <c r="H1996" s="304"/>
    </row>
    <row r="1997">
      <c r="A1997" s="302" t="s">
        <v>72</v>
      </c>
      <c r="B1997" s="291" t="s">
        <v>13529</v>
      </c>
      <c r="C1997" s="292" t="s">
        <v>48</v>
      </c>
      <c r="D1997" s="293">
        <f t="shared" si="2"/>
        <v>1</v>
      </c>
      <c r="E1997" s="294"/>
      <c r="F1997" s="295" t="str">
        <f>IFERROR(__xludf.DUMMYFUNCTION("IF(B1997="""","""",IFERROR(VLOOKUP(TO_TEXT(B1997),PEDIDOS!D:I,6,0),IFERROR(VLOOKUP(B1997*1,PEDIDOS!D:I,6,0),"" "")))"),"ENTREGUE")</f>
        <v>ENTREGUE</v>
      </c>
      <c r="G1997" s="303"/>
      <c r="H1997" s="304"/>
    </row>
    <row r="1998">
      <c r="A1998" s="302" t="s">
        <v>72</v>
      </c>
      <c r="B1998" s="291" t="s">
        <v>12855</v>
      </c>
      <c r="C1998" s="292" t="s">
        <v>48</v>
      </c>
      <c r="D1998" s="293">
        <f t="shared" si="2"/>
        <v>1</v>
      </c>
      <c r="E1998" s="294"/>
      <c r="F1998" s="295" t="str">
        <f>IFERROR(__xludf.DUMMYFUNCTION("IF(B1998="""","""",IFERROR(VLOOKUP(TO_TEXT(B1998),PEDIDOS!D:I,6,0),IFERROR(VLOOKUP(B1998*1,PEDIDOS!D:I,6,0),"" "")))"),"ENTREGUE")</f>
        <v>ENTREGUE</v>
      </c>
      <c r="G1998" s="303"/>
      <c r="H1998" s="304"/>
    </row>
    <row r="1999">
      <c r="A1999" s="302" t="s">
        <v>72</v>
      </c>
      <c r="B1999" s="291" t="s">
        <v>13333</v>
      </c>
      <c r="C1999" s="292" t="s">
        <v>48</v>
      </c>
      <c r="D1999" s="293">
        <f t="shared" si="2"/>
        <v>1</v>
      </c>
      <c r="E1999" s="294"/>
      <c r="F1999" s="295" t="str">
        <f>IFERROR(__xludf.DUMMYFUNCTION("IF(B1999="""","""",IFERROR(VLOOKUP(TO_TEXT(B1999),PEDIDOS!D:I,6,0),IFERROR(VLOOKUP(B1999*1,PEDIDOS!D:I,6,0),"" "")))"),"ENTREGUE")</f>
        <v>ENTREGUE</v>
      </c>
      <c r="G1999" s="303"/>
      <c r="H1999" s="304"/>
    </row>
    <row r="2000">
      <c r="A2000" s="302" t="s">
        <v>72</v>
      </c>
      <c r="B2000" s="291" t="s">
        <v>12914</v>
      </c>
      <c r="C2000" s="292" t="s">
        <v>48</v>
      </c>
      <c r="D2000" s="293">
        <f t="shared" si="2"/>
        <v>1</v>
      </c>
      <c r="E2000" s="294"/>
      <c r="F2000" s="295" t="str">
        <f>IFERROR(__xludf.DUMMYFUNCTION("IF(B2000="""","""",IFERROR(VLOOKUP(TO_TEXT(B2000),PEDIDOS!D:I,6,0),IFERROR(VLOOKUP(B2000*1,PEDIDOS!D:I,6,0),"" "")))"),"ENTREGUE")</f>
        <v>ENTREGUE</v>
      </c>
      <c r="G2000" s="303"/>
      <c r="H2000" s="304"/>
    </row>
    <row r="2001">
      <c r="A2001" s="302" t="s">
        <v>72</v>
      </c>
      <c r="B2001" s="291" t="s">
        <v>13325</v>
      </c>
      <c r="C2001" s="292" t="s">
        <v>48</v>
      </c>
      <c r="D2001" s="293">
        <f t="shared" si="2"/>
        <v>1</v>
      </c>
      <c r="E2001" s="294"/>
      <c r="F2001" s="295" t="str">
        <f>IFERROR(__xludf.DUMMYFUNCTION("IF(B2001="""","""",IFERROR(VLOOKUP(TO_TEXT(B2001),PEDIDOS!D:I,6,0),IFERROR(VLOOKUP(B2001*1,PEDIDOS!D:I,6,0),"" "")))"),"ENTREGUE")</f>
        <v>ENTREGUE</v>
      </c>
      <c r="G2001" s="303"/>
      <c r="H2001" s="304"/>
    </row>
    <row r="2002">
      <c r="A2002" s="302" t="s">
        <v>72</v>
      </c>
      <c r="B2002" s="291" t="s">
        <v>12678</v>
      </c>
      <c r="C2002" s="292" t="s">
        <v>48</v>
      </c>
      <c r="D2002" s="293">
        <f t="shared" si="2"/>
        <v>1</v>
      </c>
      <c r="E2002" s="294"/>
      <c r="F2002" s="295" t="str">
        <f>IFERROR(__xludf.DUMMYFUNCTION("IF(B2002="""","""",IFERROR(VLOOKUP(TO_TEXT(B2002),PEDIDOS!D:I,6,0),IFERROR(VLOOKUP(B2002*1,PEDIDOS!D:I,6,0),"" "")))"),"ENTREGUE")</f>
        <v>ENTREGUE</v>
      </c>
      <c r="G2002" s="303"/>
      <c r="H2002" s="304"/>
    </row>
    <row r="2003">
      <c r="A2003" s="302" t="s">
        <v>72</v>
      </c>
      <c r="B2003" s="291" t="s">
        <v>12575</v>
      </c>
      <c r="C2003" s="292" t="s">
        <v>48</v>
      </c>
      <c r="D2003" s="293">
        <f t="shared" si="2"/>
        <v>1</v>
      </c>
      <c r="E2003" s="294"/>
      <c r="F2003" s="295" t="str">
        <f>IFERROR(__xludf.DUMMYFUNCTION("IF(B2003="""","""",IFERROR(VLOOKUP(TO_TEXT(B2003),PEDIDOS!D:I,6,0),IFERROR(VLOOKUP(B2003*1,PEDIDOS!D:I,6,0),"" "")))"),"ENTREGUE")</f>
        <v>ENTREGUE</v>
      </c>
      <c r="G2003" s="303"/>
      <c r="H2003" s="304"/>
    </row>
    <row r="2004">
      <c r="A2004" s="302" t="s">
        <v>72</v>
      </c>
      <c r="B2004" s="291" t="s">
        <v>13129</v>
      </c>
      <c r="C2004" s="292" t="s">
        <v>48</v>
      </c>
      <c r="D2004" s="293">
        <f t="shared" si="2"/>
        <v>1</v>
      </c>
      <c r="E2004" s="294"/>
      <c r="F2004" s="295" t="str">
        <f>IFERROR(__xludf.DUMMYFUNCTION("IF(B2004="""","""",IFERROR(VLOOKUP(TO_TEXT(B2004),PEDIDOS!D:I,6,0),IFERROR(VLOOKUP(B2004*1,PEDIDOS!D:I,6,0),"" "")))"),"ENTREGUE")</f>
        <v>ENTREGUE</v>
      </c>
      <c r="G2004" s="303"/>
      <c r="H2004" s="304"/>
    </row>
    <row r="2005">
      <c r="A2005" s="302" t="s">
        <v>72</v>
      </c>
      <c r="B2005" s="291" t="s">
        <v>13439</v>
      </c>
      <c r="C2005" s="292" t="s">
        <v>48</v>
      </c>
      <c r="D2005" s="293">
        <f t="shared" si="2"/>
        <v>1</v>
      </c>
      <c r="E2005" s="294"/>
      <c r="F2005" s="295" t="str">
        <f>IFERROR(__xludf.DUMMYFUNCTION("IF(B2005="""","""",IFERROR(VLOOKUP(TO_TEXT(B2005),PEDIDOS!D:I,6,0),IFERROR(VLOOKUP(B2005*1,PEDIDOS!D:I,6,0),"" "")))"),"ENTREGUE")</f>
        <v>ENTREGUE</v>
      </c>
      <c r="G2005" s="303"/>
      <c r="H2005" s="304"/>
    </row>
    <row r="2006">
      <c r="A2006" s="302" t="s">
        <v>72</v>
      </c>
      <c r="B2006" s="291" t="s">
        <v>13345</v>
      </c>
      <c r="C2006" s="292" t="s">
        <v>48</v>
      </c>
      <c r="D2006" s="293">
        <f t="shared" si="2"/>
        <v>1</v>
      </c>
      <c r="E2006" s="294"/>
      <c r="F2006" s="295" t="str">
        <f>IFERROR(__xludf.DUMMYFUNCTION("IF(B2006="""","""",IFERROR(VLOOKUP(TO_TEXT(B2006),PEDIDOS!D:I,6,0),IFERROR(VLOOKUP(B2006*1,PEDIDOS!D:I,6,0),"" "")))"),"ENTREGUE")</f>
        <v>ENTREGUE</v>
      </c>
      <c r="G2006" s="303"/>
      <c r="H2006" s="304"/>
    </row>
    <row r="2007">
      <c r="A2007" s="302" t="s">
        <v>72</v>
      </c>
      <c r="B2007" s="291" t="s">
        <v>12852</v>
      </c>
      <c r="C2007" s="292" t="s">
        <v>48</v>
      </c>
      <c r="D2007" s="293">
        <f t="shared" si="2"/>
        <v>1</v>
      </c>
      <c r="E2007" s="294"/>
      <c r="F2007" s="295" t="str">
        <f>IFERROR(__xludf.DUMMYFUNCTION("IF(B2007="""","""",IFERROR(VLOOKUP(TO_TEXT(B2007),PEDIDOS!D:I,6,0),IFERROR(VLOOKUP(B2007*1,PEDIDOS!D:I,6,0),"" "")))"),"ENTREGUE")</f>
        <v>ENTREGUE</v>
      </c>
      <c r="G2007" s="303"/>
      <c r="H2007" s="304"/>
    </row>
    <row r="2008">
      <c r="A2008" s="302" t="s">
        <v>72</v>
      </c>
      <c r="B2008" s="291" t="s">
        <v>12583</v>
      </c>
      <c r="C2008" s="292" t="s">
        <v>48</v>
      </c>
      <c r="D2008" s="293">
        <f t="shared" si="2"/>
        <v>1</v>
      </c>
      <c r="E2008" s="294"/>
      <c r="F2008" s="295" t="str">
        <f>IFERROR(__xludf.DUMMYFUNCTION("IF(B2008="""","""",IFERROR(VLOOKUP(TO_TEXT(B2008),PEDIDOS!D:I,6,0),IFERROR(VLOOKUP(B2008*1,PEDIDOS!D:I,6,0),"" "")))"),"ENTREGUE")</f>
        <v>ENTREGUE</v>
      </c>
      <c r="G2008" s="303"/>
      <c r="H2008" s="304"/>
    </row>
    <row r="2009">
      <c r="A2009" s="302" t="s">
        <v>72</v>
      </c>
      <c r="B2009" s="291" t="s">
        <v>13121</v>
      </c>
      <c r="C2009" s="292" t="s">
        <v>48</v>
      </c>
      <c r="D2009" s="293">
        <f t="shared" si="2"/>
        <v>1</v>
      </c>
      <c r="E2009" s="294"/>
      <c r="F2009" s="295" t="str">
        <f>IFERROR(__xludf.DUMMYFUNCTION("IF(B2009="""","""",IFERROR(VLOOKUP(TO_TEXT(B2009),PEDIDOS!D:I,6,0),IFERROR(VLOOKUP(B2009*1,PEDIDOS!D:I,6,0),"" "")))"),"ENTREGUE")</f>
        <v>ENTREGUE</v>
      </c>
      <c r="G2009" s="303"/>
      <c r="H2009" s="304"/>
    </row>
    <row r="2010">
      <c r="A2010" s="302" t="s">
        <v>72</v>
      </c>
      <c r="B2010" s="291" t="s">
        <v>13167</v>
      </c>
      <c r="C2010" s="292" t="s">
        <v>48</v>
      </c>
      <c r="D2010" s="293">
        <f t="shared" si="2"/>
        <v>1</v>
      </c>
      <c r="E2010" s="294"/>
      <c r="F2010" s="295" t="str">
        <f>IFERROR(__xludf.DUMMYFUNCTION("IF(B2010="""","""",IFERROR(VLOOKUP(TO_TEXT(B2010),PEDIDOS!D:I,6,0),IFERROR(VLOOKUP(B2010*1,PEDIDOS!D:I,6,0),"" "")))"),"ENTREGUE")</f>
        <v>ENTREGUE</v>
      </c>
      <c r="G2010" s="303"/>
      <c r="H2010" s="304"/>
    </row>
    <row r="2011">
      <c r="A2011" s="302" t="s">
        <v>72</v>
      </c>
      <c r="B2011" s="291" t="s">
        <v>13540</v>
      </c>
      <c r="C2011" s="292" t="s">
        <v>48</v>
      </c>
      <c r="D2011" s="293">
        <f t="shared" si="2"/>
        <v>1</v>
      </c>
      <c r="E2011" s="294"/>
      <c r="F2011" s="295" t="str">
        <f>IFERROR(__xludf.DUMMYFUNCTION("IF(B2011="""","""",IFERROR(VLOOKUP(TO_TEXT(B2011),PEDIDOS!D:I,6,0),IFERROR(VLOOKUP(B2011*1,PEDIDOS!D:I,6,0),"" "")))"),"ENTREGUE")</f>
        <v>ENTREGUE</v>
      </c>
      <c r="G2011" s="303"/>
      <c r="H2011" s="304"/>
    </row>
    <row r="2012">
      <c r="A2012" s="302" t="s">
        <v>72</v>
      </c>
      <c r="B2012" s="291" t="s">
        <v>12605</v>
      </c>
      <c r="C2012" s="292" t="s">
        <v>48</v>
      </c>
      <c r="D2012" s="293">
        <f t="shared" si="2"/>
        <v>1</v>
      </c>
      <c r="E2012" s="294"/>
      <c r="F2012" s="295" t="str">
        <f>IFERROR(__xludf.DUMMYFUNCTION("IF(B2012="""","""",IFERROR(VLOOKUP(TO_TEXT(B2012),PEDIDOS!D:I,6,0),IFERROR(VLOOKUP(B2012*1,PEDIDOS!D:I,6,0),"" "")))"),"ENTREGUE")</f>
        <v>ENTREGUE</v>
      </c>
      <c r="G2012" s="303"/>
      <c r="H2012" s="304"/>
    </row>
    <row r="2013">
      <c r="A2013" s="302" t="s">
        <v>72</v>
      </c>
      <c r="B2013" s="291" t="s">
        <v>12357</v>
      </c>
      <c r="C2013" s="292" t="s">
        <v>48</v>
      </c>
      <c r="D2013" s="293">
        <f t="shared" si="2"/>
        <v>1</v>
      </c>
      <c r="E2013" s="294"/>
      <c r="F2013" s="295" t="str">
        <f>IFERROR(__xludf.DUMMYFUNCTION("IF(B2013="""","""",IFERROR(VLOOKUP(TO_TEXT(B2013),PEDIDOS!D:I,6,0),IFERROR(VLOOKUP(B2013*1,PEDIDOS!D:I,6,0),"" "")))"),"ENTREGUE")</f>
        <v>ENTREGUE</v>
      </c>
      <c r="G2013" s="303"/>
      <c r="H2013" s="304"/>
    </row>
    <row r="2014">
      <c r="A2014" s="302" t="s">
        <v>72</v>
      </c>
      <c r="B2014" s="291" t="s">
        <v>12977</v>
      </c>
      <c r="C2014" s="292" t="s">
        <v>48</v>
      </c>
      <c r="D2014" s="293">
        <f t="shared" si="2"/>
        <v>1</v>
      </c>
      <c r="E2014" s="294"/>
      <c r="F2014" s="295" t="str">
        <f>IFERROR(__xludf.DUMMYFUNCTION("IF(B2014="""","""",IFERROR(VLOOKUP(TO_TEXT(B2014),PEDIDOS!D:I,6,0),IFERROR(VLOOKUP(B2014*1,PEDIDOS!D:I,6,0),"" "")))"),"ENTREGUE")</f>
        <v>ENTREGUE</v>
      </c>
      <c r="G2014" s="303"/>
      <c r="H2014" s="304"/>
    </row>
    <row r="2015">
      <c r="A2015" s="302" t="s">
        <v>72</v>
      </c>
      <c r="B2015" s="291" t="s">
        <v>13602</v>
      </c>
      <c r="C2015" s="292" t="s">
        <v>48</v>
      </c>
      <c r="D2015" s="293">
        <f t="shared" si="2"/>
        <v>1</v>
      </c>
      <c r="E2015" s="294"/>
      <c r="F2015" s="295" t="str">
        <f>IFERROR(__xludf.DUMMYFUNCTION("IF(B2015="""","""",IFERROR(VLOOKUP(TO_TEXT(B2015),PEDIDOS!D:I,6,0),IFERROR(VLOOKUP(B2015*1,PEDIDOS!D:I,6,0),"" "")))"),"ENTREGUE")</f>
        <v>ENTREGUE</v>
      </c>
      <c r="G2015" s="303"/>
      <c r="H2015" s="304"/>
    </row>
    <row r="2016">
      <c r="A2016" s="302" t="s">
        <v>72</v>
      </c>
      <c r="B2016" s="291" t="s">
        <v>13184</v>
      </c>
      <c r="C2016" s="292" t="s">
        <v>48</v>
      </c>
      <c r="D2016" s="293">
        <f t="shared" si="2"/>
        <v>1</v>
      </c>
      <c r="E2016" s="294"/>
      <c r="F2016" s="295" t="str">
        <f>IFERROR(__xludf.DUMMYFUNCTION("IF(B2016="""","""",IFERROR(VLOOKUP(TO_TEXT(B2016),PEDIDOS!D:I,6,0),IFERROR(VLOOKUP(B2016*1,PEDIDOS!D:I,6,0),"" "")))"),"ENTREGUE")</f>
        <v>ENTREGUE</v>
      </c>
      <c r="G2016" s="303"/>
      <c r="H2016" s="304"/>
    </row>
    <row r="2017">
      <c r="A2017" s="302" t="s">
        <v>72</v>
      </c>
      <c r="B2017" s="291" t="s">
        <v>13470</v>
      </c>
      <c r="C2017" s="292" t="s">
        <v>48</v>
      </c>
      <c r="D2017" s="293">
        <f t="shared" si="2"/>
        <v>1</v>
      </c>
      <c r="E2017" s="294"/>
      <c r="F2017" s="295" t="str">
        <f>IFERROR(__xludf.DUMMYFUNCTION("IF(B2017="""","""",IFERROR(VLOOKUP(TO_TEXT(B2017),PEDIDOS!D:I,6,0),IFERROR(VLOOKUP(B2017*1,PEDIDOS!D:I,6,0),"" "")))"),"ENTREGUE")</f>
        <v>ENTREGUE</v>
      </c>
      <c r="G2017" s="303"/>
      <c r="H2017" s="304"/>
    </row>
    <row r="2018">
      <c r="A2018" s="302" t="s">
        <v>72</v>
      </c>
      <c r="B2018" s="291" t="s">
        <v>13562</v>
      </c>
      <c r="C2018" s="292" t="s">
        <v>48</v>
      </c>
      <c r="D2018" s="293">
        <f t="shared" si="2"/>
        <v>1</v>
      </c>
      <c r="E2018" s="294"/>
      <c r="F2018" s="295" t="str">
        <f>IFERROR(__xludf.DUMMYFUNCTION("IF(B2018="""","""",IFERROR(VLOOKUP(TO_TEXT(B2018),PEDIDOS!D:I,6,0),IFERROR(VLOOKUP(B2018*1,PEDIDOS!D:I,6,0),"" "")))"),"ENTREGUE")</f>
        <v>ENTREGUE</v>
      </c>
      <c r="G2018" s="303"/>
      <c r="H2018" s="304"/>
    </row>
    <row r="2019">
      <c r="A2019" s="302" t="s">
        <v>72</v>
      </c>
      <c r="B2019" s="291" t="s">
        <v>13078</v>
      </c>
      <c r="C2019" s="292" t="s">
        <v>48</v>
      </c>
      <c r="D2019" s="293">
        <f t="shared" si="2"/>
        <v>1</v>
      </c>
      <c r="E2019" s="294"/>
      <c r="F2019" s="295" t="str">
        <f>IFERROR(__xludf.DUMMYFUNCTION("IF(B2019="""","""",IFERROR(VLOOKUP(TO_TEXT(B2019),PEDIDOS!D:I,6,0),IFERROR(VLOOKUP(B2019*1,PEDIDOS!D:I,6,0),"" "")))"),"ENTREGUE")</f>
        <v>ENTREGUE</v>
      </c>
      <c r="G2019" s="303"/>
      <c r="H2019" s="304"/>
    </row>
    <row r="2020">
      <c r="A2020" s="302" t="s">
        <v>72</v>
      </c>
      <c r="B2020" s="291" t="s">
        <v>13188</v>
      </c>
      <c r="C2020" s="292" t="s">
        <v>48</v>
      </c>
      <c r="D2020" s="293">
        <f t="shared" si="2"/>
        <v>1</v>
      </c>
      <c r="E2020" s="294"/>
      <c r="F2020" s="295" t="str">
        <f>IFERROR(__xludf.DUMMYFUNCTION("IF(B2020="""","""",IFERROR(VLOOKUP(TO_TEXT(B2020),PEDIDOS!D:I,6,0),IFERROR(VLOOKUP(B2020*1,PEDIDOS!D:I,6,0),"" "")))"),"ENTREGUE")</f>
        <v>ENTREGUE</v>
      </c>
      <c r="G2020" s="303"/>
      <c r="H2020" s="304"/>
    </row>
    <row r="2021">
      <c r="A2021" s="302" t="s">
        <v>72</v>
      </c>
      <c r="B2021" s="291" t="s">
        <v>13606</v>
      </c>
      <c r="C2021" s="292" t="s">
        <v>48</v>
      </c>
      <c r="D2021" s="293">
        <f t="shared" si="2"/>
        <v>1</v>
      </c>
      <c r="E2021" s="294"/>
      <c r="F2021" s="295" t="str">
        <f>IFERROR(__xludf.DUMMYFUNCTION("IF(B2021="""","""",IFERROR(VLOOKUP(TO_TEXT(B2021),PEDIDOS!D:I,6,0),IFERROR(VLOOKUP(B2021*1,PEDIDOS!D:I,6,0),"" "")))"),"ENTREGUE")</f>
        <v>ENTREGUE</v>
      </c>
      <c r="G2021" s="303"/>
      <c r="H2021" s="304"/>
    </row>
    <row r="2022">
      <c r="A2022" s="302" t="s">
        <v>72</v>
      </c>
      <c r="B2022" s="291" t="s">
        <v>13074</v>
      </c>
      <c r="C2022" s="292" t="s">
        <v>48</v>
      </c>
      <c r="D2022" s="293">
        <f t="shared" si="2"/>
        <v>1</v>
      </c>
      <c r="E2022" s="294"/>
      <c r="F2022" s="295" t="str">
        <f>IFERROR(__xludf.DUMMYFUNCTION("IF(B2022="""","""",IFERROR(VLOOKUP(TO_TEXT(B2022),PEDIDOS!D:I,6,0),IFERROR(VLOOKUP(B2022*1,PEDIDOS!D:I,6,0),"" "")))"),"ENTREGUE")</f>
        <v>ENTREGUE</v>
      </c>
      <c r="G2022" s="303"/>
      <c r="H2022" s="304"/>
    </row>
    <row r="2023">
      <c r="A2023" s="302" t="s">
        <v>72</v>
      </c>
      <c r="B2023" s="291" t="s">
        <v>12802</v>
      </c>
      <c r="C2023" s="292" t="s">
        <v>48</v>
      </c>
      <c r="D2023" s="293">
        <f t="shared" si="2"/>
        <v>1</v>
      </c>
      <c r="E2023" s="294"/>
      <c r="F2023" s="295" t="str">
        <f>IFERROR(__xludf.DUMMYFUNCTION("IF(B2023="""","""",IFERROR(VLOOKUP(TO_TEXT(B2023),PEDIDOS!D:I,6,0),IFERROR(VLOOKUP(B2023*1,PEDIDOS!D:I,6,0),"" "")))"),"ENTREGUE")</f>
        <v>ENTREGUE</v>
      </c>
      <c r="G2023" s="303"/>
      <c r="H2023" s="304"/>
    </row>
    <row r="2024">
      <c r="A2024" s="302" t="s">
        <v>72</v>
      </c>
      <c r="B2024" s="291" t="s">
        <v>12818</v>
      </c>
      <c r="C2024" s="292" t="s">
        <v>48</v>
      </c>
      <c r="D2024" s="293">
        <f t="shared" si="2"/>
        <v>1</v>
      </c>
      <c r="E2024" s="294"/>
      <c r="F2024" s="295" t="str">
        <f>IFERROR(__xludf.DUMMYFUNCTION("IF(B2024="""","""",IFERROR(VLOOKUP(TO_TEXT(B2024),PEDIDOS!D:I,6,0),IFERROR(VLOOKUP(B2024*1,PEDIDOS!D:I,6,0),"" "")))"),"ENTREGUE")</f>
        <v>ENTREGUE</v>
      </c>
      <c r="G2024" s="303"/>
      <c r="H2024" s="304"/>
    </row>
    <row r="2025">
      <c r="A2025" s="302" t="s">
        <v>72</v>
      </c>
      <c r="B2025" s="291" t="s">
        <v>12657</v>
      </c>
      <c r="C2025" s="292" t="s">
        <v>48</v>
      </c>
      <c r="D2025" s="293">
        <f t="shared" si="2"/>
        <v>1</v>
      </c>
      <c r="E2025" s="294"/>
      <c r="F2025" s="295" t="str">
        <f>IFERROR(__xludf.DUMMYFUNCTION("IF(B2025="""","""",IFERROR(VLOOKUP(TO_TEXT(B2025),PEDIDOS!D:I,6,0),IFERROR(VLOOKUP(B2025*1,PEDIDOS!D:I,6,0),"" "")))"),"ENTREGUE")</f>
        <v>ENTREGUE</v>
      </c>
      <c r="G2025" s="303"/>
      <c r="H2025" s="304"/>
    </row>
    <row r="2026">
      <c r="A2026" s="302" t="s">
        <v>72</v>
      </c>
      <c r="B2026" s="291" t="s">
        <v>12918</v>
      </c>
      <c r="C2026" s="292" t="s">
        <v>48</v>
      </c>
      <c r="D2026" s="293">
        <f t="shared" si="2"/>
        <v>1</v>
      </c>
      <c r="E2026" s="294"/>
      <c r="F2026" s="295" t="str">
        <f>IFERROR(__xludf.DUMMYFUNCTION("IF(B2026="""","""",IFERROR(VLOOKUP(TO_TEXT(B2026),PEDIDOS!D:I,6,0),IFERROR(VLOOKUP(B2026*1,PEDIDOS!D:I,6,0),"" "")))"),"ENTREGUE")</f>
        <v>ENTREGUE</v>
      </c>
      <c r="G2026" s="303"/>
      <c r="H2026" s="304"/>
    </row>
    <row r="2027">
      <c r="A2027" s="302" t="s">
        <v>72</v>
      </c>
      <c r="B2027" s="291" t="s">
        <v>13171</v>
      </c>
      <c r="C2027" s="292" t="s">
        <v>48</v>
      </c>
      <c r="D2027" s="293">
        <f t="shared" si="2"/>
        <v>1</v>
      </c>
      <c r="E2027" s="294"/>
      <c r="F2027" s="295" t="str">
        <f>IFERROR(__xludf.DUMMYFUNCTION("IF(B2027="""","""",IFERROR(VLOOKUP(TO_TEXT(B2027),PEDIDOS!D:I,6,0),IFERROR(VLOOKUP(B2027*1,PEDIDOS!D:I,6,0),"" "")))"),"ENTREGUE")</f>
        <v>ENTREGUE</v>
      </c>
      <c r="G2027" s="303"/>
      <c r="H2027" s="304"/>
    </row>
    <row r="2028">
      <c r="A2028" s="302" t="s">
        <v>72</v>
      </c>
      <c r="B2028" s="291" t="s">
        <v>13125</v>
      </c>
      <c r="C2028" s="292" t="s">
        <v>48</v>
      </c>
      <c r="D2028" s="293">
        <f t="shared" si="2"/>
        <v>1</v>
      </c>
      <c r="E2028" s="294"/>
      <c r="F2028" s="295" t="str">
        <f>IFERROR(__xludf.DUMMYFUNCTION("IF(B2028="""","""",IFERROR(VLOOKUP(TO_TEXT(B2028),PEDIDOS!D:I,6,0),IFERROR(VLOOKUP(B2028*1,PEDIDOS!D:I,6,0),"" "")))"),"ENTREGUE")</f>
        <v>ENTREGUE</v>
      </c>
      <c r="G2028" s="303"/>
      <c r="H2028" s="304"/>
    </row>
    <row r="2029">
      <c r="A2029" s="302" t="s">
        <v>85</v>
      </c>
      <c r="B2029" s="291" t="s">
        <v>10512</v>
      </c>
      <c r="C2029" s="292" t="s">
        <v>48</v>
      </c>
      <c r="D2029" s="293">
        <f t="shared" si="2"/>
        <v>1</v>
      </c>
      <c r="E2029" s="294"/>
      <c r="F2029" s="295" t="str">
        <f>IFERROR(__xludf.DUMMYFUNCTION("IF(B2029="""","""",IFERROR(VLOOKUP(TO_TEXT(B2029),PEDIDOS!D:I,6,0),IFERROR(VLOOKUP(B2029*1,PEDIDOS!D:I,6,0),"" "")))"),"ENTREGUE")</f>
        <v>ENTREGUE</v>
      </c>
      <c r="G2029" s="303"/>
      <c r="H2029" s="304"/>
    </row>
    <row r="2030">
      <c r="A2030" s="302" t="s">
        <v>85</v>
      </c>
      <c r="B2030" s="291" t="s">
        <v>11094</v>
      </c>
      <c r="C2030" s="292" t="s">
        <v>48</v>
      </c>
      <c r="D2030" s="293">
        <f t="shared" si="2"/>
        <v>1</v>
      </c>
      <c r="E2030" s="294"/>
      <c r="F2030" s="295" t="str">
        <f>IFERROR(__xludf.DUMMYFUNCTION("IF(B2030="""","""",IFERROR(VLOOKUP(TO_TEXT(B2030),PEDIDOS!D:I,6,0),IFERROR(VLOOKUP(B2030*1,PEDIDOS!D:I,6,0),"" "")))"),"ENTREGUE")</f>
        <v>ENTREGUE</v>
      </c>
      <c r="G2030" s="303"/>
      <c r="H2030" s="304"/>
    </row>
    <row r="2031">
      <c r="A2031" s="302" t="s">
        <v>85</v>
      </c>
      <c r="B2031" s="291" t="s">
        <v>11508</v>
      </c>
      <c r="C2031" s="292" t="s">
        <v>48</v>
      </c>
      <c r="D2031" s="293">
        <f t="shared" si="2"/>
        <v>1</v>
      </c>
      <c r="E2031" s="294"/>
      <c r="F2031" s="295" t="str">
        <f>IFERROR(__xludf.DUMMYFUNCTION("IF(B2031="""","""",IFERROR(VLOOKUP(TO_TEXT(B2031),PEDIDOS!D:I,6,0),IFERROR(VLOOKUP(B2031*1,PEDIDOS!D:I,6,0),"" "")))"),"ENTREGUE")</f>
        <v>ENTREGUE</v>
      </c>
      <c r="G2031" s="303"/>
      <c r="H2031" s="304"/>
    </row>
    <row r="2032">
      <c r="A2032" s="302" t="s">
        <v>85</v>
      </c>
      <c r="B2032" s="291" t="s">
        <v>11664</v>
      </c>
      <c r="C2032" s="292" t="s">
        <v>48</v>
      </c>
      <c r="D2032" s="293">
        <f t="shared" si="2"/>
        <v>1</v>
      </c>
      <c r="E2032" s="294"/>
      <c r="F2032" s="295" t="str">
        <f>IFERROR(__xludf.DUMMYFUNCTION("IF(B2032="""","""",IFERROR(VLOOKUP(TO_TEXT(B2032),PEDIDOS!D:I,6,0),IFERROR(VLOOKUP(B2032*1,PEDIDOS!D:I,6,0),"" "")))"),"ENTREGUE")</f>
        <v>ENTREGUE</v>
      </c>
      <c r="G2032" s="303"/>
      <c r="H2032" s="304"/>
    </row>
    <row r="2033">
      <c r="A2033" s="302" t="s">
        <v>85</v>
      </c>
      <c r="B2033" s="291" t="s">
        <v>11590</v>
      </c>
      <c r="C2033" s="292" t="s">
        <v>48</v>
      </c>
      <c r="D2033" s="293">
        <f t="shared" si="2"/>
        <v>1</v>
      </c>
      <c r="E2033" s="294"/>
      <c r="F2033" s="295" t="str">
        <f>IFERROR(__xludf.DUMMYFUNCTION("IF(B2033="""","""",IFERROR(VLOOKUP(TO_TEXT(B2033),PEDIDOS!D:I,6,0),IFERROR(VLOOKUP(B2033*1,PEDIDOS!D:I,6,0),"" "")))"),"ENTREGUE")</f>
        <v>ENTREGUE</v>
      </c>
      <c r="G2033" s="303"/>
      <c r="H2033" s="304"/>
    </row>
    <row r="2034">
      <c r="A2034" s="302" t="s">
        <v>85</v>
      </c>
      <c r="B2034" s="291" t="s">
        <v>11811</v>
      </c>
      <c r="C2034" s="292" t="s">
        <v>48</v>
      </c>
      <c r="D2034" s="293">
        <f t="shared" si="2"/>
        <v>1</v>
      </c>
      <c r="E2034" s="294"/>
      <c r="F2034" s="295" t="str">
        <f>IFERROR(__xludf.DUMMYFUNCTION("IF(B2034="""","""",IFERROR(VLOOKUP(TO_TEXT(B2034),PEDIDOS!D:I,6,0),IFERROR(VLOOKUP(B2034*1,PEDIDOS!D:I,6,0),"" "")))"),"ENTREGUE")</f>
        <v>ENTREGUE</v>
      </c>
      <c r="G2034" s="303"/>
      <c r="H2034" s="304"/>
    </row>
    <row r="2035">
      <c r="A2035" s="302" t="s">
        <v>85</v>
      </c>
      <c r="B2035" s="291" t="s">
        <v>11372</v>
      </c>
      <c r="C2035" s="292" t="s">
        <v>48</v>
      </c>
      <c r="D2035" s="293">
        <f t="shared" si="2"/>
        <v>1</v>
      </c>
      <c r="E2035" s="294"/>
      <c r="F2035" s="295" t="str">
        <f>IFERROR(__xludf.DUMMYFUNCTION("IF(B2035="""","""",IFERROR(VLOOKUP(TO_TEXT(B2035),PEDIDOS!D:I,6,0),IFERROR(VLOOKUP(B2035*1,PEDIDOS!D:I,6,0),"" "")))"),"ENTREGUE")</f>
        <v>ENTREGUE</v>
      </c>
      <c r="G2035" s="303"/>
      <c r="H2035" s="304"/>
    </row>
    <row r="2036">
      <c r="A2036" s="302" t="s">
        <v>85</v>
      </c>
      <c r="B2036" s="291" t="s">
        <v>13250</v>
      </c>
      <c r="C2036" s="292" t="s">
        <v>48</v>
      </c>
      <c r="D2036" s="293">
        <f t="shared" si="2"/>
        <v>1</v>
      </c>
      <c r="E2036" s="294"/>
      <c r="F2036" s="295" t="str">
        <f>IFERROR(__xludf.DUMMYFUNCTION("IF(B2036="""","""",IFERROR(VLOOKUP(TO_TEXT(B2036),PEDIDOS!D:I,6,0),IFERROR(VLOOKUP(B2036*1,PEDIDOS!D:I,6,0),"" "")))"),"ENTREGUE")</f>
        <v>ENTREGUE</v>
      </c>
      <c r="G2036" s="303"/>
      <c r="H2036" s="304"/>
    </row>
    <row r="2037">
      <c r="A2037" s="302" t="s">
        <v>85</v>
      </c>
      <c r="B2037" s="291" t="s">
        <v>10959</v>
      </c>
      <c r="C2037" s="292" t="s">
        <v>48</v>
      </c>
      <c r="D2037" s="293">
        <f t="shared" si="2"/>
        <v>1</v>
      </c>
      <c r="E2037" s="294"/>
      <c r="F2037" s="295" t="str">
        <f>IFERROR(__xludf.DUMMYFUNCTION("IF(B2037="""","""",IFERROR(VLOOKUP(TO_TEXT(B2037),PEDIDOS!D:I,6,0),IFERROR(VLOOKUP(B2037*1,PEDIDOS!D:I,6,0),"" "")))"),"ENTREGUE")</f>
        <v>ENTREGUE</v>
      </c>
      <c r="G2037" s="303"/>
      <c r="H2037" s="304"/>
    </row>
    <row r="2038">
      <c r="A2038" s="302" t="s">
        <v>85</v>
      </c>
      <c r="B2038" s="291" t="s">
        <v>9486</v>
      </c>
      <c r="C2038" s="292" t="s">
        <v>48</v>
      </c>
      <c r="D2038" s="293">
        <f t="shared" si="2"/>
        <v>1</v>
      </c>
      <c r="E2038" s="294"/>
      <c r="F2038" s="295" t="str">
        <f>IFERROR(__xludf.DUMMYFUNCTION("IF(B2038="""","""",IFERROR(VLOOKUP(TO_TEXT(B2038),PEDIDOS!D:I,6,0),IFERROR(VLOOKUP(B2038*1,PEDIDOS!D:I,6,0),"" "")))"),"ENTREGUE")</f>
        <v>ENTREGUE</v>
      </c>
      <c r="G2038" s="303"/>
      <c r="H2038" s="304"/>
    </row>
    <row r="2039">
      <c r="A2039" s="302" t="s">
        <v>85</v>
      </c>
      <c r="B2039" s="291" t="s">
        <v>9489</v>
      </c>
      <c r="C2039" s="292" t="s">
        <v>48</v>
      </c>
      <c r="D2039" s="293">
        <f t="shared" si="2"/>
        <v>1</v>
      </c>
      <c r="E2039" s="294"/>
      <c r="F2039" s="295" t="str">
        <f>IFERROR(__xludf.DUMMYFUNCTION("IF(B2039="""","""",IFERROR(VLOOKUP(TO_TEXT(B2039),PEDIDOS!D:I,6,0),IFERROR(VLOOKUP(B2039*1,PEDIDOS!D:I,6,0),"" "")))"),"ENTREGUE")</f>
        <v>ENTREGUE</v>
      </c>
      <c r="G2039" s="303"/>
      <c r="H2039" s="304"/>
    </row>
    <row r="2040">
      <c r="A2040" s="302" t="s">
        <v>85</v>
      </c>
      <c r="B2040" s="291" t="s">
        <v>13180</v>
      </c>
      <c r="C2040" s="292" t="s">
        <v>48</v>
      </c>
      <c r="D2040" s="293">
        <f t="shared" si="2"/>
        <v>1</v>
      </c>
      <c r="E2040" s="294"/>
      <c r="F2040" s="295" t="str">
        <f>IFERROR(__xludf.DUMMYFUNCTION("IF(B2040="""","""",IFERROR(VLOOKUP(TO_TEXT(B2040),PEDIDOS!D:I,6,0),IFERROR(VLOOKUP(B2040*1,PEDIDOS!D:I,6,0),"" "")))"),"ENTREGUE")</f>
        <v>ENTREGUE</v>
      </c>
      <c r="G2040" s="303"/>
      <c r="H2040" s="304"/>
    </row>
    <row r="2041">
      <c r="A2041" s="302" t="s">
        <v>85</v>
      </c>
      <c r="B2041" s="291" t="s">
        <v>10657</v>
      </c>
      <c r="C2041" s="292" t="s">
        <v>48</v>
      </c>
      <c r="D2041" s="293">
        <f t="shared" si="2"/>
        <v>1</v>
      </c>
      <c r="E2041" s="294"/>
      <c r="F2041" s="295" t="str">
        <f>IFERROR(__xludf.DUMMYFUNCTION("IF(B2041="""","""",IFERROR(VLOOKUP(TO_TEXT(B2041),PEDIDOS!D:I,6,0),IFERROR(VLOOKUP(B2041*1,PEDIDOS!D:I,6,0),"" "")))"),"ENTREGUE")</f>
        <v>ENTREGUE</v>
      </c>
      <c r="G2041" s="303"/>
      <c r="H2041" s="304"/>
    </row>
    <row r="2042">
      <c r="A2042" s="302" t="s">
        <v>85</v>
      </c>
      <c r="B2042" s="291" t="s">
        <v>10660</v>
      </c>
      <c r="C2042" s="292" t="s">
        <v>48</v>
      </c>
      <c r="D2042" s="293">
        <f t="shared" si="2"/>
        <v>1</v>
      </c>
      <c r="E2042" s="294"/>
      <c r="F2042" s="295" t="str">
        <f>IFERROR(__xludf.DUMMYFUNCTION("IF(B2042="""","""",IFERROR(VLOOKUP(TO_TEXT(B2042),PEDIDOS!D:I,6,0),IFERROR(VLOOKUP(B2042*1,PEDIDOS!D:I,6,0),"" "")))"),"ENTREGUE")</f>
        <v>ENTREGUE</v>
      </c>
      <c r="G2042" s="303"/>
      <c r="H2042" s="304"/>
    </row>
    <row r="2043">
      <c r="A2043" s="302" t="s">
        <v>85</v>
      </c>
      <c r="B2043" s="291" t="s">
        <v>10663</v>
      </c>
      <c r="C2043" s="292" t="s">
        <v>48</v>
      </c>
      <c r="D2043" s="293">
        <f t="shared" si="2"/>
        <v>1</v>
      </c>
      <c r="E2043" s="294"/>
      <c r="F2043" s="295" t="str">
        <f>IFERROR(__xludf.DUMMYFUNCTION("IF(B2043="""","""",IFERROR(VLOOKUP(TO_TEXT(B2043),PEDIDOS!D:I,6,0),IFERROR(VLOOKUP(B2043*1,PEDIDOS!D:I,6,0),"" "")))"),"ENTREGUE")</f>
        <v>ENTREGUE</v>
      </c>
      <c r="G2043" s="303"/>
      <c r="H2043" s="304"/>
    </row>
    <row r="2044">
      <c r="A2044" s="302" t="s">
        <v>85</v>
      </c>
      <c r="B2044" s="291" t="s">
        <v>11166</v>
      </c>
      <c r="C2044" s="292" t="s">
        <v>48</v>
      </c>
      <c r="D2044" s="293">
        <f t="shared" si="2"/>
        <v>1</v>
      </c>
      <c r="E2044" s="294"/>
      <c r="F2044" s="295" t="str">
        <f>IFERROR(__xludf.DUMMYFUNCTION("IF(B2044="""","""",IFERROR(VLOOKUP(TO_TEXT(B2044),PEDIDOS!D:I,6,0),IFERROR(VLOOKUP(B2044*1,PEDIDOS!D:I,6,0),"" "")))"),"ENTREGUE")</f>
        <v>ENTREGUE</v>
      </c>
      <c r="G2044" s="303"/>
      <c r="H2044" s="304"/>
    </row>
    <row r="2045">
      <c r="A2045" s="302" t="s">
        <v>85</v>
      </c>
      <c r="B2045" s="291" t="s">
        <v>11181</v>
      </c>
      <c r="C2045" s="292" t="s">
        <v>48</v>
      </c>
      <c r="D2045" s="293">
        <f t="shared" si="2"/>
        <v>1</v>
      </c>
      <c r="E2045" s="294"/>
      <c r="F2045" s="295" t="str">
        <f>IFERROR(__xludf.DUMMYFUNCTION("IF(B2045="""","""",IFERROR(VLOOKUP(TO_TEXT(B2045),PEDIDOS!D:I,6,0),IFERROR(VLOOKUP(B2045*1,PEDIDOS!D:I,6,0),"" "")))"),"ENTREGUE")</f>
        <v>ENTREGUE</v>
      </c>
      <c r="G2045" s="303"/>
      <c r="H2045" s="304"/>
    </row>
    <row r="2046">
      <c r="A2046" s="302" t="s">
        <v>85</v>
      </c>
      <c r="B2046" s="291" t="s">
        <v>11248</v>
      </c>
      <c r="C2046" s="292" t="s">
        <v>48</v>
      </c>
      <c r="D2046" s="293">
        <f t="shared" si="2"/>
        <v>1</v>
      </c>
      <c r="E2046" s="294"/>
      <c r="F2046" s="295" t="str">
        <f>IFERROR(__xludf.DUMMYFUNCTION("IF(B2046="""","""",IFERROR(VLOOKUP(TO_TEXT(B2046),PEDIDOS!D:I,6,0),IFERROR(VLOOKUP(B2046*1,PEDIDOS!D:I,6,0),"" "")))"),"ENTREGUE")</f>
        <v>ENTREGUE</v>
      </c>
      <c r="G2046" s="303"/>
      <c r="H2046" s="304"/>
    </row>
    <row r="2047">
      <c r="A2047" s="302" t="s">
        <v>85</v>
      </c>
      <c r="B2047" s="291" t="s">
        <v>11461</v>
      </c>
      <c r="C2047" s="292" t="s">
        <v>48</v>
      </c>
      <c r="D2047" s="293">
        <f t="shared" si="2"/>
        <v>1</v>
      </c>
      <c r="E2047" s="294"/>
      <c r="F2047" s="295" t="str">
        <f>IFERROR(__xludf.DUMMYFUNCTION("IF(B2047="""","""",IFERROR(VLOOKUP(TO_TEXT(B2047),PEDIDOS!D:I,6,0),IFERROR(VLOOKUP(B2047*1,PEDIDOS!D:I,6,0),"" "")))"),"ENTREGUE")</f>
        <v>ENTREGUE</v>
      </c>
      <c r="G2047" s="303"/>
      <c r="H2047" s="304"/>
    </row>
    <row r="2048">
      <c r="A2048" s="302" t="s">
        <v>85</v>
      </c>
      <c r="B2048" s="291" t="s">
        <v>11580</v>
      </c>
      <c r="C2048" s="292" t="s">
        <v>48</v>
      </c>
      <c r="D2048" s="293">
        <f t="shared" si="2"/>
        <v>1</v>
      </c>
      <c r="E2048" s="294"/>
      <c r="F2048" s="295" t="str">
        <f>IFERROR(__xludf.DUMMYFUNCTION("IF(B2048="""","""",IFERROR(VLOOKUP(TO_TEXT(B2048),PEDIDOS!D:I,6,0),IFERROR(VLOOKUP(B2048*1,PEDIDOS!D:I,6,0),"" "")))"),"ENTREGUE")</f>
        <v>ENTREGUE</v>
      </c>
      <c r="G2048" s="303"/>
      <c r="H2048" s="304"/>
    </row>
    <row r="2049">
      <c r="A2049" s="302" t="s">
        <v>85</v>
      </c>
      <c r="B2049" s="291" t="s">
        <v>11585</v>
      </c>
      <c r="C2049" s="292" t="s">
        <v>48</v>
      </c>
      <c r="D2049" s="293">
        <f t="shared" si="2"/>
        <v>1</v>
      </c>
      <c r="E2049" s="294"/>
      <c r="F2049" s="295" t="str">
        <f>IFERROR(__xludf.DUMMYFUNCTION("IF(B2049="""","""",IFERROR(VLOOKUP(TO_TEXT(B2049),PEDIDOS!D:I,6,0),IFERROR(VLOOKUP(B2049*1,PEDIDOS!D:I,6,0),"" "")))"),"ENTREGUE")</f>
        <v>ENTREGUE</v>
      </c>
      <c r="G2049" s="303"/>
      <c r="H2049" s="304"/>
    </row>
    <row r="2050">
      <c r="A2050" s="302" t="s">
        <v>85</v>
      </c>
      <c r="B2050" s="291" t="s">
        <v>12168</v>
      </c>
      <c r="C2050" s="292" t="s">
        <v>48</v>
      </c>
      <c r="D2050" s="293">
        <f t="shared" si="2"/>
        <v>1</v>
      </c>
      <c r="E2050" s="294"/>
      <c r="F2050" s="295" t="str">
        <f>IFERROR(__xludf.DUMMYFUNCTION("IF(B2050="""","""",IFERROR(VLOOKUP(TO_TEXT(B2050),PEDIDOS!D:I,6,0),IFERROR(VLOOKUP(B2050*1,PEDIDOS!D:I,6,0),"" "")))"),"ENTREGUE")</f>
        <v>ENTREGUE</v>
      </c>
      <c r="G2050" s="303"/>
      <c r="H2050" s="304"/>
    </row>
    <row r="2051">
      <c r="A2051" s="302" t="s">
        <v>85</v>
      </c>
      <c r="B2051" s="291" t="s">
        <v>12473</v>
      </c>
      <c r="C2051" s="292" t="s">
        <v>48</v>
      </c>
      <c r="D2051" s="293">
        <f t="shared" si="2"/>
        <v>1</v>
      </c>
      <c r="E2051" s="294"/>
      <c r="F2051" s="295" t="str">
        <f>IFERROR(__xludf.DUMMYFUNCTION("IF(B2051="""","""",IFERROR(VLOOKUP(TO_TEXT(B2051),PEDIDOS!D:I,6,0),IFERROR(VLOOKUP(B2051*1,PEDIDOS!D:I,6,0),"" "")))"),"ENTREGUE")</f>
        <v>ENTREGUE</v>
      </c>
      <c r="G2051" s="303"/>
      <c r="H2051" s="304"/>
    </row>
    <row r="2052">
      <c r="A2052" s="302" t="s">
        <v>85</v>
      </c>
      <c r="B2052" s="291" t="s">
        <v>13536</v>
      </c>
      <c r="C2052" s="292" t="s">
        <v>48</v>
      </c>
      <c r="D2052" s="293">
        <f t="shared" si="2"/>
        <v>1</v>
      </c>
      <c r="E2052" s="294"/>
      <c r="F2052" s="295" t="str">
        <f>IFERROR(__xludf.DUMMYFUNCTION("IF(B2052="""","""",IFERROR(VLOOKUP(TO_TEXT(B2052),PEDIDOS!D:I,6,0),IFERROR(VLOOKUP(B2052*1,PEDIDOS!D:I,6,0),"" "")))"),"ENTREGUE")</f>
        <v>ENTREGUE</v>
      </c>
      <c r="G2052" s="303"/>
      <c r="H2052" s="304"/>
    </row>
    <row r="2053">
      <c r="A2053" s="302" t="s">
        <v>85</v>
      </c>
      <c r="B2053" s="291" t="s">
        <v>11562</v>
      </c>
      <c r="C2053" s="292" t="s">
        <v>48</v>
      </c>
      <c r="D2053" s="293">
        <f t="shared" si="2"/>
        <v>1</v>
      </c>
      <c r="E2053" s="294"/>
      <c r="F2053" s="295" t="str">
        <f>IFERROR(__xludf.DUMMYFUNCTION("IF(B2053="""","""",IFERROR(VLOOKUP(TO_TEXT(B2053),PEDIDOS!D:I,6,0),IFERROR(VLOOKUP(B2053*1,PEDIDOS!D:I,6,0),"" "")))"),"ENTREGUE")</f>
        <v>ENTREGUE</v>
      </c>
      <c r="G2053" s="303"/>
      <c r="H2053" s="304"/>
    </row>
    <row r="2054">
      <c r="A2054" s="302" t="s">
        <v>85</v>
      </c>
      <c r="B2054" s="291" t="s">
        <v>12698</v>
      </c>
      <c r="C2054" s="292" t="s">
        <v>48</v>
      </c>
      <c r="D2054" s="293">
        <f t="shared" si="2"/>
        <v>1</v>
      </c>
      <c r="E2054" s="294"/>
      <c r="F2054" s="295" t="str">
        <f>IFERROR(__xludf.DUMMYFUNCTION("IF(B2054="""","""",IFERROR(VLOOKUP(TO_TEXT(B2054),PEDIDOS!D:I,6,0),IFERROR(VLOOKUP(B2054*1,PEDIDOS!D:I,6,0),"" "")))"),"ENTREGUE")</f>
        <v>ENTREGUE</v>
      </c>
      <c r="G2054" s="303"/>
      <c r="H2054" s="304"/>
    </row>
    <row r="2055">
      <c r="A2055" s="302" t="s">
        <v>85</v>
      </c>
      <c r="B2055" s="291" t="s">
        <v>12866</v>
      </c>
      <c r="C2055" s="292" t="s">
        <v>48</v>
      </c>
      <c r="D2055" s="293">
        <f t="shared" si="2"/>
        <v>1</v>
      </c>
      <c r="E2055" s="294"/>
      <c r="F2055" s="295" t="str">
        <f>IFERROR(__xludf.DUMMYFUNCTION("IF(B2055="""","""",IFERROR(VLOOKUP(TO_TEXT(B2055),PEDIDOS!D:I,6,0),IFERROR(VLOOKUP(B2055*1,PEDIDOS!D:I,6,0),"" "")))"),"ENTREGUE")</f>
        <v>ENTREGUE</v>
      </c>
      <c r="G2055" s="303"/>
      <c r="H2055" s="304"/>
    </row>
    <row r="2056">
      <c r="A2056" s="302" t="s">
        <v>85</v>
      </c>
      <c r="B2056" s="291" t="s">
        <v>11517</v>
      </c>
      <c r="C2056" s="292" t="s">
        <v>48</v>
      </c>
      <c r="D2056" s="293">
        <f t="shared" si="2"/>
        <v>1</v>
      </c>
      <c r="E2056" s="294"/>
      <c r="F2056" s="295" t="str">
        <f>IFERROR(__xludf.DUMMYFUNCTION("IF(B2056="""","""",IFERROR(VLOOKUP(TO_TEXT(B2056),PEDIDOS!D:I,6,0),IFERROR(VLOOKUP(B2056*1,PEDIDOS!D:I,6,0),"" "")))"),"ENTREGUE")</f>
        <v>ENTREGUE</v>
      </c>
      <c r="G2056" s="303"/>
      <c r="H2056" s="304"/>
    </row>
    <row r="2057">
      <c r="A2057" s="302" t="s">
        <v>85</v>
      </c>
      <c r="B2057" s="291" t="s">
        <v>11565</v>
      </c>
      <c r="C2057" s="292" t="s">
        <v>48</v>
      </c>
      <c r="D2057" s="293">
        <f t="shared" si="2"/>
        <v>1</v>
      </c>
      <c r="E2057" s="294"/>
      <c r="F2057" s="295" t="str">
        <f>IFERROR(__xludf.DUMMYFUNCTION("IF(B2057="""","""",IFERROR(VLOOKUP(TO_TEXT(B2057),PEDIDOS!D:I,6,0),IFERROR(VLOOKUP(B2057*1,PEDIDOS!D:I,6,0),"" "")))"),"ENTREGUE")</f>
        <v>ENTREGUE</v>
      </c>
      <c r="G2057" s="303"/>
      <c r="H2057" s="304"/>
    </row>
    <row r="2058">
      <c r="A2058" s="302" t="s">
        <v>85</v>
      </c>
      <c r="B2058" s="291" t="s">
        <v>13573</v>
      </c>
      <c r="C2058" s="292" t="s">
        <v>48</v>
      </c>
      <c r="D2058" s="293">
        <f t="shared" si="2"/>
        <v>1</v>
      </c>
      <c r="E2058" s="294"/>
      <c r="F2058" s="295" t="str">
        <f>IFERROR(__xludf.DUMMYFUNCTION("IF(B2058="""","""",IFERROR(VLOOKUP(TO_TEXT(B2058),PEDIDOS!D:I,6,0),IFERROR(VLOOKUP(B2058*1,PEDIDOS!D:I,6,0),"" "")))"),"ENTREGUE")</f>
        <v>ENTREGUE</v>
      </c>
      <c r="G2058" s="303"/>
      <c r="H2058" s="304"/>
    </row>
    <row r="2059">
      <c r="A2059" s="302" t="s">
        <v>85</v>
      </c>
      <c r="B2059" s="291" t="s">
        <v>12314</v>
      </c>
      <c r="C2059" s="292" t="s">
        <v>48</v>
      </c>
      <c r="D2059" s="293">
        <f t="shared" si="2"/>
        <v>1</v>
      </c>
      <c r="E2059" s="294"/>
      <c r="F2059" s="295" t="str">
        <f>IFERROR(__xludf.DUMMYFUNCTION("IF(B2059="""","""",IFERROR(VLOOKUP(TO_TEXT(B2059),PEDIDOS!D:I,6,0),IFERROR(VLOOKUP(B2059*1,PEDIDOS!D:I,6,0),"" "")))"),"ENTREGUE")</f>
        <v>ENTREGUE</v>
      </c>
      <c r="G2059" s="303"/>
      <c r="H2059" s="304"/>
    </row>
    <row r="2060">
      <c r="A2060" s="302" t="s">
        <v>85</v>
      </c>
      <c r="B2060" s="291" t="s">
        <v>11315</v>
      </c>
      <c r="C2060" s="292" t="s">
        <v>48</v>
      </c>
      <c r="D2060" s="293">
        <f t="shared" si="2"/>
        <v>1</v>
      </c>
      <c r="E2060" s="294"/>
      <c r="F2060" s="295" t="str">
        <f>IFERROR(__xludf.DUMMYFUNCTION("IF(B2060="""","""",IFERROR(VLOOKUP(TO_TEXT(B2060),PEDIDOS!D:I,6,0),IFERROR(VLOOKUP(B2060*1,PEDIDOS!D:I,6,0),"" "")))"),"ENTREGUE")</f>
        <v>ENTREGUE</v>
      </c>
      <c r="G2060" s="303"/>
      <c r="H2060" s="304"/>
    </row>
    <row r="2061">
      <c r="A2061" s="302" t="s">
        <v>85</v>
      </c>
      <c r="B2061" s="291" t="s">
        <v>12649</v>
      </c>
      <c r="C2061" s="292" t="s">
        <v>48</v>
      </c>
      <c r="D2061" s="293">
        <f t="shared" si="2"/>
        <v>1</v>
      </c>
      <c r="E2061" s="294"/>
      <c r="F2061" s="295" t="str">
        <f>IFERROR(__xludf.DUMMYFUNCTION("IF(B2061="""","""",IFERROR(VLOOKUP(TO_TEXT(B2061),PEDIDOS!D:I,6,0),IFERROR(VLOOKUP(B2061*1,PEDIDOS!D:I,6,0),"" "")))"),"ENTREGUE")</f>
        <v>ENTREGUE</v>
      </c>
      <c r="G2061" s="303"/>
      <c r="H2061" s="304"/>
    </row>
    <row r="2062">
      <c r="A2062" s="302" t="s">
        <v>85</v>
      </c>
      <c r="B2062" s="291" t="s">
        <v>12640</v>
      </c>
      <c r="C2062" s="292" t="s">
        <v>48</v>
      </c>
      <c r="D2062" s="293">
        <f t="shared" si="2"/>
        <v>1</v>
      </c>
      <c r="E2062" s="294"/>
      <c r="F2062" s="295" t="str">
        <f>IFERROR(__xludf.DUMMYFUNCTION("IF(B2062="""","""",IFERROR(VLOOKUP(TO_TEXT(B2062),PEDIDOS!D:I,6,0),IFERROR(VLOOKUP(B2062*1,PEDIDOS!D:I,6,0),"" "")))"),"ENTREGUE")</f>
        <v>ENTREGUE</v>
      </c>
      <c r="G2062" s="303"/>
      <c r="H2062" s="304"/>
    </row>
    <row r="2063">
      <c r="A2063" s="302" t="s">
        <v>85</v>
      </c>
      <c r="B2063" s="291" t="s">
        <v>20780</v>
      </c>
      <c r="C2063" s="292" t="s">
        <v>48</v>
      </c>
      <c r="D2063" s="293">
        <f t="shared" si="2"/>
        <v>1</v>
      </c>
      <c r="E2063" s="294"/>
      <c r="F2063" s="295" t="str">
        <f>IFERROR(__xludf.DUMMYFUNCTION("IF(B2063="""","""",IFERROR(VLOOKUP(TO_TEXT(B2063),PEDIDOS!D:I,6,0),IFERROR(VLOOKUP(B2063*1,PEDIDOS!D:I,6,0),"" "")))"),"ENTREGUE")</f>
        <v>ENTREGUE</v>
      </c>
      <c r="G2063" s="307"/>
      <c r="H2063" s="304"/>
    </row>
    <row r="2064">
      <c r="A2064" s="302" t="s">
        <v>85</v>
      </c>
      <c r="B2064" s="291" t="s">
        <v>12121</v>
      </c>
      <c r="C2064" s="292" t="s">
        <v>48</v>
      </c>
      <c r="D2064" s="293">
        <f t="shared" si="2"/>
        <v>1</v>
      </c>
      <c r="E2064" s="294"/>
      <c r="F2064" s="295" t="str">
        <f>IFERROR(__xludf.DUMMYFUNCTION("IF(B2064="""","""",IFERROR(VLOOKUP(TO_TEXT(B2064),PEDIDOS!D:I,6,0),IFERROR(VLOOKUP(B2064*1,PEDIDOS!D:I,6,0),"" "")))"),"ENTREGUE")</f>
        <v>ENTREGUE</v>
      </c>
      <c r="G2064" s="303"/>
      <c r="H2064" s="304"/>
    </row>
    <row r="2065">
      <c r="A2065" s="302" t="s">
        <v>85</v>
      </c>
      <c r="B2065" s="291" t="s">
        <v>13036</v>
      </c>
      <c r="C2065" s="292" t="s">
        <v>48</v>
      </c>
      <c r="D2065" s="293">
        <f t="shared" si="2"/>
        <v>1</v>
      </c>
      <c r="E2065" s="294"/>
      <c r="F2065" s="295" t="str">
        <f>IFERROR(__xludf.DUMMYFUNCTION("IF(B2065="""","""",IFERROR(VLOOKUP(TO_TEXT(B2065),PEDIDOS!D:I,6,0),IFERROR(VLOOKUP(B2065*1,PEDIDOS!D:I,6,0),"" "")))"),"ENTREGUE")</f>
        <v>ENTREGUE</v>
      </c>
      <c r="G2065" s="303"/>
      <c r="H2065" s="304"/>
    </row>
    <row r="2066">
      <c r="A2066" s="302" t="s">
        <v>85</v>
      </c>
      <c r="B2066" s="291" t="s">
        <v>11559</v>
      </c>
      <c r="C2066" s="292" t="s">
        <v>48</v>
      </c>
      <c r="D2066" s="293">
        <f t="shared" si="2"/>
        <v>1</v>
      </c>
      <c r="E2066" s="294"/>
      <c r="F2066" s="295" t="str">
        <f>IFERROR(__xludf.DUMMYFUNCTION("IF(B2066="""","""",IFERROR(VLOOKUP(TO_TEXT(B2066),PEDIDOS!D:I,6,0),IFERROR(VLOOKUP(B2066*1,PEDIDOS!D:I,6,0),"" "")))"),"ENTREGUE")</f>
        <v>ENTREGUE</v>
      </c>
      <c r="G2066" s="303"/>
      <c r="H2066" s="304"/>
    </row>
    <row r="2067">
      <c r="A2067" s="302" t="s">
        <v>85</v>
      </c>
      <c r="B2067" s="291" t="s">
        <v>10324</v>
      </c>
      <c r="C2067" s="292" t="s">
        <v>48</v>
      </c>
      <c r="D2067" s="293">
        <f t="shared" si="2"/>
        <v>1</v>
      </c>
      <c r="E2067" s="294"/>
      <c r="F2067" s="295" t="str">
        <f>IFERROR(__xludf.DUMMYFUNCTION("IF(B2067="""","""",IFERROR(VLOOKUP(TO_TEXT(B2067),PEDIDOS!D:I,6,0),IFERROR(VLOOKUP(B2067*1,PEDIDOS!D:I,6,0),"" "")))"),"ENTREGUE")</f>
        <v>ENTREGUE</v>
      </c>
      <c r="G2067" s="303"/>
      <c r="H2067" s="304"/>
    </row>
    <row r="2068">
      <c r="A2068" s="302" t="s">
        <v>85</v>
      </c>
      <c r="B2068" s="291" t="s">
        <v>9952</v>
      </c>
      <c r="C2068" s="292" t="s">
        <v>48</v>
      </c>
      <c r="D2068" s="293">
        <f t="shared" si="2"/>
        <v>1</v>
      </c>
      <c r="E2068" s="294"/>
      <c r="F2068" s="295" t="str">
        <f>IFERROR(__xludf.DUMMYFUNCTION("IF(B2068="""","""",IFERROR(VLOOKUP(TO_TEXT(B2068),PEDIDOS!D:I,6,0),IFERROR(VLOOKUP(B2068*1,PEDIDOS!D:I,6,0),"" "")))"),"ENTREGUE")</f>
        <v>ENTREGUE</v>
      </c>
      <c r="G2068" s="303"/>
      <c r="H2068" s="304"/>
    </row>
    <row r="2069">
      <c r="A2069" s="302" t="s">
        <v>85</v>
      </c>
      <c r="B2069" s="291" t="s">
        <v>10249</v>
      </c>
      <c r="C2069" s="292" t="s">
        <v>48</v>
      </c>
      <c r="D2069" s="293">
        <f t="shared" si="2"/>
        <v>1</v>
      </c>
      <c r="E2069" s="294"/>
      <c r="F2069" s="295" t="str">
        <f>IFERROR(__xludf.DUMMYFUNCTION("IF(B2069="""","""",IFERROR(VLOOKUP(TO_TEXT(B2069),PEDIDOS!D:I,6,0),IFERROR(VLOOKUP(B2069*1,PEDIDOS!D:I,6,0),"" "")))"),"ENTREGUE")</f>
        <v>ENTREGUE</v>
      </c>
      <c r="G2069" s="303"/>
      <c r="H2069" s="304"/>
    </row>
    <row r="2070">
      <c r="A2070" s="302" t="s">
        <v>85</v>
      </c>
      <c r="B2070" s="291" t="s">
        <v>12972</v>
      </c>
      <c r="C2070" s="292" t="s">
        <v>48</v>
      </c>
      <c r="D2070" s="293">
        <f t="shared" si="2"/>
        <v>1</v>
      </c>
      <c r="E2070" s="294"/>
      <c r="F2070" s="295" t="str">
        <f>IFERROR(__xludf.DUMMYFUNCTION("IF(B2070="""","""",IFERROR(VLOOKUP(TO_TEXT(B2070),PEDIDOS!D:I,6,0),IFERROR(VLOOKUP(B2070*1,PEDIDOS!D:I,6,0),"" "")))"),"ENTREGUE")</f>
        <v>ENTREGUE</v>
      </c>
      <c r="G2070" s="303"/>
      <c r="H2070" s="304"/>
    </row>
    <row r="2071">
      <c r="A2071" s="302" t="s">
        <v>85</v>
      </c>
      <c r="B2071" s="291" t="s">
        <v>13137</v>
      </c>
      <c r="C2071" s="292" t="s">
        <v>48</v>
      </c>
      <c r="D2071" s="293">
        <f t="shared" si="2"/>
        <v>1</v>
      </c>
      <c r="E2071" s="294"/>
      <c r="F2071" s="295" t="str">
        <f>IFERROR(__xludf.DUMMYFUNCTION("IF(B2071="""","""",IFERROR(VLOOKUP(TO_TEXT(B2071),PEDIDOS!D:I,6,0),IFERROR(VLOOKUP(B2071*1,PEDIDOS!D:I,6,0),"" "")))"),"ENTREGUE")</f>
        <v>ENTREGUE</v>
      </c>
      <c r="G2071" s="303"/>
      <c r="H2071" s="304"/>
    </row>
    <row r="2072">
      <c r="A2072" s="302" t="s">
        <v>85</v>
      </c>
      <c r="B2072" s="291" t="s">
        <v>11495</v>
      </c>
      <c r="C2072" s="292" t="s">
        <v>48</v>
      </c>
      <c r="D2072" s="293">
        <f t="shared" si="2"/>
        <v>1</v>
      </c>
      <c r="E2072" s="294"/>
      <c r="F2072" s="295" t="str">
        <f>IFERROR(__xludf.DUMMYFUNCTION("IF(B2072="""","""",IFERROR(VLOOKUP(TO_TEXT(B2072),PEDIDOS!D:I,6,0),IFERROR(VLOOKUP(B2072*1,PEDIDOS!D:I,6,0),"" "")))"),"ENTREGUE")</f>
        <v>ENTREGUE</v>
      </c>
      <c r="G2072" s="303"/>
      <c r="H2072" s="304"/>
    </row>
    <row r="2073">
      <c r="A2073" s="302" t="s">
        <v>85</v>
      </c>
      <c r="B2073" s="291" t="s">
        <v>13525</v>
      </c>
      <c r="C2073" s="292" t="s">
        <v>48</v>
      </c>
      <c r="D2073" s="293">
        <f t="shared" si="2"/>
        <v>1</v>
      </c>
      <c r="E2073" s="294"/>
      <c r="F2073" s="295" t="str">
        <f>IFERROR(__xludf.DUMMYFUNCTION("IF(B2073="""","""",IFERROR(VLOOKUP(TO_TEXT(B2073),PEDIDOS!D:I,6,0),IFERROR(VLOOKUP(B2073*1,PEDIDOS!D:I,6,0),"" "")))"),"ENTREGUE")</f>
        <v>ENTREGUE</v>
      </c>
      <c r="G2073" s="303"/>
      <c r="H2073" s="304"/>
    </row>
    <row r="2074">
      <c r="A2074" s="302" t="s">
        <v>85</v>
      </c>
      <c r="B2074" s="291" t="s">
        <v>13569</v>
      </c>
      <c r="C2074" s="292" t="s">
        <v>48</v>
      </c>
      <c r="D2074" s="293">
        <f t="shared" si="2"/>
        <v>1</v>
      </c>
      <c r="E2074" s="294"/>
      <c r="F2074" s="295" t="str">
        <f>IFERROR(__xludf.DUMMYFUNCTION("IF(B2074="""","""",IFERROR(VLOOKUP(TO_TEXT(B2074),PEDIDOS!D:I,6,0),IFERROR(VLOOKUP(B2074*1,PEDIDOS!D:I,6,0),"" "")))"),"ENTREGUE")</f>
        <v>ENTREGUE</v>
      </c>
      <c r="G2074" s="303"/>
      <c r="H2074" s="304"/>
    </row>
    <row r="2075">
      <c r="A2075" s="302" t="s">
        <v>85</v>
      </c>
      <c r="B2075" s="291" t="s">
        <v>12579</v>
      </c>
      <c r="C2075" s="292" t="s">
        <v>48</v>
      </c>
      <c r="D2075" s="293">
        <f t="shared" si="2"/>
        <v>1</v>
      </c>
      <c r="E2075" s="294"/>
      <c r="F2075" s="295" t="str">
        <f>IFERROR(__xludf.DUMMYFUNCTION("IF(B2075="""","""",IFERROR(VLOOKUP(TO_TEXT(B2075),PEDIDOS!D:I,6,0),IFERROR(VLOOKUP(B2075*1,PEDIDOS!D:I,6,0),"" "")))"),"ENTREGUE")</f>
        <v>ENTREGUE</v>
      </c>
      <c r="G2075" s="303"/>
      <c r="H2075" s="304"/>
    </row>
    <row r="2076">
      <c r="A2076" s="302" t="s">
        <v>85</v>
      </c>
      <c r="B2076" s="291" t="s">
        <v>13084</v>
      </c>
      <c r="C2076" s="292" t="s">
        <v>48</v>
      </c>
      <c r="D2076" s="293">
        <f t="shared" si="2"/>
        <v>1</v>
      </c>
      <c r="E2076" s="294"/>
      <c r="F2076" s="295" t="str">
        <f>IFERROR(__xludf.DUMMYFUNCTION("IF(B2076="""","""",IFERROR(VLOOKUP(TO_TEXT(B2076),PEDIDOS!D:I,6,0),IFERROR(VLOOKUP(B2076*1,PEDIDOS!D:I,6,0),"" "")))"),"ENTREGUE")</f>
        <v>ENTREGUE</v>
      </c>
      <c r="G2076" s="303"/>
      <c r="H2076" s="304"/>
    </row>
    <row r="2077">
      <c r="A2077" s="302" t="s">
        <v>85</v>
      </c>
      <c r="B2077" s="291" t="s">
        <v>13547</v>
      </c>
      <c r="C2077" s="292" t="s">
        <v>48</v>
      </c>
      <c r="D2077" s="293">
        <f t="shared" si="2"/>
        <v>1</v>
      </c>
      <c r="E2077" s="294"/>
      <c r="F2077" s="295" t="str">
        <f>IFERROR(__xludf.DUMMYFUNCTION("IF(B2077="""","""",IFERROR(VLOOKUP(TO_TEXT(B2077),PEDIDOS!D:I,6,0),IFERROR(VLOOKUP(B2077*1,PEDIDOS!D:I,6,0),"" "")))"),"ENTREGUE")</f>
        <v>ENTREGUE</v>
      </c>
      <c r="G2077" s="303"/>
      <c r="H2077" s="304"/>
    </row>
    <row r="2078">
      <c r="A2078" s="302" t="s">
        <v>85</v>
      </c>
      <c r="B2078" s="291" t="s">
        <v>13499</v>
      </c>
      <c r="C2078" s="292" t="s">
        <v>48</v>
      </c>
      <c r="D2078" s="293">
        <f t="shared" si="2"/>
        <v>1</v>
      </c>
      <c r="E2078" s="294"/>
      <c r="F2078" s="295" t="str">
        <f>IFERROR(__xludf.DUMMYFUNCTION("IF(B2078="""","""",IFERROR(VLOOKUP(TO_TEXT(B2078),PEDIDOS!D:I,6,0),IFERROR(VLOOKUP(B2078*1,PEDIDOS!D:I,6,0),"" "")))"),"ENTREGUE")</f>
        <v>ENTREGUE</v>
      </c>
      <c r="G2078" s="303"/>
      <c r="H2078" s="304"/>
    </row>
    <row r="2079">
      <c r="A2079" s="302" t="s">
        <v>85</v>
      </c>
      <c r="B2079" s="291" t="s">
        <v>12908</v>
      </c>
      <c r="C2079" s="292" t="s">
        <v>48</v>
      </c>
      <c r="D2079" s="293">
        <f t="shared" si="2"/>
        <v>1</v>
      </c>
      <c r="E2079" s="294"/>
      <c r="F2079" s="295" t="str">
        <f>IFERROR(__xludf.DUMMYFUNCTION("IF(B2079="""","""",IFERROR(VLOOKUP(TO_TEXT(B2079),PEDIDOS!D:I,6,0),IFERROR(VLOOKUP(B2079*1,PEDIDOS!D:I,6,0),"" "")))"),"ENTREGUE")</f>
        <v>ENTREGUE</v>
      </c>
      <c r="G2079" s="303"/>
      <c r="H2079" s="304"/>
    </row>
    <row r="2080">
      <c r="A2080" s="302" t="s">
        <v>85</v>
      </c>
      <c r="B2080" s="291" t="s">
        <v>12884</v>
      </c>
      <c r="C2080" s="292" t="s">
        <v>48</v>
      </c>
      <c r="D2080" s="293">
        <f t="shared" si="2"/>
        <v>1</v>
      </c>
      <c r="E2080" s="294"/>
      <c r="F2080" s="295" t="str">
        <f>IFERROR(__xludf.DUMMYFUNCTION("IF(B2080="""","""",IFERROR(VLOOKUP(TO_TEXT(B2080),PEDIDOS!D:I,6,0),IFERROR(VLOOKUP(B2080*1,PEDIDOS!D:I,6,0),"" "")))"),"ENTREGUE")</f>
        <v>ENTREGUE</v>
      </c>
      <c r="G2080" s="303"/>
      <c r="H2080" s="304"/>
    </row>
    <row r="2081">
      <c r="A2081" s="302" t="s">
        <v>85</v>
      </c>
      <c r="B2081" s="291" t="s">
        <v>12129</v>
      </c>
      <c r="C2081" s="292" t="s">
        <v>48</v>
      </c>
      <c r="D2081" s="293">
        <f t="shared" si="2"/>
        <v>1</v>
      </c>
      <c r="E2081" s="294"/>
      <c r="F2081" s="295" t="str">
        <f>IFERROR(__xludf.DUMMYFUNCTION("IF(B2081="""","""",IFERROR(VLOOKUP(TO_TEXT(B2081),PEDIDOS!D:I,6,0),IFERROR(VLOOKUP(B2081*1,PEDIDOS!D:I,6,0),"" "")))"),"ENTREGUE")</f>
        <v>ENTREGUE</v>
      </c>
      <c r="G2081" s="303"/>
      <c r="H2081" s="304"/>
    </row>
    <row r="2082">
      <c r="A2082" s="302" t="s">
        <v>85</v>
      </c>
      <c r="B2082" s="291" t="s">
        <v>10479</v>
      </c>
      <c r="C2082" s="292" t="s">
        <v>48</v>
      </c>
      <c r="D2082" s="293">
        <f t="shared" si="2"/>
        <v>1</v>
      </c>
      <c r="E2082" s="294"/>
      <c r="F2082" s="295" t="str">
        <f>IFERROR(__xludf.DUMMYFUNCTION("IF(B2082="""","""",IFERROR(VLOOKUP(TO_TEXT(B2082),PEDIDOS!D:I,6,0),IFERROR(VLOOKUP(B2082*1,PEDIDOS!D:I,6,0),"" "")))"),"ENTREGUE")</f>
        <v>ENTREGUE</v>
      </c>
      <c r="G2082" s="303"/>
      <c r="H2082" s="304"/>
    </row>
    <row r="2083">
      <c r="A2083" s="302" t="s">
        <v>85</v>
      </c>
      <c r="B2083" s="291" t="s">
        <v>12858</v>
      </c>
      <c r="C2083" s="292" t="s">
        <v>48</v>
      </c>
      <c r="D2083" s="293">
        <f t="shared" si="2"/>
        <v>1</v>
      </c>
      <c r="E2083" s="294"/>
      <c r="F2083" s="295" t="str">
        <f>IFERROR(__xludf.DUMMYFUNCTION("IF(B2083="""","""",IFERROR(VLOOKUP(TO_TEXT(B2083),PEDIDOS!D:I,6,0),IFERROR(VLOOKUP(B2083*1,PEDIDOS!D:I,6,0),"" "")))"),"ENTREGUE")</f>
        <v>ENTREGUE</v>
      </c>
      <c r="G2083" s="303"/>
      <c r="H2083" s="304"/>
    </row>
    <row r="2084">
      <c r="A2084" s="302" t="s">
        <v>85</v>
      </c>
      <c r="B2084" s="291" t="s">
        <v>13426</v>
      </c>
      <c r="C2084" s="292" t="s">
        <v>48</v>
      </c>
      <c r="D2084" s="293">
        <f t="shared" si="2"/>
        <v>1</v>
      </c>
      <c r="E2084" s="294"/>
      <c r="F2084" s="295" t="str">
        <f>IFERROR(__xludf.DUMMYFUNCTION("IF(B2084="""","""",IFERROR(VLOOKUP(TO_TEXT(B2084),PEDIDOS!D:I,6,0),IFERROR(VLOOKUP(B2084*1,PEDIDOS!D:I,6,0),"" "")))"),"ENTREGUE")</f>
        <v>ENTREGUE</v>
      </c>
      <c r="G2084" s="303"/>
      <c r="H2084" s="304"/>
    </row>
    <row r="2085">
      <c r="A2085" s="302" t="s">
        <v>85</v>
      </c>
      <c r="B2085" s="291" t="s">
        <v>12563</v>
      </c>
      <c r="C2085" s="292" t="s">
        <v>48</v>
      </c>
      <c r="D2085" s="293">
        <f t="shared" si="2"/>
        <v>1</v>
      </c>
      <c r="E2085" s="294"/>
      <c r="F2085" s="295" t="str">
        <f>IFERROR(__xludf.DUMMYFUNCTION("IF(B2085="""","""",IFERROR(VLOOKUP(TO_TEXT(B2085),PEDIDOS!D:I,6,0),IFERROR(VLOOKUP(B2085*1,PEDIDOS!D:I,6,0),"" "")))"),"ENTREGUE")</f>
        <v>ENTREGUE</v>
      </c>
      <c r="G2085" s="303"/>
      <c r="H2085" s="304"/>
    </row>
    <row r="2086">
      <c r="A2086" s="302" t="s">
        <v>85</v>
      </c>
      <c r="B2086" s="291" t="s">
        <v>12665</v>
      </c>
      <c r="C2086" s="292" t="s">
        <v>48</v>
      </c>
      <c r="D2086" s="293">
        <f t="shared" si="2"/>
        <v>1</v>
      </c>
      <c r="E2086" s="294"/>
      <c r="F2086" s="295" t="str">
        <f>IFERROR(__xludf.DUMMYFUNCTION("IF(B2086="""","""",IFERROR(VLOOKUP(TO_TEXT(B2086),PEDIDOS!D:I,6,0),IFERROR(VLOOKUP(B2086*1,PEDIDOS!D:I,6,0),"" "")))"),"ENTREGUE")</f>
        <v>ENTREGUE</v>
      </c>
      <c r="G2086" s="303"/>
      <c r="H2086" s="304"/>
    </row>
    <row r="2087">
      <c r="A2087" s="302" t="s">
        <v>85</v>
      </c>
      <c r="B2087" s="291" t="s">
        <v>13521</v>
      </c>
      <c r="C2087" s="292" t="s">
        <v>48</v>
      </c>
      <c r="D2087" s="293">
        <f t="shared" si="2"/>
        <v>1</v>
      </c>
      <c r="E2087" s="294"/>
      <c r="F2087" s="295" t="str">
        <f>IFERROR(__xludf.DUMMYFUNCTION("IF(B2087="""","""",IFERROR(VLOOKUP(TO_TEXT(B2087),PEDIDOS!D:I,6,0),IFERROR(VLOOKUP(B2087*1,PEDIDOS!D:I,6,0),"" "")))"),"ENTREGUE")</f>
        <v>ENTREGUE</v>
      </c>
      <c r="G2087" s="303"/>
      <c r="H2087" s="304"/>
    </row>
    <row r="2088">
      <c r="A2088" s="302" t="s">
        <v>85</v>
      </c>
      <c r="B2088" s="291" t="s">
        <v>13081</v>
      </c>
      <c r="C2088" s="292" t="s">
        <v>48</v>
      </c>
      <c r="D2088" s="293">
        <f t="shared" si="2"/>
        <v>1</v>
      </c>
      <c r="E2088" s="294"/>
      <c r="F2088" s="295" t="str">
        <f>IFERROR(__xludf.DUMMYFUNCTION("IF(B2088="""","""",IFERROR(VLOOKUP(TO_TEXT(B2088),PEDIDOS!D:I,6,0),IFERROR(VLOOKUP(B2088*1,PEDIDOS!D:I,6,0),"" "")))"),"ENTREGUE")</f>
        <v>ENTREGUE</v>
      </c>
      <c r="G2088" s="303"/>
      <c r="H2088" s="304"/>
    </row>
    <row r="2089">
      <c r="A2089" s="302" t="s">
        <v>91</v>
      </c>
      <c r="B2089" s="291" t="s">
        <v>8884</v>
      </c>
      <c r="C2089" s="292" t="s">
        <v>48</v>
      </c>
      <c r="D2089" s="293">
        <f t="shared" si="2"/>
        <v>1</v>
      </c>
      <c r="E2089" s="294"/>
      <c r="F2089" s="295" t="str">
        <f>IFERROR(__xludf.DUMMYFUNCTION("IF(B2089="""","""",IFERROR(VLOOKUP(TO_TEXT(B2089),PEDIDOS!D:I,6,0),IFERROR(VLOOKUP(B2089*1,PEDIDOS!D:I,6,0),"" "")))"),"ENTREGUE")</f>
        <v>ENTREGUE</v>
      </c>
      <c r="G2089" s="303"/>
      <c r="H2089" s="304"/>
    </row>
    <row r="2090">
      <c r="A2090" s="302" t="s">
        <v>91</v>
      </c>
      <c r="B2090" s="291" t="s">
        <v>11594</v>
      </c>
      <c r="C2090" s="292" t="s">
        <v>48</v>
      </c>
      <c r="D2090" s="293">
        <f t="shared" si="2"/>
        <v>1</v>
      </c>
      <c r="E2090" s="294"/>
      <c r="F2090" s="295" t="str">
        <f>IFERROR(__xludf.DUMMYFUNCTION("IF(B2090="""","""",IFERROR(VLOOKUP(TO_TEXT(B2090),PEDIDOS!D:I,6,0),IFERROR(VLOOKUP(B2090*1,PEDIDOS!D:I,6,0),"" "")))"),"ENTREGUE")</f>
        <v>ENTREGUE</v>
      </c>
      <c r="G2090" s="303"/>
      <c r="H2090" s="304"/>
    </row>
    <row r="2091">
      <c r="A2091" s="302" t="s">
        <v>91</v>
      </c>
      <c r="B2091" s="291" t="s">
        <v>20387</v>
      </c>
      <c r="C2091" s="292" t="s">
        <v>48</v>
      </c>
      <c r="D2091" s="293">
        <f t="shared" si="2"/>
        <v>1</v>
      </c>
      <c r="E2091" s="294"/>
      <c r="F2091" s="295" t="str">
        <f>IFERROR(__xludf.DUMMYFUNCTION("IF(B2091="""","""",IFERROR(VLOOKUP(TO_TEXT(B2091),PEDIDOS!D:I,6,0),IFERROR(VLOOKUP(B2091*1,PEDIDOS!D:I,6,0),"" "")))"),"ENTREGUE")</f>
        <v>ENTREGUE</v>
      </c>
      <c r="G2091" s="303"/>
      <c r="H2091" s="304"/>
    </row>
    <row r="2092">
      <c r="A2092" s="302" t="s">
        <v>91</v>
      </c>
      <c r="B2092" s="291" t="s">
        <v>11689</v>
      </c>
      <c r="C2092" s="292" t="s">
        <v>48</v>
      </c>
      <c r="D2092" s="293">
        <f t="shared" si="2"/>
        <v>1</v>
      </c>
      <c r="E2092" s="294"/>
      <c r="F2092" s="295" t="str">
        <f>IFERROR(__xludf.DUMMYFUNCTION("IF(B2092="""","""",IFERROR(VLOOKUP(TO_TEXT(B2092),PEDIDOS!D:I,6,0),IFERROR(VLOOKUP(B2092*1,PEDIDOS!D:I,6,0),"" "")))"),"ENTREGUE")</f>
        <v>ENTREGUE</v>
      </c>
      <c r="G2092" s="303"/>
      <c r="H2092" s="304"/>
    </row>
    <row r="2093">
      <c r="A2093" s="302" t="s">
        <v>91</v>
      </c>
      <c r="B2093" s="291" t="s">
        <v>11807</v>
      </c>
      <c r="C2093" s="292" t="s">
        <v>48</v>
      </c>
      <c r="D2093" s="293">
        <f t="shared" si="2"/>
        <v>1</v>
      </c>
      <c r="E2093" s="294"/>
      <c r="F2093" s="295" t="str">
        <f>IFERROR(__xludf.DUMMYFUNCTION("IF(B2093="""","""",IFERROR(VLOOKUP(TO_TEXT(B2093),PEDIDOS!D:I,6,0),IFERROR(VLOOKUP(B2093*1,PEDIDOS!D:I,6,0),"" "")))"),"ENTREGUE")</f>
        <v>ENTREGUE</v>
      </c>
      <c r="G2093" s="303"/>
      <c r="H2093" s="304"/>
    </row>
    <row r="2094">
      <c r="A2094" s="302" t="s">
        <v>91</v>
      </c>
      <c r="B2094" s="291" t="s">
        <v>11826</v>
      </c>
      <c r="C2094" s="292" t="s">
        <v>48</v>
      </c>
      <c r="D2094" s="293">
        <f t="shared" si="2"/>
        <v>1</v>
      </c>
      <c r="E2094" s="294"/>
      <c r="F2094" s="295" t="str">
        <f>IFERROR(__xludf.DUMMYFUNCTION("IF(B2094="""","""",IFERROR(VLOOKUP(TO_TEXT(B2094),PEDIDOS!D:I,6,0),IFERROR(VLOOKUP(B2094*1,PEDIDOS!D:I,6,0),"" "")))"),"ENTREGUE")</f>
        <v>ENTREGUE</v>
      </c>
      <c r="G2094" s="303"/>
      <c r="H2094" s="304"/>
    </row>
    <row r="2095">
      <c r="A2095" s="302" t="s">
        <v>91</v>
      </c>
      <c r="B2095" s="291" t="s">
        <v>11843</v>
      </c>
      <c r="C2095" s="292" t="s">
        <v>48</v>
      </c>
      <c r="D2095" s="293">
        <f t="shared" si="2"/>
        <v>1</v>
      </c>
      <c r="E2095" s="294"/>
      <c r="F2095" s="295" t="str">
        <f>IFERROR(__xludf.DUMMYFUNCTION("IF(B2095="""","""",IFERROR(VLOOKUP(TO_TEXT(B2095),PEDIDOS!D:I,6,0),IFERROR(VLOOKUP(B2095*1,PEDIDOS!D:I,6,0),"" "")))"),"ENTREGUE")</f>
        <v>ENTREGUE</v>
      </c>
      <c r="G2095" s="303"/>
      <c r="H2095" s="304"/>
    </row>
    <row r="2096">
      <c r="A2096" s="302" t="s">
        <v>91</v>
      </c>
      <c r="B2096" s="291" t="s">
        <v>12002</v>
      </c>
      <c r="C2096" s="292" t="s">
        <v>48</v>
      </c>
      <c r="D2096" s="293">
        <f t="shared" si="2"/>
        <v>1</v>
      </c>
      <c r="E2096" s="294"/>
      <c r="F2096" s="295" t="str">
        <f>IFERROR(__xludf.DUMMYFUNCTION("IF(B2096="""","""",IFERROR(VLOOKUP(TO_TEXT(B2096),PEDIDOS!D:I,6,0),IFERROR(VLOOKUP(B2096*1,PEDIDOS!D:I,6,0),"" "")))"),"ENTREGUE")</f>
        <v>ENTREGUE</v>
      </c>
      <c r="G2096" s="303"/>
      <c r="H2096" s="304"/>
    </row>
    <row r="2097">
      <c r="A2097" s="302" t="s">
        <v>91</v>
      </c>
      <c r="B2097" s="291" t="s">
        <v>12090</v>
      </c>
      <c r="C2097" s="292" t="s">
        <v>48</v>
      </c>
      <c r="D2097" s="293">
        <f t="shared" si="2"/>
        <v>1</v>
      </c>
      <c r="E2097" s="294"/>
      <c r="F2097" s="295" t="str">
        <f>IFERROR(__xludf.DUMMYFUNCTION("IF(B2097="""","""",IFERROR(VLOOKUP(TO_TEXT(B2097),PEDIDOS!D:I,6,0),IFERROR(VLOOKUP(B2097*1,PEDIDOS!D:I,6,0),"" "")))"),"ENTREGUE")</f>
        <v>ENTREGUE</v>
      </c>
      <c r="G2097" s="303"/>
      <c r="H2097" s="304"/>
    </row>
    <row r="2098">
      <c r="A2098" s="302" t="s">
        <v>91</v>
      </c>
      <c r="B2098" s="291" t="s">
        <v>123</v>
      </c>
      <c r="C2098" s="292" t="s">
        <v>48</v>
      </c>
      <c r="D2098" s="293">
        <f t="shared" si="2"/>
        <v>1</v>
      </c>
      <c r="E2098" s="294"/>
      <c r="F2098" s="295" t="str">
        <f>IFERROR(__xludf.DUMMYFUNCTION("IF(B2098="""","""",IFERROR(VLOOKUP(TO_TEXT(B2098),PEDIDOS!D:I,6,0),IFERROR(VLOOKUP(B2098*1,PEDIDOS!D:I,6,0),"" "")))"),"ENTREGUE")</f>
        <v>ENTREGUE</v>
      </c>
      <c r="G2098" s="303"/>
      <c r="H2098" s="304"/>
    </row>
    <row r="2099">
      <c r="A2099" s="302" t="s">
        <v>91</v>
      </c>
      <c r="B2099" s="291" t="s">
        <v>12213</v>
      </c>
      <c r="C2099" s="292" t="s">
        <v>48</v>
      </c>
      <c r="D2099" s="293">
        <f t="shared" si="2"/>
        <v>1</v>
      </c>
      <c r="E2099" s="294"/>
      <c r="F2099" s="295" t="str">
        <f>IFERROR(__xludf.DUMMYFUNCTION("IF(B2099="""","""",IFERROR(VLOOKUP(TO_TEXT(B2099),PEDIDOS!D:I,6,0),IFERROR(VLOOKUP(B2099*1,PEDIDOS!D:I,6,0),"" "")))"),"ENTREGUE")</f>
        <v>ENTREGUE</v>
      </c>
      <c r="G2099" s="303"/>
      <c r="H2099" s="304"/>
    </row>
    <row r="2100">
      <c r="A2100" s="302" t="s">
        <v>91</v>
      </c>
      <c r="B2100" s="291" t="s">
        <v>12217</v>
      </c>
      <c r="C2100" s="292" t="s">
        <v>48</v>
      </c>
      <c r="D2100" s="293">
        <f t="shared" si="2"/>
        <v>1</v>
      </c>
      <c r="E2100" s="294"/>
      <c r="F2100" s="295" t="str">
        <f>IFERROR(__xludf.DUMMYFUNCTION("IF(B2100="""","""",IFERROR(VLOOKUP(TO_TEXT(B2100),PEDIDOS!D:I,6,0),IFERROR(VLOOKUP(B2100*1,PEDIDOS!D:I,6,0),"" "")))"),"ENTREGUE")</f>
        <v>ENTREGUE</v>
      </c>
      <c r="G2100" s="303"/>
      <c r="H2100" s="304"/>
    </row>
    <row r="2101">
      <c r="A2101" s="302" t="s">
        <v>91</v>
      </c>
      <c r="B2101" s="291" t="s">
        <v>12447</v>
      </c>
      <c r="C2101" s="292" t="s">
        <v>48</v>
      </c>
      <c r="D2101" s="293">
        <f t="shared" si="2"/>
        <v>1</v>
      </c>
      <c r="E2101" s="294"/>
      <c r="F2101" s="295" t="str">
        <f>IFERROR(__xludf.DUMMYFUNCTION("IF(B2101="""","""",IFERROR(VLOOKUP(TO_TEXT(B2101),PEDIDOS!D:I,6,0),IFERROR(VLOOKUP(B2101*1,PEDIDOS!D:I,6,0),"" "")))"),"ENTREGUE")</f>
        <v>ENTREGUE</v>
      </c>
      <c r="G2101" s="303"/>
      <c r="H2101" s="304"/>
    </row>
    <row r="2102">
      <c r="A2102" s="302" t="s">
        <v>91</v>
      </c>
      <c r="B2102" s="291" t="s">
        <v>12567</v>
      </c>
      <c r="C2102" s="292" t="s">
        <v>48</v>
      </c>
      <c r="D2102" s="293">
        <f t="shared" si="2"/>
        <v>1</v>
      </c>
      <c r="E2102" s="294"/>
      <c r="F2102" s="295" t="str">
        <f>IFERROR(__xludf.DUMMYFUNCTION("IF(B2102="""","""",IFERROR(VLOOKUP(TO_TEXT(B2102),PEDIDOS!D:I,6,0),IFERROR(VLOOKUP(B2102*1,PEDIDOS!D:I,6,0),"" "")))"),"ENTREGUE")</f>
        <v>ENTREGUE</v>
      </c>
      <c r="G2102" s="303"/>
      <c r="H2102" s="304"/>
    </row>
    <row r="2103">
      <c r="A2103" s="302" t="s">
        <v>91</v>
      </c>
      <c r="B2103" s="291" t="s">
        <v>10629</v>
      </c>
      <c r="C2103" s="292" t="s">
        <v>48</v>
      </c>
      <c r="D2103" s="293">
        <f t="shared" si="2"/>
        <v>1</v>
      </c>
      <c r="E2103" s="294"/>
      <c r="F2103" s="295" t="str">
        <f>IFERROR(__xludf.DUMMYFUNCTION("IF(B2103="""","""",IFERROR(VLOOKUP(TO_TEXT(B2103),PEDIDOS!D:I,6,0),IFERROR(VLOOKUP(B2103*1,PEDIDOS!D:I,6,0),"" "")))"),"ENTREGUE")</f>
        <v>ENTREGUE</v>
      </c>
      <c r="G2103" s="303"/>
      <c r="H2103" s="304"/>
    </row>
    <row r="2104">
      <c r="A2104" s="302" t="s">
        <v>91</v>
      </c>
      <c r="B2104" s="291" t="s">
        <v>10632</v>
      </c>
      <c r="C2104" s="292" t="s">
        <v>48</v>
      </c>
      <c r="D2104" s="293">
        <f t="shared" si="2"/>
        <v>1</v>
      </c>
      <c r="E2104" s="294"/>
      <c r="F2104" s="295" t="str">
        <f>IFERROR(__xludf.DUMMYFUNCTION("IF(B2104="""","""",IFERROR(VLOOKUP(TO_TEXT(B2104),PEDIDOS!D:I,6,0),IFERROR(VLOOKUP(B2104*1,PEDIDOS!D:I,6,0),"" "")))"),"ENTREGUE")</f>
        <v>ENTREGUE</v>
      </c>
      <c r="G2104" s="303"/>
      <c r="H2104" s="304"/>
    </row>
    <row r="2105">
      <c r="A2105" s="302" t="s">
        <v>91</v>
      </c>
      <c r="B2105" s="291" t="s">
        <v>10635</v>
      </c>
      <c r="C2105" s="292" t="s">
        <v>48</v>
      </c>
      <c r="D2105" s="293">
        <f t="shared" si="2"/>
        <v>1</v>
      </c>
      <c r="E2105" s="294"/>
      <c r="F2105" s="295" t="str">
        <f>IFERROR(__xludf.DUMMYFUNCTION("IF(B2105="""","""",IFERROR(VLOOKUP(TO_TEXT(B2105),PEDIDOS!D:I,6,0),IFERROR(VLOOKUP(B2105*1,PEDIDOS!D:I,6,0),"" "")))"),"ENTREGUE")</f>
        <v>ENTREGUE</v>
      </c>
      <c r="G2105" s="303"/>
      <c r="H2105" s="304"/>
    </row>
    <row r="2106">
      <c r="A2106" s="302" t="s">
        <v>91</v>
      </c>
      <c r="B2106" s="291" t="s">
        <v>11161</v>
      </c>
      <c r="C2106" s="292" t="s">
        <v>48</v>
      </c>
      <c r="D2106" s="293">
        <f t="shared" si="2"/>
        <v>1</v>
      </c>
      <c r="E2106" s="294"/>
      <c r="F2106" s="295" t="str">
        <f>IFERROR(__xludf.DUMMYFUNCTION("IF(B2106="""","""",IFERROR(VLOOKUP(TO_TEXT(B2106),PEDIDOS!D:I,6,0),IFERROR(VLOOKUP(B2106*1,PEDIDOS!D:I,6,0),"" "")))"),"ENTREGUE")</f>
        <v>ENTREGUE</v>
      </c>
      <c r="G2106" s="303"/>
      <c r="H2106" s="304"/>
    </row>
    <row r="2107">
      <c r="A2107" s="302" t="s">
        <v>91</v>
      </c>
      <c r="B2107" s="291" t="s">
        <v>11464</v>
      </c>
      <c r="C2107" s="292" t="s">
        <v>48</v>
      </c>
      <c r="D2107" s="293">
        <f t="shared" si="2"/>
        <v>1</v>
      </c>
      <c r="E2107" s="294"/>
      <c r="F2107" s="295" t="str">
        <f>IFERROR(__xludf.DUMMYFUNCTION("IF(B2107="""","""",IFERROR(VLOOKUP(TO_TEXT(B2107),PEDIDOS!D:I,6,0),IFERROR(VLOOKUP(B2107*1,PEDIDOS!D:I,6,0),"" "")))"),"ENTREGUE")</f>
        <v>ENTREGUE</v>
      </c>
      <c r="G2107" s="303"/>
      <c r="H2107" s="304"/>
    </row>
    <row r="2108">
      <c r="A2108" s="302" t="s">
        <v>91</v>
      </c>
      <c r="B2108" s="291" t="s">
        <v>11474</v>
      </c>
      <c r="C2108" s="292" t="s">
        <v>48</v>
      </c>
      <c r="D2108" s="293">
        <f t="shared" si="2"/>
        <v>1</v>
      </c>
      <c r="E2108" s="294"/>
      <c r="F2108" s="295" t="str">
        <f>IFERROR(__xludf.DUMMYFUNCTION("IF(B2108="""","""",IFERROR(VLOOKUP(TO_TEXT(B2108),PEDIDOS!D:I,6,0),IFERROR(VLOOKUP(B2108*1,PEDIDOS!D:I,6,0),"" "")))"),"ENTREGUE")</f>
        <v>ENTREGUE</v>
      </c>
      <c r="G2108" s="303"/>
      <c r="H2108" s="304"/>
    </row>
    <row r="2109">
      <c r="A2109" s="302" t="s">
        <v>91</v>
      </c>
      <c r="B2109" s="291" t="s">
        <v>11660</v>
      </c>
      <c r="C2109" s="292" t="s">
        <v>48</v>
      </c>
      <c r="D2109" s="293">
        <f t="shared" si="2"/>
        <v>1</v>
      </c>
      <c r="E2109" s="294"/>
      <c r="F2109" s="295" t="str">
        <f>IFERROR(__xludf.DUMMYFUNCTION("IF(B2109="""","""",IFERROR(VLOOKUP(TO_TEXT(B2109),PEDIDOS!D:I,6,0),IFERROR(VLOOKUP(B2109*1,PEDIDOS!D:I,6,0),"" "")))"),"ENTREGUE")</f>
        <v>ENTREGUE</v>
      </c>
      <c r="G2109" s="303"/>
      <c r="H2109" s="304"/>
    </row>
    <row r="2110">
      <c r="A2110" s="302" t="s">
        <v>91</v>
      </c>
      <c r="B2110" s="291" t="s">
        <v>11931</v>
      </c>
      <c r="C2110" s="292" t="s">
        <v>48</v>
      </c>
      <c r="D2110" s="293">
        <f t="shared" si="2"/>
        <v>1</v>
      </c>
      <c r="E2110" s="294"/>
      <c r="F2110" s="295" t="str">
        <f>IFERROR(__xludf.DUMMYFUNCTION("IF(B2110="""","""",IFERROR(VLOOKUP(TO_TEXT(B2110),PEDIDOS!D:I,6,0),IFERROR(VLOOKUP(B2110*1,PEDIDOS!D:I,6,0),"" "")))"),"ENTREGUE")</f>
        <v>ENTREGUE</v>
      </c>
      <c r="G2110" s="303"/>
      <c r="H2110" s="304"/>
    </row>
    <row r="2111">
      <c r="A2111" s="302" t="s">
        <v>91</v>
      </c>
      <c r="B2111" s="291" t="s">
        <v>13055</v>
      </c>
      <c r="C2111" s="292" t="s">
        <v>48</v>
      </c>
      <c r="D2111" s="293">
        <f t="shared" si="2"/>
        <v>1</v>
      </c>
      <c r="E2111" s="294"/>
      <c r="F2111" s="295" t="str">
        <f>IFERROR(__xludf.DUMMYFUNCTION("IF(B2111="""","""",IFERROR(VLOOKUP(TO_TEXT(B2111),PEDIDOS!D:I,6,0),IFERROR(VLOOKUP(B2111*1,PEDIDOS!D:I,6,0),"" "")))"),"ENTREGUE")</f>
        <v>ENTREGUE</v>
      </c>
      <c r="G2111" s="303"/>
      <c r="H2111" s="304"/>
    </row>
    <row r="2112">
      <c r="A2112" s="302" t="s">
        <v>91</v>
      </c>
      <c r="B2112" s="291" t="s">
        <v>12200</v>
      </c>
      <c r="C2112" s="292" t="s">
        <v>48</v>
      </c>
      <c r="D2112" s="293">
        <f t="shared" si="2"/>
        <v>1</v>
      </c>
      <c r="E2112" s="294"/>
      <c r="F2112" s="295" t="str">
        <f>IFERROR(__xludf.DUMMYFUNCTION("IF(B2112="""","""",IFERROR(VLOOKUP(TO_TEXT(B2112),PEDIDOS!D:I,6,0),IFERROR(VLOOKUP(B2112*1,PEDIDOS!D:I,6,0),"" "")))"),"ENTREGUE")</f>
        <v>ENTREGUE</v>
      </c>
      <c r="G2112" s="303"/>
      <c r="H2112" s="304"/>
    </row>
    <row r="2113">
      <c r="A2113" s="302" t="s">
        <v>91</v>
      </c>
      <c r="B2113" s="291" t="s">
        <v>12205</v>
      </c>
      <c r="C2113" s="292" t="s">
        <v>48</v>
      </c>
      <c r="D2113" s="293">
        <f t="shared" si="2"/>
        <v>1</v>
      </c>
      <c r="E2113" s="294"/>
      <c r="F2113" s="295" t="str">
        <f>IFERROR(__xludf.DUMMYFUNCTION("IF(B2113="""","""",IFERROR(VLOOKUP(TO_TEXT(B2113),PEDIDOS!D:I,6,0),IFERROR(VLOOKUP(B2113*1,PEDIDOS!D:I,6,0),"" "")))"),"ENTREGUE")</f>
        <v>ENTREGUE</v>
      </c>
      <c r="G2113" s="303"/>
      <c r="H2113" s="304"/>
    </row>
    <row r="2114">
      <c r="A2114" s="302" t="s">
        <v>91</v>
      </c>
      <c r="B2114" s="291" t="s">
        <v>12239</v>
      </c>
      <c r="C2114" s="292" t="s">
        <v>48</v>
      </c>
      <c r="D2114" s="293">
        <f t="shared" si="2"/>
        <v>1</v>
      </c>
      <c r="E2114" s="294"/>
      <c r="F2114" s="295" t="str">
        <f>IFERROR(__xludf.DUMMYFUNCTION("IF(B2114="""","""",IFERROR(VLOOKUP(TO_TEXT(B2114),PEDIDOS!D:I,6,0),IFERROR(VLOOKUP(B2114*1,PEDIDOS!D:I,6,0),"" "")))"),"ENTREGUE")</f>
        <v>ENTREGUE</v>
      </c>
      <c r="G2114" s="303"/>
      <c r="H2114" s="304"/>
    </row>
    <row r="2115">
      <c r="A2115" s="302" t="s">
        <v>91</v>
      </c>
      <c r="B2115" s="291" t="s">
        <v>12318</v>
      </c>
      <c r="C2115" s="292" t="s">
        <v>48</v>
      </c>
      <c r="D2115" s="293">
        <f t="shared" si="2"/>
        <v>1</v>
      </c>
      <c r="E2115" s="294"/>
      <c r="F2115" s="295" t="str">
        <f>IFERROR(__xludf.DUMMYFUNCTION("IF(B2115="""","""",IFERROR(VLOOKUP(TO_TEXT(B2115),PEDIDOS!D:I,6,0),IFERROR(VLOOKUP(B2115*1,PEDIDOS!D:I,6,0),"" "")))"),"ENTREGUE")</f>
        <v>ENTREGUE</v>
      </c>
      <c r="G2115" s="303"/>
      <c r="H2115" s="304"/>
    </row>
    <row r="2116">
      <c r="A2116" s="302" t="s">
        <v>91</v>
      </c>
      <c r="B2116" s="291" t="s">
        <v>12409</v>
      </c>
      <c r="C2116" s="292" t="s">
        <v>48</v>
      </c>
      <c r="D2116" s="293">
        <f t="shared" si="2"/>
        <v>1</v>
      </c>
      <c r="E2116" s="294"/>
      <c r="F2116" s="295" t="str">
        <f>IFERROR(__xludf.DUMMYFUNCTION("IF(B2116="""","""",IFERROR(VLOOKUP(TO_TEXT(B2116),PEDIDOS!D:I,6,0),IFERROR(VLOOKUP(B2116*1,PEDIDOS!D:I,6,0),"" "")))"),"ENTREGUE")</f>
        <v>ENTREGUE</v>
      </c>
      <c r="G2116" s="303"/>
      <c r="H2116" s="304"/>
    </row>
    <row r="2117">
      <c r="A2117" s="302" t="s">
        <v>91</v>
      </c>
      <c r="B2117" s="291" t="s">
        <v>12435</v>
      </c>
      <c r="C2117" s="292" t="s">
        <v>48</v>
      </c>
      <c r="D2117" s="293">
        <f t="shared" si="2"/>
        <v>1</v>
      </c>
      <c r="E2117" s="294"/>
      <c r="F2117" s="295" t="str">
        <f>IFERROR(__xludf.DUMMYFUNCTION("IF(B2117="""","""",IFERROR(VLOOKUP(TO_TEXT(B2117),PEDIDOS!D:I,6,0),IFERROR(VLOOKUP(B2117*1,PEDIDOS!D:I,6,0),"" "")))"),"ENTREGUE")</f>
        <v>ENTREGUE</v>
      </c>
      <c r="G2117" s="303"/>
      <c r="H2117" s="304"/>
    </row>
    <row r="2118">
      <c r="A2118" s="302" t="s">
        <v>91</v>
      </c>
      <c r="B2118" s="291" t="s">
        <v>12440</v>
      </c>
      <c r="C2118" s="292" t="s">
        <v>48</v>
      </c>
      <c r="D2118" s="293">
        <f t="shared" si="2"/>
        <v>1</v>
      </c>
      <c r="E2118" s="294"/>
      <c r="F2118" s="295" t="str">
        <f>IFERROR(__xludf.DUMMYFUNCTION("IF(B2118="""","""",IFERROR(VLOOKUP(TO_TEXT(B2118),PEDIDOS!D:I,6,0),IFERROR(VLOOKUP(B2118*1,PEDIDOS!D:I,6,0),"" "")))"),"ENTREGUE")</f>
        <v>ENTREGUE</v>
      </c>
      <c r="G2118" s="303"/>
      <c r="H2118" s="304"/>
    </row>
    <row r="2119">
      <c r="A2119" s="302" t="s">
        <v>91</v>
      </c>
      <c r="B2119" s="291" t="s">
        <v>12453</v>
      </c>
      <c r="C2119" s="292" t="s">
        <v>48</v>
      </c>
      <c r="D2119" s="293">
        <f t="shared" si="2"/>
        <v>1</v>
      </c>
      <c r="E2119" s="294"/>
      <c r="F2119" s="295" t="str">
        <f>IFERROR(__xludf.DUMMYFUNCTION("IF(B2119="""","""",IFERROR(VLOOKUP(TO_TEXT(B2119),PEDIDOS!D:I,6,0),IFERROR(VLOOKUP(B2119*1,PEDIDOS!D:I,6,0),"" "")))"),"ENTREGUE")</f>
        <v>ENTREGUE</v>
      </c>
      <c r="G2119" s="303"/>
      <c r="H2119" s="304"/>
    </row>
    <row r="2120">
      <c r="A2120" s="302" t="s">
        <v>91</v>
      </c>
      <c r="B2120" s="291" t="s">
        <v>12502</v>
      </c>
      <c r="C2120" s="292" t="s">
        <v>48</v>
      </c>
      <c r="D2120" s="293">
        <f t="shared" si="2"/>
        <v>1</v>
      </c>
      <c r="E2120" s="294"/>
      <c r="F2120" s="295" t="str">
        <f>IFERROR(__xludf.DUMMYFUNCTION("IF(B2120="""","""",IFERROR(VLOOKUP(TO_TEXT(B2120),PEDIDOS!D:I,6,0),IFERROR(VLOOKUP(B2120*1,PEDIDOS!D:I,6,0),"" "")))"),"ENTREGUE")</f>
        <v>ENTREGUE</v>
      </c>
      <c r="G2120" s="303"/>
      <c r="H2120" s="304"/>
    </row>
    <row r="2121">
      <c r="A2121" s="302" t="s">
        <v>91</v>
      </c>
      <c r="B2121" s="291" t="s">
        <v>12840</v>
      </c>
      <c r="C2121" s="292" t="s">
        <v>48</v>
      </c>
      <c r="D2121" s="293">
        <f t="shared" si="2"/>
        <v>1</v>
      </c>
      <c r="E2121" s="294"/>
      <c r="F2121" s="295" t="str">
        <f>IFERROR(__xludf.DUMMYFUNCTION("IF(B2121="""","""",IFERROR(VLOOKUP(TO_TEXT(B2121),PEDIDOS!D:I,6,0),IFERROR(VLOOKUP(B2121*1,PEDIDOS!D:I,6,0),"" "")))"),"ENTREGUE")</f>
        <v>ENTREGUE</v>
      </c>
      <c r="G2121" s="303"/>
      <c r="H2121" s="304"/>
    </row>
    <row r="2122">
      <c r="A2122" s="302" t="s">
        <v>91</v>
      </c>
      <c r="B2122" s="291" t="s">
        <v>13659</v>
      </c>
      <c r="C2122" s="292" t="s">
        <v>48</v>
      </c>
      <c r="D2122" s="293">
        <f t="shared" si="2"/>
        <v>1</v>
      </c>
      <c r="E2122" s="294"/>
      <c r="F2122" s="295" t="str">
        <f>IFERROR(__xludf.DUMMYFUNCTION("IF(B2122="""","""",IFERROR(VLOOKUP(TO_TEXT(B2122),PEDIDOS!D:I,6,0),IFERROR(VLOOKUP(B2122*1,PEDIDOS!D:I,6,0),"" "")))"),"ENTREGUE")</f>
        <v>ENTREGUE</v>
      </c>
      <c r="G2122" s="303"/>
      <c r="H2122" s="304"/>
    </row>
    <row r="2123">
      <c r="A2123" s="302" t="s">
        <v>91</v>
      </c>
      <c r="B2123" s="291" t="s">
        <v>13740</v>
      </c>
      <c r="C2123" s="292" t="s">
        <v>48</v>
      </c>
      <c r="D2123" s="293">
        <f t="shared" si="2"/>
        <v>1</v>
      </c>
      <c r="E2123" s="294"/>
      <c r="F2123" s="295" t="str">
        <f>IFERROR(__xludf.DUMMYFUNCTION("IF(B2123="""","""",IFERROR(VLOOKUP(TO_TEXT(B2123),PEDIDOS!D:I,6,0),IFERROR(VLOOKUP(B2123*1,PEDIDOS!D:I,6,0),"" "")))"),"ENTREGUE")</f>
        <v>ENTREGUE</v>
      </c>
      <c r="G2123" s="303"/>
      <c r="H2123" s="304"/>
    </row>
    <row r="2124">
      <c r="A2124" s="302" t="s">
        <v>91</v>
      </c>
      <c r="B2124" s="291" t="s">
        <v>11139</v>
      </c>
      <c r="C2124" s="292" t="s">
        <v>48</v>
      </c>
      <c r="D2124" s="293">
        <f t="shared" si="2"/>
        <v>1</v>
      </c>
      <c r="E2124" s="294"/>
      <c r="F2124" s="295" t="str">
        <f>IFERROR(__xludf.DUMMYFUNCTION("IF(B2124="""","""",IFERROR(VLOOKUP(TO_TEXT(B2124),PEDIDOS!D:I,6,0),IFERROR(VLOOKUP(B2124*1,PEDIDOS!D:I,6,0),"" "")))"),"ENTREGUE")</f>
        <v>ENTREGUE</v>
      </c>
      <c r="G2124" s="303"/>
      <c r="H2124" s="304"/>
    </row>
    <row r="2125">
      <c r="A2125" s="302" t="s">
        <v>91</v>
      </c>
      <c r="B2125" s="291" t="s">
        <v>12693</v>
      </c>
      <c r="C2125" s="292" t="s">
        <v>48</v>
      </c>
      <c r="D2125" s="293">
        <f t="shared" si="2"/>
        <v>1</v>
      </c>
      <c r="E2125" s="294"/>
      <c r="F2125" s="295" t="str">
        <f>IFERROR(__xludf.DUMMYFUNCTION("IF(B2125="""","""",IFERROR(VLOOKUP(TO_TEXT(B2125),PEDIDOS!D:I,6,0),IFERROR(VLOOKUP(B2125*1,PEDIDOS!D:I,6,0),"" "")))"),"ENTREGUE")</f>
        <v>ENTREGUE</v>
      </c>
      <c r="G2125" s="303"/>
      <c r="H2125" s="304"/>
    </row>
    <row r="2126">
      <c r="A2126" s="302" t="s">
        <v>91</v>
      </c>
      <c r="B2126" s="291" t="s">
        <v>12540</v>
      </c>
      <c r="C2126" s="292" t="s">
        <v>48</v>
      </c>
      <c r="D2126" s="293">
        <f t="shared" si="2"/>
        <v>1</v>
      </c>
      <c r="E2126" s="294"/>
      <c r="F2126" s="295" t="str">
        <f>IFERROR(__xludf.DUMMYFUNCTION("IF(B2126="""","""",IFERROR(VLOOKUP(TO_TEXT(B2126),PEDIDOS!D:I,6,0),IFERROR(VLOOKUP(B2126*1,PEDIDOS!D:I,6,0),"" "")))"),"ENTREGUE")</f>
        <v>ENTREGUE</v>
      </c>
      <c r="G2126" s="303"/>
      <c r="H2126" s="304"/>
    </row>
    <row r="2127">
      <c r="A2127" s="302" t="s">
        <v>91</v>
      </c>
      <c r="B2127" s="291" t="s">
        <v>11343</v>
      </c>
      <c r="C2127" s="292" t="s">
        <v>48</v>
      </c>
      <c r="D2127" s="293">
        <f t="shared" si="2"/>
        <v>1</v>
      </c>
      <c r="E2127" s="294"/>
      <c r="F2127" s="295" t="str">
        <f>IFERROR(__xludf.DUMMYFUNCTION("IF(B2127="""","""",IFERROR(VLOOKUP(TO_TEXT(B2127),PEDIDOS!D:I,6,0),IFERROR(VLOOKUP(B2127*1,PEDIDOS!D:I,6,0),"" "")))"),"ENTREGUE")</f>
        <v>ENTREGUE</v>
      </c>
      <c r="G2127" s="303"/>
      <c r="H2127" s="304"/>
    </row>
    <row r="2128">
      <c r="A2128" s="302" t="s">
        <v>91</v>
      </c>
      <c r="B2128" s="291" t="s">
        <v>11574</v>
      </c>
      <c r="C2128" s="292" t="s">
        <v>48</v>
      </c>
      <c r="D2128" s="293">
        <f t="shared" si="2"/>
        <v>1</v>
      </c>
      <c r="E2128" s="294"/>
      <c r="F2128" s="295" t="str">
        <f>IFERROR(__xludf.DUMMYFUNCTION("IF(B2128="""","""",IFERROR(VLOOKUP(TO_TEXT(B2128),PEDIDOS!D:I,6,0),IFERROR(VLOOKUP(B2128*1,PEDIDOS!D:I,6,0),"" "")))"),"ENTREGUE")</f>
        <v>ENTREGUE</v>
      </c>
      <c r="G2128" s="303"/>
      <c r="H2128" s="304"/>
    </row>
    <row r="2129">
      <c r="A2129" s="302" t="s">
        <v>91</v>
      </c>
      <c r="B2129" s="291" t="s">
        <v>11347</v>
      </c>
      <c r="C2129" s="292" t="s">
        <v>48</v>
      </c>
      <c r="D2129" s="293">
        <f t="shared" si="2"/>
        <v>1</v>
      </c>
      <c r="E2129" s="294"/>
      <c r="F2129" s="295" t="str">
        <f>IFERROR(__xludf.DUMMYFUNCTION("IF(B2129="""","""",IFERROR(VLOOKUP(TO_TEXT(B2129),PEDIDOS!D:I,6,0),IFERROR(VLOOKUP(B2129*1,PEDIDOS!D:I,6,0),"" "")))"),"ENTREGUE")</f>
        <v>ENTREGUE</v>
      </c>
      <c r="G2129" s="303"/>
      <c r="H2129" s="304"/>
    </row>
    <row r="2130">
      <c r="A2130" s="302" t="s">
        <v>91</v>
      </c>
      <c r="B2130" s="291" t="s">
        <v>12554</v>
      </c>
      <c r="C2130" s="292" t="s">
        <v>48</v>
      </c>
      <c r="D2130" s="293">
        <f t="shared" si="2"/>
        <v>1</v>
      </c>
      <c r="E2130" s="294"/>
      <c r="F2130" s="295" t="str">
        <f>IFERROR(__xludf.DUMMYFUNCTION("IF(B2130="""","""",IFERROR(VLOOKUP(TO_TEXT(B2130),PEDIDOS!D:I,6,0),IFERROR(VLOOKUP(B2130*1,PEDIDOS!D:I,6,0),"" "")))"),"ENTREGUE")</f>
        <v>ENTREGUE</v>
      </c>
      <c r="G2130" s="303"/>
      <c r="H2130" s="304"/>
    </row>
    <row r="2131">
      <c r="A2131" s="302" t="s">
        <v>91</v>
      </c>
      <c r="B2131" s="291" t="s">
        <v>12837</v>
      </c>
      <c r="C2131" s="292" t="s">
        <v>48</v>
      </c>
      <c r="D2131" s="293">
        <f t="shared" si="2"/>
        <v>1</v>
      </c>
      <c r="E2131" s="294"/>
      <c r="F2131" s="295" t="str">
        <f>IFERROR(__xludf.DUMMYFUNCTION("IF(B2131="""","""",IFERROR(VLOOKUP(TO_TEXT(B2131),PEDIDOS!D:I,6,0),IFERROR(VLOOKUP(B2131*1,PEDIDOS!D:I,6,0),"" "")))"),"ENTREGUE")</f>
        <v>ENTREGUE</v>
      </c>
      <c r="G2131" s="303"/>
      <c r="H2131" s="304"/>
    </row>
    <row r="2132">
      <c r="A2132" s="302" t="s">
        <v>91</v>
      </c>
      <c r="B2132" s="291" t="s">
        <v>12757</v>
      </c>
      <c r="C2132" s="292" t="s">
        <v>48</v>
      </c>
      <c r="D2132" s="293">
        <f t="shared" si="2"/>
        <v>1</v>
      </c>
      <c r="E2132" s="294"/>
      <c r="F2132" s="295" t="str">
        <f>IFERROR(__xludf.DUMMYFUNCTION("IF(B2132="""","""",IFERROR(VLOOKUP(TO_TEXT(B2132),PEDIDOS!D:I,6,0),IFERROR(VLOOKUP(B2132*1,PEDIDOS!D:I,6,0),"" "")))"),"ENTREGUE")</f>
        <v>ENTREGUE</v>
      </c>
      <c r="G2132" s="303"/>
      <c r="H2132" s="304"/>
    </row>
    <row r="2133">
      <c r="A2133" s="302" t="s">
        <v>91</v>
      </c>
      <c r="B2133" s="291" t="s">
        <v>12661</v>
      </c>
      <c r="C2133" s="292" t="s">
        <v>48</v>
      </c>
      <c r="D2133" s="293">
        <f t="shared" si="2"/>
        <v>1</v>
      </c>
      <c r="E2133" s="294"/>
      <c r="F2133" s="295" t="str">
        <f>IFERROR(__xludf.DUMMYFUNCTION("IF(B2133="""","""",IFERROR(VLOOKUP(TO_TEXT(B2133),PEDIDOS!D:I,6,0),IFERROR(VLOOKUP(B2133*1,PEDIDOS!D:I,6,0),"" "")))"),"ENTREGUE")</f>
        <v>ENTREGUE</v>
      </c>
      <c r="G2133" s="303"/>
      <c r="H2133" s="304"/>
    </row>
    <row r="2134">
      <c r="A2134" s="302" t="s">
        <v>91</v>
      </c>
      <c r="B2134" s="291" t="s">
        <v>12834</v>
      </c>
      <c r="C2134" s="292" t="s">
        <v>48</v>
      </c>
      <c r="D2134" s="293">
        <f t="shared" si="2"/>
        <v>1</v>
      </c>
      <c r="E2134" s="294"/>
      <c r="F2134" s="295" t="str">
        <f>IFERROR(__xludf.DUMMYFUNCTION("IF(B2134="""","""",IFERROR(VLOOKUP(TO_TEXT(B2134),PEDIDOS!D:I,6,0),IFERROR(VLOOKUP(B2134*1,PEDIDOS!D:I,6,0),"" "")))"),"ENTREGUE")</f>
        <v>ENTREGUE</v>
      </c>
      <c r="G2134" s="303"/>
      <c r="H2134" s="304"/>
    </row>
    <row r="2135">
      <c r="A2135" s="302" t="s">
        <v>91</v>
      </c>
      <c r="B2135" s="291" t="s">
        <v>13245</v>
      </c>
      <c r="C2135" s="292" t="s">
        <v>48</v>
      </c>
      <c r="D2135" s="293">
        <f t="shared" si="2"/>
        <v>1</v>
      </c>
      <c r="E2135" s="294"/>
      <c r="F2135" s="295" t="str">
        <f>IFERROR(__xludf.DUMMYFUNCTION("IF(B2135="""","""",IFERROR(VLOOKUP(TO_TEXT(B2135),PEDIDOS!D:I,6,0),IFERROR(VLOOKUP(B2135*1,PEDIDOS!D:I,6,0),"" "")))"),"ENTREGUE")</f>
        <v>ENTREGUE</v>
      </c>
      <c r="G2135" s="303"/>
      <c r="H2135" s="304"/>
    </row>
    <row r="2136">
      <c r="A2136" s="302" t="s">
        <v>91</v>
      </c>
      <c r="B2136" s="291" t="s">
        <v>12827</v>
      </c>
      <c r="C2136" s="292" t="s">
        <v>48</v>
      </c>
      <c r="D2136" s="293">
        <f t="shared" si="2"/>
        <v>1</v>
      </c>
      <c r="E2136" s="294"/>
      <c r="F2136" s="295" t="str">
        <f>IFERROR(__xludf.DUMMYFUNCTION("IF(B2136="""","""",IFERROR(VLOOKUP(TO_TEXT(B2136),PEDIDOS!D:I,6,0),IFERROR(VLOOKUP(B2136*1,PEDIDOS!D:I,6,0),"" "")))"),"ENTREGUE")</f>
        <v>ENTREGUE</v>
      </c>
      <c r="G2136" s="303"/>
      <c r="H2136" s="304"/>
    </row>
    <row r="2137">
      <c r="A2137" s="302" t="s">
        <v>91</v>
      </c>
      <c r="B2137" s="291" t="s">
        <v>13090</v>
      </c>
      <c r="C2137" s="292" t="s">
        <v>48</v>
      </c>
      <c r="D2137" s="293">
        <f t="shared" si="2"/>
        <v>1</v>
      </c>
      <c r="E2137" s="294"/>
      <c r="F2137" s="295" t="str">
        <f>IFERROR(__xludf.DUMMYFUNCTION("IF(B2137="""","""",IFERROR(VLOOKUP(TO_TEXT(B2137),PEDIDOS!D:I,6,0),IFERROR(VLOOKUP(B2137*1,PEDIDOS!D:I,6,0),"" "")))"),"ENTREGUE")</f>
        <v>ENTREGUE</v>
      </c>
      <c r="G2137" s="303"/>
      <c r="H2137" s="304"/>
    </row>
    <row r="2138">
      <c r="A2138" s="302" t="s">
        <v>91</v>
      </c>
      <c r="B2138" s="291" t="s">
        <v>12843</v>
      </c>
      <c r="C2138" s="292" t="s">
        <v>48</v>
      </c>
      <c r="D2138" s="293">
        <f t="shared" si="2"/>
        <v>1</v>
      </c>
      <c r="E2138" s="294"/>
      <c r="F2138" s="295" t="str">
        <f>IFERROR(__xludf.DUMMYFUNCTION("IF(B2138="""","""",IFERROR(VLOOKUP(TO_TEXT(B2138),PEDIDOS!D:I,6,0),IFERROR(VLOOKUP(B2138*1,PEDIDOS!D:I,6,0),"" "")))"),"ENTREGUE")</f>
        <v>ENTREGUE</v>
      </c>
      <c r="G2138" s="303"/>
      <c r="H2138" s="304"/>
    </row>
    <row r="2139">
      <c r="A2139" s="302" t="s">
        <v>91</v>
      </c>
      <c r="B2139" s="291" t="s">
        <v>11816</v>
      </c>
      <c r="C2139" s="292" t="s">
        <v>48</v>
      </c>
      <c r="D2139" s="293">
        <f t="shared" si="2"/>
        <v>1</v>
      </c>
      <c r="E2139" s="294"/>
      <c r="F2139" s="295" t="str">
        <f>IFERROR(__xludf.DUMMYFUNCTION("IF(B2139="""","""",IFERROR(VLOOKUP(TO_TEXT(B2139),PEDIDOS!D:I,6,0),IFERROR(VLOOKUP(B2139*1,PEDIDOS!D:I,6,0),"" "")))"),"ENTREGUE")</f>
        <v>ENTREGUE</v>
      </c>
      <c r="G2139" s="303"/>
      <c r="H2139" s="304"/>
    </row>
    <row r="2140">
      <c r="A2140" s="302" t="s">
        <v>91</v>
      </c>
      <c r="B2140" s="291" t="s">
        <v>12706</v>
      </c>
      <c r="C2140" s="292" t="s">
        <v>48</v>
      </c>
      <c r="D2140" s="293">
        <f t="shared" si="2"/>
        <v>1</v>
      </c>
      <c r="E2140" s="294"/>
      <c r="F2140" s="295" t="str">
        <f>IFERROR(__xludf.DUMMYFUNCTION("IF(B2140="""","""",IFERROR(VLOOKUP(TO_TEXT(B2140),PEDIDOS!D:I,6,0),IFERROR(VLOOKUP(B2140*1,PEDIDOS!D:I,6,0),"" "")))"),"ENTREGUE")</f>
        <v>ENTREGUE</v>
      </c>
      <c r="G2140" s="303"/>
      <c r="H2140" s="304"/>
    </row>
    <row r="2141">
      <c r="A2141" s="302" t="s">
        <v>91</v>
      </c>
      <c r="B2141" s="291" t="s">
        <v>12125</v>
      </c>
      <c r="C2141" s="292" t="s">
        <v>48</v>
      </c>
      <c r="D2141" s="293">
        <f t="shared" si="2"/>
        <v>1</v>
      </c>
      <c r="E2141" s="294"/>
      <c r="F2141" s="295" t="str">
        <f>IFERROR(__xludf.DUMMYFUNCTION("IF(B2141="""","""",IFERROR(VLOOKUP(TO_TEXT(B2141),PEDIDOS!D:I,6,0),IFERROR(VLOOKUP(B2141*1,PEDIDOS!D:I,6,0),"" "")))"),"ENTREGUE")</f>
        <v>ENTREGUE</v>
      </c>
      <c r="G2141" s="303"/>
      <c r="H2141" s="304"/>
    </row>
    <row r="2142">
      <c r="A2142" s="302" t="s">
        <v>91</v>
      </c>
      <c r="B2142" s="291" t="s">
        <v>22539</v>
      </c>
      <c r="C2142" s="292" t="s">
        <v>48</v>
      </c>
      <c r="D2142" s="293">
        <f t="shared" si="2"/>
        <v>1</v>
      </c>
      <c r="E2142" s="294"/>
      <c r="F2142" s="295" t="str">
        <f>IFERROR(__xludf.DUMMYFUNCTION("IF(B2142="""","""",IFERROR(VLOOKUP(TO_TEXT(B2142),PEDIDOS!D:I,6,0),IFERROR(VLOOKUP(B2142*1,PEDIDOS!D:I,6,0),"" "")))"),"ENTREGUE")</f>
        <v>ENTREGUE</v>
      </c>
      <c r="G2142" s="305"/>
      <c r="H2142" s="305"/>
    </row>
    <row r="2143">
      <c r="A2143" s="302" t="s">
        <v>91</v>
      </c>
      <c r="B2143" s="291" t="s">
        <v>12587</v>
      </c>
      <c r="C2143" s="292" t="s">
        <v>48</v>
      </c>
      <c r="D2143" s="293">
        <f t="shared" si="2"/>
        <v>1</v>
      </c>
      <c r="E2143" s="294"/>
      <c r="F2143" s="295" t="str">
        <f>IFERROR(__xludf.DUMMYFUNCTION("IF(B2143="""","""",IFERROR(VLOOKUP(TO_TEXT(B2143),PEDIDOS!D:I,6,0),IFERROR(VLOOKUP(B2143*1,PEDIDOS!D:I,6,0),"" "")))"),"ENTREGUE")</f>
        <v>ENTREGUE</v>
      </c>
      <c r="G2143" s="303"/>
      <c r="H2143" s="304"/>
    </row>
    <row r="2144">
      <c r="A2144" s="302" t="s">
        <v>91</v>
      </c>
      <c r="B2144" s="291" t="s">
        <v>12981</v>
      </c>
      <c r="C2144" s="292" t="s">
        <v>48</v>
      </c>
      <c r="D2144" s="293">
        <f t="shared" si="2"/>
        <v>1</v>
      </c>
      <c r="E2144" s="294"/>
      <c r="F2144" s="295" t="str">
        <f>IFERROR(__xludf.DUMMYFUNCTION("IF(B2144="""","""",IFERROR(VLOOKUP(TO_TEXT(B2144),PEDIDOS!D:I,6,0),IFERROR(VLOOKUP(B2144*1,PEDIDOS!D:I,6,0),"" "")))"),"ENTREGUE")</f>
        <v>ENTREGUE</v>
      </c>
      <c r="G2144" s="303"/>
      <c r="H2144" s="304"/>
    </row>
    <row r="2145">
      <c r="A2145" s="302" t="s">
        <v>91</v>
      </c>
      <c r="B2145" s="291" t="s">
        <v>11571</v>
      </c>
      <c r="C2145" s="292" t="s">
        <v>48</v>
      </c>
      <c r="D2145" s="293">
        <f t="shared" si="2"/>
        <v>1</v>
      </c>
      <c r="E2145" s="294"/>
      <c r="F2145" s="295" t="str">
        <f>IFERROR(__xludf.DUMMYFUNCTION("IF(B2145="""","""",IFERROR(VLOOKUP(TO_TEXT(B2145),PEDIDOS!D:I,6,0),IFERROR(VLOOKUP(B2145*1,PEDIDOS!D:I,6,0),"" "")))"),"ENTREGUE")</f>
        <v>ENTREGUE</v>
      </c>
      <c r="G2145" s="303"/>
      <c r="H2145" s="304"/>
    </row>
    <row r="2146">
      <c r="A2146" s="302" t="s">
        <v>91</v>
      </c>
      <c r="B2146" s="291" t="s">
        <v>13087</v>
      </c>
      <c r="C2146" s="292" t="s">
        <v>48</v>
      </c>
      <c r="D2146" s="293">
        <f t="shared" si="2"/>
        <v>1</v>
      </c>
      <c r="E2146" s="294"/>
      <c r="F2146" s="295" t="str">
        <f>IFERROR(__xludf.DUMMYFUNCTION("IF(B2146="""","""",IFERROR(VLOOKUP(TO_TEXT(B2146),PEDIDOS!D:I,6,0),IFERROR(VLOOKUP(B2146*1,PEDIDOS!D:I,6,0),"" "")))"),"ENTREGUE")</f>
        <v>ENTREGUE</v>
      </c>
      <c r="G2146" s="303"/>
      <c r="H2146" s="304"/>
    </row>
    <row r="2147">
      <c r="A2147" s="302" t="s">
        <v>91</v>
      </c>
      <c r="B2147" s="291" t="s">
        <v>11919</v>
      </c>
      <c r="C2147" s="292" t="s">
        <v>48</v>
      </c>
      <c r="D2147" s="293">
        <f t="shared" si="2"/>
        <v>1</v>
      </c>
      <c r="E2147" s="294"/>
      <c r="F2147" s="295" t="str">
        <f>IFERROR(__xludf.DUMMYFUNCTION("IF(B2147="""","""",IFERROR(VLOOKUP(TO_TEXT(B2147),PEDIDOS!D:I,6,0),IFERROR(VLOOKUP(B2147*1,PEDIDOS!D:I,6,0),"" "")))"),"ENTREGUE")</f>
        <v>ENTREGUE</v>
      </c>
      <c r="G2147" s="303"/>
      <c r="H2147" s="304"/>
    </row>
    <row r="2148">
      <c r="A2148" s="302" t="s">
        <v>91</v>
      </c>
      <c r="B2148" s="291" t="s">
        <v>13267</v>
      </c>
      <c r="C2148" s="292" t="s">
        <v>48</v>
      </c>
      <c r="D2148" s="293">
        <f t="shared" si="2"/>
        <v>1</v>
      </c>
      <c r="E2148" s="294"/>
      <c r="F2148" s="295" t="str">
        <f>IFERROR(__xludf.DUMMYFUNCTION("IF(B2148="""","""",IFERROR(VLOOKUP(TO_TEXT(B2148),PEDIDOS!D:I,6,0),IFERROR(VLOOKUP(B2148*1,PEDIDOS!D:I,6,0),"" "")))"),"ENTREGUE")</f>
        <v>ENTREGUE</v>
      </c>
      <c r="G2148" s="303"/>
      <c r="H2148" s="304"/>
    </row>
    <row r="2149">
      <c r="A2149" s="302" t="s">
        <v>91</v>
      </c>
      <c r="B2149" s="291" t="s">
        <v>12788</v>
      </c>
      <c r="C2149" s="292" t="s">
        <v>48</v>
      </c>
      <c r="D2149" s="293">
        <f t="shared" si="2"/>
        <v>1</v>
      </c>
      <c r="E2149" s="294"/>
      <c r="F2149" s="295" t="str">
        <f>IFERROR(__xludf.DUMMYFUNCTION("IF(B2149="""","""",IFERROR(VLOOKUP(TO_TEXT(B2149),PEDIDOS!D:I,6,0),IFERROR(VLOOKUP(B2149*1,PEDIDOS!D:I,6,0),"" "")))"),"ENTREGUE")</f>
        <v>ENTREGUE</v>
      </c>
      <c r="G2149" s="303"/>
      <c r="H2149" s="304"/>
    </row>
    <row r="2150">
      <c r="A2150" s="302" t="s">
        <v>91</v>
      </c>
      <c r="B2150" s="291" t="s">
        <v>12626</v>
      </c>
      <c r="C2150" s="292" t="s">
        <v>48</v>
      </c>
      <c r="D2150" s="293">
        <f t="shared" si="2"/>
        <v>1</v>
      </c>
      <c r="E2150" s="294"/>
      <c r="F2150" s="295" t="str">
        <f>IFERROR(__xludf.DUMMYFUNCTION("IF(B2150="""","""",IFERROR(VLOOKUP(TO_TEXT(B2150),PEDIDOS!D:I,6,0),IFERROR(VLOOKUP(B2150*1,PEDIDOS!D:I,6,0),"" "")))"),"ENTREGUE")</f>
        <v>ENTREGUE</v>
      </c>
      <c r="G2150" s="303"/>
      <c r="H2150" s="304"/>
    </row>
    <row r="2151">
      <c r="A2151" s="302" t="s">
        <v>91</v>
      </c>
      <c r="B2151" s="291" t="s">
        <v>11568</v>
      </c>
      <c r="C2151" s="292" t="s">
        <v>48</v>
      </c>
      <c r="D2151" s="293">
        <f t="shared" si="2"/>
        <v>1</v>
      </c>
      <c r="E2151" s="294"/>
      <c r="F2151" s="295" t="str">
        <f>IFERROR(__xludf.DUMMYFUNCTION("IF(B2151="""","""",IFERROR(VLOOKUP(TO_TEXT(B2151),PEDIDOS!D:I,6,0),IFERROR(VLOOKUP(B2151*1,PEDIDOS!D:I,6,0),"" "")))"),"ENTREGUE")</f>
        <v>ENTREGUE</v>
      </c>
      <c r="G2151" s="303"/>
      <c r="H2151" s="304"/>
    </row>
    <row r="2152">
      <c r="A2152" s="302" t="s">
        <v>91</v>
      </c>
      <c r="B2152" s="291" t="s">
        <v>12862</v>
      </c>
      <c r="C2152" s="292" t="s">
        <v>48</v>
      </c>
      <c r="D2152" s="293">
        <f t="shared" si="2"/>
        <v>1</v>
      </c>
      <c r="E2152" s="294"/>
      <c r="F2152" s="295" t="str">
        <f>IFERROR(__xludf.DUMMYFUNCTION("IF(B2152="""","""",IFERROR(VLOOKUP(TO_TEXT(B2152),PEDIDOS!D:I,6,0),IFERROR(VLOOKUP(B2152*1,PEDIDOS!D:I,6,0),"" "")))"),"ENTREGUE")</f>
        <v>ENTREGUE</v>
      </c>
      <c r="G2152" s="303"/>
      <c r="H2152" s="304"/>
    </row>
    <row r="2153">
      <c r="A2153" s="302" t="s">
        <v>91</v>
      </c>
      <c r="B2153" s="291" t="s">
        <v>11521</v>
      </c>
      <c r="C2153" s="292" t="s">
        <v>48</v>
      </c>
      <c r="D2153" s="293">
        <f t="shared" si="2"/>
        <v>1</v>
      </c>
      <c r="E2153" s="294"/>
      <c r="F2153" s="295" t="str">
        <f>IFERROR(__xludf.DUMMYFUNCTION("IF(B2153="""","""",IFERROR(VLOOKUP(TO_TEXT(B2153),PEDIDOS!D:I,6,0),IFERROR(VLOOKUP(B2153*1,PEDIDOS!D:I,6,0),"" "")))"),"ENTREGUE")</f>
        <v>ENTREGUE</v>
      </c>
      <c r="G2153" s="303"/>
      <c r="H2153" s="304"/>
    </row>
    <row r="2154">
      <c r="A2154" s="302" t="s">
        <v>91</v>
      </c>
      <c r="B2154" s="291" t="s">
        <v>12196</v>
      </c>
      <c r="C2154" s="292" t="s">
        <v>48</v>
      </c>
      <c r="D2154" s="293">
        <f t="shared" si="2"/>
        <v>1</v>
      </c>
      <c r="E2154" s="294"/>
      <c r="F2154" s="295" t="str">
        <f>IFERROR(__xludf.DUMMYFUNCTION("IF(B2154="""","""",IFERROR(VLOOKUP(TO_TEXT(B2154),PEDIDOS!D:I,6,0),IFERROR(VLOOKUP(B2154*1,PEDIDOS!D:I,6,0),"" "")))"),"ENTREGUE")</f>
        <v>ENTREGUE</v>
      </c>
      <c r="G2154" s="303"/>
      <c r="H2154" s="304"/>
    </row>
    <row r="2155">
      <c r="A2155" s="302" t="s">
        <v>91</v>
      </c>
      <c r="B2155" s="291" t="s">
        <v>12990</v>
      </c>
      <c r="C2155" s="292" t="s">
        <v>48</v>
      </c>
      <c r="D2155" s="293">
        <f t="shared" si="2"/>
        <v>1</v>
      </c>
      <c r="E2155" s="294"/>
      <c r="F2155" s="295" t="str">
        <f>IFERROR(__xludf.DUMMYFUNCTION("IF(B2155="""","""",IFERROR(VLOOKUP(TO_TEXT(B2155),PEDIDOS!D:I,6,0),IFERROR(VLOOKUP(B2155*1,PEDIDOS!D:I,6,0),"" "")))"),"ENTREGUE")</f>
        <v>ENTREGUE</v>
      </c>
      <c r="G2155" s="303"/>
      <c r="H2155" s="304"/>
    </row>
    <row r="2156">
      <c r="A2156" s="302" t="s">
        <v>91</v>
      </c>
      <c r="B2156" s="291" t="s">
        <v>12831</v>
      </c>
      <c r="C2156" s="292" t="s">
        <v>48</v>
      </c>
      <c r="D2156" s="293">
        <f t="shared" si="2"/>
        <v>1</v>
      </c>
      <c r="E2156" s="294"/>
      <c r="F2156" s="295" t="str">
        <f>IFERROR(__xludf.DUMMYFUNCTION("IF(B2156="""","""",IFERROR(VLOOKUP(TO_TEXT(B2156),PEDIDOS!D:I,6,0),IFERROR(VLOOKUP(B2156*1,PEDIDOS!D:I,6,0),"" "")))"),"ENTREGUE")</f>
        <v>ENTREGUE</v>
      </c>
      <c r="G2156" s="303"/>
      <c r="H2156" s="304"/>
    </row>
    <row r="2157">
      <c r="A2157" s="302" t="s">
        <v>91</v>
      </c>
      <c r="B2157" s="291" t="s">
        <v>12192</v>
      </c>
      <c r="C2157" s="292" t="s">
        <v>48</v>
      </c>
      <c r="D2157" s="293">
        <f t="shared" si="2"/>
        <v>1</v>
      </c>
      <c r="E2157" s="294"/>
      <c r="F2157" s="295" t="str">
        <f>IFERROR(__xludf.DUMMYFUNCTION("IF(B2157="""","""",IFERROR(VLOOKUP(TO_TEXT(B2157),PEDIDOS!D:I,6,0),IFERROR(VLOOKUP(B2157*1,PEDIDOS!D:I,6,0),"" "")))"),"ENTREGUE")</f>
        <v>ENTREGUE</v>
      </c>
      <c r="G2157" s="303"/>
      <c r="H2157" s="304"/>
    </row>
    <row r="2158">
      <c r="A2158" s="302" t="s">
        <v>91</v>
      </c>
      <c r="B2158" s="291" t="s">
        <v>11311</v>
      </c>
      <c r="C2158" s="292" t="s">
        <v>48</v>
      </c>
      <c r="D2158" s="293">
        <f t="shared" si="2"/>
        <v>1</v>
      </c>
      <c r="E2158" s="294"/>
      <c r="F2158" s="295" t="str">
        <f>IFERROR(__xludf.DUMMYFUNCTION("IF(B2158="""","""",IFERROR(VLOOKUP(TO_TEXT(B2158),PEDIDOS!D:I,6,0),IFERROR(VLOOKUP(B2158*1,PEDIDOS!D:I,6,0),"" "")))"),"ENTREGUE")</f>
        <v>ENTREGUE</v>
      </c>
      <c r="G2158" s="303"/>
      <c r="H2158" s="304"/>
    </row>
    <row r="2159">
      <c r="A2159" s="302" t="s">
        <v>91</v>
      </c>
      <c r="B2159" s="291" t="s">
        <v>10213</v>
      </c>
      <c r="C2159" s="292" t="s">
        <v>48</v>
      </c>
      <c r="D2159" s="293">
        <f t="shared" si="2"/>
        <v>1</v>
      </c>
      <c r="E2159" s="294"/>
      <c r="F2159" s="295" t="str">
        <f>IFERROR(__xludf.DUMMYFUNCTION("IF(B2159="""","""",IFERROR(VLOOKUP(TO_TEXT(B2159),PEDIDOS!D:I,6,0),IFERROR(VLOOKUP(B2159*1,PEDIDOS!D:I,6,0),"" "")))"),"ENTREGUE")</f>
        <v>ENTREGUE</v>
      </c>
      <c r="G2159" s="303"/>
      <c r="H2159" s="304"/>
    </row>
    <row r="2160">
      <c r="A2160" s="302" t="s">
        <v>91</v>
      </c>
      <c r="B2160" s="291" t="s">
        <v>13399</v>
      </c>
      <c r="C2160" s="292" t="s">
        <v>48</v>
      </c>
      <c r="D2160" s="293">
        <f t="shared" si="2"/>
        <v>1</v>
      </c>
      <c r="E2160" s="294"/>
      <c r="F2160" s="295" t="str">
        <f>IFERROR(__xludf.DUMMYFUNCTION("IF(B2160="""","""",IFERROR(VLOOKUP(TO_TEXT(B2160),PEDIDOS!D:I,6,0),IFERROR(VLOOKUP(B2160*1,PEDIDOS!D:I,6,0),"" "")))"),"ENTREGUE")</f>
        <v>ENTREGUE</v>
      </c>
      <c r="G2160" s="303"/>
      <c r="H2160" s="304"/>
    </row>
    <row r="2161">
      <c r="A2161" s="302" t="s">
        <v>91</v>
      </c>
      <c r="B2161" s="291" t="s">
        <v>13262</v>
      </c>
      <c r="C2161" s="292" t="s">
        <v>48</v>
      </c>
      <c r="D2161" s="293">
        <f t="shared" si="2"/>
        <v>1</v>
      </c>
      <c r="E2161" s="294"/>
      <c r="F2161" s="295" t="str">
        <f>IFERROR(__xludf.DUMMYFUNCTION("IF(B2161="""","""",IFERROR(VLOOKUP(TO_TEXT(B2161),PEDIDOS!D:I,6,0),IFERROR(VLOOKUP(B2161*1,PEDIDOS!D:I,6,0),"" "")))"),"ENTREGUE")</f>
        <v>ENTREGUE</v>
      </c>
      <c r="G2161" s="303"/>
      <c r="H2161" s="304"/>
    </row>
    <row r="2162">
      <c r="A2162" s="302" t="s">
        <v>91</v>
      </c>
      <c r="B2162" s="291" t="s">
        <v>10990</v>
      </c>
      <c r="C2162" s="292" t="s">
        <v>48</v>
      </c>
      <c r="D2162" s="293">
        <f t="shared" si="2"/>
        <v>1</v>
      </c>
      <c r="E2162" s="294"/>
      <c r="F2162" s="295" t="str">
        <f>IFERROR(__xludf.DUMMYFUNCTION("IF(B2162="""","""",IFERROR(VLOOKUP(TO_TEXT(B2162),PEDIDOS!D:I,6,0),IFERROR(VLOOKUP(B2162*1,PEDIDOS!D:I,6,0),"" "")))"),"ENTREGUE")</f>
        <v>ENTREGUE</v>
      </c>
      <c r="G2162" s="303"/>
      <c r="H2162" s="304"/>
    </row>
    <row r="2163">
      <c r="A2163" s="302" t="s">
        <v>91</v>
      </c>
      <c r="B2163" s="291" t="s">
        <v>13044</v>
      </c>
      <c r="C2163" s="292" t="s">
        <v>48</v>
      </c>
      <c r="D2163" s="293">
        <f t="shared" si="2"/>
        <v>1</v>
      </c>
      <c r="E2163" s="294"/>
      <c r="F2163" s="295" t="str">
        <f>IFERROR(__xludf.DUMMYFUNCTION("IF(B2163="""","""",IFERROR(VLOOKUP(TO_TEXT(B2163),PEDIDOS!D:I,6,0),IFERROR(VLOOKUP(B2163*1,PEDIDOS!D:I,6,0),"" "")))"),"ENTREGUE")</f>
        <v>ENTREGUE</v>
      </c>
      <c r="G2163" s="303"/>
      <c r="H2163" s="304"/>
    </row>
    <row r="2164">
      <c r="A2164" s="302" t="s">
        <v>91</v>
      </c>
      <c r="B2164" s="291" t="s">
        <v>12622</v>
      </c>
      <c r="C2164" s="292" t="s">
        <v>48</v>
      </c>
      <c r="D2164" s="293">
        <f t="shared" si="2"/>
        <v>1</v>
      </c>
      <c r="E2164" s="294"/>
      <c r="F2164" s="295" t="str">
        <f>IFERROR(__xludf.DUMMYFUNCTION("IF(B2164="""","""",IFERROR(VLOOKUP(TO_TEXT(B2164),PEDIDOS!D:I,6,0),IFERROR(VLOOKUP(B2164*1,PEDIDOS!D:I,6,0),"" "")))"),"ENTREGUE")</f>
        <v>ENTREGUE</v>
      </c>
      <c r="G2164" s="303"/>
      <c r="H2164" s="304"/>
    </row>
    <row r="2165">
      <c r="A2165" s="302" t="s">
        <v>91</v>
      </c>
      <c r="B2165" s="291" t="s">
        <v>12895</v>
      </c>
      <c r="C2165" s="292" t="s">
        <v>48</v>
      </c>
      <c r="D2165" s="293">
        <f t="shared" si="2"/>
        <v>1</v>
      </c>
      <c r="E2165" s="294"/>
      <c r="F2165" s="295" t="str">
        <f>IFERROR(__xludf.DUMMYFUNCTION("IF(B2165="""","""",IFERROR(VLOOKUP(TO_TEXT(B2165),PEDIDOS!D:I,6,0),IFERROR(VLOOKUP(B2165*1,PEDIDOS!D:I,6,0),"" "")))"),"ENTREGUE")</f>
        <v>ENTREGUE</v>
      </c>
      <c r="G2165" s="303"/>
      <c r="H2165" s="304"/>
    </row>
    <row r="2166">
      <c r="A2166" s="302" t="s">
        <v>91</v>
      </c>
      <c r="B2166" s="291" t="s">
        <v>12280</v>
      </c>
      <c r="C2166" s="292" t="s">
        <v>48</v>
      </c>
      <c r="D2166" s="293">
        <f t="shared" si="2"/>
        <v>1</v>
      </c>
      <c r="E2166" s="294"/>
      <c r="F2166" s="295" t="str">
        <f>IFERROR(__xludf.DUMMYFUNCTION("IF(B2166="""","""",IFERROR(VLOOKUP(TO_TEXT(B2166),PEDIDOS!D:I,6,0),IFERROR(VLOOKUP(B2166*1,PEDIDOS!D:I,6,0),"" "")))"),"ENTREGUE")</f>
        <v>ENTREGUE</v>
      </c>
      <c r="G2166" s="303"/>
      <c r="H2166" s="304"/>
    </row>
    <row r="2167">
      <c r="A2167" s="302" t="s">
        <v>91</v>
      </c>
      <c r="B2167" s="291" t="s">
        <v>11135</v>
      </c>
      <c r="C2167" s="292" t="s">
        <v>48</v>
      </c>
      <c r="D2167" s="293">
        <f t="shared" si="2"/>
        <v>1</v>
      </c>
      <c r="E2167" s="294"/>
      <c r="F2167" s="295" t="str">
        <f>IFERROR(__xludf.DUMMYFUNCTION("IF(B2167="""","""",IFERROR(VLOOKUP(TO_TEXT(B2167),PEDIDOS!D:I,6,0),IFERROR(VLOOKUP(B2167*1,PEDIDOS!D:I,6,0),"" "")))"),"ENTREGUE")</f>
        <v>ENTREGUE</v>
      </c>
      <c r="G2167" s="303"/>
      <c r="H2167" s="304"/>
    </row>
    <row r="2168">
      <c r="A2168" s="302" t="s">
        <v>91</v>
      </c>
      <c r="B2168" s="291" t="s">
        <v>12618</v>
      </c>
      <c r="C2168" s="292" t="s">
        <v>48</v>
      </c>
      <c r="D2168" s="293">
        <f t="shared" si="2"/>
        <v>1</v>
      </c>
      <c r="E2168" s="294"/>
      <c r="F2168" s="295" t="str">
        <f>IFERROR(__xludf.DUMMYFUNCTION("IF(B2168="""","""",IFERROR(VLOOKUP(TO_TEXT(B2168),PEDIDOS!D:I,6,0),IFERROR(VLOOKUP(B2168*1,PEDIDOS!D:I,6,0),"" "")))"),"ENTREGUE")</f>
        <v>ENTREGUE</v>
      </c>
      <c r="G2168" s="303"/>
      <c r="H2168" s="304"/>
    </row>
    <row r="2169">
      <c r="A2169" s="302" t="s">
        <v>91</v>
      </c>
      <c r="B2169" s="291" t="s">
        <v>12163</v>
      </c>
      <c r="C2169" s="292" t="s">
        <v>48</v>
      </c>
      <c r="D2169" s="293">
        <f t="shared" si="2"/>
        <v>1</v>
      </c>
      <c r="E2169" s="294"/>
      <c r="F2169" s="295" t="str">
        <f>IFERROR(__xludf.DUMMYFUNCTION("IF(B2169="""","""",IFERROR(VLOOKUP(TO_TEXT(B2169),PEDIDOS!D:I,6,0),IFERROR(VLOOKUP(B2169*1,PEDIDOS!D:I,6,0),"" "")))"),"ENTREGUE")</f>
        <v>ENTREGUE</v>
      </c>
      <c r="G2169" s="303"/>
      <c r="H2169" s="304"/>
    </row>
    <row r="2170">
      <c r="A2170" s="302" t="s">
        <v>91</v>
      </c>
      <c r="B2170" s="291" t="s">
        <v>11142</v>
      </c>
      <c r="C2170" s="292" t="s">
        <v>48</v>
      </c>
      <c r="D2170" s="293">
        <f t="shared" si="2"/>
        <v>1</v>
      </c>
      <c r="E2170" s="294"/>
      <c r="F2170" s="295" t="str">
        <f>IFERROR(__xludf.DUMMYFUNCTION("IF(B2170="""","""",IFERROR(VLOOKUP(TO_TEXT(B2170),PEDIDOS!D:I,6,0),IFERROR(VLOOKUP(B2170*1,PEDIDOS!D:I,6,0),"" "")))"),"ENTREGUE")</f>
        <v>ENTREGUE</v>
      </c>
      <c r="G2170" s="303"/>
      <c r="H2170" s="304"/>
    </row>
    <row r="2171">
      <c r="A2171" s="302" t="s">
        <v>91</v>
      </c>
      <c r="B2171" s="291" t="s">
        <v>12948</v>
      </c>
      <c r="C2171" s="292" t="s">
        <v>48</v>
      </c>
      <c r="D2171" s="293">
        <f t="shared" si="2"/>
        <v>1</v>
      </c>
      <c r="E2171" s="294"/>
      <c r="F2171" s="295" t="str">
        <f>IFERROR(__xludf.DUMMYFUNCTION("IF(B2171="""","""",IFERROR(VLOOKUP(TO_TEXT(B2171),PEDIDOS!D:I,6,0),IFERROR(VLOOKUP(B2171*1,PEDIDOS!D:I,6,0),"" "")))"),"ENTREGUE")</f>
        <v>ENTREGUE</v>
      </c>
      <c r="G2171" s="303"/>
      <c r="H2171" s="304"/>
    </row>
    <row r="2172">
      <c r="A2172" s="302" t="s">
        <v>91</v>
      </c>
      <c r="B2172" s="291" t="s">
        <v>11803</v>
      </c>
      <c r="C2172" s="292" t="s">
        <v>48</v>
      </c>
      <c r="D2172" s="293">
        <f t="shared" si="2"/>
        <v>1</v>
      </c>
      <c r="E2172" s="294"/>
      <c r="F2172" s="295" t="str">
        <f>IFERROR(__xludf.DUMMYFUNCTION("IF(B2172="""","""",IFERROR(VLOOKUP(TO_TEXT(B2172),PEDIDOS!D:I,6,0),IFERROR(VLOOKUP(B2172*1,PEDIDOS!D:I,6,0),"" "")))"),"ENTREGUE")</f>
        <v>ENTREGUE</v>
      </c>
      <c r="G2172" s="303"/>
      <c r="H2172" s="304"/>
    </row>
    <row r="2173">
      <c r="A2173" s="302" t="s">
        <v>91</v>
      </c>
      <c r="B2173" s="291" t="s">
        <v>10216</v>
      </c>
      <c r="C2173" s="292" t="s">
        <v>48</v>
      </c>
      <c r="D2173" s="293">
        <f t="shared" si="2"/>
        <v>1</v>
      </c>
      <c r="E2173" s="294"/>
      <c r="F2173" s="295" t="str">
        <f>IFERROR(__xludf.DUMMYFUNCTION("IF(B2173="""","""",IFERROR(VLOOKUP(TO_TEXT(B2173),PEDIDOS!D:I,6,0),IFERROR(VLOOKUP(B2173*1,PEDIDOS!D:I,6,0),"" "")))"),"ENTREGUE")</f>
        <v>ENTREGUE</v>
      </c>
      <c r="G2173" s="303"/>
      <c r="H2173" s="304"/>
    </row>
    <row r="2174">
      <c r="A2174" s="302" t="s">
        <v>91</v>
      </c>
      <c r="B2174" s="291" t="s">
        <v>12609</v>
      </c>
      <c r="C2174" s="292" t="s">
        <v>48</v>
      </c>
      <c r="D2174" s="293">
        <f t="shared" si="2"/>
        <v>1</v>
      </c>
      <c r="E2174" s="294"/>
      <c r="F2174" s="295" t="str">
        <f>IFERROR(__xludf.DUMMYFUNCTION("IF(B2174="""","""",IFERROR(VLOOKUP(TO_TEXT(B2174),PEDIDOS!D:I,6,0),IFERROR(VLOOKUP(B2174*1,PEDIDOS!D:I,6,0),"" "")))"),"ENTREGUE")</f>
        <v>ENTREGUE</v>
      </c>
      <c r="G2174" s="303"/>
      <c r="H2174" s="304"/>
    </row>
    <row r="2175">
      <c r="A2175" s="302" t="s">
        <v>91</v>
      </c>
      <c r="B2175" s="291" t="s">
        <v>12926</v>
      </c>
      <c r="C2175" s="292" t="s">
        <v>48</v>
      </c>
      <c r="D2175" s="293">
        <f t="shared" si="2"/>
        <v>1</v>
      </c>
      <c r="E2175" s="294"/>
      <c r="F2175" s="295" t="str">
        <f>IFERROR(__xludf.DUMMYFUNCTION("IF(B2175="""","""",IFERROR(VLOOKUP(TO_TEXT(B2175),PEDIDOS!D:I,6,0),IFERROR(VLOOKUP(B2175*1,PEDIDOS!D:I,6,0),"" "")))"),"ENTREGUE")</f>
        <v>ENTREGUE</v>
      </c>
      <c r="G2175" s="303"/>
      <c r="H2175" s="304"/>
    </row>
    <row r="2176">
      <c r="A2176" s="302" t="s">
        <v>91</v>
      </c>
      <c r="B2176" s="291" t="s">
        <v>13663</v>
      </c>
      <c r="C2176" s="292" t="s">
        <v>48</v>
      </c>
      <c r="D2176" s="293">
        <f t="shared" si="2"/>
        <v>1</v>
      </c>
      <c r="E2176" s="294"/>
      <c r="F2176" s="295" t="str">
        <f>IFERROR(__xludf.DUMMYFUNCTION("IF(B2176="""","""",IFERROR(VLOOKUP(TO_TEXT(B2176),PEDIDOS!D:I,6,0),IFERROR(VLOOKUP(B2176*1,PEDIDOS!D:I,6,0),"" "")))"),"ENTREGUE")</f>
        <v>ENTREGUE</v>
      </c>
      <c r="G2176" s="303"/>
      <c r="H2176" s="304"/>
    </row>
    <row r="2177">
      <c r="A2177" s="302" t="s">
        <v>91</v>
      </c>
      <c r="B2177" s="291" t="s">
        <v>12489</v>
      </c>
      <c r="C2177" s="292" t="s">
        <v>48</v>
      </c>
      <c r="D2177" s="293">
        <f t="shared" si="2"/>
        <v>1</v>
      </c>
      <c r="E2177" s="294"/>
      <c r="F2177" s="295" t="str">
        <f>IFERROR(__xludf.DUMMYFUNCTION("IF(B2177="""","""",IFERROR(VLOOKUP(TO_TEXT(B2177),PEDIDOS!D:I,6,0),IFERROR(VLOOKUP(B2177*1,PEDIDOS!D:I,6,0),"" "")))"),"ENTREGUE")</f>
        <v>ENTREGUE</v>
      </c>
      <c r="G2177" s="303"/>
      <c r="H2177" s="304"/>
    </row>
    <row r="2178">
      <c r="A2178" s="302" t="s">
        <v>91</v>
      </c>
      <c r="B2178" s="291" t="s">
        <v>13708</v>
      </c>
      <c r="C2178" s="292" t="s">
        <v>48</v>
      </c>
      <c r="D2178" s="293">
        <f t="shared" si="2"/>
        <v>1</v>
      </c>
      <c r="E2178" s="294"/>
      <c r="F2178" s="295" t="str">
        <f>IFERROR(__xludf.DUMMYFUNCTION("IF(B2178="""","""",IFERROR(VLOOKUP(TO_TEXT(B2178),PEDIDOS!D:I,6,0),IFERROR(VLOOKUP(B2178*1,PEDIDOS!D:I,6,0),"" "")))"),"ENTREGUE")</f>
        <v>ENTREGUE</v>
      </c>
      <c r="G2178" s="303"/>
      <c r="H2178" s="304"/>
    </row>
    <row r="2179">
      <c r="A2179" s="302" t="s">
        <v>112</v>
      </c>
      <c r="B2179" s="291" t="s">
        <v>12012</v>
      </c>
      <c r="C2179" s="292" t="s">
        <v>48</v>
      </c>
      <c r="D2179" s="293">
        <f t="shared" si="2"/>
        <v>1</v>
      </c>
      <c r="E2179" s="294"/>
      <c r="F2179" s="295" t="str">
        <f>IFERROR(__xludf.DUMMYFUNCTION("IF(B2179="""","""",IFERROR(VLOOKUP(TO_TEXT(B2179),PEDIDOS!D:I,6,0),IFERROR(VLOOKUP(B2179*1,PEDIDOS!D:I,6,0),"" "")))"),"ENTREGUE")</f>
        <v>ENTREGUE</v>
      </c>
      <c r="G2179" s="303"/>
      <c r="H2179" s="304"/>
    </row>
    <row r="2180">
      <c r="A2180" s="302" t="s">
        <v>112</v>
      </c>
      <c r="B2180" s="291" t="s">
        <v>12050</v>
      </c>
      <c r="C2180" s="292" t="s">
        <v>48</v>
      </c>
      <c r="D2180" s="293">
        <f t="shared" si="2"/>
        <v>1</v>
      </c>
      <c r="E2180" s="294"/>
      <c r="F2180" s="295" t="str">
        <f>IFERROR(__xludf.DUMMYFUNCTION("IF(B2180="""","""",IFERROR(VLOOKUP(TO_TEXT(B2180),PEDIDOS!D:I,6,0),IFERROR(VLOOKUP(B2180*1,PEDIDOS!D:I,6,0),"" "")))"),"ENTREGUE")</f>
        <v>ENTREGUE</v>
      </c>
      <c r="G2180" s="303"/>
      <c r="H2180" s="304"/>
    </row>
    <row r="2181">
      <c r="A2181" s="302" t="s">
        <v>112</v>
      </c>
      <c r="B2181" s="291" t="s">
        <v>12054</v>
      </c>
      <c r="C2181" s="292" t="s">
        <v>48</v>
      </c>
      <c r="D2181" s="293">
        <f t="shared" si="2"/>
        <v>1</v>
      </c>
      <c r="E2181" s="294"/>
      <c r="F2181" s="295" t="str">
        <f>IFERROR(__xludf.DUMMYFUNCTION("IF(B2181="""","""",IFERROR(VLOOKUP(TO_TEXT(B2181),PEDIDOS!D:I,6,0),IFERROR(VLOOKUP(B2181*1,PEDIDOS!D:I,6,0),"" "")))"),"ENTREGUE")</f>
        <v>ENTREGUE</v>
      </c>
      <c r="G2181" s="303"/>
      <c r="H2181" s="304"/>
    </row>
    <row r="2182">
      <c r="A2182" s="302" t="s">
        <v>112</v>
      </c>
      <c r="B2182" s="291" t="s">
        <v>12277</v>
      </c>
      <c r="C2182" s="292" t="s">
        <v>48</v>
      </c>
      <c r="D2182" s="293">
        <f t="shared" si="2"/>
        <v>1</v>
      </c>
      <c r="E2182" s="294"/>
      <c r="F2182" s="295" t="str">
        <f>IFERROR(__xludf.DUMMYFUNCTION("IF(B2182="""","""",IFERROR(VLOOKUP(TO_TEXT(B2182),PEDIDOS!D:I,6,0),IFERROR(VLOOKUP(B2182*1,PEDIDOS!D:I,6,0),"" "")))"),"ENTREGUE")</f>
        <v>ENTREGUE</v>
      </c>
      <c r="G2182" s="303"/>
      <c r="H2182" s="304"/>
    </row>
    <row r="2183">
      <c r="A2183" s="302" t="s">
        <v>112</v>
      </c>
      <c r="B2183" s="291" t="s">
        <v>12260</v>
      </c>
      <c r="C2183" s="292" t="s">
        <v>48</v>
      </c>
      <c r="D2183" s="293">
        <f t="shared" si="2"/>
        <v>1</v>
      </c>
      <c r="E2183" s="294"/>
      <c r="F2183" s="295" t="str">
        <f>IFERROR(__xludf.DUMMYFUNCTION("IF(B2183="""","""",IFERROR(VLOOKUP(TO_TEXT(B2183),PEDIDOS!D:I,6,0),IFERROR(VLOOKUP(B2183*1,PEDIDOS!D:I,6,0),"" "")))"),"ENTREGUE")</f>
        <v>ENTREGUE</v>
      </c>
      <c r="G2183" s="303"/>
      <c r="H2183" s="304"/>
    </row>
    <row r="2184">
      <c r="A2184" s="302" t="s">
        <v>112</v>
      </c>
      <c r="B2184" s="291" t="s">
        <v>12392</v>
      </c>
      <c r="C2184" s="292" t="s">
        <v>48</v>
      </c>
      <c r="D2184" s="293">
        <f t="shared" si="2"/>
        <v>1</v>
      </c>
      <c r="E2184" s="294"/>
      <c r="F2184" s="295" t="str">
        <f>IFERROR(__xludf.DUMMYFUNCTION("IF(B2184="""","""",IFERROR(VLOOKUP(TO_TEXT(B2184),PEDIDOS!D:I,6,0),IFERROR(VLOOKUP(B2184*1,PEDIDOS!D:I,6,0),"" "")))"),"ENTREGUE")</f>
        <v>ENTREGUE</v>
      </c>
      <c r="G2184" s="303"/>
      <c r="H2184" s="304"/>
    </row>
    <row r="2185">
      <c r="A2185" s="302" t="s">
        <v>112</v>
      </c>
      <c r="B2185" s="291" t="s">
        <v>12478</v>
      </c>
      <c r="C2185" s="292" t="s">
        <v>48</v>
      </c>
      <c r="D2185" s="293">
        <f t="shared" si="2"/>
        <v>1</v>
      </c>
      <c r="E2185" s="294"/>
      <c r="F2185" s="295" t="str">
        <f>IFERROR(__xludf.DUMMYFUNCTION("IF(B2185="""","""",IFERROR(VLOOKUP(TO_TEXT(B2185),PEDIDOS!D:I,6,0),IFERROR(VLOOKUP(B2185*1,PEDIDOS!D:I,6,0),"" "")))"),"ENTREGUE")</f>
        <v>ENTREGUE</v>
      </c>
      <c r="G2185" s="303"/>
      <c r="H2185" s="304"/>
    </row>
    <row r="2186">
      <c r="A2186" s="302" t="s">
        <v>112</v>
      </c>
      <c r="B2186" s="291" t="s">
        <v>11915</v>
      </c>
      <c r="C2186" s="292" t="s">
        <v>48</v>
      </c>
      <c r="D2186" s="293">
        <f t="shared" si="2"/>
        <v>1</v>
      </c>
      <c r="E2186" s="294"/>
      <c r="F2186" s="295" t="str">
        <f>IFERROR(__xludf.DUMMYFUNCTION("IF(B2186="""","""",IFERROR(VLOOKUP(TO_TEXT(B2186),PEDIDOS!D:I,6,0),IFERROR(VLOOKUP(B2186*1,PEDIDOS!D:I,6,0),"" "")))"),"ENTREGUE")</f>
        <v>ENTREGUE</v>
      </c>
      <c r="G2186" s="303"/>
      <c r="H2186" s="304"/>
    </row>
    <row r="2187">
      <c r="A2187" s="302" t="s">
        <v>112</v>
      </c>
      <c r="B2187" s="291" t="s">
        <v>12016</v>
      </c>
      <c r="C2187" s="292" t="s">
        <v>48</v>
      </c>
      <c r="D2187" s="293">
        <f t="shared" si="2"/>
        <v>1</v>
      </c>
      <c r="E2187" s="294"/>
      <c r="F2187" s="295" t="str">
        <f>IFERROR(__xludf.DUMMYFUNCTION("IF(B2187="""","""",IFERROR(VLOOKUP(TO_TEXT(B2187),PEDIDOS!D:I,6,0),IFERROR(VLOOKUP(B2187*1,PEDIDOS!D:I,6,0),"" "")))"),"ENTREGUE")</f>
        <v>ENTREGUE</v>
      </c>
      <c r="G2187" s="303"/>
      <c r="H2187" s="304"/>
    </row>
    <row r="2188">
      <c r="A2188" s="302" t="s">
        <v>112</v>
      </c>
      <c r="B2188" s="291" t="s">
        <v>12032</v>
      </c>
      <c r="C2188" s="292" t="s">
        <v>48</v>
      </c>
      <c r="D2188" s="293">
        <f t="shared" si="2"/>
        <v>1</v>
      </c>
      <c r="E2188" s="294"/>
      <c r="F2188" s="295" t="str">
        <f>IFERROR(__xludf.DUMMYFUNCTION("IF(B2188="""","""",IFERROR(VLOOKUP(TO_TEXT(B2188),PEDIDOS!D:I,6,0),IFERROR(VLOOKUP(B2188*1,PEDIDOS!D:I,6,0),"" "")))"),"ENTREGUE")</f>
        <v>ENTREGUE</v>
      </c>
      <c r="G2188" s="303"/>
      <c r="H2188" s="304"/>
    </row>
    <row r="2189">
      <c r="A2189" s="302" t="s">
        <v>112</v>
      </c>
      <c r="B2189" s="291" t="s">
        <v>12134</v>
      </c>
      <c r="C2189" s="292" t="s">
        <v>48</v>
      </c>
      <c r="D2189" s="293">
        <f t="shared" si="2"/>
        <v>1</v>
      </c>
      <c r="E2189" s="294"/>
      <c r="F2189" s="295" t="str">
        <f>IFERROR(__xludf.DUMMYFUNCTION("IF(B2189="""","""",IFERROR(VLOOKUP(TO_TEXT(B2189),PEDIDOS!D:I,6,0),IFERROR(VLOOKUP(B2189*1,PEDIDOS!D:I,6,0),"" "")))"),"ENTREGUE")</f>
        <v>ENTREGUE</v>
      </c>
      <c r="G2189" s="303"/>
      <c r="H2189" s="304"/>
    </row>
    <row r="2190">
      <c r="A2190" s="302" t="s">
        <v>112</v>
      </c>
      <c r="B2190" s="291" t="s">
        <v>12544</v>
      </c>
      <c r="C2190" s="292" t="s">
        <v>48</v>
      </c>
      <c r="D2190" s="293">
        <f t="shared" si="2"/>
        <v>1</v>
      </c>
      <c r="E2190" s="294"/>
      <c r="F2190" s="295" t="str">
        <f>IFERROR(__xludf.DUMMYFUNCTION("IF(B2190="""","""",IFERROR(VLOOKUP(TO_TEXT(B2190),PEDIDOS!D:I,6,0),IFERROR(VLOOKUP(B2190*1,PEDIDOS!D:I,6,0),"" "")))"),"ENTREGUE")</f>
        <v>ENTREGUE</v>
      </c>
      <c r="G2190" s="303"/>
      <c r="H2190" s="304"/>
    </row>
    <row r="2191">
      <c r="A2191" s="302" t="s">
        <v>112</v>
      </c>
      <c r="B2191" s="291" t="s">
        <v>12273</v>
      </c>
      <c r="C2191" s="292" t="s">
        <v>48</v>
      </c>
      <c r="D2191" s="293">
        <f t="shared" si="2"/>
        <v>1</v>
      </c>
      <c r="E2191" s="294"/>
      <c r="F2191" s="295" t="str">
        <f>IFERROR(__xludf.DUMMYFUNCTION("IF(B2191="""","""",IFERROR(VLOOKUP(TO_TEXT(B2191),PEDIDOS!D:I,6,0),IFERROR(VLOOKUP(B2191*1,PEDIDOS!D:I,6,0),"" "")))"),"ENTREGUE")</f>
        <v>ENTREGUE</v>
      </c>
      <c r="G2191" s="303"/>
      <c r="H2191" s="304"/>
    </row>
    <row r="2192">
      <c r="A2192" s="302" t="s">
        <v>112</v>
      </c>
      <c r="B2192" s="291" t="s">
        <v>12223</v>
      </c>
      <c r="C2192" s="292" t="s">
        <v>48</v>
      </c>
      <c r="D2192" s="293">
        <f t="shared" si="2"/>
        <v>1</v>
      </c>
      <c r="E2192" s="294"/>
      <c r="F2192" s="295" t="str">
        <f>IFERROR(__xludf.DUMMYFUNCTION("IF(B2192="""","""",IFERROR(VLOOKUP(TO_TEXT(B2192),PEDIDOS!D:I,6,0),IFERROR(VLOOKUP(B2192*1,PEDIDOS!D:I,6,0),"" "")))"),"ENTREGUE")</f>
        <v>ENTREGUE</v>
      </c>
      <c r="G2192" s="303"/>
      <c r="H2192" s="304"/>
    </row>
    <row r="2193">
      <c r="A2193" s="302" t="s">
        <v>112</v>
      </c>
      <c r="B2193" s="291" t="s">
        <v>12326</v>
      </c>
      <c r="C2193" s="292" t="s">
        <v>48</v>
      </c>
      <c r="D2193" s="293">
        <f t="shared" si="2"/>
        <v>1</v>
      </c>
      <c r="E2193" s="294"/>
      <c r="F2193" s="295" t="str">
        <f>IFERROR(__xludf.DUMMYFUNCTION("IF(B2193="""","""",IFERROR(VLOOKUP(TO_TEXT(B2193),PEDIDOS!D:I,6,0),IFERROR(VLOOKUP(B2193*1,PEDIDOS!D:I,6,0),"" "")))"),"ENTREGUE")</f>
        <v>ENTREGUE</v>
      </c>
      <c r="G2193" s="303"/>
      <c r="H2193" s="304"/>
    </row>
    <row r="2194">
      <c r="A2194" s="302" t="s">
        <v>112</v>
      </c>
      <c r="B2194" s="291" t="s">
        <v>12943</v>
      </c>
      <c r="C2194" s="292" t="s">
        <v>48</v>
      </c>
      <c r="D2194" s="293">
        <f t="shared" si="2"/>
        <v>1</v>
      </c>
      <c r="E2194" s="294"/>
      <c r="F2194" s="295" t="str">
        <f>IFERROR(__xludf.DUMMYFUNCTION("IF(B2194="""","""",IFERROR(VLOOKUP(TO_TEXT(B2194),PEDIDOS!D:I,6,0),IFERROR(VLOOKUP(B2194*1,PEDIDOS!D:I,6,0),"" "")))"),"ENTREGUE")</f>
        <v>ENTREGUE</v>
      </c>
      <c r="G2194" s="303"/>
      <c r="H2194" s="304"/>
    </row>
    <row r="2195">
      <c r="A2195" s="302" t="s">
        <v>112</v>
      </c>
      <c r="B2195" s="291" t="s">
        <v>13001</v>
      </c>
      <c r="C2195" s="292" t="s">
        <v>48</v>
      </c>
      <c r="D2195" s="293">
        <f t="shared" si="2"/>
        <v>1</v>
      </c>
      <c r="E2195" s="294"/>
      <c r="F2195" s="295" t="str">
        <f>IFERROR(__xludf.DUMMYFUNCTION("IF(B2195="""","""",IFERROR(VLOOKUP(TO_TEXT(B2195),PEDIDOS!D:I,6,0),IFERROR(VLOOKUP(B2195*1,PEDIDOS!D:I,6,0),"" "")))"),"ENTREGUE")</f>
        <v>ENTREGUE</v>
      </c>
      <c r="G2195" s="303"/>
      <c r="H2195" s="304"/>
    </row>
    <row r="2196">
      <c r="A2196" s="302" t="s">
        <v>112</v>
      </c>
      <c r="B2196" s="291" t="s">
        <v>12330</v>
      </c>
      <c r="C2196" s="292" t="s">
        <v>48</v>
      </c>
      <c r="D2196" s="293">
        <f t="shared" si="2"/>
        <v>1</v>
      </c>
      <c r="E2196" s="294"/>
      <c r="F2196" s="295" t="str">
        <f>IFERROR(__xludf.DUMMYFUNCTION("IF(B2196="""","""",IFERROR(VLOOKUP(TO_TEXT(B2196),PEDIDOS!D:I,6,0),IFERROR(VLOOKUP(B2196*1,PEDIDOS!D:I,6,0),"" "")))"),"ENTREGUE")</f>
        <v>ENTREGUE</v>
      </c>
      <c r="G2196" s="303"/>
      <c r="H2196" s="304"/>
    </row>
    <row r="2197">
      <c r="A2197" s="302" t="s">
        <v>112</v>
      </c>
      <c r="B2197" s="291" t="s">
        <v>12333</v>
      </c>
      <c r="C2197" s="292" t="s">
        <v>48</v>
      </c>
      <c r="D2197" s="293">
        <f t="shared" si="2"/>
        <v>1</v>
      </c>
      <c r="E2197" s="294"/>
      <c r="F2197" s="295" t="str">
        <f>IFERROR(__xludf.DUMMYFUNCTION("IF(B2197="""","""",IFERROR(VLOOKUP(TO_TEXT(B2197),PEDIDOS!D:I,6,0),IFERROR(VLOOKUP(B2197*1,PEDIDOS!D:I,6,0),"" "")))"),"ENTREGUE")</f>
        <v>ENTREGUE</v>
      </c>
      <c r="G2197" s="303"/>
      <c r="H2197" s="304"/>
    </row>
    <row r="2198">
      <c r="A2198" s="302" t="s">
        <v>112</v>
      </c>
      <c r="B2198" s="291" t="s">
        <v>14060</v>
      </c>
      <c r="C2198" s="292" t="s">
        <v>48</v>
      </c>
      <c r="D2198" s="293">
        <f t="shared" si="2"/>
        <v>1</v>
      </c>
      <c r="E2198" s="294"/>
      <c r="F2198" s="295" t="str">
        <f>IFERROR(__xludf.DUMMYFUNCTION("IF(B2198="""","""",IFERROR(VLOOKUP(TO_TEXT(B2198),PEDIDOS!D:I,6,0),IFERROR(VLOOKUP(B2198*1,PEDIDOS!D:I,6,0),"" "")))"),"ENTREGUE")</f>
        <v>ENTREGUE</v>
      </c>
      <c r="G2198" s="303"/>
      <c r="H2198" s="304"/>
    </row>
    <row r="2199">
      <c r="A2199" s="302" t="s">
        <v>6133</v>
      </c>
      <c r="B2199" s="291" t="s">
        <v>23391</v>
      </c>
      <c r="C2199" s="292" t="s">
        <v>48</v>
      </c>
      <c r="D2199" s="293">
        <f t="shared" si="2"/>
        <v>0</v>
      </c>
      <c r="E2199" s="294"/>
      <c r="F2199" s="295" t="str">
        <f>IFERROR(__xludf.DUMMYFUNCTION("IF(B2199="""","""",IFERROR(VLOOKUP(TO_TEXT(B2199),PEDIDOS!D:I,6,0),IFERROR(VLOOKUP(B2199*1,PEDIDOS!D:I,6,0),"" "")))")," ")</f>
        <v> </v>
      </c>
      <c r="G2199" s="303"/>
      <c r="H2199" s="304"/>
    </row>
    <row r="2200">
      <c r="A2200" s="302" t="s">
        <v>6133</v>
      </c>
      <c r="B2200" s="291" t="s">
        <v>23392</v>
      </c>
      <c r="C2200" s="292" t="s">
        <v>48</v>
      </c>
      <c r="D2200" s="293">
        <f t="shared" si="2"/>
        <v>0</v>
      </c>
      <c r="E2200" s="294"/>
      <c r="F2200" s="295" t="str">
        <f>IFERROR(__xludf.DUMMYFUNCTION("IF(B2200="""","""",IFERROR(VLOOKUP(TO_TEXT(B2200),PEDIDOS!D:I,6,0),IFERROR(VLOOKUP(B2200*1,PEDIDOS!D:I,6,0),"" "")))")," ")</f>
        <v> </v>
      </c>
      <c r="G2200" s="303"/>
      <c r="H2200" s="304"/>
    </row>
    <row r="2201">
      <c r="A2201" s="302" t="s">
        <v>6133</v>
      </c>
      <c r="B2201" s="291" t="s">
        <v>23393</v>
      </c>
      <c r="C2201" s="292" t="s">
        <v>48</v>
      </c>
      <c r="D2201" s="293">
        <f t="shared" si="2"/>
        <v>0</v>
      </c>
      <c r="E2201" s="294"/>
      <c r="F2201" s="295" t="str">
        <f>IFERROR(__xludf.DUMMYFUNCTION("IF(B2201="""","""",IFERROR(VLOOKUP(TO_TEXT(B2201),PEDIDOS!D:I,6,0),IFERROR(VLOOKUP(B2201*1,PEDIDOS!D:I,6,0),"" "")))")," ")</f>
        <v> </v>
      </c>
      <c r="G2201" s="303"/>
      <c r="H2201" s="304"/>
    </row>
    <row r="2202">
      <c r="A2202" s="302" t="s">
        <v>6133</v>
      </c>
      <c r="B2202" s="291" t="s">
        <v>23394</v>
      </c>
      <c r="C2202" s="292" t="s">
        <v>48</v>
      </c>
      <c r="D2202" s="293">
        <f t="shared" si="2"/>
        <v>0</v>
      </c>
      <c r="E2202" s="294"/>
      <c r="F2202" s="295" t="str">
        <f>IFERROR(__xludf.DUMMYFUNCTION("IF(B2202="""","""",IFERROR(VLOOKUP(TO_TEXT(B2202),PEDIDOS!D:I,6,0),IFERROR(VLOOKUP(B2202*1,PEDIDOS!D:I,6,0),"" "")))")," ")</f>
        <v> </v>
      </c>
      <c r="G2202" s="303"/>
      <c r="H2202" s="304"/>
    </row>
    <row r="2203">
      <c r="A2203" s="302" t="s">
        <v>6133</v>
      </c>
      <c r="B2203" s="291" t="s">
        <v>23395</v>
      </c>
      <c r="C2203" s="292" t="s">
        <v>48</v>
      </c>
      <c r="D2203" s="293">
        <f t="shared" si="2"/>
        <v>0</v>
      </c>
      <c r="E2203" s="294"/>
      <c r="F2203" s="295" t="str">
        <f>IFERROR(__xludf.DUMMYFUNCTION("IF(B2203="""","""",IFERROR(VLOOKUP(TO_TEXT(B2203),PEDIDOS!D:I,6,0),IFERROR(VLOOKUP(B2203*1,PEDIDOS!D:I,6,0),"" "")))")," ")</f>
        <v> </v>
      </c>
      <c r="G2203" s="303"/>
      <c r="H2203" s="304"/>
    </row>
    <row r="2204">
      <c r="A2204" s="302" t="s">
        <v>6133</v>
      </c>
      <c r="B2204" s="291" t="s">
        <v>23396</v>
      </c>
      <c r="C2204" s="292" t="s">
        <v>48</v>
      </c>
      <c r="D2204" s="293">
        <f t="shared" si="2"/>
        <v>0</v>
      </c>
      <c r="E2204" s="294"/>
      <c r="F2204" s="295" t="str">
        <f>IFERROR(__xludf.DUMMYFUNCTION("IF(B2204="""","""",IFERROR(VLOOKUP(TO_TEXT(B2204),PEDIDOS!D:I,6,0),IFERROR(VLOOKUP(B2204*1,PEDIDOS!D:I,6,0),"" "")))")," ")</f>
        <v> </v>
      </c>
      <c r="G2204" s="303"/>
      <c r="H2204" s="304"/>
    </row>
    <row r="2205">
      <c r="A2205" s="302" t="s">
        <v>6133</v>
      </c>
      <c r="B2205" s="291" t="s">
        <v>23397</v>
      </c>
      <c r="C2205" s="292" t="s">
        <v>48</v>
      </c>
      <c r="D2205" s="293">
        <f t="shared" si="2"/>
        <v>0</v>
      </c>
      <c r="E2205" s="294"/>
      <c r="F2205" s="295" t="str">
        <f>IFERROR(__xludf.DUMMYFUNCTION("IF(B2205="""","""",IFERROR(VLOOKUP(TO_TEXT(B2205),PEDIDOS!D:I,6,0),IFERROR(VLOOKUP(B2205*1,PEDIDOS!D:I,6,0),"" "")))")," ")</f>
        <v> </v>
      </c>
      <c r="G2205" s="303"/>
      <c r="H2205" s="304"/>
    </row>
    <row r="2206">
      <c r="A2206" s="302" t="s">
        <v>6133</v>
      </c>
      <c r="B2206" s="291" t="s">
        <v>23398</v>
      </c>
      <c r="C2206" s="292" t="s">
        <v>48</v>
      </c>
      <c r="D2206" s="293">
        <f t="shared" si="2"/>
        <v>0</v>
      </c>
      <c r="E2206" s="294"/>
      <c r="F2206" s="295" t="str">
        <f>IFERROR(__xludf.DUMMYFUNCTION("IF(B2206="""","""",IFERROR(VLOOKUP(TO_TEXT(B2206),PEDIDOS!D:I,6,0),IFERROR(VLOOKUP(B2206*1,PEDIDOS!D:I,6,0),"" "")))")," ")</f>
        <v> </v>
      </c>
      <c r="G2206" s="303"/>
      <c r="H2206" s="304"/>
    </row>
    <row r="2207">
      <c r="A2207" s="302" t="s">
        <v>6133</v>
      </c>
      <c r="B2207" s="291" t="s">
        <v>23399</v>
      </c>
      <c r="C2207" s="292" t="s">
        <v>48</v>
      </c>
      <c r="D2207" s="293">
        <f t="shared" si="2"/>
        <v>0</v>
      </c>
      <c r="E2207" s="294"/>
      <c r="F2207" s="295" t="str">
        <f>IFERROR(__xludf.DUMMYFUNCTION("IF(B2207="""","""",IFERROR(VLOOKUP(TO_TEXT(B2207),PEDIDOS!D:I,6,0),IFERROR(VLOOKUP(B2207*1,PEDIDOS!D:I,6,0),"" "")))")," ")</f>
        <v> </v>
      </c>
      <c r="G2207" s="303"/>
      <c r="H2207" s="304"/>
    </row>
    <row r="2208">
      <c r="A2208" s="302" t="s">
        <v>6133</v>
      </c>
      <c r="B2208" s="291" t="s">
        <v>23400</v>
      </c>
      <c r="C2208" s="292" t="s">
        <v>48</v>
      </c>
      <c r="D2208" s="293">
        <f t="shared" si="2"/>
        <v>0</v>
      </c>
      <c r="E2208" s="294"/>
      <c r="F2208" s="295" t="str">
        <f>IFERROR(__xludf.DUMMYFUNCTION("IF(B2208="""","""",IFERROR(VLOOKUP(TO_TEXT(B2208),PEDIDOS!D:I,6,0),IFERROR(VLOOKUP(B2208*1,PEDIDOS!D:I,6,0),"" "")))")," ")</f>
        <v> </v>
      </c>
      <c r="G2208" s="303"/>
      <c r="H2208" s="304"/>
    </row>
    <row r="2209">
      <c r="A2209" s="302" t="s">
        <v>6133</v>
      </c>
      <c r="B2209" s="291" t="s">
        <v>23401</v>
      </c>
      <c r="C2209" s="292" t="s">
        <v>48</v>
      </c>
      <c r="D2209" s="293">
        <f t="shared" si="2"/>
        <v>0</v>
      </c>
      <c r="E2209" s="294"/>
      <c r="F2209" s="295" t="str">
        <f>IFERROR(__xludf.DUMMYFUNCTION("IF(B2209="""","""",IFERROR(VLOOKUP(TO_TEXT(B2209),PEDIDOS!D:I,6,0),IFERROR(VLOOKUP(B2209*1,PEDIDOS!D:I,6,0),"" "")))")," ")</f>
        <v> </v>
      </c>
      <c r="G2209" s="303"/>
      <c r="H2209" s="304"/>
    </row>
    <row r="2210">
      <c r="A2210" s="302" t="s">
        <v>6133</v>
      </c>
      <c r="B2210" s="291" t="s">
        <v>23402</v>
      </c>
      <c r="C2210" s="292" t="s">
        <v>48</v>
      </c>
      <c r="D2210" s="293">
        <f t="shared" si="2"/>
        <v>0</v>
      </c>
      <c r="E2210" s="294"/>
      <c r="F2210" s="295" t="str">
        <f>IFERROR(__xludf.DUMMYFUNCTION("IF(B2210="""","""",IFERROR(VLOOKUP(TO_TEXT(B2210),PEDIDOS!D:I,6,0),IFERROR(VLOOKUP(B2210*1,PEDIDOS!D:I,6,0),"" "")))")," ")</f>
        <v> </v>
      </c>
      <c r="G2210" s="303"/>
      <c r="H2210" s="304"/>
    </row>
    <row r="2211">
      <c r="A2211" s="302" t="s">
        <v>6133</v>
      </c>
      <c r="B2211" s="291" t="s">
        <v>23403</v>
      </c>
      <c r="C2211" s="292" t="s">
        <v>48</v>
      </c>
      <c r="D2211" s="293">
        <f t="shared" si="2"/>
        <v>0</v>
      </c>
      <c r="E2211" s="294"/>
      <c r="F2211" s="295" t="str">
        <f>IFERROR(__xludf.DUMMYFUNCTION("IF(B2211="""","""",IFERROR(VLOOKUP(TO_TEXT(B2211),PEDIDOS!D:I,6,0),IFERROR(VLOOKUP(B2211*1,PEDIDOS!D:I,6,0),"" "")))")," ")</f>
        <v> </v>
      </c>
      <c r="G2211" s="303"/>
      <c r="H2211" s="304"/>
    </row>
    <row r="2212">
      <c r="A2212" s="302" t="s">
        <v>6133</v>
      </c>
      <c r="B2212" s="291" t="s">
        <v>23404</v>
      </c>
      <c r="C2212" s="292" t="s">
        <v>48</v>
      </c>
      <c r="D2212" s="293">
        <f t="shared" si="2"/>
        <v>0</v>
      </c>
      <c r="E2212" s="294"/>
      <c r="F2212" s="295" t="str">
        <f>IFERROR(__xludf.DUMMYFUNCTION("IF(B2212="""","""",IFERROR(VLOOKUP(TO_TEXT(B2212),PEDIDOS!D:I,6,0),IFERROR(VLOOKUP(B2212*1,PEDIDOS!D:I,6,0),"" "")))")," ")</f>
        <v> </v>
      </c>
      <c r="G2212" s="303"/>
      <c r="H2212" s="304"/>
    </row>
    <row r="2213">
      <c r="A2213" s="302" t="s">
        <v>6133</v>
      </c>
      <c r="B2213" s="291" t="s">
        <v>23405</v>
      </c>
      <c r="C2213" s="292" t="s">
        <v>48</v>
      </c>
      <c r="D2213" s="293">
        <f t="shared" si="2"/>
        <v>0</v>
      </c>
      <c r="E2213" s="294"/>
      <c r="F2213" s="295" t="str">
        <f>IFERROR(__xludf.DUMMYFUNCTION("IF(B2213="""","""",IFERROR(VLOOKUP(TO_TEXT(B2213),PEDIDOS!D:I,6,0),IFERROR(VLOOKUP(B2213*1,PEDIDOS!D:I,6,0),"" "")))")," ")</f>
        <v> </v>
      </c>
      <c r="G2213" s="303"/>
      <c r="H2213" s="304"/>
    </row>
    <row r="2214">
      <c r="A2214" s="302" t="s">
        <v>6133</v>
      </c>
      <c r="B2214" s="291" t="s">
        <v>23406</v>
      </c>
      <c r="C2214" s="292" t="s">
        <v>48</v>
      </c>
      <c r="D2214" s="293">
        <f t="shared" si="2"/>
        <v>0</v>
      </c>
      <c r="E2214" s="294"/>
      <c r="F2214" s="295" t="str">
        <f>IFERROR(__xludf.DUMMYFUNCTION("IF(B2214="""","""",IFERROR(VLOOKUP(TO_TEXT(B2214),PEDIDOS!D:I,6,0),IFERROR(VLOOKUP(B2214*1,PEDIDOS!D:I,6,0),"" "")))")," ")</f>
        <v> </v>
      </c>
      <c r="G2214" s="303"/>
      <c r="H2214" s="304"/>
    </row>
    <row r="2215">
      <c r="A2215" s="302" t="s">
        <v>6133</v>
      </c>
      <c r="B2215" s="291" t="s">
        <v>23407</v>
      </c>
      <c r="C2215" s="292" t="s">
        <v>48</v>
      </c>
      <c r="D2215" s="293">
        <f t="shared" si="2"/>
        <v>0</v>
      </c>
      <c r="E2215" s="294"/>
      <c r="F2215" s="295" t="str">
        <f>IFERROR(__xludf.DUMMYFUNCTION("IF(B2215="""","""",IFERROR(VLOOKUP(TO_TEXT(B2215),PEDIDOS!D:I,6,0),IFERROR(VLOOKUP(B2215*1,PEDIDOS!D:I,6,0),"" "")))")," ")</f>
        <v> </v>
      </c>
      <c r="G2215" s="303"/>
      <c r="H2215" s="304"/>
    </row>
    <row r="2216">
      <c r="A2216" s="302" t="s">
        <v>6133</v>
      </c>
      <c r="B2216" s="291" t="s">
        <v>23408</v>
      </c>
      <c r="C2216" s="292" t="s">
        <v>48</v>
      </c>
      <c r="D2216" s="293">
        <f t="shared" si="2"/>
        <v>0</v>
      </c>
      <c r="E2216" s="294"/>
      <c r="F2216" s="295" t="str">
        <f>IFERROR(__xludf.DUMMYFUNCTION("IF(B2216="""","""",IFERROR(VLOOKUP(TO_TEXT(B2216),PEDIDOS!D:I,6,0),IFERROR(VLOOKUP(B2216*1,PEDIDOS!D:I,6,0),"" "")))")," ")</f>
        <v> </v>
      </c>
      <c r="G2216" s="303"/>
      <c r="H2216" s="304"/>
    </row>
    <row r="2217">
      <c r="A2217" s="302" t="s">
        <v>6133</v>
      </c>
      <c r="B2217" s="291" t="s">
        <v>23409</v>
      </c>
      <c r="C2217" s="292" t="s">
        <v>48</v>
      </c>
      <c r="D2217" s="293">
        <f t="shared" si="2"/>
        <v>0</v>
      </c>
      <c r="E2217" s="294"/>
      <c r="F2217" s="295" t="str">
        <f>IFERROR(__xludf.DUMMYFUNCTION("IF(B2217="""","""",IFERROR(VLOOKUP(TO_TEXT(B2217),PEDIDOS!D:I,6,0),IFERROR(VLOOKUP(B2217*1,PEDIDOS!D:I,6,0),"" "")))")," ")</f>
        <v> </v>
      </c>
      <c r="G2217" s="303"/>
      <c r="H2217" s="304"/>
    </row>
    <row r="2218">
      <c r="A2218" s="302" t="s">
        <v>6133</v>
      </c>
      <c r="B2218" s="291" t="s">
        <v>23410</v>
      </c>
      <c r="C2218" s="292" t="s">
        <v>48</v>
      </c>
      <c r="D2218" s="293">
        <f t="shared" si="2"/>
        <v>0</v>
      </c>
      <c r="E2218" s="294"/>
      <c r="F2218" s="295" t="str">
        <f>IFERROR(__xludf.DUMMYFUNCTION("IF(B2218="""","""",IFERROR(VLOOKUP(TO_TEXT(B2218),PEDIDOS!D:I,6,0),IFERROR(VLOOKUP(B2218*1,PEDIDOS!D:I,6,0),"" "")))")," ")</f>
        <v> </v>
      </c>
      <c r="G2218" s="303"/>
      <c r="H2218" s="304"/>
    </row>
    <row r="2219">
      <c r="A2219" s="302" t="s">
        <v>6133</v>
      </c>
      <c r="B2219" s="291" t="s">
        <v>23411</v>
      </c>
      <c r="C2219" s="292" t="s">
        <v>48</v>
      </c>
      <c r="D2219" s="293">
        <f t="shared" si="2"/>
        <v>0</v>
      </c>
      <c r="E2219" s="294"/>
      <c r="F2219" s="295" t="str">
        <f>IFERROR(__xludf.DUMMYFUNCTION("IF(B2219="""","""",IFERROR(VLOOKUP(TO_TEXT(B2219),PEDIDOS!D:I,6,0),IFERROR(VLOOKUP(B2219*1,PEDIDOS!D:I,6,0),"" "")))")," ")</f>
        <v> </v>
      </c>
      <c r="G2219" s="303"/>
      <c r="H2219" s="304"/>
    </row>
    <row r="2220">
      <c r="A2220" s="302" t="s">
        <v>6133</v>
      </c>
      <c r="B2220" s="291" t="s">
        <v>23412</v>
      </c>
      <c r="C2220" s="292" t="s">
        <v>48</v>
      </c>
      <c r="D2220" s="293">
        <f t="shared" si="2"/>
        <v>0</v>
      </c>
      <c r="E2220" s="294"/>
      <c r="F2220" s="295" t="str">
        <f>IFERROR(__xludf.DUMMYFUNCTION("IF(B2220="""","""",IFERROR(VLOOKUP(TO_TEXT(B2220),PEDIDOS!D:I,6,0),IFERROR(VLOOKUP(B2220*1,PEDIDOS!D:I,6,0),"" "")))")," ")</f>
        <v> </v>
      </c>
      <c r="G2220" s="303"/>
      <c r="H2220" s="304"/>
    </row>
    <row r="2221">
      <c r="A2221" s="302" t="s">
        <v>6133</v>
      </c>
      <c r="B2221" s="291" t="s">
        <v>23413</v>
      </c>
      <c r="C2221" s="292" t="s">
        <v>48</v>
      </c>
      <c r="D2221" s="293">
        <f t="shared" si="2"/>
        <v>0</v>
      </c>
      <c r="E2221" s="294"/>
      <c r="F2221" s="295" t="str">
        <f>IFERROR(__xludf.DUMMYFUNCTION("IF(B2221="""","""",IFERROR(VLOOKUP(TO_TEXT(B2221),PEDIDOS!D:I,6,0),IFERROR(VLOOKUP(B2221*1,PEDIDOS!D:I,6,0),"" "")))")," ")</f>
        <v> </v>
      </c>
      <c r="G2221" s="303"/>
      <c r="H2221" s="304"/>
    </row>
    <row r="2222">
      <c r="A2222" s="302" t="s">
        <v>6133</v>
      </c>
      <c r="B2222" s="291" t="s">
        <v>23414</v>
      </c>
      <c r="C2222" s="292" t="s">
        <v>48</v>
      </c>
      <c r="D2222" s="293">
        <f t="shared" si="2"/>
        <v>0</v>
      </c>
      <c r="E2222" s="294"/>
      <c r="F2222" s="295" t="str">
        <f>IFERROR(__xludf.DUMMYFUNCTION("IF(B2222="""","""",IFERROR(VLOOKUP(TO_TEXT(B2222),PEDIDOS!D:I,6,0),IFERROR(VLOOKUP(B2222*1,PEDIDOS!D:I,6,0),"" "")))")," ")</f>
        <v> </v>
      </c>
      <c r="G2222" s="303"/>
      <c r="H2222" s="304"/>
    </row>
    <row r="2223">
      <c r="A2223" s="302" t="s">
        <v>6133</v>
      </c>
      <c r="B2223" s="291" t="s">
        <v>23415</v>
      </c>
      <c r="C2223" s="292" t="s">
        <v>48</v>
      </c>
      <c r="D2223" s="293">
        <f t="shared" si="2"/>
        <v>0</v>
      </c>
      <c r="E2223" s="294"/>
      <c r="F2223" s="295" t="str">
        <f>IFERROR(__xludf.DUMMYFUNCTION("IF(B2223="""","""",IFERROR(VLOOKUP(TO_TEXT(B2223),PEDIDOS!D:I,6,0),IFERROR(VLOOKUP(B2223*1,PEDIDOS!D:I,6,0),"" "")))")," ")</f>
        <v> </v>
      </c>
      <c r="G2223" s="303"/>
      <c r="H2223" s="304"/>
    </row>
    <row r="2224">
      <c r="A2224" s="302" t="s">
        <v>6133</v>
      </c>
      <c r="B2224" s="291" t="s">
        <v>23416</v>
      </c>
      <c r="C2224" s="292" t="s">
        <v>48</v>
      </c>
      <c r="D2224" s="293">
        <f t="shared" si="2"/>
        <v>0</v>
      </c>
      <c r="E2224" s="294"/>
      <c r="F2224" s="295" t="str">
        <f>IFERROR(__xludf.DUMMYFUNCTION("IF(B2224="""","""",IFERROR(VLOOKUP(TO_TEXT(B2224),PEDIDOS!D:I,6,0),IFERROR(VLOOKUP(B2224*1,PEDIDOS!D:I,6,0),"" "")))")," ")</f>
        <v> </v>
      </c>
      <c r="G2224" s="303"/>
      <c r="H2224" s="304"/>
    </row>
    <row r="2225">
      <c r="A2225" s="302" t="s">
        <v>6133</v>
      </c>
      <c r="B2225" s="291" t="s">
        <v>23417</v>
      </c>
      <c r="C2225" s="292" t="s">
        <v>48</v>
      </c>
      <c r="D2225" s="293">
        <f t="shared" si="2"/>
        <v>0</v>
      </c>
      <c r="E2225" s="294"/>
      <c r="F2225" s="295" t="str">
        <f>IFERROR(__xludf.DUMMYFUNCTION("IF(B2225="""","""",IFERROR(VLOOKUP(TO_TEXT(B2225),PEDIDOS!D:I,6,0),IFERROR(VLOOKUP(B2225*1,PEDIDOS!D:I,6,0),"" "")))")," ")</f>
        <v> </v>
      </c>
      <c r="G2225" s="303"/>
      <c r="H2225" s="304"/>
    </row>
    <row r="2226">
      <c r="A2226" s="302" t="s">
        <v>6133</v>
      </c>
      <c r="B2226" s="291" t="s">
        <v>23418</v>
      </c>
      <c r="C2226" s="292" t="s">
        <v>48</v>
      </c>
      <c r="D2226" s="293">
        <f t="shared" si="2"/>
        <v>0</v>
      </c>
      <c r="E2226" s="294"/>
      <c r="F2226" s="295" t="str">
        <f>IFERROR(__xludf.DUMMYFUNCTION("IF(B2226="""","""",IFERROR(VLOOKUP(TO_TEXT(B2226),PEDIDOS!D:I,6,0),IFERROR(VLOOKUP(B2226*1,PEDIDOS!D:I,6,0),"" "")))")," ")</f>
        <v> </v>
      </c>
      <c r="G2226" s="303"/>
      <c r="H2226" s="304"/>
    </row>
    <row r="2227">
      <c r="A2227" s="302" t="s">
        <v>6133</v>
      </c>
      <c r="B2227" s="291" t="s">
        <v>15183</v>
      </c>
      <c r="C2227" s="292" t="s">
        <v>48</v>
      </c>
      <c r="D2227" s="293">
        <f t="shared" si="2"/>
        <v>1</v>
      </c>
      <c r="E2227" s="294"/>
      <c r="F2227" s="295" t="str">
        <f>IFERROR(__xludf.DUMMYFUNCTION("IF(B2227="""","""",IFERROR(VLOOKUP(TO_TEXT(B2227),PEDIDOS!D:I,6,0),IFERROR(VLOOKUP(B2227*1,PEDIDOS!D:I,6,0),"" "")))"),"ENTREGUE")</f>
        <v>ENTREGUE</v>
      </c>
      <c r="G2227" s="303"/>
      <c r="H2227" s="304"/>
    </row>
    <row r="2228">
      <c r="A2228" s="302" t="s">
        <v>6133</v>
      </c>
      <c r="B2228" s="291" t="s">
        <v>23419</v>
      </c>
      <c r="C2228" s="292" t="s">
        <v>48</v>
      </c>
      <c r="D2228" s="293">
        <f t="shared" si="2"/>
        <v>0</v>
      </c>
      <c r="E2228" s="294"/>
      <c r="F2228" s="295" t="str">
        <f>IFERROR(__xludf.DUMMYFUNCTION("IF(B2228="""","""",IFERROR(VLOOKUP(TO_TEXT(B2228),PEDIDOS!D:I,6,0),IFERROR(VLOOKUP(B2228*1,PEDIDOS!D:I,6,0),"" "")))")," ")</f>
        <v> </v>
      </c>
      <c r="G2228" s="303"/>
      <c r="H2228" s="304"/>
    </row>
    <row r="2229">
      <c r="A2229" s="302" t="s">
        <v>4430</v>
      </c>
      <c r="B2229" s="291" t="s">
        <v>12459</v>
      </c>
      <c r="C2229" s="292" t="s">
        <v>48</v>
      </c>
      <c r="D2229" s="293">
        <f t="shared" si="2"/>
        <v>1</v>
      </c>
      <c r="E2229" s="294"/>
      <c r="F2229" s="295" t="str">
        <f>IFERROR(__xludf.DUMMYFUNCTION("IF(B2229="""","""",IFERROR(VLOOKUP(TO_TEXT(B2229),PEDIDOS!D:I,6,0),IFERROR(VLOOKUP(B2229*1,PEDIDOS!D:I,6,0),"" "")))"),"ENTREGUE")</f>
        <v>ENTREGUE</v>
      </c>
      <c r="G2229" s="303"/>
      <c r="H2229" s="304"/>
    </row>
    <row r="2230">
      <c r="A2230" s="302" t="s">
        <v>4430</v>
      </c>
      <c r="B2230" s="291" t="s">
        <v>12463</v>
      </c>
      <c r="C2230" s="292" t="s">
        <v>48</v>
      </c>
      <c r="D2230" s="293">
        <f t="shared" si="2"/>
        <v>1</v>
      </c>
      <c r="E2230" s="294"/>
      <c r="F2230" s="295" t="str">
        <f>IFERROR(__xludf.DUMMYFUNCTION("IF(B2230="""","""",IFERROR(VLOOKUP(TO_TEXT(B2230),PEDIDOS!D:I,6,0),IFERROR(VLOOKUP(B2230*1,PEDIDOS!D:I,6,0),"" "")))"),"ENTREGUE")</f>
        <v>ENTREGUE</v>
      </c>
      <c r="G2230" s="303"/>
      <c r="H2230" s="304"/>
    </row>
    <row r="2231">
      <c r="A2231" s="302" t="s">
        <v>4430</v>
      </c>
      <c r="B2231" s="291" t="s">
        <v>23420</v>
      </c>
      <c r="C2231" s="292" t="s">
        <v>48</v>
      </c>
      <c r="D2231" s="293">
        <f t="shared" si="2"/>
        <v>1</v>
      </c>
      <c r="E2231" s="294"/>
      <c r="F2231" s="295" t="str">
        <f>IFERROR(__xludf.DUMMYFUNCTION("IF(B2231="""","""",IFERROR(VLOOKUP(TO_TEXT(B2231),PEDIDOS!D:I,6,0),IFERROR(VLOOKUP(B2231*1,PEDIDOS!D:I,6,0),"" "")))")," ")</f>
        <v> </v>
      </c>
      <c r="G2231" s="303" t="s">
        <v>23334</v>
      </c>
      <c r="H2231" s="304"/>
    </row>
    <row r="2232">
      <c r="A2232" s="302" t="s">
        <v>4430</v>
      </c>
      <c r="B2232" s="291" t="s">
        <v>23421</v>
      </c>
      <c r="C2232" s="292" t="s">
        <v>48</v>
      </c>
      <c r="D2232" s="293">
        <f t="shared" si="2"/>
        <v>1</v>
      </c>
      <c r="E2232" s="294"/>
      <c r="F2232" s="295" t="str">
        <f>IFERROR(__xludf.DUMMYFUNCTION("IF(B2232="""","""",IFERROR(VLOOKUP(TO_TEXT(B2232),PEDIDOS!D:I,6,0),IFERROR(VLOOKUP(B2232*1,PEDIDOS!D:I,6,0),"" "")))")," ")</f>
        <v> </v>
      </c>
      <c r="G2232" s="307" t="s">
        <v>23334</v>
      </c>
      <c r="H2232" s="304"/>
    </row>
    <row r="2233">
      <c r="A2233" s="302" t="s">
        <v>4430</v>
      </c>
      <c r="B2233" s="291" t="s">
        <v>14699</v>
      </c>
      <c r="C2233" s="292" t="s">
        <v>48</v>
      </c>
      <c r="D2233" s="293">
        <f t="shared" si="2"/>
        <v>1</v>
      </c>
      <c r="E2233" s="294"/>
      <c r="F2233" s="295" t="str">
        <f>IFERROR(__xludf.DUMMYFUNCTION("IF(B2233="""","""",IFERROR(VLOOKUP(TO_TEXT(B2233),PEDIDOS!D:I,6,0),IFERROR(VLOOKUP(B2233*1,PEDIDOS!D:I,6,0),"" "")))"),"ENTREGUE")</f>
        <v>ENTREGUE</v>
      </c>
      <c r="G2233" s="303"/>
      <c r="H2233" s="304"/>
    </row>
    <row r="2234">
      <c r="A2234" s="302" t="s">
        <v>4430</v>
      </c>
      <c r="B2234" s="291" t="s">
        <v>23422</v>
      </c>
      <c r="C2234" s="292" t="s">
        <v>48</v>
      </c>
      <c r="D2234" s="293">
        <f t="shared" si="2"/>
        <v>1</v>
      </c>
      <c r="E2234" s="294"/>
      <c r="F2234" s="295" t="str">
        <f>IFERROR(__xludf.DUMMYFUNCTION("IF(B2234="""","""",IFERROR(VLOOKUP(TO_TEXT(B2234),PEDIDOS!D:I,6,0),IFERROR(VLOOKUP(B2234*1,PEDIDOS!D:I,6,0),"" "")))")," ")</f>
        <v> </v>
      </c>
      <c r="G2234" s="303" t="s">
        <v>23334</v>
      </c>
      <c r="H2234" s="304"/>
    </row>
    <row r="2235">
      <c r="A2235" s="302" t="s">
        <v>4430</v>
      </c>
      <c r="B2235" s="291" t="s">
        <v>15943</v>
      </c>
      <c r="C2235" s="292" t="s">
        <v>48</v>
      </c>
      <c r="D2235" s="293">
        <f t="shared" si="2"/>
        <v>1</v>
      </c>
      <c r="E2235" s="294"/>
      <c r="F2235" s="295" t="str">
        <f>IFERROR(__xludf.DUMMYFUNCTION("IF(B2235="""","""",IFERROR(VLOOKUP(TO_TEXT(B2235),PEDIDOS!D:I,6,0),IFERROR(VLOOKUP(B2235*1,PEDIDOS!D:I,6,0),"" "")))"),"ENTREGUE")</f>
        <v>ENTREGUE</v>
      </c>
      <c r="G2235" s="303"/>
      <c r="H2235" s="304"/>
    </row>
    <row r="2236">
      <c r="A2236" s="302" t="s">
        <v>4430</v>
      </c>
      <c r="B2236" s="291" t="s">
        <v>23423</v>
      </c>
      <c r="C2236" s="292" t="s">
        <v>48</v>
      </c>
      <c r="D2236" s="293">
        <f t="shared" si="2"/>
        <v>1</v>
      </c>
      <c r="E2236" s="294"/>
      <c r="F2236" s="295" t="str">
        <f>IFERROR(__xludf.DUMMYFUNCTION("IF(B2236="""","""",IFERROR(VLOOKUP(TO_TEXT(B2236),PEDIDOS!D:I,6,0),IFERROR(VLOOKUP(B2236*1,PEDIDOS!D:I,6,0),"" "")))")," ")</f>
        <v> </v>
      </c>
      <c r="G2236" s="307" t="s">
        <v>23334</v>
      </c>
      <c r="H2236" s="304"/>
    </row>
    <row r="2237">
      <c r="A2237" s="302" t="s">
        <v>4430</v>
      </c>
      <c r="B2237" s="291" t="s">
        <v>15952</v>
      </c>
      <c r="C2237" s="292" t="s">
        <v>48</v>
      </c>
      <c r="D2237" s="293">
        <f t="shared" si="2"/>
        <v>1</v>
      </c>
      <c r="E2237" s="294"/>
      <c r="F2237" s="295" t="str">
        <f>IFERROR(__xludf.DUMMYFUNCTION("IF(B2237="""","""",IFERROR(VLOOKUP(TO_TEXT(B2237),PEDIDOS!D:I,6,0),IFERROR(VLOOKUP(B2237*1,PEDIDOS!D:I,6,0),"" "")))"),"ENTREGUE")</f>
        <v>ENTREGUE</v>
      </c>
      <c r="G2237" s="303"/>
      <c r="H2237" s="304"/>
    </row>
    <row r="2238">
      <c r="A2238" s="302" t="s">
        <v>4430</v>
      </c>
      <c r="B2238" s="291" t="s">
        <v>15367</v>
      </c>
      <c r="C2238" s="292" t="s">
        <v>48</v>
      </c>
      <c r="D2238" s="293">
        <f t="shared" si="2"/>
        <v>1</v>
      </c>
      <c r="E2238" s="294"/>
      <c r="F2238" s="295" t="str">
        <f>IFERROR(__xludf.DUMMYFUNCTION("IF(B2238="""","""",IFERROR(VLOOKUP(TO_TEXT(B2238),PEDIDOS!D:I,6,0),IFERROR(VLOOKUP(B2238*1,PEDIDOS!D:I,6,0),"" "")))"),"ENTREGUE")</f>
        <v>ENTREGUE</v>
      </c>
      <c r="G2238" s="303"/>
      <c r="H2238" s="304"/>
    </row>
    <row r="2239">
      <c r="A2239" s="302" t="s">
        <v>4430</v>
      </c>
      <c r="B2239" s="291" t="s">
        <v>15617</v>
      </c>
      <c r="C2239" s="292" t="s">
        <v>48</v>
      </c>
      <c r="D2239" s="293">
        <f t="shared" si="2"/>
        <v>1</v>
      </c>
      <c r="E2239" s="294"/>
      <c r="F2239" s="295" t="str">
        <f>IFERROR(__xludf.DUMMYFUNCTION("IF(B2239="""","""",IFERROR(VLOOKUP(TO_TEXT(B2239),PEDIDOS!D:I,6,0),IFERROR(VLOOKUP(B2239*1,PEDIDOS!D:I,6,0),"" "")))"),"ENTREGUE")</f>
        <v>ENTREGUE</v>
      </c>
      <c r="G2239" s="303"/>
      <c r="H2239" s="304"/>
    </row>
    <row r="2240">
      <c r="A2240" s="302" t="s">
        <v>4430</v>
      </c>
      <c r="B2240" s="291" t="s">
        <v>15622</v>
      </c>
      <c r="C2240" s="292" t="s">
        <v>48</v>
      </c>
      <c r="D2240" s="293">
        <f t="shared" si="2"/>
        <v>1</v>
      </c>
      <c r="E2240" s="294"/>
      <c r="F2240" s="295" t="str">
        <f>IFERROR(__xludf.DUMMYFUNCTION("IF(B2240="""","""",IFERROR(VLOOKUP(TO_TEXT(B2240),PEDIDOS!D:I,6,0),IFERROR(VLOOKUP(B2240*1,PEDIDOS!D:I,6,0),"" "")))"),"ENTREGUE")</f>
        <v>ENTREGUE</v>
      </c>
      <c r="G2240" s="303"/>
      <c r="H2240" s="304"/>
    </row>
    <row r="2241">
      <c r="A2241" s="302" t="s">
        <v>4430</v>
      </c>
      <c r="B2241" s="291" t="s">
        <v>16149</v>
      </c>
      <c r="C2241" s="292" t="s">
        <v>48</v>
      </c>
      <c r="D2241" s="293">
        <f t="shared" si="2"/>
        <v>1</v>
      </c>
      <c r="E2241" s="294"/>
      <c r="F2241" s="295" t="str">
        <f>IFERROR(__xludf.DUMMYFUNCTION("IF(B2241="""","""",IFERROR(VLOOKUP(TO_TEXT(B2241),PEDIDOS!D:I,6,0),IFERROR(VLOOKUP(B2241*1,PEDIDOS!D:I,6,0),"" "")))"),"ENTREGUE")</f>
        <v>ENTREGUE</v>
      </c>
      <c r="G2241" s="303"/>
      <c r="H2241" s="304"/>
    </row>
    <row r="2242">
      <c r="A2242" s="302" t="s">
        <v>4430</v>
      </c>
      <c r="B2242" s="291" t="s">
        <v>16141</v>
      </c>
      <c r="C2242" s="292" t="s">
        <v>48</v>
      </c>
      <c r="D2242" s="293">
        <f t="shared" si="2"/>
        <v>1</v>
      </c>
      <c r="E2242" s="294"/>
      <c r="F2242" s="295" t="str">
        <f>IFERROR(__xludf.DUMMYFUNCTION("IF(B2242="""","""",IFERROR(VLOOKUP(TO_TEXT(B2242),PEDIDOS!D:I,6,0),IFERROR(VLOOKUP(B2242*1,PEDIDOS!D:I,6,0),"" "")))"),"ENTREGUE")</f>
        <v>ENTREGUE</v>
      </c>
      <c r="G2242" s="303"/>
      <c r="H2242" s="304"/>
    </row>
    <row r="2243">
      <c r="A2243" s="302" t="s">
        <v>4430</v>
      </c>
      <c r="B2243" s="291" t="s">
        <v>16061</v>
      </c>
      <c r="C2243" s="292" t="s">
        <v>48</v>
      </c>
      <c r="D2243" s="293">
        <f t="shared" si="2"/>
        <v>1</v>
      </c>
      <c r="E2243" s="294"/>
      <c r="F2243" s="295" t="str">
        <f>IFERROR(__xludf.DUMMYFUNCTION("IF(B2243="""","""",IFERROR(VLOOKUP(TO_TEXT(B2243),PEDIDOS!D:I,6,0),IFERROR(VLOOKUP(B2243*1,PEDIDOS!D:I,6,0),"" "")))"),"ENTREGUE")</f>
        <v>ENTREGUE</v>
      </c>
      <c r="G2243" s="303"/>
      <c r="H2243" s="304"/>
    </row>
    <row r="2244">
      <c r="A2244" s="302" t="s">
        <v>4430</v>
      </c>
      <c r="B2244" s="291" t="s">
        <v>13381</v>
      </c>
      <c r="C2244" s="292" t="s">
        <v>48</v>
      </c>
      <c r="D2244" s="293">
        <f t="shared" si="2"/>
        <v>1</v>
      </c>
      <c r="E2244" s="294"/>
      <c r="F2244" s="295" t="str">
        <f>IFERROR(__xludf.DUMMYFUNCTION("IF(B2244="""","""",IFERROR(VLOOKUP(TO_TEXT(B2244),PEDIDOS!D:I,6,0),IFERROR(VLOOKUP(B2244*1,PEDIDOS!D:I,6,0),"" "")))"),"ENTREGUE")</f>
        <v>ENTREGUE</v>
      </c>
      <c r="G2244" s="303"/>
      <c r="H2244" s="304"/>
    </row>
    <row r="2245">
      <c r="A2245" s="302" t="s">
        <v>4430</v>
      </c>
      <c r="B2245" s="291" t="s">
        <v>15171</v>
      </c>
      <c r="C2245" s="292" t="s">
        <v>48</v>
      </c>
      <c r="D2245" s="293">
        <f t="shared" si="2"/>
        <v>1</v>
      </c>
      <c r="E2245" s="294"/>
      <c r="F2245" s="295" t="str">
        <f>IFERROR(__xludf.DUMMYFUNCTION("IF(B2245="""","""",IFERROR(VLOOKUP(TO_TEXT(B2245),PEDIDOS!D:I,6,0),IFERROR(VLOOKUP(B2245*1,PEDIDOS!D:I,6,0),"" "")))"),"ENTREGUE")</f>
        <v>ENTREGUE</v>
      </c>
      <c r="G2245" s="303"/>
      <c r="H2245" s="304"/>
    </row>
    <row r="2246">
      <c r="A2246" s="302" t="s">
        <v>4430</v>
      </c>
      <c r="B2246" s="291" t="s">
        <v>16153</v>
      </c>
      <c r="C2246" s="292" t="s">
        <v>48</v>
      </c>
      <c r="D2246" s="293">
        <f t="shared" si="2"/>
        <v>1</v>
      </c>
      <c r="E2246" s="294"/>
      <c r="F2246" s="295" t="str">
        <f>IFERROR(__xludf.DUMMYFUNCTION("IF(B2246="""","""",IFERROR(VLOOKUP(TO_TEXT(B2246),PEDIDOS!D:I,6,0),IFERROR(VLOOKUP(B2246*1,PEDIDOS!D:I,6,0),"" "")))"),"ENTREGUE")</f>
        <v>ENTREGUE</v>
      </c>
      <c r="G2246" s="303"/>
      <c r="H2246" s="304"/>
    </row>
    <row r="2247">
      <c r="A2247" s="302" t="s">
        <v>4430</v>
      </c>
      <c r="B2247" s="291" t="s">
        <v>16145</v>
      </c>
      <c r="C2247" s="292" t="s">
        <v>48</v>
      </c>
      <c r="D2247" s="293">
        <f t="shared" si="2"/>
        <v>1</v>
      </c>
      <c r="E2247" s="294"/>
      <c r="F2247" s="295" t="str">
        <f>IFERROR(__xludf.DUMMYFUNCTION("IF(B2247="""","""",IFERROR(VLOOKUP(TO_TEXT(B2247),PEDIDOS!D:I,6,0),IFERROR(VLOOKUP(B2247*1,PEDIDOS!D:I,6,0),"" "")))"),"ENTREGUE")</f>
        <v>ENTREGUE</v>
      </c>
      <c r="G2247" s="303"/>
      <c r="H2247" s="304"/>
    </row>
    <row r="2248">
      <c r="A2248" s="302" t="s">
        <v>4430</v>
      </c>
      <c r="B2248" s="291" t="s">
        <v>15774</v>
      </c>
      <c r="C2248" s="292" t="s">
        <v>48</v>
      </c>
      <c r="D2248" s="293">
        <f t="shared" si="2"/>
        <v>1</v>
      </c>
      <c r="E2248" s="294"/>
      <c r="F2248" s="295" t="str">
        <f>IFERROR(__xludf.DUMMYFUNCTION("IF(B2248="""","""",IFERROR(VLOOKUP(TO_TEXT(B2248),PEDIDOS!D:I,6,0),IFERROR(VLOOKUP(B2248*1,PEDIDOS!D:I,6,0),"" "")))"),"ENTREGUE")</f>
        <v>ENTREGUE</v>
      </c>
      <c r="G2248" s="303"/>
      <c r="H2248" s="304"/>
    </row>
    <row r="2249">
      <c r="A2249" s="302" t="s">
        <v>4430</v>
      </c>
      <c r="B2249" s="291" t="s">
        <v>15758</v>
      </c>
      <c r="C2249" s="292" t="s">
        <v>48</v>
      </c>
      <c r="D2249" s="293">
        <f t="shared" si="2"/>
        <v>1</v>
      </c>
      <c r="E2249" s="294"/>
      <c r="F2249" s="295" t="str">
        <f>IFERROR(__xludf.DUMMYFUNCTION("IF(B2249="""","""",IFERROR(VLOOKUP(TO_TEXT(B2249),PEDIDOS!D:I,6,0),IFERROR(VLOOKUP(B2249*1,PEDIDOS!D:I,6,0),"" "")))"),"ENTREGUE")</f>
        <v>ENTREGUE</v>
      </c>
      <c r="G2249" s="303"/>
      <c r="H2249" s="304"/>
    </row>
    <row r="2250">
      <c r="A2250" s="302" t="s">
        <v>4430</v>
      </c>
      <c r="B2250" s="291" t="s">
        <v>13402</v>
      </c>
      <c r="C2250" s="292" t="s">
        <v>48</v>
      </c>
      <c r="D2250" s="293">
        <f t="shared" si="2"/>
        <v>1</v>
      </c>
      <c r="E2250" s="294"/>
      <c r="F2250" s="295" t="str">
        <f>IFERROR(__xludf.DUMMYFUNCTION("IF(B2250="""","""",IFERROR(VLOOKUP(TO_TEXT(B2250),PEDIDOS!D:I,6,0),IFERROR(VLOOKUP(B2250*1,PEDIDOS!D:I,6,0),"" "")))"),"ENTREGUE")</f>
        <v>ENTREGUE</v>
      </c>
      <c r="G2250" s="303"/>
      <c r="H2250" s="304"/>
    </row>
    <row r="2251">
      <c r="A2251" s="302" t="s">
        <v>4430</v>
      </c>
      <c r="B2251" s="291" t="s">
        <v>15754</v>
      </c>
      <c r="C2251" s="292" t="s">
        <v>48</v>
      </c>
      <c r="D2251" s="293">
        <f t="shared" si="2"/>
        <v>1</v>
      </c>
      <c r="E2251" s="294"/>
      <c r="F2251" s="295" t="str">
        <f>IFERROR(__xludf.DUMMYFUNCTION("IF(B2251="""","""",IFERROR(VLOOKUP(TO_TEXT(B2251),PEDIDOS!D:I,6,0),IFERROR(VLOOKUP(B2251*1,PEDIDOS!D:I,6,0),"" "")))"),"ENTREGUE")</f>
        <v>ENTREGUE</v>
      </c>
      <c r="G2251" s="303"/>
      <c r="H2251" s="304"/>
    </row>
    <row r="2252">
      <c r="A2252" s="302" t="s">
        <v>4430</v>
      </c>
      <c r="B2252" s="291" t="s">
        <v>15762</v>
      </c>
      <c r="C2252" s="292" t="s">
        <v>48</v>
      </c>
      <c r="D2252" s="293">
        <f t="shared" si="2"/>
        <v>1</v>
      </c>
      <c r="E2252" s="294"/>
      <c r="F2252" s="295" t="str">
        <f>IFERROR(__xludf.DUMMYFUNCTION("IF(B2252="""","""",IFERROR(VLOOKUP(TO_TEXT(B2252),PEDIDOS!D:I,6,0),IFERROR(VLOOKUP(B2252*1,PEDIDOS!D:I,6,0),"" "")))"),"ENTREGUE")</f>
        <v>ENTREGUE</v>
      </c>
      <c r="G2252" s="303"/>
      <c r="H2252" s="304"/>
    </row>
    <row r="2253">
      <c r="A2253" s="302" t="s">
        <v>4430</v>
      </c>
      <c r="B2253" s="291" t="s">
        <v>15802</v>
      </c>
      <c r="C2253" s="292" t="s">
        <v>48</v>
      </c>
      <c r="D2253" s="293">
        <f t="shared" si="2"/>
        <v>1</v>
      </c>
      <c r="E2253" s="294"/>
      <c r="F2253" s="295" t="str">
        <f>IFERROR(__xludf.DUMMYFUNCTION("IF(B2253="""","""",IFERROR(VLOOKUP(TO_TEXT(B2253),PEDIDOS!D:I,6,0),IFERROR(VLOOKUP(B2253*1,PEDIDOS!D:I,6,0),"" "")))"),"ENTREGUE")</f>
        <v>ENTREGUE</v>
      </c>
      <c r="G2253" s="303"/>
      <c r="H2253" s="304"/>
    </row>
    <row r="2254">
      <c r="A2254" s="302" t="s">
        <v>4430</v>
      </c>
      <c r="B2254" s="291" t="s">
        <v>15744</v>
      </c>
      <c r="C2254" s="292" t="s">
        <v>48</v>
      </c>
      <c r="D2254" s="293">
        <f t="shared" si="2"/>
        <v>1</v>
      </c>
      <c r="E2254" s="294"/>
      <c r="F2254" s="295" t="str">
        <f>IFERROR(__xludf.DUMMYFUNCTION("IF(B2254="""","""",IFERROR(VLOOKUP(TO_TEXT(B2254),PEDIDOS!D:I,6,0),IFERROR(VLOOKUP(B2254*1,PEDIDOS!D:I,6,0),"" "")))"),"ENTREGUE")</f>
        <v>ENTREGUE</v>
      </c>
      <c r="G2254" s="303"/>
      <c r="H2254" s="304"/>
    </row>
    <row r="2255">
      <c r="A2255" s="302" t="s">
        <v>4430</v>
      </c>
      <c r="B2255" s="291" t="s">
        <v>15750</v>
      </c>
      <c r="C2255" s="292" t="s">
        <v>48</v>
      </c>
      <c r="D2255" s="293">
        <f t="shared" si="2"/>
        <v>1</v>
      </c>
      <c r="E2255" s="294"/>
      <c r="F2255" s="295" t="str">
        <f>IFERROR(__xludf.DUMMYFUNCTION("IF(B2255="""","""",IFERROR(VLOOKUP(TO_TEXT(B2255),PEDIDOS!D:I,6,0),IFERROR(VLOOKUP(B2255*1,PEDIDOS!D:I,6,0),"" "")))"),"ENTREGUE")</f>
        <v>ENTREGUE</v>
      </c>
      <c r="G2255" s="303"/>
      <c r="H2255" s="304"/>
    </row>
    <row r="2256">
      <c r="A2256" s="302" t="s">
        <v>4430</v>
      </c>
      <c r="B2256" s="291" t="s">
        <v>15770</v>
      </c>
      <c r="C2256" s="292" t="s">
        <v>48</v>
      </c>
      <c r="D2256" s="293">
        <f t="shared" si="2"/>
        <v>1</v>
      </c>
      <c r="E2256" s="294"/>
      <c r="F2256" s="295" t="str">
        <f>IFERROR(__xludf.DUMMYFUNCTION("IF(B2256="""","""",IFERROR(VLOOKUP(TO_TEXT(B2256),PEDIDOS!D:I,6,0),IFERROR(VLOOKUP(B2256*1,PEDIDOS!D:I,6,0),"" "")))"),"ENTREGUE")</f>
        <v>ENTREGUE</v>
      </c>
      <c r="G2256" s="303"/>
      <c r="H2256" s="304"/>
    </row>
    <row r="2257">
      <c r="A2257" s="302" t="s">
        <v>4430</v>
      </c>
      <c r="B2257" s="291" t="s">
        <v>15782</v>
      </c>
      <c r="C2257" s="292" t="s">
        <v>48</v>
      </c>
      <c r="D2257" s="293">
        <f t="shared" si="2"/>
        <v>1</v>
      </c>
      <c r="E2257" s="294"/>
      <c r="F2257" s="295" t="str">
        <f>IFERROR(__xludf.DUMMYFUNCTION("IF(B2257="""","""",IFERROR(VLOOKUP(TO_TEXT(B2257),PEDIDOS!D:I,6,0),IFERROR(VLOOKUP(B2257*1,PEDIDOS!D:I,6,0),"" "")))"),"ENTREGUE")</f>
        <v>ENTREGUE</v>
      </c>
      <c r="G2257" s="303"/>
      <c r="H2257" s="304"/>
    </row>
    <row r="2258">
      <c r="A2258" s="302" t="s">
        <v>4430</v>
      </c>
      <c r="B2258" s="291" t="s">
        <v>15798</v>
      </c>
      <c r="C2258" s="292" t="s">
        <v>48</v>
      </c>
      <c r="D2258" s="293">
        <f t="shared" si="2"/>
        <v>1</v>
      </c>
      <c r="E2258" s="294"/>
      <c r="F2258" s="295" t="str">
        <f>IFERROR(__xludf.DUMMYFUNCTION("IF(B2258="""","""",IFERROR(VLOOKUP(TO_TEXT(B2258),PEDIDOS!D:I,6,0),IFERROR(VLOOKUP(B2258*1,PEDIDOS!D:I,6,0),"" "")))"),"ENTREGUE")</f>
        <v>ENTREGUE</v>
      </c>
      <c r="G2258" s="303"/>
      <c r="H2258" s="304"/>
    </row>
    <row r="2259">
      <c r="A2259" s="302" t="s">
        <v>3395</v>
      </c>
      <c r="B2259" s="291" t="s">
        <v>13207</v>
      </c>
      <c r="C2259" s="292" t="s">
        <v>48</v>
      </c>
      <c r="D2259" s="293">
        <f t="shared" si="2"/>
        <v>1</v>
      </c>
      <c r="E2259" s="294"/>
      <c r="F2259" s="295" t="str">
        <f>IFERROR(__xludf.DUMMYFUNCTION("IF(B2259="""","""",IFERROR(VLOOKUP(TO_TEXT(B2259),PEDIDOS!D:I,6,0),IFERROR(VLOOKUP(B2259*1,PEDIDOS!D:I,6,0),"" "")))"),"ENTREGUE")</f>
        <v>ENTREGUE</v>
      </c>
      <c r="G2259" s="303"/>
      <c r="H2259" s="304"/>
    </row>
    <row r="2260">
      <c r="A2260" s="302" t="s">
        <v>3395</v>
      </c>
      <c r="B2260" s="291" t="s">
        <v>13417</v>
      </c>
      <c r="C2260" s="292" t="s">
        <v>48</v>
      </c>
      <c r="D2260" s="293">
        <f t="shared" si="2"/>
        <v>1</v>
      </c>
      <c r="E2260" s="294"/>
      <c r="F2260" s="295" t="str">
        <f>IFERROR(__xludf.DUMMYFUNCTION("IF(B2260="""","""",IFERROR(VLOOKUP(TO_TEXT(B2260),PEDIDOS!D:I,6,0),IFERROR(VLOOKUP(B2260*1,PEDIDOS!D:I,6,0),"" "")))"),"ENTREGUE")</f>
        <v>ENTREGUE</v>
      </c>
      <c r="G2260" s="303"/>
      <c r="H2260" s="304"/>
    </row>
    <row r="2261">
      <c r="A2261" s="302" t="s">
        <v>3395</v>
      </c>
      <c r="B2261" s="291" t="s">
        <v>14148</v>
      </c>
      <c r="C2261" s="292" t="s">
        <v>48</v>
      </c>
      <c r="D2261" s="293">
        <f t="shared" si="2"/>
        <v>1</v>
      </c>
      <c r="E2261" s="294"/>
      <c r="F2261" s="295" t="str">
        <f>IFERROR(__xludf.DUMMYFUNCTION("IF(B2261="""","""",IFERROR(VLOOKUP(TO_TEXT(B2261),PEDIDOS!D:I,6,0),IFERROR(VLOOKUP(B2261*1,PEDIDOS!D:I,6,0),"" "")))"),"ENTREGUE")</f>
        <v>ENTREGUE</v>
      </c>
      <c r="G2261" s="303"/>
      <c r="H2261" s="304"/>
    </row>
    <row r="2262">
      <c r="A2262" s="302" t="s">
        <v>3395</v>
      </c>
      <c r="B2262" s="291" t="s">
        <v>14167</v>
      </c>
      <c r="C2262" s="292" t="s">
        <v>48</v>
      </c>
      <c r="D2262" s="293">
        <f t="shared" si="2"/>
        <v>1</v>
      </c>
      <c r="E2262" s="294"/>
      <c r="F2262" s="295" t="str">
        <f>IFERROR(__xludf.DUMMYFUNCTION("IF(B2262="""","""",IFERROR(VLOOKUP(TO_TEXT(B2262),PEDIDOS!D:I,6,0),IFERROR(VLOOKUP(B2262*1,PEDIDOS!D:I,6,0),"" "")))"),"ENTREGUE")</f>
        <v>ENTREGUE</v>
      </c>
      <c r="G2262" s="303"/>
      <c r="H2262" s="304"/>
    </row>
    <row r="2263">
      <c r="A2263" s="302" t="s">
        <v>3395</v>
      </c>
      <c r="B2263" s="291" t="s">
        <v>13216</v>
      </c>
      <c r="C2263" s="292" t="s">
        <v>48</v>
      </c>
      <c r="D2263" s="293">
        <f t="shared" si="2"/>
        <v>1</v>
      </c>
      <c r="E2263" s="294"/>
      <c r="F2263" s="295" t="str">
        <f>IFERROR(__xludf.DUMMYFUNCTION("IF(B2263="""","""",IFERROR(VLOOKUP(TO_TEXT(B2263),PEDIDOS!D:I,6,0),IFERROR(VLOOKUP(B2263*1,PEDIDOS!D:I,6,0),"" "")))"),"ENTREGUE")</f>
        <v>ENTREGUE</v>
      </c>
      <c r="G2263" s="303"/>
      <c r="H2263" s="304"/>
    </row>
    <row r="2264">
      <c r="A2264" s="302" t="s">
        <v>3395</v>
      </c>
      <c r="B2264" s="291" t="s">
        <v>14471</v>
      </c>
      <c r="C2264" s="292" t="s">
        <v>48</v>
      </c>
      <c r="D2264" s="293">
        <f t="shared" si="2"/>
        <v>1</v>
      </c>
      <c r="E2264" s="294"/>
      <c r="F2264" s="295" t="str">
        <f>IFERROR(__xludf.DUMMYFUNCTION("IF(B2264="""","""",IFERROR(VLOOKUP(TO_TEXT(B2264),PEDIDOS!D:I,6,0),IFERROR(VLOOKUP(B2264*1,PEDIDOS!D:I,6,0),"" "")))"),"ENTREGUE")</f>
        <v>ENTREGUE</v>
      </c>
      <c r="G2264" s="303"/>
      <c r="H2264" s="304"/>
    </row>
    <row r="2265">
      <c r="A2265" s="302" t="s">
        <v>3395</v>
      </c>
      <c r="B2265" s="291" t="s">
        <v>13298</v>
      </c>
      <c r="C2265" s="292" t="s">
        <v>48</v>
      </c>
      <c r="D2265" s="293">
        <f t="shared" si="2"/>
        <v>1</v>
      </c>
      <c r="E2265" s="294"/>
      <c r="F2265" s="295" t="str">
        <f>IFERROR(__xludf.DUMMYFUNCTION("IF(B2265="""","""",IFERROR(VLOOKUP(TO_TEXT(B2265),PEDIDOS!D:I,6,0),IFERROR(VLOOKUP(B2265*1,PEDIDOS!D:I,6,0),"" "")))"),"ENTREGUE")</f>
        <v>ENTREGUE</v>
      </c>
      <c r="G2265" s="303"/>
      <c r="H2265" s="304"/>
    </row>
    <row r="2266">
      <c r="A2266" s="302" t="s">
        <v>3395</v>
      </c>
      <c r="B2266" s="291" t="s">
        <v>14144</v>
      </c>
      <c r="C2266" s="292" t="s">
        <v>48</v>
      </c>
      <c r="D2266" s="293">
        <f t="shared" si="2"/>
        <v>1</v>
      </c>
      <c r="E2266" s="294"/>
      <c r="F2266" s="295" t="str">
        <f>IFERROR(__xludf.DUMMYFUNCTION("IF(B2266="""","""",IFERROR(VLOOKUP(TO_TEXT(B2266),PEDIDOS!D:I,6,0),IFERROR(VLOOKUP(B2266*1,PEDIDOS!D:I,6,0),"" "")))"),"ENTREGUE")</f>
        <v>ENTREGUE</v>
      </c>
      <c r="G2266" s="303"/>
      <c r="H2266" s="304"/>
    </row>
    <row r="2267">
      <c r="A2267" s="302" t="s">
        <v>3395</v>
      </c>
      <c r="B2267" s="291" t="s">
        <v>12879</v>
      </c>
      <c r="C2267" s="292" t="s">
        <v>48</v>
      </c>
      <c r="D2267" s="293">
        <f t="shared" si="2"/>
        <v>1</v>
      </c>
      <c r="E2267" s="294"/>
      <c r="F2267" s="295" t="str">
        <f>IFERROR(__xludf.DUMMYFUNCTION("IF(B2267="""","""",IFERROR(VLOOKUP(TO_TEXT(B2267),PEDIDOS!D:I,6,0),IFERROR(VLOOKUP(B2267*1,PEDIDOS!D:I,6,0),"" "")))"),"ENTREGUE")</f>
        <v>ENTREGUE</v>
      </c>
      <c r="G2267" s="303"/>
      <c r="H2267" s="304"/>
    </row>
    <row r="2268">
      <c r="A2268" s="302" t="s">
        <v>3395</v>
      </c>
      <c r="B2268" s="291" t="s">
        <v>14431</v>
      </c>
      <c r="C2268" s="292" t="s">
        <v>48</v>
      </c>
      <c r="D2268" s="293">
        <f t="shared" si="2"/>
        <v>1</v>
      </c>
      <c r="E2268" s="294"/>
      <c r="F2268" s="295" t="str">
        <f>IFERROR(__xludf.DUMMYFUNCTION("IF(B2268="""","""",IFERROR(VLOOKUP(TO_TEXT(B2268),PEDIDOS!D:I,6,0),IFERROR(VLOOKUP(B2268*1,PEDIDOS!D:I,6,0),"" "")))"),"ENTREGUE")</f>
        <v>ENTREGUE</v>
      </c>
      <c r="G2268" s="303"/>
      <c r="H2268" s="304"/>
    </row>
    <row r="2269">
      <c r="A2269" s="302" t="s">
        <v>3395</v>
      </c>
      <c r="B2269" s="291" t="s">
        <v>13110</v>
      </c>
      <c r="C2269" s="292" t="s">
        <v>48</v>
      </c>
      <c r="D2269" s="293">
        <f t="shared" si="2"/>
        <v>1</v>
      </c>
      <c r="E2269" s="294"/>
      <c r="F2269" s="295" t="str">
        <f>IFERROR(__xludf.DUMMYFUNCTION("IF(B2269="""","""",IFERROR(VLOOKUP(TO_TEXT(B2269),PEDIDOS!D:I,6,0),IFERROR(VLOOKUP(B2269*1,PEDIDOS!D:I,6,0),"" "")))"),"ENTREGUE")</f>
        <v>ENTREGUE</v>
      </c>
      <c r="G2269" s="303"/>
      <c r="H2269" s="304"/>
    </row>
    <row r="2270">
      <c r="A2270" s="302" t="s">
        <v>3395</v>
      </c>
      <c r="B2270" s="291" t="s">
        <v>14183</v>
      </c>
      <c r="C2270" s="292" t="s">
        <v>48</v>
      </c>
      <c r="D2270" s="293">
        <f t="shared" si="2"/>
        <v>1</v>
      </c>
      <c r="E2270" s="294"/>
      <c r="F2270" s="295" t="str">
        <f>IFERROR(__xludf.DUMMYFUNCTION("IF(B2270="""","""",IFERROR(VLOOKUP(TO_TEXT(B2270),PEDIDOS!D:I,6,0),IFERROR(VLOOKUP(B2270*1,PEDIDOS!D:I,6,0),"" "")))"),"ENTREGUE")</f>
        <v>ENTREGUE</v>
      </c>
      <c r="G2270" s="303"/>
      <c r="H2270" s="304"/>
    </row>
    <row r="2271">
      <c r="A2271" s="302" t="s">
        <v>3395</v>
      </c>
      <c r="B2271" s="291" t="s">
        <v>13163</v>
      </c>
      <c r="C2271" s="292" t="s">
        <v>48</v>
      </c>
      <c r="D2271" s="293">
        <f t="shared" si="2"/>
        <v>1</v>
      </c>
      <c r="E2271" s="294"/>
      <c r="F2271" s="295" t="str">
        <f>IFERROR(__xludf.DUMMYFUNCTION("IF(B2271="""","""",IFERROR(VLOOKUP(TO_TEXT(B2271),PEDIDOS!D:I,6,0),IFERROR(VLOOKUP(B2271*1,PEDIDOS!D:I,6,0),"" "")))"),"ENTREGUE")</f>
        <v>ENTREGUE</v>
      </c>
      <c r="G2271" s="303"/>
      <c r="H2271" s="304"/>
    </row>
    <row r="2272">
      <c r="A2272" s="302" t="s">
        <v>3395</v>
      </c>
      <c r="B2272" s="291" t="s">
        <v>14467</v>
      </c>
      <c r="C2272" s="292" t="s">
        <v>48</v>
      </c>
      <c r="D2272" s="293">
        <f t="shared" si="2"/>
        <v>1</v>
      </c>
      <c r="E2272" s="294"/>
      <c r="F2272" s="295" t="str">
        <f>IFERROR(__xludf.DUMMYFUNCTION("IF(B2272="""","""",IFERROR(VLOOKUP(TO_TEXT(B2272),PEDIDOS!D:I,6,0),IFERROR(VLOOKUP(B2272*1,PEDIDOS!D:I,6,0),"" "")))"),"ENTREGUE")</f>
        <v>ENTREGUE</v>
      </c>
      <c r="G2272" s="303"/>
      <c r="H2272" s="304"/>
    </row>
    <row r="2273">
      <c r="A2273" s="302" t="s">
        <v>3395</v>
      </c>
      <c r="B2273" s="291" t="s">
        <v>14237</v>
      </c>
      <c r="C2273" s="292" t="s">
        <v>48</v>
      </c>
      <c r="D2273" s="293">
        <f t="shared" si="2"/>
        <v>1</v>
      </c>
      <c r="E2273" s="294"/>
      <c r="F2273" s="295" t="str">
        <f>IFERROR(__xludf.DUMMYFUNCTION("IF(B2273="""","""",IFERROR(VLOOKUP(TO_TEXT(B2273),PEDIDOS!D:I,6,0),IFERROR(VLOOKUP(B2273*1,PEDIDOS!D:I,6,0),"" "")))"),"ENTREGUE")</f>
        <v>ENTREGUE</v>
      </c>
      <c r="G2273" s="303"/>
      <c r="H2273" s="304"/>
    </row>
    <row r="2274">
      <c r="A2274" s="302" t="s">
        <v>3395</v>
      </c>
      <c r="B2274" s="291" t="s">
        <v>14482</v>
      </c>
      <c r="C2274" s="292" t="s">
        <v>48</v>
      </c>
      <c r="D2274" s="293">
        <f t="shared" si="2"/>
        <v>1</v>
      </c>
      <c r="E2274" s="294"/>
      <c r="F2274" s="295" t="str">
        <f>IFERROR(__xludf.DUMMYFUNCTION("IF(B2274="""","""",IFERROR(VLOOKUP(TO_TEXT(B2274),PEDIDOS!D:I,6,0),IFERROR(VLOOKUP(B2274*1,PEDIDOS!D:I,6,0),"" "")))"),"ENTREGUE")</f>
        <v>ENTREGUE</v>
      </c>
      <c r="G2274" s="303"/>
      <c r="H2274" s="304"/>
    </row>
    <row r="2275">
      <c r="A2275" s="302" t="s">
        <v>3395</v>
      </c>
      <c r="B2275" s="291" t="s">
        <v>14793</v>
      </c>
      <c r="C2275" s="292" t="s">
        <v>48</v>
      </c>
      <c r="D2275" s="293">
        <f t="shared" si="2"/>
        <v>1</v>
      </c>
      <c r="E2275" s="294"/>
      <c r="F2275" s="295" t="str">
        <f>IFERROR(__xludf.DUMMYFUNCTION("IF(B2275="""","""",IFERROR(VLOOKUP(TO_TEXT(B2275),PEDIDOS!D:I,6,0),IFERROR(VLOOKUP(B2275*1,PEDIDOS!D:I,6,0),"" "")))"),"ENTREGUE")</f>
        <v>ENTREGUE</v>
      </c>
      <c r="G2275" s="303"/>
      <c r="H2275" s="304"/>
    </row>
    <row r="2276">
      <c r="A2276" s="302" t="s">
        <v>3395</v>
      </c>
      <c r="B2276" s="291" t="s">
        <v>14796</v>
      </c>
      <c r="C2276" s="292" t="s">
        <v>48</v>
      </c>
      <c r="D2276" s="293">
        <f t="shared" si="2"/>
        <v>1</v>
      </c>
      <c r="E2276" s="294"/>
      <c r="F2276" s="295" t="str">
        <f>IFERROR(__xludf.DUMMYFUNCTION("IF(B2276="""","""",IFERROR(VLOOKUP(TO_TEXT(B2276),PEDIDOS!D:I,6,0),IFERROR(VLOOKUP(B2276*1,PEDIDOS!D:I,6,0),"" "")))"),"ENTREGUE")</f>
        <v>ENTREGUE</v>
      </c>
      <c r="G2276" s="303"/>
      <c r="H2276" s="304"/>
    </row>
    <row r="2277">
      <c r="A2277" s="302" t="s">
        <v>3395</v>
      </c>
      <c r="B2277" s="291" t="s">
        <v>13047</v>
      </c>
      <c r="C2277" s="292" t="s">
        <v>48</v>
      </c>
      <c r="D2277" s="293">
        <f t="shared" si="2"/>
        <v>1</v>
      </c>
      <c r="E2277" s="294"/>
      <c r="F2277" s="295" t="str">
        <f>IFERROR(__xludf.DUMMYFUNCTION("IF(B2277="""","""",IFERROR(VLOOKUP(TO_TEXT(B2277),PEDIDOS!D:I,6,0),IFERROR(VLOOKUP(B2277*1,PEDIDOS!D:I,6,0),"" "")))"),"ENTREGUE")</f>
        <v>ENTREGUE</v>
      </c>
      <c r="G2277" s="303"/>
      <c r="H2277" s="304"/>
    </row>
    <row r="2278">
      <c r="A2278" s="302" t="s">
        <v>3395</v>
      </c>
      <c r="B2278" s="291" t="s">
        <v>14980</v>
      </c>
      <c r="C2278" s="292" t="s">
        <v>48</v>
      </c>
      <c r="D2278" s="293">
        <f t="shared" si="2"/>
        <v>1</v>
      </c>
      <c r="E2278" s="294"/>
      <c r="F2278" s="295" t="str">
        <f>IFERROR(__xludf.DUMMYFUNCTION("IF(B2278="""","""",IFERROR(VLOOKUP(TO_TEXT(B2278),PEDIDOS!D:I,6,0),IFERROR(VLOOKUP(B2278*1,PEDIDOS!D:I,6,0),"" "")))"),"ENTREGUE")</f>
        <v>ENTREGUE</v>
      </c>
      <c r="G2278" s="303"/>
      <c r="H2278" s="304"/>
    </row>
    <row r="2279">
      <c r="A2279" s="302" t="s">
        <v>3395</v>
      </c>
      <c r="B2279" s="291" t="s">
        <v>13133</v>
      </c>
      <c r="C2279" s="292" t="s">
        <v>48</v>
      </c>
      <c r="D2279" s="293">
        <f t="shared" si="2"/>
        <v>1</v>
      </c>
      <c r="E2279" s="294"/>
      <c r="F2279" s="295" t="str">
        <f>IFERROR(__xludf.DUMMYFUNCTION("IF(B2279="""","""",IFERROR(VLOOKUP(TO_TEXT(B2279),PEDIDOS!D:I,6,0),IFERROR(VLOOKUP(B2279*1,PEDIDOS!D:I,6,0),"" "")))"),"ENTREGUE")</f>
        <v>ENTREGUE</v>
      </c>
      <c r="G2279" s="303"/>
      <c r="H2279" s="304"/>
    </row>
    <row r="2280">
      <c r="A2280" s="302" t="s">
        <v>3395</v>
      </c>
      <c r="B2280" s="291" t="s">
        <v>15164</v>
      </c>
      <c r="C2280" s="292" t="s">
        <v>48</v>
      </c>
      <c r="D2280" s="293">
        <f t="shared" si="2"/>
        <v>1</v>
      </c>
      <c r="E2280" s="294"/>
      <c r="F2280" s="295" t="str">
        <f>IFERROR(__xludf.DUMMYFUNCTION("IF(B2280="""","""",IFERROR(VLOOKUP(TO_TEXT(B2280),PEDIDOS!D:I,6,0),IFERROR(VLOOKUP(B2280*1,PEDIDOS!D:I,6,0),"" "")))"),"ENTREGUE")</f>
        <v>ENTREGUE</v>
      </c>
      <c r="G2280" s="303"/>
      <c r="H2280" s="304"/>
    </row>
    <row r="2281">
      <c r="A2281" s="302" t="s">
        <v>3395</v>
      </c>
      <c r="B2281" s="291" t="s">
        <v>7144</v>
      </c>
      <c r="C2281" s="292" t="s">
        <v>48</v>
      </c>
      <c r="D2281" s="293">
        <f t="shared" si="2"/>
        <v>1</v>
      </c>
      <c r="E2281" s="294"/>
      <c r="F2281" s="295" t="str">
        <f>IFERROR(__xludf.DUMMYFUNCTION("IF(B2281="""","""",IFERROR(VLOOKUP(TO_TEXT(B2281),PEDIDOS!D:I,6,0),IFERROR(VLOOKUP(B2281*1,PEDIDOS!D:I,6,0),"" "")))"),"ENTREGUE")</f>
        <v>ENTREGUE</v>
      </c>
      <c r="G2281" s="303"/>
      <c r="H2281" s="304"/>
    </row>
    <row r="2282">
      <c r="A2282" s="302" t="s">
        <v>3395</v>
      </c>
      <c r="B2282" s="291" t="s">
        <v>15142</v>
      </c>
      <c r="C2282" s="292" t="s">
        <v>48</v>
      </c>
      <c r="D2282" s="293">
        <f t="shared" si="2"/>
        <v>1</v>
      </c>
      <c r="E2282" s="294"/>
      <c r="F2282" s="295" t="str">
        <f>IFERROR(__xludf.DUMMYFUNCTION("IF(B2282="""","""",IFERROR(VLOOKUP(TO_TEXT(B2282),PEDIDOS!D:I,6,0),IFERROR(VLOOKUP(B2282*1,PEDIDOS!D:I,6,0),"" "")))"),"ENTREGUE")</f>
        <v>ENTREGUE</v>
      </c>
      <c r="G2282" s="303"/>
      <c r="H2282" s="304"/>
    </row>
    <row r="2283">
      <c r="A2283" s="302" t="s">
        <v>3395</v>
      </c>
      <c r="B2283" s="291" t="s">
        <v>13871</v>
      </c>
      <c r="C2283" s="292" t="s">
        <v>48</v>
      </c>
      <c r="D2283" s="293">
        <f t="shared" si="2"/>
        <v>1</v>
      </c>
      <c r="E2283" s="294"/>
      <c r="F2283" s="295" t="str">
        <f>IFERROR(__xludf.DUMMYFUNCTION("IF(B2283="""","""",IFERROR(VLOOKUP(TO_TEXT(B2283),PEDIDOS!D:I,6,0),IFERROR(VLOOKUP(B2283*1,PEDIDOS!D:I,6,0),"" "")))"),"ENTREGUE")</f>
        <v>ENTREGUE</v>
      </c>
      <c r="G2283" s="303"/>
      <c r="H2283" s="304"/>
    </row>
    <row r="2284">
      <c r="A2284" s="302" t="s">
        <v>3441</v>
      </c>
      <c r="B2284" s="291" t="s">
        <v>12959</v>
      </c>
      <c r="C2284" s="292" t="s">
        <v>48</v>
      </c>
      <c r="D2284" s="293">
        <f t="shared" si="2"/>
        <v>1</v>
      </c>
      <c r="E2284" s="294"/>
      <c r="F2284" s="295" t="str">
        <f>IFERROR(__xludf.DUMMYFUNCTION("IF(B2284="""","""",IFERROR(VLOOKUP(TO_TEXT(B2284),PEDIDOS!D:I,6,0),IFERROR(VLOOKUP(B2284*1,PEDIDOS!D:I,6,0),"" "")))"),"ENTREGUE")</f>
        <v>ENTREGUE</v>
      </c>
      <c r="G2284" s="303"/>
      <c r="H2284" s="304"/>
    </row>
    <row r="2285">
      <c r="A2285" s="302" t="s">
        <v>3441</v>
      </c>
      <c r="B2285" s="291" t="s">
        <v>13317</v>
      </c>
      <c r="C2285" s="292" t="s">
        <v>48</v>
      </c>
      <c r="D2285" s="293">
        <f t="shared" si="2"/>
        <v>1</v>
      </c>
      <c r="E2285" s="294"/>
      <c r="F2285" s="295" t="str">
        <f>IFERROR(__xludf.DUMMYFUNCTION("IF(B2285="""","""",IFERROR(VLOOKUP(TO_TEXT(B2285),PEDIDOS!D:I,6,0),IFERROR(VLOOKUP(B2285*1,PEDIDOS!D:I,6,0),"" "")))"),"ENTREGUE")</f>
        <v>ENTREGUE</v>
      </c>
      <c r="G2285" s="303"/>
      <c r="H2285" s="304"/>
    </row>
    <row r="2286">
      <c r="A2286" s="302" t="s">
        <v>3441</v>
      </c>
      <c r="B2286" s="291" t="s">
        <v>13786</v>
      </c>
      <c r="C2286" s="292" t="s">
        <v>48</v>
      </c>
      <c r="D2286" s="293">
        <f t="shared" si="2"/>
        <v>1</v>
      </c>
      <c r="E2286" s="294"/>
      <c r="F2286" s="295" t="str">
        <f>IFERROR(__xludf.DUMMYFUNCTION("IF(B2286="""","""",IFERROR(VLOOKUP(TO_TEXT(B2286),PEDIDOS!D:I,6,0),IFERROR(VLOOKUP(B2286*1,PEDIDOS!D:I,6,0),"" "")))"),"ENTREGUE")</f>
        <v>ENTREGUE</v>
      </c>
      <c r="G2286" s="303"/>
      <c r="H2286" s="304"/>
    </row>
    <row r="2287">
      <c r="A2287" s="302" t="s">
        <v>3441</v>
      </c>
      <c r="B2287" s="291" t="s">
        <v>13807</v>
      </c>
      <c r="C2287" s="292" t="s">
        <v>48</v>
      </c>
      <c r="D2287" s="293">
        <f t="shared" si="2"/>
        <v>1</v>
      </c>
      <c r="E2287" s="294"/>
      <c r="F2287" s="295" t="str">
        <f>IFERROR(__xludf.DUMMYFUNCTION("IF(B2287="""","""",IFERROR(VLOOKUP(TO_TEXT(B2287),PEDIDOS!D:I,6,0),IFERROR(VLOOKUP(B2287*1,PEDIDOS!D:I,6,0),"" "")))"),"ENTREGUE")</f>
        <v>ENTREGUE</v>
      </c>
      <c r="G2287" s="303"/>
      <c r="H2287" s="304"/>
    </row>
    <row r="2288">
      <c r="A2288" s="302" t="s">
        <v>3441</v>
      </c>
      <c r="B2288" s="291" t="s">
        <v>13952</v>
      </c>
      <c r="C2288" s="292" t="s">
        <v>48</v>
      </c>
      <c r="D2288" s="293">
        <f t="shared" si="2"/>
        <v>1</v>
      </c>
      <c r="E2288" s="294"/>
      <c r="F2288" s="295" t="str">
        <f>IFERROR(__xludf.DUMMYFUNCTION("IF(B2288="""","""",IFERROR(VLOOKUP(TO_TEXT(B2288),PEDIDOS!D:I,6,0),IFERROR(VLOOKUP(B2288*1,PEDIDOS!D:I,6,0),"" "")))"),"ENTREGUE")</f>
        <v>ENTREGUE</v>
      </c>
      <c r="G2288" s="303"/>
      <c r="H2288" s="304"/>
    </row>
    <row r="2289">
      <c r="A2289" s="302" t="s">
        <v>3441</v>
      </c>
      <c r="B2289" s="291" t="s">
        <v>13836</v>
      </c>
      <c r="C2289" s="292" t="s">
        <v>48</v>
      </c>
      <c r="D2289" s="293">
        <f t="shared" si="2"/>
        <v>1</v>
      </c>
      <c r="E2289" s="294"/>
      <c r="F2289" s="295" t="str">
        <f>IFERROR(__xludf.DUMMYFUNCTION("IF(B2289="""","""",IFERROR(VLOOKUP(TO_TEXT(B2289),PEDIDOS!D:I,6,0),IFERROR(VLOOKUP(B2289*1,PEDIDOS!D:I,6,0),"" "")))"),"ENTREGUE")</f>
        <v>ENTREGUE</v>
      </c>
      <c r="G2289" s="303"/>
      <c r="H2289" s="304"/>
    </row>
    <row r="2290">
      <c r="A2290" s="302" t="s">
        <v>3441</v>
      </c>
      <c r="B2290" s="291" t="s">
        <v>13887</v>
      </c>
      <c r="C2290" s="292" t="s">
        <v>48</v>
      </c>
      <c r="D2290" s="293">
        <f t="shared" si="2"/>
        <v>1</v>
      </c>
      <c r="E2290" s="294"/>
      <c r="F2290" s="295" t="str">
        <f>IFERROR(__xludf.DUMMYFUNCTION("IF(B2290="""","""",IFERROR(VLOOKUP(TO_TEXT(B2290),PEDIDOS!D:I,6,0),IFERROR(VLOOKUP(B2290*1,PEDIDOS!D:I,6,0),"" "")))"),"ENTREGUE")</f>
        <v>ENTREGUE</v>
      </c>
      <c r="G2290" s="303"/>
      <c r="H2290" s="304"/>
    </row>
    <row r="2291">
      <c r="A2291" s="302" t="s">
        <v>3441</v>
      </c>
      <c r="B2291" s="291" t="s">
        <v>13544</v>
      </c>
      <c r="C2291" s="292" t="s">
        <v>48</v>
      </c>
      <c r="D2291" s="293">
        <f t="shared" si="2"/>
        <v>1</v>
      </c>
      <c r="E2291" s="294"/>
      <c r="F2291" s="295" t="str">
        <f>IFERROR(__xludf.DUMMYFUNCTION("IF(B2291="""","""",IFERROR(VLOOKUP(TO_TEXT(B2291),PEDIDOS!D:I,6,0),IFERROR(VLOOKUP(B2291*1,PEDIDOS!D:I,6,0),"" "")))"),"ENTREGUE")</f>
        <v>ENTREGUE</v>
      </c>
      <c r="G2291" s="303"/>
      <c r="H2291" s="304"/>
    </row>
    <row r="2292">
      <c r="A2292" s="302" t="s">
        <v>3441</v>
      </c>
      <c r="B2292" s="291" t="s">
        <v>13769</v>
      </c>
      <c r="C2292" s="292" t="s">
        <v>48</v>
      </c>
      <c r="D2292" s="293">
        <f t="shared" si="2"/>
        <v>1</v>
      </c>
      <c r="E2292" s="294"/>
      <c r="F2292" s="295" t="str">
        <f>IFERROR(__xludf.DUMMYFUNCTION("IF(B2292="""","""",IFERROR(VLOOKUP(TO_TEXT(B2292),PEDIDOS!D:I,6,0),IFERROR(VLOOKUP(B2292*1,PEDIDOS!D:I,6,0),"" "")))"),"ENTREGUE")</f>
        <v>ENTREGUE</v>
      </c>
      <c r="G2292" s="303"/>
      <c r="H2292" s="304"/>
    </row>
    <row r="2293">
      <c r="A2293" s="302" t="s">
        <v>3441</v>
      </c>
      <c r="B2293" s="291" t="s">
        <v>13989</v>
      </c>
      <c r="C2293" s="292" t="s">
        <v>48</v>
      </c>
      <c r="D2293" s="293">
        <f t="shared" si="2"/>
        <v>1</v>
      </c>
      <c r="E2293" s="294"/>
      <c r="F2293" s="295" t="str">
        <f>IFERROR(__xludf.DUMMYFUNCTION("IF(B2293="""","""",IFERROR(VLOOKUP(TO_TEXT(B2293),PEDIDOS!D:I,6,0),IFERROR(VLOOKUP(B2293*1,PEDIDOS!D:I,6,0),"" "")))"),"ENTREGUE")</f>
        <v>ENTREGUE</v>
      </c>
      <c r="G2293" s="303"/>
      <c r="H2293" s="304"/>
    </row>
    <row r="2294">
      <c r="A2294" s="302" t="s">
        <v>3441</v>
      </c>
      <c r="B2294" s="291" t="s">
        <v>15057</v>
      </c>
      <c r="C2294" s="292" t="s">
        <v>48</v>
      </c>
      <c r="D2294" s="293">
        <f t="shared" si="2"/>
        <v>1</v>
      </c>
      <c r="E2294" s="294"/>
      <c r="F2294" s="295" t="str">
        <f>IFERROR(__xludf.DUMMYFUNCTION("IF(B2294="""","""",IFERROR(VLOOKUP(TO_TEXT(B2294),PEDIDOS!D:I,6,0),IFERROR(VLOOKUP(B2294*1,PEDIDOS!D:I,6,0),"" "")))"),"ENTREGUE")</f>
        <v>ENTREGUE</v>
      </c>
      <c r="G2294" s="303"/>
      <c r="H2294" s="304"/>
    </row>
    <row r="2295">
      <c r="A2295" s="302" t="s">
        <v>3441</v>
      </c>
      <c r="B2295" s="291" t="s">
        <v>13975</v>
      </c>
      <c r="C2295" s="292" t="s">
        <v>48</v>
      </c>
      <c r="D2295" s="293">
        <f t="shared" si="2"/>
        <v>1</v>
      </c>
      <c r="E2295" s="294"/>
      <c r="F2295" s="295" t="str">
        <f>IFERROR(__xludf.DUMMYFUNCTION("IF(B2295="""","""",IFERROR(VLOOKUP(TO_TEXT(B2295),PEDIDOS!D:I,6,0),IFERROR(VLOOKUP(B2295*1,PEDIDOS!D:I,6,0),"" "")))"),"ENTREGUE")</f>
        <v>ENTREGUE</v>
      </c>
      <c r="G2295" s="303"/>
      <c r="H2295" s="304"/>
    </row>
    <row r="2296">
      <c r="A2296" s="302" t="s">
        <v>3441</v>
      </c>
      <c r="B2296" s="291" t="s">
        <v>13982</v>
      </c>
      <c r="C2296" s="292" t="s">
        <v>48</v>
      </c>
      <c r="D2296" s="293">
        <f t="shared" si="2"/>
        <v>1</v>
      </c>
      <c r="E2296" s="294"/>
      <c r="F2296" s="295" t="str">
        <f>IFERROR(__xludf.DUMMYFUNCTION("IF(B2296="""","""",IFERROR(VLOOKUP(TO_TEXT(B2296),PEDIDOS!D:I,6,0),IFERROR(VLOOKUP(B2296*1,PEDIDOS!D:I,6,0),"" "")))"),"ENTREGUE")</f>
        <v>ENTREGUE</v>
      </c>
      <c r="G2296" s="303"/>
      <c r="H2296" s="304"/>
    </row>
    <row r="2297">
      <c r="A2297" s="302" t="s">
        <v>3441</v>
      </c>
      <c r="B2297" s="291" t="s">
        <v>14528</v>
      </c>
      <c r="C2297" s="292" t="s">
        <v>48</v>
      </c>
      <c r="D2297" s="293">
        <f t="shared" si="2"/>
        <v>1</v>
      </c>
      <c r="E2297" s="294"/>
      <c r="F2297" s="295" t="str">
        <f>IFERROR(__xludf.DUMMYFUNCTION("IF(B2297="""","""",IFERROR(VLOOKUP(TO_TEXT(B2297),PEDIDOS!D:I,6,0),IFERROR(VLOOKUP(B2297*1,PEDIDOS!D:I,6,0),"" "")))"),"ENTREGUE")</f>
        <v>ENTREGUE</v>
      </c>
      <c r="G2297" s="303"/>
      <c r="H2297" s="304"/>
    </row>
    <row r="2298">
      <c r="A2298" s="302" t="s">
        <v>3441</v>
      </c>
      <c r="B2298" s="291" t="s">
        <v>14162</v>
      </c>
      <c r="C2298" s="292" t="s">
        <v>48</v>
      </c>
      <c r="D2298" s="293">
        <f t="shared" si="2"/>
        <v>1</v>
      </c>
      <c r="E2298" s="294"/>
      <c r="F2298" s="295" t="str">
        <f>IFERROR(__xludf.DUMMYFUNCTION("IF(B2298="""","""",IFERROR(VLOOKUP(TO_TEXT(B2298),PEDIDOS!D:I,6,0),IFERROR(VLOOKUP(B2298*1,PEDIDOS!D:I,6,0),"" "")))"),"ENTREGUE")</f>
        <v>ENTREGUE</v>
      </c>
      <c r="G2298" s="303"/>
      <c r="H2298" s="304"/>
    </row>
    <row r="2299">
      <c r="A2299" s="302" t="s">
        <v>3441</v>
      </c>
      <c r="B2299" s="291" t="s">
        <v>13717</v>
      </c>
      <c r="C2299" s="292" t="s">
        <v>48</v>
      </c>
      <c r="D2299" s="293">
        <f t="shared" si="2"/>
        <v>1</v>
      </c>
      <c r="E2299" s="294"/>
      <c r="F2299" s="295" t="str">
        <f>IFERROR(__xludf.DUMMYFUNCTION("IF(B2299="""","""",IFERROR(VLOOKUP(TO_TEXT(B2299),PEDIDOS!D:I,6,0),IFERROR(VLOOKUP(B2299*1,PEDIDOS!D:I,6,0),"" "")))"),"ENTREGUE")</f>
        <v>ENTREGUE</v>
      </c>
      <c r="G2299" s="303"/>
      <c r="H2299" s="304"/>
    </row>
    <row r="2300">
      <c r="A2300" s="302" t="s">
        <v>3441</v>
      </c>
      <c r="B2300" s="291" t="s">
        <v>13259</v>
      </c>
      <c r="C2300" s="292" t="s">
        <v>48</v>
      </c>
      <c r="D2300" s="293">
        <f t="shared" si="2"/>
        <v>1</v>
      </c>
      <c r="E2300" s="294"/>
      <c r="F2300" s="295" t="str">
        <f>IFERROR(__xludf.DUMMYFUNCTION("IF(B2300="""","""",IFERROR(VLOOKUP(TO_TEXT(B2300),PEDIDOS!D:I,6,0),IFERROR(VLOOKUP(B2300*1,PEDIDOS!D:I,6,0),"" "")))"),"ENTREGUE")</f>
        <v>ENTREGUE</v>
      </c>
      <c r="G2300" s="303"/>
      <c r="H2300" s="304"/>
    </row>
    <row r="2301">
      <c r="A2301" s="302" t="s">
        <v>3441</v>
      </c>
      <c r="B2301" s="291" t="s">
        <v>14488</v>
      </c>
      <c r="C2301" s="292" t="s">
        <v>48</v>
      </c>
      <c r="D2301" s="293">
        <f t="shared" si="2"/>
        <v>1</v>
      </c>
      <c r="E2301" s="294"/>
      <c r="F2301" s="295" t="str">
        <f>IFERROR(__xludf.DUMMYFUNCTION("IF(B2301="""","""",IFERROR(VLOOKUP(TO_TEXT(B2301),PEDIDOS!D:I,6,0),IFERROR(VLOOKUP(B2301*1,PEDIDOS!D:I,6,0),"" "")))"),"ENTREGUE")</f>
        <v>ENTREGUE</v>
      </c>
      <c r="G2301" s="303"/>
      <c r="H2301" s="304"/>
    </row>
    <row r="2302">
      <c r="A2302" s="302" t="s">
        <v>3441</v>
      </c>
      <c r="B2302" s="291" t="s">
        <v>14410</v>
      </c>
      <c r="C2302" s="292" t="s">
        <v>48</v>
      </c>
      <c r="D2302" s="293">
        <f t="shared" si="2"/>
        <v>1</v>
      </c>
      <c r="E2302" s="294"/>
      <c r="F2302" s="295" t="str">
        <f>IFERROR(__xludf.DUMMYFUNCTION("IF(B2302="""","""",IFERROR(VLOOKUP(TO_TEXT(B2302),PEDIDOS!D:I,6,0),IFERROR(VLOOKUP(B2302*1,PEDIDOS!D:I,6,0),"" "")))"),"ENTREGUE")</f>
        <v>ENTREGUE</v>
      </c>
      <c r="G2302" s="303"/>
      <c r="H2302" s="304"/>
    </row>
    <row r="2303">
      <c r="A2303" s="302" t="s">
        <v>3441</v>
      </c>
      <c r="B2303" s="291" t="s">
        <v>12967</v>
      </c>
      <c r="C2303" s="292" t="s">
        <v>48</v>
      </c>
      <c r="D2303" s="293">
        <f t="shared" si="2"/>
        <v>1</v>
      </c>
      <c r="E2303" s="294"/>
      <c r="F2303" s="295" t="str">
        <f>IFERROR(__xludf.DUMMYFUNCTION("IF(B2303="""","""",IFERROR(VLOOKUP(TO_TEXT(B2303),PEDIDOS!D:I,6,0),IFERROR(VLOOKUP(B2303*1,PEDIDOS!D:I,6,0),"" "")))"),"ENTREGUE")</f>
        <v>ENTREGUE</v>
      </c>
      <c r="G2303" s="303"/>
      <c r="H2303" s="304"/>
    </row>
    <row r="2304">
      <c r="A2304" s="302" t="s">
        <v>3441</v>
      </c>
      <c r="B2304" s="291" t="s">
        <v>14474</v>
      </c>
      <c r="C2304" s="292" t="s">
        <v>48</v>
      </c>
      <c r="D2304" s="293">
        <f t="shared" si="2"/>
        <v>1</v>
      </c>
      <c r="E2304" s="294"/>
      <c r="F2304" s="295" t="str">
        <f>IFERROR(__xludf.DUMMYFUNCTION("IF(B2304="""","""",IFERROR(VLOOKUP(TO_TEXT(B2304),PEDIDOS!D:I,6,0),IFERROR(VLOOKUP(B2304*1,PEDIDOS!D:I,6,0),"" "")))"),"ENTREGUE")</f>
        <v>ENTREGUE</v>
      </c>
      <c r="G2304" s="303"/>
      <c r="H2304" s="304"/>
    </row>
    <row r="2305">
      <c r="A2305" s="302" t="s">
        <v>3441</v>
      </c>
      <c r="B2305" s="291" t="s">
        <v>12683</v>
      </c>
      <c r="C2305" s="292" t="s">
        <v>48</v>
      </c>
      <c r="D2305" s="293">
        <f t="shared" si="2"/>
        <v>1</v>
      </c>
      <c r="E2305" s="294"/>
      <c r="F2305" s="295" t="str">
        <f>IFERROR(__xludf.DUMMYFUNCTION("IF(B2305="""","""",IFERROR(VLOOKUP(TO_TEXT(B2305),PEDIDOS!D:I,6,0),IFERROR(VLOOKUP(B2305*1,PEDIDOS!D:I,6,0),"" "")))"),"ENTREGUE")</f>
        <v>ENTREGUE</v>
      </c>
      <c r="G2305" s="303"/>
      <c r="H2305" s="304"/>
    </row>
    <row r="2306">
      <c r="A2306" s="302" t="s">
        <v>3441</v>
      </c>
      <c r="B2306" s="291" t="s">
        <v>14107</v>
      </c>
      <c r="C2306" s="292" t="s">
        <v>48</v>
      </c>
      <c r="D2306" s="293">
        <f t="shared" si="2"/>
        <v>1</v>
      </c>
      <c r="E2306" s="294"/>
      <c r="F2306" s="295" t="str">
        <f>IFERROR(__xludf.DUMMYFUNCTION("IF(B2306="""","""",IFERROR(VLOOKUP(TO_TEXT(B2306),PEDIDOS!D:I,6,0),IFERROR(VLOOKUP(B2306*1,PEDIDOS!D:I,6,0),"" "")))"),"ENTREGUE")</f>
        <v>ENTREGUE</v>
      </c>
      <c r="G2306" s="303"/>
      <c r="H2306" s="304"/>
    </row>
    <row r="2307">
      <c r="A2307" s="302" t="s">
        <v>3441</v>
      </c>
      <c r="B2307" s="291" t="s">
        <v>13832</v>
      </c>
      <c r="C2307" s="292" t="s">
        <v>48</v>
      </c>
      <c r="D2307" s="293">
        <f t="shared" si="2"/>
        <v>1</v>
      </c>
      <c r="E2307" s="294"/>
      <c r="F2307" s="295" t="str">
        <f>IFERROR(__xludf.DUMMYFUNCTION("IF(B2307="""","""",IFERROR(VLOOKUP(TO_TEXT(B2307),PEDIDOS!D:I,6,0),IFERROR(VLOOKUP(B2307*1,PEDIDOS!D:I,6,0),"" "")))"),"ENTREGUE")</f>
        <v>ENTREGUE</v>
      </c>
      <c r="G2307" s="303"/>
      <c r="H2307" s="304"/>
    </row>
    <row r="2308">
      <c r="A2308" s="302" t="s">
        <v>3441</v>
      </c>
      <c r="B2308" s="291" t="s">
        <v>13028</v>
      </c>
      <c r="C2308" s="292" t="s">
        <v>48</v>
      </c>
      <c r="D2308" s="293">
        <f t="shared" si="2"/>
        <v>1</v>
      </c>
      <c r="E2308" s="294"/>
      <c r="F2308" s="295" t="str">
        <f>IFERROR(__xludf.DUMMYFUNCTION("IF(B2308="""","""",IFERROR(VLOOKUP(TO_TEXT(B2308),PEDIDOS!D:I,6,0),IFERROR(VLOOKUP(B2308*1,PEDIDOS!D:I,6,0),"" "")))"),"ENTREGUE")</f>
        <v>ENTREGUE</v>
      </c>
      <c r="G2308" s="303"/>
      <c r="H2308" s="304"/>
    </row>
    <row r="2309">
      <c r="A2309" s="302" t="s">
        <v>3441</v>
      </c>
      <c r="B2309" s="291" t="s">
        <v>13994</v>
      </c>
      <c r="C2309" s="292" t="s">
        <v>48</v>
      </c>
      <c r="D2309" s="293">
        <f t="shared" si="2"/>
        <v>1</v>
      </c>
      <c r="E2309" s="294"/>
      <c r="F2309" s="295" t="str">
        <f>IFERROR(__xludf.DUMMYFUNCTION("IF(B2309="""","""",IFERROR(VLOOKUP(TO_TEXT(B2309),PEDIDOS!D:I,6,0),IFERROR(VLOOKUP(B2309*1,PEDIDOS!D:I,6,0),"" "")))"),"ENTREGUE")</f>
        <v>ENTREGUE</v>
      </c>
      <c r="G2309" s="303"/>
      <c r="H2309" s="304"/>
    </row>
    <row r="2310">
      <c r="A2310" s="302" t="s">
        <v>3441</v>
      </c>
      <c r="B2310" s="291" t="s">
        <v>13099</v>
      </c>
      <c r="C2310" s="292" t="s">
        <v>48</v>
      </c>
      <c r="D2310" s="293">
        <f t="shared" si="2"/>
        <v>1</v>
      </c>
      <c r="E2310" s="294"/>
      <c r="F2310" s="295" t="str">
        <f>IFERROR(__xludf.DUMMYFUNCTION("IF(B2310="""","""",IFERROR(VLOOKUP(TO_TEXT(B2310),PEDIDOS!D:I,6,0),IFERROR(VLOOKUP(B2310*1,PEDIDOS!D:I,6,0),"" "")))"),"ENTREGUE")</f>
        <v>ENTREGUE</v>
      </c>
      <c r="G2310" s="303"/>
      <c r="H2310" s="304"/>
    </row>
    <row r="2311">
      <c r="A2311" s="302" t="s">
        <v>3441</v>
      </c>
      <c r="B2311" s="291" t="s">
        <v>14088</v>
      </c>
      <c r="C2311" s="292" t="s">
        <v>48</v>
      </c>
      <c r="D2311" s="293">
        <f t="shared" si="2"/>
        <v>1</v>
      </c>
      <c r="E2311" s="294"/>
      <c r="F2311" s="295" t="str">
        <f>IFERROR(__xludf.DUMMYFUNCTION("IF(B2311="""","""",IFERROR(VLOOKUP(TO_TEXT(B2311),PEDIDOS!D:I,6,0),IFERROR(VLOOKUP(B2311*1,PEDIDOS!D:I,6,0),"" "")))"),"ENTREGUE")</f>
        <v>ENTREGUE</v>
      </c>
      <c r="G2311" s="303"/>
      <c r="H2311" s="304"/>
    </row>
    <row r="2312">
      <c r="A2312" s="302" t="s">
        <v>3441</v>
      </c>
      <c r="B2312" s="291" t="s">
        <v>14084</v>
      </c>
      <c r="C2312" s="292" t="s">
        <v>48</v>
      </c>
      <c r="D2312" s="293">
        <f t="shared" si="2"/>
        <v>1</v>
      </c>
      <c r="E2312" s="294"/>
      <c r="F2312" s="295" t="str">
        <f>IFERROR(__xludf.DUMMYFUNCTION("IF(B2312="""","""",IFERROR(VLOOKUP(TO_TEXT(B2312),PEDIDOS!D:I,6,0),IFERROR(VLOOKUP(B2312*1,PEDIDOS!D:I,6,0),"" "")))"),"ENTREGUE")</f>
        <v>ENTREGUE</v>
      </c>
      <c r="G2312" s="303"/>
      <c r="H2312" s="304"/>
    </row>
    <row r="2313">
      <c r="A2313" s="302" t="s">
        <v>3441</v>
      </c>
      <c r="B2313" s="291" t="s">
        <v>14157</v>
      </c>
      <c r="C2313" s="292" t="s">
        <v>48</v>
      </c>
      <c r="D2313" s="293">
        <f t="shared" si="2"/>
        <v>1</v>
      </c>
      <c r="E2313" s="294"/>
      <c r="F2313" s="295" t="str">
        <f>IFERROR(__xludf.DUMMYFUNCTION("IF(B2313="""","""",IFERROR(VLOOKUP(TO_TEXT(B2313),PEDIDOS!D:I,6,0),IFERROR(VLOOKUP(B2313*1,PEDIDOS!D:I,6,0),"" "")))"),"ENTREGUE")</f>
        <v>ENTREGUE</v>
      </c>
      <c r="G2313" s="303"/>
      <c r="H2313" s="304"/>
    </row>
    <row r="2314">
      <c r="A2314" s="302" t="s">
        <v>3441</v>
      </c>
      <c r="B2314" s="291" t="s">
        <v>13103</v>
      </c>
      <c r="C2314" s="292" t="s">
        <v>48</v>
      </c>
      <c r="D2314" s="293">
        <f t="shared" si="2"/>
        <v>1</v>
      </c>
      <c r="E2314" s="294"/>
      <c r="F2314" s="295" t="str">
        <f>IFERROR(__xludf.DUMMYFUNCTION("IF(B2314="""","""",IFERROR(VLOOKUP(TO_TEXT(B2314),PEDIDOS!D:I,6,0),IFERROR(VLOOKUP(B2314*1,PEDIDOS!D:I,6,0),"" "")))"),"ENTREGUE")</f>
        <v>ENTREGUE</v>
      </c>
      <c r="G2314" s="303"/>
      <c r="H2314" s="304"/>
    </row>
    <row r="2315">
      <c r="A2315" s="302" t="s">
        <v>3441</v>
      </c>
      <c r="B2315" s="291" t="s">
        <v>13712</v>
      </c>
      <c r="C2315" s="292" t="s">
        <v>48</v>
      </c>
      <c r="D2315" s="293">
        <f t="shared" si="2"/>
        <v>1</v>
      </c>
      <c r="E2315" s="294"/>
      <c r="F2315" s="295" t="str">
        <f>IFERROR(__xludf.DUMMYFUNCTION("IF(B2315="""","""",IFERROR(VLOOKUP(TO_TEXT(B2315),PEDIDOS!D:I,6,0),IFERROR(VLOOKUP(B2315*1,PEDIDOS!D:I,6,0),"" "")))"),"ENTREGUE")</f>
        <v>ENTREGUE</v>
      </c>
      <c r="G2315" s="303"/>
      <c r="H2315" s="304"/>
    </row>
    <row r="2316">
      <c r="A2316" s="302" t="s">
        <v>3441</v>
      </c>
      <c r="B2316" s="291" t="s">
        <v>13392</v>
      </c>
      <c r="C2316" s="292" t="s">
        <v>48</v>
      </c>
      <c r="D2316" s="293">
        <f t="shared" si="2"/>
        <v>1</v>
      </c>
      <c r="E2316" s="294"/>
      <c r="F2316" s="295" t="str">
        <f>IFERROR(__xludf.DUMMYFUNCTION("IF(B2316="""","""",IFERROR(VLOOKUP(TO_TEXT(B2316),PEDIDOS!D:I,6,0),IFERROR(VLOOKUP(B2316*1,PEDIDOS!D:I,6,0),"" "")))"),"ENTREGUE")</f>
        <v>ENTREGUE</v>
      </c>
      <c r="G2316" s="303"/>
      <c r="H2316" s="304"/>
    </row>
    <row r="2317">
      <c r="A2317" s="302" t="s">
        <v>3441</v>
      </c>
      <c r="B2317" s="291" t="s">
        <v>14180</v>
      </c>
      <c r="C2317" s="292" t="s">
        <v>48</v>
      </c>
      <c r="D2317" s="293">
        <f t="shared" si="2"/>
        <v>1</v>
      </c>
      <c r="E2317" s="294"/>
      <c r="F2317" s="295" t="str">
        <f>IFERROR(__xludf.DUMMYFUNCTION("IF(B2317="""","""",IFERROR(VLOOKUP(TO_TEXT(B2317),PEDIDOS!D:I,6,0),IFERROR(VLOOKUP(B2317*1,PEDIDOS!D:I,6,0),"" "")))"),"ENTREGUE")</f>
        <v>ENTREGUE</v>
      </c>
      <c r="G2317" s="303"/>
      <c r="H2317" s="304"/>
    </row>
    <row r="2318">
      <c r="A2318" s="302" t="s">
        <v>3441</v>
      </c>
      <c r="B2318" s="291" t="s">
        <v>12938</v>
      </c>
      <c r="C2318" s="292" t="s">
        <v>48</v>
      </c>
      <c r="D2318" s="293">
        <f t="shared" si="2"/>
        <v>1</v>
      </c>
      <c r="E2318" s="294"/>
      <c r="F2318" s="295" t="str">
        <f>IFERROR(__xludf.DUMMYFUNCTION("IF(B2318="""","""",IFERROR(VLOOKUP(TO_TEXT(B2318),PEDIDOS!D:I,6,0),IFERROR(VLOOKUP(B2318*1,PEDIDOS!D:I,6,0),"" "")))"),"ENTREGUE")</f>
        <v>ENTREGUE</v>
      </c>
      <c r="G2318" s="303"/>
      <c r="H2318" s="304"/>
    </row>
    <row r="2319">
      <c r="A2319" s="302" t="s">
        <v>3441</v>
      </c>
      <c r="B2319" s="291" t="s">
        <v>13388</v>
      </c>
      <c r="C2319" s="292" t="s">
        <v>48</v>
      </c>
      <c r="D2319" s="293">
        <f t="shared" si="2"/>
        <v>1</v>
      </c>
      <c r="E2319" s="294"/>
      <c r="F2319" s="295" t="str">
        <f>IFERROR(__xludf.DUMMYFUNCTION("IF(B2319="""","""",IFERROR(VLOOKUP(TO_TEXT(B2319),PEDIDOS!D:I,6,0),IFERROR(VLOOKUP(B2319*1,PEDIDOS!D:I,6,0),"" "")))"),"ENTREGUE")</f>
        <v>ENTREGUE</v>
      </c>
      <c r="G2319" s="303"/>
      <c r="H2319" s="304"/>
    </row>
    <row r="2320">
      <c r="A2320" s="302" t="s">
        <v>3441</v>
      </c>
      <c r="B2320" s="291" t="s">
        <v>14307</v>
      </c>
      <c r="C2320" s="292" t="s">
        <v>48</v>
      </c>
      <c r="D2320" s="293">
        <f t="shared" si="2"/>
        <v>1</v>
      </c>
      <c r="E2320" s="294"/>
      <c r="F2320" s="295" t="str">
        <f>IFERROR(__xludf.DUMMYFUNCTION("IF(B2320="""","""",IFERROR(VLOOKUP(TO_TEXT(B2320),PEDIDOS!D:I,6,0),IFERROR(VLOOKUP(B2320*1,PEDIDOS!D:I,6,0),"" "")))"),"ENTREGUE")</f>
        <v>ENTREGUE</v>
      </c>
      <c r="G2320" s="303"/>
      <c r="H2320" s="304"/>
    </row>
    <row r="2321">
      <c r="A2321" s="302" t="s">
        <v>3441</v>
      </c>
      <c r="B2321" s="291" t="s">
        <v>14211</v>
      </c>
      <c r="C2321" s="292" t="s">
        <v>48</v>
      </c>
      <c r="D2321" s="293">
        <f t="shared" si="2"/>
        <v>1</v>
      </c>
      <c r="E2321" s="294"/>
      <c r="F2321" s="295" t="str">
        <f>IFERROR(__xludf.DUMMYFUNCTION("IF(B2321="""","""",IFERROR(VLOOKUP(TO_TEXT(B2321),PEDIDOS!D:I,6,0),IFERROR(VLOOKUP(B2321*1,PEDIDOS!D:I,6,0),"" "")))"),"ENTREGUE")</f>
        <v>ENTREGUE</v>
      </c>
      <c r="G2321" s="303"/>
      <c r="H2321" s="304"/>
    </row>
    <row r="2322">
      <c r="A2322" s="302" t="s">
        <v>3441</v>
      </c>
      <c r="B2322" s="291" t="s">
        <v>13196</v>
      </c>
      <c r="C2322" s="292" t="s">
        <v>48</v>
      </c>
      <c r="D2322" s="293">
        <f t="shared" si="2"/>
        <v>1</v>
      </c>
      <c r="E2322" s="294"/>
      <c r="F2322" s="295" t="str">
        <f>IFERROR(__xludf.DUMMYFUNCTION("IF(B2322="""","""",IFERROR(VLOOKUP(TO_TEXT(B2322),PEDIDOS!D:I,6,0),IFERROR(VLOOKUP(B2322*1,PEDIDOS!D:I,6,0),"" "")))"),"ENTREGUE")</f>
        <v>ENTREGUE</v>
      </c>
      <c r="G2322" s="303"/>
      <c r="H2322" s="304"/>
    </row>
    <row r="2323">
      <c r="A2323" s="302" t="s">
        <v>3441</v>
      </c>
      <c r="B2323" s="291" t="s">
        <v>14303</v>
      </c>
      <c r="C2323" s="292" t="s">
        <v>48</v>
      </c>
      <c r="D2323" s="293">
        <f t="shared" si="2"/>
        <v>1</v>
      </c>
      <c r="E2323" s="294"/>
      <c r="F2323" s="295" t="str">
        <f>IFERROR(__xludf.DUMMYFUNCTION("IF(B2323="""","""",IFERROR(VLOOKUP(TO_TEXT(B2323),PEDIDOS!D:I,6,0),IFERROR(VLOOKUP(B2323*1,PEDIDOS!D:I,6,0),"" "")))"),"ENTREGUE")</f>
        <v>ENTREGUE</v>
      </c>
      <c r="G2323" s="303"/>
      <c r="H2323" s="304"/>
    </row>
    <row r="2324">
      <c r="A2324" s="302" t="s">
        <v>3441</v>
      </c>
      <c r="B2324" s="291" t="s">
        <v>14065</v>
      </c>
      <c r="C2324" s="292" t="s">
        <v>48</v>
      </c>
      <c r="D2324" s="293">
        <f t="shared" si="2"/>
        <v>1</v>
      </c>
      <c r="E2324" s="294"/>
      <c r="F2324" s="295" t="str">
        <f>IFERROR(__xludf.DUMMYFUNCTION("IF(B2324="""","""",IFERROR(VLOOKUP(TO_TEXT(B2324),PEDIDOS!D:I,6,0),IFERROR(VLOOKUP(B2324*1,PEDIDOS!D:I,6,0),"" "")))"),"ENTREGUE")</f>
        <v>ENTREGUE</v>
      </c>
      <c r="G2324" s="303"/>
      <c r="H2324" s="304"/>
    </row>
    <row r="2325">
      <c r="A2325" s="302" t="s">
        <v>3441</v>
      </c>
      <c r="B2325" s="291" t="s">
        <v>13671</v>
      </c>
      <c r="C2325" s="292" t="s">
        <v>48</v>
      </c>
      <c r="D2325" s="293">
        <f t="shared" si="2"/>
        <v>1</v>
      </c>
      <c r="E2325" s="294"/>
      <c r="F2325" s="295" t="str">
        <f>IFERROR(__xludf.DUMMYFUNCTION("IF(B2325="""","""",IFERROR(VLOOKUP(TO_TEXT(B2325),PEDIDOS!D:I,6,0),IFERROR(VLOOKUP(B2325*1,PEDIDOS!D:I,6,0),"" "")))"),"ENTREGUE")</f>
        <v>ENTREGUE</v>
      </c>
      <c r="G2325" s="303"/>
      <c r="H2325" s="304"/>
    </row>
    <row r="2326">
      <c r="A2326" s="302" t="s">
        <v>3441</v>
      </c>
      <c r="B2326" s="291" t="s">
        <v>13590</v>
      </c>
      <c r="C2326" s="292" t="s">
        <v>48</v>
      </c>
      <c r="D2326" s="293">
        <f t="shared" si="2"/>
        <v>1</v>
      </c>
      <c r="E2326" s="294"/>
      <c r="F2326" s="295" t="str">
        <f>IFERROR(__xludf.DUMMYFUNCTION("IF(B2326="""","""",IFERROR(VLOOKUP(TO_TEXT(B2326),PEDIDOS!D:I,6,0),IFERROR(VLOOKUP(B2326*1,PEDIDOS!D:I,6,0),"" "")))"),"ENTREGUE")</f>
        <v>ENTREGUE</v>
      </c>
      <c r="G2326" s="303"/>
      <c r="H2326" s="304"/>
    </row>
    <row r="2327">
      <c r="A2327" s="302" t="s">
        <v>3441</v>
      </c>
      <c r="B2327" s="291" t="s">
        <v>14345</v>
      </c>
      <c r="C2327" s="292" t="s">
        <v>48</v>
      </c>
      <c r="D2327" s="293">
        <f t="shared" si="2"/>
        <v>1</v>
      </c>
      <c r="E2327" s="294"/>
      <c r="F2327" s="295" t="str">
        <f>IFERROR(__xludf.DUMMYFUNCTION("IF(B2327="""","""",IFERROR(VLOOKUP(TO_TEXT(B2327),PEDIDOS!D:I,6,0),IFERROR(VLOOKUP(B2327*1,PEDIDOS!D:I,6,0),"" "")))"),"ENTREGUE")</f>
        <v>ENTREGUE</v>
      </c>
      <c r="G2327" s="303"/>
      <c r="H2327" s="304"/>
    </row>
    <row r="2328">
      <c r="A2328" s="302" t="s">
        <v>3441</v>
      </c>
      <c r="B2328" s="291" t="s">
        <v>13533</v>
      </c>
      <c r="C2328" s="292" t="s">
        <v>48</v>
      </c>
      <c r="D2328" s="293">
        <f t="shared" si="2"/>
        <v>1</v>
      </c>
      <c r="E2328" s="294"/>
      <c r="F2328" s="295" t="str">
        <f>IFERROR(__xludf.DUMMYFUNCTION("IF(B2328="""","""",IFERROR(VLOOKUP(TO_TEXT(B2328),PEDIDOS!D:I,6,0),IFERROR(VLOOKUP(B2328*1,PEDIDOS!D:I,6,0),"" "")))"),"ENTREGUE")</f>
        <v>ENTREGUE</v>
      </c>
      <c r="G2328" s="303"/>
      <c r="H2328" s="304"/>
    </row>
    <row r="2329">
      <c r="A2329" s="302" t="s">
        <v>3441</v>
      </c>
      <c r="B2329" s="291" t="s">
        <v>14315</v>
      </c>
      <c r="C2329" s="292" t="s">
        <v>48</v>
      </c>
      <c r="D2329" s="293">
        <f t="shared" si="2"/>
        <v>1</v>
      </c>
      <c r="E2329" s="294"/>
      <c r="F2329" s="295" t="str">
        <f>IFERROR(__xludf.DUMMYFUNCTION("IF(B2329="""","""",IFERROR(VLOOKUP(TO_TEXT(B2329),PEDIDOS!D:I,6,0),IFERROR(VLOOKUP(B2329*1,PEDIDOS!D:I,6,0),"" "")))"),"ENTREGUE")</f>
        <v>ENTREGUE</v>
      </c>
      <c r="G2329" s="303"/>
      <c r="H2329" s="304"/>
    </row>
    <row r="2330">
      <c r="A2330" s="302" t="s">
        <v>3441</v>
      </c>
      <c r="B2330" s="291" t="s">
        <v>13277</v>
      </c>
      <c r="C2330" s="292" t="s">
        <v>48</v>
      </c>
      <c r="D2330" s="293">
        <f t="shared" si="2"/>
        <v>1</v>
      </c>
      <c r="E2330" s="294"/>
      <c r="F2330" s="295" t="str">
        <f>IFERROR(__xludf.DUMMYFUNCTION("IF(B2330="""","""",IFERROR(VLOOKUP(TO_TEXT(B2330),PEDIDOS!D:I,6,0),IFERROR(VLOOKUP(B2330*1,PEDIDOS!D:I,6,0),"" "")))"),"ENTREGUE")</f>
        <v>ENTREGUE</v>
      </c>
      <c r="G2330" s="303"/>
      <c r="H2330" s="304"/>
    </row>
    <row r="2331">
      <c r="A2331" s="302" t="s">
        <v>3441</v>
      </c>
      <c r="B2331" s="291" t="s">
        <v>14556</v>
      </c>
      <c r="C2331" s="292" t="s">
        <v>48</v>
      </c>
      <c r="D2331" s="293">
        <f t="shared" si="2"/>
        <v>1</v>
      </c>
      <c r="E2331" s="294"/>
      <c r="F2331" s="295" t="str">
        <f>IFERROR(__xludf.DUMMYFUNCTION("IF(B2331="""","""",IFERROR(VLOOKUP(TO_TEXT(B2331),PEDIDOS!D:I,6,0),IFERROR(VLOOKUP(B2331*1,PEDIDOS!D:I,6,0),"" "")))"),"ENTREGUE")</f>
        <v>ENTREGUE</v>
      </c>
      <c r="G2331" s="303"/>
      <c r="H2331" s="304"/>
    </row>
    <row r="2332">
      <c r="A2332" s="302" t="s">
        <v>3441</v>
      </c>
      <c r="B2332" s="291" t="s">
        <v>14820</v>
      </c>
      <c r="C2332" s="292" t="s">
        <v>48</v>
      </c>
      <c r="D2332" s="293">
        <f t="shared" si="2"/>
        <v>1</v>
      </c>
      <c r="E2332" s="294"/>
      <c r="F2332" s="295" t="str">
        <f>IFERROR(__xludf.DUMMYFUNCTION("IF(B2332="""","""",IFERROR(VLOOKUP(TO_TEXT(B2332),PEDIDOS!D:I,6,0),IFERROR(VLOOKUP(B2332*1,PEDIDOS!D:I,6,0),"" "")))"),"ENTREGUE")</f>
        <v>ENTREGUE</v>
      </c>
      <c r="G2332" s="303"/>
      <c r="H2332" s="304"/>
    </row>
    <row r="2333">
      <c r="A2333" s="302" t="s">
        <v>3441</v>
      </c>
      <c r="B2333" s="291" t="s">
        <v>12994</v>
      </c>
      <c r="C2333" s="292" t="s">
        <v>48</v>
      </c>
      <c r="D2333" s="293">
        <f t="shared" si="2"/>
        <v>1</v>
      </c>
      <c r="E2333" s="294"/>
      <c r="F2333" s="295" t="str">
        <f>IFERROR(__xludf.DUMMYFUNCTION("IF(B2333="""","""",IFERROR(VLOOKUP(TO_TEXT(B2333),PEDIDOS!D:I,6,0),IFERROR(VLOOKUP(B2333*1,PEDIDOS!D:I,6,0),"" "")))"),"ENTREGUE")</f>
        <v>ENTREGUE</v>
      </c>
      <c r="G2333" s="303"/>
      <c r="H2333" s="304"/>
    </row>
    <row r="2334">
      <c r="A2334" s="302" t="s">
        <v>3441</v>
      </c>
      <c r="B2334" s="291" t="s">
        <v>14824</v>
      </c>
      <c r="C2334" s="292" t="s">
        <v>48</v>
      </c>
      <c r="D2334" s="293">
        <f t="shared" si="2"/>
        <v>1</v>
      </c>
      <c r="E2334" s="294"/>
      <c r="F2334" s="295" t="str">
        <f>IFERROR(__xludf.DUMMYFUNCTION("IF(B2334="""","""",IFERROR(VLOOKUP(TO_TEXT(B2334),PEDIDOS!D:I,6,0),IFERROR(VLOOKUP(B2334*1,PEDIDOS!D:I,6,0),"" "")))"),"ENTREGUE")</f>
        <v>ENTREGUE</v>
      </c>
      <c r="G2334" s="303"/>
      <c r="H2334" s="304"/>
    </row>
    <row r="2335">
      <c r="A2335" s="302" t="s">
        <v>85</v>
      </c>
      <c r="B2335" s="291" t="s">
        <v>14627</v>
      </c>
      <c r="C2335" s="292" t="s">
        <v>48</v>
      </c>
      <c r="D2335" s="293">
        <f t="shared" si="2"/>
        <v>1</v>
      </c>
      <c r="E2335" s="294"/>
      <c r="F2335" s="295" t="str">
        <f>IFERROR(__xludf.DUMMYFUNCTION("IF(B2335="""","""",IFERROR(VLOOKUP(TO_TEXT(B2335),PEDIDOS!D:I,6,0),IFERROR(VLOOKUP(B2335*1,PEDIDOS!D:I,6,0),"" "")))"),"ENTREGUE")</f>
        <v>ENTREGUE</v>
      </c>
      <c r="G2335" s="303"/>
      <c r="H2335" s="304"/>
    </row>
    <row r="2336">
      <c r="A2336" s="302" t="s">
        <v>85</v>
      </c>
      <c r="B2336" s="291" t="s">
        <v>14543</v>
      </c>
      <c r="C2336" s="292" t="s">
        <v>48</v>
      </c>
      <c r="D2336" s="293">
        <f t="shared" si="2"/>
        <v>1</v>
      </c>
      <c r="E2336" s="294"/>
      <c r="F2336" s="295" t="str">
        <f>IFERROR(__xludf.DUMMYFUNCTION("IF(B2336="""","""",IFERROR(VLOOKUP(TO_TEXT(B2336),PEDIDOS!D:I,6,0),IFERROR(VLOOKUP(B2336*1,PEDIDOS!D:I,6,0),"" "")))"),"ENTREGUE")</f>
        <v>ENTREGUE</v>
      </c>
      <c r="G2336" s="303"/>
      <c r="H2336" s="304"/>
    </row>
    <row r="2337">
      <c r="A2337" s="302" t="s">
        <v>85</v>
      </c>
      <c r="B2337" s="291" t="s">
        <v>14539</v>
      </c>
      <c r="C2337" s="292" t="s">
        <v>48</v>
      </c>
      <c r="D2337" s="293">
        <f t="shared" si="2"/>
        <v>1</v>
      </c>
      <c r="E2337" s="294"/>
      <c r="F2337" s="295" t="str">
        <f>IFERROR(__xludf.DUMMYFUNCTION("IF(B2337="""","""",IFERROR(VLOOKUP(TO_TEXT(B2337),PEDIDOS!D:I,6,0),IFERROR(VLOOKUP(B2337*1,PEDIDOS!D:I,6,0),"" "")))"),"ENTREGUE")</f>
        <v>ENTREGUE</v>
      </c>
      <c r="G2337" s="303"/>
      <c r="H2337" s="304"/>
    </row>
    <row r="2338">
      <c r="A2338" s="302" t="s">
        <v>85</v>
      </c>
      <c r="B2338" s="291" t="s">
        <v>14615</v>
      </c>
      <c r="C2338" s="292" t="s">
        <v>48</v>
      </c>
      <c r="D2338" s="293">
        <f t="shared" si="2"/>
        <v>1</v>
      </c>
      <c r="E2338" s="294"/>
      <c r="F2338" s="295" t="str">
        <f>IFERROR(__xludf.DUMMYFUNCTION("IF(B2338="""","""",IFERROR(VLOOKUP(TO_TEXT(B2338),PEDIDOS!D:I,6,0),IFERROR(VLOOKUP(B2338*1,PEDIDOS!D:I,6,0),"" "")))"),"ENTREGUE")</f>
        <v>ENTREGUE</v>
      </c>
      <c r="G2338" s="303"/>
      <c r="H2338" s="304"/>
    </row>
    <row r="2339">
      <c r="A2339" s="302" t="s">
        <v>85</v>
      </c>
      <c r="B2339" s="291" t="s">
        <v>14503</v>
      </c>
      <c r="C2339" s="292" t="s">
        <v>48</v>
      </c>
      <c r="D2339" s="293">
        <f t="shared" si="2"/>
        <v>1</v>
      </c>
      <c r="E2339" s="294"/>
      <c r="F2339" s="295" t="str">
        <f>IFERROR(__xludf.DUMMYFUNCTION("IF(B2339="""","""",IFERROR(VLOOKUP(TO_TEXT(B2339),PEDIDOS!D:I,6,0),IFERROR(VLOOKUP(B2339*1,PEDIDOS!D:I,6,0),"" "")))"),"ENTREGUE")</f>
        <v>ENTREGUE</v>
      </c>
      <c r="G2339" s="303"/>
      <c r="H2339" s="304"/>
    </row>
    <row r="2340">
      <c r="A2340" s="302" t="s">
        <v>85</v>
      </c>
      <c r="B2340" s="291" t="s">
        <v>13752</v>
      </c>
      <c r="C2340" s="292" t="s">
        <v>48</v>
      </c>
      <c r="D2340" s="293">
        <f t="shared" si="2"/>
        <v>1</v>
      </c>
      <c r="E2340" s="294"/>
      <c r="F2340" s="295" t="str">
        <f>IFERROR(__xludf.DUMMYFUNCTION("IF(B2340="""","""",IFERROR(VLOOKUP(TO_TEXT(B2340),PEDIDOS!D:I,6,0),IFERROR(VLOOKUP(B2340*1,PEDIDOS!D:I,6,0),"" "")))"),"ENTREGUE")</f>
        <v>ENTREGUE</v>
      </c>
      <c r="G2340" s="303"/>
      <c r="H2340" s="304"/>
    </row>
    <row r="2341">
      <c r="A2341" s="302" t="s">
        <v>85</v>
      </c>
      <c r="B2341" s="291" t="s">
        <v>14659</v>
      </c>
      <c r="C2341" s="292" t="s">
        <v>48</v>
      </c>
      <c r="D2341" s="293">
        <f t="shared" si="2"/>
        <v>1</v>
      </c>
      <c r="E2341" s="294"/>
      <c r="F2341" s="295" t="str">
        <f>IFERROR(__xludf.DUMMYFUNCTION("IF(B2341="""","""",IFERROR(VLOOKUP(TO_TEXT(B2341),PEDIDOS!D:I,6,0),IFERROR(VLOOKUP(B2341*1,PEDIDOS!D:I,6,0),"" "")))"),"ENTREGUE")</f>
        <v>ENTREGUE</v>
      </c>
      <c r="G2341" s="303"/>
      <c r="H2341" s="304"/>
    </row>
    <row r="2342">
      <c r="A2342" s="302" t="s">
        <v>85</v>
      </c>
      <c r="B2342" s="291" t="s">
        <v>14786</v>
      </c>
      <c r="C2342" s="292" t="s">
        <v>48</v>
      </c>
      <c r="D2342" s="293">
        <f t="shared" si="2"/>
        <v>1</v>
      </c>
      <c r="E2342" s="294"/>
      <c r="F2342" s="295" t="str">
        <f>IFERROR(__xludf.DUMMYFUNCTION("IF(B2342="""","""",IFERROR(VLOOKUP(TO_TEXT(B2342),PEDIDOS!D:I,6,0),IFERROR(VLOOKUP(B2342*1,PEDIDOS!D:I,6,0),"" "")))"),"ENTREGUE")</f>
        <v>ENTREGUE</v>
      </c>
      <c r="G2342" s="303"/>
      <c r="H2342" s="304"/>
    </row>
    <row r="2343">
      <c r="A2343" s="302" t="s">
        <v>85</v>
      </c>
      <c r="B2343" s="291" t="s">
        <v>14608</v>
      </c>
      <c r="C2343" s="292" t="s">
        <v>48</v>
      </c>
      <c r="D2343" s="293">
        <f t="shared" si="2"/>
        <v>1</v>
      </c>
      <c r="E2343" s="294"/>
      <c r="F2343" s="295" t="str">
        <f>IFERROR(__xludf.DUMMYFUNCTION("IF(B2343="""","""",IFERROR(VLOOKUP(TO_TEXT(B2343),PEDIDOS!D:I,6,0),IFERROR(VLOOKUP(B2343*1,PEDIDOS!D:I,6,0),"" "")))"),"ENTREGUE")</f>
        <v>ENTREGUE</v>
      </c>
      <c r="G2343" s="303"/>
      <c r="H2343" s="304"/>
    </row>
    <row r="2344">
      <c r="A2344" s="302" t="s">
        <v>85</v>
      </c>
      <c r="B2344" s="291" t="s">
        <v>13979</v>
      </c>
      <c r="C2344" s="292" t="s">
        <v>48</v>
      </c>
      <c r="D2344" s="293">
        <f t="shared" si="2"/>
        <v>1</v>
      </c>
      <c r="E2344" s="294"/>
      <c r="F2344" s="295" t="str">
        <f>IFERROR(__xludf.DUMMYFUNCTION("IF(B2344="""","""",IFERROR(VLOOKUP(TO_TEXT(B2344),PEDIDOS!D:I,6,0),IFERROR(VLOOKUP(B2344*1,PEDIDOS!D:I,6,0),"" "")))"),"ENTREGUE")</f>
        <v>ENTREGUE</v>
      </c>
      <c r="G2344" s="303"/>
      <c r="H2344" s="304"/>
    </row>
    <row r="2345">
      <c r="A2345" s="302" t="s">
        <v>85</v>
      </c>
      <c r="B2345" s="291" t="s">
        <v>14912</v>
      </c>
      <c r="C2345" s="292" t="s">
        <v>48</v>
      </c>
      <c r="D2345" s="293">
        <f t="shared" si="2"/>
        <v>1</v>
      </c>
      <c r="E2345" s="294"/>
      <c r="F2345" s="295" t="str">
        <f>IFERROR(__xludf.DUMMYFUNCTION("IF(B2345="""","""",IFERROR(VLOOKUP(TO_TEXT(B2345),PEDIDOS!D:I,6,0),IFERROR(VLOOKUP(B2345*1,PEDIDOS!D:I,6,0),"" "")))"),"ENTREGUE")</f>
        <v>ENTREGUE</v>
      </c>
      <c r="G2345" s="303"/>
      <c r="H2345" s="304"/>
    </row>
    <row r="2346">
      <c r="A2346" s="302" t="s">
        <v>85</v>
      </c>
      <c r="B2346" s="291" t="s">
        <v>14686</v>
      </c>
      <c r="C2346" s="292" t="s">
        <v>48</v>
      </c>
      <c r="D2346" s="293">
        <f t="shared" si="2"/>
        <v>1</v>
      </c>
      <c r="E2346" s="294"/>
      <c r="F2346" s="295" t="str">
        <f>IFERROR(__xludf.DUMMYFUNCTION("IF(B2346="""","""",IFERROR(VLOOKUP(TO_TEXT(B2346),PEDIDOS!D:I,6,0),IFERROR(VLOOKUP(B2346*1,PEDIDOS!D:I,6,0),"" "")))"),"ENTREGUE")</f>
        <v>ENTREGUE</v>
      </c>
      <c r="G2346" s="303"/>
      <c r="H2346" s="304"/>
    </row>
    <row r="2347">
      <c r="A2347" s="302" t="s">
        <v>85</v>
      </c>
      <c r="B2347" s="291" t="s">
        <v>15092</v>
      </c>
      <c r="C2347" s="292" t="s">
        <v>48</v>
      </c>
      <c r="D2347" s="293">
        <f t="shared" si="2"/>
        <v>1</v>
      </c>
      <c r="E2347" s="294"/>
      <c r="F2347" s="295" t="str">
        <f>IFERROR(__xludf.DUMMYFUNCTION("IF(B2347="""","""",IFERROR(VLOOKUP(TO_TEXT(B2347),PEDIDOS!D:I,6,0),IFERROR(VLOOKUP(B2347*1,PEDIDOS!D:I,6,0),"" "")))"),"ENTREGUE")</f>
        <v>ENTREGUE</v>
      </c>
      <c r="G2347" s="303"/>
      <c r="H2347" s="304"/>
    </row>
    <row r="2348">
      <c r="A2348" s="302" t="s">
        <v>85</v>
      </c>
      <c r="B2348" s="291" t="s">
        <v>15098</v>
      </c>
      <c r="C2348" s="292" t="s">
        <v>48</v>
      </c>
      <c r="D2348" s="293">
        <f t="shared" si="2"/>
        <v>1</v>
      </c>
      <c r="E2348" s="294"/>
      <c r="F2348" s="295" t="str">
        <f>IFERROR(__xludf.DUMMYFUNCTION("IF(B2348="""","""",IFERROR(VLOOKUP(TO_TEXT(B2348),PEDIDOS!D:I,6,0),IFERROR(VLOOKUP(B2348*1,PEDIDOS!D:I,6,0),"" "")))"),"ENTREGUE")</f>
        <v>ENTREGUE</v>
      </c>
      <c r="G2348" s="303"/>
      <c r="H2348" s="304"/>
    </row>
    <row r="2349">
      <c r="A2349" s="302" t="s">
        <v>85</v>
      </c>
      <c r="B2349" s="291" t="s">
        <v>13890</v>
      </c>
      <c r="C2349" s="292" t="s">
        <v>48</v>
      </c>
      <c r="D2349" s="293">
        <f t="shared" si="2"/>
        <v>1</v>
      </c>
      <c r="E2349" s="294"/>
      <c r="F2349" s="295" t="str">
        <f>IFERROR(__xludf.DUMMYFUNCTION("IF(B2349="""","""",IFERROR(VLOOKUP(TO_TEXT(B2349),PEDIDOS!D:I,6,0),IFERROR(VLOOKUP(B2349*1,PEDIDOS!D:I,6,0),"" "")))"),"ENTREGUE")</f>
        <v>ENTREGUE</v>
      </c>
      <c r="G2349" s="303"/>
      <c r="H2349" s="304"/>
    </row>
    <row r="2350">
      <c r="A2350" s="302" t="s">
        <v>85</v>
      </c>
      <c r="B2350" s="291" t="s">
        <v>14966</v>
      </c>
      <c r="C2350" s="292" t="s">
        <v>48</v>
      </c>
      <c r="D2350" s="293">
        <f t="shared" si="2"/>
        <v>1</v>
      </c>
      <c r="E2350" s="294"/>
      <c r="F2350" s="295" t="str">
        <f>IFERROR(__xludf.DUMMYFUNCTION("IF(B2350="""","""",IFERROR(VLOOKUP(TO_TEXT(B2350),PEDIDOS!D:I,6,0),IFERROR(VLOOKUP(B2350*1,PEDIDOS!D:I,6,0),"" "")))"),"ENTREGUE")</f>
        <v>ENTREGUE</v>
      </c>
      <c r="G2350" s="303"/>
      <c r="H2350" s="304"/>
    </row>
    <row r="2351">
      <c r="A2351" s="302" t="s">
        <v>85</v>
      </c>
      <c r="B2351" s="291" t="s">
        <v>15179</v>
      </c>
      <c r="C2351" s="292" t="s">
        <v>48</v>
      </c>
      <c r="D2351" s="293">
        <f t="shared" si="2"/>
        <v>1</v>
      </c>
      <c r="E2351" s="294"/>
      <c r="F2351" s="295" t="str">
        <f>IFERROR(__xludf.DUMMYFUNCTION("IF(B2351="""","""",IFERROR(VLOOKUP(TO_TEXT(B2351),PEDIDOS!D:I,6,0),IFERROR(VLOOKUP(B2351*1,PEDIDOS!D:I,6,0),"" "")))"),"ENTREGUE")</f>
        <v>ENTREGUE</v>
      </c>
      <c r="G2351" s="303"/>
      <c r="H2351" s="304"/>
    </row>
    <row r="2352">
      <c r="A2352" s="302" t="s">
        <v>85</v>
      </c>
      <c r="B2352" s="291" t="s">
        <v>15153</v>
      </c>
      <c r="C2352" s="292" t="s">
        <v>48</v>
      </c>
      <c r="D2352" s="293">
        <f t="shared" si="2"/>
        <v>1</v>
      </c>
      <c r="E2352" s="294"/>
      <c r="F2352" s="295" t="str">
        <f>IFERROR(__xludf.DUMMYFUNCTION("IF(B2352="""","""",IFERROR(VLOOKUP(TO_TEXT(B2352),PEDIDOS!D:I,6,0),IFERROR(VLOOKUP(B2352*1,PEDIDOS!D:I,6,0),"" "")))"),"ENTREGUE")</f>
        <v>ENTREGUE</v>
      </c>
      <c r="G2352" s="303"/>
      <c r="H2352" s="304"/>
    </row>
    <row r="2353">
      <c r="A2353" s="302" t="s">
        <v>85</v>
      </c>
      <c r="B2353" s="291" t="s">
        <v>14176</v>
      </c>
      <c r="C2353" s="292" t="s">
        <v>48</v>
      </c>
      <c r="D2353" s="293">
        <f t="shared" si="2"/>
        <v>1</v>
      </c>
      <c r="E2353" s="294"/>
      <c r="F2353" s="295" t="str">
        <f>IFERROR(__xludf.DUMMYFUNCTION("IF(B2353="""","""",IFERROR(VLOOKUP(TO_TEXT(B2353),PEDIDOS!D:I,6,0),IFERROR(VLOOKUP(B2353*1,PEDIDOS!D:I,6,0),"" "")))"),"ENTREGUE")</f>
        <v>ENTREGUE</v>
      </c>
      <c r="G2353" s="303"/>
      <c r="H2353" s="304"/>
    </row>
    <row r="2354">
      <c r="A2354" s="302" t="s">
        <v>85</v>
      </c>
      <c r="B2354" s="291" t="s">
        <v>15073</v>
      </c>
      <c r="C2354" s="292" t="s">
        <v>48</v>
      </c>
      <c r="D2354" s="293">
        <f t="shared" si="2"/>
        <v>1</v>
      </c>
      <c r="E2354" s="294"/>
      <c r="F2354" s="295" t="str">
        <f>IFERROR(__xludf.DUMMYFUNCTION("IF(B2354="""","""",IFERROR(VLOOKUP(TO_TEXT(B2354),PEDIDOS!D:I,6,0),IFERROR(VLOOKUP(B2354*1,PEDIDOS!D:I,6,0),"" "")))"),"ENTREGUE")</f>
        <v>ENTREGUE</v>
      </c>
      <c r="G2354" s="303"/>
      <c r="H2354" s="304"/>
    </row>
    <row r="2355">
      <c r="A2355" s="302" t="s">
        <v>85</v>
      </c>
      <c r="B2355" s="291" t="s">
        <v>14424</v>
      </c>
      <c r="C2355" s="292" t="s">
        <v>48</v>
      </c>
      <c r="D2355" s="293">
        <f t="shared" si="2"/>
        <v>1</v>
      </c>
      <c r="E2355" s="294"/>
      <c r="F2355" s="295" t="str">
        <f>IFERROR(__xludf.DUMMYFUNCTION("IF(B2355="""","""",IFERROR(VLOOKUP(TO_TEXT(B2355),PEDIDOS!D:I,6,0),IFERROR(VLOOKUP(B2355*1,PEDIDOS!D:I,6,0),"" "")))"),"ENTREGUE")</f>
        <v>ENTREGUE</v>
      </c>
      <c r="G2355" s="303"/>
      <c r="H2355" s="304"/>
    </row>
    <row r="2356">
      <c r="A2356" s="302" t="s">
        <v>85</v>
      </c>
      <c r="B2356" s="291" t="s">
        <v>15102</v>
      </c>
      <c r="C2356" s="292" t="s">
        <v>48</v>
      </c>
      <c r="D2356" s="293">
        <f t="shared" si="2"/>
        <v>1</v>
      </c>
      <c r="E2356" s="294"/>
      <c r="F2356" s="295" t="str">
        <f>IFERROR(__xludf.DUMMYFUNCTION("IF(B2356="""","""",IFERROR(VLOOKUP(TO_TEXT(B2356),PEDIDOS!D:I,6,0),IFERROR(VLOOKUP(B2356*1,PEDIDOS!D:I,6,0),"" "")))"),"ENTREGUE")</f>
        <v>ENTREGUE</v>
      </c>
      <c r="G2356" s="303"/>
      <c r="H2356" s="304"/>
    </row>
    <row r="2357">
      <c r="A2357" s="302" t="s">
        <v>85</v>
      </c>
      <c r="B2357" s="291" t="s">
        <v>14736</v>
      </c>
      <c r="C2357" s="292" t="s">
        <v>48</v>
      </c>
      <c r="D2357" s="293">
        <f t="shared" si="2"/>
        <v>1</v>
      </c>
      <c r="E2357" s="294"/>
      <c r="F2357" s="295" t="str">
        <f>IFERROR(__xludf.DUMMYFUNCTION("IF(B2357="""","""",IFERROR(VLOOKUP(TO_TEXT(B2357),PEDIDOS!D:I,6,0),IFERROR(VLOOKUP(B2357*1,PEDIDOS!D:I,6,0),"" "")))"),"ENTREGUE")</f>
        <v>ENTREGUE</v>
      </c>
      <c r="G2357" s="303"/>
      <c r="H2357" s="304"/>
    </row>
    <row r="2358">
      <c r="A2358" s="302" t="s">
        <v>85</v>
      </c>
      <c r="B2358" s="291" t="s">
        <v>15352</v>
      </c>
      <c r="C2358" s="292" t="s">
        <v>48</v>
      </c>
      <c r="D2358" s="293">
        <f t="shared" si="2"/>
        <v>1</v>
      </c>
      <c r="E2358" s="294"/>
      <c r="F2358" s="295" t="str">
        <f>IFERROR(__xludf.DUMMYFUNCTION("IF(B2358="""","""",IFERROR(VLOOKUP(TO_TEXT(B2358),PEDIDOS!D:I,6,0),IFERROR(VLOOKUP(B2358*1,PEDIDOS!D:I,6,0),"" "")))"),"ENTREGUE")</f>
        <v>ENTREGUE</v>
      </c>
      <c r="G2358" s="303"/>
      <c r="H2358" s="304"/>
    </row>
    <row r="2359">
      <c r="A2359" s="302" t="s">
        <v>85</v>
      </c>
      <c r="B2359" s="291" t="s">
        <v>14334</v>
      </c>
      <c r="C2359" s="292" t="s">
        <v>48</v>
      </c>
      <c r="D2359" s="293">
        <f t="shared" si="2"/>
        <v>1</v>
      </c>
      <c r="E2359" s="294"/>
      <c r="F2359" s="295" t="str">
        <f>IFERROR(__xludf.DUMMYFUNCTION("IF(B2359="""","""",IFERROR(VLOOKUP(TO_TEXT(B2359),PEDIDOS!D:I,6,0),IFERROR(VLOOKUP(B2359*1,PEDIDOS!D:I,6,0),"" "")))"),"ENTREGUE")</f>
        <v>ENTREGUE</v>
      </c>
      <c r="G2359" s="303"/>
      <c r="H2359" s="304"/>
    </row>
    <row r="2360">
      <c r="A2360" s="302" t="s">
        <v>85</v>
      </c>
      <c r="B2360" s="291" t="s">
        <v>15270</v>
      </c>
      <c r="C2360" s="292" t="s">
        <v>48</v>
      </c>
      <c r="D2360" s="293">
        <f t="shared" si="2"/>
        <v>1</v>
      </c>
      <c r="E2360" s="294"/>
      <c r="F2360" s="295" t="str">
        <f>IFERROR(__xludf.DUMMYFUNCTION("IF(B2360="""","""",IFERROR(VLOOKUP(TO_TEXT(B2360),PEDIDOS!D:I,6,0),IFERROR(VLOOKUP(B2360*1,PEDIDOS!D:I,6,0),"" "")))"),"ENTREGUE")</f>
        <v>ENTREGUE</v>
      </c>
      <c r="G2360" s="303"/>
      <c r="H2360" s="304"/>
    </row>
    <row r="2361">
      <c r="A2361" s="302" t="s">
        <v>85</v>
      </c>
      <c r="B2361" s="291" t="s">
        <v>15267</v>
      </c>
      <c r="C2361" s="292" t="s">
        <v>48</v>
      </c>
      <c r="D2361" s="293">
        <f t="shared" si="2"/>
        <v>1</v>
      </c>
      <c r="E2361" s="294"/>
      <c r="F2361" s="295" t="str">
        <f>IFERROR(__xludf.DUMMYFUNCTION("IF(B2361="""","""",IFERROR(VLOOKUP(TO_TEXT(B2361),PEDIDOS!D:I,6,0),IFERROR(VLOOKUP(B2361*1,PEDIDOS!D:I,6,0),"" "")))"),"ENTREGUE")</f>
        <v>ENTREGUE</v>
      </c>
      <c r="G2361" s="303"/>
      <c r="H2361" s="304"/>
    </row>
    <row r="2362">
      <c r="A2362" s="302" t="s">
        <v>85</v>
      </c>
      <c r="B2362" s="291" t="s">
        <v>15298</v>
      </c>
      <c r="C2362" s="292" t="s">
        <v>48</v>
      </c>
      <c r="D2362" s="293">
        <f t="shared" si="2"/>
        <v>1</v>
      </c>
      <c r="E2362" s="294"/>
      <c r="F2362" s="295" t="str">
        <f>IFERROR(__xludf.DUMMYFUNCTION("IF(B2362="""","""",IFERROR(VLOOKUP(TO_TEXT(B2362),PEDIDOS!D:I,6,0),IFERROR(VLOOKUP(B2362*1,PEDIDOS!D:I,6,0),"" "")))"),"ENTREGUE")</f>
        <v>ENTREGUE</v>
      </c>
      <c r="G2362" s="303"/>
      <c r="H2362" s="304"/>
    </row>
    <row r="2363">
      <c r="A2363" s="302" t="s">
        <v>85</v>
      </c>
      <c r="B2363" s="291" t="s">
        <v>15243</v>
      </c>
      <c r="C2363" s="292" t="s">
        <v>48</v>
      </c>
      <c r="D2363" s="293">
        <f t="shared" si="2"/>
        <v>1</v>
      </c>
      <c r="E2363" s="294"/>
      <c r="F2363" s="295" t="str">
        <f>IFERROR(__xludf.DUMMYFUNCTION("IF(B2363="""","""",IFERROR(VLOOKUP(TO_TEXT(B2363),PEDIDOS!D:I,6,0),IFERROR(VLOOKUP(B2363*1,PEDIDOS!D:I,6,0),"" "")))"),"ENTREGUE")</f>
        <v>ENTREGUE</v>
      </c>
      <c r="G2363" s="303"/>
      <c r="H2363" s="304"/>
    </row>
    <row r="2364">
      <c r="A2364" s="302" t="s">
        <v>85</v>
      </c>
      <c r="B2364" s="291" t="s">
        <v>15232</v>
      </c>
      <c r="C2364" s="292" t="s">
        <v>48</v>
      </c>
      <c r="D2364" s="293">
        <f t="shared" si="2"/>
        <v>1</v>
      </c>
      <c r="E2364" s="294"/>
      <c r="F2364" s="295" t="str">
        <f>IFERROR(__xludf.DUMMYFUNCTION("IF(B2364="""","""",IFERROR(VLOOKUP(TO_TEXT(B2364),PEDIDOS!D:I,6,0),IFERROR(VLOOKUP(B2364*1,PEDIDOS!D:I,6,0),"" "")))"),"ENTREGUE")</f>
        <v>ENTREGUE</v>
      </c>
      <c r="G2364" s="303"/>
      <c r="H2364" s="304"/>
    </row>
    <row r="2365">
      <c r="A2365" s="302" t="s">
        <v>85</v>
      </c>
      <c r="B2365" s="291" t="s">
        <v>15004</v>
      </c>
      <c r="C2365" s="292" t="s">
        <v>48</v>
      </c>
      <c r="D2365" s="293">
        <f t="shared" si="2"/>
        <v>1</v>
      </c>
      <c r="E2365" s="294"/>
      <c r="F2365" s="295" t="str">
        <f>IFERROR(__xludf.DUMMYFUNCTION("IF(B2365="""","""",IFERROR(VLOOKUP(TO_TEXT(B2365),PEDIDOS!D:I,6,0),IFERROR(VLOOKUP(B2365*1,PEDIDOS!D:I,6,0),"" "")))"),"ENTREGUE")</f>
        <v>ENTREGUE</v>
      </c>
      <c r="G2365" s="303"/>
      <c r="H2365" s="304"/>
    </row>
    <row r="2366">
      <c r="A2366" s="302" t="s">
        <v>85</v>
      </c>
      <c r="B2366" s="291" t="s">
        <v>14215</v>
      </c>
      <c r="C2366" s="292" t="s">
        <v>48</v>
      </c>
      <c r="D2366" s="293">
        <f t="shared" si="2"/>
        <v>1</v>
      </c>
      <c r="E2366" s="294"/>
      <c r="F2366" s="295" t="str">
        <f>IFERROR(__xludf.DUMMYFUNCTION("IF(B2366="""","""",IFERROR(VLOOKUP(TO_TEXT(B2366),PEDIDOS!D:I,6,0),IFERROR(VLOOKUP(B2366*1,PEDIDOS!D:I,6,0),"" "")))"),"ENTREGUE")</f>
        <v>ENTREGUE</v>
      </c>
      <c r="G2366" s="303"/>
      <c r="H2366" s="304"/>
    </row>
    <row r="2367">
      <c r="A2367" s="302" t="s">
        <v>85</v>
      </c>
      <c r="B2367" s="291" t="s">
        <v>15283</v>
      </c>
      <c r="C2367" s="292" t="s">
        <v>48</v>
      </c>
      <c r="D2367" s="293">
        <f t="shared" si="2"/>
        <v>1</v>
      </c>
      <c r="E2367" s="294"/>
      <c r="F2367" s="295" t="str">
        <f>IFERROR(__xludf.DUMMYFUNCTION("IF(B2367="""","""",IFERROR(VLOOKUP(TO_TEXT(B2367),PEDIDOS!D:I,6,0),IFERROR(VLOOKUP(B2367*1,PEDIDOS!D:I,6,0),"" "")))"),"ENTREGUE")</f>
        <v>ENTREGUE</v>
      </c>
      <c r="G2367" s="303"/>
      <c r="H2367" s="304"/>
    </row>
    <row r="2368">
      <c r="A2368" s="302" t="s">
        <v>85</v>
      </c>
      <c r="B2368" s="291" t="s">
        <v>13850</v>
      </c>
      <c r="C2368" s="292" t="s">
        <v>48</v>
      </c>
      <c r="D2368" s="293">
        <f t="shared" si="2"/>
        <v>1</v>
      </c>
      <c r="E2368" s="294"/>
      <c r="F2368" s="295" t="str">
        <f>IFERROR(__xludf.DUMMYFUNCTION("IF(B2368="""","""",IFERROR(VLOOKUP(TO_TEXT(B2368),PEDIDOS!D:I,6,0),IFERROR(VLOOKUP(B2368*1,PEDIDOS!D:I,6,0),"" "")))"),"ENTREGUE")</f>
        <v>ENTREGUE</v>
      </c>
      <c r="G2368" s="303"/>
      <c r="H2368" s="304"/>
    </row>
    <row r="2369">
      <c r="A2369" s="302" t="s">
        <v>85</v>
      </c>
      <c r="B2369" s="291" t="s">
        <v>14667</v>
      </c>
      <c r="C2369" s="292" t="s">
        <v>48</v>
      </c>
      <c r="D2369" s="293">
        <f t="shared" si="2"/>
        <v>1</v>
      </c>
      <c r="E2369" s="294"/>
      <c r="F2369" s="295" t="str">
        <f>IFERROR(__xludf.DUMMYFUNCTION("IF(B2369="""","""",IFERROR(VLOOKUP(TO_TEXT(B2369),PEDIDOS!D:I,6,0),IFERROR(VLOOKUP(B2369*1,PEDIDOS!D:I,6,0),"" "")))"),"ENTREGUE")</f>
        <v>ENTREGUE</v>
      </c>
      <c r="G2369" s="303"/>
      <c r="H2369" s="304"/>
    </row>
    <row r="2370">
      <c r="A2370" s="302" t="s">
        <v>85</v>
      </c>
      <c r="B2370" s="291" t="s">
        <v>15209</v>
      </c>
      <c r="C2370" s="292" t="s">
        <v>48</v>
      </c>
      <c r="D2370" s="293">
        <f t="shared" si="2"/>
        <v>1</v>
      </c>
      <c r="E2370" s="294"/>
      <c r="F2370" s="295" t="str">
        <f>IFERROR(__xludf.DUMMYFUNCTION("IF(B2370="""","""",IFERROR(VLOOKUP(TO_TEXT(B2370),PEDIDOS!D:I,6,0),IFERROR(VLOOKUP(B2370*1,PEDIDOS!D:I,6,0),"" "")))"),"ENTREGUE")</f>
        <v>ENTREGUE</v>
      </c>
      <c r="G2370" s="303"/>
      <c r="H2370" s="304"/>
    </row>
    <row r="2371">
      <c r="A2371" s="302" t="s">
        <v>85</v>
      </c>
      <c r="B2371" s="291" t="s">
        <v>14349</v>
      </c>
      <c r="C2371" s="292" t="s">
        <v>48</v>
      </c>
      <c r="D2371" s="293">
        <f t="shared" si="2"/>
        <v>1</v>
      </c>
      <c r="E2371" s="294"/>
      <c r="F2371" s="295" t="str">
        <f>IFERROR(__xludf.DUMMYFUNCTION("IF(B2371="""","""",IFERROR(VLOOKUP(TO_TEXT(B2371),PEDIDOS!D:I,6,0),IFERROR(VLOOKUP(B2371*1,PEDIDOS!D:I,6,0),"" "")))"),"ENTREGUE")</f>
        <v>ENTREGUE</v>
      </c>
      <c r="G2371" s="303"/>
      <c r="H2371" s="304"/>
    </row>
    <row r="2372">
      <c r="A2372" s="302" t="s">
        <v>85</v>
      </c>
      <c r="B2372" s="291" t="s">
        <v>14954</v>
      </c>
      <c r="C2372" s="292" t="s">
        <v>48</v>
      </c>
      <c r="D2372" s="293">
        <f t="shared" si="2"/>
        <v>1</v>
      </c>
      <c r="E2372" s="294"/>
      <c r="F2372" s="295" t="str">
        <f>IFERROR(__xludf.DUMMYFUNCTION("IF(B2372="""","""",IFERROR(VLOOKUP(TO_TEXT(B2372),PEDIDOS!D:I,6,0),IFERROR(VLOOKUP(B2372*1,PEDIDOS!D:I,6,0),"" "")))"),"ENTREGUE")</f>
        <v>ENTREGUE</v>
      </c>
      <c r="G2372" s="303"/>
      <c r="H2372" s="304"/>
    </row>
    <row r="2373">
      <c r="A2373" s="302" t="s">
        <v>85</v>
      </c>
      <c r="B2373" s="291" t="s">
        <v>14511</v>
      </c>
      <c r="C2373" s="292" t="s">
        <v>48</v>
      </c>
      <c r="D2373" s="293">
        <f t="shared" si="2"/>
        <v>1</v>
      </c>
      <c r="E2373" s="294"/>
      <c r="F2373" s="295" t="str">
        <f>IFERROR(__xludf.DUMMYFUNCTION("IF(B2373="""","""",IFERROR(VLOOKUP(TO_TEXT(B2373),PEDIDOS!D:I,6,0),IFERROR(VLOOKUP(B2373*1,PEDIDOS!D:I,6,0),"" "")))"),"ENTREGUE")</f>
        <v>ENTREGUE</v>
      </c>
      <c r="G2373" s="303"/>
      <c r="H2373" s="304"/>
    </row>
    <row r="2374">
      <c r="A2374" s="302" t="s">
        <v>85</v>
      </c>
      <c r="B2374" s="291" t="s">
        <v>14951</v>
      </c>
      <c r="C2374" s="292" t="s">
        <v>48</v>
      </c>
      <c r="D2374" s="293">
        <f t="shared" si="2"/>
        <v>1</v>
      </c>
      <c r="E2374" s="294"/>
      <c r="F2374" s="295" t="str">
        <f>IFERROR(__xludf.DUMMYFUNCTION("IF(B2374="""","""",IFERROR(VLOOKUP(TO_TEXT(B2374),PEDIDOS!D:I,6,0),IFERROR(VLOOKUP(B2374*1,PEDIDOS!D:I,6,0),"" "")))"),"ENTREGUE")</f>
        <v>ENTREGUE</v>
      </c>
      <c r="G2374" s="303"/>
      <c r="H2374" s="304"/>
    </row>
    <row r="2375">
      <c r="A2375" s="302" t="s">
        <v>91</v>
      </c>
      <c r="B2375" s="291" t="s">
        <v>13777</v>
      </c>
      <c r="C2375" s="292" t="s">
        <v>48</v>
      </c>
      <c r="D2375" s="293">
        <f t="shared" si="2"/>
        <v>1</v>
      </c>
      <c r="E2375" s="294"/>
      <c r="F2375" s="295" t="str">
        <f>IFERROR(__xludf.DUMMYFUNCTION("IF(B2375="""","""",IFERROR(VLOOKUP(TO_TEXT(B2375),PEDIDOS!D:I,6,0),IFERROR(VLOOKUP(B2375*1,PEDIDOS!D:I,6,0),"" "")))"),"ENTREGUE")</f>
        <v>ENTREGUE</v>
      </c>
      <c r="G2375" s="303"/>
      <c r="H2375" s="304"/>
    </row>
    <row r="2376">
      <c r="A2376" s="302" t="s">
        <v>91</v>
      </c>
      <c r="B2376" s="291" t="s">
        <v>13773</v>
      </c>
      <c r="C2376" s="292" t="s">
        <v>48</v>
      </c>
      <c r="D2376" s="293">
        <f t="shared" si="2"/>
        <v>1</v>
      </c>
      <c r="E2376" s="294"/>
      <c r="F2376" s="295" t="str">
        <f>IFERROR(__xludf.DUMMYFUNCTION("IF(B2376="""","""",IFERROR(VLOOKUP(TO_TEXT(B2376),PEDIDOS!D:I,6,0),IFERROR(VLOOKUP(B2376*1,PEDIDOS!D:I,6,0),"" "")))"),"ENTREGUE")</f>
        <v>ENTREGUE</v>
      </c>
      <c r="G2376" s="303"/>
      <c r="H2376" s="304"/>
    </row>
    <row r="2377">
      <c r="A2377" s="302" t="s">
        <v>91</v>
      </c>
      <c r="B2377" s="291" t="s">
        <v>13868</v>
      </c>
      <c r="C2377" s="292" t="s">
        <v>48</v>
      </c>
      <c r="D2377" s="293">
        <f t="shared" si="2"/>
        <v>1</v>
      </c>
      <c r="E2377" s="294"/>
      <c r="F2377" s="295" t="str">
        <f>IFERROR(__xludf.DUMMYFUNCTION("IF(B2377="""","""",IFERROR(VLOOKUP(TO_TEXT(B2377),PEDIDOS!D:I,6,0),IFERROR(VLOOKUP(B2377*1,PEDIDOS!D:I,6,0),"" "")))"),"ENTREGUE")</f>
        <v>ENTREGUE</v>
      </c>
      <c r="G2377" s="303"/>
      <c r="H2377" s="304"/>
    </row>
    <row r="2378">
      <c r="A2378" s="302" t="s">
        <v>91</v>
      </c>
      <c r="B2378" s="291" t="s">
        <v>12952</v>
      </c>
      <c r="C2378" s="292" t="s">
        <v>48</v>
      </c>
      <c r="D2378" s="293">
        <f t="shared" si="2"/>
        <v>1</v>
      </c>
      <c r="E2378" s="294"/>
      <c r="F2378" s="295" t="str">
        <f>IFERROR(__xludf.DUMMYFUNCTION("IF(B2378="""","""",IFERROR(VLOOKUP(TO_TEXT(B2378),PEDIDOS!D:I,6,0),IFERROR(VLOOKUP(B2378*1,PEDIDOS!D:I,6,0),"" "")))"),"ENTREGUE")</f>
        <v>ENTREGUE</v>
      </c>
      <c r="G2378" s="303"/>
      <c r="H2378" s="304"/>
    </row>
    <row r="2379">
      <c r="A2379" s="302" t="s">
        <v>91</v>
      </c>
      <c r="B2379" s="291" t="s">
        <v>13841</v>
      </c>
      <c r="C2379" s="292" t="s">
        <v>48</v>
      </c>
      <c r="D2379" s="293">
        <f t="shared" si="2"/>
        <v>1</v>
      </c>
      <c r="E2379" s="294"/>
      <c r="F2379" s="295" t="str">
        <f>IFERROR(__xludf.DUMMYFUNCTION("IF(B2379="""","""",IFERROR(VLOOKUP(TO_TEXT(B2379),PEDIDOS!D:I,6,0),IFERROR(VLOOKUP(B2379*1,PEDIDOS!D:I,6,0),"" "")))"),"ENTREGUE")</f>
        <v>ENTREGUE</v>
      </c>
      <c r="G2379" s="303"/>
      <c r="H2379" s="304"/>
    </row>
    <row r="2380">
      <c r="A2380" s="302" t="s">
        <v>91</v>
      </c>
      <c r="B2380" s="291" t="s">
        <v>13051</v>
      </c>
      <c r="C2380" s="292" t="s">
        <v>48</v>
      </c>
      <c r="D2380" s="293">
        <f t="shared" si="2"/>
        <v>1</v>
      </c>
      <c r="E2380" s="294"/>
      <c r="F2380" s="295" t="str">
        <f>IFERROR(__xludf.DUMMYFUNCTION("IF(B2380="""","""",IFERROR(VLOOKUP(TO_TEXT(B2380),PEDIDOS!D:I,6,0),IFERROR(VLOOKUP(B2380*1,PEDIDOS!D:I,6,0),"" "")))"),"ENTREGUE")</f>
        <v>ENTREGUE</v>
      </c>
      <c r="G2380" s="303"/>
      <c r="H2380" s="304"/>
    </row>
    <row r="2381">
      <c r="A2381" s="302" t="s">
        <v>91</v>
      </c>
      <c r="B2381" s="291" t="s">
        <v>14080</v>
      </c>
      <c r="C2381" s="292" t="s">
        <v>48</v>
      </c>
      <c r="D2381" s="293">
        <f t="shared" si="2"/>
        <v>1</v>
      </c>
      <c r="E2381" s="294"/>
      <c r="F2381" s="295" t="str">
        <f>IFERROR(__xludf.DUMMYFUNCTION("IF(B2381="""","""",IFERROR(VLOOKUP(TO_TEXT(B2381),PEDIDOS!D:I,6,0),IFERROR(VLOOKUP(B2381*1,PEDIDOS!D:I,6,0),"" "")))"),"ENTREGUE")</f>
        <v>ENTREGUE</v>
      </c>
      <c r="G2381" s="303"/>
      <c r="H2381" s="304"/>
    </row>
    <row r="2382">
      <c r="A2382" s="302" t="s">
        <v>91</v>
      </c>
      <c r="B2382" s="291" t="s">
        <v>13675</v>
      </c>
      <c r="C2382" s="292" t="s">
        <v>48</v>
      </c>
      <c r="D2382" s="293">
        <f t="shared" si="2"/>
        <v>1</v>
      </c>
      <c r="E2382" s="294"/>
      <c r="F2382" s="295" t="str">
        <f>IFERROR(__xludf.DUMMYFUNCTION("IF(B2382="""","""",IFERROR(VLOOKUP(TO_TEXT(B2382),PEDIDOS!D:I,6,0),IFERROR(VLOOKUP(B2382*1,PEDIDOS!D:I,6,0),"" "")))"),"ENTREGUE")</f>
        <v>ENTREGUE</v>
      </c>
      <c r="G2382" s="303"/>
      <c r="H2382" s="304"/>
    </row>
    <row r="2383">
      <c r="A2383" s="302" t="s">
        <v>91</v>
      </c>
      <c r="B2383" s="291" t="s">
        <v>13348</v>
      </c>
      <c r="C2383" s="292" t="s">
        <v>48</v>
      </c>
      <c r="D2383" s="293">
        <f t="shared" si="2"/>
        <v>1</v>
      </c>
      <c r="E2383" s="294"/>
      <c r="F2383" s="295" t="str">
        <f>IFERROR(__xludf.DUMMYFUNCTION("IF(B2383="""","""",IFERROR(VLOOKUP(TO_TEXT(B2383),PEDIDOS!D:I,6,0),IFERROR(VLOOKUP(B2383*1,PEDIDOS!D:I,6,0),"" "")))"),"ENTREGUE")</f>
        <v>ENTREGUE</v>
      </c>
      <c r="G2383" s="303"/>
      <c r="H2383" s="304"/>
    </row>
    <row r="2384">
      <c r="A2384" s="302" t="s">
        <v>91</v>
      </c>
      <c r="B2384" s="291" t="s">
        <v>10310</v>
      </c>
      <c r="C2384" s="292" t="s">
        <v>48</v>
      </c>
      <c r="D2384" s="293">
        <f t="shared" si="2"/>
        <v>1</v>
      </c>
      <c r="E2384" s="294"/>
      <c r="F2384" s="295" t="str">
        <f>IFERROR(__xludf.DUMMYFUNCTION("IF(B2384="""","""",IFERROR(VLOOKUP(TO_TEXT(B2384),PEDIDOS!D:I,6,0),IFERROR(VLOOKUP(B2384*1,PEDIDOS!D:I,6,0),"" "")))"),"ENTREGUE")</f>
        <v>ENTREGUE</v>
      </c>
      <c r="G2384" s="303"/>
      <c r="H2384" s="304"/>
    </row>
    <row r="2385">
      <c r="A2385" s="302" t="s">
        <v>91</v>
      </c>
      <c r="B2385" s="291" t="s">
        <v>13064</v>
      </c>
      <c r="C2385" s="292" t="s">
        <v>48</v>
      </c>
      <c r="D2385" s="293">
        <f t="shared" si="2"/>
        <v>1</v>
      </c>
      <c r="E2385" s="294"/>
      <c r="F2385" s="295" t="str">
        <f>IFERROR(__xludf.DUMMYFUNCTION("IF(B2385="""","""",IFERROR(VLOOKUP(TO_TEXT(B2385),PEDIDOS!D:I,6,0),IFERROR(VLOOKUP(B2385*1,PEDIDOS!D:I,6,0),"" "")))"),"ENTREGUE")</f>
        <v>ENTREGUE</v>
      </c>
      <c r="G2385" s="303"/>
      <c r="H2385" s="304"/>
    </row>
    <row r="2386">
      <c r="A2386" s="302" t="s">
        <v>91</v>
      </c>
      <c r="B2386" s="291" t="s">
        <v>14016</v>
      </c>
      <c r="C2386" s="292" t="s">
        <v>48</v>
      </c>
      <c r="D2386" s="293">
        <f t="shared" si="2"/>
        <v>1</v>
      </c>
      <c r="E2386" s="294"/>
      <c r="F2386" s="295" t="str">
        <f>IFERROR(__xludf.DUMMYFUNCTION("IF(B2386="""","""",IFERROR(VLOOKUP(TO_TEXT(B2386),PEDIDOS!D:I,6,0),IFERROR(VLOOKUP(B2386*1,PEDIDOS!D:I,6,0),"" "")))"),"ENTREGUE")</f>
        <v>ENTREGUE</v>
      </c>
      <c r="G2386" s="303"/>
      <c r="H2386" s="304"/>
    </row>
    <row r="2387">
      <c r="A2387" s="302" t="s">
        <v>91</v>
      </c>
      <c r="B2387" s="291" t="s">
        <v>13068</v>
      </c>
      <c r="C2387" s="292" t="s">
        <v>48</v>
      </c>
      <c r="D2387" s="293">
        <f t="shared" si="2"/>
        <v>1</v>
      </c>
      <c r="E2387" s="294"/>
      <c r="F2387" s="295" t="str">
        <f>IFERROR(__xludf.DUMMYFUNCTION("IF(B2387="""","""",IFERROR(VLOOKUP(TO_TEXT(B2387),PEDIDOS!D:I,6,0),IFERROR(VLOOKUP(B2387*1,PEDIDOS!D:I,6,0),"" "")))"),"ENTREGUE")</f>
        <v>ENTREGUE</v>
      </c>
      <c r="G2387" s="303"/>
      <c r="H2387" s="304"/>
    </row>
    <row r="2388">
      <c r="A2388" s="302" t="s">
        <v>91</v>
      </c>
      <c r="B2388" s="291" t="s">
        <v>13060</v>
      </c>
      <c r="C2388" s="292" t="s">
        <v>48</v>
      </c>
      <c r="D2388" s="293">
        <f t="shared" si="2"/>
        <v>1</v>
      </c>
      <c r="E2388" s="294"/>
      <c r="F2388" s="295" t="str">
        <f>IFERROR(__xludf.DUMMYFUNCTION("IF(B2388="""","""",IFERROR(VLOOKUP(TO_TEXT(B2388),PEDIDOS!D:I,6,0),IFERROR(VLOOKUP(B2388*1,PEDIDOS!D:I,6,0),"" "")))"),"ENTREGUE")</f>
        <v>ENTREGUE</v>
      </c>
      <c r="G2388" s="303"/>
      <c r="H2388" s="304"/>
    </row>
    <row r="2389">
      <c r="A2389" s="302" t="s">
        <v>91</v>
      </c>
      <c r="B2389" s="291" t="s">
        <v>13106</v>
      </c>
      <c r="C2389" s="292" t="s">
        <v>48</v>
      </c>
      <c r="D2389" s="293">
        <f t="shared" si="2"/>
        <v>1</v>
      </c>
      <c r="E2389" s="294"/>
      <c r="F2389" s="295" t="str">
        <f>IFERROR(__xludf.DUMMYFUNCTION("IF(B2389="""","""",IFERROR(VLOOKUP(TO_TEXT(B2389),PEDIDOS!D:I,6,0),IFERROR(VLOOKUP(B2389*1,PEDIDOS!D:I,6,0),"" "")))"),"ENTREGUE")</f>
        <v>ENTREGUE</v>
      </c>
      <c r="G2389" s="303"/>
      <c r="H2389" s="304"/>
    </row>
    <row r="2390">
      <c r="A2390" s="302" t="s">
        <v>91</v>
      </c>
      <c r="B2390" s="291" t="s">
        <v>13967</v>
      </c>
      <c r="C2390" s="292" t="s">
        <v>48</v>
      </c>
      <c r="D2390" s="293">
        <f t="shared" si="2"/>
        <v>1</v>
      </c>
      <c r="E2390" s="294"/>
      <c r="F2390" s="295" t="str">
        <f>IFERROR(__xludf.DUMMYFUNCTION("IF(B2390="""","""",IFERROR(VLOOKUP(TO_TEXT(B2390),PEDIDOS!D:I,6,0),IFERROR(VLOOKUP(B2390*1,PEDIDOS!D:I,6,0),"" "")))"),"ENTREGUE")</f>
        <v>ENTREGUE</v>
      </c>
      <c r="G2390" s="303"/>
      <c r="H2390" s="304"/>
    </row>
    <row r="2391">
      <c r="A2391" s="302" t="s">
        <v>91</v>
      </c>
      <c r="B2391" s="291" t="s">
        <v>13622</v>
      </c>
      <c r="C2391" s="292" t="s">
        <v>48</v>
      </c>
      <c r="D2391" s="293">
        <f t="shared" si="2"/>
        <v>1</v>
      </c>
      <c r="E2391" s="294"/>
      <c r="F2391" s="295" t="str">
        <f>IFERROR(__xludf.DUMMYFUNCTION("IF(B2391="""","""",IFERROR(VLOOKUP(TO_TEXT(B2391),PEDIDOS!D:I,6,0),IFERROR(VLOOKUP(B2391*1,PEDIDOS!D:I,6,0),"" "")))"),"ENTREGUE")</f>
        <v>ENTREGUE</v>
      </c>
      <c r="G2391" s="303"/>
      <c r="H2391" s="304"/>
    </row>
    <row r="2392">
      <c r="A2392" s="302" t="s">
        <v>91</v>
      </c>
      <c r="B2392" s="291" t="s">
        <v>13014</v>
      </c>
      <c r="C2392" s="292" t="s">
        <v>48</v>
      </c>
      <c r="D2392" s="293">
        <f t="shared" si="2"/>
        <v>1</v>
      </c>
      <c r="E2392" s="294"/>
      <c r="F2392" s="295" t="str">
        <f>IFERROR(__xludf.DUMMYFUNCTION("IF(B2392="""","""",IFERROR(VLOOKUP(TO_TEXT(B2392),PEDIDOS!D:I,6,0),IFERROR(VLOOKUP(B2392*1,PEDIDOS!D:I,6,0),"" "")))"),"ENTREGUE")</f>
        <v>ENTREGUE</v>
      </c>
      <c r="G2392" s="303"/>
      <c r="H2392" s="304"/>
    </row>
    <row r="2393">
      <c r="A2393" s="302" t="s">
        <v>91</v>
      </c>
      <c r="B2393" s="291" t="s">
        <v>13963</v>
      </c>
      <c r="C2393" s="292" t="s">
        <v>48</v>
      </c>
      <c r="D2393" s="293">
        <f t="shared" si="2"/>
        <v>1</v>
      </c>
      <c r="E2393" s="294"/>
      <c r="F2393" s="295" t="str">
        <f>IFERROR(__xludf.DUMMYFUNCTION("IF(B2393="""","""",IFERROR(VLOOKUP(TO_TEXT(B2393),PEDIDOS!D:I,6,0),IFERROR(VLOOKUP(B2393*1,PEDIDOS!D:I,6,0),"" "")))"),"ENTREGUE")</f>
        <v>ENTREGUE</v>
      </c>
      <c r="G2393" s="303"/>
      <c r="H2393" s="304"/>
    </row>
    <row r="2394">
      <c r="A2394" s="302" t="s">
        <v>91</v>
      </c>
      <c r="B2394" s="291" t="s">
        <v>13956</v>
      </c>
      <c r="C2394" s="292" t="s">
        <v>48</v>
      </c>
      <c r="D2394" s="293">
        <f t="shared" si="2"/>
        <v>1</v>
      </c>
      <c r="E2394" s="294"/>
      <c r="F2394" s="295" t="str">
        <f>IFERROR(__xludf.DUMMYFUNCTION("IF(B2394="""","""",IFERROR(VLOOKUP(TO_TEXT(B2394),PEDIDOS!D:I,6,0),IFERROR(VLOOKUP(B2394*1,PEDIDOS!D:I,6,0),"" "")))"),"ENTREGUE")</f>
        <v>ENTREGUE</v>
      </c>
      <c r="G2394" s="303"/>
      <c r="H2394" s="304"/>
    </row>
    <row r="2395">
      <c r="A2395" s="302" t="s">
        <v>91</v>
      </c>
      <c r="B2395" s="291" t="s">
        <v>13254</v>
      </c>
      <c r="C2395" s="292" t="s">
        <v>48</v>
      </c>
      <c r="D2395" s="293">
        <f t="shared" si="2"/>
        <v>1</v>
      </c>
      <c r="E2395" s="294"/>
      <c r="F2395" s="295" t="str">
        <f>IFERROR(__xludf.DUMMYFUNCTION("IF(B2395="""","""",IFERROR(VLOOKUP(TO_TEXT(B2395),PEDIDOS!D:I,6,0),IFERROR(VLOOKUP(B2395*1,PEDIDOS!D:I,6,0),"" "")))"),"ENTREGUE")</f>
        <v>ENTREGUE</v>
      </c>
      <c r="G2395" s="303"/>
      <c r="H2395" s="304"/>
    </row>
    <row r="2396">
      <c r="A2396" s="302" t="s">
        <v>91</v>
      </c>
      <c r="B2396" s="291" t="s">
        <v>13879</v>
      </c>
      <c r="C2396" s="292" t="s">
        <v>48</v>
      </c>
      <c r="D2396" s="293">
        <f t="shared" si="2"/>
        <v>1</v>
      </c>
      <c r="E2396" s="294"/>
      <c r="F2396" s="295" t="str">
        <f>IFERROR(__xludf.DUMMYFUNCTION("IF(B2396="""","""",IFERROR(VLOOKUP(TO_TEXT(B2396),PEDIDOS!D:I,6,0),IFERROR(VLOOKUP(B2396*1,PEDIDOS!D:I,6,0),"" "")))"),"ENTREGUE")</f>
        <v>ENTREGUE</v>
      </c>
      <c r="G2396" s="303"/>
      <c r="H2396" s="304"/>
    </row>
    <row r="2397">
      <c r="A2397" s="302" t="s">
        <v>91</v>
      </c>
      <c r="B2397" s="291" t="s">
        <v>14249</v>
      </c>
      <c r="C2397" s="292" t="s">
        <v>48</v>
      </c>
      <c r="D2397" s="293">
        <f t="shared" si="2"/>
        <v>1</v>
      </c>
      <c r="E2397" s="294"/>
      <c r="F2397" s="295" t="str">
        <f>IFERROR(__xludf.DUMMYFUNCTION("IF(B2397="""","""",IFERROR(VLOOKUP(TO_TEXT(B2397),PEDIDOS!D:I,6,0),IFERROR(VLOOKUP(B2397*1,PEDIDOS!D:I,6,0),"" "")))"),"ENTREGUE")</f>
        <v>ENTREGUE</v>
      </c>
      <c r="G2397" s="303"/>
      <c r="H2397" s="304"/>
    </row>
    <row r="2398">
      <c r="A2398" s="302" t="s">
        <v>91</v>
      </c>
      <c r="B2398" s="291" t="s">
        <v>14151</v>
      </c>
      <c r="C2398" s="292" t="s">
        <v>48</v>
      </c>
      <c r="D2398" s="293">
        <f t="shared" si="2"/>
        <v>1</v>
      </c>
      <c r="E2398" s="294"/>
      <c r="F2398" s="295" t="str">
        <f>IFERROR(__xludf.DUMMYFUNCTION("IF(B2398="""","""",IFERROR(VLOOKUP(TO_TEXT(B2398),PEDIDOS!D:I,6,0),IFERROR(VLOOKUP(B2398*1,PEDIDOS!D:I,6,0),"" "")))"),"ENTREGUE")</f>
        <v>ENTREGUE</v>
      </c>
      <c r="G2398" s="303"/>
      <c r="H2398" s="304"/>
    </row>
    <row r="2399">
      <c r="A2399" s="302" t="s">
        <v>91</v>
      </c>
      <c r="B2399" s="291" t="s">
        <v>14258</v>
      </c>
      <c r="C2399" s="292" t="s">
        <v>48</v>
      </c>
      <c r="D2399" s="293">
        <f t="shared" si="2"/>
        <v>1</v>
      </c>
      <c r="E2399" s="294"/>
      <c r="F2399" s="295" t="str">
        <f>IFERROR(__xludf.DUMMYFUNCTION("IF(B2399="""","""",IFERROR(VLOOKUP(TO_TEXT(B2399),PEDIDOS!D:I,6,0),IFERROR(VLOOKUP(B2399*1,PEDIDOS!D:I,6,0),"" "")))"),"ENTREGUE")</f>
        <v>ENTREGUE</v>
      </c>
      <c r="G2399" s="303"/>
      <c r="H2399" s="304"/>
    </row>
    <row r="2400">
      <c r="A2400" s="302" t="s">
        <v>91</v>
      </c>
      <c r="B2400" s="291" t="s">
        <v>13648</v>
      </c>
      <c r="C2400" s="292" t="s">
        <v>48</v>
      </c>
      <c r="D2400" s="293">
        <f t="shared" si="2"/>
        <v>1</v>
      </c>
      <c r="E2400" s="294"/>
      <c r="F2400" s="295" t="str">
        <f>IFERROR(__xludf.DUMMYFUNCTION("IF(B2400="""","""",IFERROR(VLOOKUP(TO_TEXT(B2400),PEDIDOS!D:I,6,0),IFERROR(VLOOKUP(B2400*1,PEDIDOS!D:I,6,0),"" "")))"),"ENTREGUE")</f>
        <v>ENTREGUE</v>
      </c>
      <c r="G2400" s="303"/>
      <c r="H2400" s="304"/>
    </row>
    <row r="2401" ht="67.5" customHeight="1">
      <c r="A2401" s="302" t="s">
        <v>91</v>
      </c>
      <c r="B2401" s="291" t="s">
        <v>14219</v>
      </c>
      <c r="C2401" s="292" t="s">
        <v>48</v>
      </c>
      <c r="D2401" s="293">
        <f t="shared" si="2"/>
        <v>1</v>
      </c>
      <c r="E2401" s="294"/>
      <c r="F2401" s="295" t="str">
        <f>IFERROR(__xludf.DUMMYFUNCTION("IF(B2401="""","""",IFERROR(VLOOKUP(TO_TEXT(B2401),PEDIDOS!D:I,6,0),IFERROR(VLOOKUP(B2401*1,PEDIDOS!D:I,6,0),"" "")))"),"ENTREGUE")</f>
        <v>ENTREGUE</v>
      </c>
      <c r="G2401" s="308" t="s">
        <v>23424</v>
      </c>
      <c r="H2401" s="305" t="s">
        <v>4129</v>
      </c>
    </row>
    <row r="2402">
      <c r="A2402" s="302" t="s">
        <v>91</v>
      </c>
      <c r="B2402" s="291" t="s">
        <v>13410</v>
      </c>
      <c r="C2402" s="292" t="s">
        <v>48</v>
      </c>
      <c r="D2402" s="293">
        <f t="shared" si="2"/>
        <v>1</v>
      </c>
      <c r="E2402" s="294"/>
      <c r="F2402" s="295" t="str">
        <f>IFERROR(__xludf.DUMMYFUNCTION("IF(B2402="""","""",IFERROR(VLOOKUP(TO_TEXT(B2402),PEDIDOS!D:I,6,0),IFERROR(VLOOKUP(B2402*1,PEDIDOS!D:I,6,0),"" "")))"),"ENTREGUE")</f>
        <v>ENTREGUE</v>
      </c>
      <c r="G2402" s="303"/>
      <c r="H2402" s="304"/>
    </row>
    <row r="2403">
      <c r="A2403" s="302" t="s">
        <v>91</v>
      </c>
      <c r="B2403" s="291" t="s">
        <v>14154</v>
      </c>
      <c r="C2403" s="292" t="s">
        <v>48</v>
      </c>
      <c r="D2403" s="293">
        <f t="shared" si="2"/>
        <v>1</v>
      </c>
      <c r="E2403" s="294"/>
      <c r="F2403" s="295" t="str">
        <f>IFERROR(__xludf.DUMMYFUNCTION("IF(B2403="""","""",IFERROR(VLOOKUP(TO_TEXT(B2403),PEDIDOS!D:I,6,0),IFERROR(VLOOKUP(B2403*1,PEDIDOS!D:I,6,0),"" "")))"),"ENTREGUE")</f>
        <v>ENTREGUE</v>
      </c>
      <c r="G2403" s="303"/>
      <c r="H2403" s="304"/>
    </row>
    <row r="2404">
      <c r="A2404" s="302" t="s">
        <v>91</v>
      </c>
      <c r="B2404" s="291" t="s">
        <v>14052</v>
      </c>
      <c r="C2404" s="292" t="s">
        <v>48</v>
      </c>
      <c r="D2404" s="293">
        <f t="shared" si="2"/>
        <v>1</v>
      </c>
      <c r="E2404" s="294"/>
      <c r="F2404" s="295" t="str">
        <f>IFERROR(__xludf.DUMMYFUNCTION("IF(B2404="""","""",IFERROR(VLOOKUP(TO_TEXT(B2404),PEDIDOS!D:I,6,0),IFERROR(VLOOKUP(B2404*1,PEDIDOS!D:I,6,0),"" "")))"),"ENTREGUE")</f>
        <v>ENTREGUE</v>
      </c>
      <c r="G2404" s="303"/>
      <c r="H2404" s="304"/>
    </row>
    <row r="2405">
      <c r="A2405" s="302" t="s">
        <v>91</v>
      </c>
      <c r="B2405" s="291" t="s">
        <v>13986</v>
      </c>
      <c r="C2405" s="292" t="s">
        <v>48</v>
      </c>
      <c r="D2405" s="293">
        <f t="shared" si="2"/>
        <v>1</v>
      </c>
      <c r="E2405" s="294"/>
      <c r="F2405" s="295" t="str">
        <f>IFERROR(__xludf.DUMMYFUNCTION("IF(B2405="""","""",IFERROR(VLOOKUP(TO_TEXT(B2405),PEDIDOS!D:I,6,0),IFERROR(VLOOKUP(B2405*1,PEDIDOS!D:I,6,0),"" "")))"),"ENTREGUE")</f>
        <v>ENTREGUE</v>
      </c>
      <c r="G2405" s="303"/>
      <c r="H2405" s="304"/>
    </row>
    <row r="2406">
      <c r="A2406" s="302" t="s">
        <v>91</v>
      </c>
      <c r="B2406" s="291" t="s">
        <v>13678</v>
      </c>
      <c r="C2406" s="292" t="s">
        <v>48</v>
      </c>
      <c r="D2406" s="293">
        <f t="shared" si="2"/>
        <v>1</v>
      </c>
      <c r="E2406" s="294"/>
      <c r="F2406" s="295" t="str">
        <f>IFERROR(__xludf.DUMMYFUNCTION("IF(B2406="""","""",IFERROR(VLOOKUP(TO_TEXT(B2406),PEDIDOS!D:I,6,0),IFERROR(VLOOKUP(B2406*1,PEDIDOS!D:I,6,0),"" "")))"),"ENTREGUE")</f>
        <v>ENTREGUE</v>
      </c>
      <c r="G2406" s="303"/>
      <c r="H2406" s="304"/>
    </row>
    <row r="2407">
      <c r="A2407" s="302" t="s">
        <v>91</v>
      </c>
      <c r="B2407" s="291" t="s">
        <v>13414</v>
      </c>
      <c r="C2407" s="292" t="s">
        <v>48</v>
      </c>
      <c r="D2407" s="293">
        <f t="shared" si="2"/>
        <v>1</v>
      </c>
      <c r="E2407" s="294"/>
      <c r="F2407" s="295" t="str">
        <f>IFERROR(__xludf.DUMMYFUNCTION("IF(B2407="""","""",IFERROR(VLOOKUP(TO_TEXT(B2407),PEDIDOS!D:I,6,0),IFERROR(VLOOKUP(B2407*1,PEDIDOS!D:I,6,0),"" "")))"),"ENTREGUE")</f>
        <v>ENTREGUE</v>
      </c>
      <c r="G2407" s="303"/>
      <c r="H2407" s="304"/>
    </row>
    <row r="2408">
      <c r="A2408" s="302" t="s">
        <v>91</v>
      </c>
      <c r="B2408" s="291" t="s">
        <v>14048</v>
      </c>
      <c r="C2408" s="292" t="s">
        <v>48</v>
      </c>
      <c r="D2408" s="293">
        <f t="shared" si="2"/>
        <v>1</v>
      </c>
      <c r="E2408" s="294"/>
      <c r="F2408" s="295" t="str">
        <f>IFERROR(__xludf.DUMMYFUNCTION("IF(B2408="""","""",IFERROR(VLOOKUP(TO_TEXT(B2408),PEDIDOS!D:I,6,0),IFERROR(VLOOKUP(B2408*1,PEDIDOS!D:I,6,0),"" "")))"),"ENTREGUE")</f>
        <v>ENTREGUE</v>
      </c>
      <c r="G2408" s="303"/>
      <c r="H2408" s="304"/>
    </row>
    <row r="2409">
      <c r="A2409" s="302" t="s">
        <v>91</v>
      </c>
      <c r="B2409" s="291" t="s">
        <v>13637</v>
      </c>
      <c r="C2409" s="292" t="s">
        <v>48</v>
      </c>
      <c r="D2409" s="293">
        <f t="shared" si="2"/>
        <v>1</v>
      </c>
      <c r="E2409" s="294"/>
      <c r="F2409" s="295" t="str">
        <f>IFERROR(__xludf.DUMMYFUNCTION("IF(B2409="""","""",IFERROR(VLOOKUP(TO_TEXT(B2409),PEDIDOS!D:I,6,0),IFERROR(VLOOKUP(B2409*1,PEDIDOS!D:I,6,0),"" "")))"),"ENTREGUE")</f>
        <v>ENTREGUE</v>
      </c>
      <c r="G2409" s="303"/>
      <c r="H2409" s="304"/>
    </row>
    <row r="2410">
      <c r="A2410" s="302" t="s">
        <v>91</v>
      </c>
      <c r="B2410" s="291" t="s">
        <v>14024</v>
      </c>
      <c r="C2410" s="292" t="s">
        <v>48</v>
      </c>
      <c r="D2410" s="293">
        <f t="shared" si="2"/>
        <v>1</v>
      </c>
      <c r="E2410" s="294"/>
      <c r="F2410" s="295" t="str">
        <f>IFERROR(__xludf.DUMMYFUNCTION("IF(B2410="""","""",IFERROR(VLOOKUP(TO_TEXT(B2410),PEDIDOS!D:I,6,0),IFERROR(VLOOKUP(B2410*1,PEDIDOS!D:I,6,0),"" "")))"),"ENTREGUE")</f>
        <v>ENTREGUE</v>
      </c>
      <c r="G2410" s="303"/>
      <c r="H2410" s="304"/>
    </row>
    <row r="2411">
      <c r="A2411" s="302" t="s">
        <v>91</v>
      </c>
      <c r="B2411" s="291" t="s">
        <v>14040</v>
      </c>
      <c r="C2411" s="292" t="s">
        <v>48</v>
      </c>
      <c r="D2411" s="293">
        <f t="shared" si="2"/>
        <v>1</v>
      </c>
      <c r="E2411" s="294"/>
      <c r="F2411" s="295" t="str">
        <f>IFERROR(__xludf.DUMMYFUNCTION("IF(B2411="""","""",IFERROR(VLOOKUP(TO_TEXT(B2411),PEDIDOS!D:I,6,0),IFERROR(VLOOKUP(B2411*1,PEDIDOS!D:I,6,0),"" "")))"),"ENTREGUE")</f>
        <v>ENTREGUE</v>
      </c>
      <c r="G2411" s="303"/>
      <c r="H2411" s="304"/>
    </row>
    <row r="2412">
      <c r="A2412" s="302" t="s">
        <v>91</v>
      </c>
      <c r="B2412" s="291" t="s">
        <v>13641</v>
      </c>
      <c r="C2412" s="292" t="s">
        <v>48</v>
      </c>
      <c r="D2412" s="293">
        <f t="shared" si="2"/>
        <v>1</v>
      </c>
      <c r="E2412" s="294"/>
      <c r="F2412" s="295" t="str">
        <f>IFERROR(__xludf.DUMMYFUNCTION("IF(B2412="""","""",IFERROR(VLOOKUP(TO_TEXT(B2412),PEDIDOS!D:I,6,0),IFERROR(VLOOKUP(B2412*1,PEDIDOS!D:I,6,0),"" "")))"),"ENTREGUE")</f>
        <v>ENTREGUE</v>
      </c>
      <c r="G2412" s="303"/>
      <c r="H2412" s="304"/>
    </row>
    <row r="2413">
      <c r="A2413" s="302" t="s">
        <v>91</v>
      </c>
      <c r="B2413" s="291" t="s">
        <v>13503</v>
      </c>
      <c r="C2413" s="292" t="s">
        <v>48</v>
      </c>
      <c r="D2413" s="293">
        <f t="shared" si="2"/>
        <v>1</v>
      </c>
      <c r="E2413" s="294"/>
      <c r="F2413" s="295" t="str">
        <f>IFERROR(__xludf.DUMMYFUNCTION("IF(B2413="""","""",IFERROR(VLOOKUP(TO_TEXT(B2413),PEDIDOS!D:I,6,0),IFERROR(VLOOKUP(B2413*1,PEDIDOS!D:I,6,0),"" "")))"),"ENTREGUE")</f>
        <v>ENTREGUE</v>
      </c>
      <c r="G2413" s="303"/>
      <c r="H2413" s="304"/>
    </row>
    <row r="2414">
      <c r="A2414" s="302" t="s">
        <v>91</v>
      </c>
      <c r="B2414" s="291" t="s">
        <v>13594</v>
      </c>
      <c r="C2414" s="292" t="s">
        <v>48</v>
      </c>
      <c r="D2414" s="293">
        <f t="shared" si="2"/>
        <v>1</v>
      </c>
      <c r="E2414" s="294"/>
      <c r="F2414" s="295" t="str">
        <f>IFERROR(__xludf.DUMMYFUNCTION("IF(B2414="""","""",IFERROR(VLOOKUP(TO_TEXT(B2414),PEDIDOS!D:I,6,0),IFERROR(VLOOKUP(B2414*1,PEDIDOS!D:I,6,0),"" "")))"),"ENTREGUE")</f>
        <v>ENTREGUE</v>
      </c>
      <c r="G2414" s="303"/>
      <c r="H2414" s="304"/>
    </row>
    <row r="2415">
      <c r="A2415" s="302" t="s">
        <v>112</v>
      </c>
      <c r="B2415" s="291" t="s">
        <v>12065</v>
      </c>
      <c r="C2415" s="292" t="s">
        <v>48</v>
      </c>
      <c r="D2415" s="293">
        <f t="shared" si="2"/>
        <v>1</v>
      </c>
      <c r="E2415" s="294"/>
      <c r="F2415" s="295" t="str">
        <f>IFERROR(__xludf.DUMMYFUNCTION("IF(B2415="""","""",IFERROR(VLOOKUP(TO_TEXT(B2415),PEDIDOS!D:I,6,0),IFERROR(VLOOKUP(B2415*1,PEDIDOS!D:I,6,0),"" "")))"),"ENTREGUE")</f>
        <v>ENTREGUE</v>
      </c>
      <c r="G2415" s="303"/>
      <c r="H2415" s="304"/>
    </row>
    <row r="2416">
      <c r="A2416" s="302" t="s">
        <v>112</v>
      </c>
      <c r="B2416" s="291" t="s">
        <v>12784</v>
      </c>
      <c r="C2416" s="292" t="s">
        <v>48</v>
      </c>
      <c r="D2416" s="293">
        <f t="shared" si="2"/>
        <v>1</v>
      </c>
      <c r="E2416" s="294"/>
      <c r="F2416" s="295" t="str">
        <f>IFERROR(__xludf.DUMMYFUNCTION("IF(B2416="""","""",IFERROR(VLOOKUP(TO_TEXT(B2416),PEDIDOS!D:I,6,0),IFERROR(VLOOKUP(B2416*1,PEDIDOS!D:I,6,0),"" "")))"),"ENTREGUE")</f>
        <v>ENTREGUE</v>
      </c>
      <c r="G2416" s="303"/>
      <c r="H2416" s="304"/>
    </row>
    <row r="2417">
      <c r="A2417" s="302" t="s">
        <v>112</v>
      </c>
      <c r="B2417" s="291" t="s">
        <v>12069</v>
      </c>
      <c r="C2417" s="292" t="s">
        <v>48</v>
      </c>
      <c r="D2417" s="293">
        <f t="shared" si="2"/>
        <v>1</v>
      </c>
      <c r="E2417" s="294"/>
      <c r="F2417" s="295" t="str">
        <f>IFERROR(__xludf.DUMMYFUNCTION("IF(B2417="""","""",IFERROR(VLOOKUP(TO_TEXT(B2417),PEDIDOS!D:I,6,0),IFERROR(VLOOKUP(B2417*1,PEDIDOS!D:I,6,0),"" "")))"),"ENTREGUE")</f>
        <v>ENTREGUE</v>
      </c>
      <c r="G2417" s="303"/>
      <c r="H2417" s="304"/>
    </row>
    <row r="2418">
      <c r="A2418" s="302" t="s">
        <v>112</v>
      </c>
      <c r="B2418" s="291" t="s">
        <v>23425</v>
      </c>
      <c r="C2418" s="292" t="s">
        <v>48</v>
      </c>
      <c r="D2418" s="293">
        <f t="shared" si="2"/>
        <v>1</v>
      </c>
      <c r="E2418" s="294"/>
      <c r="F2418" s="295" t="str">
        <f>IFERROR(__xludf.DUMMYFUNCTION("IF(B2418="""","""",IFERROR(VLOOKUP(TO_TEXT(B2418),PEDIDOS!D:I,6,0),IFERROR(VLOOKUP(B2418*1,PEDIDOS!D:I,6,0),"" "")))")," ")</f>
        <v> </v>
      </c>
      <c r="G2418" s="303" t="s">
        <v>23350</v>
      </c>
      <c r="H2418" s="304"/>
    </row>
    <row r="2419">
      <c r="A2419" s="302" t="s">
        <v>112</v>
      </c>
      <c r="B2419" s="291" t="s">
        <v>13006</v>
      </c>
      <c r="C2419" s="292" t="s">
        <v>48</v>
      </c>
      <c r="D2419" s="293">
        <f t="shared" si="2"/>
        <v>1</v>
      </c>
      <c r="E2419" s="294"/>
      <c r="F2419" s="295" t="str">
        <f>IFERROR(__xludf.DUMMYFUNCTION("IF(B2419="""","""",IFERROR(VLOOKUP(TO_TEXT(B2419),PEDIDOS!D:I,6,0),IFERROR(VLOOKUP(B2419*1,PEDIDOS!D:I,6,0),"" "")))"),"ENTREGUE")</f>
        <v>ENTREGUE</v>
      </c>
      <c r="G2419" s="303"/>
      <c r="H2419" s="304"/>
    </row>
    <row r="2420">
      <c r="A2420" s="302" t="s">
        <v>112</v>
      </c>
      <c r="B2420" s="291" t="s">
        <v>13221</v>
      </c>
      <c r="C2420" s="292" t="s">
        <v>48</v>
      </c>
      <c r="D2420" s="293">
        <f t="shared" si="2"/>
        <v>1</v>
      </c>
      <c r="E2420" s="294"/>
      <c r="F2420" s="295" t="str">
        <f>IFERROR(__xludf.DUMMYFUNCTION("IF(B2420="""","""",IFERROR(VLOOKUP(TO_TEXT(B2420),PEDIDOS!D:I,6,0),IFERROR(VLOOKUP(B2420*1,PEDIDOS!D:I,6,0),"" "")))"),"ENTREGUE")</f>
        <v>ENTREGUE</v>
      </c>
      <c r="G2420" s="303"/>
      <c r="H2420" s="304"/>
    </row>
    <row r="2421">
      <c r="A2421" s="302" t="s">
        <v>112</v>
      </c>
      <c r="B2421" s="291" t="s">
        <v>12929</v>
      </c>
      <c r="C2421" s="292" t="s">
        <v>48</v>
      </c>
      <c r="D2421" s="293">
        <f t="shared" si="2"/>
        <v>1</v>
      </c>
      <c r="E2421" s="294"/>
      <c r="F2421" s="295" t="str">
        <f>IFERROR(__xludf.DUMMYFUNCTION("IF(B2421="""","""",IFERROR(VLOOKUP(TO_TEXT(B2421),PEDIDOS!D:I,6,0),IFERROR(VLOOKUP(B2421*1,PEDIDOS!D:I,6,0),"" "")))"),"ENTREGUE")</f>
        <v>ENTREGUE</v>
      </c>
      <c r="G2421" s="303"/>
      <c r="H2421" s="304"/>
    </row>
    <row r="2422">
      <c r="A2422" s="302" t="s">
        <v>112</v>
      </c>
      <c r="B2422" s="291" t="s">
        <v>13358</v>
      </c>
      <c r="C2422" s="292" t="s">
        <v>48</v>
      </c>
      <c r="D2422" s="293">
        <f t="shared" si="2"/>
        <v>1</v>
      </c>
      <c r="E2422" s="294"/>
      <c r="F2422" s="295" t="str">
        <f>IFERROR(__xludf.DUMMYFUNCTION("IF(B2422="""","""",IFERROR(VLOOKUP(TO_TEXT(B2422),PEDIDOS!D:I,6,0),IFERROR(VLOOKUP(B2422*1,PEDIDOS!D:I,6,0),"" "")))"),"ENTREGUE")</f>
        <v>ENTREGUE</v>
      </c>
      <c r="G2422" s="303"/>
      <c r="H2422" s="304"/>
    </row>
    <row r="2423">
      <c r="A2423" s="302" t="s">
        <v>112</v>
      </c>
      <c r="B2423" s="291" t="s">
        <v>13153</v>
      </c>
      <c r="C2423" s="292" t="s">
        <v>48</v>
      </c>
      <c r="D2423" s="293">
        <f t="shared" si="2"/>
        <v>1</v>
      </c>
      <c r="E2423" s="294"/>
      <c r="F2423" s="295" t="str">
        <f>IFERROR(__xludf.DUMMYFUNCTION("IF(B2423="""","""",IFERROR(VLOOKUP(TO_TEXT(B2423),PEDIDOS!D:I,6,0),IFERROR(VLOOKUP(B2423*1,PEDIDOS!D:I,6,0),"" "")))"),"ENTREGUE")</f>
        <v>ENTREGUE</v>
      </c>
      <c r="G2423" s="303"/>
      <c r="H2423" s="304"/>
    </row>
    <row r="2424">
      <c r="A2424" s="302" t="s">
        <v>112</v>
      </c>
      <c r="B2424" s="291" t="s">
        <v>23426</v>
      </c>
      <c r="C2424" s="292" t="s">
        <v>48</v>
      </c>
      <c r="D2424" s="293">
        <f t="shared" si="2"/>
        <v>1</v>
      </c>
      <c r="E2424" s="294"/>
      <c r="F2424" s="295" t="str">
        <f>IFERROR(__xludf.DUMMYFUNCTION("IF(B2424="""","""",IFERROR(VLOOKUP(TO_TEXT(B2424),PEDIDOS!D:I,6,0),IFERROR(VLOOKUP(B2424*1,PEDIDOS!D:I,6,0),"" "")))")," ")</f>
        <v> </v>
      </c>
      <c r="G2424" s="303" t="s">
        <v>23350</v>
      </c>
      <c r="H2424" s="304"/>
    </row>
    <row r="2425">
      <c r="A2425" s="302" t="s">
        <v>112</v>
      </c>
      <c r="B2425" s="291" t="s">
        <v>13461</v>
      </c>
      <c r="C2425" s="292" t="s">
        <v>48</v>
      </c>
      <c r="D2425" s="293">
        <f t="shared" si="2"/>
        <v>1</v>
      </c>
      <c r="E2425" s="294"/>
      <c r="F2425" s="295" t="str">
        <f>IFERROR(__xludf.DUMMYFUNCTION("IF(B2425="""","""",IFERROR(VLOOKUP(TO_TEXT(B2425),PEDIDOS!D:I,6,0),IFERROR(VLOOKUP(B2425*1,PEDIDOS!D:I,6,0),"" "")))"),"ENTREGUE")</f>
        <v>ENTREGUE</v>
      </c>
      <c r="G2425" s="303"/>
      <c r="H2425" s="304"/>
    </row>
    <row r="2426">
      <c r="A2426" s="302" t="s">
        <v>112</v>
      </c>
      <c r="B2426" s="291" t="s">
        <v>13442</v>
      </c>
      <c r="C2426" s="292" t="s">
        <v>48</v>
      </c>
      <c r="D2426" s="293">
        <f t="shared" si="2"/>
        <v>1</v>
      </c>
      <c r="E2426" s="294"/>
      <c r="F2426" s="295" t="str">
        <f>IFERROR(__xludf.DUMMYFUNCTION("IF(B2426="""","""",IFERROR(VLOOKUP(TO_TEXT(B2426),PEDIDOS!D:I,6,0),IFERROR(VLOOKUP(B2426*1,PEDIDOS!D:I,6,0),"" "")))"),"ENTREGUE")</f>
        <v>ENTREGUE</v>
      </c>
      <c r="G2426" s="303"/>
      <c r="H2426" s="304"/>
    </row>
    <row r="2427">
      <c r="A2427" s="302" t="s">
        <v>112</v>
      </c>
      <c r="B2427" s="291" t="s">
        <v>14719</v>
      </c>
      <c r="C2427" s="292" t="s">
        <v>48</v>
      </c>
      <c r="D2427" s="293">
        <f t="shared" si="2"/>
        <v>1</v>
      </c>
      <c r="E2427" s="294"/>
      <c r="F2427" s="295" t="str">
        <f>IFERROR(__xludf.DUMMYFUNCTION("IF(B2427="""","""",IFERROR(VLOOKUP(TO_TEXT(B2427),PEDIDOS!D:I,6,0),IFERROR(VLOOKUP(B2427*1,PEDIDOS!D:I,6,0),"" "")))"),"ENTREGUE")</f>
        <v>ENTREGUE</v>
      </c>
      <c r="G2427" s="303"/>
      <c r="H2427" s="304"/>
    </row>
    <row r="2428">
      <c r="A2428" s="302" t="s">
        <v>112</v>
      </c>
      <c r="B2428" s="291" t="s">
        <v>13096</v>
      </c>
      <c r="C2428" s="292" t="s">
        <v>48</v>
      </c>
      <c r="D2428" s="293">
        <f t="shared" si="2"/>
        <v>1</v>
      </c>
      <c r="E2428" s="294"/>
      <c r="F2428" s="295" t="str">
        <f>IFERROR(__xludf.DUMMYFUNCTION("IF(B2428="""","""",IFERROR(VLOOKUP(TO_TEXT(B2428),PEDIDOS!D:I,6,0),IFERROR(VLOOKUP(B2428*1,PEDIDOS!D:I,6,0),"" "")))"),"ENTREGUE")</f>
        <v>ENTREGUE</v>
      </c>
      <c r="G2428" s="303"/>
      <c r="H2428" s="304"/>
    </row>
    <row r="2429">
      <c r="A2429" s="302" t="s">
        <v>112</v>
      </c>
      <c r="B2429" s="291" t="s">
        <v>13040</v>
      </c>
      <c r="C2429" s="292" t="s">
        <v>48</v>
      </c>
      <c r="D2429" s="293">
        <f t="shared" si="2"/>
        <v>1</v>
      </c>
      <c r="E2429" s="294"/>
      <c r="F2429" s="295" t="str">
        <f>IFERROR(__xludf.DUMMYFUNCTION("IF(B2429="""","""",IFERROR(VLOOKUP(TO_TEXT(B2429),PEDIDOS!D:I,6,0),IFERROR(VLOOKUP(B2429*1,PEDIDOS!D:I,6,0),"" "")))"),"ENTREGUE")</f>
        <v>ENTREGUE</v>
      </c>
      <c r="G2429" s="303"/>
      <c r="H2429" s="304"/>
    </row>
    <row r="2430">
      <c r="A2430" s="302" t="s">
        <v>112</v>
      </c>
      <c r="B2430" s="291" t="s">
        <v>148</v>
      </c>
      <c r="C2430" s="292" t="s">
        <v>48</v>
      </c>
      <c r="D2430" s="293">
        <f t="shared" si="2"/>
        <v>1</v>
      </c>
      <c r="E2430" s="294"/>
      <c r="F2430" s="295" t="str">
        <f>IFERROR(__xludf.DUMMYFUNCTION("IF(B2430="""","""",IFERROR(VLOOKUP(TO_TEXT(B2430),PEDIDOS!D:I,6,0),IFERROR(VLOOKUP(B2430*1,PEDIDOS!D:I,6,0),"" "")))"),"ENTREGUE")</f>
        <v>ENTREGUE</v>
      </c>
      <c r="G2430" s="303"/>
      <c r="H2430" s="304"/>
    </row>
    <row r="2431">
      <c r="A2431" s="302" t="s">
        <v>112</v>
      </c>
      <c r="B2431" s="291" t="s">
        <v>13233</v>
      </c>
      <c r="C2431" s="292" t="s">
        <v>48</v>
      </c>
      <c r="D2431" s="293">
        <f t="shared" si="2"/>
        <v>1</v>
      </c>
      <c r="E2431" s="294"/>
      <c r="F2431" s="295" t="str">
        <f>IFERROR(__xludf.DUMMYFUNCTION("IF(B2431="""","""",IFERROR(VLOOKUP(TO_TEXT(B2431),PEDIDOS!D:I,6,0),IFERROR(VLOOKUP(B2431*1,PEDIDOS!D:I,6,0),"" "")))"),"ENTREGUE")</f>
        <v>ENTREGUE</v>
      </c>
      <c r="G2431" s="303"/>
      <c r="H2431" s="304"/>
    </row>
    <row r="2432">
      <c r="A2432" s="302" t="s">
        <v>112</v>
      </c>
      <c r="B2432" s="291" t="s">
        <v>13175</v>
      </c>
      <c r="C2432" s="292" t="s">
        <v>48</v>
      </c>
      <c r="D2432" s="293">
        <f t="shared" si="2"/>
        <v>1</v>
      </c>
      <c r="E2432" s="294"/>
      <c r="F2432" s="295" t="str">
        <f>IFERROR(__xludf.DUMMYFUNCTION("IF(B2432="""","""",IFERROR(VLOOKUP(TO_TEXT(B2432),PEDIDOS!D:I,6,0),IFERROR(VLOOKUP(B2432*1,PEDIDOS!D:I,6,0),"" "")))"),"ENTREGUE")</f>
        <v>ENTREGUE</v>
      </c>
      <c r="G2432" s="303"/>
      <c r="H2432" s="304"/>
    </row>
    <row r="2433">
      <c r="A2433" s="302" t="s">
        <v>112</v>
      </c>
      <c r="B2433" s="291" t="s">
        <v>13667</v>
      </c>
      <c r="C2433" s="292" t="s">
        <v>48</v>
      </c>
      <c r="D2433" s="293">
        <f t="shared" si="2"/>
        <v>1</v>
      </c>
      <c r="E2433" s="294"/>
      <c r="F2433" s="295" t="str">
        <f>IFERROR(__xludf.DUMMYFUNCTION("IF(B2433="""","""",IFERROR(VLOOKUP(TO_TEXT(B2433),PEDIDOS!D:I,6,0),IFERROR(VLOOKUP(B2433*1,PEDIDOS!D:I,6,0),"" "")))"),"ENTREGUE")</f>
        <v>ENTREGUE</v>
      </c>
      <c r="G2433" s="303"/>
      <c r="H2433" s="304"/>
    </row>
    <row r="2434">
      <c r="A2434" s="302" t="s">
        <v>112</v>
      </c>
      <c r="B2434" s="291" t="s">
        <v>13093</v>
      </c>
      <c r="C2434" s="292" t="s">
        <v>48</v>
      </c>
      <c r="D2434" s="293">
        <f t="shared" si="2"/>
        <v>1</v>
      </c>
      <c r="E2434" s="294"/>
      <c r="F2434" s="295" t="str">
        <f>IFERROR(__xludf.DUMMYFUNCTION("IF(B2434="""","""",IFERROR(VLOOKUP(TO_TEXT(B2434),PEDIDOS!D:I,6,0),IFERROR(VLOOKUP(B2434*1,PEDIDOS!D:I,6,0),"" "")))"),"ENTREGUE")</f>
        <v>ENTREGUE</v>
      </c>
      <c r="G2434" s="303"/>
      <c r="H2434" s="304"/>
    </row>
    <row r="2435">
      <c r="A2435" s="302" t="s">
        <v>3395</v>
      </c>
      <c r="B2435" s="291" t="s">
        <v>15060</v>
      </c>
      <c r="C2435" s="292" t="s">
        <v>48</v>
      </c>
      <c r="D2435" s="293">
        <f t="shared" si="2"/>
        <v>1</v>
      </c>
      <c r="E2435" s="294"/>
      <c r="F2435" s="295" t="str">
        <f>IFERROR(__xludf.DUMMYFUNCTION("IF(B2435="""","""",IFERROR(VLOOKUP(TO_TEXT(B2435),PEDIDOS!D:I,6,0),IFERROR(VLOOKUP(B2435*1,PEDIDOS!D:I,6,0),"" "")))"),"ENTREGUE")</f>
        <v>ENTREGUE</v>
      </c>
      <c r="G2435" s="303"/>
      <c r="H2435" s="304"/>
    </row>
    <row r="2436">
      <c r="A2436" s="302" t="s">
        <v>3395</v>
      </c>
      <c r="B2436" s="291" t="s">
        <v>15111</v>
      </c>
      <c r="C2436" s="292" t="s">
        <v>48</v>
      </c>
      <c r="D2436" s="293">
        <f t="shared" si="2"/>
        <v>1</v>
      </c>
      <c r="E2436" s="294"/>
      <c r="F2436" s="295" t="str">
        <f>IFERROR(__xludf.DUMMYFUNCTION("IF(B2436="""","""",IFERROR(VLOOKUP(TO_TEXT(B2436),PEDIDOS!D:I,6,0),IFERROR(VLOOKUP(B2436*1,PEDIDOS!D:I,6,0),"" "")))"),"ENTREGUE")</f>
        <v>ENTREGUE</v>
      </c>
      <c r="G2436" s="303"/>
      <c r="H2436" s="304"/>
    </row>
    <row r="2437">
      <c r="A2437" s="302" t="s">
        <v>3395</v>
      </c>
      <c r="B2437" s="291" t="s">
        <v>15146</v>
      </c>
      <c r="C2437" s="292" t="s">
        <v>48</v>
      </c>
      <c r="D2437" s="293">
        <f t="shared" si="2"/>
        <v>1</v>
      </c>
      <c r="E2437" s="294"/>
      <c r="F2437" s="295" t="str">
        <f>IFERROR(__xludf.DUMMYFUNCTION("IF(B2437="""","""",IFERROR(VLOOKUP(TO_TEXT(B2437),PEDIDOS!D:I,6,0),IFERROR(VLOOKUP(B2437*1,PEDIDOS!D:I,6,0),"" "")))"),"ENTREGUE")</f>
        <v>ENTREGUE</v>
      </c>
      <c r="G2437" s="303"/>
      <c r="H2437" s="304"/>
    </row>
    <row r="2438">
      <c r="A2438" s="302" t="s">
        <v>3395</v>
      </c>
      <c r="B2438" s="291" t="s">
        <v>14908</v>
      </c>
      <c r="C2438" s="292" t="s">
        <v>48</v>
      </c>
      <c r="D2438" s="293">
        <f t="shared" si="2"/>
        <v>1</v>
      </c>
      <c r="E2438" s="294"/>
      <c r="F2438" s="295" t="str">
        <f>IFERROR(__xludf.DUMMYFUNCTION("IF(B2438="""","""",IFERROR(VLOOKUP(TO_TEXT(B2438),PEDIDOS!D:I,6,0),IFERROR(VLOOKUP(B2438*1,PEDIDOS!D:I,6,0),"" "")))"),"ENTREGUE")</f>
        <v>ENTREGUE</v>
      </c>
      <c r="G2438" s="303"/>
      <c r="H2438" s="304"/>
    </row>
    <row r="2439">
      <c r="A2439" s="302" t="s">
        <v>3395</v>
      </c>
      <c r="B2439" s="291" t="s">
        <v>14974</v>
      </c>
      <c r="C2439" s="292" t="s">
        <v>48</v>
      </c>
      <c r="D2439" s="293">
        <f t="shared" si="2"/>
        <v>1</v>
      </c>
      <c r="E2439" s="294"/>
      <c r="F2439" s="295" t="str">
        <f>IFERROR(__xludf.DUMMYFUNCTION("IF(B2439="""","""",IFERROR(VLOOKUP(TO_TEXT(B2439),PEDIDOS!D:I,6,0),IFERROR(VLOOKUP(B2439*1,PEDIDOS!D:I,6,0),"" "")))"),"ENTREGUE")</f>
        <v>ENTREGUE</v>
      </c>
      <c r="G2439" s="303"/>
      <c r="H2439" s="304"/>
    </row>
    <row r="2440">
      <c r="A2440" s="302" t="s">
        <v>3395</v>
      </c>
      <c r="B2440" s="291" t="s">
        <v>15130</v>
      </c>
      <c r="C2440" s="292" t="s">
        <v>48</v>
      </c>
      <c r="D2440" s="293">
        <f t="shared" si="2"/>
        <v>1</v>
      </c>
      <c r="E2440" s="294"/>
      <c r="F2440" s="295" t="str">
        <f>IFERROR(__xludf.DUMMYFUNCTION("IF(B2440="""","""",IFERROR(VLOOKUP(TO_TEXT(B2440),PEDIDOS!D:I,6,0),IFERROR(VLOOKUP(B2440*1,PEDIDOS!D:I,6,0),"" "")))"),"ENTREGUE")</f>
        <v>ENTREGUE</v>
      </c>
      <c r="G2440" s="303"/>
      <c r="H2440" s="304"/>
    </row>
    <row r="2441">
      <c r="A2441" s="302" t="s">
        <v>3395</v>
      </c>
      <c r="B2441" s="291" t="s">
        <v>15389</v>
      </c>
      <c r="C2441" s="292" t="s">
        <v>48</v>
      </c>
      <c r="D2441" s="293">
        <f t="shared" si="2"/>
        <v>1</v>
      </c>
      <c r="E2441" s="294"/>
      <c r="F2441" s="295" t="str">
        <f>IFERROR(__xludf.DUMMYFUNCTION("IF(B2441="""","""",IFERROR(VLOOKUP(TO_TEXT(B2441),PEDIDOS!D:I,6,0),IFERROR(VLOOKUP(B2441*1,PEDIDOS!D:I,6,0),"" "")))"),"ENTREGUE")</f>
        <v>ENTREGUE</v>
      </c>
      <c r="G2441" s="303"/>
      <c r="H2441" s="304"/>
    </row>
    <row r="2442">
      <c r="A2442" s="302" t="s">
        <v>3395</v>
      </c>
      <c r="B2442" s="291" t="s">
        <v>16802</v>
      </c>
      <c r="C2442" s="292" t="s">
        <v>48</v>
      </c>
      <c r="D2442" s="293">
        <f t="shared" si="2"/>
        <v>1</v>
      </c>
      <c r="E2442" s="294"/>
      <c r="F2442" s="295" t="str">
        <f>IFERROR(__xludf.DUMMYFUNCTION("IF(B2442="""","""",IFERROR(VLOOKUP(TO_TEXT(B2442),PEDIDOS!D:I,6,0),IFERROR(VLOOKUP(B2442*1,PEDIDOS!D:I,6,0),"" "")))"),"ENTREGUE")</f>
        <v>ENTREGUE</v>
      </c>
      <c r="G2442" s="303"/>
      <c r="H2442" s="304" t="s">
        <v>15811</v>
      </c>
    </row>
    <row r="2443">
      <c r="A2443" s="302" t="s">
        <v>3395</v>
      </c>
      <c r="B2443" s="291" t="s">
        <v>19881</v>
      </c>
      <c r="C2443" s="292" t="s">
        <v>48</v>
      </c>
      <c r="D2443" s="293">
        <f t="shared" si="2"/>
        <v>1</v>
      </c>
      <c r="E2443" s="294"/>
      <c r="F2443" s="295" t="str">
        <f>IFERROR(__xludf.DUMMYFUNCTION("IF(B2443="""","""",IFERROR(VLOOKUP(TO_TEXT(B2443),PEDIDOS!D:I,6,0),IFERROR(VLOOKUP(B2443*1,PEDIDOS!D:I,6,0),"" "")))"),"ENTREGUE")</f>
        <v>ENTREGUE</v>
      </c>
      <c r="G2443" s="303"/>
      <c r="H2443" s="304" t="s">
        <v>15811</v>
      </c>
    </row>
    <row r="2444">
      <c r="A2444" s="302" t="s">
        <v>3395</v>
      </c>
      <c r="B2444" s="291" t="s">
        <v>19888</v>
      </c>
      <c r="C2444" s="292" t="s">
        <v>48</v>
      </c>
      <c r="D2444" s="293">
        <f t="shared" si="2"/>
        <v>1</v>
      </c>
      <c r="E2444" s="294"/>
      <c r="F2444" s="295" t="str">
        <f>IFERROR(__xludf.DUMMYFUNCTION("IF(B2444="""","""",IFERROR(VLOOKUP(TO_TEXT(B2444),PEDIDOS!D:I,6,0),IFERROR(VLOOKUP(B2444*1,PEDIDOS!D:I,6,0),"" "")))"),"ENTREGUE")</f>
        <v>ENTREGUE</v>
      </c>
      <c r="G2444" s="303"/>
      <c r="H2444" s="304" t="s">
        <v>15811</v>
      </c>
    </row>
    <row r="2445">
      <c r="A2445" s="302" t="s">
        <v>3395</v>
      </c>
      <c r="B2445" s="291" t="s">
        <v>15532</v>
      </c>
      <c r="C2445" s="292" t="s">
        <v>48</v>
      </c>
      <c r="D2445" s="293">
        <f t="shared" si="2"/>
        <v>1</v>
      </c>
      <c r="E2445" s="294"/>
      <c r="F2445" s="295" t="str">
        <f>IFERROR(__xludf.DUMMYFUNCTION("IF(B2445="""","""",IFERROR(VLOOKUP(TO_TEXT(B2445),PEDIDOS!D:I,6,0),IFERROR(VLOOKUP(B2445*1,PEDIDOS!D:I,6,0),"" "")))"),"ENTREGUE")</f>
        <v>ENTREGUE</v>
      </c>
      <c r="G2445" s="303"/>
      <c r="H2445" s="304"/>
    </row>
    <row r="2446">
      <c r="A2446" s="302" t="s">
        <v>3395</v>
      </c>
      <c r="B2446" s="291" t="s">
        <v>15527</v>
      </c>
      <c r="C2446" s="292" t="s">
        <v>48</v>
      </c>
      <c r="D2446" s="293">
        <f t="shared" si="2"/>
        <v>1</v>
      </c>
      <c r="E2446" s="294"/>
      <c r="F2446" s="295" t="str">
        <f>IFERROR(__xludf.DUMMYFUNCTION("IF(B2446="""","""",IFERROR(VLOOKUP(TO_TEXT(B2446),PEDIDOS!D:I,6,0),IFERROR(VLOOKUP(B2446*1,PEDIDOS!D:I,6,0),"" "")))"),"ENTREGUE")</f>
        <v>ENTREGUE</v>
      </c>
      <c r="G2446" s="303"/>
      <c r="H2446" s="304"/>
    </row>
    <row r="2447">
      <c r="A2447" s="302" t="s">
        <v>3395</v>
      </c>
      <c r="B2447" s="291" t="s">
        <v>15432</v>
      </c>
      <c r="C2447" s="292" t="s">
        <v>48</v>
      </c>
      <c r="D2447" s="293">
        <f t="shared" si="2"/>
        <v>1</v>
      </c>
      <c r="E2447" s="294"/>
      <c r="F2447" s="295" t="str">
        <f>IFERROR(__xludf.DUMMYFUNCTION("IF(B2447="""","""",IFERROR(VLOOKUP(TO_TEXT(B2447),PEDIDOS!D:I,6,0),IFERROR(VLOOKUP(B2447*1,PEDIDOS!D:I,6,0),"" "")))"),"ENTREGUE")</f>
        <v>ENTREGUE</v>
      </c>
      <c r="G2447" s="303"/>
      <c r="H2447" s="304"/>
    </row>
    <row r="2448">
      <c r="A2448" s="302" t="s">
        <v>3395</v>
      </c>
      <c r="B2448" s="291" t="s">
        <v>15382</v>
      </c>
      <c r="C2448" s="292" t="s">
        <v>48</v>
      </c>
      <c r="D2448" s="293">
        <f t="shared" si="2"/>
        <v>1</v>
      </c>
      <c r="E2448" s="294"/>
      <c r="F2448" s="295" t="str">
        <f>IFERROR(__xludf.DUMMYFUNCTION("IF(B2448="""","""",IFERROR(VLOOKUP(TO_TEXT(B2448),PEDIDOS!D:I,6,0),IFERROR(VLOOKUP(B2448*1,PEDIDOS!D:I,6,0),"" "")))"),"ENTREGUE")</f>
        <v>ENTREGUE</v>
      </c>
      <c r="G2448" s="303"/>
      <c r="H2448" s="304"/>
    </row>
    <row r="2449">
      <c r="A2449" s="302" t="s">
        <v>3395</v>
      </c>
      <c r="B2449" s="291" t="s">
        <v>15309</v>
      </c>
      <c r="C2449" s="292" t="s">
        <v>48</v>
      </c>
      <c r="D2449" s="293">
        <f t="shared" si="2"/>
        <v>1</v>
      </c>
      <c r="E2449" s="294"/>
      <c r="F2449" s="295" t="str">
        <f>IFERROR(__xludf.DUMMYFUNCTION("IF(B2449="""","""",IFERROR(VLOOKUP(TO_TEXT(B2449),PEDIDOS!D:I,6,0),IFERROR(VLOOKUP(B2449*1,PEDIDOS!D:I,6,0),"" "")))"),"ENTREGUE")</f>
        <v>ENTREGUE</v>
      </c>
      <c r="G2449" s="303"/>
      <c r="H2449" s="304"/>
    </row>
    <row r="2450">
      <c r="A2450" s="302" t="s">
        <v>3395</v>
      </c>
      <c r="B2450" s="291" t="s">
        <v>15305</v>
      </c>
      <c r="C2450" s="292" t="s">
        <v>48</v>
      </c>
      <c r="D2450" s="293">
        <f t="shared" si="2"/>
        <v>1</v>
      </c>
      <c r="E2450" s="294"/>
      <c r="F2450" s="295" t="str">
        <f>IFERROR(__xludf.DUMMYFUNCTION("IF(B2450="""","""",IFERROR(VLOOKUP(TO_TEXT(B2450),PEDIDOS!D:I,6,0),IFERROR(VLOOKUP(B2450*1,PEDIDOS!D:I,6,0),"" "")))"),"ENTREGUE")</f>
        <v>ENTREGUE</v>
      </c>
      <c r="G2450" s="303"/>
      <c r="H2450" s="304"/>
    </row>
    <row r="2451">
      <c r="A2451" s="302" t="s">
        <v>3395</v>
      </c>
      <c r="B2451" s="291" t="s">
        <v>17274</v>
      </c>
      <c r="C2451" s="292" t="s">
        <v>48</v>
      </c>
      <c r="D2451" s="293">
        <f t="shared" si="2"/>
        <v>1</v>
      </c>
      <c r="E2451" s="294"/>
      <c r="F2451" s="295" t="str">
        <f>IFERROR(__xludf.DUMMYFUNCTION("IF(B2451="""","""",IFERROR(VLOOKUP(TO_TEXT(B2451),PEDIDOS!D:I,6,0),IFERROR(VLOOKUP(B2451*1,PEDIDOS!D:I,6,0),"" "")))"),"ENTREGUE")</f>
        <v>ENTREGUE</v>
      </c>
      <c r="G2451" s="303"/>
      <c r="H2451" s="304" t="s">
        <v>15811</v>
      </c>
    </row>
    <row r="2452">
      <c r="A2452" s="302" t="s">
        <v>3395</v>
      </c>
      <c r="B2452" s="291" t="s">
        <v>19893</v>
      </c>
      <c r="C2452" s="292" t="s">
        <v>48</v>
      </c>
      <c r="D2452" s="293">
        <f t="shared" si="2"/>
        <v>1</v>
      </c>
      <c r="E2452" s="294"/>
      <c r="F2452" s="295" t="str">
        <f>IFERROR(__xludf.DUMMYFUNCTION("IF(B2452="""","""",IFERROR(VLOOKUP(TO_TEXT(B2452),PEDIDOS!D:I,6,0),IFERROR(VLOOKUP(B2452*1,PEDIDOS!D:I,6,0),"" "")))"),"ENTREGUE")</f>
        <v>ENTREGUE</v>
      </c>
      <c r="G2452" s="303"/>
      <c r="H2452" s="304" t="s">
        <v>15811</v>
      </c>
    </row>
    <row r="2453">
      <c r="A2453" s="302" t="s">
        <v>3395</v>
      </c>
      <c r="B2453" s="291" t="s">
        <v>19897</v>
      </c>
      <c r="C2453" s="292" t="s">
        <v>48</v>
      </c>
      <c r="D2453" s="293">
        <f t="shared" si="2"/>
        <v>1</v>
      </c>
      <c r="E2453" s="294"/>
      <c r="F2453" s="295" t="str">
        <f>IFERROR(__xludf.DUMMYFUNCTION("IF(B2453="""","""",IFERROR(VLOOKUP(TO_TEXT(B2453),PEDIDOS!D:I,6,0),IFERROR(VLOOKUP(B2453*1,PEDIDOS!D:I,6,0),"" "")))"),"ENTREGUE")</f>
        <v>ENTREGUE</v>
      </c>
      <c r="G2453" s="303"/>
      <c r="H2453" s="304" t="s">
        <v>15811</v>
      </c>
    </row>
    <row r="2454">
      <c r="A2454" s="302" t="s">
        <v>3395</v>
      </c>
      <c r="B2454" s="291" t="s">
        <v>15593</v>
      </c>
      <c r="C2454" s="292" t="s">
        <v>48</v>
      </c>
      <c r="D2454" s="293">
        <f t="shared" si="2"/>
        <v>1</v>
      </c>
      <c r="E2454" s="294"/>
      <c r="F2454" s="295" t="str">
        <f>IFERROR(__xludf.DUMMYFUNCTION("IF(B2454="""","""",IFERROR(VLOOKUP(TO_TEXT(B2454),PEDIDOS!D:I,6,0),IFERROR(VLOOKUP(B2454*1,PEDIDOS!D:I,6,0),"" "")))"),"ENTREGUE")</f>
        <v>ENTREGUE</v>
      </c>
      <c r="G2454" s="303"/>
      <c r="H2454" s="304"/>
    </row>
    <row r="2455">
      <c r="A2455" s="302" t="s">
        <v>3395</v>
      </c>
      <c r="B2455" s="291" t="s">
        <v>15598</v>
      </c>
      <c r="C2455" s="292" t="s">
        <v>48</v>
      </c>
      <c r="D2455" s="293">
        <f t="shared" si="2"/>
        <v>1</v>
      </c>
      <c r="E2455" s="294"/>
      <c r="F2455" s="295" t="str">
        <f>IFERROR(__xludf.DUMMYFUNCTION("IF(B2455="""","""",IFERROR(VLOOKUP(TO_TEXT(B2455),PEDIDOS!D:I,6,0),IFERROR(VLOOKUP(B2455*1,PEDIDOS!D:I,6,0),"" "")))"),"ENTREGUE")</f>
        <v>ENTREGUE</v>
      </c>
      <c r="G2455" s="303"/>
      <c r="H2455" s="304"/>
    </row>
    <row r="2456">
      <c r="A2456" s="302" t="s">
        <v>3395</v>
      </c>
      <c r="B2456" s="291" t="s">
        <v>15670</v>
      </c>
      <c r="C2456" s="292" t="s">
        <v>48</v>
      </c>
      <c r="D2456" s="293">
        <f t="shared" si="2"/>
        <v>1</v>
      </c>
      <c r="E2456" s="294"/>
      <c r="F2456" s="295" t="str">
        <f>IFERROR(__xludf.DUMMYFUNCTION("IF(B2456="""","""",IFERROR(VLOOKUP(TO_TEXT(B2456),PEDIDOS!D:I,6,0),IFERROR(VLOOKUP(B2456*1,PEDIDOS!D:I,6,0),"" "")))"),"ENTREGUE")</f>
        <v>ENTREGUE</v>
      </c>
      <c r="G2456" s="303"/>
      <c r="H2456" s="304"/>
    </row>
    <row r="2457">
      <c r="A2457" s="302" t="s">
        <v>3395</v>
      </c>
      <c r="B2457" s="291" t="s">
        <v>16002</v>
      </c>
      <c r="C2457" s="292" t="s">
        <v>48</v>
      </c>
      <c r="D2457" s="293">
        <f t="shared" si="2"/>
        <v>1</v>
      </c>
      <c r="E2457" s="294"/>
      <c r="F2457" s="295" t="str">
        <f>IFERROR(__xludf.DUMMYFUNCTION("IF(B2457="""","""",IFERROR(VLOOKUP(TO_TEXT(B2457),PEDIDOS!D:I,6,0),IFERROR(VLOOKUP(B2457*1,PEDIDOS!D:I,6,0),"" "")))"),"ENTREGUE")</f>
        <v>ENTREGUE</v>
      </c>
      <c r="G2457" s="303"/>
      <c r="H2457" s="304"/>
    </row>
    <row r="2458">
      <c r="A2458" s="302" t="s">
        <v>3395</v>
      </c>
      <c r="B2458" s="291" t="s">
        <v>16817</v>
      </c>
      <c r="C2458" s="292" t="s">
        <v>48</v>
      </c>
      <c r="D2458" s="293">
        <f t="shared" si="2"/>
        <v>1</v>
      </c>
      <c r="E2458" s="294"/>
      <c r="F2458" s="295" t="str">
        <f>IFERROR(__xludf.DUMMYFUNCTION("IF(B2458="""","""",IFERROR(VLOOKUP(TO_TEXT(B2458),PEDIDOS!D:I,6,0),IFERROR(VLOOKUP(B2458*1,PEDIDOS!D:I,6,0),"" "")))"),"ENTREGUE")</f>
        <v>ENTREGUE</v>
      </c>
      <c r="G2458" s="303"/>
      <c r="H2458" s="304"/>
    </row>
    <row r="2459">
      <c r="A2459" s="302" t="s">
        <v>3395</v>
      </c>
      <c r="B2459" s="291" t="s">
        <v>16796</v>
      </c>
      <c r="C2459" s="292" t="s">
        <v>48</v>
      </c>
      <c r="D2459" s="293">
        <f t="shared" si="2"/>
        <v>1</v>
      </c>
      <c r="E2459" s="294"/>
      <c r="F2459" s="295" t="str">
        <f>IFERROR(__xludf.DUMMYFUNCTION("IF(B2459="""","""",IFERROR(VLOOKUP(TO_TEXT(B2459),PEDIDOS!D:I,6,0),IFERROR(VLOOKUP(B2459*1,PEDIDOS!D:I,6,0),"" "")))"),"ENTREGUE")</f>
        <v>ENTREGUE</v>
      </c>
      <c r="G2459" s="303"/>
      <c r="H2459" s="304"/>
    </row>
    <row r="2460">
      <c r="A2460" s="302" t="s">
        <v>3395</v>
      </c>
      <c r="B2460" s="291" t="s">
        <v>16615</v>
      </c>
      <c r="C2460" s="292" t="s">
        <v>48</v>
      </c>
      <c r="D2460" s="293">
        <f t="shared" si="2"/>
        <v>1</v>
      </c>
      <c r="E2460" s="294"/>
      <c r="F2460" s="295" t="str">
        <f>IFERROR(__xludf.DUMMYFUNCTION("IF(B2460="""","""",IFERROR(VLOOKUP(TO_TEXT(B2460),PEDIDOS!D:I,6,0),IFERROR(VLOOKUP(B2460*1,PEDIDOS!D:I,6,0),"" "")))"),"ENTREGUE")</f>
        <v>ENTREGUE</v>
      </c>
      <c r="G2460" s="303"/>
      <c r="H2460" s="304"/>
    </row>
    <row r="2461">
      <c r="A2461" s="302" t="s">
        <v>3395</v>
      </c>
      <c r="B2461" s="291" t="s">
        <v>16401</v>
      </c>
      <c r="C2461" s="292" t="s">
        <v>48</v>
      </c>
      <c r="D2461" s="293">
        <f t="shared" si="2"/>
        <v>1</v>
      </c>
      <c r="E2461" s="294"/>
      <c r="F2461" s="295" t="str">
        <f>IFERROR(__xludf.DUMMYFUNCTION("IF(B2461="""","""",IFERROR(VLOOKUP(TO_TEXT(B2461),PEDIDOS!D:I,6,0),IFERROR(VLOOKUP(B2461*1,PEDIDOS!D:I,6,0),"" "")))"),"ENTREGUE")</f>
        <v>ENTREGUE</v>
      </c>
      <c r="G2461" s="303"/>
      <c r="H2461" s="304"/>
    </row>
    <row r="2462">
      <c r="A2462" s="302" t="s">
        <v>3395</v>
      </c>
      <c r="B2462" s="291" t="s">
        <v>15960</v>
      </c>
      <c r="C2462" s="292" t="s">
        <v>48</v>
      </c>
      <c r="D2462" s="293">
        <f t="shared" si="2"/>
        <v>1</v>
      </c>
      <c r="E2462" s="294"/>
      <c r="F2462" s="295" t="str">
        <f>IFERROR(__xludf.DUMMYFUNCTION("IF(B2462="""","""",IFERROR(VLOOKUP(TO_TEXT(B2462),PEDIDOS!D:I,6,0),IFERROR(VLOOKUP(B2462*1,PEDIDOS!D:I,6,0),"" "")))"),"ENTREGUE")</f>
        <v>ENTREGUE</v>
      </c>
      <c r="G2462" s="303"/>
      <c r="H2462" s="304"/>
    </row>
    <row r="2463">
      <c r="A2463" s="302" t="s">
        <v>3395</v>
      </c>
      <c r="B2463" s="291" t="s">
        <v>15965</v>
      </c>
      <c r="C2463" s="292" t="s">
        <v>48</v>
      </c>
      <c r="D2463" s="293">
        <f t="shared" si="2"/>
        <v>1</v>
      </c>
      <c r="E2463" s="294"/>
      <c r="F2463" s="295" t="str">
        <f>IFERROR(__xludf.DUMMYFUNCTION("IF(B2463="""","""",IFERROR(VLOOKUP(TO_TEXT(B2463),PEDIDOS!D:I,6,0),IFERROR(VLOOKUP(B2463*1,PEDIDOS!D:I,6,0),"" "")))"),"ENTREGUE")</f>
        <v>ENTREGUE</v>
      </c>
      <c r="G2463" s="303"/>
      <c r="H2463" s="304"/>
    </row>
    <row r="2464">
      <c r="A2464" s="302" t="s">
        <v>3395</v>
      </c>
      <c r="B2464" s="291" t="s">
        <v>16248</v>
      </c>
      <c r="C2464" s="292" t="s">
        <v>48</v>
      </c>
      <c r="D2464" s="293">
        <f t="shared" si="2"/>
        <v>1</v>
      </c>
      <c r="E2464" s="294"/>
      <c r="F2464" s="295" t="str">
        <f>IFERROR(__xludf.DUMMYFUNCTION("IF(B2464="""","""",IFERROR(VLOOKUP(TO_TEXT(B2464),PEDIDOS!D:I,6,0),IFERROR(VLOOKUP(B2464*1,PEDIDOS!D:I,6,0),"" "")))"),"ENTREGUE")</f>
        <v>ENTREGUE</v>
      </c>
      <c r="G2464" s="303"/>
      <c r="H2464" s="304"/>
    </row>
    <row r="2465">
      <c r="A2465" s="302" t="s">
        <v>3395</v>
      </c>
      <c r="B2465" s="291" t="s">
        <v>15362</v>
      </c>
      <c r="C2465" s="292" t="s">
        <v>48</v>
      </c>
      <c r="D2465" s="293">
        <f t="shared" si="2"/>
        <v>1</v>
      </c>
      <c r="E2465" s="294"/>
      <c r="F2465" s="295" t="str">
        <f>IFERROR(__xludf.DUMMYFUNCTION("IF(B2465="""","""",IFERROR(VLOOKUP(TO_TEXT(B2465),PEDIDOS!D:I,6,0),IFERROR(VLOOKUP(B2465*1,PEDIDOS!D:I,6,0),"" "")))"),"ENTREGUE")</f>
        <v>ENTREGUE</v>
      </c>
      <c r="G2465" s="303"/>
      <c r="H2465" s="304"/>
    </row>
    <row r="2466">
      <c r="A2466" s="302" t="s">
        <v>3395</v>
      </c>
      <c r="B2466" s="291" t="s">
        <v>16429</v>
      </c>
      <c r="C2466" s="292" t="s">
        <v>48</v>
      </c>
      <c r="D2466" s="293">
        <f t="shared" si="2"/>
        <v>1</v>
      </c>
      <c r="E2466" s="294"/>
      <c r="F2466" s="295" t="str">
        <f>IFERROR(__xludf.DUMMYFUNCTION("IF(B2466="""","""",IFERROR(VLOOKUP(TO_TEXT(B2466),PEDIDOS!D:I,6,0),IFERROR(VLOOKUP(B2466*1,PEDIDOS!D:I,6,0),"" "")))"),"ENTREGUE")</f>
        <v>ENTREGUE</v>
      </c>
      <c r="G2466" s="303"/>
      <c r="H2466" s="304"/>
    </row>
    <row r="2467">
      <c r="A2467" s="302" t="s">
        <v>3395</v>
      </c>
      <c r="B2467" s="291" t="s">
        <v>16285</v>
      </c>
      <c r="C2467" s="292" t="s">
        <v>48</v>
      </c>
      <c r="D2467" s="293">
        <f t="shared" si="2"/>
        <v>1</v>
      </c>
      <c r="E2467" s="294"/>
      <c r="F2467" s="295" t="str">
        <f>IFERROR(__xludf.DUMMYFUNCTION("IF(B2467="""","""",IFERROR(VLOOKUP(TO_TEXT(B2467),PEDIDOS!D:I,6,0),IFERROR(VLOOKUP(B2467*1,PEDIDOS!D:I,6,0),"" "")))"),"ENTREGUE")</f>
        <v>ENTREGUE</v>
      </c>
      <c r="G2467" s="303"/>
      <c r="H2467" s="304"/>
    </row>
    <row r="2468">
      <c r="A2468" s="302" t="s">
        <v>3395</v>
      </c>
      <c r="B2468" s="291" t="s">
        <v>17391</v>
      </c>
      <c r="C2468" s="292" t="s">
        <v>48</v>
      </c>
      <c r="D2468" s="293">
        <f t="shared" si="2"/>
        <v>1</v>
      </c>
      <c r="E2468" s="294"/>
      <c r="F2468" s="295" t="str">
        <f>IFERROR(__xludf.DUMMYFUNCTION("IF(B2468="""","""",IFERROR(VLOOKUP(TO_TEXT(B2468),PEDIDOS!D:I,6,0),IFERROR(VLOOKUP(B2468*1,PEDIDOS!D:I,6,0),"" "")))"),"ENTREGUE")</f>
        <v>ENTREGUE</v>
      </c>
      <c r="G2468" s="303"/>
      <c r="H2468" s="304"/>
    </row>
    <row r="2469">
      <c r="A2469" s="302" t="s">
        <v>3395</v>
      </c>
      <c r="B2469" s="291" t="s">
        <v>16212</v>
      </c>
      <c r="C2469" s="292" t="s">
        <v>48</v>
      </c>
      <c r="D2469" s="293">
        <f t="shared" si="2"/>
        <v>1</v>
      </c>
      <c r="E2469" s="294"/>
      <c r="F2469" s="295" t="str">
        <f>IFERROR(__xludf.DUMMYFUNCTION("IF(B2469="""","""",IFERROR(VLOOKUP(TO_TEXT(B2469),PEDIDOS!D:I,6,0),IFERROR(VLOOKUP(B2469*1,PEDIDOS!D:I,6,0),"" "")))"),"ENTREGUE")</f>
        <v>ENTREGUE</v>
      </c>
      <c r="G2469" s="303"/>
      <c r="H2469" s="304"/>
    </row>
    <row r="2470">
      <c r="A2470" s="302" t="s">
        <v>3395</v>
      </c>
      <c r="B2470" s="291" t="s">
        <v>16217</v>
      </c>
      <c r="C2470" s="292" t="s">
        <v>48</v>
      </c>
      <c r="D2470" s="293">
        <f t="shared" si="2"/>
        <v>1</v>
      </c>
      <c r="E2470" s="294"/>
      <c r="F2470" s="295" t="str">
        <f>IFERROR(__xludf.DUMMYFUNCTION("IF(B2470="""","""",IFERROR(VLOOKUP(TO_TEXT(B2470),PEDIDOS!D:I,6,0),IFERROR(VLOOKUP(B2470*1,PEDIDOS!D:I,6,0),"" "")))"),"ENTREGUE")</f>
        <v>ENTREGUE</v>
      </c>
      <c r="G2470" s="303"/>
      <c r="H2470" s="304"/>
    </row>
    <row r="2471">
      <c r="A2471" s="302" t="s">
        <v>3395</v>
      </c>
      <c r="B2471" s="291" t="s">
        <v>16947</v>
      </c>
      <c r="C2471" s="292" t="s">
        <v>48</v>
      </c>
      <c r="D2471" s="293">
        <f t="shared" si="2"/>
        <v>1</v>
      </c>
      <c r="E2471" s="294"/>
      <c r="F2471" s="295" t="str">
        <f>IFERROR(__xludf.DUMMYFUNCTION("IF(B2471="""","""",IFERROR(VLOOKUP(TO_TEXT(B2471),PEDIDOS!D:I,6,0),IFERROR(VLOOKUP(B2471*1,PEDIDOS!D:I,6,0),"" "")))"),"ENTREGUE")</f>
        <v>ENTREGUE</v>
      </c>
      <c r="G2471" s="303"/>
      <c r="H2471" s="304"/>
    </row>
    <row r="2472">
      <c r="A2472" s="302" t="s">
        <v>3395</v>
      </c>
      <c r="B2472" s="291" t="s">
        <v>16117</v>
      </c>
      <c r="C2472" s="292" t="s">
        <v>48</v>
      </c>
      <c r="D2472" s="293">
        <f t="shared" si="2"/>
        <v>1</v>
      </c>
      <c r="E2472" s="294"/>
      <c r="F2472" s="295" t="str">
        <f>IFERROR(__xludf.DUMMYFUNCTION("IF(B2472="""","""",IFERROR(VLOOKUP(TO_TEXT(B2472),PEDIDOS!D:I,6,0),IFERROR(VLOOKUP(B2472*1,PEDIDOS!D:I,6,0),"" "")))"),"ENTREGUE")</f>
        <v>ENTREGUE</v>
      </c>
      <c r="G2472" s="303"/>
      <c r="H2472" s="304"/>
    </row>
    <row r="2473">
      <c r="A2473" s="302" t="s">
        <v>3395</v>
      </c>
      <c r="B2473" s="291" t="s">
        <v>16113</v>
      </c>
      <c r="C2473" s="292" t="s">
        <v>48</v>
      </c>
      <c r="D2473" s="293">
        <f t="shared" si="2"/>
        <v>1</v>
      </c>
      <c r="E2473" s="294"/>
      <c r="F2473" s="295" t="str">
        <f>IFERROR(__xludf.DUMMYFUNCTION("IF(B2473="""","""",IFERROR(VLOOKUP(TO_TEXT(B2473),PEDIDOS!D:I,6,0),IFERROR(VLOOKUP(B2473*1,PEDIDOS!D:I,6,0),"" "")))"),"ENTREGUE")</f>
        <v>ENTREGUE</v>
      </c>
      <c r="G2473" s="303"/>
      <c r="H2473" s="304"/>
    </row>
    <row r="2474">
      <c r="A2474" s="302" t="s">
        <v>3395</v>
      </c>
      <c r="B2474" s="291" t="s">
        <v>16181</v>
      </c>
      <c r="C2474" s="292" t="s">
        <v>48</v>
      </c>
      <c r="D2474" s="293">
        <f t="shared" si="2"/>
        <v>1</v>
      </c>
      <c r="E2474" s="294"/>
      <c r="F2474" s="295" t="str">
        <f>IFERROR(__xludf.DUMMYFUNCTION("IF(B2474="""","""",IFERROR(VLOOKUP(TO_TEXT(B2474),PEDIDOS!D:I,6,0),IFERROR(VLOOKUP(B2474*1,PEDIDOS!D:I,6,0),"" "")))"),"ENTREGUE")</f>
        <v>ENTREGUE</v>
      </c>
      <c r="G2474" s="303"/>
      <c r="H2474" s="304"/>
    </row>
    <row r="2475">
      <c r="A2475" s="302" t="s">
        <v>3395</v>
      </c>
      <c r="B2475" s="291" t="s">
        <v>15393</v>
      </c>
      <c r="C2475" s="292" t="s">
        <v>48</v>
      </c>
      <c r="D2475" s="293">
        <f t="shared" si="2"/>
        <v>1</v>
      </c>
      <c r="E2475" s="294"/>
      <c r="F2475" s="295" t="str">
        <f>IFERROR(__xludf.DUMMYFUNCTION("IF(B2475="""","""",IFERROR(VLOOKUP(TO_TEXT(B2475),PEDIDOS!D:I,6,0),IFERROR(VLOOKUP(B2475*1,PEDIDOS!D:I,6,0),"" "")))"),"ENTREGUE")</f>
        <v>ENTREGUE</v>
      </c>
      <c r="G2475" s="303"/>
      <c r="H2475" s="304"/>
    </row>
    <row r="2476">
      <c r="A2476" s="302" t="s">
        <v>3395</v>
      </c>
      <c r="B2476" s="291" t="s">
        <v>15443</v>
      </c>
      <c r="C2476" s="292" t="s">
        <v>48</v>
      </c>
      <c r="D2476" s="293">
        <f t="shared" si="2"/>
        <v>1</v>
      </c>
      <c r="E2476" s="294"/>
      <c r="F2476" s="295" t="str">
        <f>IFERROR(__xludf.DUMMYFUNCTION("IF(B2476="""","""",IFERROR(VLOOKUP(TO_TEXT(B2476),PEDIDOS!D:I,6,0),IFERROR(VLOOKUP(B2476*1,PEDIDOS!D:I,6,0),"" "")))"),"ENTREGUE")</f>
        <v>ENTREGUE</v>
      </c>
      <c r="G2476" s="303"/>
      <c r="H2476" s="304"/>
    </row>
    <row r="2477">
      <c r="A2477" s="302" t="s">
        <v>3395</v>
      </c>
      <c r="B2477" s="291" t="s">
        <v>16165</v>
      </c>
      <c r="C2477" s="292" t="s">
        <v>48</v>
      </c>
      <c r="D2477" s="293">
        <f t="shared" si="2"/>
        <v>1</v>
      </c>
      <c r="E2477" s="294"/>
      <c r="F2477" s="295" t="str">
        <f>IFERROR(__xludf.DUMMYFUNCTION("IF(B2477="""","""",IFERROR(VLOOKUP(TO_TEXT(B2477),PEDIDOS!D:I,6,0),IFERROR(VLOOKUP(B2477*1,PEDIDOS!D:I,6,0),"" "")))"),"ENTREGUE")</f>
        <v>ENTREGUE</v>
      </c>
      <c r="G2477" s="303"/>
      <c r="H2477" s="304"/>
    </row>
    <row r="2478">
      <c r="A2478" s="302" t="s">
        <v>3395</v>
      </c>
      <c r="B2478" s="291" t="s">
        <v>16169</v>
      </c>
      <c r="C2478" s="292" t="s">
        <v>48</v>
      </c>
      <c r="D2478" s="293">
        <f t="shared" si="2"/>
        <v>1</v>
      </c>
      <c r="E2478" s="294"/>
      <c r="F2478" s="295" t="str">
        <f>IFERROR(__xludf.DUMMYFUNCTION("IF(B2478="""","""",IFERROR(VLOOKUP(TO_TEXT(B2478),PEDIDOS!D:I,6,0),IFERROR(VLOOKUP(B2478*1,PEDIDOS!D:I,6,0),"" "")))"),"ENTREGUE")</f>
        <v>ENTREGUE</v>
      </c>
      <c r="G2478" s="303"/>
      <c r="H2478" s="304"/>
    </row>
    <row r="2479">
      <c r="A2479" s="302" t="s">
        <v>3395</v>
      </c>
      <c r="B2479" s="291" t="s">
        <v>16177</v>
      </c>
      <c r="C2479" s="292" t="s">
        <v>48</v>
      </c>
      <c r="D2479" s="293">
        <f t="shared" si="2"/>
        <v>1</v>
      </c>
      <c r="E2479" s="294"/>
      <c r="F2479" s="295" t="str">
        <f>IFERROR(__xludf.DUMMYFUNCTION("IF(B2479="""","""",IFERROR(VLOOKUP(TO_TEXT(B2479),PEDIDOS!D:I,6,0),IFERROR(VLOOKUP(B2479*1,PEDIDOS!D:I,6,0),"" "")))"),"ENTREGUE")</f>
        <v>ENTREGUE</v>
      </c>
      <c r="G2479" s="303"/>
      <c r="H2479" s="304"/>
    </row>
    <row r="2480">
      <c r="A2480" s="302" t="s">
        <v>3395</v>
      </c>
      <c r="B2480" s="291" t="s">
        <v>16161</v>
      </c>
      <c r="C2480" s="292" t="s">
        <v>48</v>
      </c>
      <c r="D2480" s="293">
        <f t="shared" si="2"/>
        <v>1</v>
      </c>
      <c r="E2480" s="294"/>
      <c r="F2480" s="295" t="str">
        <f>IFERROR(__xludf.DUMMYFUNCTION("IF(B2480="""","""",IFERROR(VLOOKUP(TO_TEXT(B2480),PEDIDOS!D:I,6,0),IFERROR(VLOOKUP(B2480*1,PEDIDOS!D:I,6,0),"" "")))"),"ENTREGUE")</f>
        <v>ENTREGUE</v>
      </c>
      <c r="G2480" s="303"/>
      <c r="H2480" s="304"/>
    </row>
    <row r="2481">
      <c r="A2481" s="302" t="s">
        <v>3395</v>
      </c>
      <c r="B2481" s="291" t="s">
        <v>16173</v>
      </c>
      <c r="C2481" s="292" t="s">
        <v>48</v>
      </c>
      <c r="D2481" s="293">
        <f t="shared" si="2"/>
        <v>1</v>
      </c>
      <c r="E2481" s="294"/>
      <c r="F2481" s="295" t="str">
        <f>IFERROR(__xludf.DUMMYFUNCTION("IF(B2481="""","""",IFERROR(VLOOKUP(TO_TEXT(B2481),PEDIDOS!D:I,6,0),IFERROR(VLOOKUP(B2481*1,PEDIDOS!D:I,6,0),"" "")))"),"ENTREGUE")</f>
        <v>ENTREGUE</v>
      </c>
      <c r="G2481" s="303"/>
      <c r="H2481" s="304"/>
    </row>
    <row r="2482">
      <c r="A2482" s="302" t="s">
        <v>3395</v>
      </c>
      <c r="B2482" s="291" t="s">
        <v>16852</v>
      </c>
      <c r="C2482" s="292" t="s">
        <v>48</v>
      </c>
      <c r="D2482" s="293">
        <f t="shared" si="2"/>
        <v>1</v>
      </c>
      <c r="E2482" s="294"/>
      <c r="F2482" s="295" t="str">
        <f>IFERROR(__xludf.DUMMYFUNCTION("IF(B2482="""","""",IFERROR(VLOOKUP(TO_TEXT(B2482),PEDIDOS!D:I,6,0),IFERROR(VLOOKUP(B2482*1,PEDIDOS!D:I,6,0),"" "")))"),"ENTREGUE")</f>
        <v>ENTREGUE</v>
      </c>
      <c r="G2482" s="303"/>
      <c r="H2482" s="304"/>
    </row>
    <row r="2483">
      <c r="A2483" s="302" t="s">
        <v>3395</v>
      </c>
      <c r="B2483" s="291" t="s">
        <v>17396</v>
      </c>
      <c r="C2483" s="292" t="s">
        <v>48</v>
      </c>
      <c r="D2483" s="293">
        <f t="shared" si="2"/>
        <v>1</v>
      </c>
      <c r="E2483" s="294"/>
      <c r="F2483" s="295" t="str">
        <f>IFERROR(__xludf.DUMMYFUNCTION("IF(B2483="""","""",IFERROR(VLOOKUP(TO_TEXT(B2483),PEDIDOS!D:I,6,0),IFERROR(VLOOKUP(B2483*1,PEDIDOS!D:I,6,0),"" "")))"),"ENTREGUE")</f>
        <v>ENTREGUE</v>
      </c>
      <c r="G2483" s="303"/>
      <c r="H2483" s="304"/>
    </row>
    <row r="2484">
      <c r="A2484" s="302" t="s">
        <v>3395</v>
      </c>
      <c r="B2484" s="291" t="s">
        <v>17151</v>
      </c>
      <c r="C2484" s="292" t="s">
        <v>48</v>
      </c>
      <c r="D2484" s="293">
        <f t="shared" si="2"/>
        <v>1</v>
      </c>
      <c r="E2484" s="294"/>
      <c r="F2484" s="295" t="str">
        <f>IFERROR(__xludf.DUMMYFUNCTION("IF(B2484="""","""",IFERROR(VLOOKUP(TO_TEXT(B2484),PEDIDOS!D:I,6,0),IFERROR(VLOOKUP(B2484*1,PEDIDOS!D:I,6,0),"" "")))"),"ENTREGUE")</f>
        <v>ENTREGUE</v>
      </c>
      <c r="G2484" s="303"/>
      <c r="H2484" s="304"/>
    </row>
    <row r="2485">
      <c r="A2485" s="302" t="s">
        <v>3395</v>
      </c>
      <c r="B2485" s="291" t="s">
        <v>17020</v>
      </c>
      <c r="C2485" s="292" t="s">
        <v>48</v>
      </c>
      <c r="D2485" s="293">
        <f t="shared" si="2"/>
        <v>1</v>
      </c>
      <c r="E2485" s="294"/>
      <c r="F2485" s="295" t="str">
        <f>IFERROR(__xludf.DUMMYFUNCTION("IF(B2485="""","""",IFERROR(VLOOKUP(TO_TEXT(B2485),PEDIDOS!D:I,6,0),IFERROR(VLOOKUP(B2485*1,PEDIDOS!D:I,6,0),"" "")))"),"ENTREGUE")</f>
        <v>ENTREGUE</v>
      </c>
      <c r="G2485" s="303"/>
      <c r="H2485" s="304"/>
    </row>
    <row r="2486">
      <c r="A2486" s="302" t="s">
        <v>3395</v>
      </c>
      <c r="B2486" s="291" t="s">
        <v>16866</v>
      </c>
      <c r="C2486" s="292" t="s">
        <v>48</v>
      </c>
      <c r="D2486" s="293">
        <f t="shared" si="2"/>
        <v>1</v>
      </c>
      <c r="E2486" s="294"/>
      <c r="F2486" s="295" t="str">
        <f>IFERROR(__xludf.DUMMYFUNCTION("IF(B2486="""","""",IFERROR(VLOOKUP(TO_TEXT(B2486),PEDIDOS!D:I,6,0),IFERROR(VLOOKUP(B2486*1,PEDIDOS!D:I,6,0),"" "")))"),"ENTREGUE")</f>
        <v>ENTREGUE</v>
      </c>
      <c r="G2486" s="303"/>
      <c r="H2486" s="304"/>
    </row>
    <row r="2487">
      <c r="A2487" s="302" t="s">
        <v>3395</v>
      </c>
      <c r="B2487" s="291" t="s">
        <v>16594</v>
      </c>
      <c r="C2487" s="292" t="s">
        <v>48</v>
      </c>
      <c r="D2487" s="293">
        <f t="shared" si="2"/>
        <v>1</v>
      </c>
      <c r="E2487" s="294"/>
      <c r="F2487" s="295" t="str">
        <f>IFERROR(__xludf.DUMMYFUNCTION("IF(B2487="""","""",IFERROR(VLOOKUP(TO_TEXT(B2487),PEDIDOS!D:I,6,0),IFERROR(VLOOKUP(B2487*1,PEDIDOS!D:I,6,0),"" "")))"),"ENTREGUE")</f>
        <v>ENTREGUE</v>
      </c>
      <c r="G2487" s="303"/>
      <c r="H2487" s="304"/>
    </row>
    <row r="2488">
      <c r="A2488" s="302" t="s">
        <v>3395</v>
      </c>
      <c r="B2488" s="291" t="s">
        <v>16589</v>
      </c>
      <c r="C2488" s="292" t="s">
        <v>48</v>
      </c>
      <c r="D2488" s="293">
        <f t="shared" si="2"/>
        <v>1</v>
      </c>
      <c r="E2488" s="294"/>
      <c r="F2488" s="295" t="str">
        <f>IFERROR(__xludf.DUMMYFUNCTION("IF(B2488="""","""",IFERROR(VLOOKUP(TO_TEXT(B2488),PEDIDOS!D:I,6,0),IFERROR(VLOOKUP(B2488*1,PEDIDOS!D:I,6,0),"" "")))"),"ENTREGUE")</f>
        <v>ENTREGUE</v>
      </c>
      <c r="G2488" s="303"/>
      <c r="H2488" s="304"/>
    </row>
    <row r="2489">
      <c r="A2489" s="302" t="s">
        <v>3395</v>
      </c>
      <c r="B2489" s="291" t="s">
        <v>19258</v>
      </c>
      <c r="C2489" s="292" t="s">
        <v>48</v>
      </c>
      <c r="D2489" s="293">
        <f t="shared" si="2"/>
        <v>1</v>
      </c>
      <c r="E2489" s="294"/>
      <c r="F2489" s="295" t="str">
        <f>IFERROR(__xludf.DUMMYFUNCTION("IF(B2489="""","""",IFERROR(VLOOKUP(TO_TEXT(B2489),PEDIDOS!D:I,6,0),IFERROR(VLOOKUP(B2489*1,PEDIDOS!D:I,6,0),"" "")))"),"ENTREGUE")</f>
        <v>ENTREGUE</v>
      </c>
      <c r="G2489" s="303"/>
      <c r="H2489" s="304"/>
    </row>
    <row r="2490">
      <c r="A2490" s="302" t="s">
        <v>3395</v>
      </c>
      <c r="B2490" s="291" t="s">
        <v>19267</v>
      </c>
      <c r="C2490" s="292" t="s">
        <v>48</v>
      </c>
      <c r="D2490" s="293">
        <f t="shared" si="2"/>
        <v>1</v>
      </c>
      <c r="E2490" s="294"/>
      <c r="F2490" s="295" t="str">
        <f>IFERROR(__xludf.DUMMYFUNCTION("IF(B2490="""","""",IFERROR(VLOOKUP(TO_TEXT(B2490),PEDIDOS!D:I,6,0),IFERROR(VLOOKUP(B2490*1,PEDIDOS!D:I,6,0),"" "")))"),"ENTREGUE")</f>
        <v>ENTREGUE</v>
      </c>
      <c r="G2490" s="303"/>
      <c r="H2490" s="304"/>
    </row>
    <row r="2491">
      <c r="A2491" s="302" t="s">
        <v>3395</v>
      </c>
      <c r="B2491" s="291" t="s">
        <v>16221</v>
      </c>
      <c r="C2491" s="292" t="s">
        <v>48</v>
      </c>
      <c r="D2491" s="293">
        <f t="shared" si="2"/>
        <v>1</v>
      </c>
      <c r="E2491" s="294"/>
      <c r="F2491" s="295" t="str">
        <f>IFERROR(__xludf.DUMMYFUNCTION("IF(B2491="""","""",IFERROR(VLOOKUP(TO_TEXT(B2491),PEDIDOS!D:I,6,0),IFERROR(VLOOKUP(B2491*1,PEDIDOS!D:I,6,0),"" "")))"),"ENTREGUE")</f>
        <v>ENTREGUE</v>
      </c>
      <c r="G2491" s="303"/>
      <c r="H2491" s="304"/>
    </row>
    <row r="2492">
      <c r="A2492" s="302" t="s">
        <v>3395</v>
      </c>
      <c r="B2492" s="291" t="s">
        <v>14188</v>
      </c>
      <c r="C2492" s="292" t="s">
        <v>48</v>
      </c>
      <c r="D2492" s="293">
        <f t="shared" si="2"/>
        <v>1</v>
      </c>
      <c r="E2492" s="294"/>
      <c r="F2492" s="295" t="str">
        <f>IFERROR(__xludf.DUMMYFUNCTION("IF(B2492="""","""",IFERROR(VLOOKUP(TO_TEXT(B2492),PEDIDOS!D:I,6,0),IFERROR(VLOOKUP(B2492*1,PEDIDOS!D:I,6,0),"" "")))"),"ENTREGUE")</f>
        <v>ENTREGUE</v>
      </c>
      <c r="G2492" s="303"/>
      <c r="H2492" s="304"/>
    </row>
    <row r="2493">
      <c r="A2493" s="302" t="s">
        <v>3395</v>
      </c>
      <c r="B2493" s="291" t="s">
        <v>14478</v>
      </c>
      <c r="C2493" s="292" t="s">
        <v>48</v>
      </c>
      <c r="D2493" s="293">
        <f t="shared" si="2"/>
        <v>1</v>
      </c>
      <c r="E2493" s="294"/>
      <c r="F2493" s="295" t="str">
        <f>IFERROR(__xludf.DUMMYFUNCTION("IF(B2493="""","""",IFERROR(VLOOKUP(TO_TEXT(B2493),PEDIDOS!D:I,6,0),IFERROR(VLOOKUP(B2493*1,PEDIDOS!D:I,6,0),"" "")))"),"ENTREGUE")</f>
        <v>ENTREGUE</v>
      </c>
      <c r="G2493" s="303"/>
      <c r="H2493" s="304"/>
    </row>
    <row r="2494">
      <c r="A2494" s="302" t="s">
        <v>3395</v>
      </c>
      <c r="B2494" s="291" t="s">
        <v>14633</v>
      </c>
      <c r="C2494" s="292" t="s">
        <v>48</v>
      </c>
      <c r="D2494" s="293">
        <f t="shared" si="2"/>
        <v>1</v>
      </c>
      <c r="E2494" s="294"/>
      <c r="F2494" s="295" t="str">
        <f>IFERROR(__xludf.DUMMYFUNCTION("IF(B2494="""","""",IFERROR(VLOOKUP(TO_TEXT(B2494),PEDIDOS!D:I,6,0),IFERROR(VLOOKUP(B2494*1,PEDIDOS!D:I,6,0),"" "")))"),"ENTREGUE")</f>
        <v>ENTREGUE</v>
      </c>
      <c r="G2494" s="303"/>
      <c r="H2494" s="304"/>
    </row>
    <row r="2495">
      <c r="A2495" s="302" t="s">
        <v>85</v>
      </c>
      <c r="B2495" s="291" t="s">
        <v>15970</v>
      </c>
      <c r="C2495" s="292" t="s">
        <v>48</v>
      </c>
      <c r="D2495" s="293">
        <f t="shared" si="2"/>
        <v>1</v>
      </c>
      <c r="E2495" s="294"/>
      <c r="F2495" s="295" t="str">
        <f>IFERROR(__xludf.DUMMYFUNCTION("IF(B2495="""","""",IFERROR(VLOOKUP(TO_TEXT(B2495),PEDIDOS!D:I,6,0),IFERROR(VLOOKUP(B2495*1,PEDIDOS!D:I,6,0),"" "")))"),"ENTREGUE")</f>
        <v>ENTREGUE</v>
      </c>
      <c r="G2495" s="303"/>
      <c r="H2495" s="304"/>
    </row>
    <row r="2496">
      <c r="A2496" s="302" t="s">
        <v>85</v>
      </c>
      <c r="B2496" s="291" t="s">
        <v>15975</v>
      </c>
      <c r="C2496" s="292" t="s">
        <v>48</v>
      </c>
      <c r="D2496" s="293">
        <f t="shared" si="2"/>
        <v>1</v>
      </c>
      <c r="E2496" s="294"/>
      <c r="F2496" s="295" t="str">
        <f>IFERROR(__xludf.DUMMYFUNCTION("IF(B2496="""","""",IFERROR(VLOOKUP(TO_TEXT(B2496),PEDIDOS!D:I,6,0),IFERROR(VLOOKUP(B2496*1,PEDIDOS!D:I,6,0),"" "")))"),"ENTREGUE")</f>
        <v>ENTREGUE</v>
      </c>
      <c r="G2496" s="303"/>
      <c r="H2496" s="304"/>
    </row>
    <row r="2497">
      <c r="A2497" s="302" t="s">
        <v>85</v>
      </c>
      <c r="B2497" s="291" t="s">
        <v>14869</v>
      </c>
      <c r="C2497" s="292" t="s">
        <v>48</v>
      </c>
      <c r="D2497" s="293">
        <f t="shared" si="2"/>
        <v>1</v>
      </c>
      <c r="E2497" s="294"/>
      <c r="F2497" s="295" t="str">
        <f>IFERROR(__xludf.DUMMYFUNCTION("IF(B2497="""","""",IFERROR(VLOOKUP(TO_TEXT(B2497),PEDIDOS!D:I,6,0),IFERROR(VLOOKUP(B2497*1,PEDIDOS!D:I,6,0),"" "")))"),"ENTREGUE")</f>
        <v>ENTREGUE</v>
      </c>
      <c r="G2497" s="303"/>
      <c r="H2497" s="304"/>
    </row>
    <row r="2498">
      <c r="A2498" s="302" t="s">
        <v>85</v>
      </c>
      <c r="B2498" s="291" t="s">
        <v>14877</v>
      </c>
      <c r="C2498" s="292" t="s">
        <v>48</v>
      </c>
      <c r="D2498" s="293">
        <f t="shared" si="2"/>
        <v>1</v>
      </c>
      <c r="E2498" s="294"/>
      <c r="F2498" s="295" t="str">
        <f>IFERROR(__xludf.DUMMYFUNCTION("IF(B2498="""","""",IFERROR(VLOOKUP(TO_TEXT(B2498),PEDIDOS!D:I,6,0),IFERROR(VLOOKUP(B2498*1,PEDIDOS!D:I,6,0),"" "")))"),"ENTREGUE")</f>
        <v>ENTREGUE</v>
      </c>
      <c r="G2498" s="303"/>
      <c r="H2498" s="304"/>
    </row>
    <row r="2499">
      <c r="A2499" s="302" t="s">
        <v>85</v>
      </c>
      <c r="B2499" s="291" t="s">
        <v>17513</v>
      </c>
      <c r="C2499" s="292" t="s">
        <v>48</v>
      </c>
      <c r="D2499" s="293">
        <f t="shared" si="2"/>
        <v>1</v>
      </c>
      <c r="E2499" s="294"/>
      <c r="F2499" s="295" t="str">
        <f>IFERROR(__xludf.DUMMYFUNCTION("IF(B2499="""","""",IFERROR(VLOOKUP(TO_TEXT(B2499),PEDIDOS!D:I,6,0),IFERROR(VLOOKUP(B2499*1,PEDIDOS!D:I,6,0),"" "")))"),"ENTREGUE")</f>
        <v>ENTREGUE</v>
      </c>
      <c r="G2499" s="303"/>
      <c r="H2499" s="304"/>
    </row>
    <row r="2500">
      <c r="A2500" s="302" t="s">
        <v>85</v>
      </c>
      <c r="B2500" s="291" t="s">
        <v>17508</v>
      </c>
      <c r="C2500" s="292" t="s">
        <v>48</v>
      </c>
      <c r="D2500" s="293">
        <f t="shared" si="2"/>
        <v>1</v>
      </c>
      <c r="E2500" s="294"/>
      <c r="F2500" s="295" t="str">
        <f>IFERROR(__xludf.DUMMYFUNCTION("IF(B2500="""","""",IFERROR(VLOOKUP(TO_TEXT(B2500),PEDIDOS!D:I,6,0),IFERROR(VLOOKUP(B2500*1,PEDIDOS!D:I,6,0),"" "")))"),"ENTREGUE")</f>
        <v>ENTREGUE</v>
      </c>
      <c r="G2500" s="303"/>
      <c r="H2500" s="304"/>
    </row>
    <row r="2501">
      <c r="A2501" s="302" t="s">
        <v>85</v>
      </c>
      <c r="B2501" s="291" t="s">
        <v>16015</v>
      </c>
      <c r="C2501" s="292" t="s">
        <v>48</v>
      </c>
      <c r="D2501" s="293">
        <f t="shared" si="2"/>
        <v>1</v>
      </c>
      <c r="E2501" s="294"/>
      <c r="F2501" s="295" t="str">
        <f>IFERROR(__xludf.DUMMYFUNCTION("IF(B2501="""","""",IFERROR(VLOOKUP(TO_TEXT(B2501),PEDIDOS!D:I,6,0),IFERROR(VLOOKUP(B2501*1,PEDIDOS!D:I,6,0),"" "")))"),"ENTREGUE")</f>
        <v>ENTREGUE</v>
      </c>
      <c r="G2501" s="303"/>
      <c r="H2501" s="304"/>
    </row>
    <row r="2502">
      <c r="A2502" s="302" t="s">
        <v>85</v>
      </c>
      <c r="B2502" s="291" t="s">
        <v>15436</v>
      </c>
      <c r="C2502" s="292" t="s">
        <v>48</v>
      </c>
      <c r="D2502" s="293">
        <f t="shared" si="2"/>
        <v>1</v>
      </c>
      <c r="E2502" s="294"/>
      <c r="F2502" s="295" t="str">
        <f>IFERROR(__xludf.DUMMYFUNCTION("IF(B2502="""","""",IFERROR(VLOOKUP(TO_TEXT(B2502),PEDIDOS!D:I,6,0),IFERROR(VLOOKUP(B2502*1,PEDIDOS!D:I,6,0),"" "")))"),"ENTREGUE")</f>
        <v>ENTREGUE</v>
      </c>
      <c r="G2502" s="303"/>
      <c r="H2502" s="304"/>
    </row>
    <row r="2503">
      <c r="A2503" s="302" t="s">
        <v>85</v>
      </c>
      <c r="B2503" s="291" t="s">
        <v>15989</v>
      </c>
      <c r="C2503" s="292" t="s">
        <v>48</v>
      </c>
      <c r="D2503" s="293">
        <f t="shared" si="2"/>
        <v>1</v>
      </c>
      <c r="E2503" s="294"/>
      <c r="F2503" s="295" t="str">
        <f>IFERROR(__xludf.DUMMYFUNCTION("IF(B2503="""","""",IFERROR(VLOOKUP(TO_TEXT(B2503),PEDIDOS!D:I,6,0),IFERROR(VLOOKUP(B2503*1,PEDIDOS!D:I,6,0),"" "")))"),"ENTREGUE")</f>
        <v>ENTREGUE</v>
      </c>
      <c r="G2503" s="303"/>
      <c r="H2503" s="304" t="s">
        <v>15811</v>
      </c>
    </row>
    <row r="2504">
      <c r="A2504" s="302" t="s">
        <v>85</v>
      </c>
      <c r="B2504" s="291" t="s">
        <v>15810</v>
      </c>
      <c r="C2504" s="292" t="s">
        <v>48</v>
      </c>
      <c r="D2504" s="293">
        <f t="shared" si="2"/>
        <v>1</v>
      </c>
      <c r="E2504" s="294"/>
      <c r="F2504" s="295" t="str">
        <f>IFERROR(__xludf.DUMMYFUNCTION("IF(B2504="""","""",IFERROR(VLOOKUP(TO_TEXT(B2504),PEDIDOS!D:I,6,0),IFERROR(VLOOKUP(B2504*1,PEDIDOS!D:I,6,0),"" "")))"),"ENTREGUE")</f>
        <v>ENTREGUE</v>
      </c>
      <c r="G2504" s="303"/>
      <c r="H2504" s="304" t="s">
        <v>15811</v>
      </c>
    </row>
    <row r="2505">
      <c r="A2505" s="302" t="s">
        <v>85</v>
      </c>
      <c r="B2505" s="291" t="s">
        <v>16956</v>
      </c>
      <c r="C2505" s="292" t="s">
        <v>48</v>
      </c>
      <c r="D2505" s="293">
        <f t="shared" si="2"/>
        <v>1</v>
      </c>
      <c r="E2505" s="294"/>
      <c r="F2505" s="295" t="str">
        <f>IFERROR(__xludf.DUMMYFUNCTION("IF(B2505="""","""",IFERROR(VLOOKUP(TO_TEXT(B2505),PEDIDOS!D:I,6,0),IFERROR(VLOOKUP(B2505*1,PEDIDOS!D:I,6,0),"" "")))"),"ENTREGUE")</f>
        <v>ENTREGUE</v>
      </c>
      <c r="G2505" s="303"/>
      <c r="H2505" s="304" t="s">
        <v>15811</v>
      </c>
    </row>
    <row r="2506">
      <c r="A2506" s="302" t="s">
        <v>85</v>
      </c>
      <c r="B2506" s="291" t="s">
        <v>21245</v>
      </c>
      <c r="C2506" s="292" t="s">
        <v>48</v>
      </c>
      <c r="D2506" s="293">
        <f t="shared" si="2"/>
        <v>1</v>
      </c>
      <c r="E2506" s="294"/>
      <c r="F2506" s="295" t="str">
        <f>IFERROR(__xludf.DUMMYFUNCTION("IF(B2506="""","""",IFERROR(VLOOKUP(TO_TEXT(B2506),PEDIDOS!D:I,6,0),IFERROR(VLOOKUP(B2506*1,PEDIDOS!D:I,6,0),"" "")))"),"ENTREGUE")</f>
        <v>ENTREGUE</v>
      </c>
      <c r="G2506" s="303"/>
      <c r="H2506" s="304" t="s">
        <v>15811</v>
      </c>
    </row>
    <row r="2507">
      <c r="A2507" s="302" t="s">
        <v>85</v>
      </c>
      <c r="B2507" s="291" t="s">
        <v>21248</v>
      </c>
      <c r="C2507" s="292" t="s">
        <v>48</v>
      </c>
      <c r="D2507" s="293">
        <f t="shared" si="2"/>
        <v>1</v>
      </c>
      <c r="E2507" s="294"/>
      <c r="F2507" s="295" t="str">
        <f>IFERROR(__xludf.DUMMYFUNCTION("IF(B2507="""","""",IFERROR(VLOOKUP(TO_TEXT(B2507),PEDIDOS!D:I,6,0),IFERROR(VLOOKUP(B2507*1,PEDIDOS!D:I,6,0),"" "")))"),"ENTREGUE")</f>
        <v>ENTREGUE</v>
      </c>
      <c r="G2507" s="303"/>
      <c r="H2507" s="304" t="s">
        <v>15811</v>
      </c>
    </row>
    <row r="2508">
      <c r="A2508" s="302" t="s">
        <v>85</v>
      </c>
      <c r="B2508" s="291" t="s">
        <v>22299</v>
      </c>
      <c r="C2508" s="292" t="s">
        <v>48</v>
      </c>
      <c r="D2508" s="293">
        <f t="shared" si="2"/>
        <v>1</v>
      </c>
      <c r="E2508" s="294"/>
      <c r="F2508" s="295" t="str">
        <f>IFERROR(__xludf.DUMMYFUNCTION("IF(B2508="""","""",IFERROR(VLOOKUP(TO_TEXT(B2508),PEDIDOS!D:I,6,0),IFERROR(VLOOKUP(B2508*1,PEDIDOS!D:I,6,0),"" "")))"),"ENTREGUE")</f>
        <v>ENTREGUE</v>
      </c>
      <c r="G2508" s="303"/>
      <c r="H2508" s="304" t="s">
        <v>15811</v>
      </c>
    </row>
    <row r="2509">
      <c r="A2509" s="302" t="s">
        <v>85</v>
      </c>
      <c r="B2509" s="291" t="s">
        <v>23427</v>
      </c>
      <c r="C2509" s="292" t="s">
        <v>48</v>
      </c>
      <c r="D2509" s="293">
        <f t="shared" si="2"/>
        <v>0</v>
      </c>
      <c r="E2509" s="294"/>
      <c r="F2509" s="295" t="str">
        <f>IFERROR(__xludf.DUMMYFUNCTION("IF(B2509="""","""",IFERROR(VLOOKUP(TO_TEXT(B2509),PEDIDOS!D:I,6,0),IFERROR(VLOOKUP(B2509*1,PEDIDOS!D:I,6,0),"" "")))")," ")</f>
        <v> </v>
      </c>
      <c r="G2509" s="303"/>
      <c r="H2509" s="304" t="s">
        <v>15811</v>
      </c>
    </row>
    <row r="2510">
      <c r="A2510" s="302" t="s">
        <v>85</v>
      </c>
      <c r="B2510" s="291" t="s">
        <v>15459</v>
      </c>
      <c r="C2510" s="292" t="s">
        <v>48</v>
      </c>
      <c r="D2510" s="293">
        <f t="shared" si="2"/>
        <v>1</v>
      </c>
      <c r="E2510" s="294"/>
      <c r="F2510" s="295" t="str">
        <f>IFERROR(__xludf.DUMMYFUNCTION("IF(B2510="""","""",IFERROR(VLOOKUP(TO_TEXT(B2510),PEDIDOS!D:I,6,0),IFERROR(VLOOKUP(B2510*1,PEDIDOS!D:I,6,0),"" "")))"),"ENTREGUE")</f>
        <v>ENTREGUE</v>
      </c>
      <c r="G2510" s="303"/>
      <c r="H2510" s="304"/>
    </row>
    <row r="2511">
      <c r="A2511" s="302" t="s">
        <v>85</v>
      </c>
      <c r="B2511" s="291" t="s">
        <v>15688</v>
      </c>
      <c r="C2511" s="292" t="s">
        <v>48</v>
      </c>
      <c r="D2511" s="293">
        <f t="shared" si="2"/>
        <v>1</v>
      </c>
      <c r="E2511" s="294"/>
      <c r="F2511" s="295" t="str">
        <f>IFERROR(__xludf.DUMMYFUNCTION("IF(B2511="""","""",IFERROR(VLOOKUP(TO_TEXT(B2511),PEDIDOS!D:I,6,0),IFERROR(VLOOKUP(B2511*1,PEDIDOS!D:I,6,0),"" "")))"),"ENTREGUE")</f>
        <v>ENTREGUE</v>
      </c>
      <c r="G2511" s="303"/>
      <c r="H2511" s="304"/>
    </row>
    <row r="2512">
      <c r="A2512" s="302" t="s">
        <v>85</v>
      </c>
      <c r="B2512" s="291" t="s">
        <v>15703</v>
      </c>
      <c r="C2512" s="292" t="s">
        <v>48</v>
      </c>
      <c r="D2512" s="293">
        <f t="shared" si="2"/>
        <v>1</v>
      </c>
      <c r="E2512" s="294"/>
      <c r="F2512" s="295" t="str">
        <f>IFERROR(__xludf.DUMMYFUNCTION("IF(B2512="""","""",IFERROR(VLOOKUP(TO_TEXT(B2512),PEDIDOS!D:I,6,0),IFERROR(VLOOKUP(B2512*1,PEDIDOS!D:I,6,0),"" "")))"),"ENTREGUE")</f>
        <v>ENTREGUE</v>
      </c>
      <c r="G2512" s="303"/>
      <c r="H2512" s="304"/>
    </row>
    <row r="2513">
      <c r="A2513" s="302" t="s">
        <v>85</v>
      </c>
      <c r="B2513" s="291" t="s">
        <v>15938</v>
      </c>
      <c r="C2513" s="292" t="s">
        <v>48</v>
      </c>
      <c r="D2513" s="293">
        <f t="shared" si="2"/>
        <v>1</v>
      </c>
      <c r="E2513" s="294"/>
      <c r="F2513" s="295" t="str">
        <f>IFERROR(__xludf.DUMMYFUNCTION("IF(B2513="""","""",IFERROR(VLOOKUP(TO_TEXT(B2513),PEDIDOS!D:I,6,0),IFERROR(VLOOKUP(B2513*1,PEDIDOS!D:I,6,0),"" "")))"),"ENTREGUE")</f>
        <v>ENTREGUE</v>
      </c>
      <c r="G2513" s="303"/>
      <c r="H2513" s="304"/>
    </row>
    <row r="2514">
      <c r="A2514" s="302" t="s">
        <v>85</v>
      </c>
      <c r="B2514" s="291" t="s">
        <v>15729</v>
      </c>
      <c r="C2514" s="292" t="s">
        <v>48</v>
      </c>
      <c r="D2514" s="293">
        <f t="shared" si="2"/>
        <v>1</v>
      </c>
      <c r="E2514" s="294"/>
      <c r="F2514" s="295" t="str">
        <f>IFERROR(__xludf.DUMMYFUNCTION("IF(B2514="""","""",IFERROR(VLOOKUP(TO_TEXT(B2514),PEDIDOS!D:I,6,0),IFERROR(VLOOKUP(B2514*1,PEDIDOS!D:I,6,0),"" "")))"),"ENTREGUE")</f>
        <v>ENTREGUE</v>
      </c>
      <c r="G2514" s="303"/>
      <c r="H2514" s="304"/>
    </row>
    <row r="2515">
      <c r="A2515" s="302" t="s">
        <v>85</v>
      </c>
      <c r="B2515" s="291" t="s">
        <v>15692</v>
      </c>
      <c r="C2515" s="292" t="s">
        <v>48</v>
      </c>
      <c r="D2515" s="293">
        <f t="shared" si="2"/>
        <v>1</v>
      </c>
      <c r="E2515" s="294"/>
      <c r="F2515" s="295" t="str">
        <f>IFERROR(__xludf.DUMMYFUNCTION("IF(B2515="""","""",IFERROR(VLOOKUP(TO_TEXT(B2515),PEDIDOS!D:I,6,0),IFERROR(VLOOKUP(B2515*1,PEDIDOS!D:I,6,0),"" "")))"),"ENTREGUE")</f>
        <v>ENTREGUE</v>
      </c>
      <c r="G2515" s="303"/>
      <c r="H2515" s="304"/>
    </row>
    <row r="2516">
      <c r="A2516" s="302" t="s">
        <v>85</v>
      </c>
      <c r="B2516" s="291" t="s">
        <v>15455</v>
      </c>
      <c r="C2516" s="292" t="s">
        <v>48</v>
      </c>
      <c r="D2516" s="293">
        <f t="shared" si="2"/>
        <v>1</v>
      </c>
      <c r="E2516" s="294"/>
      <c r="F2516" s="295" t="str">
        <f>IFERROR(__xludf.DUMMYFUNCTION("IF(B2516="""","""",IFERROR(VLOOKUP(TO_TEXT(B2516),PEDIDOS!D:I,6,0),IFERROR(VLOOKUP(B2516*1,PEDIDOS!D:I,6,0),"" "")))"),"ENTREGUE")</f>
        <v>ENTREGUE</v>
      </c>
      <c r="G2516" s="303"/>
      <c r="H2516" s="304"/>
    </row>
    <row r="2517">
      <c r="A2517" s="302" t="s">
        <v>85</v>
      </c>
      <c r="B2517" s="291" t="s">
        <v>15584</v>
      </c>
      <c r="C2517" s="292" t="s">
        <v>48</v>
      </c>
      <c r="D2517" s="293">
        <f t="shared" si="2"/>
        <v>1</v>
      </c>
      <c r="E2517" s="294"/>
      <c r="F2517" s="295" t="str">
        <f>IFERROR(__xludf.DUMMYFUNCTION("IF(B2517="""","""",IFERROR(VLOOKUP(TO_TEXT(B2517),PEDIDOS!D:I,6,0),IFERROR(VLOOKUP(B2517*1,PEDIDOS!D:I,6,0),"" "")))"),"ENTREGUE")</f>
        <v>ENTREGUE</v>
      </c>
      <c r="G2517" s="303"/>
      <c r="H2517" s="304"/>
    </row>
    <row r="2518">
      <c r="A2518" s="302" t="s">
        <v>85</v>
      </c>
      <c r="B2518" s="291" t="s">
        <v>16224</v>
      </c>
      <c r="C2518" s="292" t="s">
        <v>48</v>
      </c>
      <c r="D2518" s="293">
        <f t="shared" si="2"/>
        <v>1</v>
      </c>
      <c r="E2518" s="294"/>
      <c r="F2518" s="295" t="str">
        <f>IFERROR(__xludf.DUMMYFUNCTION("IF(B2518="""","""",IFERROR(VLOOKUP(TO_TEXT(B2518),PEDIDOS!D:I,6,0),IFERROR(VLOOKUP(B2518*1,PEDIDOS!D:I,6,0),"" "")))"),"ENTREGUE")</f>
        <v>ENTREGUE</v>
      </c>
      <c r="G2518" s="303"/>
      <c r="H2518" s="304"/>
    </row>
    <row r="2519">
      <c r="A2519" s="302" t="s">
        <v>85</v>
      </c>
      <c r="B2519" s="291" t="s">
        <v>16244</v>
      </c>
      <c r="C2519" s="292" t="s">
        <v>48</v>
      </c>
      <c r="D2519" s="293">
        <f t="shared" si="2"/>
        <v>1</v>
      </c>
      <c r="E2519" s="294"/>
      <c r="F2519" s="295" t="str">
        <f>IFERROR(__xludf.DUMMYFUNCTION("IF(B2519="""","""",IFERROR(VLOOKUP(TO_TEXT(B2519),PEDIDOS!D:I,6,0),IFERROR(VLOOKUP(B2519*1,PEDIDOS!D:I,6,0),"" "")))"),"ENTREGUE")</f>
        <v>ENTREGUE</v>
      </c>
      <c r="G2519" s="303"/>
      <c r="H2519" s="304"/>
    </row>
    <row r="2520">
      <c r="A2520" s="302" t="s">
        <v>85</v>
      </c>
      <c r="B2520" s="291" t="s">
        <v>17138</v>
      </c>
      <c r="C2520" s="292" t="s">
        <v>48</v>
      </c>
      <c r="D2520" s="293">
        <f t="shared" si="2"/>
        <v>1</v>
      </c>
      <c r="E2520" s="294"/>
      <c r="F2520" s="295" t="str">
        <f>IFERROR(__xludf.DUMMYFUNCTION("IF(B2520="""","""",IFERROR(VLOOKUP(TO_TEXT(B2520),PEDIDOS!D:I,6,0),IFERROR(VLOOKUP(B2520*1,PEDIDOS!D:I,6,0),"" "")))"),"ENTREGUE")</f>
        <v>ENTREGUE</v>
      </c>
      <c r="G2520" s="303"/>
      <c r="H2520" s="304"/>
    </row>
    <row r="2521">
      <c r="A2521" s="302" t="s">
        <v>85</v>
      </c>
      <c r="B2521" s="291" t="s">
        <v>16488</v>
      </c>
      <c r="C2521" s="292" t="s">
        <v>48</v>
      </c>
      <c r="D2521" s="293">
        <f t="shared" si="2"/>
        <v>1</v>
      </c>
      <c r="E2521" s="294"/>
      <c r="F2521" s="295" t="str">
        <f>IFERROR(__xludf.DUMMYFUNCTION("IF(B2521="""","""",IFERROR(VLOOKUP(TO_TEXT(B2521),PEDIDOS!D:I,6,0),IFERROR(VLOOKUP(B2521*1,PEDIDOS!D:I,6,0),"" "")))"),"ENTREGUE")</f>
        <v>ENTREGUE</v>
      </c>
      <c r="G2521" s="303"/>
      <c r="H2521" s="304"/>
    </row>
    <row r="2522">
      <c r="A2522" s="302" t="s">
        <v>85</v>
      </c>
      <c r="B2522" s="291" t="s">
        <v>16185</v>
      </c>
      <c r="C2522" s="292" t="s">
        <v>48</v>
      </c>
      <c r="D2522" s="293">
        <f t="shared" si="2"/>
        <v>1</v>
      </c>
      <c r="E2522" s="294"/>
      <c r="F2522" s="295" t="str">
        <f>IFERROR(__xludf.DUMMYFUNCTION("IF(B2522="""","""",IFERROR(VLOOKUP(TO_TEXT(B2522),PEDIDOS!D:I,6,0),IFERROR(VLOOKUP(B2522*1,PEDIDOS!D:I,6,0),"" "")))"),"ENTREGUE")</f>
        <v>ENTREGUE</v>
      </c>
      <c r="G2522" s="303"/>
      <c r="H2522" s="304"/>
    </row>
    <row r="2523">
      <c r="A2523" s="302" t="s">
        <v>85</v>
      </c>
      <c r="B2523" s="291" t="s">
        <v>16646</v>
      </c>
      <c r="C2523" s="292" t="s">
        <v>48</v>
      </c>
      <c r="D2523" s="293">
        <f t="shared" si="2"/>
        <v>1</v>
      </c>
      <c r="E2523" s="294"/>
      <c r="F2523" s="295" t="str">
        <f>IFERROR(__xludf.DUMMYFUNCTION("IF(B2523="""","""",IFERROR(VLOOKUP(TO_TEXT(B2523),PEDIDOS!D:I,6,0),IFERROR(VLOOKUP(B2523*1,PEDIDOS!D:I,6,0),"" "")))"),"ENTREGUE")</f>
        <v>ENTREGUE</v>
      </c>
      <c r="G2523" s="303"/>
      <c r="H2523" s="304"/>
    </row>
    <row r="2524">
      <c r="A2524" s="302" t="s">
        <v>85</v>
      </c>
      <c r="B2524" s="291" t="s">
        <v>17146</v>
      </c>
      <c r="C2524" s="292" t="s">
        <v>48</v>
      </c>
      <c r="D2524" s="293">
        <f t="shared" si="2"/>
        <v>1</v>
      </c>
      <c r="E2524" s="294"/>
      <c r="F2524" s="295" t="str">
        <f>IFERROR(__xludf.DUMMYFUNCTION("IF(B2524="""","""",IFERROR(VLOOKUP(TO_TEXT(B2524),PEDIDOS!D:I,6,0),IFERROR(VLOOKUP(B2524*1,PEDIDOS!D:I,6,0),"" "")))"),"ENTREGUE")</f>
        <v>ENTREGUE</v>
      </c>
      <c r="G2524" s="303"/>
      <c r="H2524" s="304"/>
    </row>
    <row r="2525">
      <c r="A2525" s="302" t="s">
        <v>85</v>
      </c>
      <c r="B2525" s="291" t="s">
        <v>17059</v>
      </c>
      <c r="C2525" s="292" t="s">
        <v>48</v>
      </c>
      <c r="D2525" s="293">
        <f t="shared" si="2"/>
        <v>1</v>
      </c>
      <c r="E2525" s="294"/>
      <c r="F2525" s="295" t="str">
        <f>IFERROR(__xludf.DUMMYFUNCTION("IF(B2525="""","""",IFERROR(VLOOKUP(TO_TEXT(B2525),PEDIDOS!D:I,6,0),IFERROR(VLOOKUP(B2525*1,PEDIDOS!D:I,6,0),"" "")))"),"ENTREGUE")</f>
        <v>ENTREGUE</v>
      </c>
      <c r="G2525" s="303"/>
      <c r="H2525" s="304"/>
    </row>
    <row r="2526">
      <c r="A2526" s="302" t="s">
        <v>85</v>
      </c>
      <c r="B2526" s="291" t="s">
        <v>16651</v>
      </c>
      <c r="C2526" s="292" t="s">
        <v>48</v>
      </c>
      <c r="D2526" s="293">
        <f t="shared" si="2"/>
        <v>1</v>
      </c>
      <c r="E2526" s="294"/>
      <c r="F2526" s="295" t="str">
        <f>IFERROR(__xludf.DUMMYFUNCTION("IF(B2526="""","""",IFERROR(VLOOKUP(TO_TEXT(B2526),PEDIDOS!D:I,6,0),IFERROR(VLOOKUP(B2526*1,PEDIDOS!D:I,6,0),"" "")))"),"ENTREGUE")</f>
        <v>ENTREGUE</v>
      </c>
      <c r="G2526" s="303"/>
      <c r="H2526" s="304"/>
    </row>
    <row r="2527">
      <c r="A2527" s="302" t="s">
        <v>85</v>
      </c>
      <c r="B2527" s="291" t="s">
        <v>16499</v>
      </c>
      <c r="C2527" s="292" t="s">
        <v>48</v>
      </c>
      <c r="D2527" s="293">
        <f t="shared" si="2"/>
        <v>1</v>
      </c>
      <c r="E2527" s="294"/>
      <c r="F2527" s="295" t="str">
        <f>IFERROR(__xludf.DUMMYFUNCTION("IF(B2527="""","""",IFERROR(VLOOKUP(TO_TEXT(B2527),PEDIDOS!D:I,6,0),IFERROR(VLOOKUP(B2527*1,PEDIDOS!D:I,6,0),"" "")))"),"ENTREGUE")</f>
        <v>ENTREGUE</v>
      </c>
      <c r="G2527" s="303"/>
      <c r="H2527" s="304"/>
    </row>
    <row r="2528">
      <c r="A2528" s="302" t="s">
        <v>85</v>
      </c>
      <c r="B2528" s="291" t="s">
        <v>16503</v>
      </c>
      <c r="C2528" s="292" t="s">
        <v>48</v>
      </c>
      <c r="D2528" s="293">
        <f t="shared" si="2"/>
        <v>1</v>
      </c>
      <c r="E2528" s="294"/>
      <c r="F2528" s="295" t="str">
        <f>IFERROR(__xludf.DUMMYFUNCTION("IF(B2528="""","""",IFERROR(VLOOKUP(TO_TEXT(B2528),PEDIDOS!D:I,6,0),IFERROR(VLOOKUP(B2528*1,PEDIDOS!D:I,6,0),"" "")))"),"ENTREGUE")</f>
        <v>ENTREGUE</v>
      </c>
      <c r="G2528" s="303"/>
      <c r="H2528" s="304"/>
    </row>
    <row r="2529">
      <c r="A2529" s="302" t="s">
        <v>85</v>
      </c>
      <c r="B2529" s="291" t="s">
        <v>18115</v>
      </c>
      <c r="C2529" s="292" t="s">
        <v>48</v>
      </c>
      <c r="D2529" s="293">
        <f t="shared" si="2"/>
        <v>1</v>
      </c>
      <c r="E2529" s="294"/>
      <c r="F2529" s="295" t="str">
        <f>IFERROR(__xludf.DUMMYFUNCTION("IF(B2529="""","""",IFERROR(VLOOKUP(TO_TEXT(B2529),PEDIDOS!D:I,6,0),IFERROR(VLOOKUP(B2529*1,PEDIDOS!D:I,6,0),"" "")))"),"ENTREGUE")</f>
        <v>ENTREGUE</v>
      </c>
      <c r="G2529" s="303"/>
      <c r="H2529" s="304"/>
    </row>
    <row r="2530">
      <c r="A2530" s="302" t="s">
        <v>85</v>
      </c>
      <c r="B2530" s="291" t="s">
        <v>16875</v>
      </c>
      <c r="C2530" s="292" t="s">
        <v>48</v>
      </c>
      <c r="D2530" s="293">
        <f t="shared" si="2"/>
        <v>1</v>
      </c>
      <c r="E2530" s="294"/>
      <c r="F2530" s="295" t="str">
        <f>IFERROR(__xludf.DUMMYFUNCTION("IF(B2530="""","""",IFERROR(VLOOKUP(TO_TEXT(B2530),PEDIDOS!D:I,6,0),IFERROR(VLOOKUP(B2530*1,PEDIDOS!D:I,6,0),"" "")))"),"ENTREGUE")</f>
        <v>ENTREGUE</v>
      </c>
      <c r="G2530" s="303"/>
      <c r="H2530" s="304"/>
    </row>
    <row r="2531">
      <c r="A2531" s="302" t="s">
        <v>85</v>
      </c>
      <c r="B2531" s="291" t="s">
        <v>17007</v>
      </c>
      <c r="C2531" s="292" t="s">
        <v>48</v>
      </c>
      <c r="D2531" s="293">
        <f t="shared" si="2"/>
        <v>1</v>
      </c>
      <c r="E2531" s="294"/>
      <c r="F2531" s="295" t="str">
        <f>IFERROR(__xludf.DUMMYFUNCTION("IF(B2531="""","""",IFERROR(VLOOKUP(TO_TEXT(B2531),PEDIDOS!D:I,6,0),IFERROR(VLOOKUP(B2531*1,PEDIDOS!D:I,6,0),"" "")))"),"ENTREGUE")</f>
        <v>ENTREGUE</v>
      </c>
      <c r="G2531" s="303"/>
      <c r="H2531" s="304"/>
    </row>
    <row r="2532">
      <c r="A2532" s="302" t="s">
        <v>85</v>
      </c>
      <c r="B2532" s="291" t="s">
        <v>17716</v>
      </c>
      <c r="C2532" s="292" t="s">
        <v>48</v>
      </c>
      <c r="D2532" s="293">
        <f t="shared" si="2"/>
        <v>1</v>
      </c>
      <c r="E2532" s="294"/>
      <c r="F2532" s="295" t="str">
        <f>IFERROR(__xludf.DUMMYFUNCTION("IF(B2532="""","""",IFERROR(VLOOKUP(TO_TEXT(B2532),PEDIDOS!D:I,6,0),IFERROR(VLOOKUP(B2532*1,PEDIDOS!D:I,6,0),"" "")))"),"ENTREGUE")</f>
        <v>ENTREGUE</v>
      </c>
      <c r="G2532" s="303"/>
      <c r="H2532" s="304"/>
    </row>
    <row r="2533">
      <c r="A2533" s="302" t="s">
        <v>85</v>
      </c>
      <c r="B2533" s="291" t="s">
        <v>16460</v>
      </c>
      <c r="C2533" s="292" t="s">
        <v>48</v>
      </c>
      <c r="D2533" s="293">
        <f t="shared" si="2"/>
        <v>1</v>
      </c>
      <c r="E2533" s="294"/>
      <c r="F2533" s="295" t="str">
        <f>IFERROR(__xludf.DUMMYFUNCTION("IF(B2533="""","""",IFERROR(VLOOKUP(TO_TEXT(B2533),PEDIDOS!D:I,6,0),IFERROR(VLOOKUP(B2533*1,PEDIDOS!D:I,6,0),"" "")))"),"ENTREGUE")</f>
        <v>ENTREGUE</v>
      </c>
      <c r="G2533" s="303"/>
      <c r="H2533" s="304"/>
    </row>
    <row r="2534">
      <c r="A2534" s="302" t="s">
        <v>85</v>
      </c>
      <c r="B2534" s="291" t="s">
        <v>16857</v>
      </c>
      <c r="C2534" s="292" t="s">
        <v>48</v>
      </c>
      <c r="D2534" s="293">
        <f t="shared" si="2"/>
        <v>1</v>
      </c>
      <c r="E2534" s="294"/>
      <c r="F2534" s="295" t="str">
        <f>IFERROR(__xludf.DUMMYFUNCTION("IF(B2534="""","""",IFERROR(VLOOKUP(TO_TEXT(B2534),PEDIDOS!D:I,6,0),IFERROR(VLOOKUP(B2534*1,PEDIDOS!D:I,6,0),"" "")))"),"ENTREGUE")</f>
        <v>ENTREGUE</v>
      </c>
      <c r="G2534" s="303"/>
      <c r="H2534" s="304"/>
    </row>
    <row r="2535">
      <c r="A2535" s="302" t="s">
        <v>85</v>
      </c>
      <c r="B2535" s="291" t="s">
        <v>18067</v>
      </c>
      <c r="C2535" s="292" t="s">
        <v>48</v>
      </c>
      <c r="D2535" s="293">
        <f t="shared" si="2"/>
        <v>1</v>
      </c>
      <c r="E2535" s="294"/>
      <c r="F2535" s="295" t="str">
        <f>IFERROR(__xludf.DUMMYFUNCTION("IF(B2535="""","""",IFERROR(VLOOKUP(TO_TEXT(B2535),PEDIDOS!D:I,6,0),IFERROR(VLOOKUP(B2535*1,PEDIDOS!D:I,6,0),"" "")))"),"ENTREGUE")</f>
        <v>ENTREGUE</v>
      </c>
      <c r="G2535" s="303"/>
      <c r="H2535" s="304"/>
    </row>
    <row r="2536">
      <c r="A2536" s="302" t="s">
        <v>85</v>
      </c>
      <c r="B2536" s="291" t="s">
        <v>17441</v>
      </c>
      <c r="C2536" s="292" t="s">
        <v>48</v>
      </c>
      <c r="D2536" s="293">
        <f t="shared" si="2"/>
        <v>1</v>
      </c>
      <c r="E2536" s="294"/>
      <c r="F2536" s="295" t="str">
        <f>IFERROR(__xludf.DUMMYFUNCTION("IF(B2536="""","""",IFERROR(VLOOKUP(TO_TEXT(B2536),PEDIDOS!D:I,6,0),IFERROR(VLOOKUP(B2536*1,PEDIDOS!D:I,6,0),"" "")))"),"ENTREGUE")</f>
        <v>ENTREGUE</v>
      </c>
      <c r="G2536" s="303"/>
      <c r="H2536" s="304"/>
    </row>
    <row r="2537">
      <c r="A2537" s="302" t="s">
        <v>85</v>
      </c>
      <c r="B2537" s="291" t="s">
        <v>17323</v>
      </c>
      <c r="C2537" s="292" t="s">
        <v>48</v>
      </c>
      <c r="D2537" s="293">
        <f t="shared" si="2"/>
        <v>1</v>
      </c>
      <c r="E2537" s="294"/>
      <c r="F2537" s="295" t="str">
        <f>IFERROR(__xludf.DUMMYFUNCTION("IF(B2537="""","""",IFERROR(VLOOKUP(TO_TEXT(B2537),PEDIDOS!D:I,6,0),IFERROR(VLOOKUP(B2537*1,PEDIDOS!D:I,6,0),"" "")))"),"ENTREGUE")</f>
        <v>ENTREGUE</v>
      </c>
      <c r="G2537" s="303"/>
      <c r="H2537" s="304"/>
    </row>
    <row r="2538">
      <c r="A2538" s="302" t="s">
        <v>85</v>
      </c>
      <c r="B2538" s="291" t="s">
        <v>17888</v>
      </c>
      <c r="C2538" s="292" t="s">
        <v>48</v>
      </c>
      <c r="D2538" s="293">
        <f t="shared" si="2"/>
        <v>1</v>
      </c>
      <c r="E2538" s="294"/>
      <c r="F2538" s="295" t="str">
        <f>IFERROR(__xludf.DUMMYFUNCTION("IF(B2538="""","""",IFERROR(VLOOKUP(TO_TEXT(B2538),PEDIDOS!D:I,6,0),IFERROR(VLOOKUP(B2538*1,PEDIDOS!D:I,6,0),"" "")))"),"ENTREGUE")</f>
        <v>ENTREGUE</v>
      </c>
      <c r="G2538" s="303"/>
      <c r="H2538" s="304"/>
    </row>
    <row r="2539">
      <c r="A2539" s="302" t="s">
        <v>85</v>
      </c>
      <c r="B2539" s="291" t="s">
        <v>19140</v>
      </c>
      <c r="C2539" s="292" t="s">
        <v>48</v>
      </c>
      <c r="D2539" s="293">
        <f t="shared" si="2"/>
        <v>1</v>
      </c>
      <c r="E2539" s="294"/>
      <c r="F2539" s="295" t="str">
        <f>IFERROR(__xludf.DUMMYFUNCTION("IF(B2539="""","""",IFERROR(VLOOKUP(TO_TEXT(B2539),PEDIDOS!D:I,6,0),IFERROR(VLOOKUP(B2539*1,PEDIDOS!D:I,6,0),"" "")))"),"ENTREGUE")</f>
        <v>ENTREGUE</v>
      </c>
      <c r="G2539" s="303"/>
      <c r="H2539" s="304"/>
    </row>
    <row r="2540">
      <c r="A2540" s="302" t="s">
        <v>85</v>
      </c>
      <c r="B2540" s="291" t="s">
        <v>18199</v>
      </c>
      <c r="C2540" s="292" t="s">
        <v>48</v>
      </c>
      <c r="D2540" s="293">
        <f t="shared" si="2"/>
        <v>1</v>
      </c>
      <c r="E2540" s="294"/>
      <c r="F2540" s="295" t="str">
        <f>IFERROR(__xludf.DUMMYFUNCTION("IF(B2540="""","""",IFERROR(VLOOKUP(TO_TEXT(B2540),PEDIDOS!D:I,6,0),IFERROR(VLOOKUP(B2540*1,PEDIDOS!D:I,6,0),"" "")))"),"ENTREGUE")</f>
        <v>ENTREGUE</v>
      </c>
      <c r="G2540" s="303"/>
      <c r="H2540" s="304"/>
    </row>
    <row r="2541">
      <c r="A2541" s="302" t="s">
        <v>85</v>
      </c>
      <c r="B2541" s="291" t="s">
        <v>19946</v>
      </c>
      <c r="C2541" s="292" t="s">
        <v>48</v>
      </c>
      <c r="D2541" s="293">
        <f t="shared" si="2"/>
        <v>1</v>
      </c>
      <c r="E2541" s="294"/>
      <c r="F2541" s="295" t="str">
        <f>IFERROR(__xludf.DUMMYFUNCTION("IF(B2541="""","""",IFERROR(VLOOKUP(TO_TEXT(B2541),PEDIDOS!D:I,6,0),IFERROR(VLOOKUP(B2541*1,PEDIDOS!D:I,6,0),"" "")))"),"ENTREGUE")</f>
        <v>ENTREGUE</v>
      </c>
      <c r="G2541" s="303"/>
      <c r="H2541" s="304"/>
    </row>
    <row r="2542">
      <c r="A2542" s="302" t="s">
        <v>85</v>
      </c>
      <c r="B2542" s="291" t="s">
        <v>19690</v>
      </c>
      <c r="C2542" s="292" t="s">
        <v>48</v>
      </c>
      <c r="D2542" s="293">
        <f t="shared" si="2"/>
        <v>1</v>
      </c>
      <c r="E2542" s="294"/>
      <c r="F2542" s="295" t="str">
        <f>IFERROR(__xludf.DUMMYFUNCTION("IF(B2542="""","""",IFERROR(VLOOKUP(TO_TEXT(B2542),PEDIDOS!D:I,6,0),IFERROR(VLOOKUP(B2542*1,PEDIDOS!D:I,6,0),"" "")))"),"ENTREGUE")</f>
        <v>ENTREGUE</v>
      </c>
      <c r="G2542" s="303"/>
      <c r="H2542" s="304"/>
    </row>
    <row r="2543">
      <c r="A2543" s="302" t="s">
        <v>85</v>
      </c>
      <c r="B2543" s="291" t="s">
        <v>18356</v>
      </c>
      <c r="C2543" s="292" t="s">
        <v>48</v>
      </c>
      <c r="D2543" s="293">
        <f t="shared" si="2"/>
        <v>1</v>
      </c>
      <c r="E2543" s="294"/>
      <c r="F2543" s="295" t="str">
        <f>IFERROR(__xludf.DUMMYFUNCTION("IF(B2543="""","""",IFERROR(VLOOKUP(TO_TEXT(B2543),PEDIDOS!D:I,6,0),IFERROR(VLOOKUP(B2543*1,PEDIDOS!D:I,6,0),"" "")))"),"ENTREGUE")</f>
        <v>ENTREGUE</v>
      </c>
      <c r="G2543" s="303"/>
      <c r="H2543" s="304"/>
    </row>
    <row r="2544">
      <c r="A2544" s="302" t="s">
        <v>85</v>
      </c>
      <c r="B2544" s="291" t="s">
        <v>18250</v>
      </c>
      <c r="C2544" s="292" t="s">
        <v>48</v>
      </c>
      <c r="D2544" s="293">
        <f t="shared" si="2"/>
        <v>1</v>
      </c>
      <c r="E2544" s="294"/>
      <c r="F2544" s="295" t="str">
        <f>IFERROR(__xludf.DUMMYFUNCTION("IF(B2544="""","""",IFERROR(VLOOKUP(TO_TEXT(B2544),PEDIDOS!D:I,6,0),IFERROR(VLOOKUP(B2544*1,PEDIDOS!D:I,6,0),"" "")))"),"ENTREGUE")</f>
        <v>ENTREGUE</v>
      </c>
      <c r="G2544" s="303"/>
      <c r="H2544" s="304"/>
    </row>
    <row r="2545">
      <c r="A2545" s="302" t="s">
        <v>85</v>
      </c>
      <c r="B2545" s="291" t="s">
        <v>18004</v>
      </c>
      <c r="C2545" s="292" t="s">
        <v>48</v>
      </c>
      <c r="D2545" s="293">
        <f t="shared" si="2"/>
        <v>1</v>
      </c>
      <c r="E2545" s="294"/>
      <c r="F2545" s="295" t="str">
        <f>IFERROR(__xludf.DUMMYFUNCTION("IF(B2545="""","""",IFERROR(VLOOKUP(TO_TEXT(B2545),PEDIDOS!D:I,6,0),IFERROR(VLOOKUP(B2545*1,PEDIDOS!D:I,6,0),"" "")))"),"ENTREGUE")</f>
        <v>ENTREGUE</v>
      </c>
      <c r="G2545" s="303"/>
      <c r="H2545" s="304"/>
    </row>
    <row r="2546">
      <c r="A2546" s="302" t="s">
        <v>85</v>
      </c>
      <c r="B2546" s="291" t="s">
        <v>18243</v>
      </c>
      <c r="C2546" s="292" t="s">
        <v>48</v>
      </c>
      <c r="D2546" s="293">
        <f t="shared" si="2"/>
        <v>1</v>
      </c>
      <c r="E2546" s="294"/>
      <c r="F2546" s="295" t="str">
        <f>IFERROR(__xludf.DUMMYFUNCTION("IF(B2546="""","""",IFERROR(VLOOKUP(TO_TEXT(B2546),PEDIDOS!D:I,6,0),IFERROR(VLOOKUP(B2546*1,PEDIDOS!D:I,6,0),"" "")))"),"ENTREGUE")</f>
        <v>ENTREGUE</v>
      </c>
      <c r="G2546" s="303"/>
      <c r="H2546" s="304"/>
    </row>
    <row r="2547">
      <c r="A2547" s="302" t="s">
        <v>85</v>
      </c>
      <c r="B2547" s="291" t="s">
        <v>18246</v>
      </c>
      <c r="C2547" s="292" t="s">
        <v>48</v>
      </c>
      <c r="D2547" s="293">
        <f t="shared" si="2"/>
        <v>1</v>
      </c>
      <c r="E2547" s="294"/>
      <c r="F2547" s="295" t="str">
        <f>IFERROR(__xludf.DUMMYFUNCTION("IF(B2547="""","""",IFERROR(VLOOKUP(TO_TEXT(B2547),PEDIDOS!D:I,6,0),IFERROR(VLOOKUP(B2547*1,PEDIDOS!D:I,6,0),"" "")))"),"ENTREGUE")</f>
        <v>ENTREGUE</v>
      </c>
      <c r="G2547" s="303"/>
      <c r="H2547" s="304"/>
    </row>
    <row r="2548">
      <c r="A2548" s="302" t="s">
        <v>85</v>
      </c>
      <c r="B2548" s="291" t="s">
        <v>18440</v>
      </c>
      <c r="C2548" s="292" t="s">
        <v>48</v>
      </c>
      <c r="D2548" s="293">
        <f t="shared" si="2"/>
        <v>1</v>
      </c>
      <c r="E2548" s="294"/>
      <c r="F2548" s="295" t="str">
        <f>IFERROR(__xludf.DUMMYFUNCTION("IF(B2548="""","""",IFERROR(VLOOKUP(TO_TEXT(B2548),PEDIDOS!D:I,6,0),IFERROR(VLOOKUP(B2548*1,PEDIDOS!D:I,6,0),"" "")))"),"ENTREGUE")</f>
        <v>ENTREGUE</v>
      </c>
      <c r="G2548" s="303"/>
      <c r="H2548" s="304"/>
    </row>
    <row r="2549">
      <c r="A2549" s="302" t="s">
        <v>85</v>
      </c>
      <c r="B2549" s="291" t="s">
        <v>18340</v>
      </c>
      <c r="C2549" s="292" t="s">
        <v>48</v>
      </c>
      <c r="D2549" s="293">
        <f t="shared" si="2"/>
        <v>1</v>
      </c>
      <c r="E2549" s="294"/>
      <c r="F2549" s="295" t="str">
        <f>IFERROR(__xludf.DUMMYFUNCTION("IF(B2549="""","""",IFERROR(VLOOKUP(TO_TEXT(B2549),PEDIDOS!D:I,6,0),IFERROR(VLOOKUP(B2549*1,PEDIDOS!D:I,6,0),"" "")))"),"ENTREGUE")</f>
        <v>ENTREGUE</v>
      </c>
      <c r="G2549" s="303"/>
      <c r="H2549" s="304"/>
    </row>
    <row r="2550">
      <c r="A2550" s="302" t="s">
        <v>85</v>
      </c>
      <c r="B2550" s="291" t="s">
        <v>18360</v>
      </c>
      <c r="C2550" s="292" t="s">
        <v>48</v>
      </c>
      <c r="D2550" s="293">
        <f t="shared" si="2"/>
        <v>1</v>
      </c>
      <c r="E2550" s="294"/>
      <c r="F2550" s="295" t="str">
        <f>IFERROR(__xludf.DUMMYFUNCTION("IF(B2550="""","""",IFERROR(VLOOKUP(TO_TEXT(B2550),PEDIDOS!D:I,6,0),IFERROR(VLOOKUP(B2550*1,PEDIDOS!D:I,6,0),"" "")))"),"ENTREGUE")</f>
        <v>ENTREGUE</v>
      </c>
      <c r="G2550" s="303"/>
      <c r="H2550" s="304"/>
    </row>
    <row r="2551">
      <c r="A2551" s="302" t="s">
        <v>85</v>
      </c>
      <c r="B2551" s="291" t="s">
        <v>17736</v>
      </c>
      <c r="C2551" s="292" t="s">
        <v>48</v>
      </c>
      <c r="D2551" s="293">
        <f t="shared" si="2"/>
        <v>1</v>
      </c>
      <c r="E2551" s="294"/>
      <c r="F2551" s="295" t="str">
        <f>IFERROR(__xludf.DUMMYFUNCTION("IF(B2551="""","""",IFERROR(VLOOKUP(TO_TEXT(B2551),PEDIDOS!D:I,6,0),IFERROR(VLOOKUP(B2551*1,PEDIDOS!D:I,6,0),"" "")))"),"ENTREGUE")</f>
        <v>ENTREGUE</v>
      </c>
      <c r="G2551" s="303"/>
      <c r="H2551" s="304"/>
    </row>
    <row r="2552">
      <c r="A2552" s="302" t="s">
        <v>85</v>
      </c>
      <c r="B2552" s="291" t="s">
        <v>17579</v>
      </c>
      <c r="C2552" s="292" t="s">
        <v>48</v>
      </c>
      <c r="D2552" s="293">
        <f t="shared" si="2"/>
        <v>1</v>
      </c>
      <c r="E2552" s="294"/>
      <c r="F2552" s="295" t="str">
        <f>IFERROR(__xludf.DUMMYFUNCTION("IF(B2552="""","""",IFERROR(VLOOKUP(TO_TEXT(B2552),PEDIDOS!D:I,6,0),IFERROR(VLOOKUP(B2552*1,PEDIDOS!D:I,6,0),"" "")))"),"ENTREGUE")</f>
        <v>ENTREGUE</v>
      </c>
      <c r="G2552" s="303"/>
      <c r="H2552" s="304"/>
    </row>
    <row r="2553">
      <c r="A2553" s="302" t="s">
        <v>85</v>
      </c>
      <c r="B2553" s="291" t="s">
        <v>18344</v>
      </c>
      <c r="C2553" s="292" t="s">
        <v>48</v>
      </c>
      <c r="D2553" s="293">
        <f t="shared" si="2"/>
        <v>1</v>
      </c>
      <c r="E2553" s="294"/>
      <c r="F2553" s="295" t="str">
        <f>IFERROR(__xludf.DUMMYFUNCTION("IF(B2553="""","""",IFERROR(VLOOKUP(TO_TEXT(B2553),PEDIDOS!D:I,6,0),IFERROR(VLOOKUP(B2553*1,PEDIDOS!D:I,6,0),"" "")))"),"ENTREGUE")</f>
        <v>ENTREGUE</v>
      </c>
      <c r="G2553" s="303"/>
      <c r="H2553" s="304"/>
    </row>
    <row r="2554">
      <c r="A2554" s="302" t="s">
        <v>85</v>
      </c>
      <c r="B2554" s="291" t="s">
        <v>18348</v>
      </c>
      <c r="C2554" s="292" t="s">
        <v>48</v>
      </c>
      <c r="D2554" s="293">
        <f t="shared" si="2"/>
        <v>1</v>
      </c>
      <c r="E2554" s="294"/>
      <c r="F2554" s="295" t="str">
        <f>IFERROR(__xludf.DUMMYFUNCTION("IF(B2554="""","""",IFERROR(VLOOKUP(TO_TEXT(B2554),PEDIDOS!D:I,6,0),IFERROR(VLOOKUP(B2554*1,PEDIDOS!D:I,6,0),"" "")))"),"ENTREGUE")</f>
        <v>ENTREGUE</v>
      </c>
      <c r="G2554" s="303"/>
      <c r="H2554" s="304"/>
    </row>
    <row r="2555">
      <c r="A2555" s="302" t="s">
        <v>85</v>
      </c>
      <c r="B2555" s="291" t="s">
        <v>23428</v>
      </c>
      <c r="C2555" s="292" t="s">
        <v>48</v>
      </c>
      <c r="D2555" s="293">
        <f t="shared" si="2"/>
        <v>1</v>
      </c>
      <c r="E2555" s="294"/>
      <c r="F2555" s="295" t="str">
        <f>IFERROR(__xludf.DUMMYFUNCTION("IF(B2555="""","""",IFERROR(VLOOKUP(TO_TEXT(B2555),PEDIDOS!D:I,6,0),IFERROR(VLOOKUP(B2555*1,PEDIDOS!D:I,6,0),"" "")))")," ")</f>
        <v> </v>
      </c>
      <c r="G2555" s="303" t="s">
        <v>23429</v>
      </c>
      <c r="H2555" s="304"/>
    </row>
    <row r="2556">
      <c r="A2556" s="302" t="s">
        <v>91</v>
      </c>
      <c r="B2556" s="291" t="s">
        <v>14506</v>
      </c>
      <c r="C2556" s="292" t="s">
        <v>48</v>
      </c>
      <c r="D2556" s="293">
        <f t="shared" si="2"/>
        <v>1</v>
      </c>
      <c r="E2556" s="294"/>
      <c r="F2556" s="295" t="str">
        <f>IFERROR(__xludf.DUMMYFUNCTION("IF(B2556="""","""",IFERROR(VLOOKUP(TO_TEXT(B2556),PEDIDOS!D:I,6,0),IFERROR(VLOOKUP(B2556*1,PEDIDOS!D:I,6,0),"" "")))"),"ENTREGUE")</f>
        <v>ENTREGUE</v>
      </c>
      <c r="G2556" s="303"/>
      <c r="H2556" s="304"/>
    </row>
    <row r="2557">
      <c r="A2557" s="302" t="s">
        <v>91</v>
      </c>
      <c r="B2557" s="291" t="s">
        <v>13566</v>
      </c>
      <c r="C2557" s="292" t="s">
        <v>48</v>
      </c>
      <c r="D2557" s="293">
        <f t="shared" si="2"/>
        <v>1</v>
      </c>
      <c r="E2557" s="294"/>
      <c r="F2557" s="295" t="str">
        <f>IFERROR(__xludf.DUMMYFUNCTION("IF(B2557="""","""",IFERROR(VLOOKUP(TO_TEXT(B2557),PEDIDOS!D:I,6,0),IFERROR(VLOOKUP(B2557*1,PEDIDOS!D:I,6,0),"" "")))"),"ENTREGUE")</f>
        <v>ENTREGUE</v>
      </c>
      <c r="G2557" s="303"/>
      <c r="H2557" s="304"/>
    </row>
    <row r="2558">
      <c r="A2558" s="302" t="s">
        <v>91</v>
      </c>
      <c r="B2558" s="291" t="s">
        <v>14670</v>
      </c>
      <c r="C2558" s="292" t="s">
        <v>48</v>
      </c>
      <c r="D2558" s="293">
        <f t="shared" si="2"/>
        <v>1</v>
      </c>
      <c r="E2558" s="294"/>
      <c r="F2558" s="295" t="str">
        <f>IFERROR(__xludf.DUMMYFUNCTION("IF(B2558="""","""",IFERROR(VLOOKUP(TO_TEXT(B2558),PEDIDOS!D:I,6,0),IFERROR(VLOOKUP(B2558*1,PEDIDOS!D:I,6,0),"" "")))"),"ENTREGUE")</f>
        <v>ENTREGUE</v>
      </c>
      <c r="G2558" s="303"/>
      <c r="H2558" s="304"/>
    </row>
    <row r="2559">
      <c r="A2559" s="302" t="s">
        <v>91</v>
      </c>
      <c r="B2559" s="291" t="s">
        <v>14463</v>
      </c>
      <c r="C2559" s="292" t="s">
        <v>48</v>
      </c>
      <c r="D2559" s="293">
        <f t="shared" si="2"/>
        <v>1</v>
      </c>
      <c r="E2559" s="294"/>
      <c r="F2559" s="295" t="str">
        <f>IFERROR(__xludf.DUMMYFUNCTION("IF(B2559="""","""",IFERROR(VLOOKUP(TO_TEXT(B2559),PEDIDOS!D:I,6,0),IFERROR(VLOOKUP(B2559*1,PEDIDOS!D:I,6,0),"" "")))"),"ENTREGUE")</f>
        <v>ENTREGUE</v>
      </c>
      <c r="G2559" s="303"/>
      <c r="H2559" s="304"/>
    </row>
    <row r="2560">
      <c r="A2560" s="302" t="s">
        <v>91</v>
      </c>
      <c r="B2560" s="291" t="s">
        <v>14299</v>
      </c>
      <c r="C2560" s="292" t="s">
        <v>48</v>
      </c>
      <c r="D2560" s="293">
        <f t="shared" si="2"/>
        <v>1</v>
      </c>
      <c r="E2560" s="294"/>
      <c r="F2560" s="295" t="str">
        <f>IFERROR(__xludf.DUMMYFUNCTION("IF(B2560="""","""",IFERROR(VLOOKUP(TO_TEXT(B2560),PEDIDOS!D:I,6,0),IFERROR(VLOOKUP(B2560*1,PEDIDOS!D:I,6,0),"" "")))"),"ENTREGUE")</f>
        <v>ENTREGUE</v>
      </c>
      <c r="G2560" s="303"/>
      <c r="H2560" s="304"/>
    </row>
    <row r="2561">
      <c r="A2561" s="302" t="s">
        <v>91</v>
      </c>
      <c r="B2561" s="291" t="s">
        <v>14452</v>
      </c>
      <c r="C2561" s="292" t="s">
        <v>48</v>
      </c>
      <c r="D2561" s="293">
        <f t="shared" si="2"/>
        <v>1</v>
      </c>
      <c r="E2561" s="294"/>
      <c r="F2561" s="295" t="str">
        <f>IFERROR(__xludf.DUMMYFUNCTION("IF(B2561="""","""",IFERROR(VLOOKUP(TO_TEXT(B2561),PEDIDOS!D:I,6,0),IFERROR(VLOOKUP(B2561*1,PEDIDOS!D:I,6,0),"" "")))"),"ENTREGUE")</f>
        <v>ENTREGUE</v>
      </c>
      <c r="G2561" s="303"/>
      <c r="H2561" s="304"/>
    </row>
    <row r="2562">
      <c r="A2562" s="302" t="s">
        <v>91</v>
      </c>
      <c r="B2562" s="291" t="s">
        <v>14287</v>
      </c>
      <c r="C2562" s="292" t="s">
        <v>48</v>
      </c>
      <c r="D2562" s="293">
        <f t="shared" si="2"/>
        <v>1</v>
      </c>
      <c r="E2562" s="294"/>
      <c r="F2562" s="295" t="str">
        <f>IFERROR(__xludf.DUMMYFUNCTION("IF(B2562="""","""",IFERROR(VLOOKUP(TO_TEXT(B2562),PEDIDOS!D:I,6,0),IFERROR(VLOOKUP(B2562*1,PEDIDOS!D:I,6,0),"" "")))"),"ENTREGUE")</f>
        <v>ENTREGUE</v>
      </c>
      <c r="G2562" s="303"/>
      <c r="H2562" s="304"/>
    </row>
    <row r="2563">
      <c r="A2563" s="302" t="s">
        <v>91</v>
      </c>
      <c r="B2563" s="291" t="s">
        <v>14456</v>
      </c>
      <c r="C2563" s="292" t="s">
        <v>48</v>
      </c>
      <c r="D2563" s="293">
        <f t="shared" si="2"/>
        <v>1</v>
      </c>
      <c r="E2563" s="294"/>
      <c r="F2563" s="295" t="str">
        <f>IFERROR(__xludf.DUMMYFUNCTION("IF(B2563="""","""",IFERROR(VLOOKUP(TO_TEXT(B2563),PEDIDOS!D:I,6,0),IFERROR(VLOOKUP(B2563*1,PEDIDOS!D:I,6,0),"" "")))"),"ENTREGUE")</f>
        <v>ENTREGUE</v>
      </c>
      <c r="G2563" s="303"/>
      <c r="H2563" s="304"/>
    </row>
    <row r="2564">
      <c r="A2564" s="302" t="s">
        <v>91</v>
      </c>
      <c r="B2564" s="291" t="s">
        <v>14284</v>
      </c>
      <c r="C2564" s="292" t="s">
        <v>48</v>
      </c>
      <c r="D2564" s="293">
        <f t="shared" si="2"/>
        <v>1</v>
      </c>
      <c r="E2564" s="294"/>
      <c r="F2564" s="295" t="str">
        <f>IFERROR(__xludf.DUMMYFUNCTION("IF(B2564="""","""",IFERROR(VLOOKUP(TO_TEXT(B2564),PEDIDOS!D:I,6,0),IFERROR(VLOOKUP(B2564*1,PEDIDOS!D:I,6,0),"" "")))"),"ENTREGUE")</f>
        <v>ENTREGUE</v>
      </c>
      <c r="G2564" s="303"/>
      <c r="H2564" s="304"/>
    </row>
    <row r="2565">
      <c r="A2565" s="302" t="s">
        <v>91</v>
      </c>
      <c r="B2565" s="291" t="s">
        <v>14280</v>
      </c>
      <c r="C2565" s="292" t="s">
        <v>48</v>
      </c>
      <c r="D2565" s="293">
        <f t="shared" si="2"/>
        <v>1</v>
      </c>
      <c r="E2565" s="294"/>
      <c r="F2565" s="295" t="str">
        <f>IFERROR(__xludf.DUMMYFUNCTION("IF(B2565="""","""",IFERROR(VLOOKUP(TO_TEXT(B2565),PEDIDOS!D:I,6,0),IFERROR(VLOOKUP(B2565*1,PEDIDOS!D:I,6,0),"" "")))"),"ENTREGUE")</f>
        <v>ENTREGUE</v>
      </c>
      <c r="G2565" s="303"/>
      <c r="H2565" s="304"/>
    </row>
    <row r="2566">
      <c r="A2566" s="302" t="s">
        <v>91</v>
      </c>
      <c r="B2566" s="291" t="s">
        <v>14271</v>
      </c>
      <c r="C2566" s="292" t="s">
        <v>48</v>
      </c>
      <c r="D2566" s="293">
        <f t="shared" si="2"/>
        <v>1</v>
      </c>
      <c r="E2566" s="294"/>
      <c r="F2566" s="295" t="str">
        <f>IFERROR(__xludf.DUMMYFUNCTION("IF(B2566="""","""",IFERROR(VLOOKUP(TO_TEXT(B2566),PEDIDOS!D:I,6,0),IFERROR(VLOOKUP(B2566*1,PEDIDOS!D:I,6,0),"" "")))"),"ENTREGUE")</f>
        <v>ENTREGUE</v>
      </c>
      <c r="G2566" s="303"/>
      <c r="H2566" s="304"/>
    </row>
    <row r="2567">
      <c r="A2567" s="302" t="s">
        <v>91</v>
      </c>
      <c r="B2567" s="291" t="s">
        <v>14709</v>
      </c>
      <c r="C2567" s="292" t="s">
        <v>48</v>
      </c>
      <c r="D2567" s="293">
        <f t="shared" si="2"/>
        <v>1</v>
      </c>
      <c r="E2567" s="294"/>
      <c r="F2567" s="295" t="str">
        <f>IFERROR(__xludf.DUMMYFUNCTION("IF(B2567="""","""",IFERROR(VLOOKUP(TO_TEXT(B2567),PEDIDOS!D:I,6,0),IFERROR(VLOOKUP(B2567*1,PEDIDOS!D:I,6,0),"" "")))"),"ENTREGUE")</f>
        <v>ENTREGUE</v>
      </c>
      <c r="G2567" s="303"/>
      <c r="H2567" s="304"/>
    </row>
    <row r="2568">
      <c r="A2568" s="302" t="s">
        <v>91</v>
      </c>
      <c r="B2568" s="291" t="s">
        <v>13385</v>
      </c>
      <c r="C2568" s="292" t="s">
        <v>48</v>
      </c>
      <c r="D2568" s="293">
        <f t="shared" si="2"/>
        <v>1</v>
      </c>
      <c r="E2568" s="294"/>
      <c r="F2568" s="295" t="str">
        <f>IFERROR(__xludf.DUMMYFUNCTION("IF(B2568="""","""",IFERROR(VLOOKUP(TO_TEXT(B2568),PEDIDOS!D:I,6,0),IFERROR(VLOOKUP(B2568*1,PEDIDOS!D:I,6,0),"" "")))"),"ENTREGUE")</f>
        <v>ENTREGUE</v>
      </c>
      <c r="G2568" s="303"/>
      <c r="H2568" s="304"/>
    </row>
    <row r="2569">
      <c r="A2569" s="302" t="s">
        <v>91</v>
      </c>
      <c r="B2569" s="291" t="s">
        <v>14651</v>
      </c>
      <c r="C2569" s="292" t="s">
        <v>48</v>
      </c>
      <c r="D2569" s="293">
        <f t="shared" si="2"/>
        <v>1</v>
      </c>
      <c r="E2569" s="294"/>
      <c r="F2569" s="295" t="str">
        <f>IFERROR(__xludf.DUMMYFUNCTION("IF(B2569="""","""",IFERROR(VLOOKUP(TO_TEXT(B2569),PEDIDOS!D:I,6,0),IFERROR(VLOOKUP(B2569*1,PEDIDOS!D:I,6,0),"" "")))"),"ENTREGUE")</f>
        <v>ENTREGUE</v>
      </c>
      <c r="G2569" s="303"/>
      <c r="H2569" s="304"/>
    </row>
    <row r="2570">
      <c r="A2570" s="302" t="s">
        <v>91</v>
      </c>
      <c r="B2570" s="291" t="s">
        <v>14623</v>
      </c>
      <c r="C2570" s="292" t="s">
        <v>48</v>
      </c>
      <c r="D2570" s="293">
        <f t="shared" si="2"/>
        <v>1</v>
      </c>
      <c r="E2570" s="294"/>
      <c r="F2570" s="295" t="str">
        <f>IFERROR(__xludf.DUMMYFUNCTION("IF(B2570="""","""",IFERROR(VLOOKUP(TO_TEXT(B2570),PEDIDOS!D:I,6,0),IFERROR(VLOOKUP(B2570*1,PEDIDOS!D:I,6,0),"" "")))"),"ENTREGUE")</f>
        <v>ENTREGUE</v>
      </c>
      <c r="G2570" s="303"/>
      <c r="H2570" s="304"/>
    </row>
    <row r="2571">
      <c r="A2571" s="302" t="s">
        <v>91</v>
      </c>
      <c r="B2571" s="291" t="s">
        <v>14573</v>
      </c>
      <c r="C2571" s="292" t="s">
        <v>48</v>
      </c>
      <c r="D2571" s="293">
        <f t="shared" si="2"/>
        <v>1</v>
      </c>
      <c r="E2571" s="294"/>
      <c r="F2571" s="295" t="str">
        <f>IFERROR(__xludf.DUMMYFUNCTION("IF(B2571="""","""",IFERROR(VLOOKUP(TO_TEXT(B2571),PEDIDOS!D:I,6,0),IFERROR(VLOOKUP(B2571*1,PEDIDOS!D:I,6,0),"" "")))"),"ENTREGUE")</f>
        <v>ENTREGUE</v>
      </c>
      <c r="G2571" s="303"/>
      <c r="H2571" s="304"/>
    </row>
    <row r="2572">
      <c r="A2572" s="302" t="s">
        <v>91</v>
      </c>
      <c r="B2572" s="291" t="s">
        <v>14440</v>
      </c>
      <c r="C2572" s="292" t="s">
        <v>48</v>
      </c>
      <c r="D2572" s="293">
        <f t="shared" si="2"/>
        <v>1</v>
      </c>
      <c r="E2572" s="294"/>
      <c r="F2572" s="295" t="str">
        <f>IFERROR(__xludf.DUMMYFUNCTION("IF(B2572="""","""",IFERROR(VLOOKUP(TO_TEXT(B2572),PEDIDOS!D:I,6,0),IFERROR(VLOOKUP(B2572*1,PEDIDOS!D:I,6,0),"" "")))"),"ENTREGUE")</f>
        <v>ENTREGUE</v>
      </c>
      <c r="G2572" s="303"/>
      <c r="H2572" s="304"/>
    </row>
    <row r="2573">
      <c r="A2573" s="302" t="s">
        <v>91</v>
      </c>
      <c r="B2573" s="291" t="s">
        <v>14763</v>
      </c>
      <c r="C2573" s="292" t="s">
        <v>48</v>
      </c>
      <c r="D2573" s="293">
        <f t="shared" si="2"/>
        <v>1</v>
      </c>
      <c r="E2573" s="294"/>
      <c r="F2573" s="295" t="str">
        <f>IFERROR(__xludf.DUMMYFUNCTION("IF(B2573="""","""",IFERROR(VLOOKUP(TO_TEXT(B2573),PEDIDOS!D:I,6,0),IFERROR(VLOOKUP(B2573*1,PEDIDOS!D:I,6,0),"" "")))"),"ENTREGUE")</f>
        <v>ENTREGUE</v>
      </c>
      <c r="G2573" s="303"/>
      <c r="H2573" s="304"/>
    </row>
    <row r="2574">
      <c r="A2574" s="302" t="s">
        <v>91</v>
      </c>
      <c r="B2574" s="291" t="s">
        <v>14767</v>
      </c>
      <c r="C2574" s="292" t="s">
        <v>48</v>
      </c>
      <c r="D2574" s="293">
        <f t="shared" si="2"/>
        <v>1</v>
      </c>
      <c r="E2574" s="294"/>
      <c r="F2574" s="295" t="str">
        <f>IFERROR(__xludf.DUMMYFUNCTION("IF(B2574="""","""",IFERROR(VLOOKUP(TO_TEXT(B2574),PEDIDOS!D:I,6,0),IFERROR(VLOOKUP(B2574*1,PEDIDOS!D:I,6,0),"" "")))"),"ENTREGUE")</f>
        <v>ENTREGUE</v>
      </c>
      <c r="G2574" s="303"/>
      <c r="H2574" s="304"/>
    </row>
    <row r="2575">
      <c r="A2575" s="302" t="s">
        <v>91</v>
      </c>
      <c r="B2575" s="291" t="s">
        <v>14550</v>
      </c>
      <c r="C2575" s="292" t="s">
        <v>48</v>
      </c>
      <c r="D2575" s="293">
        <f t="shared" si="2"/>
        <v>1</v>
      </c>
      <c r="E2575" s="294"/>
      <c r="F2575" s="295" t="str">
        <f>IFERROR(__xludf.DUMMYFUNCTION("IF(B2575="""","""",IFERROR(VLOOKUP(TO_TEXT(B2575),PEDIDOS!D:I,6,0),IFERROR(VLOOKUP(B2575*1,PEDIDOS!D:I,6,0),"" "")))"),"ENTREGUE")</f>
        <v>ENTREGUE</v>
      </c>
      <c r="G2575" s="303"/>
      <c r="H2575" s="304"/>
    </row>
    <row r="2576">
      <c r="A2576" s="302" t="s">
        <v>91</v>
      </c>
      <c r="B2576" s="291" t="s">
        <v>14546</v>
      </c>
      <c r="C2576" s="292" t="s">
        <v>48</v>
      </c>
      <c r="D2576" s="293">
        <f t="shared" si="2"/>
        <v>1</v>
      </c>
      <c r="E2576" s="294"/>
      <c r="F2576" s="295" t="str">
        <f>IFERROR(__xludf.DUMMYFUNCTION("IF(B2576="""","""",IFERROR(VLOOKUP(TO_TEXT(B2576),PEDIDOS!D:I,6,0),IFERROR(VLOOKUP(B2576*1,PEDIDOS!D:I,6,0),"" "")))"),"ENTREGUE")</f>
        <v>ENTREGUE</v>
      </c>
      <c r="G2576" s="303"/>
      <c r="H2576" s="304"/>
    </row>
    <row r="2577">
      <c r="A2577" s="302" t="s">
        <v>91</v>
      </c>
      <c r="B2577" s="291" t="s">
        <v>14853</v>
      </c>
      <c r="C2577" s="292" t="s">
        <v>48</v>
      </c>
      <c r="D2577" s="293">
        <f t="shared" si="2"/>
        <v>1</v>
      </c>
      <c r="E2577" s="294"/>
      <c r="F2577" s="295" t="str">
        <f>IFERROR(__xludf.DUMMYFUNCTION("IF(B2577="""","""",IFERROR(VLOOKUP(TO_TEXT(B2577),PEDIDOS!D:I,6,0),IFERROR(VLOOKUP(B2577*1,PEDIDOS!D:I,6,0),"" "")))"),"ENTREGUE")</f>
        <v>ENTREGUE</v>
      </c>
      <c r="G2577" s="303"/>
      <c r="H2577" s="304"/>
    </row>
    <row r="2578">
      <c r="A2578" s="302" t="s">
        <v>91</v>
      </c>
      <c r="B2578" s="291" t="s">
        <v>13558</v>
      </c>
      <c r="C2578" s="292" t="s">
        <v>48</v>
      </c>
      <c r="D2578" s="293">
        <f t="shared" si="2"/>
        <v>1</v>
      </c>
      <c r="E2578" s="294"/>
      <c r="F2578" s="295" t="str">
        <f>IFERROR(__xludf.DUMMYFUNCTION("IF(B2578="""","""",IFERROR(VLOOKUP(TO_TEXT(B2578),PEDIDOS!D:I,6,0),IFERROR(VLOOKUP(B2578*1,PEDIDOS!D:I,6,0),"" "")))"),"ENTREGUE")</f>
        <v>ENTREGUE</v>
      </c>
      <c r="G2578" s="303"/>
      <c r="H2578" s="304"/>
    </row>
    <row r="2579">
      <c r="A2579" s="302" t="s">
        <v>91</v>
      </c>
      <c r="B2579" s="291" t="s">
        <v>14682</v>
      </c>
      <c r="C2579" s="292" t="s">
        <v>48</v>
      </c>
      <c r="D2579" s="293">
        <f t="shared" si="2"/>
        <v>1</v>
      </c>
      <c r="E2579" s="294"/>
      <c r="F2579" s="295" t="str">
        <f>IFERROR(__xludf.DUMMYFUNCTION("IF(B2579="""","""",IFERROR(VLOOKUP(TO_TEXT(B2579),PEDIDOS!D:I,6,0),IFERROR(VLOOKUP(B2579*1,PEDIDOS!D:I,6,0),"" "")))"),"ENTREGUE")</f>
        <v>ENTREGUE</v>
      </c>
      <c r="G2579" s="303"/>
      <c r="H2579" s="304"/>
    </row>
    <row r="2580">
      <c r="A2580" s="302" t="s">
        <v>91</v>
      </c>
      <c r="B2580" s="291" t="s">
        <v>14897</v>
      </c>
      <c r="C2580" s="292" t="s">
        <v>48</v>
      </c>
      <c r="D2580" s="293">
        <f t="shared" si="2"/>
        <v>1</v>
      </c>
      <c r="E2580" s="294"/>
      <c r="F2580" s="295" t="str">
        <f>IFERROR(__xludf.DUMMYFUNCTION("IF(B2580="""","""",IFERROR(VLOOKUP(TO_TEXT(B2580),PEDIDOS!D:I,6,0),IFERROR(VLOOKUP(B2580*1,PEDIDOS!D:I,6,0),"" "")))"),"ENTREGUE")</f>
        <v>ENTREGUE</v>
      </c>
      <c r="G2580" s="303"/>
      <c r="H2580" s="304"/>
    </row>
    <row r="2581">
      <c r="A2581" s="302" t="s">
        <v>91</v>
      </c>
      <c r="B2581" s="291" t="s">
        <v>13378</v>
      </c>
      <c r="C2581" s="292" t="s">
        <v>48</v>
      </c>
      <c r="D2581" s="293">
        <f t="shared" si="2"/>
        <v>1</v>
      </c>
      <c r="E2581" s="294"/>
      <c r="F2581" s="295" t="str">
        <f>IFERROR(__xludf.DUMMYFUNCTION("IF(B2581="""","""",IFERROR(VLOOKUP(TO_TEXT(B2581),PEDIDOS!D:I,6,0),IFERROR(VLOOKUP(B2581*1,PEDIDOS!D:I,6,0),"" "")))"),"ENTREGUE")</f>
        <v>ENTREGUE</v>
      </c>
      <c r="G2581" s="303"/>
      <c r="H2581" s="304"/>
    </row>
    <row r="2582">
      <c r="A2582" s="302" t="s">
        <v>91</v>
      </c>
      <c r="B2582" s="291" t="s">
        <v>13374</v>
      </c>
      <c r="C2582" s="292" t="s">
        <v>48</v>
      </c>
      <c r="D2582" s="293">
        <f t="shared" si="2"/>
        <v>1</v>
      </c>
      <c r="E2582" s="294"/>
      <c r="F2582" s="295" t="str">
        <f>IFERROR(__xludf.DUMMYFUNCTION("IF(B2582="""","""",IFERROR(VLOOKUP(TO_TEXT(B2582),PEDIDOS!D:I,6,0),IFERROR(VLOOKUP(B2582*1,PEDIDOS!D:I,6,0),"" "")))"),"ENTREGUE")</f>
        <v>ENTREGUE</v>
      </c>
      <c r="G2582" s="303"/>
      <c r="H2582" s="304"/>
    </row>
    <row r="2583">
      <c r="A2583" s="302" t="s">
        <v>91</v>
      </c>
      <c r="B2583" s="291" t="s">
        <v>14893</v>
      </c>
      <c r="C2583" s="292" t="s">
        <v>48</v>
      </c>
      <c r="D2583" s="293">
        <f t="shared" si="2"/>
        <v>1</v>
      </c>
      <c r="E2583" s="294"/>
      <c r="F2583" s="295" t="str">
        <f>IFERROR(__xludf.DUMMYFUNCTION("IF(B2583="""","""",IFERROR(VLOOKUP(TO_TEXT(B2583),PEDIDOS!D:I,6,0),IFERROR(VLOOKUP(B2583*1,PEDIDOS!D:I,6,0),"" "")))"),"ENTREGUE")</f>
        <v>ENTREGUE</v>
      </c>
      <c r="G2583" s="303"/>
      <c r="H2583" s="304"/>
    </row>
    <row r="2584">
      <c r="A2584" s="302" t="s">
        <v>91</v>
      </c>
      <c r="B2584" s="291" t="s">
        <v>15013</v>
      </c>
      <c r="C2584" s="292" t="s">
        <v>48</v>
      </c>
      <c r="D2584" s="293">
        <f t="shared" si="2"/>
        <v>1</v>
      </c>
      <c r="E2584" s="294"/>
      <c r="F2584" s="295" t="str">
        <f>IFERROR(__xludf.DUMMYFUNCTION("IF(B2584="""","""",IFERROR(VLOOKUP(TO_TEXT(B2584),PEDIDOS!D:I,6,0),IFERROR(VLOOKUP(B2584*1,PEDIDOS!D:I,6,0),"" "")))"),"ENTREGUE")</f>
        <v>ENTREGUE</v>
      </c>
      <c r="G2584" s="303"/>
      <c r="H2584" s="304"/>
    </row>
    <row r="2585">
      <c r="A2585" s="302" t="s">
        <v>91</v>
      </c>
      <c r="B2585" s="291" t="s">
        <v>14679</v>
      </c>
      <c r="C2585" s="292" t="s">
        <v>48</v>
      </c>
      <c r="D2585" s="293">
        <f t="shared" si="2"/>
        <v>1</v>
      </c>
      <c r="E2585" s="294"/>
      <c r="F2585" s="295" t="str">
        <f>IFERROR(__xludf.DUMMYFUNCTION("IF(B2585="""","""",IFERROR(VLOOKUP(TO_TEXT(B2585),PEDIDOS!D:I,6,0),IFERROR(VLOOKUP(B2585*1,PEDIDOS!D:I,6,0),"" "")))"),"ENTREGUE")</f>
        <v>ENTREGUE</v>
      </c>
      <c r="G2585" s="303"/>
      <c r="H2585" s="304"/>
    </row>
    <row r="2586">
      <c r="A2586" s="302" t="s">
        <v>91</v>
      </c>
      <c r="B2586" s="291" t="s">
        <v>14772</v>
      </c>
      <c r="C2586" s="292" t="s">
        <v>48</v>
      </c>
      <c r="D2586" s="293">
        <f t="shared" si="2"/>
        <v>1</v>
      </c>
      <c r="E2586" s="294"/>
      <c r="F2586" s="295" t="str">
        <f>IFERROR(__xludf.DUMMYFUNCTION("IF(B2586="""","""",IFERROR(VLOOKUP(TO_TEXT(B2586),PEDIDOS!D:I,6,0),IFERROR(VLOOKUP(B2586*1,PEDIDOS!D:I,6,0),"" "")))"),"ENTREGUE")</f>
        <v>ENTREGUE</v>
      </c>
      <c r="G2586" s="303"/>
      <c r="H2586" s="304"/>
    </row>
    <row r="2587">
      <c r="A2587" s="302" t="s">
        <v>91</v>
      </c>
      <c r="B2587" s="291" t="s">
        <v>14553</v>
      </c>
      <c r="C2587" s="292" t="s">
        <v>48</v>
      </c>
      <c r="D2587" s="293">
        <f t="shared" si="2"/>
        <v>1</v>
      </c>
      <c r="E2587" s="294"/>
      <c r="F2587" s="295" t="str">
        <f>IFERROR(__xludf.DUMMYFUNCTION("IF(B2587="""","""",IFERROR(VLOOKUP(TO_TEXT(B2587),PEDIDOS!D:I,6,0),IFERROR(VLOOKUP(B2587*1,PEDIDOS!D:I,6,0),"" "")))"),"ENTREGUE")</f>
        <v>ENTREGUE</v>
      </c>
      <c r="G2587" s="303"/>
      <c r="H2587" s="304"/>
    </row>
    <row r="2588">
      <c r="A2588" s="302" t="s">
        <v>91</v>
      </c>
      <c r="B2588" s="291" t="s">
        <v>141</v>
      </c>
      <c r="C2588" s="292" t="s">
        <v>48</v>
      </c>
      <c r="D2588" s="293">
        <f t="shared" si="2"/>
        <v>1</v>
      </c>
      <c r="E2588" s="294"/>
      <c r="F2588" s="295" t="str">
        <f>IFERROR(__xludf.DUMMYFUNCTION("IF(B2588="""","""",IFERROR(VLOOKUP(TO_TEXT(B2588),PEDIDOS!D:I,6,0),IFERROR(VLOOKUP(B2588*1,PEDIDOS!D:I,6,0),"" "")))"),"ENTREGUE")</f>
        <v>ENTREGUE</v>
      </c>
      <c r="G2588" s="303"/>
      <c r="H2588" s="304"/>
    </row>
    <row r="2589">
      <c r="A2589" s="302" t="s">
        <v>91</v>
      </c>
      <c r="B2589" s="291" t="s">
        <v>14962</v>
      </c>
      <c r="C2589" s="292" t="s">
        <v>48</v>
      </c>
      <c r="D2589" s="293">
        <f t="shared" si="2"/>
        <v>1</v>
      </c>
      <c r="E2589" s="294"/>
      <c r="F2589" s="295" t="str">
        <f>IFERROR(__xludf.DUMMYFUNCTION("IF(B2589="""","""",IFERROR(VLOOKUP(TO_TEXT(B2589),PEDIDOS!D:I,6,0),IFERROR(VLOOKUP(B2589*1,PEDIDOS!D:I,6,0),"" "")))"),"ENTREGUE")</f>
        <v>ENTREGUE</v>
      </c>
      <c r="G2589" s="303"/>
      <c r="H2589" s="304"/>
    </row>
    <row r="2590">
      <c r="A2590" s="302" t="s">
        <v>91</v>
      </c>
      <c r="B2590" s="291" t="s">
        <v>14988</v>
      </c>
      <c r="C2590" s="292" t="s">
        <v>48</v>
      </c>
      <c r="D2590" s="293">
        <f t="shared" si="2"/>
        <v>1</v>
      </c>
      <c r="E2590" s="294"/>
      <c r="F2590" s="295" t="str">
        <f>IFERROR(__xludf.DUMMYFUNCTION("IF(B2590="""","""",IFERROR(VLOOKUP(TO_TEXT(B2590),PEDIDOS!D:I,6,0),IFERROR(VLOOKUP(B2590*1,PEDIDOS!D:I,6,0),"" "")))"),"ENTREGUE")</f>
        <v>ENTREGUE</v>
      </c>
      <c r="G2590" s="303"/>
      <c r="H2590" s="304"/>
    </row>
    <row r="2591">
      <c r="A2591" s="302" t="s">
        <v>91</v>
      </c>
      <c r="B2591" s="291" t="s">
        <v>15017</v>
      </c>
      <c r="C2591" s="292" t="s">
        <v>48</v>
      </c>
      <c r="D2591" s="293">
        <f t="shared" si="2"/>
        <v>1</v>
      </c>
      <c r="E2591" s="294"/>
      <c r="F2591" s="295" t="str">
        <f>IFERROR(__xludf.DUMMYFUNCTION("IF(B2591="""","""",IFERROR(VLOOKUP(TO_TEXT(B2591),PEDIDOS!D:I,6,0),IFERROR(VLOOKUP(B2591*1,PEDIDOS!D:I,6,0),"" "")))"),"ENTREGUE")</f>
        <v>ENTREGUE</v>
      </c>
      <c r="G2591" s="303"/>
      <c r="H2591" s="304"/>
    </row>
    <row r="2592">
      <c r="A2592" s="302" t="s">
        <v>91</v>
      </c>
      <c r="B2592" s="291" t="s">
        <v>13406</v>
      </c>
      <c r="C2592" s="292" t="s">
        <v>48</v>
      </c>
      <c r="D2592" s="293">
        <f t="shared" si="2"/>
        <v>1</v>
      </c>
      <c r="E2592" s="294"/>
      <c r="F2592" s="295" t="str">
        <f>IFERROR(__xludf.DUMMYFUNCTION("IF(B2592="""","""",IFERROR(VLOOKUP(TO_TEXT(B2592),PEDIDOS!D:I,6,0),IFERROR(VLOOKUP(B2592*1,PEDIDOS!D:I,6,0),"" "")))"),"ENTREGUE")</f>
        <v>ENTREGUE</v>
      </c>
      <c r="G2592" s="303"/>
      <c r="H2592" s="304"/>
    </row>
    <row r="2593">
      <c r="A2593" s="302" t="s">
        <v>91</v>
      </c>
      <c r="B2593" s="291" t="s">
        <v>13551</v>
      </c>
      <c r="C2593" s="292" t="s">
        <v>48</v>
      </c>
      <c r="D2593" s="293">
        <f t="shared" si="2"/>
        <v>1</v>
      </c>
      <c r="E2593" s="294"/>
      <c r="F2593" s="295" t="str">
        <f>IFERROR(__xludf.DUMMYFUNCTION("IF(B2593="""","""",IFERROR(VLOOKUP(TO_TEXT(B2593),PEDIDOS!D:I,6,0),IFERROR(VLOOKUP(B2593*1,PEDIDOS!D:I,6,0),"" "")))"),"ENTREGUE")</f>
        <v>ENTREGUE</v>
      </c>
      <c r="G2593" s="303"/>
      <c r="H2593" s="304"/>
    </row>
    <row r="2594">
      <c r="A2594" s="302" t="s">
        <v>91</v>
      </c>
      <c r="B2594" s="291" t="s">
        <v>14705</v>
      </c>
      <c r="C2594" s="292" t="s">
        <v>48</v>
      </c>
      <c r="D2594" s="293">
        <f t="shared" si="2"/>
        <v>1</v>
      </c>
      <c r="E2594" s="294"/>
      <c r="F2594" s="295" t="str">
        <f>IFERROR(__xludf.DUMMYFUNCTION("IF(B2594="""","""",IFERROR(VLOOKUP(TO_TEXT(B2594),PEDIDOS!D:I,6,0),IFERROR(VLOOKUP(B2594*1,PEDIDOS!D:I,6,0),"" "")))"),"ENTREGUE")</f>
        <v>ENTREGUE</v>
      </c>
      <c r="G2594" s="303"/>
      <c r="H2594" s="304"/>
    </row>
    <row r="2595">
      <c r="A2595" s="302" t="s">
        <v>91</v>
      </c>
      <c r="B2595" s="291" t="s">
        <v>15095</v>
      </c>
      <c r="C2595" s="292" t="s">
        <v>48</v>
      </c>
      <c r="D2595" s="293">
        <f t="shared" si="2"/>
        <v>1</v>
      </c>
      <c r="E2595" s="294"/>
      <c r="F2595" s="295" t="str">
        <f>IFERROR(__xludf.DUMMYFUNCTION("IF(B2595="""","""",IFERROR(VLOOKUP(TO_TEXT(B2595),PEDIDOS!D:I,6,0),IFERROR(VLOOKUP(B2595*1,PEDIDOS!D:I,6,0),"" "")))"),"ENTREGUE")</f>
        <v>ENTREGUE</v>
      </c>
      <c r="G2595" s="303"/>
      <c r="H2595" s="304"/>
    </row>
    <row r="2596">
      <c r="A2596" s="302" t="s">
        <v>91</v>
      </c>
      <c r="B2596" s="291" t="s">
        <v>13681</v>
      </c>
      <c r="C2596" s="292" t="s">
        <v>48</v>
      </c>
      <c r="D2596" s="293">
        <f t="shared" si="2"/>
        <v>1</v>
      </c>
      <c r="E2596" s="294"/>
      <c r="F2596" s="295" t="str">
        <f>IFERROR(__xludf.DUMMYFUNCTION("IF(B2596="""","""",IFERROR(VLOOKUP(TO_TEXT(B2596),PEDIDOS!D:I,6,0),IFERROR(VLOOKUP(B2596*1,PEDIDOS!D:I,6,0),"" "")))"),"ENTREGUE")</f>
        <v>ENTREGUE</v>
      </c>
      <c r="G2596" s="303"/>
      <c r="H2596" s="304"/>
    </row>
    <row r="2597">
      <c r="A2597" s="302" t="s">
        <v>91</v>
      </c>
      <c r="B2597" s="291" t="s">
        <v>16474</v>
      </c>
      <c r="C2597" s="292" t="s">
        <v>48</v>
      </c>
      <c r="D2597" s="293">
        <f t="shared" si="2"/>
        <v>1</v>
      </c>
      <c r="E2597" s="294"/>
      <c r="F2597" s="295" t="str">
        <f>IFERROR(__xludf.DUMMYFUNCTION("IF(B2597="""","""",IFERROR(VLOOKUP(TO_TEXT(B2597),PEDIDOS!D:I,6,0),IFERROR(VLOOKUP(B2597*1,PEDIDOS!D:I,6,0),"" "")))"),"ENTREGUE")</f>
        <v>ENTREGUE</v>
      </c>
      <c r="G2597" s="303"/>
      <c r="H2597" s="304"/>
    </row>
    <row r="2598">
      <c r="A2598" s="302" t="s">
        <v>91</v>
      </c>
      <c r="B2598" s="291" t="s">
        <v>14833</v>
      </c>
      <c r="C2598" s="292" t="s">
        <v>48</v>
      </c>
      <c r="D2598" s="293">
        <f t="shared" si="2"/>
        <v>1</v>
      </c>
      <c r="E2598" s="294"/>
      <c r="F2598" s="295" t="str">
        <f>IFERROR(__xludf.DUMMYFUNCTION("IF(B2598="""","""",IFERROR(VLOOKUP(TO_TEXT(B2598),PEDIDOS!D:I,6,0),IFERROR(VLOOKUP(B2598*1,PEDIDOS!D:I,6,0),"" "")))"),"ENTREGUE")</f>
        <v>ENTREGUE</v>
      </c>
      <c r="G2598" s="303"/>
      <c r="H2598" s="304"/>
    </row>
    <row r="2599">
      <c r="A2599" s="302" t="s">
        <v>91</v>
      </c>
      <c r="B2599" s="291" t="s">
        <v>14829</v>
      </c>
      <c r="C2599" s="292" t="s">
        <v>48</v>
      </c>
      <c r="D2599" s="293">
        <f t="shared" si="2"/>
        <v>1</v>
      </c>
      <c r="E2599" s="294"/>
      <c r="F2599" s="295" t="str">
        <f>IFERROR(__xludf.DUMMYFUNCTION("IF(B2599="""","""",IFERROR(VLOOKUP(TO_TEXT(B2599),PEDIDOS!D:I,6,0),IFERROR(VLOOKUP(B2599*1,PEDIDOS!D:I,6,0),"" "")))"),"ENTREGUE")</f>
        <v>ENTREGUE</v>
      </c>
      <c r="G2599" s="303"/>
      <c r="H2599" s="304"/>
    </row>
    <row r="2600">
      <c r="A2600" s="302" t="s">
        <v>91</v>
      </c>
      <c r="B2600" s="291" t="s">
        <v>15076</v>
      </c>
      <c r="C2600" s="292" t="s">
        <v>48</v>
      </c>
      <c r="D2600" s="293">
        <f t="shared" si="2"/>
        <v>1</v>
      </c>
      <c r="E2600" s="294"/>
      <c r="F2600" s="295" t="str">
        <f>IFERROR(__xludf.DUMMYFUNCTION("IF(B2600="""","""",IFERROR(VLOOKUP(TO_TEXT(B2600),PEDIDOS!D:I,6,0),IFERROR(VLOOKUP(B2600*1,PEDIDOS!D:I,6,0),"" "")))"),"ENTREGUE")</f>
        <v>ENTREGUE</v>
      </c>
      <c r="G2600" s="303"/>
      <c r="H2600" s="304"/>
    </row>
    <row r="2601">
      <c r="A2601" s="302" t="s">
        <v>91</v>
      </c>
      <c r="B2601" s="291" t="s">
        <v>14839</v>
      </c>
      <c r="C2601" s="292" t="s">
        <v>48</v>
      </c>
      <c r="D2601" s="293">
        <f t="shared" si="2"/>
        <v>1</v>
      </c>
      <c r="E2601" s="294"/>
      <c r="F2601" s="295" t="str">
        <f>IFERROR(__xludf.DUMMYFUNCTION("IF(B2601="""","""",IFERROR(VLOOKUP(TO_TEXT(B2601),PEDIDOS!D:I,6,0),IFERROR(VLOOKUP(B2601*1,PEDIDOS!D:I,6,0),"" "")))"),"ENTREGUE")</f>
        <v>ENTREGUE</v>
      </c>
      <c r="G2601" s="303"/>
      <c r="H2601" s="304"/>
    </row>
    <row r="2602">
      <c r="A2602" s="302" t="s">
        <v>91</v>
      </c>
      <c r="B2602" s="291" t="s">
        <v>13466</v>
      </c>
      <c r="C2602" s="292" t="s">
        <v>48</v>
      </c>
      <c r="D2602" s="293">
        <f t="shared" si="2"/>
        <v>1</v>
      </c>
      <c r="E2602" s="294"/>
      <c r="F2602" s="295" t="str">
        <f>IFERROR(__xludf.DUMMYFUNCTION("IF(B2602="""","""",IFERROR(VLOOKUP(TO_TEXT(B2602),PEDIDOS!D:I,6,0),IFERROR(VLOOKUP(B2602*1,PEDIDOS!D:I,6,0),"" "")))"),"ENTREGUE")</f>
        <v>ENTREGUE</v>
      </c>
      <c r="G2602" s="303"/>
      <c r="H2602" s="304"/>
    </row>
    <row r="2603">
      <c r="A2603" s="302" t="s">
        <v>91</v>
      </c>
      <c r="B2603" s="291" t="s">
        <v>16454</v>
      </c>
      <c r="C2603" s="292" t="s">
        <v>48</v>
      </c>
      <c r="D2603" s="293">
        <f t="shared" si="2"/>
        <v>1</v>
      </c>
      <c r="E2603" s="294"/>
      <c r="F2603" s="295" t="str">
        <f>IFERROR(__xludf.DUMMYFUNCTION("IF(B2603="""","""",IFERROR(VLOOKUP(TO_TEXT(B2603),PEDIDOS!D:I,6,0),IFERROR(VLOOKUP(B2603*1,PEDIDOS!D:I,6,0),"" "")))"),"ENTREGUE")</f>
        <v>ENTREGUE</v>
      </c>
      <c r="G2603" s="303"/>
      <c r="H2603" s="304"/>
    </row>
    <row r="2604">
      <c r="A2604" s="302" t="s">
        <v>91</v>
      </c>
      <c r="B2604" s="291" t="s">
        <v>13495</v>
      </c>
      <c r="C2604" s="292" t="s">
        <v>48</v>
      </c>
      <c r="D2604" s="293">
        <f t="shared" si="2"/>
        <v>1</v>
      </c>
      <c r="E2604" s="294"/>
      <c r="F2604" s="295" t="str">
        <f>IFERROR(__xludf.DUMMYFUNCTION("IF(B2604="""","""",IFERROR(VLOOKUP(TO_TEXT(B2604),PEDIDOS!D:I,6,0),IFERROR(VLOOKUP(B2604*1,PEDIDOS!D:I,6,0),"" "")))"),"ENTREGUE")</f>
        <v>ENTREGUE</v>
      </c>
      <c r="G2604" s="303"/>
      <c r="H2604" s="304"/>
    </row>
    <row r="2605">
      <c r="A2605" s="302" t="s">
        <v>91</v>
      </c>
      <c r="B2605" s="291" t="s">
        <v>15079</v>
      </c>
      <c r="C2605" s="292" t="s">
        <v>48</v>
      </c>
      <c r="D2605" s="293">
        <f t="shared" si="2"/>
        <v>1</v>
      </c>
      <c r="E2605" s="294"/>
      <c r="F2605" s="295" t="str">
        <f>IFERROR(__xludf.DUMMYFUNCTION("IF(B2605="""","""",IFERROR(VLOOKUP(TO_TEXT(B2605),PEDIDOS!D:I,6,0),IFERROR(VLOOKUP(B2605*1,PEDIDOS!D:I,6,0),"" "")))"),"ENTREGUE")</f>
        <v>ENTREGUE</v>
      </c>
      <c r="G2605" s="303"/>
      <c r="H2605" s="304"/>
    </row>
    <row r="2606">
      <c r="A2606" s="302" t="s">
        <v>91</v>
      </c>
      <c r="B2606" s="291" t="s">
        <v>13366</v>
      </c>
      <c r="C2606" s="292" t="s">
        <v>48</v>
      </c>
      <c r="D2606" s="293">
        <f t="shared" si="2"/>
        <v>1</v>
      </c>
      <c r="E2606" s="294"/>
      <c r="F2606" s="295" t="str">
        <f>IFERROR(__xludf.DUMMYFUNCTION("IF(B2606="""","""",IFERROR(VLOOKUP(TO_TEXT(B2606),PEDIDOS!D:I,6,0),IFERROR(VLOOKUP(B2606*1,PEDIDOS!D:I,6,0),"" "")))"),"ENTREGUE")</f>
        <v>ENTREGUE</v>
      </c>
      <c r="G2606" s="303"/>
      <c r="H2606" s="304"/>
    </row>
    <row r="2607">
      <c r="A2607" s="302" t="s">
        <v>91</v>
      </c>
      <c r="B2607" s="291" t="s">
        <v>13633</v>
      </c>
      <c r="C2607" s="292" t="s">
        <v>48</v>
      </c>
      <c r="D2607" s="293">
        <f t="shared" si="2"/>
        <v>1</v>
      </c>
      <c r="E2607" s="294"/>
      <c r="F2607" s="295" t="str">
        <f>IFERROR(__xludf.DUMMYFUNCTION("IF(B2607="""","""",IFERROR(VLOOKUP(TO_TEXT(B2607),PEDIDOS!D:I,6,0),IFERROR(VLOOKUP(B2607*1,PEDIDOS!D:I,6,0),"" "")))"),"ENTREGUE")</f>
        <v>ENTREGUE</v>
      </c>
      <c r="G2607" s="303"/>
      <c r="H2607" s="304"/>
    </row>
    <row r="2608">
      <c r="A2608" s="302" t="s">
        <v>91</v>
      </c>
      <c r="B2608" s="291" t="s">
        <v>13192</v>
      </c>
      <c r="C2608" s="292" t="s">
        <v>48</v>
      </c>
      <c r="D2608" s="293">
        <f t="shared" si="2"/>
        <v>1</v>
      </c>
      <c r="E2608" s="294"/>
      <c r="F2608" s="295" t="str">
        <f>IFERROR(__xludf.DUMMYFUNCTION("IF(B2608="""","""",IFERROR(VLOOKUP(TO_TEXT(B2608),PEDIDOS!D:I,6,0),IFERROR(VLOOKUP(B2608*1,PEDIDOS!D:I,6,0),"" "")))"),"ENTREGUE")</f>
        <v>ENTREGUE</v>
      </c>
      <c r="G2608" s="303"/>
      <c r="H2608" s="304"/>
    </row>
    <row r="2609">
      <c r="A2609" s="302" t="s">
        <v>91</v>
      </c>
      <c r="B2609" s="291" t="s">
        <v>15253</v>
      </c>
      <c r="C2609" s="292" t="s">
        <v>48</v>
      </c>
      <c r="D2609" s="293">
        <f t="shared" si="2"/>
        <v>1</v>
      </c>
      <c r="E2609" s="294"/>
      <c r="F2609" s="295" t="str">
        <f>IFERROR(__xludf.DUMMYFUNCTION("IF(B2609="""","""",IFERROR(VLOOKUP(TO_TEXT(B2609),PEDIDOS!D:I,6,0),IFERROR(VLOOKUP(B2609*1,PEDIDOS!D:I,6,0),"" "")))"),"ENTREGUE")</f>
        <v>ENTREGUE</v>
      </c>
      <c r="G2609" s="303"/>
      <c r="H2609" s="304"/>
    </row>
    <row r="2610">
      <c r="A2610" s="302" t="s">
        <v>91</v>
      </c>
      <c r="B2610" s="291" t="s">
        <v>15491</v>
      </c>
      <c r="C2610" s="292" t="s">
        <v>48</v>
      </c>
      <c r="D2610" s="293">
        <f t="shared" si="2"/>
        <v>1</v>
      </c>
      <c r="E2610" s="294"/>
      <c r="F2610" s="295" t="str">
        <f>IFERROR(__xludf.DUMMYFUNCTION("IF(B2610="""","""",IFERROR(VLOOKUP(TO_TEXT(B2610),PEDIDOS!D:I,6,0),IFERROR(VLOOKUP(B2610*1,PEDIDOS!D:I,6,0),"" "")))"),"ENTREGUE")</f>
        <v>ENTREGUE</v>
      </c>
      <c r="G2610" s="303"/>
      <c r="H2610" s="304"/>
    </row>
    <row r="2611">
      <c r="A2611" s="302" t="s">
        <v>91</v>
      </c>
      <c r="B2611" s="291" t="s">
        <v>15246</v>
      </c>
      <c r="C2611" s="292" t="s">
        <v>48</v>
      </c>
      <c r="D2611" s="293">
        <f t="shared" si="2"/>
        <v>1</v>
      </c>
      <c r="E2611" s="294"/>
      <c r="F2611" s="295" t="str">
        <f>IFERROR(__xludf.DUMMYFUNCTION("IF(B2611="""","""",IFERROR(VLOOKUP(TO_TEXT(B2611),PEDIDOS!D:I,6,0),IFERROR(VLOOKUP(B2611*1,PEDIDOS!D:I,6,0),"" "")))"),"ENTREGUE")</f>
        <v>ENTREGUE</v>
      </c>
      <c r="G2611" s="303"/>
      <c r="H2611" s="304"/>
    </row>
    <row r="2612">
      <c r="A2612" s="302" t="s">
        <v>91</v>
      </c>
      <c r="B2612" s="291" t="s">
        <v>15138</v>
      </c>
      <c r="C2612" s="292" t="s">
        <v>48</v>
      </c>
      <c r="D2612" s="293">
        <f t="shared" si="2"/>
        <v>1</v>
      </c>
      <c r="E2612" s="294"/>
      <c r="F2612" s="295" t="str">
        <f>IFERROR(__xludf.DUMMYFUNCTION("IF(B2612="""","""",IFERROR(VLOOKUP(TO_TEXT(B2612),PEDIDOS!D:I,6,0),IFERROR(VLOOKUP(B2612*1,PEDIDOS!D:I,6,0),"" "")))"),"ENTREGUE")</f>
        <v>ENTREGUE</v>
      </c>
      <c r="G2612" s="303"/>
      <c r="H2612" s="304"/>
    </row>
    <row r="2613">
      <c r="A2613" s="302" t="s">
        <v>91</v>
      </c>
      <c r="B2613" s="291" t="s">
        <v>13626</v>
      </c>
      <c r="C2613" s="292" t="s">
        <v>48</v>
      </c>
      <c r="D2613" s="293">
        <f t="shared" si="2"/>
        <v>1</v>
      </c>
      <c r="E2613" s="294"/>
      <c r="F2613" s="295" t="str">
        <f>IFERROR(__xludf.DUMMYFUNCTION("IF(B2613="""","""",IFERROR(VLOOKUP(TO_TEXT(B2613),PEDIDOS!D:I,6,0),IFERROR(VLOOKUP(B2613*1,PEDIDOS!D:I,6,0),"" "")))"),"ENTREGUE")</f>
        <v>ENTREGUE</v>
      </c>
      <c r="G2613" s="303"/>
      <c r="H2613" s="304"/>
    </row>
    <row r="2614">
      <c r="A2614" s="302" t="s">
        <v>91</v>
      </c>
      <c r="B2614" s="291" t="s">
        <v>13430</v>
      </c>
      <c r="C2614" s="292" t="s">
        <v>48</v>
      </c>
      <c r="D2614" s="293">
        <f t="shared" si="2"/>
        <v>1</v>
      </c>
      <c r="E2614" s="294"/>
      <c r="F2614" s="295" t="str">
        <f>IFERROR(__xludf.DUMMYFUNCTION("IF(B2614="""","""",IFERROR(VLOOKUP(TO_TEXT(B2614),PEDIDOS!D:I,6,0),IFERROR(VLOOKUP(B2614*1,PEDIDOS!D:I,6,0),"" "")))"),"ENTREGUE")</f>
        <v>ENTREGUE</v>
      </c>
      <c r="G2614" s="303"/>
      <c r="H2614" s="304"/>
    </row>
    <row r="2615">
      <c r="A2615" s="302" t="s">
        <v>91</v>
      </c>
      <c r="B2615" s="291" t="s">
        <v>14570</v>
      </c>
      <c r="C2615" s="292" t="s">
        <v>48</v>
      </c>
      <c r="D2615" s="293">
        <f t="shared" si="2"/>
        <v>1</v>
      </c>
      <c r="E2615" s="294"/>
      <c r="F2615" s="295" t="str">
        <f>IFERROR(__xludf.DUMMYFUNCTION("IF(B2615="""","""",IFERROR(VLOOKUP(TO_TEXT(B2615),PEDIDOS!D:I,6,0),IFERROR(VLOOKUP(B2615*1,PEDIDOS!D:I,6,0),"" "")))"),"ENTREGUE")</f>
        <v>ENTREGUE</v>
      </c>
      <c r="G2615" s="303"/>
      <c r="H2615" s="304"/>
    </row>
    <row r="2616">
      <c r="A2616" s="302" t="s">
        <v>3395</v>
      </c>
      <c r="B2616" s="291" t="s">
        <v>18889</v>
      </c>
      <c r="C2616" s="292" t="s">
        <v>48</v>
      </c>
      <c r="D2616" s="293">
        <f t="shared" si="2"/>
        <v>1</v>
      </c>
      <c r="E2616" s="294"/>
      <c r="F2616" s="295" t="str">
        <f>IFERROR(__xludf.DUMMYFUNCTION("IF(B2616="""","""",IFERROR(VLOOKUP(TO_TEXT(B2616),PEDIDOS!D:I,6,0),IFERROR(VLOOKUP(B2616*1,PEDIDOS!D:I,6,0),"" "")))"),"ENTREGUE")</f>
        <v>ENTREGUE</v>
      </c>
      <c r="G2616" s="303"/>
      <c r="H2616" s="304"/>
    </row>
    <row r="2617">
      <c r="A2617" s="302" t="s">
        <v>3395</v>
      </c>
      <c r="B2617" s="291" t="s">
        <v>18622</v>
      </c>
      <c r="C2617" s="292" t="s">
        <v>48</v>
      </c>
      <c r="D2617" s="293">
        <f t="shared" si="2"/>
        <v>1</v>
      </c>
      <c r="E2617" s="294"/>
      <c r="F2617" s="295" t="str">
        <f>IFERROR(__xludf.DUMMYFUNCTION("IF(B2617="""","""",IFERROR(VLOOKUP(TO_TEXT(B2617),PEDIDOS!D:I,6,0),IFERROR(VLOOKUP(B2617*1,PEDIDOS!D:I,6,0),"" "")))"),"ENTREGUE")</f>
        <v>ENTREGUE</v>
      </c>
      <c r="G2617" s="303"/>
      <c r="H2617" s="304"/>
    </row>
    <row r="2618">
      <c r="A2618" s="302" t="s">
        <v>3395</v>
      </c>
      <c r="B2618" s="291" t="s">
        <v>18063</v>
      </c>
      <c r="C2618" s="292" t="s">
        <v>48</v>
      </c>
      <c r="D2618" s="293">
        <f t="shared" si="2"/>
        <v>1</v>
      </c>
      <c r="E2618" s="294"/>
      <c r="F2618" s="295" t="str">
        <f>IFERROR(__xludf.DUMMYFUNCTION("IF(B2618="""","""",IFERROR(VLOOKUP(TO_TEXT(B2618),PEDIDOS!D:I,6,0),IFERROR(VLOOKUP(B2618*1,PEDIDOS!D:I,6,0),"" "")))"),"ENTREGUE")</f>
        <v>ENTREGUE</v>
      </c>
      <c r="G2618" s="303"/>
      <c r="H2618" s="304"/>
    </row>
    <row r="2619">
      <c r="A2619" s="302" t="s">
        <v>3395</v>
      </c>
      <c r="B2619" s="291" t="s">
        <v>19263</v>
      </c>
      <c r="C2619" s="292" t="s">
        <v>48</v>
      </c>
      <c r="D2619" s="293">
        <f t="shared" si="2"/>
        <v>1</v>
      </c>
      <c r="E2619" s="294"/>
      <c r="F2619" s="295" t="str">
        <f>IFERROR(__xludf.DUMMYFUNCTION("IF(B2619="""","""",IFERROR(VLOOKUP(TO_TEXT(B2619),PEDIDOS!D:I,6,0),IFERROR(VLOOKUP(B2619*1,PEDIDOS!D:I,6,0),"" "")))"),"ENTREGUE")</f>
        <v>ENTREGUE</v>
      </c>
      <c r="G2619" s="303"/>
      <c r="H2619" s="304"/>
    </row>
    <row r="2620">
      <c r="A2620" s="302" t="s">
        <v>3395</v>
      </c>
      <c r="B2620" s="291" t="s">
        <v>17936</v>
      </c>
      <c r="C2620" s="292" t="s">
        <v>48</v>
      </c>
      <c r="D2620" s="293">
        <f t="shared" si="2"/>
        <v>1</v>
      </c>
      <c r="E2620" s="294"/>
      <c r="F2620" s="295" t="str">
        <f>IFERROR(__xludf.DUMMYFUNCTION("IF(B2620="""","""",IFERROR(VLOOKUP(TO_TEXT(B2620),PEDIDOS!D:I,6,0),IFERROR(VLOOKUP(B2620*1,PEDIDOS!D:I,6,0),"" "")))"),"ENTREGUE")</f>
        <v>ENTREGUE</v>
      </c>
      <c r="G2620" s="303"/>
      <c r="H2620" s="304"/>
    </row>
    <row r="2621">
      <c r="A2621" s="302" t="s">
        <v>3395</v>
      </c>
      <c r="B2621" s="291" t="s">
        <v>17941</v>
      </c>
      <c r="C2621" s="292" t="s">
        <v>48</v>
      </c>
      <c r="D2621" s="293">
        <f t="shared" si="2"/>
        <v>1</v>
      </c>
      <c r="E2621" s="294"/>
      <c r="F2621" s="295" t="str">
        <f>IFERROR(__xludf.DUMMYFUNCTION("IF(B2621="""","""",IFERROR(VLOOKUP(TO_TEXT(B2621),PEDIDOS!D:I,6,0),IFERROR(VLOOKUP(B2621*1,PEDIDOS!D:I,6,0),"" "")))"),"ENTREGUE")</f>
        <v>ENTREGUE</v>
      </c>
      <c r="G2621" s="303"/>
      <c r="H2621" s="304"/>
    </row>
    <row r="2622">
      <c r="A2622" s="302" t="s">
        <v>3395</v>
      </c>
      <c r="B2622" s="291" t="s">
        <v>18214</v>
      </c>
      <c r="C2622" s="292" t="s">
        <v>48</v>
      </c>
      <c r="D2622" s="293">
        <f t="shared" si="2"/>
        <v>1</v>
      </c>
      <c r="E2622" s="294"/>
      <c r="F2622" s="295" t="str">
        <f>IFERROR(__xludf.DUMMYFUNCTION("IF(B2622="""","""",IFERROR(VLOOKUP(TO_TEXT(B2622),PEDIDOS!D:I,6,0),IFERROR(VLOOKUP(B2622*1,PEDIDOS!D:I,6,0),"" "")))"),"ENTREGUE")</f>
        <v>ENTREGUE</v>
      </c>
      <c r="G2622" s="303"/>
      <c r="H2622" s="304"/>
    </row>
    <row r="2623">
      <c r="A2623" s="302" t="s">
        <v>3395</v>
      </c>
      <c r="B2623" s="291" t="s">
        <v>18258</v>
      </c>
      <c r="C2623" s="292" t="s">
        <v>48</v>
      </c>
      <c r="D2623" s="293">
        <f t="shared" si="2"/>
        <v>1</v>
      </c>
      <c r="E2623" s="294"/>
      <c r="F2623" s="295" t="str">
        <f>IFERROR(__xludf.DUMMYFUNCTION("IF(B2623="""","""",IFERROR(VLOOKUP(TO_TEXT(B2623),PEDIDOS!D:I,6,0),IFERROR(VLOOKUP(B2623*1,PEDIDOS!D:I,6,0),"" "")))"),"ENTREGUE")</f>
        <v>ENTREGUE</v>
      </c>
      <c r="G2623" s="303"/>
      <c r="H2623" s="304"/>
    </row>
    <row r="2624">
      <c r="A2624" s="302" t="s">
        <v>3395</v>
      </c>
      <c r="B2624" s="291" t="s">
        <v>18302</v>
      </c>
      <c r="C2624" s="292" t="s">
        <v>48</v>
      </c>
      <c r="D2624" s="293">
        <f t="shared" si="2"/>
        <v>1</v>
      </c>
      <c r="E2624" s="294"/>
      <c r="F2624" s="295" t="str">
        <f>IFERROR(__xludf.DUMMYFUNCTION("IF(B2624="""","""",IFERROR(VLOOKUP(TO_TEXT(B2624),PEDIDOS!D:I,6,0),IFERROR(VLOOKUP(B2624*1,PEDIDOS!D:I,6,0),"" "")))"),"ENTREGUE")</f>
        <v>ENTREGUE</v>
      </c>
      <c r="G2624" s="303"/>
      <c r="H2624" s="304"/>
    </row>
    <row r="2625">
      <c r="A2625" s="302" t="s">
        <v>3395</v>
      </c>
      <c r="B2625" s="291" t="s">
        <v>18560</v>
      </c>
      <c r="C2625" s="292" t="s">
        <v>48</v>
      </c>
      <c r="D2625" s="293">
        <f t="shared" si="2"/>
        <v>1</v>
      </c>
      <c r="E2625" s="294"/>
      <c r="F2625" s="295" t="str">
        <f>IFERROR(__xludf.DUMMYFUNCTION("IF(B2625="""","""",IFERROR(VLOOKUP(TO_TEXT(B2625),PEDIDOS!D:I,6,0),IFERROR(VLOOKUP(B2625*1,PEDIDOS!D:I,6,0),"" "")))"),"ENTREGUE")</f>
        <v>ENTREGUE</v>
      </c>
      <c r="G2625" s="303"/>
      <c r="H2625" s="304"/>
    </row>
    <row r="2626">
      <c r="A2626" s="302" t="s">
        <v>3395</v>
      </c>
      <c r="B2626" s="291" t="s">
        <v>18565</v>
      </c>
      <c r="C2626" s="292" t="s">
        <v>48</v>
      </c>
      <c r="D2626" s="293">
        <f t="shared" si="2"/>
        <v>1</v>
      </c>
      <c r="E2626" s="294"/>
      <c r="F2626" s="295" t="str">
        <f>IFERROR(__xludf.DUMMYFUNCTION("IF(B2626="""","""",IFERROR(VLOOKUP(TO_TEXT(B2626),PEDIDOS!D:I,6,0),IFERROR(VLOOKUP(B2626*1,PEDIDOS!D:I,6,0),"" "")))"),"ENTREGUE")</f>
        <v>ENTREGUE</v>
      </c>
      <c r="G2626" s="303"/>
      <c r="H2626" s="304"/>
    </row>
    <row r="2627">
      <c r="A2627" s="302" t="s">
        <v>3395</v>
      </c>
      <c r="B2627" s="291" t="s">
        <v>19292</v>
      </c>
      <c r="C2627" s="292" t="s">
        <v>48</v>
      </c>
      <c r="D2627" s="293">
        <f t="shared" si="2"/>
        <v>1</v>
      </c>
      <c r="E2627" s="294"/>
      <c r="F2627" s="295" t="str">
        <f>IFERROR(__xludf.DUMMYFUNCTION("IF(B2627="""","""",IFERROR(VLOOKUP(TO_TEXT(B2627),PEDIDOS!D:I,6,0),IFERROR(VLOOKUP(B2627*1,PEDIDOS!D:I,6,0),"" "")))"),"ENTREGUE")</f>
        <v>ENTREGUE</v>
      </c>
      <c r="G2627" s="303"/>
      <c r="H2627" s="304"/>
    </row>
    <row r="2628">
      <c r="A2628" s="302" t="s">
        <v>3395</v>
      </c>
      <c r="B2628" s="291" t="s">
        <v>18457</v>
      </c>
      <c r="C2628" s="292" t="s">
        <v>48</v>
      </c>
      <c r="D2628" s="293">
        <f t="shared" si="2"/>
        <v>1</v>
      </c>
      <c r="E2628" s="294"/>
      <c r="F2628" s="295" t="str">
        <f>IFERROR(__xludf.DUMMYFUNCTION("IF(B2628="""","""",IFERROR(VLOOKUP(TO_TEXT(B2628),PEDIDOS!D:I,6,0),IFERROR(VLOOKUP(B2628*1,PEDIDOS!D:I,6,0),"" "")))"),"ENTREGUE")</f>
        <v>ENTREGUE</v>
      </c>
      <c r="G2628" s="303"/>
      <c r="H2628" s="304"/>
    </row>
    <row r="2629">
      <c r="A2629" s="302" t="s">
        <v>3395</v>
      </c>
      <c r="B2629" s="291" t="s">
        <v>18451</v>
      </c>
      <c r="C2629" s="292" t="s">
        <v>48</v>
      </c>
      <c r="D2629" s="293">
        <f t="shared" si="2"/>
        <v>1</v>
      </c>
      <c r="E2629" s="294"/>
      <c r="F2629" s="295" t="str">
        <f>IFERROR(__xludf.DUMMYFUNCTION("IF(B2629="""","""",IFERROR(VLOOKUP(TO_TEXT(B2629),PEDIDOS!D:I,6,0),IFERROR(VLOOKUP(B2629*1,PEDIDOS!D:I,6,0),"" "")))"),"ENTREGUE")</f>
        <v>ENTREGUE</v>
      </c>
      <c r="G2629" s="303"/>
      <c r="H2629" s="304"/>
    </row>
    <row r="2630">
      <c r="A2630" s="302" t="s">
        <v>3395</v>
      </c>
      <c r="B2630" s="291" t="s">
        <v>19288</v>
      </c>
      <c r="C2630" s="292" t="s">
        <v>48</v>
      </c>
      <c r="D2630" s="293">
        <f t="shared" si="2"/>
        <v>1</v>
      </c>
      <c r="E2630" s="294"/>
      <c r="F2630" s="295" t="str">
        <f>IFERROR(__xludf.DUMMYFUNCTION("IF(B2630="""","""",IFERROR(VLOOKUP(TO_TEXT(B2630),PEDIDOS!D:I,6,0),IFERROR(VLOOKUP(B2630*1,PEDIDOS!D:I,6,0),"" "")))"),"ENTREGUE")</f>
        <v>ENTREGUE</v>
      </c>
      <c r="G2630" s="303"/>
      <c r="H2630" s="304"/>
    </row>
    <row r="2631">
      <c r="A2631" s="302" t="s">
        <v>3441</v>
      </c>
      <c r="B2631" s="291" t="s">
        <v>18523</v>
      </c>
      <c r="C2631" s="292" t="s">
        <v>48</v>
      </c>
      <c r="D2631" s="293">
        <f t="shared" si="2"/>
        <v>1</v>
      </c>
      <c r="E2631" s="294"/>
      <c r="F2631" s="295" t="str">
        <f>IFERROR(__xludf.DUMMYFUNCTION("IF(B2631="""","""",IFERROR(VLOOKUP(TO_TEXT(B2631),PEDIDOS!D:I,6,0),IFERROR(VLOOKUP(B2631*1,PEDIDOS!D:I,6,0),"" "")))"),"ENTREGUE")</f>
        <v>ENTREGUE</v>
      </c>
      <c r="G2631" s="303"/>
      <c r="H2631" s="304" t="s">
        <v>15811</v>
      </c>
    </row>
    <row r="2632">
      <c r="A2632" s="302" t="s">
        <v>3441</v>
      </c>
      <c r="B2632" s="291" t="s">
        <v>19306</v>
      </c>
      <c r="C2632" s="292" t="s">
        <v>48</v>
      </c>
      <c r="D2632" s="293">
        <f t="shared" si="2"/>
        <v>1</v>
      </c>
      <c r="E2632" s="294"/>
      <c r="F2632" s="295" t="str">
        <f>IFERROR(__xludf.DUMMYFUNCTION("IF(B2632="""","""",IFERROR(VLOOKUP(TO_TEXT(B2632),PEDIDOS!D:I,6,0),IFERROR(VLOOKUP(B2632*1,PEDIDOS!D:I,6,0),"" "")))"),"ENTREGUE")</f>
        <v>ENTREGUE</v>
      </c>
      <c r="G2632" s="303"/>
      <c r="H2632" s="304" t="s">
        <v>15811</v>
      </c>
    </row>
    <row r="2633">
      <c r="A2633" s="302" t="s">
        <v>3441</v>
      </c>
      <c r="B2633" s="291" t="s">
        <v>19416</v>
      </c>
      <c r="C2633" s="292" t="s">
        <v>48</v>
      </c>
      <c r="D2633" s="293">
        <f t="shared" si="2"/>
        <v>1</v>
      </c>
      <c r="E2633" s="294"/>
      <c r="F2633" s="295" t="str">
        <f>IFERROR(__xludf.DUMMYFUNCTION("IF(B2633="""","""",IFERROR(VLOOKUP(TO_TEXT(B2633),PEDIDOS!D:I,6,0),IFERROR(VLOOKUP(B2633*1,PEDIDOS!D:I,6,0),"" "")))"),"ENTREGUE")</f>
        <v>ENTREGUE</v>
      </c>
      <c r="G2633" s="303"/>
      <c r="H2633" s="304" t="s">
        <v>15811</v>
      </c>
    </row>
    <row r="2634">
      <c r="A2634" s="302" t="s">
        <v>3441</v>
      </c>
      <c r="B2634" s="291" t="s">
        <v>15409</v>
      </c>
      <c r="C2634" s="292" t="s">
        <v>48</v>
      </c>
      <c r="D2634" s="293">
        <f t="shared" si="2"/>
        <v>1</v>
      </c>
      <c r="E2634" s="294"/>
      <c r="F2634" s="295" t="str">
        <f>IFERROR(__xludf.DUMMYFUNCTION("IF(B2634="""","""",IFERROR(VLOOKUP(TO_TEXT(B2634),PEDIDOS!D:I,6,0),IFERROR(VLOOKUP(B2634*1,PEDIDOS!D:I,6,0),"" "")))"),"ENTREGUE")</f>
        <v>ENTREGUE</v>
      </c>
      <c r="G2634" s="303"/>
      <c r="H2634" s="304"/>
    </row>
    <row r="2635">
      <c r="A2635" s="302" t="s">
        <v>3441</v>
      </c>
      <c r="B2635" s="291" t="s">
        <v>20362</v>
      </c>
      <c r="C2635" s="292" t="s">
        <v>48</v>
      </c>
      <c r="D2635" s="293">
        <f t="shared" si="2"/>
        <v>1</v>
      </c>
      <c r="E2635" s="294"/>
      <c r="F2635" s="295" t="str">
        <f>IFERROR(__xludf.DUMMYFUNCTION("IF(B2635="""","""",IFERROR(VLOOKUP(TO_TEXT(B2635),PEDIDOS!D:I,6,0),IFERROR(VLOOKUP(B2635*1,PEDIDOS!D:I,6,0),"" "")))"),"ENTREGUE")</f>
        <v>ENTREGUE</v>
      </c>
      <c r="G2635" s="303"/>
      <c r="H2635" s="304" t="s">
        <v>15811</v>
      </c>
    </row>
    <row r="2636">
      <c r="A2636" s="302" t="s">
        <v>3441</v>
      </c>
      <c r="B2636" s="291" t="s">
        <v>15236</v>
      </c>
      <c r="C2636" s="292" t="s">
        <v>48</v>
      </c>
      <c r="D2636" s="293">
        <f t="shared" si="2"/>
        <v>1</v>
      </c>
      <c r="E2636" s="294"/>
      <c r="F2636" s="295" t="str">
        <f>IFERROR(__xludf.DUMMYFUNCTION("IF(B2636="""","""",IFERROR(VLOOKUP(TO_TEXT(B2636),PEDIDOS!D:I,6,0),IFERROR(VLOOKUP(B2636*1,PEDIDOS!D:I,6,0),"" "")))"),"ENTREGUE")</f>
        <v>ENTREGUE</v>
      </c>
      <c r="G2636" s="303"/>
      <c r="H2636" s="304"/>
    </row>
    <row r="2637">
      <c r="A2637" s="302" t="s">
        <v>3441</v>
      </c>
      <c r="B2637" s="291" t="s">
        <v>15665</v>
      </c>
      <c r="C2637" s="292" t="s">
        <v>48</v>
      </c>
      <c r="D2637" s="293">
        <f t="shared" si="2"/>
        <v>1</v>
      </c>
      <c r="E2637" s="294"/>
      <c r="F2637" s="295" t="str">
        <f>IFERROR(__xludf.DUMMYFUNCTION("IF(B2637="""","""",IFERROR(VLOOKUP(TO_TEXT(B2637),PEDIDOS!D:I,6,0),IFERROR(VLOOKUP(B2637*1,PEDIDOS!D:I,6,0),"" "")))"),"ENTREGUE")</f>
        <v>ENTREGUE</v>
      </c>
      <c r="G2637" s="303"/>
      <c r="H2637" s="304"/>
    </row>
    <row r="2638">
      <c r="A2638" s="302" t="s">
        <v>3441</v>
      </c>
      <c r="B2638" s="291" t="s">
        <v>15557</v>
      </c>
      <c r="C2638" s="292" t="s">
        <v>48</v>
      </c>
      <c r="D2638" s="293">
        <f t="shared" si="2"/>
        <v>1</v>
      </c>
      <c r="E2638" s="294"/>
      <c r="F2638" s="295" t="str">
        <f>IFERROR(__xludf.DUMMYFUNCTION("IF(B2638="""","""",IFERROR(VLOOKUP(TO_TEXT(B2638),PEDIDOS!D:I,6,0),IFERROR(VLOOKUP(B2638*1,PEDIDOS!D:I,6,0),"" "")))"),"ENTREGUE")</f>
        <v>ENTREGUE</v>
      </c>
      <c r="G2638" s="303"/>
      <c r="H2638" s="304"/>
    </row>
    <row r="2639">
      <c r="A2639" s="302" t="s">
        <v>3441</v>
      </c>
      <c r="B2639" s="291" t="s">
        <v>20366</v>
      </c>
      <c r="C2639" s="292" t="s">
        <v>48</v>
      </c>
      <c r="D2639" s="293">
        <f t="shared" si="2"/>
        <v>1</v>
      </c>
      <c r="E2639" s="294"/>
      <c r="F2639" s="295" t="str">
        <f>IFERROR(__xludf.DUMMYFUNCTION("IF(B2639="""","""",IFERROR(VLOOKUP(TO_TEXT(B2639),PEDIDOS!D:I,6,0),IFERROR(VLOOKUP(B2639*1,PEDIDOS!D:I,6,0),"" "")))"),"ENTREGUE")</f>
        <v>ENTREGUE</v>
      </c>
      <c r="G2639" s="303"/>
      <c r="H2639" s="304" t="s">
        <v>15811</v>
      </c>
    </row>
    <row r="2640">
      <c r="A2640" s="302" t="s">
        <v>3441</v>
      </c>
      <c r="B2640" s="291" t="s">
        <v>21205</v>
      </c>
      <c r="C2640" s="292" t="s">
        <v>48</v>
      </c>
      <c r="D2640" s="293">
        <f t="shared" si="2"/>
        <v>1</v>
      </c>
      <c r="E2640" s="294"/>
      <c r="F2640" s="295" t="str">
        <f>IFERROR(__xludf.DUMMYFUNCTION("IF(B2640="""","""",IFERROR(VLOOKUP(TO_TEXT(B2640),PEDIDOS!D:I,6,0),IFERROR(VLOOKUP(B2640*1,PEDIDOS!D:I,6,0),"" "")))"),"ENTREGUE")</f>
        <v>ENTREGUE</v>
      </c>
      <c r="G2640" s="303"/>
      <c r="H2640" s="304" t="s">
        <v>15811</v>
      </c>
    </row>
    <row r="2641">
      <c r="A2641" s="302" t="s">
        <v>3441</v>
      </c>
      <c r="B2641" s="291" t="s">
        <v>21238</v>
      </c>
      <c r="C2641" s="292" t="s">
        <v>48</v>
      </c>
      <c r="D2641" s="293">
        <f t="shared" si="2"/>
        <v>1</v>
      </c>
      <c r="E2641" s="294"/>
      <c r="F2641" s="295" t="str">
        <f>IFERROR(__xludf.DUMMYFUNCTION("IF(B2641="""","""",IFERROR(VLOOKUP(TO_TEXT(B2641),PEDIDOS!D:I,6,0),IFERROR(VLOOKUP(B2641*1,PEDIDOS!D:I,6,0),"" "")))"),"ENTREGUE")</f>
        <v>ENTREGUE</v>
      </c>
      <c r="G2641" s="303"/>
      <c r="H2641" s="304" t="s">
        <v>15811</v>
      </c>
    </row>
    <row r="2642">
      <c r="A2642" s="302" t="s">
        <v>3441</v>
      </c>
      <c r="B2642" s="291" t="s">
        <v>21242</v>
      </c>
      <c r="C2642" s="292" t="s">
        <v>48</v>
      </c>
      <c r="D2642" s="293">
        <f t="shared" si="2"/>
        <v>1</v>
      </c>
      <c r="E2642" s="294"/>
      <c r="F2642" s="295" t="str">
        <f>IFERROR(__xludf.DUMMYFUNCTION("IF(B2642="""","""",IFERROR(VLOOKUP(TO_TEXT(B2642),PEDIDOS!D:I,6,0),IFERROR(VLOOKUP(B2642*1,PEDIDOS!D:I,6,0),"" "")))"),"ENTREGUE")</f>
        <v>ENTREGUE</v>
      </c>
      <c r="G2642" s="303"/>
      <c r="H2642" s="304" t="s">
        <v>15811</v>
      </c>
    </row>
    <row r="2643">
      <c r="A2643" s="302" t="s">
        <v>3441</v>
      </c>
      <c r="B2643" s="291" t="s">
        <v>15632</v>
      </c>
      <c r="C2643" s="292" t="s">
        <v>48</v>
      </c>
      <c r="D2643" s="293">
        <f t="shared" si="2"/>
        <v>1</v>
      </c>
      <c r="E2643" s="294"/>
      <c r="F2643" s="295" t="str">
        <f>IFERROR(__xludf.DUMMYFUNCTION("IF(B2643="""","""",IFERROR(VLOOKUP(TO_TEXT(B2643),PEDIDOS!D:I,6,0),IFERROR(VLOOKUP(B2643*1,PEDIDOS!D:I,6,0),"" "")))"),"ENTREGUE")</f>
        <v>ENTREGUE</v>
      </c>
      <c r="G2643" s="303"/>
      <c r="H2643" s="304"/>
    </row>
    <row r="2644">
      <c r="A2644" s="302" t="s">
        <v>3441</v>
      </c>
      <c r="B2644" s="291" t="s">
        <v>15561</v>
      </c>
      <c r="C2644" s="292" t="s">
        <v>48</v>
      </c>
      <c r="D2644" s="293">
        <f t="shared" si="2"/>
        <v>1</v>
      </c>
      <c r="E2644" s="294"/>
      <c r="F2644" s="295" t="str">
        <f>IFERROR(__xludf.DUMMYFUNCTION("IF(B2644="""","""",IFERROR(VLOOKUP(TO_TEXT(B2644),PEDIDOS!D:I,6,0),IFERROR(VLOOKUP(B2644*1,PEDIDOS!D:I,6,0),"" "")))"),"ENTREGUE")</f>
        <v>ENTREGUE</v>
      </c>
      <c r="G2644" s="303"/>
      <c r="H2644" s="304"/>
    </row>
    <row r="2645">
      <c r="A2645" s="302" t="s">
        <v>3441</v>
      </c>
      <c r="B2645" s="291" t="s">
        <v>15217</v>
      </c>
      <c r="C2645" s="292" t="s">
        <v>48</v>
      </c>
      <c r="D2645" s="293">
        <f t="shared" si="2"/>
        <v>1</v>
      </c>
      <c r="E2645" s="294"/>
      <c r="F2645" s="295" t="str">
        <f>IFERROR(__xludf.DUMMYFUNCTION("IF(B2645="""","""",IFERROR(VLOOKUP(TO_TEXT(B2645),PEDIDOS!D:I,6,0),IFERROR(VLOOKUP(B2645*1,PEDIDOS!D:I,6,0),"" "")))"),"ENTREGUE")</f>
        <v>ENTREGUE</v>
      </c>
      <c r="G2645" s="303"/>
      <c r="H2645" s="304"/>
    </row>
    <row r="2646">
      <c r="A2646" s="302" t="s">
        <v>72</v>
      </c>
      <c r="B2646" s="291" t="s">
        <v>14923</v>
      </c>
      <c r="C2646" s="292" t="s">
        <v>48</v>
      </c>
      <c r="D2646" s="293">
        <f t="shared" si="2"/>
        <v>1</v>
      </c>
      <c r="E2646" s="294"/>
      <c r="F2646" s="295" t="str">
        <f>IFERROR(__xludf.DUMMYFUNCTION("IF(B2646="""","""",IFERROR(VLOOKUP(TO_TEXT(B2646),PEDIDOS!D:I,6,0),IFERROR(VLOOKUP(B2646*1,PEDIDOS!D:I,6,0),"" "")))"),"ENTREGUE")</f>
        <v>ENTREGUE</v>
      </c>
      <c r="G2646" s="303"/>
      <c r="H2646" s="304"/>
    </row>
    <row r="2647">
      <c r="A2647" s="302" t="s">
        <v>72</v>
      </c>
      <c r="B2647" s="291" t="s">
        <v>15260</v>
      </c>
      <c r="C2647" s="292" t="s">
        <v>48</v>
      </c>
      <c r="D2647" s="293">
        <f t="shared" si="2"/>
        <v>1</v>
      </c>
      <c r="E2647" s="294"/>
      <c r="F2647" s="295" t="str">
        <f>IFERROR(__xludf.DUMMYFUNCTION("IF(B2647="""","""",IFERROR(VLOOKUP(TO_TEXT(B2647),PEDIDOS!D:I,6,0),IFERROR(VLOOKUP(B2647*1,PEDIDOS!D:I,6,0),"" "")))"),"ENTREGUE")</f>
        <v>ENTREGUE</v>
      </c>
      <c r="G2647" s="303"/>
      <c r="H2647" s="304"/>
    </row>
    <row r="2648">
      <c r="A2648" s="302" t="s">
        <v>72</v>
      </c>
      <c r="B2648" s="291" t="s">
        <v>15085</v>
      </c>
      <c r="C2648" s="292" t="s">
        <v>48</v>
      </c>
      <c r="D2648" s="293">
        <f t="shared" si="2"/>
        <v>1</v>
      </c>
      <c r="E2648" s="294"/>
      <c r="F2648" s="295" t="str">
        <f>IFERROR(__xludf.DUMMYFUNCTION("IF(B2648="""","""",IFERROR(VLOOKUP(TO_TEXT(B2648),PEDIDOS!D:I,6,0),IFERROR(VLOOKUP(B2648*1,PEDIDOS!D:I,6,0),"" "")))"),"ENTREGUE")</f>
        <v>ENTREGUE</v>
      </c>
      <c r="G2648" s="303"/>
      <c r="H2648" s="304"/>
    </row>
    <row r="2649">
      <c r="A2649" s="302" t="s">
        <v>72</v>
      </c>
      <c r="B2649" s="291" t="s">
        <v>15221</v>
      </c>
      <c r="C2649" s="292" t="s">
        <v>48</v>
      </c>
      <c r="D2649" s="293">
        <f t="shared" si="2"/>
        <v>1</v>
      </c>
      <c r="E2649" s="294"/>
      <c r="F2649" s="295" t="str">
        <f>IFERROR(__xludf.DUMMYFUNCTION("IF(B2649="""","""",IFERROR(VLOOKUP(TO_TEXT(B2649),PEDIDOS!D:I,6,0),IFERROR(VLOOKUP(B2649*1,PEDIDOS!D:I,6,0),"" "")))"),"ENTREGUE")</f>
        <v>ENTREGUE</v>
      </c>
      <c r="G2649" s="303"/>
      <c r="H2649" s="304"/>
    </row>
    <row r="2650">
      <c r="A2650" s="302" t="s">
        <v>72</v>
      </c>
      <c r="B2650" s="291" t="s">
        <v>15588</v>
      </c>
      <c r="C2650" s="292" t="s">
        <v>48</v>
      </c>
      <c r="D2650" s="293">
        <f t="shared" si="2"/>
        <v>1</v>
      </c>
      <c r="E2650" s="294"/>
      <c r="F2650" s="295" t="str">
        <f>IFERROR(__xludf.DUMMYFUNCTION("IF(B2650="""","""",IFERROR(VLOOKUP(TO_TEXT(B2650),PEDIDOS!D:I,6,0),IFERROR(VLOOKUP(B2650*1,PEDIDOS!D:I,6,0),"" "")))"),"ENTREGUE")</f>
        <v>ENTREGUE</v>
      </c>
      <c r="G2650" s="303"/>
      <c r="H2650" s="304"/>
    </row>
    <row r="2651">
      <c r="A2651" s="302" t="s">
        <v>72</v>
      </c>
      <c r="B2651" s="291" t="s">
        <v>14398</v>
      </c>
      <c r="C2651" s="292" t="s">
        <v>48</v>
      </c>
      <c r="D2651" s="293">
        <f t="shared" si="2"/>
        <v>1</v>
      </c>
      <c r="E2651" s="294"/>
      <c r="F2651" s="295" t="str">
        <f>IFERROR(__xludf.DUMMYFUNCTION("IF(B2651="""","""",IFERROR(VLOOKUP(TO_TEXT(B2651),PEDIDOS!D:I,6,0),IFERROR(VLOOKUP(B2651*1,PEDIDOS!D:I,6,0),"" "")))"),"ENTREGUE")</f>
        <v>ENTREGUE</v>
      </c>
      <c r="G2651" s="303"/>
      <c r="H2651" s="304"/>
    </row>
    <row r="2652">
      <c r="A2652" s="302" t="s">
        <v>72</v>
      </c>
      <c r="B2652" s="291" t="s">
        <v>15502</v>
      </c>
      <c r="C2652" s="292" t="s">
        <v>48</v>
      </c>
      <c r="D2652" s="293">
        <f t="shared" si="2"/>
        <v>1</v>
      </c>
      <c r="E2652" s="294"/>
      <c r="F2652" s="295" t="str">
        <f>IFERROR(__xludf.DUMMYFUNCTION("IF(B2652="""","""",IFERROR(VLOOKUP(TO_TEXT(B2652),PEDIDOS!D:I,6,0),IFERROR(VLOOKUP(B2652*1,PEDIDOS!D:I,6,0),"" "")))"),"ENTREGUE")</f>
        <v>ENTREGUE</v>
      </c>
      <c r="G2652" s="303"/>
      <c r="H2652" s="304"/>
    </row>
    <row r="2653">
      <c r="A2653" s="302" t="s">
        <v>72</v>
      </c>
      <c r="B2653" s="291" t="s">
        <v>14727</v>
      </c>
      <c r="C2653" s="292" t="s">
        <v>48</v>
      </c>
      <c r="D2653" s="293">
        <f t="shared" si="2"/>
        <v>1</v>
      </c>
      <c r="E2653" s="294"/>
      <c r="F2653" s="295" t="str">
        <f>IFERROR(__xludf.DUMMYFUNCTION("IF(B2653="""","""",IFERROR(VLOOKUP(TO_TEXT(B2653),PEDIDOS!D:I,6,0),IFERROR(VLOOKUP(B2653*1,PEDIDOS!D:I,6,0),"" "")))"),"ENTREGUE")</f>
        <v>ENTREGUE</v>
      </c>
      <c r="G2653" s="303"/>
      <c r="H2653" s="304"/>
    </row>
    <row r="2654">
      <c r="A2654" s="302" t="s">
        <v>72</v>
      </c>
      <c r="B2654" s="291" t="s">
        <v>15007</v>
      </c>
      <c r="C2654" s="292" t="s">
        <v>48</v>
      </c>
      <c r="D2654" s="293">
        <f t="shared" si="2"/>
        <v>1</v>
      </c>
      <c r="E2654" s="294"/>
      <c r="F2654" s="295" t="str">
        <f>IFERROR(__xludf.DUMMYFUNCTION("IF(B2654="""","""",IFERROR(VLOOKUP(TO_TEXT(B2654),PEDIDOS!D:I,6,0),IFERROR(VLOOKUP(B2654*1,PEDIDOS!D:I,6,0),"" "")))"),"ENTREGUE")</f>
        <v>ENTREGUE</v>
      </c>
      <c r="G2654" s="303"/>
      <c r="H2654" s="304"/>
    </row>
    <row r="2655">
      <c r="A2655" s="302" t="s">
        <v>72</v>
      </c>
      <c r="B2655" s="291" t="s">
        <v>14395</v>
      </c>
      <c r="C2655" s="292" t="s">
        <v>48</v>
      </c>
      <c r="D2655" s="293">
        <f t="shared" si="2"/>
        <v>1</v>
      </c>
      <c r="E2655" s="294"/>
      <c r="F2655" s="295" t="str">
        <f>IFERROR(__xludf.DUMMYFUNCTION("IF(B2655="""","""",IFERROR(VLOOKUP(TO_TEXT(B2655),PEDIDOS!D:I,6,0),IFERROR(VLOOKUP(B2655*1,PEDIDOS!D:I,6,0),"" "")))"),"ENTREGUE")</f>
        <v>ENTREGUE</v>
      </c>
      <c r="G2655" s="303"/>
      <c r="H2655" s="304"/>
    </row>
    <row r="2656">
      <c r="A2656" s="302" t="s">
        <v>72</v>
      </c>
      <c r="B2656" s="291" t="s">
        <v>14224</v>
      </c>
      <c r="C2656" s="292"/>
      <c r="D2656" s="293">
        <f t="shared" si="2"/>
        <v>1</v>
      </c>
      <c r="E2656" s="294"/>
      <c r="F2656" s="295" t="str">
        <f>IFERROR(__xludf.DUMMYFUNCTION("IF(B2656="""","""",IFERROR(VLOOKUP(TO_TEXT(B2656),PEDIDOS!D:I,6,0),IFERROR(VLOOKUP(B2656*1,PEDIDOS!D:I,6,0),"" "")))"),"ENTREGUE")</f>
        <v>ENTREGUE</v>
      </c>
      <c r="G2656" s="303"/>
      <c r="H2656" s="304"/>
    </row>
    <row r="2657">
      <c r="A2657" s="302" t="s">
        <v>72</v>
      </c>
      <c r="B2657" s="291" t="s">
        <v>14392</v>
      </c>
      <c r="C2657" s="292" t="s">
        <v>48</v>
      </c>
      <c r="D2657" s="293">
        <f t="shared" si="2"/>
        <v>1</v>
      </c>
      <c r="E2657" s="294"/>
      <c r="F2657" s="295" t="str">
        <f>IFERROR(__xludf.DUMMYFUNCTION("IF(B2657="""","""",IFERROR(VLOOKUP(TO_TEXT(B2657),PEDIDOS!D:I,6,0),IFERROR(VLOOKUP(B2657*1,PEDIDOS!D:I,6,0),"" "")))"),"ENTREGUE")</f>
        <v>ENTREGUE</v>
      </c>
      <c r="G2657" s="303"/>
      <c r="H2657" s="304"/>
    </row>
    <row r="2658">
      <c r="A2658" s="302" t="s">
        <v>72</v>
      </c>
      <c r="B2658" s="291" t="s">
        <v>15082</v>
      </c>
      <c r="C2658" s="292" t="s">
        <v>48</v>
      </c>
      <c r="D2658" s="293">
        <f t="shared" si="2"/>
        <v>1</v>
      </c>
      <c r="E2658" s="294"/>
      <c r="F2658" s="295" t="str">
        <f>IFERROR(__xludf.DUMMYFUNCTION("IF(B2658="""","""",IFERROR(VLOOKUP(TO_TEXT(B2658),PEDIDOS!D:I,6,0),IFERROR(VLOOKUP(B2658*1,PEDIDOS!D:I,6,0),"" "")))"),"ENTREGUE")</f>
        <v>ENTREGUE</v>
      </c>
      <c r="G2658" s="303"/>
      <c r="H2658" s="304"/>
    </row>
    <row r="2659">
      <c r="A2659" s="302" t="s">
        <v>72</v>
      </c>
      <c r="B2659" s="291" t="s">
        <v>15264</v>
      </c>
      <c r="C2659" s="292" t="s">
        <v>48</v>
      </c>
      <c r="D2659" s="293">
        <f t="shared" si="2"/>
        <v>1</v>
      </c>
      <c r="E2659" s="294"/>
      <c r="F2659" s="295" t="str">
        <f>IFERROR(__xludf.DUMMYFUNCTION("IF(B2659="""","""",IFERROR(VLOOKUP(TO_TEXT(B2659),PEDIDOS!D:I,6,0),IFERROR(VLOOKUP(B2659*1,PEDIDOS!D:I,6,0),"" "")))"),"ENTREGUE")</f>
        <v>ENTREGUE</v>
      </c>
      <c r="G2659" s="303"/>
      <c r="H2659" s="304"/>
    </row>
    <row r="2660">
      <c r="A2660" s="302" t="s">
        <v>72</v>
      </c>
      <c r="B2660" s="291" t="s">
        <v>15412</v>
      </c>
      <c r="C2660" s="292" t="s">
        <v>48</v>
      </c>
      <c r="D2660" s="293">
        <f t="shared" si="2"/>
        <v>1</v>
      </c>
      <c r="E2660" s="294"/>
      <c r="F2660" s="295" t="str">
        <f>IFERROR(__xludf.DUMMYFUNCTION("IF(B2660="""","""",IFERROR(VLOOKUP(TO_TEXT(B2660),PEDIDOS!D:I,6,0),IFERROR(VLOOKUP(B2660*1,PEDIDOS!D:I,6,0),"" "")))"),"ENTREGUE")</f>
        <v>ENTREGUE</v>
      </c>
      <c r="G2660" s="303"/>
      <c r="H2660" s="304"/>
    </row>
    <row r="2661">
      <c r="A2661" s="302" t="s">
        <v>72</v>
      </c>
      <c r="B2661" s="291" t="s">
        <v>14637</v>
      </c>
      <c r="C2661" s="292" t="s">
        <v>48</v>
      </c>
      <c r="D2661" s="293">
        <f t="shared" si="2"/>
        <v>1</v>
      </c>
      <c r="E2661" s="294"/>
      <c r="F2661" s="295" t="str">
        <f>IFERROR(__xludf.DUMMYFUNCTION("IF(B2661="""","""",IFERROR(VLOOKUP(TO_TEXT(B2661),PEDIDOS!D:I,6,0),IFERROR(VLOOKUP(B2661*1,PEDIDOS!D:I,6,0),"" "")))"),"ENTREGUE")</f>
        <v>ENTREGUE</v>
      </c>
      <c r="G2661" s="303"/>
      <c r="H2661" s="304"/>
    </row>
    <row r="2662">
      <c r="A2662" s="302" t="s">
        <v>72</v>
      </c>
      <c r="B2662" s="291" t="s">
        <v>14204</v>
      </c>
      <c r="C2662" s="292" t="s">
        <v>48</v>
      </c>
      <c r="D2662" s="293">
        <f t="shared" si="2"/>
        <v>1</v>
      </c>
      <c r="E2662" s="294"/>
      <c r="F2662" s="295" t="str">
        <f>IFERROR(__xludf.DUMMYFUNCTION("IF(B2662="""","""",IFERROR(VLOOKUP(TO_TEXT(B2662),PEDIDOS!D:I,6,0),IFERROR(VLOOKUP(B2662*1,PEDIDOS!D:I,6,0),"" "")))"),"ENTREGUE")</f>
        <v>ENTREGUE</v>
      </c>
      <c r="G2662" s="303"/>
      <c r="H2662" s="304"/>
    </row>
    <row r="2663">
      <c r="A2663" s="302" t="s">
        <v>72</v>
      </c>
      <c r="B2663" s="291" t="s">
        <v>14919</v>
      </c>
      <c r="C2663" s="292" t="s">
        <v>48</v>
      </c>
      <c r="D2663" s="293">
        <f t="shared" si="2"/>
        <v>1</v>
      </c>
      <c r="E2663" s="294"/>
      <c r="F2663" s="295" t="str">
        <f>IFERROR(__xludf.DUMMYFUNCTION("IF(B2663="""","""",IFERROR(VLOOKUP(TO_TEXT(B2663),PEDIDOS!D:I,6,0),IFERROR(VLOOKUP(B2663*1,PEDIDOS!D:I,6,0),"" "")))"),"ENTREGUE")</f>
        <v>ENTREGUE</v>
      </c>
      <c r="G2663" s="303"/>
      <c r="H2663" s="304"/>
    </row>
    <row r="2664">
      <c r="A2664" s="302" t="s">
        <v>72</v>
      </c>
      <c r="B2664" s="291" t="s">
        <v>14535</v>
      </c>
      <c r="C2664" s="292" t="s">
        <v>48</v>
      </c>
      <c r="D2664" s="293">
        <f t="shared" si="2"/>
        <v>1</v>
      </c>
      <c r="E2664" s="294"/>
      <c r="F2664" s="295" t="str">
        <f>IFERROR(__xludf.DUMMYFUNCTION("IF(B2664="""","""",IFERROR(VLOOKUP(TO_TEXT(B2664),PEDIDOS!D:I,6,0),IFERROR(VLOOKUP(B2664*1,PEDIDOS!D:I,6,0),"" "")))"),"ENTREGUE")</f>
        <v>ENTREGUE</v>
      </c>
      <c r="G2664" s="303"/>
      <c r="H2664" s="304"/>
    </row>
    <row r="2665">
      <c r="A2665" s="302" t="s">
        <v>72</v>
      </c>
      <c r="B2665" s="291" t="s">
        <v>15240</v>
      </c>
      <c r="C2665" s="292" t="s">
        <v>48</v>
      </c>
      <c r="D2665" s="293">
        <f t="shared" si="2"/>
        <v>1</v>
      </c>
      <c r="E2665" s="294"/>
      <c r="F2665" s="295" t="str">
        <f>IFERROR(__xludf.DUMMYFUNCTION("IF(B2665="""","""",IFERROR(VLOOKUP(TO_TEXT(B2665),PEDIDOS!D:I,6,0),IFERROR(VLOOKUP(B2665*1,PEDIDOS!D:I,6,0),"" "")))"),"ENTREGUE")</f>
        <v>ENTREGUE</v>
      </c>
      <c r="G2665" s="303"/>
      <c r="H2665" s="304"/>
    </row>
    <row r="2666">
      <c r="A2666" s="302" t="s">
        <v>72</v>
      </c>
      <c r="B2666" s="291" t="s">
        <v>15124</v>
      </c>
      <c r="C2666" s="292" t="s">
        <v>48</v>
      </c>
      <c r="D2666" s="293">
        <f t="shared" si="2"/>
        <v>1</v>
      </c>
      <c r="E2666" s="294"/>
      <c r="F2666" s="295" t="str">
        <f>IFERROR(__xludf.DUMMYFUNCTION("IF(B2666="""","""",IFERROR(VLOOKUP(TO_TEXT(B2666),PEDIDOS!D:I,6,0),IFERROR(VLOOKUP(B2666*1,PEDIDOS!D:I,6,0),"" "")))"),"ENTREGUE")</f>
        <v>ENTREGUE</v>
      </c>
      <c r="G2666" s="303"/>
      <c r="H2666" s="304"/>
    </row>
    <row r="2667">
      <c r="A2667" s="302" t="s">
        <v>72</v>
      </c>
      <c r="B2667" s="291" t="s">
        <v>15249</v>
      </c>
      <c r="C2667" s="292" t="s">
        <v>48</v>
      </c>
      <c r="D2667" s="293">
        <f t="shared" si="2"/>
        <v>1</v>
      </c>
      <c r="E2667" s="294"/>
      <c r="F2667" s="295" t="str">
        <f>IFERROR(__xludf.DUMMYFUNCTION("IF(B2667="""","""",IFERROR(VLOOKUP(TO_TEXT(B2667),PEDIDOS!D:I,6,0),IFERROR(VLOOKUP(B2667*1,PEDIDOS!D:I,6,0),"" "")))"),"ENTREGUE")</f>
        <v>ENTREGUE</v>
      </c>
      <c r="G2667" s="303"/>
      <c r="H2667" s="304"/>
    </row>
    <row r="2668">
      <c r="A2668" s="302" t="s">
        <v>72</v>
      </c>
      <c r="B2668" s="291" t="s">
        <v>15342</v>
      </c>
      <c r="C2668" s="292" t="s">
        <v>48</v>
      </c>
      <c r="D2668" s="293">
        <f t="shared" si="2"/>
        <v>1</v>
      </c>
      <c r="E2668" s="294"/>
      <c r="F2668" s="295" t="str">
        <f>IFERROR(__xludf.DUMMYFUNCTION("IF(B2668="""","""",IFERROR(VLOOKUP(TO_TEXT(B2668),PEDIDOS!D:I,6,0),IFERROR(VLOOKUP(B2668*1,PEDIDOS!D:I,6,0),"" "")))"),"ENTREGUE")</f>
        <v>ENTREGUE</v>
      </c>
      <c r="G2668" s="303"/>
      <c r="H2668" s="304"/>
    </row>
    <row r="2669">
      <c r="A2669" s="302" t="s">
        <v>72</v>
      </c>
      <c r="B2669" s="291" t="s">
        <v>14401</v>
      </c>
      <c r="C2669" s="292" t="s">
        <v>48</v>
      </c>
      <c r="D2669" s="293">
        <f t="shared" si="2"/>
        <v>1</v>
      </c>
      <c r="E2669" s="294"/>
      <c r="F2669" s="295" t="str">
        <f>IFERROR(__xludf.DUMMYFUNCTION("IF(B2669="""","""",IFERROR(VLOOKUP(TO_TEXT(B2669),PEDIDOS!D:I,6,0),IFERROR(VLOOKUP(B2669*1,PEDIDOS!D:I,6,0),"" "")))"),"ENTREGUE")</f>
        <v>ENTREGUE</v>
      </c>
      <c r="G2669" s="303"/>
      <c r="H2669" s="304"/>
    </row>
    <row r="2670">
      <c r="A2670" s="302" t="s">
        <v>72</v>
      </c>
      <c r="B2670" s="291" t="s">
        <v>15115</v>
      </c>
      <c r="C2670" s="292" t="s">
        <v>48</v>
      </c>
      <c r="D2670" s="293">
        <f t="shared" si="2"/>
        <v>1</v>
      </c>
      <c r="E2670" s="294"/>
      <c r="F2670" s="295" t="str">
        <f>IFERROR(__xludf.DUMMYFUNCTION("IF(B2670="""","""",IFERROR(VLOOKUP(TO_TEXT(B2670),PEDIDOS!D:I,6,0),IFERROR(VLOOKUP(B2670*1,PEDIDOS!D:I,6,0),"" "")))"),"ENTREGUE")</f>
        <v>ENTREGUE</v>
      </c>
      <c r="G2670" s="303"/>
      <c r="H2670" s="304"/>
    </row>
    <row r="2671">
      <c r="A2671" s="302" t="s">
        <v>72</v>
      </c>
      <c r="B2671" s="291" t="s">
        <v>14436</v>
      </c>
      <c r="C2671" s="292" t="s">
        <v>48</v>
      </c>
      <c r="D2671" s="293">
        <f t="shared" si="2"/>
        <v>1</v>
      </c>
      <c r="E2671" s="294"/>
      <c r="F2671" s="295" t="str">
        <f>IFERROR(__xludf.DUMMYFUNCTION("IF(B2671="""","""",IFERROR(VLOOKUP(TO_TEXT(B2671),PEDIDOS!D:I,6,0),IFERROR(VLOOKUP(B2671*1,PEDIDOS!D:I,6,0),"" "")))"),"ENTREGUE")</f>
        <v>ENTREGUE</v>
      </c>
      <c r="G2671" s="303"/>
      <c r="H2671" s="304"/>
    </row>
    <row r="2672">
      <c r="A2672" s="302" t="s">
        <v>72</v>
      </c>
      <c r="B2672" s="291" t="s">
        <v>14655</v>
      </c>
      <c r="C2672" s="292" t="s">
        <v>48</v>
      </c>
      <c r="D2672" s="293">
        <f t="shared" si="2"/>
        <v>1</v>
      </c>
      <c r="E2672" s="294"/>
      <c r="F2672" s="295" t="str">
        <f>IFERROR(__xludf.DUMMYFUNCTION("IF(B2672="""","""",IFERROR(VLOOKUP(TO_TEXT(B2672),PEDIDOS!D:I,6,0),IFERROR(VLOOKUP(B2672*1,PEDIDOS!D:I,6,0),"" "")))"),"ENTREGUE")</f>
        <v>ENTREGUE</v>
      </c>
      <c r="G2672" s="303"/>
      <c r="H2672" s="304"/>
    </row>
    <row r="2673">
      <c r="A2673" s="302" t="s">
        <v>72</v>
      </c>
      <c r="B2673" s="291" t="s">
        <v>14776</v>
      </c>
      <c r="C2673" s="292" t="s">
        <v>48</v>
      </c>
      <c r="D2673" s="293">
        <f t="shared" si="2"/>
        <v>1</v>
      </c>
      <c r="E2673" s="294"/>
      <c r="F2673" s="295" t="str">
        <f>IFERROR(__xludf.DUMMYFUNCTION("IF(B2673="""","""",IFERROR(VLOOKUP(TO_TEXT(B2673),PEDIDOS!D:I,6,0),IFERROR(VLOOKUP(B2673*1,PEDIDOS!D:I,6,0),"" "")))"),"ENTREGUE")</f>
        <v>ENTREGUE</v>
      </c>
      <c r="G2673" s="303"/>
      <c r="H2673" s="304"/>
    </row>
    <row r="2674">
      <c r="A2674" s="302" t="s">
        <v>72</v>
      </c>
      <c r="B2674" s="291" t="s">
        <v>15010</v>
      </c>
      <c r="C2674" s="292" t="s">
        <v>48</v>
      </c>
      <c r="D2674" s="293">
        <f t="shared" si="2"/>
        <v>1</v>
      </c>
      <c r="E2674" s="294"/>
      <c r="F2674" s="295" t="str">
        <f>IFERROR(__xludf.DUMMYFUNCTION("IF(B2674="""","""",IFERROR(VLOOKUP(TO_TEXT(B2674),PEDIDOS!D:I,6,0),IFERROR(VLOOKUP(B2674*1,PEDIDOS!D:I,6,0),"" "")))"),"ENTREGUE")</f>
        <v>ENTREGUE</v>
      </c>
      <c r="G2674" s="303"/>
      <c r="H2674" s="304"/>
    </row>
    <row r="2675">
      <c r="A2675" s="302" t="s">
        <v>72</v>
      </c>
      <c r="B2675" s="291" t="s">
        <v>14783</v>
      </c>
      <c r="C2675" s="292" t="s">
        <v>48</v>
      </c>
      <c r="D2675" s="293">
        <f t="shared" si="2"/>
        <v>1</v>
      </c>
      <c r="E2675" s="294"/>
      <c r="F2675" s="295" t="str">
        <f>IFERROR(__xludf.DUMMYFUNCTION("IF(B2675="""","""",IFERROR(VLOOKUP(TO_TEXT(B2675),PEDIDOS!D:I,6,0),IFERROR(VLOOKUP(B2675*1,PEDIDOS!D:I,6,0),"" "")))"),"ENTREGUE")</f>
        <v>ENTREGUE</v>
      </c>
      <c r="G2675" s="303"/>
      <c r="H2675" s="304"/>
    </row>
    <row r="2676">
      <c r="A2676" s="302" t="s">
        <v>85</v>
      </c>
      <c r="B2676" s="291" t="s">
        <v>18152</v>
      </c>
      <c r="C2676" s="292" t="s">
        <v>48</v>
      </c>
      <c r="D2676" s="293">
        <f t="shared" si="2"/>
        <v>1</v>
      </c>
      <c r="E2676" s="294"/>
      <c r="F2676" s="295" t="str">
        <f>IFERROR(__xludf.DUMMYFUNCTION("IF(B2676="""","""",IFERROR(VLOOKUP(TO_TEXT(B2676),PEDIDOS!D:I,6,0),IFERROR(VLOOKUP(B2676*1,PEDIDOS!D:I,6,0),"" "")))"),"ENTREGUE")</f>
        <v>ENTREGUE</v>
      </c>
      <c r="G2676" s="303"/>
      <c r="H2676" s="304"/>
    </row>
    <row r="2677">
      <c r="A2677" s="302" t="s">
        <v>85</v>
      </c>
      <c r="B2677" s="291" t="s">
        <v>18472</v>
      </c>
      <c r="C2677" s="292" t="s">
        <v>48</v>
      </c>
      <c r="D2677" s="293">
        <f t="shared" si="2"/>
        <v>1</v>
      </c>
      <c r="E2677" s="294"/>
      <c r="F2677" s="295" t="str">
        <f>IFERROR(__xludf.DUMMYFUNCTION("IF(B2677="""","""",IFERROR(VLOOKUP(TO_TEXT(B2677),PEDIDOS!D:I,6,0),IFERROR(VLOOKUP(B2677*1,PEDIDOS!D:I,6,0),"" "")))"),"ENTREGUE")</f>
        <v>ENTREGUE</v>
      </c>
      <c r="G2677" s="303"/>
      <c r="H2677" s="304"/>
    </row>
    <row r="2678">
      <c r="A2678" s="302" t="s">
        <v>85</v>
      </c>
      <c r="B2678" s="291" t="s">
        <v>18505</v>
      </c>
      <c r="C2678" s="292" t="s">
        <v>48</v>
      </c>
      <c r="D2678" s="293">
        <f t="shared" si="2"/>
        <v>1</v>
      </c>
      <c r="E2678" s="294"/>
      <c r="F2678" s="295" t="str">
        <f>IFERROR(__xludf.DUMMYFUNCTION("IF(B2678="""","""",IFERROR(VLOOKUP(TO_TEXT(B2678),PEDIDOS!D:I,6,0),IFERROR(VLOOKUP(B2678*1,PEDIDOS!D:I,6,0),"" "")))"),"ENTREGUE")</f>
        <v>ENTREGUE</v>
      </c>
      <c r="G2678" s="303"/>
      <c r="H2678" s="304"/>
    </row>
    <row r="2679">
      <c r="A2679" s="302" t="s">
        <v>85</v>
      </c>
      <c r="B2679" s="291" t="s">
        <v>18548</v>
      </c>
      <c r="C2679" s="292" t="s">
        <v>48</v>
      </c>
      <c r="D2679" s="293">
        <f t="shared" si="2"/>
        <v>1</v>
      </c>
      <c r="E2679" s="294"/>
      <c r="F2679" s="295" t="str">
        <f>IFERROR(__xludf.DUMMYFUNCTION("IF(B2679="""","""",IFERROR(VLOOKUP(TO_TEXT(B2679),PEDIDOS!D:I,6,0),IFERROR(VLOOKUP(B2679*1,PEDIDOS!D:I,6,0),"" "")))"),"ENTREGUE")</f>
        <v>ENTREGUE</v>
      </c>
      <c r="G2679" s="303"/>
      <c r="H2679" s="304"/>
    </row>
    <row r="2680">
      <c r="A2680" s="302" t="s">
        <v>85</v>
      </c>
      <c r="B2680" s="291" t="s">
        <v>18570</v>
      </c>
      <c r="C2680" s="292" t="s">
        <v>48</v>
      </c>
      <c r="D2680" s="293">
        <f t="shared" si="2"/>
        <v>1</v>
      </c>
      <c r="E2680" s="294"/>
      <c r="F2680" s="295" t="str">
        <f>IFERROR(__xludf.DUMMYFUNCTION("IF(B2680="""","""",IFERROR(VLOOKUP(TO_TEXT(B2680),PEDIDOS!D:I,6,0),IFERROR(VLOOKUP(B2680*1,PEDIDOS!D:I,6,0),"" "")))"),"ENTREGUE")</f>
        <v>ENTREGUE</v>
      </c>
      <c r="G2680" s="303"/>
      <c r="H2680" s="304"/>
    </row>
    <row r="2681">
      <c r="A2681" s="302" t="s">
        <v>85</v>
      </c>
      <c r="B2681" s="291" t="s">
        <v>17498</v>
      </c>
      <c r="C2681" s="292" t="s">
        <v>48</v>
      </c>
      <c r="D2681" s="293">
        <f t="shared" si="2"/>
        <v>1</v>
      </c>
      <c r="E2681" s="294"/>
      <c r="F2681" s="295" t="str">
        <f>IFERROR(__xludf.DUMMYFUNCTION("IF(B2681="""","""",IFERROR(VLOOKUP(TO_TEXT(B2681),PEDIDOS!D:I,6,0),IFERROR(VLOOKUP(B2681*1,PEDIDOS!D:I,6,0),"" "")))"),"ENTREGUE")</f>
        <v>ENTREGUE</v>
      </c>
      <c r="G2681" s="303"/>
      <c r="H2681" s="304"/>
    </row>
    <row r="2682">
      <c r="A2682" s="302" t="s">
        <v>85</v>
      </c>
      <c r="B2682" s="291" t="s">
        <v>18552</v>
      </c>
      <c r="C2682" s="292" t="s">
        <v>48</v>
      </c>
      <c r="D2682" s="293">
        <f t="shared" si="2"/>
        <v>1</v>
      </c>
      <c r="E2682" s="294"/>
      <c r="F2682" s="295" t="str">
        <f>IFERROR(__xludf.DUMMYFUNCTION("IF(B2682="""","""",IFERROR(VLOOKUP(TO_TEXT(B2682),PEDIDOS!D:I,6,0),IFERROR(VLOOKUP(B2682*1,PEDIDOS!D:I,6,0),"" "")))"),"ENTREGUE")</f>
        <v>ENTREGUE</v>
      </c>
      <c r="G2682" s="303"/>
      <c r="H2682" s="304"/>
    </row>
    <row r="2683">
      <c r="A2683" s="302" t="s">
        <v>85</v>
      </c>
      <c r="B2683" s="291" t="s">
        <v>18556</v>
      </c>
      <c r="C2683" s="292" t="s">
        <v>48</v>
      </c>
      <c r="D2683" s="293">
        <f t="shared" si="2"/>
        <v>1</v>
      </c>
      <c r="E2683" s="294"/>
      <c r="F2683" s="295" t="str">
        <f>IFERROR(__xludf.DUMMYFUNCTION("IF(B2683="""","""",IFERROR(VLOOKUP(TO_TEXT(B2683),PEDIDOS!D:I,6,0),IFERROR(VLOOKUP(B2683*1,PEDIDOS!D:I,6,0),"" "")))"),"ENTREGUE")</f>
        <v>ENTREGUE</v>
      </c>
      <c r="G2683" s="303"/>
      <c r="H2683" s="304"/>
    </row>
    <row r="2684">
      <c r="A2684" s="302" t="s">
        <v>85</v>
      </c>
      <c r="B2684" s="291" t="s">
        <v>20652</v>
      </c>
      <c r="C2684" s="292" t="s">
        <v>48</v>
      </c>
      <c r="D2684" s="293">
        <f t="shared" si="2"/>
        <v>1</v>
      </c>
      <c r="E2684" s="294"/>
      <c r="F2684" s="295" t="str">
        <f>IFERROR(__xludf.DUMMYFUNCTION("IF(B2684="""","""",IFERROR(VLOOKUP(TO_TEXT(B2684),PEDIDOS!D:I,6,0),IFERROR(VLOOKUP(B2684*1,PEDIDOS!D:I,6,0),"" "")))"),"ENTREGUE")</f>
        <v>ENTREGUE</v>
      </c>
      <c r="G2684" s="303"/>
      <c r="H2684" s="304"/>
    </row>
    <row r="2685">
      <c r="A2685" s="302" t="s">
        <v>85</v>
      </c>
      <c r="B2685" s="291" t="s">
        <v>19185</v>
      </c>
      <c r="C2685" s="292" t="s">
        <v>48</v>
      </c>
      <c r="D2685" s="293">
        <f t="shared" si="2"/>
        <v>1</v>
      </c>
      <c r="E2685" s="294"/>
      <c r="F2685" s="295" t="str">
        <f>IFERROR(__xludf.DUMMYFUNCTION("IF(B2685="""","""",IFERROR(VLOOKUP(TO_TEXT(B2685),PEDIDOS!D:I,6,0),IFERROR(VLOOKUP(B2685*1,PEDIDOS!D:I,6,0),"" "")))"),"ENTREGUE")</f>
        <v>ENTREGUE</v>
      </c>
      <c r="G2685" s="303"/>
      <c r="H2685" s="304"/>
    </row>
    <row r="2686">
      <c r="A2686" s="302" t="s">
        <v>85</v>
      </c>
      <c r="B2686" s="291" t="s">
        <v>19994</v>
      </c>
      <c r="C2686" s="292" t="s">
        <v>48</v>
      </c>
      <c r="D2686" s="293">
        <f t="shared" si="2"/>
        <v>1</v>
      </c>
      <c r="E2686" s="294"/>
      <c r="F2686" s="295" t="str">
        <f>IFERROR(__xludf.DUMMYFUNCTION("IF(B2686="""","""",IFERROR(VLOOKUP(TO_TEXT(B2686),PEDIDOS!D:I,6,0),IFERROR(VLOOKUP(B2686*1,PEDIDOS!D:I,6,0),"" "")))"),"ENTREGUE")</f>
        <v>ENTREGUE</v>
      </c>
      <c r="G2686" s="303"/>
      <c r="H2686" s="304"/>
    </row>
    <row r="2687">
      <c r="A2687" s="302" t="s">
        <v>85</v>
      </c>
      <c r="B2687" s="291" t="s">
        <v>19990</v>
      </c>
      <c r="C2687" s="292" t="s">
        <v>48</v>
      </c>
      <c r="D2687" s="293">
        <f t="shared" si="2"/>
        <v>1</v>
      </c>
      <c r="E2687" s="294"/>
      <c r="F2687" s="295" t="str">
        <f>IFERROR(__xludf.DUMMYFUNCTION("IF(B2687="""","""",IFERROR(VLOOKUP(TO_TEXT(B2687),PEDIDOS!D:I,6,0),IFERROR(VLOOKUP(B2687*1,PEDIDOS!D:I,6,0),"" "")))"),"ENTREGUE")</f>
        <v>ENTREGUE</v>
      </c>
      <c r="G2687" s="303"/>
      <c r="H2687" s="304"/>
    </row>
    <row r="2688">
      <c r="A2688" s="302" t="s">
        <v>85</v>
      </c>
      <c r="B2688" s="291" t="s">
        <v>13898</v>
      </c>
      <c r="C2688" s="292" t="s">
        <v>48</v>
      </c>
      <c r="D2688" s="293">
        <f t="shared" si="2"/>
        <v>1</v>
      </c>
      <c r="E2688" s="294"/>
      <c r="F2688" s="295" t="str">
        <f>IFERROR(__xludf.DUMMYFUNCTION("IF(B2688="""","""",IFERROR(VLOOKUP(TO_TEXT(B2688),PEDIDOS!D:I,6,0),IFERROR(VLOOKUP(B2688*1,PEDIDOS!D:I,6,0),"" "")))"),"ENTREGUE")</f>
        <v>ENTREGUE</v>
      </c>
      <c r="G2688" s="303"/>
      <c r="H2688" s="304"/>
    </row>
    <row r="2689">
      <c r="A2689" s="302" t="s">
        <v>85</v>
      </c>
      <c r="B2689" s="291" t="s">
        <v>18759</v>
      </c>
      <c r="C2689" s="292" t="s">
        <v>48</v>
      </c>
      <c r="D2689" s="293">
        <f t="shared" si="2"/>
        <v>1</v>
      </c>
      <c r="E2689" s="294"/>
      <c r="F2689" s="295" t="str">
        <f>IFERROR(__xludf.DUMMYFUNCTION("IF(B2689="""","""",IFERROR(VLOOKUP(TO_TEXT(B2689),PEDIDOS!D:I,6,0),IFERROR(VLOOKUP(B2689*1,PEDIDOS!D:I,6,0),"" "")))"),"ENTREGUE")</f>
        <v>ENTREGUE</v>
      </c>
      <c r="G2689" s="303"/>
      <c r="H2689" s="304"/>
    </row>
    <row r="2690">
      <c r="A2690" s="302" t="s">
        <v>85</v>
      </c>
      <c r="B2690" s="291" t="s">
        <v>16975</v>
      </c>
      <c r="C2690" s="292" t="s">
        <v>48</v>
      </c>
      <c r="D2690" s="293">
        <f t="shared" si="2"/>
        <v>1</v>
      </c>
      <c r="E2690" s="294"/>
      <c r="F2690" s="295" t="str">
        <f>IFERROR(__xludf.DUMMYFUNCTION("IF(B2690="""","""",IFERROR(VLOOKUP(TO_TEXT(B2690),PEDIDOS!D:I,6,0),IFERROR(VLOOKUP(B2690*1,PEDIDOS!D:I,6,0),"" "")))"),"ENTREGUE")</f>
        <v>ENTREGUE</v>
      </c>
      <c r="G2690" s="303"/>
      <c r="H2690" s="304"/>
    </row>
    <row r="2691">
      <c r="A2691" s="302" t="s">
        <v>85</v>
      </c>
      <c r="B2691" s="291" t="s">
        <v>15511</v>
      </c>
      <c r="C2691" s="292" t="s">
        <v>48</v>
      </c>
      <c r="D2691" s="293">
        <f t="shared" si="2"/>
        <v>1</v>
      </c>
      <c r="E2691" s="294"/>
      <c r="F2691" s="295" t="str">
        <f>IFERROR(__xludf.DUMMYFUNCTION("IF(B2691="""","""",IFERROR(VLOOKUP(TO_TEXT(B2691),PEDIDOS!D:I,6,0),IFERROR(VLOOKUP(B2691*1,PEDIDOS!D:I,6,0),"" "")))"),"ENTREGUE")</f>
        <v>ENTREGUE</v>
      </c>
      <c r="G2691" s="303"/>
      <c r="H2691" s="304"/>
    </row>
    <row r="2692">
      <c r="A2692" s="302" t="s">
        <v>85</v>
      </c>
      <c r="B2692" s="291" t="s">
        <v>18943</v>
      </c>
      <c r="C2692" s="292" t="s">
        <v>48</v>
      </c>
      <c r="D2692" s="293">
        <f t="shared" si="2"/>
        <v>1</v>
      </c>
      <c r="E2692" s="294"/>
      <c r="F2692" s="295" t="str">
        <f>IFERROR(__xludf.DUMMYFUNCTION("IF(B2692="""","""",IFERROR(VLOOKUP(TO_TEXT(B2692),PEDIDOS!D:I,6,0),IFERROR(VLOOKUP(B2692*1,PEDIDOS!D:I,6,0),"" "")))"),"ENTREGUE")</f>
        <v>ENTREGUE</v>
      </c>
      <c r="G2692" s="303"/>
      <c r="H2692" s="304"/>
    </row>
    <row r="2693">
      <c r="A2693" s="302" t="s">
        <v>85</v>
      </c>
      <c r="B2693" s="291" t="s">
        <v>14865</v>
      </c>
      <c r="C2693" s="292" t="s">
        <v>48</v>
      </c>
      <c r="D2693" s="293">
        <f t="shared" si="2"/>
        <v>1</v>
      </c>
      <c r="E2693" s="294"/>
      <c r="F2693" s="295" t="str">
        <f>IFERROR(__xludf.DUMMYFUNCTION("IF(B2693="""","""",IFERROR(VLOOKUP(TO_TEXT(B2693),PEDIDOS!D:I,6,0),IFERROR(VLOOKUP(B2693*1,PEDIDOS!D:I,6,0),"" "")))"),"ENTREGUE")</f>
        <v>ENTREGUE</v>
      </c>
      <c r="G2693" s="303"/>
      <c r="H2693" s="304"/>
    </row>
    <row r="2694">
      <c r="A2694" s="302" t="s">
        <v>85</v>
      </c>
      <c r="B2694" s="291" t="s">
        <v>18964</v>
      </c>
      <c r="C2694" s="292" t="s">
        <v>48</v>
      </c>
      <c r="D2694" s="293">
        <f t="shared" si="2"/>
        <v>1</v>
      </c>
      <c r="E2694" s="294"/>
      <c r="F2694" s="295" t="str">
        <f>IFERROR(__xludf.DUMMYFUNCTION("IF(B2694="""","""",IFERROR(VLOOKUP(TO_TEXT(B2694),PEDIDOS!D:I,6,0),IFERROR(VLOOKUP(B2694*1,PEDIDOS!D:I,6,0),"" "")))"),"ENTREGUE")</f>
        <v>ENTREGUE</v>
      </c>
      <c r="G2694" s="303"/>
      <c r="H2694" s="304"/>
    </row>
    <row r="2695">
      <c r="A2695" s="302" t="s">
        <v>85</v>
      </c>
      <c r="B2695" s="291" t="s">
        <v>19405</v>
      </c>
      <c r="C2695" s="292" t="s">
        <v>48</v>
      </c>
      <c r="D2695" s="293">
        <f t="shared" si="2"/>
        <v>1</v>
      </c>
      <c r="E2695" s="294"/>
      <c r="F2695" s="295" t="str">
        <f>IFERROR(__xludf.DUMMYFUNCTION("IF(B2695="""","""",IFERROR(VLOOKUP(TO_TEXT(B2695),PEDIDOS!D:I,6,0),IFERROR(VLOOKUP(B2695*1,PEDIDOS!D:I,6,0),"" "")))"),"ENTREGUE")</f>
        <v>ENTREGUE</v>
      </c>
      <c r="G2695" s="303"/>
      <c r="H2695" s="304"/>
    </row>
    <row r="2696">
      <c r="A2696" s="302" t="s">
        <v>91</v>
      </c>
      <c r="B2696" s="291" t="s">
        <v>14900</v>
      </c>
      <c r="C2696" s="292" t="s">
        <v>48</v>
      </c>
      <c r="D2696" s="293">
        <f t="shared" si="2"/>
        <v>1</v>
      </c>
      <c r="E2696" s="294"/>
      <c r="F2696" s="295" t="str">
        <f>IFERROR(__xludf.DUMMYFUNCTION("IF(B2696="""","""",IFERROR(VLOOKUP(TO_TEXT(B2696),PEDIDOS!D:I,6,0),IFERROR(VLOOKUP(B2696*1,PEDIDOS!D:I,6,0),"" "")))"),"ENTREGUE")</f>
        <v>ENTREGUE</v>
      </c>
      <c r="G2696" s="303"/>
      <c r="H2696" s="304"/>
    </row>
    <row r="2697">
      <c r="A2697" s="302" t="s">
        <v>91</v>
      </c>
      <c r="B2697" s="291" t="s">
        <v>16784</v>
      </c>
      <c r="C2697" s="292" t="s">
        <v>48</v>
      </c>
      <c r="D2697" s="293">
        <f t="shared" si="2"/>
        <v>1</v>
      </c>
      <c r="E2697" s="294"/>
      <c r="F2697" s="295" t="str">
        <f>IFERROR(__xludf.DUMMYFUNCTION("IF(B2697="""","""",IFERROR(VLOOKUP(TO_TEXT(B2697),PEDIDOS!D:I,6,0),IFERROR(VLOOKUP(B2697*1,PEDIDOS!D:I,6,0),"" "")))"),"ENTREGUE")</f>
        <v>ENTREGUE</v>
      </c>
      <c r="G2697" s="303"/>
      <c r="H2697" s="304" t="s">
        <v>15811</v>
      </c>
    </row>
    <row r="2698">
      <c r="A2698" s="302" t="s">
        <v>91</v>
      </c>
      <c r="B2698" s="291" t="s">
        <v>17548</v>
      </c>
      <c r="C2698" s="292" t="s">
        <v>48</v>
      </c>
      <c r="D2698" s="293">
        <f t="shared" si="2"/>
        <v>1</v>
      </c>
      <c r="E2698" s="294"/>
      <c r="F2698" s="295" t="str">
        <f>IFERROR(__xludf.DUMMYFUNCTION("IF(B2698="""","""",IFERROR(VLOOKUP(TO_TEXT(B2698),PEDIDOS!D:I,6,0),IFERROR(VLOOKUP(B2698*1,PEDIDOS!D:I,6,0),"" "")))"),"ENTREGUE")</f>
        <v>ENTREGUE</v>
      </c>
      <c r="G2698" s="303"/>
      <c r="H2698" s="304" t="s">
        <v>15811</v>
      </c>
    </row>
    <row r="2699">
      <c r="A2699" s="302" t="s">
        <v>91</v>
      </c>
      <c r="B2699" s="291" t="s">
        <v>17665</v>
      </c>
      <c r="C2699" s="292" t="s">
        <v>48</v>
      </c>
      <c r="D2699" s="293">
        <f t="shared" si="2"/>
        <v>1</v>
      </c>
      <c r="E2699" s="294"/>
      <c r="F2699" s="295" t="str">
        <f>IFERROR(__xludf.DUMMYFUNCTION("IF(B2699="""","""",IFERROR(VLOOKUP(TO_TEXT(B2699),PEDIDOS!D:I,6,0),IFERROR(VLOOKUP(B2699*1,PEDIDOS!D:I,6,0),"" "")))"),"ENTREGUE")</f>
        <v>ENTREGUE</v>
      </c>
      <c r="G2699" s="303"/>
      <c r="H2699" s="304" t="s">
        <v>15811</v>
      </c>
    </row>
    <row r="2700">
      <c r="A2700" s="302" t="s">
        <v>91</v>
      </c>
      <c r="B2700" s="291" t="s">
        <v>14755</v>
      </c>
      <c r="C2700" s="292" t="s">
        <v>48</v>
      </c>
      <c r="D2700" s="293">
        <f t="shared" si="2"/>
        <v>1</v>
      </c>
      <c r="E2700" s="294"/>
      <c r="F2700" s="295" t="str">
        <f>IFERROR(__xludf.DUMMYFUNCTION("IF(B2700="""","""",IFERROR(VLOOKUP(TO_TEXT(B2700),PEDIDOS!D:I,6,0),IFERROR(VLOOKUP(B2700*1,PEDIDOS!D:I,6,0),"" "")))"),"ENTREGUE")</f>
        <v>ENTREGUE</v>
      </c>
      <c r="G2700" s="303"/>
      <c r="H2700" s="304"/>
    </row>
    <row r="2701">
      <c r="A2701" s="302" t="s">
        <v>91</v>
      </c>
      <c r="B2701" s="291" t="s">
        <v>17851</v>
      </c>
      <c r="C2701" s="292" t="s">
        <v>48</v>
      </c>
      <c r="D2701" s="293">
        <f t="shared" si="2"/>
        <v>1</v>
      </c>
      <c r="E2701" s="294"/>
      <c r="F2701" s="295" t="str">
        <f>IFERROR(__xludf.DUMMYFUNCTION("IF(B2701="""","""",IFERROR(VLOOKUP(TO_TEXT(B2701),PEDIDOS!D:I,6,0),IFERROR(VLOOKUP(B2701*1,PEDIDOS!D:I,6,0),"" "")))"),"ENTREGUE")</f>
        <v>ENTREGUE</v>
      </c>
      <c r="G2701" s="303"/>
      <c r="H2701" s="304" t="s">
        <v>15811</v>
      </c>
    </row>
    <row r="2702">
      <c r="A2702" s="302" t="s">
        <v>91</v>
      </c>
      <c r="B2702" s="291" t="s">
        <v>20383</v>
      </c>
      <c r="C2702" s="292" t="s">
        <v>48</v>
      </c>
      <c r="D2702" s="293">
        <f t="shared" si="2"/>
        <v>1</v>
      </c>
      <c r="E2702" s="294"/>
      <c r="F2702" s="295" t="str">
        <f>IFERROR(__xludf.DUMMYFUNCTION("IF(B2702="""","""",IFERROR(VLOOKUP(TO_TEXT(B2702),PEDIDOS!D:I,6,0),IFERROR(VLOOKUP(B2702*1,PEDIDOS!D:I,6,0),"" "")))"),"ENTREGUE")</f>
        <v>ENTREGUE</v>
      </c>
      <c r="G2702" s="303"/>
      <c r="H2702" s="304" t="s">
        <v>15811</v>
      </c>
    </row>
    <row r="2703">
      <c r="A2703" s="302" t="s">
        <v>91</v>
      </c>
      <c r="B2703" s="291" t="s">
        <v>15276</v>
      </c>
      <c r="C2703" s="292" t="s">
        <v>48</v>
      </c>
      <c r="D2703" s="293">
        <f t="shared" si="2"/>
        <v>1</v>
      </c>
      <c r="E2703" s="294"/>
      <c r="F2703" s="295" t="str">
        <f>IFERROR(__xludf.DUMMYFUNCTION("IF(B2703="""","""",IFERROR(VLOOKUP(TO_TEXT(B2703),PEDIDOS!D:I,6,0),IFERROR(VLOOKUP(B2703*1,PEDIDOS!D:I,6,0),"" "")))"),"ENTREGUE")</f>
        <v>ENTREGUE</v>
      </c>
      <c r="G2703" s="303"/>
      <c r="H2703" s="304"/>
    </row>
    <row r="2704">
      <c r="A2704" s="302" t="s">
        <v>91</v>
      </c>
      <c r="B2704" s="291" t="s">
        <v>21335</v>
      </c>
      <c r="C2704" s="292" t="s">
        <v>48</v>
      </c>
      <c r="D2704" s="293">
        <f t="shared" si="2"/>
        <v>1</v>
      </c>
      <c r="E2704" s="294"/>
      <c r="F2704" s="295" t="str">
        <f>IFERROR(__xludf.DUMMYFUNCTION("IF(B2704="""","""",IFERROR(VLOOKUP(TO_TEXT(B2704),PEDIDOS!D:I,6,0),IFERROR(VLOOKUP(B2704*1,PEDIDOS!D:I,6,0),"" "")))"),"ENTREGUE")</f>
        <v>ENTREGUE</v>
      </c>
      <c r="G2704" s="303"/>
      <c r="H2704" s="304" t="s">
        <v>15811</v>
      </c>
    </row>
    <row r="2705">
      <c r="A2705" s="302" t="s">
        <v>91</v>
      </c>
      <c r="B2705" s="291" t="s">
        <v>21338</v>
      </c>
      <c r="C2705" s="292" t="s">
        <v>48</v>
      </c>
      <c r="D2705" s="293">
        <f t="shared" si="2"/>
        <v>1</v>
      </c>
      <c r="E2705" s="294"/>
      <c r="F2705" s="295" t="str">
        <f>IFERROR(__xludf.DUMMYFUNCTION("IF(B2705="""","""",IFERROR(VLOOKUP(TO_TEXT(B2705),PEDIDOS!D:I,6,0),IFERROR(VLOOKUP(B2705*1,PEDIDOS!D:I,6,0),"" "")))"),"ENTREGUE")</f>
        <v>ENTREGUE</v>
      </c>
      <c r="G2705" s="303"/>
      <c r="H2705" s="304" t="s">
        <v>15811</v>
      </c>
    </row>
    <row r="2706">
      <c r="A2706" s="302" t="s">
        <v>91</v>
      </c>
      <c r="B2706" s="291" t="s">
        <v>22375</v>
      </c>
      <c r="C2706" s="292" t="s">
        <v>48</v>
      </c>
      <c r="D2706" s="293">
        <f t="shared" si="2"/>
        <v>1</v>
      </c>
      <c r="E2706" s="294"/>
      <c r="F2706" s="295" t="str">
        <f>IFERROR(__xludf.DUMMYFUNCTION("IF(B2706="""","""",IFERROR(VLOOKUP(TO_TEXT(B2706),PEDIDOS!D:I,6,0),IFERROR(VLOOKUP(B2706*1,PEDIDOS!D:I,6,0),"" "")))"),"ENTREGUE")</f>
        <v>ENTREGUE</v>
      </c>
      <c r="G2706" s="303"/>
      <c r="H2706" s="304" t="s">
        <v>15811</v>
      </c>
    </row>
    <row r="2707">
      <c r="A2707" s="302" t="s">
        <v>91</v>
      </c>
      <c r="B2707" s="291" t="s">
        <v>15157</v>
      </c>
      <c r="C2707" s="292" t="s">
        <v>48</v>
      </c>
      <c r="D2707" s="293">
        <f t="shared" si="2"/>
        <v>1</v>
      </c>
      <c r="E2707" s="294"/>
      <c r="F2707" s="295" t="str">
        <f>IFERROR(__xludf.DUMMYFUNCTION("IF(B2707="""","""",IFERROR(VLOOKUP(TO_TEXT(B2707),PEDIDOS!D:I,6,0),IFERROR(VLOOKUP(B2707*1,PEDIDOS!D:I,6,0),"" "")))"),"ENTREGUE")</f>
        <v>ENTREGUE</v>
      </c>
      <c r="G2707" s="303"/>
      <c r="H2707" s="304"/>
    </row>
    <row r="2708">
      <c r="A2708" s="302" t="s">
        <v>91</v>
      </c>
      <c r="B2708" s="291" t="s">
        <v>15273</v>
      </c>
      <c r="C2708" s="292" t="s">
        <v>48</v>
      </c>
      <c r="D2708" s="293">
        <f t="shared" si="2"/>
        <v>1</v>
      </c>
      <c r="E2708" s="294"/>
      <c r="F2708" s="295" t="str">
        <f>IFERROR(__xludf.DUMMYFUNCTION("IF(B2708="""","""",IFERROR(VLOOKUP(TO_TEXT(B2708),PEDIDOS!D:I,6,0),IFERROR(VLOOKUP(B2708*1,PEDIDOS!D:I,6,0),"" "")))"),"ENTREGUE")</f>
        <v>ENTREGUE</v>
      </c>
      <c r="G2708" s="303"/>
      <c r="H2708" s="304"/>
    </row>
    <row r="2709">
      <c r="A2709" s="302" t="s">
        <v>91</v>
      </c>
      <c r="B2709" s="291" t="s">
        <v>23430</v>
      </c>
      <c r="C2709" s="292" t="s">
        <v>48</v>
      </c>
      <c r="D2709" s="293">
        <f t="shared" si="2"/>
        <v>0</v>
      </c>
      <c r="E2709" s="294"/>
      <c r="F2709" s="295" t="str">
        <f>IFERROR(__xludf.DUMMYFUNCTION("IF(B2709="""","""",IFERROR(VLOOKUP(TO_TEXT(B2709),PEDIDOS!D:I,6,0),IFERROR(VLOOKUP(B2709*1,PEDIDOS!D:I,6,0),"" "")))")," ")</f>
        <v> </v>
      </c>
      <c r="G2709" s="303"/>
      <c r="H2709" s="304" t="s">
        <v>15811</v>
      </c>
    </row>
    <row r="2710">
      <c r="A2710" s="302" t="s">
        <v>91</v>
      </c>
      <c r="B2710" s="291" t="s">
        <v>23431</v>
      </c>
      <c r="C2710" s="292" t="s">
        <v>48</v>
      </c>
      <c r="D2710" s="293">
        <f t="shared" si="2"/>
        <v>0</v>
      </c>
      <c r="E2710" s="294"/>
      <c r="F2710" s="295" t="str">
        <f>IFERROR(__xludf.DUMMYFUNCTION("IF(B2710="""","""",IFERROR(VLOOKUP(TO_TEXT(B2710),PEDIDOS!D:I,6,0),IFERROR(VLOOKUP(B2710*1,PEDIDOS!D:I,6,0),"" "")))")," ")</f>
        <v> </v>
      </c>
      <c r="G2710" s="303"/>
      <c r="H2710" s="304" t="s">
        <v>15811</v>
      </c>
    </row>
    <row r="2711">
      <c r="A2711" s="302" t="s">
        <v>91</v>
      </c>
      <c r="B2711" s="291" t="s">
        <v>23432</v>
      </c>
      <c r="C2711" s="292" t="s">
        <v>48</v>
      </c>
      <c r="D2711" s="293">
        <f t="shared" si="2"/>
        <v>0</v>
      </c>
      <c r="E2711" s="294"/>
      <c r="F2711" s="295" t="str">
        <f>IFERROR(__xludf.DUMMYFUNCTION("IF(B2711="""","""",IFERROR(VLOOKUP(TO_TEXT(B2711),PEDIDOS!D:I,6,0),IFERROR(VLOOKUP(B2711*1,PEDIDOS!D:I,6,0),"" "")))")," ")</f>
        <v> </v>
      </c>
      <c r="G2711" s="303"/>
      <c r="H2711" s="304" t="s">
        <v>15811</v>
      </c>
    </row>
    <row r="2712">
      <c r="A2712" s="302" t="s">
        <v>91</v>
      </c>
      <c r="B2712" s="291" t="s">
        <v>23433</v>
      </c>
      <c r="C2712" s="292" t="s">
        <v>48</v>
      </c>
      <c r="D2712" s="293">
        <f t="shared" si="2"/>
        <v>0</v>
      </c>
      <c r="E2712" s="294"/>
      <c r="F2712" s="295" t="str">
        <f>IFERROR(__xludf.DUMMYFUNCTION("IF(B2712="""","""",IFERROR(VLOOKUP(TO_TEXT(B2712),PEDIDOS!D:I,6,0),IFERROR(VLOOKUP(B2712*1,PEDIDOS!D:I,6,0),"" "")))")," ")</f>
        <v> </v>
      </c>
      <c r="G2712" s="303"/>
      <c r="H2712" s="304" t="s">
        <v>15811</v>
      </c>
    </row>
    <row r="2713">
      <c r="A2713" s="302" t="s">
        <v>91</v>
      </c>
      <c r="B2713" s="291" t="s">
        <v>23434</v>
      </c>
      <c r="C2713" s="292" t="s">
        <v>48</v>
      </c>
      <c r="D2713" s="293">
        <f t="shared" si="2"/>
        <v>0</v>
      </c>
      <c r="E2713" s="294"/>
      <c r="F2713" s="295" t="str">
        <f>IFERROR(__xludf.DUMMYFUNCTION("IF(B2713="""","""",IFERROR(VLOOKUP(TO_TEXT(B2713),PEDIDOS!D:I,6,0),IFERROR(VLOOKUP(B2713*1,PEDIDOS!D:I,6,0),"" "")))")," ")</f>
        <v> </v>
      </c>
      <c r="G2713" s="303"/>
      <c r="H2713" s="304" t="s">
        <v>15811</v>
      </c>
    </row>
    <row r="2714">
      <c r="A2714" s="302" t="s">
        <v>91</v>
      </c>
      <c r="B2714" s="291" t="s">
        <v>23435</v>
      </c>
      <c r="C2714" s="292" t="s">
        <v>48</v>
      </c>
      <c r="D2714" s="293">
        <f t="shared" si="2"/>
        <v>0</v>
      </c>
      <c r="E2714" s="294"/>
      <c r="F2714" s="295" t="str">
        <f>IFERROR(__xludf.DUMMYFUNCTION("IF(B2714="""","""",IFERROR(VLOOKUP(TO_TEXT(B2714),PEDIDOS!D:I,6,0),IFERROR(VLOOKUP(B2714*1,PEDIDOS!D:I,6,0),"" "")))")," ")</f>
        <v> </v>
      </c>
      <c r="G2714" s="303"/>
      <c r="H2714" s="304" t="s">
        <v>15811</v>
      </c>
    </row>
    <row r="2715">
      <c r="A2715" s="302" t="s">
        <v>91</v>
      </c>
      <c r="B2715" s="291" t="s">
        <v>15463</v>
      </c>
      <c r="C2715" s="292" t="s">
        <v>48</v>
      </c>
      <c r="D2715" s="293">
        <f t="shared" si="2"/>
        <v>1</v>
      </c>
      <c r="E2715" s="294"/>
      <c r="F2715" s="295" t="str">
        <f>IFERROR(__xludf.DUMMYFUNCTION("IF(B2715="""","""",IFERROR(VLOOKUP(TO_TEXT(B2715),PEDIDOS!D:I,6,0),IFERROR(VLOOKUP(B2715*1,PEDIDOS!D:I,6,0),"" "")))"),"ENTREGUE")</f>
        <v>ENTREGUE</v>
      </c>
      <c r="G2715" s="303"/>
      <c r="H2715" s="304"/>
    </row>
    <row r="2716">
      <c r="A2716" s="302" t="s">
        <v>91</v>
      </c>
      <c r="B2716" s="291" t="s">
        <v>15580</v>
      </c>
      <c r="C2716" s="292" t="s">
        <v>48</v>
      </c>
      <c r="D2716" s="293">
        <f t="shared" si="2"/>
        <v>1</v>
      </c>
      <c r="E2716" s="294"/>
      <c r="F2716" s="295" t="str">
        <f>IFERROR(__xludf.DUMMYFUNCTION("IF(B2716="""","""",IFERROR(VLOOKUP(TO_TEXT(B2716),PEDIDOS!D:I,6,0),IFERROR(VLOOKUP(B2716*1,PEDIDOS!D:I,6,0),"" "")))"),"ENTREGUE")</f>
        <v>ENTREGUE</v>
      </c>
      <c r="G2716" s="303"/>
      <c r="H2716" s="304"/>
    </row>
    <row r="2717">
      <c r="A2717" s="302" t="s">
        <v>91</v>
      </c>
      <c r="B2717" s="291" t="s">
        <v>15507</v>
      </c>
      <c r="C2717" s="292" t="s">
        <v>48</v>
      </c>
      <c r="D2717" s="293">
        <f t="shared" si="2"/>
        <v>1</v>
      </c>
      <c r="E2717" s="294"/>
      <c r="F2717" s="295" t="str">
        <f>IFERROR(__xludf.DUMMYFUNCTION("IF(B2717="""","""",IFERROR(VLOOKUP(TO_TEXT(B2717),PEDIDOS!D:I,6,0),IFERROR(VLOOKUP(B2717*1,PEDIDOS!D:I,6,0),"" "")))"),"ENTREGUE")</f>
        <v>ENTREGUE</v>
      </c>
      <c r="G2717" s="303"/>
      <c r="H2717" s="304"/>
    </row>
    <row r="2718">
      <c r="A2718" s="302" t="s">
        <v>91</v>
      </c>
      <c r="B2718" s="291" t="s">
        <v>15661</v>
      </c>
      <c r="C2718" s="292" t="s">
        <v>48</v>
      </c>
      <c r="D2718" s="293">
        <f t="shared" si="2"/>
        <v>1</v>
      </c>
      <c r="E2718" s="294"/>
      <c r="F2718" s="295" t="str">
        <f>IFERROR(__xludf.DUMMYFUNCTION("IF(B2718="""","""",IFERROR(VLOOKUP(TO_TEXT(B2718),PEDIDOS!D:I,6,0),IFERROR(VLOOKUP(B2718*1,PEDIDOS!D:I,6,0),"" "")))"),"ENTREGUE")</f>
        <v>ENTREGUE</v>
      </c>
      <c r="G2718" s="303"/>
      <c r="H2718" s="304"/>
    </row>
    <row r="2719">
      <c r="A2719" s="302" t="s">
        <v>91</v>
      </c>
      <c r="B2719" s="291" t="s">
        <v>15540</v>
      </c>
      <c r="C2719" s="292" t="s">
        <v>48</v>
      </c>
      <c r="D2719" s="293">
        <f t="shared" si="2"/>
        <v>1</v>
      </c>
      <c r="E2719" s="294"/>
      <c r="F2719" s="295" t="str">
        <f>IFERROR(__xludf.DUMMYFUNCTION("IF(B2719="""","""",IFERROR(VLOOKUP(TO_TEXT(B2719),PEDIDOS!D:I,6,0),IFERROR(VLOOKUP(B2719*1,PEDIDOS!D:I,6,0),"" "")))"),"ENTREGUE")</f>
        <v>ENTREGUE</v>
      </c>
      <c r="G2719" s="303"/>
      <c r="H2719" s="304"/>
    </row>
    <row r="2720">
      <c r="A2720" s="302" t="s">
        <v>91</v>
      </c>
      <c r="B2720" s="291" t="s">
        <v>14417</v>
      </c>
      <c r="C2720" s="292" t="s">
        <v>48</v>
      </c>
      <c r="D2720" s="293">
        <f t="shared" si="2"/>
        <v>1</v>
      </c>
      <c r="E2720" s="294"/>
      <c r="F2720" s="295" t="str">
        <f>IFERROR(__xludf.DUMMYFUNCTION("IF(B2720="""","""",IFERROR(VLOOKUP(TO_TEXT(B2720),PEDIDOS!D:I,6,0),IFERROR(VLOOKUP(B2720*1,PEDIDOS!D:I,6,0),"" "")))"),"ENTREGUE")</f>
        <v>ENTREGUE</v>
      </c>
      <c r="G2720" s="303"/>
      <c r="H2720" s="304"/>
    </row>
    <row r="2721">
      <c r="A2721" s="302" t="s">
        <v>91</v>
      </c>
      <c r="B2721" s="291" t="s">
        <v>15862</v>
      </c>
      <c r="C2721" s="292" t="s">
        <v>48</v>
      </c>
      <c r="D2721" s="293">
        <f t="shared" si="2"/>
        <v>1</v>
      </c>
      <c r="E2721" s="294"/>
      <c r="F2721" s="295" t="str">
        <f>IFERROR(__xludf.DUMMYFUNCTION("IF(B2721="""","""",IFERROR(VLOOKUP(TO_TEXT(B2721),PEDIDOS!D:I,6,0),IFERROR(VLOOKUP(B2721*1,PEDIDOS!D:I,6,0),"" "")))"),"ENTREGUE")</f>
        <v>ENTREGUE</v>
      </c>
      <c r="G2721" s="303"/>
      <c r="H2721" s="304"/>
    </row>
    <row r="2722">
      <c r="A2722" s="302" t="s">
        <v>91</v>
      </c>
      <c r="B2722" s="291" t="s">
        <v>15566</v>
      </c>
      <c r="C2722" s="292" t="s">
        <v>48</v>
      </c>
      <c r="D2722" s="293">
        <f t="shared" si="2"/>
        <v>1</v>
      </c>
      <c r="E2722" s="294"/>
      <c r="F2722" s="295" t="str">
        <f>IFERROR(__xludf.DUMMYFUNCTION("IF(B2722="""","""",IFERROR(VLOOKUP(TO_TEXT(B2722),PEDIDOS!D:I,6,0),IFERROR(VLOOKUP(B2722*1,PEDIDOS!D:I,6,0),"" "")))"),"ENTREGUE")</f>
        <v>ENTREGUE</v>
      </c>
      <c r="G2722" s="303"/>
      <c r="H2722" s="304"/>
    </row>
    <row r="2723">
      <c r="A2723" s="302" t="s">
        <v>91</v>
      </c>
      <c r="B2723" s="291" t="s">
        <v>15107</v>
      </c>
      <c r="C2723" s="292" t="s">
        <v>48</v>
      </c>
      <c r="D2723" s="293">
        <f t="shared" si="2"/>
        <v>1</v>
      </c>
      <c r="E2723" s="294"/>
      <c r="F2723" s="295" t="str">
        <f>IFERROR(__xludf.DUMMYFUNCTION("IF(B2723="""","""",IFERROR(VLOOKUP(TO_TEXT(B2723),PEDIDOS!D:I,6,0),IFERROR(VLOOKUP(B2723*1,PEDIDOS!D:I,6,0),"" "")))"),"ENTREGUE")</f>
        <v>ENTREGUE</v>
      </c>
      <c r="G2723" s="303"/>
      <c r="H2723" s="304"/>
    </row>
    <row r="2724">
      <c r="A2724" s="302" t="s">
        <v>91</v>
      </c>
      <c r="B2724" s="291" t="s">
        <v>15905</v>
      </c>
      <c r="C2724" s="292" t="s">
        <v>48</v>
      </c>
      <c r="D2724" s="293">
        <f t="shared" si="2"/>
        <v>1</v>
      </c>
      <c r="E2724" s="294"/>
      <c r="F2724" s="295" t="str">
        <f>IFERROR(__xludf.DUMMYFUNCTION("IF(B2724="""","""",IFERROR(VLOOKUP(TO_TEXT(B2724),PEDIDOS!D:I,6,0),IFERROR(VLOOKUP(B2724*1,PEDIDOS!D:I,6,0),"" "")))"),"ENTREGUE")</f>
        <v>ENTREGUE</v>
      </c>
      <c r="G2724" s="303"/>
      <c r="H2724" s="304"/>
    </row>
    <row r="2725">
      <c r="A2725" s="302" t="s">
        <v>91</v>
      </c>
      <c r="B2725" s="291" t="s">
        <v>15287</v>
      </c>
      <c r="C2725" s="292" t="s">
        <v>48</v>
      </c>
      <c r="D2725" s="293">
        <f t="shared" si="2"/>
        <v>1</v>
      </c>
      <c r="E2725" s="294"/>
      <c r="F2725" s="295" t="str">
        <f>IFERROR(__xludf.DUMMYFUNCTION("IF(B2725="""","""",IFERROR(VLOOKUP(TO_TEXT(B2725),PEDIDOS!D:I,6,0),IFERROR(VLOOKUP(B2725*1,PEDIDOS!D:I,6,0),"" "")))"),"ENTREGUE")</f>
        <v>ENTREGUE</v>
      </c>
      <c r="G2725" s="303"/>
      <c r="H2725" s="304"/>
    </row>
    <row r="2726">
      <c r="A2726" s="302" t="s">
        <v>91</v>
      </c>
      <c r="B2726" s="291" t="s">
        <v>15421</v>
      </c>
      <c r="C2726" s="292" t="s">
        <v>48</v>
      </c>
      <c r="D2726" s="293">
        <f t="shared" si="2"/>
        <v>1</v>
      </c>
      <c r="E2726" s="294"/>
      <c r="F2726" s="295" t="str">
        <f>IFERROR(__xludf.DUMMYFUNCTION("IF(B2726="""","""",IFERROR(VLOOKUP(TO_TEXT(B2726),PEDIDOS!D:I,6,0),IFERROR(VLOOKUP(B2726*1,PEDIDOS!D:I,6,0),"" "")))"),"ENTREGUE")</f>
        <v>ENTREGUE</v>
      </c>
      <c r="G2726" s="303"/>
      <c r="H2726" s="304"/>
    </row>
    <row r="2727">
      <c r="A2727" s="302" t="s">
        <v>91</v>
      </c>
      <c r="B2727" s="291" t="s">
        <v>15548</v>
      </c>
      <c r="C2727" s="292" t="s">
        <v>48</v>
      </c>
      <c r="D2727" s="293">
        <f t="shared" si="2"/>
        <v>1</v>
      </c>
      <c r="E2727" s="294"/>
      <c r="F2727" s="295" t="str">
        <f>IFERROR(__xludf.DUMMYFUNCTION("IF(B2727="""","""",IFERROR(VLOOKUP(TO_TEXT(B2727),PEDIDOS!D:I,6,0),IFERROR(VLOOKUP(B2727*1,PEDIDOS!D:I,6,0),"" "")))"),"ENTREGUE")</f>
        <v>ENTREGUE</v>
      </c>
      <c r="G2727" s="303"/>
      <c r="H2727" s="304"/>
    </row>
    <row r="2728">
      <c r="A2728" s="302" t="s">
        <v>91</v>
      </c>
      <c r="B2728" s="291" t="s">
        <v>15175</v>
      </c>
      <c r="C2728" s="292" t="s">
        <v>48</v>
      </c>
      <c r="D2728" s="293">
        <f t="shared" si="2"/>
        <v>1</v>
      </c>
      <c r="E2728" s="294"/>
      <c r="F2728" s="295" t="str">
        <f>IFERROR(__xludf.DUMMYFUNCTION("IF(B2728="""","""",IFERROR(VLOOKUP(TO_TEXT(B2728),PEDIDOS!D:I,6,0),IFERROR(VLOOKUP(B2728*1,PEDIDOS!D:I,6,0),"" "")))"),"ENTREGUE")</f>
        <v>ENTREGUE</v>
      </c>
      <c r="G2728" s="303"/>
      <c r="H2728" s="304"/>
    </row>
    <row r="2729">
      <c r="A2729" s="302" t="s">
        <v>91</v>
      </c>
      <c r="B2729" s="291" t="s">
        <v>15213</v>
      </c>
      <c r="C2729" s="292" t="s">
        <v>48</v>
      </c>
      <c r="D2729" s="293">
        <f t="shared" si="2"/>
        <v>1</v>
      </c>
      <c r="E2729" s="294"/>
      <c r="F2729" s="295" t="str">
        <f>IFERROR(__xludf.DUMMYFUNCTION("IF(B2729="""","""",IFERROR(VLOOKUP(TO_TEXT(B2729),PEDIDOS!D:I,6,0),IFERROR(VLOOKUP(B2729*1,PEDIDOS!D:I,6,0),"" "")))"),"ENTREGUE")</f>
        <v>ENTREGUE</v>
      </c>
      <c r="G2729" s="303"/>
      <c r="H2729" s="304"/>
    </row>
    <row r="2730">
      <c r="A2730" s="302" t="s">
        <v>91</v>
      </c>
      <c r="B2730" s="291" t="s">
        <v>15418</v>
      </c>
      <c r="C2730" s="292" t="s">
        <v>48</v>
      </c>
      <c r="D2730" s="293">
        <f t="shared" si="2"/>
        <v>1</v>
      </c>
      <c r="E2730" s="294"/>
      <c r="F2730" s="295" t="str">
        <f>IFERROR(__xludf.DUMMYFUNCTION("IF(B2730="""","""",IFERROR(VLOOKUP(TO_TEXT(B2730),PEDIDOS!D:I,6,0),IFERROR(VLOOKUP(B2730*1,PEDIDOS!D:I,6,0),"" "")))"),"ENTREGUE")</f>
        <v>ENTREGUE</v>
      </c>
      <c r="G2730" s="303"/>
      <c r="H2730" s="304"/>
    </row>
    <row r="2731">
      <c r="A2731" s="302" t="s">
        <v>91</v>
      </c>
      <c r="B2731" s="291" t="s">
        <v>15467</v>
      </c>
      <c r="C2731" s="292" t="s">
        <v>48</v>
      </c>
      <c r="D2731" s="293">
        <f t="shared" si="2"/>
        <v>1</v>
      </c>
      <c r="E2731" s="294"/>
      <c r="F2731" s="295" t="str">
        <f>IFERROR(__xludf.DUMMYFUNCTION("IF(B2731="""","""",IFERROR(VLOOKUP(TO_TEXT(B2731),PEDIDOS!D:I,6,0),IFERROR(VLOOKUP(B2731*1,PEDIDOS!D:I,6,0),"" "")))"),"ENTREGUE")</f>
        <v>ENTREGUE</v>
      </c>
      <c r="G2731" s="303"/>
      <c r="H2731" s="304"/>
    </row>
    <row r="2732">
      <c r="A2732" s="302" t="s">
        <v>91</v>
      </c>
      <c r="B2732" s="291" t="s">
        <v>15440</v>
      </c>
      <c r="C2732" s="292" t="s">
        <v>48</v>
      </c>
      <c r="D2732" s="293">
        <f t="shared" si="2"/>
        <v>1</v>
      </c>
      <c r="E2732" s="294"/>
      <c r="F2732" s="295" t="str">
        <f>IFERROR(__xludf.DUMMYFUNCTION("IF(B2732="""","""",IFERROR(VLOOKUP(TO_TEXT(B2732),PEDIDOS!D:I,6,0),IFERROR(VLOOKUP(B2732*1,PEDIDOS!D:I,6,0),"" "")))"),"ENTREGUE")</f>
        <v>ENTREGUE</v>
      </c>
      <c r="G2732" s="303"/>
      <c r="H2732" s="304"/>
    </row>
    <row r="2733">
      <c r="A2733" s="302" t="s">
        <v>91</v>
      </c>
      <c r="B2733" s="291" t="s">
        <v>15406</v>
      </c>
      <c r="C2733" s="292" t="s">
        <v>48</v>
      </c>
      <c r="D2733" s="293">
        <f t="shared" si="2"/>
        <v>1</v>
      </c>
      <c r="E2733" s="294"/>
      <c r="F2733" s="295" t="str">
        <f>IFERROR(__xludf.DUMMYFUNCTION("IF(B2733="""","""",IFERROR(VLOOKUP(TO_TEXT(B2733),PEDIDOS!D:I,6,0),IFERROR(VLOOKUP(B2733*1,PEDIDOS!D:I,6,0),"" "")))"),"ENTREGUE")</f>
        <v>ENTREGUE</v>
      </c>
      <c r="G2733" s="303"/>
      <c r="H2733" s="304"/>
    </row>
    <row r="2734">
      <c r="A2734" s="302" t="s">
        <v>91</v>
      </c>
      <c r="B2734" s="291" t="s">
        <v>15544</v>
      </c>
      <c r="C2734" s="292" t="s">
        <v>48</v>
      </c>
      <c r="D2734" s="293">
        <f t="shared" si="2"/>
        <v>1</v>
      </c>
      <c r="E2734" s="294"/>
      <c r="F2734" s="295" t="str">
        <f>IFERROR(__xludf.DUMMYFUNCTION("IF(B2734="""","""",IFERROR(VLOOKUP(TO_TEXT(B2734),PEDIDOS!D:I,6,0),IFERROR(VLOOKUP(B2734*1,PEDIDOS!D:I,6,0),"" "")))"),"ENTREGUE")</f>
        <v>ENTREGUE</v>
      </c>
      <c r="G2734" s="303"/>
      <c r="H2734" s="304"/>
    </row>
    <row r="2735">
      <c r="A2735" s="302" t="s">
        <v>91</v>
      </c>
      <c r="B2735" s="291" t="s">
        <v>15415</v>
      </c>
      <c r="C2735" s="292" t="s">
        <v>48</v>
      </c>
      <c r="D2735" s="293">
        <f t="shared" si="2"/>
        <v>1</v>
      </c>
      <c r="E2735" s="294"/>
      <c r="F2735" s="295" t="str">
        <f>IFERROR(__xludf.DUMMYFUNCTION("IF(B2735="""","""",IFERROR(VLOOKUP(TO_TEXT(B2735),PEDIDOS!D:I,6,0),IFERROR(VLOOKUP(B2735*1,PEDIDOS!D:I,6,0),"" "")))"),"ENTREGUE")</f>
        <v>ENTREGUE</v>
      </c>
      <c r="G2735" s="303"/>
      <c r="H2735" s="304"/>
    </row>
    <row r="2736">
      <c r="A2736" s="302" t="s">
        <v>112</v>
      </c>
      <c r="B2736" s="291" t="s">
        <v>23436</v>
      </c>
      <c r="C2736" s="292" t="s">
        <v>48</v>
      </c>
      <c r="D2736" s="293">
        <f t="shared" si="2"/>
        <v>1</v>
      </c>
      <c r="E2736" s="294"/>
      <c r="F2736" s="295" t="str">
        <f>IFERROR(__xludf.DUMMYFUNCTION("IF(B2736="""","""",IFERROR(VLOOKUP(TO_TEXT(B2736),PEDIDOS!D:I,6,0),IFERROR(VLOOKUP(B2736*1,PEDIDOS!D:I,6,0),"" "")))")," ")</f>
        <v> </v>
      </c>
      <c r="G2736" s="303" t="s">
        <v>23334</v>
      </c>
      <c r="H2736" s="304"/>
    </row>
    <row r="2737">
      <c r="A2737" s="302" t="s">
        <v>112</v>
      </c>
      <c r="B2737" s="291" t="s">
        <v>15063</v>
      </c>
      <c r="C2737" s="292" t="s">
        <v>48</v>
      </c>
      <c r="D2737" s="293">
        <f t="shared" si="2"/>
        <v>1</v>
      </c>
      <c r="E2737" s="294"/>
      <c r="F2737" s="295" t="str">
        <f>IFERROR(__xludf.DUMMYFUNCTION("IF(B2737="""","""",IFERROR(VLOOKUP(TO_TEXT(B2737),PEDIDOS!D:I,6,0),IFERROR(VLOOKUP(B2737*1,PEDIDOS!D:I,6,0),"" "")))"),"ENTREGUE")</f>
        <v>ENTREGUE</v>
      </c>
      <c r="G2737" s="303"/>
      <c r="H2737" s="304"/>
    </row>
    <row r="2738">
      <c r="A2738" s="302" t="s">
        <v>112</v>
      </c>
      <c r="B2738" s="291" t="s">
        <v>14427</v>
      </c>
      <c r="C2738" s="292" t="s">
        <v>48</v>
      </c>
      <c r="D2738" s="293">
        <f t="shared" si="2"/>
        <v>1</v>
      </c>
      <c r="E2738" s="294"/>
      <c r="F2738" s="295" t="str">
        <f>IFERROR(__xludf.DUMMYFUNCTION("IF(B2738="""","""",IFERROR(VLOOKUP(TO_TEXT(B2738),PEDIDOS!D:I,6,0),IFERROR(VLOOKUP(B2738*1,PEDIDOS!D:I,6,0),"" "")))"),"ENTREGUE")</f>
        <v>ENTREGUE</v>
      </c>
      <c r="G2738" s="303"/>
      <c r="H2738" s="304"/>
    </row>
    <row r="2739">
      <c r="A2739" s="302" t="s">
        <v>112</v>
      </c>
      <c r="B2739" s="291" t="s">
        <v>15067</v>
      </c>
      <c r="C2739" s="292" t="s">
        <v>48</v>
      </c>
      <c r="D2739" s="293">
        <f t="shared" si="2"/>
        <v>1</v>
      </c>
      <c r="E2739" s="294"/>
      <c r="F2739" s="295" t="str">
        <f>IFERROR(__xludf.DUMMYFUNCTION("IF(B2739="""","""",IFERROR(VLOOKUP(TO_TEXT(B2739),PEDIDOS!D:I,6,0),IFERROR(VLOOKUP(B2739*1,PEDIDOS!D:I,6,0),"" "")))"),"ENTREGUE")</f>
        <v>ENTREGUE</v>
      </c>
      <c r="G2739" s="303"/>
      <c r="H2739" s="304"/>
    </row>
    <row r="2740">
      <c r="A2740" s="302" t="s">
        <v>112</v>
      </c>
      <c r="B2740" s="291" t="s">
        <v>15318</v>
      </c>
      <c r="C2740" s="292" t="s">
        <v>48</v>
      </c>
      <c r="D2740" s="293">
        <f t="shared" si="2"/>
        <v>1</v>
      </c>
      <c r="E2740" s="294"/>
      <c r="F2740" s="295" t="str">
        <f>IFERROR(__xludf.DUMMYFUNCTION("IF(B2740="""","""",IFERROR(VLOOKUP(TO_TEXT(B2740),PEDIDOS!D:I,6,0),IFERROR(VLOOKUP(B2740*1,PEDIDOS!D:I,6,0),"" "")))"),"ENTREGUE")</f>
        <v>ENTREGUE</v>
      </c>
      <c r="G2740" s="303"/>
      <c r="H2740" s="304"/>
    </row>
    <row r="2741">
      <c r="A2741" s="302" t="s">
        <v>112</v>
      </c>
      <c r="B2741" s="291" t="s">
        <v>15280</v>
      </c>
      <c r="C2741" s="292" t="s">
        <v>48</v>
      </c>
      <c r="D2741" s="293">
        <f t="shared" si="2"/>
        <v>1</v>
      </c>
      <c r="E2741" s="294"/>
      <c r="F2741" s="295" t="str">
        <f>IFERROR(__xludf.DUMMYFUNCTION("IF(B2741="""","""",IFERROR(VLOOKUP(TO_TEXT(B2741),PEDIDOS!D:I,6,0),IFERROR(VLOOKUP(B2741*1,PEDIDOS!D:I,6,0),"" "")))"),"ENTREGUE")</f>
        <v>ENTREGUE</v>
      </c>
      <c r="G2741" s="303"/>
      <c r="H2741" s="304"/>
    </row>
    <row r="2742">
      <c r="A2742" s="302" t="s">
        <v>112</v>
      </c>
      <c r="B2742" s="291" t="s">
        <v>14319</v>
      </c>
      <c r="C2742" s="292" t="s">
        <v>48</v>
      </c>
      <c r="D2742" s="293">
        <f t="shared" si="2"/>
        <v>1</v>
      </c>
      <c r="E2742" s="294"/>
      <c r="F2742" s="295" t="str">
        <f>IFERROR(__xludf.DUMMYFUNCTION("IF(B2742="""","""",IFERROR(VLOOKUP(TO_TEXT(B2742),PEDIDOS!D:I,6,0),IFERROR(VLOOKUP(B2742*1,PEDIDOS!D:I,6,0),"" "")))"),"ENTREGUE")</f>
        <v>ENTREGUE</v>
      </c>
      <c r="G2742" s="303"/>
      <c r="H2742" s="304"/>
    </row>
    <row r="2743">
      <c r="A2743" s="302" t="s">
        <v>112</v>
      </c>
      <c r="B2743" s="291" t="s">
        <v>15291</v>
      </c>
      <c r="C2743" s="292" t="s">
        <v>48</v>
      </c>
      <c r="D2743" s="293">
        <f t="shared" si="2"/>
        <v>1</v>
      </c>
      <c r="E2743" s="294"/>
      <c r="F2743" s="295" t="str">
        <f>IFERROR(__xludf.DUMMYFUNCTION("IF(B2743="""","""",IFERROR(VLOOKUP(TO_TEXT(B2743),PEDIDOS!D:I,6,0),IFERROR(VLOOKUP(B2743*1,PEDIDOS!D:I,6,0),"" "")))"),"ENTREGUE")</f>
        <v>ENTREGUE</v>
      </c>
      <c r="G2743" s="303"/>
      <c r="H2743" s="304"/>
    </row>
    <row r="2744">
      <c r="A2744" s="302" t="s">
        <v>112</v>
      </c>
      <c r="B2744" s="291" t="s">
        <v>15325</v>
      </c>
      <c r="C2744" s="292" t="s">
        <v>48</v>
      </c>
      <c r="D2744" s="293">
        <f t="shared" si="2"/>
        <v>1</v>
      </c>
      <c r="E2744" s="294"/>
      <c r="F2744" s="295" t="str">
        <f>IFERROR(__xludf.DUMMYFUNCTION("IF(B2744="""","""",IFERROR(VLOOKUP(TO_TEXT(B2744),PEDIDOS!D:I,6,0),IFERROR(VLOOKUP(B2744*1,PEDIDOS!D:I,6,0),"" "")))"),"ENTREGUE")</f>
        <v>ENTREGUE</v>
      </c>
      <c r="G2744" s="303"/>
      <c r="H2744" s="304"/>
    </row>
    <row r="2745">
      <c r="A2745" s="302" t="s">
        <v>112</v>
      </c>
      <c r="B2745" s="291" t="s">
        <v>15161</v>
      </c>
      <c r="C2745" s="292" t="s">
        <v>48</v>
      </c>
      <c r="D2745" s="293">
        <f t="shared" si="2"/>
        <v>1</v>
      </c>
      <c r="E2745" s="294"/>
      <c r="F2745" s="295" t="str">
        <f>IFERROR(__xludf.DUMMYFUNCTION("IF(B2745="""","""",IFERROR(VLOOKUP(TO_TEXT(B2745),PEDIDOS!D:I,6,0),IFERROR(VLOOKUP(B2745*1,PEDIDOS!D:I,6,0),"" "")))"),"ENTREGUE")</f>
        <v>ENTREGUE</v>
      </c>
      <c r="G2745" s="303"/>
      <c r="H2745" s="304"/>
    </row>
    <row r="2746">
      <c r="A2746" s="302" t="s">
        <v>112</v>
      </c>
      <c r="B2746" s="291" t="s">
        <v>14233</v>
      </c>
      <c r="C2746" s="292" t="s">
        <v>48</v>
      </c>
      <c r="D2746" s="293">
        <f t="shared" si="2"/>
        <v>1</v>
      </c>
      <c r="E2746" s="294"/>
      <c r="F2746" s="295" t="str">
        <f>IFERROR(__xludf.DUMMYFUNCTION("IF(B2746="""","""",IFERROR(VLOOKUP(TO_TEXT(B2746),PEDIDOS!D:I,6,0),IFERROR(VLOOKUP(B2746*1,PEDIDOS!D:I,6,0),"" "")))"),"ENTREGUE")</f>
        <v>ENTREGUE</v>
      </c>
      <c r="G2746" s="303"/>
      <c r="H2746" s="304"/>
    </row>
    <row r="2747">
      <c r="A2747" s="302" t="s">
        <v>112</v>
      </c>
      <c r="B2747" s="291" t="s">
        <v>14947</v>
      </c>
      <c r="C2747" s="292" t="s">
        <v>48</v>
      </c>
      <c r="D2747" s="293">
        <f t="shared" si="2"/>
        <v>1</v>
      </c>
      <c r="E2747" s="294"/>
      <c r="F2747" s="295" t="str">
        <f>IFERROR(__xludf.DUMMYFUNCTION("IF(B2747="""","""",IFERROR(VLOOKUP(TO_TEXT(B2747),PEDIDOS!D:I,6,0),IFERROR(VLOOKUP(B2747*1,PEDIDOS!D:I,6,0),"" "")))"),"ENTREGUE")</f>
        <v>ENTREGUE</v>
      </c>
      <c r="G2747" s="303"/>
      <c r="H2747" s="304"/>
    </row>
    <row r="2748">
      <c r="A2748" s="302" t="s">
        <v>112</v>
      </c>
      <c r="B2748" s="291" t="s">
        <v>15378</v>
      </c>
      <c r="C2748" s="292" t="s">
        <v>48</v>
      </c>
      <c r="D2748" s="293">
        <f t="shared" si="2"/>
        <v>1</v>
      </c>
      <c r="E2748" s="294"/>
      <c r="F2748" s="295" t="str">
        <f>IFERROR(__xludf.DUMMYFUNCTION("IF(B2748="""","""",IFERROR(VLOOKUP(TO_TEXT(B2748),PEDIDOS!D:I,6,0),IFERROR(VLOOKUP(B2748*1,PEDIDOS!D:I,6,0),"" "")))"),"ENTREGUE")</f>
        <v>ENTREGUE</v>
      </c>
      <c r="G2748" s="303"/>
      <c r="H2748" s="304"/>
    </row>
    <row r="2749">
      <c r="A2749" s="302" t="s">
        <v>112</v>
      </c>
      <c r="B2749" s="291" t="s">
        <v>14927</v>
      </c>
      <c r="C2749" s="292" t="s">
        <v>48</v>
      </c>
      <c r="D2749" s="293">
        <f t="shared" si="2"/>
        <v>1</v>
      </c>
      <c r="E2749" s="294"/>
      <c r="F2749" s="295" t="str">
        <f>IFERROR(__xludf.DUMMYFUNCTION("IF(B2749="""","""",IFERROR(VLOOKUP(TO_TEXT(B2749),PEDIDOS!D:I,6,0),IFERROR(VLOOKUP(B2749*1,PEDIDOS!D:I,6,0),"" "")))"),"ENTREGUE")</f>
        <v>ENTREGUE</v>
      </c>
      <c r="G2749" s="303"/>
      <c r="H2749" s="304"/>
    </row>
    <row r="2750">
      <c r="A2750" s="302" t="s">
        <v>112</v>
      </c>
      <c r="B2750" s="291" t="s">
        <v>16317</v>
      </c>
      <c r="C2750" s="292" t="s">
        <v>48</v>
      </c>
      <c r="D2750" s="293">
        <f t="shared" si="2"/>
        <v>1</v>
      </c>
      <c r="E2750" s="294"/>
      <c r="F2750" s="295" t="str">
        <f>IFERROR(__xludf.DUMMYFUNCTION("IF(B2750="""","""",IFERROR(VLOOKUP(TO_TEXT(B2750),PEDIDOS!D:I,6,0),IFERROR(VLOOKUP(B2750*1,PEDIDOS!D:I,6,0),"" "")))"),"ENTREGUE")</f>
        <v>ENTREGUE</v>
      </c>
      <c r="G2750" s="303"/>
      <c r="H2750" s="304"/>
    </row>
    <row r="2751">
      <c r="A2751" s="302" t="s">
        <v>112</v>
      </c>
      <c r="B2751" s="291" t="s">
        <v>23437</v>
      </c>
      <c r="C2751" s="292" t="s">
        <v>48</v>
      </c>
      <c r="D2751" s="293">
        <f t="shared" si="2"/>
        <v>1</v>
      </c>
      <c r="E2751" s="294"/>
      <c r="F2751" s="295" t="str">
        <f>IFERROR(__xludf.DUMMYFUNCTION("IF(B2751="""","""",IFERROR(VLOOKUP(TO_TEXT(B2751),PEDIDOS!D:I,6,0),IFERROR(VLOOKUP(B2751*1,PEDIDOS!D:I,6,0),"" "")))")," ")</f>
        <v> </v>
      </c>
      <c r="G2751" s="307" t="s">
        <v>23334</v>
      </c>
      <c r="H2751" s="304"/>
    </row>
    <row r="2752">
      <c r="A2752" s="302" t="s">
        <v>112</v>
      </c>
      <c r="B2752" s="291" t="s">
        <v>15477</v>
      </c>
      <c r="C2752" s="292" t="s">
        <v>48</v>
      </c>
      <c r="D2752" s="293">
        <f t="shared" si="2"/>
        <v>1</v>
      </c>
      <c r="E2752" s="294"/>
      <c r="F2752" s="295" t="str">
        <f>IFERROR(__xludf.DUMMYFUNCTION("IF(B2752="""","""",IFERROR(VLOOKUP(TO_TEXT(B2752),PEDIDOS!D:I,6,0),IFERROR(VLOOKUP(B2752*1,PEDIDOS!D:I,6,0),"" "")))"),"ENTREGUE")</f>
        <v>ENTREGUE</v>
      </c>
      <c r="G2752" s="303"/>
      <c r="H2752" s="304"/>
    </row>
    <row r="2753">
      <c r="A2753" s="302" t="s">
        <v>112</v>
      </c>
      <c r="B2753" s="291" t="s">
        <v>15386</v>
      </c>
      <c r="C2753" s="292" t="s">
        <v>48</v>
      </c>
      <c r="D2753" s="293">
        <f t="shared" si="2"/>
        <v>1</v>
      </c>
      <c r="E2753" s="294"/>
      <c r="F2753" s="295" t="str">
        <f>IFERROR(__xludf.DUMMYFUNCTION("IF(B2753="""","""",IFERROR(VLOOKUP(TO_TEXT(B2753),PEDIDOS!D:I,6,0),IFERROR(VLOOKUP(B2753*1,PEDIDOS!D:I,6,0),"" "")))"),"ENTREGUE")</f>
        <v>ENTREGUE</v>
      </c>
      <c r="G2753" s="303"/>
      <c r="H2753" s="304"/>
    </row>
    <row r="2754">
      <c r="A2754" s="302" t="s">
        <v>112</v>
      </c>
      <c r="B2754" s="291" t="s">
        <v>14970</v>
      </c>
      <c r="C2754" s="292" t="s">
        <v>48</v>
      </c>
      <c r="D2754" s="293">
        <f t="shared" si="2"/>
        <v>1</v>
      </c>
      <c r="E2754" s="294"/>
      <c r="F2754" s="295" t="str">
        <f>IFERROR(__xludf.DUMMYFUNCTION("IF(B2754="""","""",IFERROR(VLOOKUP(TO_TEXT(B2754),PEDIDOS!D:I,6,0),IFERROR(VLOOKUP(B2754*1,PEDIDOS!D:I,6,0),"" "")))"),"ENTREGUE")</f>
        <v>ENTREGUE</v>
      </c>
      <c r="G2754" s="303"/>
      <c r="H2754" s="304"/>
    </row>
    <row r="2755">
      <c r="A2755" s="302" t="s">
        <v>112</v>
      </c>
      <c r="B2755" s="291" t="s">
        <v>23438</v>
      </c>
      <c r="C2755" s="292" t="s">
        <v>48</v>
      </c>
      <c r="D2755" s="293">
        <f t="shared" si="2"/>
        <v>1</v>
      </c>
      <c r="E2755" s="294"/>
      <c r="F2755" s="295" t="str">
        <f>IFERROR(__xludf.DUMMYFUNCTION("IF(B2755="""","""",IFERROR(VLOOKUP(TO_TEXT(B2755),PEDIDOS!D:I,6,0),IFERROR(VLOOKUP(B2755*1,PEDIDOS!D:I,6,0),"" "")))")," ")</f>
        <v> </v>
      </c>
      <c r="G2755" s="307" t="s">
        <v>23334</v>
      </c>
      <c r="H2755" s="304"/>
    </row>
    <row r="2756">
      <c r="A2756" s="302" t="s">
        <v>112</v>
      </c>
      <c r="B2756" s="291" t="s">
        <v>15602</v>
      </c>
      <c r="C2756" s="292" t="s">
        <v>48</v>
      </c>
      <c r="D2756" s="293">
        <f t="shared" si="2"/>
        <v>1</v>
      </c>
      <c r="E2756" s="294"/>
      <c r="F2756" s="295" t="str">
        <f>IFERROR(__xludf.DUMMYFUNCTION("IF(B2756="""","""",IFERROR(VLOOKUP(TO_TEXT(B2756),PEDIDOS!D:I,6,0),IFERROR(VLOOKUP(B2756*1,PEDIDOS!D:I,6,0),"" "")))"),"ENTREGUE")</f>
        <v>ENTREGUE</v>
      </c>
      <c r="G2756" s="303"/>
      <c r="H2756" s="304"/>
    </row>
    <row r="2757">
      <c r="A2757" s="302" t="s">
        <v>112</v>
      </c>
      <c r="B2757" s="291" t="s">
        <v>14414</v>
      </c>
      <c r="C2757" s="292" t="s">
        <v>48</v>
      </c>
      <c r="D2757" s="293">
        <f t="shared" si="2"/>
        <v>1</v>
      </c>
      <c r="E2757" s="294"/>
      <c r="F2757" s="295" t="str">
        <f>IFERROR(__xludf.DUMMYFUNCTION("IF(B2757="""","""",IFERROR(VLOOKUP(TO_TEXT(B2757),PEDIDOS!D:I,6,0),IFERROR(VLOOKUP(B2757*1,PEDIDOS!D:I,6,0),"" "")))"),"ENTREGUE")</f>
        <v>ENTREGUE</v>
      </c>
      <c r="G2757" s="303"/>
      <c r="H2757" s="304"/>
    </row>
    <row r="2758">
      <c r="A2758" s="302" t="s">
        <v>112</v>
      </c>
      <c r="B2758" s="291" t="s">
        <v>17002</v>
      </c>
      <c r="C2758" s="292" t="s">
        <v>48</v>
      </c>
      <c r="D2758" s="293">
        <f t="shared" si="2"/>
        <v>1</v>
      </c>
      <c r="E2758" s="294"/>
      <c r="F2758" s="295" t="str">
        <f>IFERROR(__xludf.DUMMYFUNCTION("IF(B2758="""","""",IFERROR(VLOOKUP(TO_TEXT(B2758),PEDIDOS!D:I,6,0),IFERROR(VLOOKUP(B2758*1,PEDIDOS!D:I,6,0),"" "")))"),"ENTREGUE")</f>
        <v>ENTREGUE</v>
      </c>
      <c r="G2758" s="303"/>
      <c r="H2758" s="304"/>
    </row>
    <row r="2759">
      <c r="A2759" s="302" t="s">
        <v>112</v>
      </c>
      <c r="B2759" s="291" t="s">
        <v>16970</v>
      </c>
      <c r="C2759" s="292" t="s">
        <v>48</v>
      </c>
      <c r="D2759" s="293">
        <f t="shared" si="2"/>
        <v>1</v>
      </c>
      <c r="E2759" s="294"/>
      <c r="F2759" s="295" t="str">
        <f>IFERROR(__xludf.DUMMYFUNCTION("IF(B2759="""","""",IFERROR(VLOOKUP(TO_TEXT(B2759),PEDIDOS!D:I,6,0),IFERROR(VLOOKUP(B2759*1,PEDIDOS!D:I,6,0),"" "")))"),"ENTREGUE")</f>
        <v>ENTREGUE</v>
      </c>
      <c r="G2759" s="303"/>
      <c r="H2759" s="304"/>
    </row>
    <row r="2760">
      <c r="A2760" s="302" t="s">
        <v>112</v>
      </c>
      <c r="B2760" s="291" t="s">
        <v>14889</v>
      </c>
      <c r="C2760" s="292" t="s">
        <v>48</v>
      </c>
      <c r="D2760" s="293">
        <f t="shared" si="2"/>
        <v>1</v>
      </c>
      <c r="E2760" s="294"/>
      <c r="F2760" s="295" t="str">
        <f>IFERROR(__xludf.DUMMYFUNCTION("IF(B2760="""","""",IFERROR(VLOOKUP(TO_TEXT(B2760),PEDIDOS!D:I,6,0),IFERROR(VLOOKUP(B2760*1,PEDIDOS!D:I,6,0),"" "")))"),"ENTREGUE")</f>
        <v>ENTREGUE</v>
      </c>
      <c r="G2760" s="303"/>
      <c r="H2760" s="304"/>
    </row>
    <row r="2761">
      <c r="A2761" s="302" t="s">
        <v>112</v>
      </c>
      <c r="B2761" s="291" t="s">
        <v>14759</v>
      </c>
      <c r="C2761" s="292" t="s">
        <v>48</v>
      </c>
      <c r="D2761" s="293">
        <f t="shared" si="2"/>
        <v>1</v>
      </c>
      <c r="E2761" s="294"/>
      <c r="F2761" s="295" t="str">
        <f>IFERROR(__xludf.DUMMYFUNCTION("IF(B2761="""","""",IFERROR(VLOOKUP(TO_TEXT(B2761),PEDIDOS!D:I,6,0),IFERROR(VLOOKUP(B2761*1,PEDIDOS!D:I,6,0),"" "")))"),"ENTREGUE")</f>
        <v>ENTREGUE</v>
      </c>
      <c r="G2761" s="303"/>
      <c r="H2761" s="304"/>
    </row>
    <row r="2762">
      <c r="A2762" s="302" t="s">
        <v>112</v>
      </c>
      <c r="B2762" s="291" t="s">
        <v>16766</v>
      </c>
      <c r="C2762" s="292" t="s">
        <v>48</v>
      </c>
      <c r="D2762" s="293">
        <f t="shared" si="2"/>
        <v>1</v>
      </c>
      <c r="E2762" s="294"/>
      <c r="F2762" s="295" t="str">
        <f>IFERROR(__xludf.DUMMYFUNCTION("IF(B2762="""","""",IFERROR(VLOOKUP(TO_TEXT(B2762),PEDIDOS!D:I,6,0),IFERROR(VLOOKUP(B2762*1,PEDIDOS!D:I,6,0),"" "")))"),"ENTREGUE")</f>
        <v>ENTREGUE</v>
      </c>
      <c r="G2762" s="303"/>
      <c r="H2762" s="304"/>
    </row>
    <row r="2763">
      <c r="A2763" s="302" t="s">
        <v>112</v>
      </c>
      <c r="B2763" s="291" t="s">
        <v>16762</v>
      </c>
      <c r="C2763" s="292" t="s">
        <v>48</v>
      </c>
      <c r="D2763" s="293">
        <f t="shared" si="2"/>
        <v>1</v>
      </c>
      <c r="E2763" s="294"/>
      <c r="F2763" s="295" t="str">
        <f>IFERROR(__xludf.DUMMYFUNCTION("IF(B2763="""","""",IFERROR(VLOOKUP(TO_TEXT(B2763),PEDIDOS!D:I,6,0),IFERROR(VLOOKUP(B2763*1,PEDIDOS!D:I,6,0),"" "")))"),"ENTREGUE")</f>
        <v>ENTREGUE</v>
      </c>
      <c r="G2763" s="303"/>
      <c r="H2763" s="304"/>
    </row>
    <row r="2764">
      <c r="A2764" s="302" t="s">
        <v>112</v>
      </c>
      <c r="B2764" s="291" t="s">
        <v>15867</v>
      </c>
      <c r="C2764" s="292" t="s">
        <v>48</v>
      </c>
      <c r="D2764" s="293">
        <f t="shared" si="2"/>
        <v>1</v>
      </c>
      <c r="E2764" s="294"/>
      <c r="F2764" s="295" t="str">
        <f>IFERROR(__xludf.DUMMYFUNCTION("IF(B2764="""","""",IFERROR(VLOOKUP(TO_TEXT(B2764),PEDIDOS!D:I,6,0),IFERROR(VLOOKUP(B2764*1,PEDIDOS!D:I,6,0),"" "")))"),"ENTREGUE")</f>
        <v>ENTREGUE</v>
      </c>
      <c r="G2764" s="303"/>
      <c r="H2764" s="304"/>
    </row>
    <row r="2765">
      <c r="A2765" s="302" t="s">
        <v>112</v>
      </c>
      <c r="B2765" s="291" t="s">
        <v>23439</v>
      </c>
      <c r="C2765" s="292" t="s">
        <v>48</v>
      </c>
      <c r="D2765" s="293">
        <f t="shared" si="2"/>
        <v>1</v>
      </c>
      <c r="E2765" s="294"/>
      <c r="F2765" s="295" t="str">
        <f>IFERROR(__xludf.DUMMYFUNCTION("IF(B2765="""","""",IFERROR(VLOOKUP(TO_TEXT(B2765),PEDIDOS!D:I,6,0),IFERROR(VLOOKUP(B2765*1,PEDIDOS!D:I,6,0),"" "")))")," ")</f>
        <v> </v>
      </c>
      <c r="G2765" s="307" t="s">
        <v>23334</v>
      </c>
      <c r="H2765" s="304"/>
    </row>
    <row r="2766">
      <c r="A2766" s="302" t="s">
        <v>4430</v>
      </c>
      <c r="B2766" s="291" t="s">
        <v>15948</v>
      </c>
      <c r="C2766" s="292" t="s">
        <v>48</v>
      </c>
      <c r="D2766" s="293">
        <f t="shared" si="2"/>
        <v>1</v>
      </c>
      <c r="E2766" s="294"/>
      <c r="F2766" s="295" t="str">
        <f>IFERROR(__xludf.DUMMYFUNCTION("IF(B2766="""","""",IFERROR(VLOOKUP(TO_TEXT(B2766),PEDIDOS!D:I,6,0),IFERROR(VLOOKUP(B2766*1,PEDIDOS!D:I,6,0),"" "")))"),"ENTREGUE")</f>
        <v>ENTREGUE</v>
      </c>
      <c r="G2766" s="303"/>
      <c r="H2766" s="304"/>
    </row>
    <row r="2767">
      <c r="A2767" s="302" t="s">
        <v>4430</v>
      </c>
      <c r="B2767" s="291" t="s">
        <v>15956</v>
      </c>
      <c r="C2767" s="292" t="s">
        <v>48</v>
      </c>
      <c r="D2767" s="293">
        <f t="shared" si="2"/>
        <v>1</v>
      </c>
      <c r="E2767" s="294"/>
      <c r="F2767" s="295" t="str">
        <f>IFERROR(__xludf.DUMMYFUNCTION("IF(B2767="""","""",IFERROR(VLOOKUP(TO_TEXT(B2767),PEDIDOS!D:I,6,0),IFERROR(VLOOKUP(B2767*1,PEDIDOS!D:I,6,0),"" "")))"),"ENTREGUE")</f>
        <v>ENTREGUE</v>
      </c>
      <c r="G2767" s="303"/>
      <c r="H2767" s="304"/>
    </row>
    <row r="2768">
      <c r="A2768" s="302" t="s">
        <v>4430</v>
      </c>
      <c r="B2768" s="291" t="s">
        <v>15786</v>
      </c>
      <c r="C2768" s="292" t="s">
        <v>48</v>
      </c>
      <c r="D2768" s="293">
        <f t="shared" si="2"/>
        <v>1</v>
      </c>
      <c r="E2768" s="294"/>
      <c r="F2768" s="295" t="str">
        <f>IFERROR(__xludf.DUMMYFUNCTION("IF(B2768="""","""",IFERROR(VLOOKUP(TO_TEXT(B2768),PEDIDOS!D:I,6,0),IFERROR(VLOOKUP(B2768*1,PEDIDOS!D:I,6,0),"" "")))"),"ENTREGUE")</f>
        <v>ENTREGUE</v>
      </c>
      <c r="G2768" s="303"/>
      <c r="H2768" s="304"/>
    </row>
    <row r="2769">
      <c r="A2769" s="302" t="s">
        <v>4430</v>
      </c>
      <c r="B2769" s="291" t="s">
        <v>15778</v>
      </c>
      <c r="C2769" s="292" t="s">
        <v>48</v>
      </c>
      <c r="D2769" s="293">
        <f t="shared" si="2"/>
        <v>1</v>
      </c>
      <c r="E2769" s="294"/>
      <c r="F2769" s="295" t="str">
        <f>IFERROR(__xludf.DUMMYFUNCTION("IF(B2769="""","""",IFERROR(VLOOKUP(TO_TEXT(B2769),PEDIDOS!D:I,6,0),IFERROR(VLOOKUP(B2769*1,PEDIDOS!D:I,6,0),"" "")))"),"ENTREGUE")</f>
        <v>ENTREGUE</v>
      </c>
      <c r="G2769" s="303"/>
      <c r="H2769" s="304"/>
    </row>
    <row r="2770">
      <c r="A2770" s="302" t="s">
        <v>4430</v>
      </c>
      <c r="B2770" s="291" t="s">
        <v>15794</v>
      </c>
      <c r="C2770" s="292" t="s">
        <v>48</v>
      </c>
      <c r="D2770" s="293">
        <f t="shared" si="2"/>
        <v>1</v>
      </c>
      <c r="E2770" s="294"/>
      <c r="F2770" s="295" t="str">
        <f>IFERROR(__xludf.DUMMYFUNCTION("IF(B2770="""","""",IFERROR(VLOOKUP(TO_TEXT(B2770),PEDIDOS!D:I,6,0),IFERROR(VLOOKUP(B2770*1,PEDIDOS!D:I,6,0),"" "")))"),"ENTREGUE")</f>
        <v>ENTREGUE</v>
      </c>
      <c r="G2770" s="303"/>
      <c r="H2770" s="304"/>
    </row>
    <row r="2771">
      <c r="A2771" s="302" t="s">
        <v>4430</v>
      </c>
      <c r="B2771" s="291" t="s">
        <v>15790</v>
      </c>
      <c r="C2771" s="292" t="s">
        <v>48</v>
      </c>
      <c r="D2771" s="293">
        <f t="shared" si="2"/>
        <v>1</v>
      </c>
      <c r="E2771" s="294"/>
      <c r="F2771" s="295" t="str">
        <f>IFERROR(__xludf.DUMMYFUNCTION("IF(B2771="""","""",IFERROR(VLOOKUP(TO_TEXT(B2771),PEDIDOS!D:I,6,0),IFERROR(VLOOKUP(B2771*1,PEDIDOS!D:I,6,0),"" "")))"),"ENTREGUE")</f>
        <v>ENTREGUE</v>
      </c>
      <c r="G2771" s="303"/>
      <c r="H2771" s="304"/>
    </row>
    <row r="2772">
      <c r="A2772" s="302" t="s">
        <v>4430</v>
      </c>
      <c r="B2772" s="291" t="s">
        <v>15766</v>
      </c>
      <c r="C2772" s="292" t="s">
        <v>48</v>
      </c>
      <c r="D2772" s="293">
        <f t="shared" si="2"/>
        <v>1</v>
      </c>
      <c r="E2772" s="294"/>
      <c r="F2772" s="295" t="str">
        <f>IFERROR(__xludf.DUMMYFUNCTION("IF(B2772="""","""",IFERROR(VLOOKUP(TO_TEXT(B2772),PEDIDOS!D:I,6,0),IFERROR(VLOOKUP(B2772*1,PEDIDOS!D:I,6,0),"" "")))"),"ENTREGUE")</f>
        <v>ENTREGUE</v>
      </c>
      <c r="G2772" s="303"/>
      <c r="H2772" s="304"/>
    </row>
    <row r="2773">
      <c r="A2773" s="302" t="s">
        <v>4430</v>
      </c>
      <c r="B2773" s="291" t="s">
        <v>23440</v>
      </c>
      <c r="C2773" s="292" t="s">
        <v>48</v>
      </c>
      <c r="D2773" s="293">
        <f t="shared" si="2"/>
        <v>1</v>
      </c>
      <c r="E2773" s="294"/>
      <c r="F2773" s="295" t="str">
        <f>IFERROR(__xludf.DUMMYFUNCTION("IF(B2773="""","""",IFERROR(VLOOKUP(TO_TEXT(B2773),PEDIDOS!D:I,6,0),IFERROR(VLOOKUP(B2773*1,PEDIDOS!D:I,6,0),"" "")))")," ")</f>
        <v> </v>
      </c>
      <c r="G2773" s="303" t="s">
        <v>23334</v>
      </c>
      <c r="H2773" s="304"/>
    </row>
    <row r="2774">
      <c r="A2774" s="302" t="s">
        <v>4430</v>
      </c>
      <c r="B2774" s="291" t="s">
        <v>14690</v>
      </c>
      <c r="C2774" s="292" t="s">
        <v>48</v>
      </c>
      <c r="D2774" s="293">
        <f t="shared" si="2"/>
        <v>1</v>
      </c>
      <c r="E2774" s="294"/>
      <c r="F2774" s="295" t="str">
        <f>IFERROR(__xludf.DUMMYFUNCTION("IF(B2774="""","""",IFERROR(VLOOKUP(TO_TEXT(B2774),PEDIDOS!D:I,6,0),IFERROR(VLOOKUP(B2774*1,PEDIDOS!D:I,6,0),"" "")))"),"ENTREGUE")</f>
        <v>ENTREGUE</v>
      </c>
      <c r="G2774" s="303"/>
      <c r="H2774" s="304"/>
    </row>
    <row r="2775">
      <c r="A2775" s="302" t="s">
        <v>4430</v>
      </c>
      <c r="B2775" s="291" t="s">
        <v>15806</v>
      </c>
      <c r="C2775" s="292" t="s">
        <v>48</v>
      </c>
      <c r="D2775" s="293">
        <f t="shared" si="2"/>
        <v>1</v>
      </c>
      <c r="E2775" s="294"/>
      <c r="F2775" s="295" t="str">
        <f>IFERROR(__xludf.DUMMYFUNCTION("IF(B2775="""","""",IFERROR(VLOOKUP(TO_TEXT(B2775),PEDIDOS!D:I,6,0),IFERROR(VLOOKUP(B2775*1,PEDIDOS!D:I,6,0),"" "")))"),"ENTREGUE")</f>
        <v>ENTREGUE</v>
      </c>
      <c r="G2775" s="303"/>
      <c r="H2775" s="304"/>
    </row>
    <row r="2776">
      <c r="A2776" s="302" t="s">
        <v>4430</v>
      </c>
      <c r="B2776" s="291" t="s">
        <v>16322</v>
      </c>
      <c r="C2776" s="292" t="s">
        <v>48</v>
      </c>
      <c r="D2776" s="293">
        <f t="shared" si="2"/>
        <v>1</v>
      </c>
      <c r="E2776" s="294"/>
      <c r="F2776" s="295" t="str">
        <f>IFERROR(__xludf.DUMMYFUNCTION("IF(B2776="""","""",IFERROR(VLOOKUP(TO_TEXT(B2776),PEDIDOS!D:I,6,0),IFERROR(VLOOKUP(B2776*1,PEDIDOS!D:I,6,0),"" "")))"),"ENTREGUE")</f>
        <v>ENTREGUE</v>
      </c>
      <c r="G2776" s="303"/>
      <c r="H2776" s="304"/>
    </row>
    <row r="2777">
      <c r="A2777" s="302" t="s">
        <v>4430</v>
      </c>
      <c r="B2777" s="291" t="s">
        <v>16933</v>
      </c>
      <c r="C2777" s="292" t="s">
        <v>48</v>
      </c>
      <c r="D2777" s="293">
        <f t="shared" si="2"/>
        <v>1</v>
      </c>
      <c r="E2777" s="294"/>
      <c r="F2777" s="295" t="str">
        <f>IFERROR(__xludf.DUMMYFUNCTION("IF(B2777="""","""",IFERROR(VLOOKUP(TO_TEXT(B2777),PEDIDOS!D:I,6,0),IFERROR(VLOOKUP(B2777*1,PEDIDOS!D:I,6,0),"" "")))"),"ENTREGUE")</f>
        <v>ENTREGUE</v>
      </c>
      <c r="G2777" s="303"/>
      <c r="H2777" s="304"/>
    </row>
    <row r="2778">
      <c r="A2778" s="302" t="s">
        <v>4430</v>
      </c>
      <c r="B2778" s="291" t="s">
        <v>23441</v>
      </c>
      <c r="C2778" s="292" t="s">
        <v>48</v>
      </c>
      <c r="D2778" s="293">
        <f t="shared" si="2"/>
        <v>1</v>
      </c>
      <c r="E2778" s="294"/>
      <c r="F2778" s="295" t="str">
        <f>IFERROR(__xludf.DUMMYFUNCTION("IF(B2778="""","""",IFERROR(VLOOKUP(TO_TEXT(B2778),PEDIDOS!D:I,6,0),IFERROR(VLOOKUP(B2778*1,PEDIDOS!D:I,6,0),"" "")))")," ")</f>
        <v> </v>
      </c>
      <c r="G2778" s="303" t="s">
        <v>23334</v>
      </c>
      <c r="H2778" s="304"/>
    </row>
    <row r="2779">
      <c r="A2779" s="302" t="s">
        <v>4430</v>
      </c>
      <c r="B2779" s="291" t="s">
        <v>18097</v>
      </c>
      <c r="C2779" s="292" t="s">
        <v>48</v>
      </c>
      <c r="D2779" s="293">
        <f t="shared" si="2"/>
        <v>1</v>
      </c>
      <c r="E2779" s="294"/>
      <c r="F2779" s="295" t="str">
        <f>IFERROR(__xludf.DUMMYFUNCTION("IF(B2779="""","""",IFERROR(VLOOKUP(TO_TEXT(B2779),PEDIDOS!D:I,6,0),IFERROR(VLOOKUP(B2779*1,PEDIDOS!D:I,6,0),"" "")))"),"ENTREGUE")</f>
        <v>ENTREGUE</v>
      </c>
      <c r="G2779" s="303"/>
      <c r="H2779" s="304"/>
    </row>
    <row r="2780">
      <c r="A2780" s="302" t="s">
        <v>4430</v>
      </c>
      <c r="B2780" s="291" t="s">
        <v>16584</v>
      </c>
      <c r="C2780" s="292" t="s">
        <v>48</v>
      </c>
      <c r="D2780" s="293">
        <f t="shared" si="2"/>
        <v>1</v>
      </c>
      <c r="E2780" s="294"/>
      <c r="F2780" s="295" t="str">
        <f>IFERROR(__xludf.DUMMYFUNCTION("IF(B2780="""","""",IFERROR(VLOOKUP(TO_TEXT(B2780),PEDIDOS!D:I,6,0),IFERROR(VLOOKUP(B2780*1,PEDIDOS!D:I,6,0),"" "")))"),"ENTREGUE")</f>
        <v>ENTREGUE</v>
      </c>
      <c r="G2780" s="303"/>
      <c r="H2780" s="304"/>
    </row>
    <row r="2781">
      <c r="A2781" s="302" t="s">
        <v>4430</v>
      </c>
      <c r="B2781" s="291" t="s">
        <v>14675</v>
      </c>
      <c r="C2781" s="292" t="s">
        <v>48</v>
      </c>
      <c r="D2781" s="293">
        <f t="shared" si="2"/>
        <v>1</v>
      </c>
      <c r="E2781" s="294"/>
      <c r="F2781" s="295" t="str">
        <f>IFERROR(__xludf.DUMMYFUNCTION("IF(B2781="""","""",IFERROR(VLOOKUP(TO_TEXT(B2781),PEDIDOS!D:I,6,0),IFERROR(VLOOKUP(B2781*1,PEDIDOS!D:I,6,0),"" "")))"),"ENTREGUE")</f>
        <v>ENTREGUE</v>
      </c>
      <c r="G2781" s="303"/>
      <c r="H2781" s="304"/>
    </row>
    <row r="2782">
      <c r="A2782" s="302" t="s">
        <v>4430</v>
      </c>
      <c r="B2782" s="291" t="s">
        <v>16494</v>
      </c>
      <c r="C2782" s="292" t="s">
        <v>48</v>
      </c>
      <c r="D2782" s="293">
        <f t="shared" si="2"/>
        <v>1</v>
      </c>
      <c r="E2782" s="294"/>
      <c r="F2782" s="295" t="str">
        <f>IFERROR(__xludf.DUMMYFUNCTION("IF(B2782="""","""",IFERROR(VLOOKUP(TO_TEXT(B2782),PEDIDOS!D:I,6,0),IFERROR(VLOOKUP(B2782*1,PEDIDOS!D:I,6,0),"" "")))"),"ENTREGUE")</f>
        <v>ENTREGUE</v>
      </c>
      <c r="G2782" s="303"/>
      <c r="H2782" s="304"/>
    </row>
    <row r="2783">
      <c r="A2783" s="302" t="s">
        <v>4430</v>
      </c>
      <c r="B2783" s="291" t="s">
        <v>16938</v>
      </c>
      <c r="C2783" s="292" t="s">
        <v>48</v>
      </c>
      <c r="D2783" s="293">
        <f t="shared" si="2"/>
        <v>1</v>
      </c>
      <c r="E2783" s="294"/>
      <c r="F2783" s="295" t="str">
        <f>IFERROR(__xludf.DUMMYFUNCTION("IF(B2783="""","""",IFERROR(VLOOKUP(TO_TEXT(B2783),PEDIDOS!D:I,6,0),IFERROR(VLOOKUP(B2783*1,PEDIDOS!D:I,6,0),"" "")))"),"ENTREGUE")</f>
        <v>ENTREGUE</v>
      </c>
      <c r="G2783" s="303"/>
      <c r="H2783" s="304"/>
    </row>
    <row r="2784">
      <c r="A2784" s="302" t="s">
        <v>3395</v>
      </c>
      <c r="B2784" s="291" t="s">
        <v>17253</v>
      </c>
      <c r="C2784" s="292" t="s">
        <v>48</v>
      </c>
      <c r="D2784" s="293">
        <f t="shared" si="2"/>
        <v>1</v>
      </c>
      <c r="E2784" s="294"/>
      <c r="F2784" s="295" t="str">
        <f>IFERROR(__xludf.DUMMYFUNCTION("IF(B2784="""","""",IFERROR(VLOOKUP(TO_TEXT(B2784),PEDIDOS!D:I,6,0),IFERROR(VLOOKUP(B2784*1,PEDIDOS!D:I,6,0),"" "")))"),"ENTREGUE")</f>
        <v>ENTREGUE</v>
      </c>
      <c r="G2784" s="303"/>
      <c r="H2784" s="304"/>
    </row>
    <row r="2785">
      <c r="A2785" s="302" t="s">
        <v>3395</v>
      </c>
      <c r="B2785" s="291" t="s">
        <v>17343</v>
      </c>
      <c r="C2785" s="292" t="s">
        <v>48</v>
      </c>
      <c r="D2785" s="293">
        <f t="shared" si="2"/>
        <v>1</v>
      </c>
      <c r="E2785" s="294"/>
      <c r="F2785" s="295" t="str">
        <f>IFERROR(__xludf.DUMMYFUNCTION("IF(B2785="""","""",IFERROR(VLOOKUP(TO_TEXT(B2785),PEDIDOS!D:I,6,0),IFERROR(VLOOKUP(B2785*1,PEDIDOS!D:I,6,0),"" "")))"),"ENTREGUE")</f>
        <v>ENTREGUE</v>
      </c>
      <c r="G2785" s="303"/>
      <c r="H2785" s="304"/>
    </row>
    <row r="2786">
      <c r="A2786" s="302" t="s">
        <v>3395</v>
      </c>
      <c r="B2786" s="291" t="s">
        <v>17466</v>
      </c>
      <c r="C2786" s="292" t="s">
        <v>48</v>
      </c>
      <c r="D2786" s="293">
        <f t="shared" si="2"/>
        <v>1</v>
      </c>
      <c r="E2786" s="294"/>
      <c r="F2786" s="295" t="str">
        <f>IFERROR(__xludf.DUMMYFUNCTION("IF(B2786="""","""",IFERROR(VLOOKUP(TO_TEXT(B2786),PEDIDOS!D:I,6,0),IFERROR(VLOOKUP(B2786*1,PEDIDOS!D:I,6,0),"" "")))"),"ENTREGUE")</f>
        <v>ENTREGUE</v>
      </c>
      <c r="G2786" s="303"/>
      <c r="H2786" s="304"/>
    </row>
    <row r="2787">
      <c r="A2787" s="302" t="s">
        <v>3395</v>
      </c>
      <c r="B2787" s="291" t="s">
        <v>17503</v>
      </c>
      <c r="C2787" s="292" t="s">
        <v>48</v>
      </c>
      <c r="D2787" s="293">
        <f t="shared" si="2"/>
        <v>1</v>
      </c>
      <c r="E2787" s="294"/>
      <c r="F2787" s="295" t="str">
        <f>IFERROR(__xludf.DUMMYFUNCTION("IF(B2787="""","""",IFERROR(VLOOKUP(TO_TEXT(B2787),PEDIDOS!D:I,6,0),IFERROR(VLOOKUP(B2787*1,PEDIDOS!D:I,6,0),"" "")))"),"ENTREGUE")</f>
        <v>ENTREGUE</v>
      </c>
      <c r="G2787" s="303"/>
      <c r="H2787" s="304"/>
    </row>
    <row r="2788">
      <c r="A2788" s="302" t="s">
        <v>3395</v>
      </c>
      <c r="B2788" s="291" t="s">
        <v>17368</v>
      </c>
      <c r="C2788" s="292" t="s">
        <v>48</v>
      </c>
      <c r="D2788" s="293">
        <f t="shared" si="2"/>
        <v>1</v>
      </c>
      <c r="E2788" s="294"/>
      <c r="F2788" s="295" t="str">
        <f>IFERROR(__xludf.DUMMYFUNCTION("IF(B2788="""","""",IFERROR(VLOOKUP(TO_TEXT(B2788),PEDIDOS!D:I,6,0),IFERROR(VLOOKUP(B2788*1,PEDIDOS!D:I,6,0),"" "")))"),"ENTREGUE")</f>
        <v>ENTREGUE</v>
      </c>
      <c r="G2788" s="303"/>
      <c r="H2788" s="304"/>
    </row>
    <row r="2789">
      <c r="A2789" s="302" t="s">
        <v>3395</v>
      </c>
      <c r="B2789" s="291" t="s">
        <v>17475</v>
      </c>
      <c r="C2789" s="292" t="s">
        <v>48</v>
      </c>
      <c r="D2789" s="293">
        <f t="shared" si="2"/>
        <v>1</v>
      </c>
      <c r="E2789" s="294"/>
      <c r="F2789" s="295" t="str">
        <f>IFERROR(__xludf.DUMMYFUNCTION("IF(B2789="""","""",IFERROR(VLOOKUP(TO_TEXT(B2789),PEDIDOS!D:I,6,0),IFERROR(VLOOKUP(B2789*1,PEDIDOS!D:I,6,0),"" "")))"),"ENTREGUE")</f>
        <v>ENTREGUE</v>
      </c>
      <c r="G2789" s="303"/>
      <c r="H2789" s="304"/>
    </row>
    <row r="2790">
      <c r="A2790" s="302" t="s">
        <v>3395</v>
      </c>
      <c r="B2790" s="291" t="s">
        <v>17524</v>
      </c>
      <c r="C2790" s="292" t="s">
        <v>48</v>
      </c>
      <c r="D2790" s="293">
        <f t="shared" si="2"/>
        <v>1</v>
      </c>
      <c r="E2790" s="294"/>
      <c r="F2790" s="295" t="str">
        <f>IFERROR(__xludf.DUMMYFUNCTION("IF(B2790="""","""",IFERROR(VLOOKUP(TO_TEXT(B2790),PEDIDOS!D:I,6,0),IFERROR(VLOOKUP(B2790*1,PEDIDOS!D:I,6,0),"" "")))"),"ENTREGUE")</f>
        <v>ENTREGUE</v>
      </c>
      <c r="G2790" s="303"/>
      <c r="H2790" s="304"/>
    </row>
    <row r="2791">
      <c r="A2791" s="302" t="s">
        <v>3395</v>
      </c>
      <c r="B2791" s="291" t="s">
        <v>17956</v>
      </c>
      <c r="C2791" s="292" t="s">
        <v>48</v>
      </c>
      <c r="D2791" s="293">
        <f t="shared" si="2"/>
        <v>1</v>
      </c>
      <c r="E2791" s="294"/>
      <c r="F2791" s="295" t="str">
        <f>IFERROR(__xludf.DUMMYFUNCTION("IF(B2791="""","""",IFERROR(VLOOKUP(TO_TEXT(B2791),PEDIDOS!D:I,6,0),IFERROR(VLOOKUP(B2791*1,PEDIDOS!D:I,6,0),"" "")))"),"ENTREGUE")</f>
        <v>ENTREGUE</v>
      </c>
      <c r="G2791" s="303"/>
      <c r="H2791" s="304"/>
    </row>
    <row r="2792">
      <c r="A2792" s="302" t="s">
        <v>3395</v>
      </c>
      <c r="B2792" s="291" t="s">
        <v>17746</v>
      </c>
      <c r="C2792" s="292" t="s">
        <v>48</v>
      </c>
      <c r="D2792" s="293">
        <f t="shared" si="2"/>
        <v>1</v>
      </c>
      <c r="E2792" s="294"/>
      <c r="F2792" s="295" t="str">
        <f>IFERROR(__xludf.DUMMYFUNCTION("IF(B2792="""","""",IFERROR(VLOOKUP(TO_TEXT(B2792),PEDIDOS!D:I,6,0),IFERROR(VLOOKUP(B2792*1,PEDIDOS!D:I,6,0),"" "")))"),"ENTREGUE")</f>
        <v>ENTREGUE</v>
      </c>
      <c r="G2792" s="303"/>
      <c r="H2792" s="304"/>
    </row>
    <row r="2793">
      <c r="A2793" s="302" t="s">
        <v>3395</v>
      </c>
      <c r="B2793" s="291" t="s">
        <v>17635</v>
      </c>
      <c r="C2793" s="292" t="s">
        <v>48</v>
      </c>
      <c r="D2793" s="293">
        <f t="shared" si="2"/>
        <v>1</v>
      </c>
      <c r="E2793" s="294"/>
      <c r="F2793" s="295" t="str">
        <f>IFERROR(__xludf.DUMMYFUNCTION("IF(B2793="""","""",IFERROR(VLOOKUP(TO_TEXT(B2793),PEDIDOS!D:I,6,0),IFERROR(VLOOKUP(B2793*1,PEDIDOS!D:I,6,0),"" "")))"),"ENTREGUE")</f>
        <v>ENTREGUE</v>
      </c>
      <c r="G2793" s="303"/>
      <c r="H2793" s="304"/>
    </row>
    <row r="2794">
      <c r="A2794" s="302" t="s">
        <v>3395</v>
      </c>
      <c r="B2794" s="291" t="s">
        <v>17656</v>
      </c>
      <c r="C2794" s="292" t="s">
        <v>48</v>
      </c>
      <c r="D2794" s="293">
        <f t="shared" si="2"/>
        <v>1</v>
      </c>
      <c r="E2794" s="294"/>
      <c r="F2794" s="295" t="str">
        <f>IFERROR(__xludf.DUMMYFUNCTION("IF(B2794="""","""",IFERROR(VLOOKUP(TO_TEXT(B2794),PEDIDOS!D:I,6,0),IFERROR(VLOOKUP(B2794*1,PEDIDOS!D:I,6,0),"" "")))"),"ENTREGUE")</f>
        <v>ENTREGUE</v>
      </c>
      <c r="G2794" s="303"/>
      <c r="H2794" s="304"/>
    </row>
    <row r="2795">
      <c r="A2795" s="302" t="s">
        <v>3395</v>
      </c>
      <c r="B2795" s="291" t="s">
        <v>17187</v>
      </c>
      <c r="C2795" s="292" t="s">
        <v>48</v>
      </c>
      <c r="D2795" s="293">
        <f t="shared" si="2"/>
        <v>1</v>
      </c>
      <c r="E2795" s="294"/>
      <c r="F2795" s="295" t="str">
        <f>IFERROR(__xludf.DUMMYFUNCTION("IF(B2795="""","""",IFERROR(VLOOKUP(TO_TEXT(B2795),PEDIDOS!D:I,6,0),IFERROR(VLOOKUP(B2795*1,PEDIDOS!D:I,6,0),"" "")))"),"ENTREGUE")</f>
        <v>ENTREGUE</v>
      </c>
      <c r="G2795" s="303"/>
      <c r="H2795" s="304"/>
    </row>
    <row r="2796">
      <c r="A2796" s="302" t="s">
        <v>3395</v>
      </c>
      <c r="B2796" s="291" t="s">
        <v>17789</v>
      </c>
      <c r="C2796" s="292" t="s">
        <v>48</v>
      </c>
      <c r="D2796" s="293">
        <f t="shared" si="2"/>
        <v>1</v>
      </c>
      <c r="E2796" s="294"/>
      <c r="F2796" s="295" t="str">
        <f>IFERROR(__xludf.DUMMYFUNCTION("IF(B2796="""","""",IFERROR(VLOOKUP(TO_TEXT(B2796),PEDIDOS!D:I,6,0),IFERROR(VLOOKUP(B2796*1,PEDIDOS!D:I,6,0),"" "")))"),"ENTREGUE")</f>
        <v>ENTREGUE</v>
      </c>
      <c r="G2796" s="303"/>
      <c r="H2796" s="304"/>
    </row>
    <row r="2797">
      <c r="A2797" s="302" t="s">
        <v>3395</v>
      </c>
      <c r="B2797" s="291" t="s">
        <v>17756</v>
      </c>
      <c r="C2797" s="292" t="s">
        <v>48</v>
      </c>
      <c r="D2797" s="293">
        <f t="shared" si="2"/>
        <v>1</v>
      </c>
      <c r="E2797" s="294"/>
      <c r="F2797" s="295" t="str">
        <f>IFERROR(__xludf.DUMMYFUNCTION("IF(B2797="""","""",IFERROR(VLOOKUP(TO_TEXT(B2797),PEDIDOS!D:I,6,0),IFERROR(VLOOKUP(B2797*1,PEDIDOS!D:I,6,0),"" "")))"),"ENTREGUE")</f>
        <v>ENTREGUE</v>
      </c>
      <c r="G2797" s="303"/>
      <c r="H2797" s="304"/>
    </row>
    <row r="2798">
      <c r="A2798" s="302" t="s">
        <v>3395</v>
      </c>
      <c r="B2798" s="291" t="s">
        <v>18884</v>
      </c>
      <c r="C2798" s="292" t="s">
        <v>48</v>
      </c>
      <c r="D2798" s="293">
        <f t="shared" si="2"/>
        <v>1</v>
      </c>
      <c r="E2798" s="294"/>
      <c r="F2798" s="295" t="str">
        <f>IFERROR(__xludf.DUMMYFUNCTION("IF(B2798="""","""",IFERROR(VLOOKUP(TO_TEXT(B2798),PEDIDOS!D:I,6,0),IFERROR(VLOOKUP(B2798*1,PEDIDOS!D:I,6,0),"" "")))"),"ENTREGUE")</f>
        <v>ENTREGUE</v>
      </c>
      <c r="G2798" s="303"/>
      <c r="H2798" s="304"/>
    </row>
    <row r="2799">
      <c r="A2799" s="302" t="s">
        <v>3441</v>
      </c>
      <c r="B2799" s="291" t="s">
        <v>15451</v>
      </c>
      <c r="C2799" s="292" t="s">
        <v>48</v>
      </c>
      <c r="D2799" s="293">
        <f t="shared" si="2"/>
        <v>1</v>
      </c>
      <c r="E2799" s="294"/>
      <c r="F2799" s="295" t="str">
        <f>IFERROR(__xludf.DUMMYFUNCTION("IF(B2799="""","""",IFERROR(VLOOKUP(TO_TEXT(B2799),PEDIDOS!D:I,6,0),IFERROR(VLOOKUP(B2799*1,PEDIDOS!D:I,6,0),"" "")))"),"ENTREGUE")</f>
        <v>ENTREGUE</v>
      </c>
      <c r="G2799" s="303"/>
      <c r="H2799" s="304"/>
    </row>
    <row r="2800">
      <c r="A2800" s="302" t="s">
        <v>3441</v>
      </c>
      <c r="B2800" s="291" t="s">
        <v>15698</v>
      </c>
      <c r="C2800" s="292" t="s">
        <v>48</v>
      </c>
      <c r="D2800" s="293">
        <f t="shared" si="2"/>
        <v>1</v>
      </c>
      <c r="E2800" s="294"/>
      <c r="F2800" s="295" t="str">
        <f>IFERROR(__xludf.DUMMYFUNCTION("IF(B2800="""","""",IFERROR(VLOOKUP(TO_TEXT(B2800),PEDIDOS!D:I,6,0),IFERROR(VLOOKUP(B2800*1,PEDIDOS!D:I,6,0),"" "")))"),"ENTREGUE")</f>
        <v>ENTREGUE</v>
      </c>
      <c r="G2800" s="303"/>
      <c r="H2800" s="304"/>
    </row>
    <row r="2801">
      <c r="A2801" s="302" t="s">
        <v>3441</v>
      </c>
      <c r="B2801" s="291" t="s">
        <v>16538</v>
      </c>
      <c r="C2801" s="292" t="s">
        <v>48</v>
      </c>
      <c r="D2801" s="293">
        <f t="shared" si="2"/>
        <v>1</v>
      </c>
      <c r="E2801" s="294"/>
      <c r="F2801" s="295" t="str">
        <f>IFERROR(__xludf.DUMMYFUNCTION("IF(B2801="""","""",IFERROR(VLOOKUP(TO_TEXT(B2801),PEDIDOS!D:I,6,0),IFERROR(VLOOKUP(B2801*1,PEDIDOS!D:I,6,0),"" "")))"),"ENTREGUE")</f>
        <v>ENTREGUE</v>
      </c>
      <c r="G2801" s="303"/>
      <c r="H2801" s="304"/>
    </row>
    <row r="2802">
      <c r="A2802" s="302" t="s">
        <v>3441</v>
      </c>
      <c r="B2802" s="291" t="s">
        <v>15447</v>
      </c>
      <c r="C2802" s="292" t="s">
        <v>48</v>
      </c>
      <c r="D2802" s="293">
        <f t="shared" si="2"/>
        <v>1</v>
      </c>
      <c r="E2802" s="294"/>
      <c r="F2802" s="295" t="str">
        <f>IFERROR(__xludf.DUMMYFUNCTION("IF(B2802="""","""",IFERROR(VLOOKUP(TO_TEXT(B2802),PEDIDOS!D:I,6,0),IFERROR(VLOOKUP(B2802*1,PEDIDOS!D:I,6,0),"" "")))"),"ENTREGUE")</f>
        <v>ENTREGUE</v>
      </c>
      <c r="G2802" s="303"/>
      <c r="H2802" s="304"/>
    </row>
    <row r="2803">
      <c r="A2803" s="302" t="s">
        <v>3441</v>
      </c>
      <c r="B2803" s="291" t="s">
        <v>14931</v>
      </c>
      <c r="C2803" s="292" t="s">
        <v>48</v>
      </c>
      <c r="D2803" s="293">
        <f t="shared" si="2"/>
        <v>1</v>
      </c>
      <c r="E2803" s="294"/>
      <c r="F2803" s="295" t="str">
        <f>IFERROR(__xludf.DUMMYFUNCTION("IF(B2803="""","""",IFERROR(VLOOKUP(TO_TEXT(B2803),PEDIDOS!D:I,6,0),IFERROR(VLOOKUP(B2803*1,PEDIDOS!D:I,6,0),"" "")))"),"ENTREGUE")</f>
        <v>ENTREGUE</v>
      </c>
      <c r="G2803" s="303"/>
      <c r="H2803" s="304"/>
    </row>
    <row r="2804">
      <c r="A2804" s="302" t="s">
        <v>3441</v>
      </c>
      <c r="B2804" s="291" t="s">
        <v>15933</v>
      </c>
      <c r="C2804" s="292" t="s">
        <v>48</v>
      </c>
      <c r="D2804" s="293">
        <f t="shared" si="2"/>
        <v>1</v>
      </c>
      <c r="E2804" s="294"/>
      <c r="F2804" s="295" t="str">
        <f>IFERROR(__xludf.DUMMYFUNCTION("IF(B2804="""","""",IFERROR(VLOOKUP(TO_TEXT(B2804),PEDIDOS!D:I,6,0),IFERROR(VLOOKUP(B2804*1,PEDIDOS!D:I,6,0),"" "")))"),"ENTREGUE")</f>
        <v>ENTREGUE</v>
      </c>
      <c r="G2804" s="303"/>
      <c r="H2804" s="304"/>
    </row>
    <row r="2805">
      <c r="A2805" s="302" t="s">
        <v>3441</v>
      </c>
      <c r="B2805" s="291" t="s">
        <v>15857</v>
      </c>
      <c r="C2805" s="292" t="s">
        <v>48</v>
      </c>
      <c r="D2805" s="293">
        <f t="shared" si="2"/>
        <v>1</v>
      </c>
      <c r="E2805" s="294"/>
      <c r="F2805" s="295" t="str">
        <f>IFERROR(__xludf.DUMMYFUNCTION("IF(B2805="""","""",IFERROR(VLOOKUP(TO_TEXT(B2805),PEDIDOS!D:I,6,0),IFERROR(VLOOKUP(B2805*1,PEDIDOS!D:I,6,0),"" "")))"),"ENTREGUE")</f>
        <v>ENTREGUE</v>
      </c>
      <c r="G2805" s="303"/>
      <c r="H2805" s="304"/>
    </row>
    <row r="2806">
      <c r="A2806" s="302" t="s">
        <v>3441</v>
      </c>
      <c r="B2806" s="291" t="s">
        <v>15428</v>
      </c>
      <c r="C2806" s="292" t="s">
        <v>48</v>
      </c>
      <c r="D2806" s="293">
        <f t="shared" si="2"/>
        <v>1</v>
      </c>
      <c r="E2806" s="294"/>
      <c r="F2806" s="295" t="str">
        <f>IFERROR(__xludf.DUMMYFUNCTION("IF(B2806="""","""",IFERROR(VLOOKUP(TO_TEXT(B2806),PEDIDOS!D:I,6,0),IFERROR(VLOOKUP(B2806*1,PEDIDOS!D:I,6,0),"" "")))"),"ENTREGUE")</f>
        <v>ENTREGUE</v>
      </c>
      <c r="G2806" s="303"/>
      <c r="H2806" s="304"/>
    </row>
    <row r="2807">
      <c r="A2807" s="302" t="s">
        <v>3441</v>
      </c>
      <c r="B2807" s="291" t="s">
        <v>15834</v>
      </c>
      <c r="C2807" s="292" t="s">
        <v>48</v>
      </c>
      <c r="D2807" s="293">
        <f t="shared" si="2"/>
        <v>1</v>
      </c>
      <c r="E2807" s="294"/>
      <c r="F2807" s="295" t="str">
        <f>IFERROR(__xludf.DUMMYFUNCTION("IF(B2807="""","""",IFERROR(VLOOKUP(TO_TEXT(B2807),PEDIDOS!D:I,6,0),IFERROR(VLOOKUP(B2807*1,PEDIDOS!D:I,6,0),"" "")))"),"ENTREGUE")</f>
        <v>ENTREGUE</v>
      </c>
      <c r="G2807" s="303"/>
      <c r="H2807" s="304"/>
    </row>
    <row r="2808">
      <c r="A2808" s="302" t="s">
        <v>3441</v>
      </c>
      <c r="B2808" s="291" t="s">
        <v>15839</v>
      </c>
      <c r="C2808" s="292" t="s">
        <v>48</v>
      </c>
      <c r="D2808" s="293">
        <f t="shared" si="2"/>
        <v>1</v>
      </c>
      <c r="E2808" s="294"/>
      <c r="F2808" s="295" t="str">
        <f>IFERROR(__xludf.DUMMYFUNCTION("IF(B2808="""","""",IFERROR(VLOOKUP(TO_TEXT(B2808),PEDIDOS!D:I,6,0),IFERROR(VLOOKUP(B2808*1,PEDIDOS!D:I,6,0),"" "")))"),"ENTREGUE")</f>
        <v>ENTREGUE</v>
      </c>
      <c r="G2808" s="303"/>
      <c r="H2808" s="304"/>
    </row>
    <row r="2809">
      <c r="A2809" s="302" t="s">
        <v>3441</v>
      </c>
      <c r="B2809" s="291" t="s">
        <v>14881</v>
      </c>
      <c r="C2809" s="292" t="s">
        <v>48</v>
      </c>
      <c r="D2809" s="293">
        <f t="shared" si="2"/>
        <v>1</v>
      </c>
      <c r="E2809" s="294"/>
      <c r="F2809" s="295" t="str">
        <f>IFERROR(__xludf.DUMMYFUNCTION("IF(B2809="""","""",IFERROR(VLOOKUP(TO_TEXT(B2809),PEDIDOS!D:I,6,0),IFERROR(VLOOKUP(B2809*1,PEDIDOS!D:I,6,0),"" "")))"),"ENTREGUE")</f>
        <v>ENTREGUE</v>
      </c>
      <c r="G2809" s="303"/>
      <c r="H2809" s="304"/>
    </row>
    <row r="2810">
      <c r="A2810" s="302" t="s">
        <v>3441</v>
      </c>
      <c r="B2810" s="291" t="s">
        <v>16103</v>
      </c>
      <c r="C2810" s="292" t="s">
        <v>48</v>
      </c>
      <c r="D2810" s="293">
        <f t="shared" si="2"/>
        <v>1</v>
      </c>
      <c r="E2810" s="294"/>
      <c r="F2810" s="295" t="str">
        <f>IFERROR(__xludf.DUMMYFUNCTION("IF(B2810="""","""",IFERROR(VLOOKUP(TO_TEXT(B2810),PEDIDOS!D:I,6,0),IFERROR(VLOOKUP(B2810*1,PEDIDOS!D:I,6,0),"" "")))"),"ENTREGUE")</f>
        <v>ENTREGUE</v>
      </c>
      <c r="G2810" s="303"/>
      <c r="H2810" s="304"/>
    </row>
    <row r="2811">
      <c r="A2811" s="302" t="s">
        <v>3441</v>
      </c>
      <c r="B2811" s="291" t="s">
        <v>14848</v>
      </c>
      <c r="C2811" s="292" t="s">
        <v>48</v>
      </c>
      <c r="D2811" s="293">
        <f t="shared" si="2"/>
        <v>1</v>
      </c>
      <c r="E2811" s="294"/>
      <c r="F2811" s="295" t="str">
        <f>IFERROR(__xludf.DUMMYFUNCTION("IF(B2811="""","""",IFERROR(VLOOKUP(TO_TEXT(B2811),PEDIDOS!D:I,6,0),IFERROR(VLOOKUP(B2811*1,PEDIDOS!D:I,6,0),"" "")))"),"ENTREGUE")</f>
        <v>ENTREGUE</v>
      </c>
      <c r="G2811" s="303"/>
      <c r="H2811" s="304"/>
    </row>
    <row r="2812">
      <c r="A2812" s="302" t="s">
        <v>3441</v>
      </c>
      <c r="B2812" s="291" t="s">
        <v>16564</v>
      </c>
      <c r="C2812" s="292" t="s">
        <v>48</v>
      </c>
      <c r="D2812" s="293">
        <f t="shared" si="2"/>
        <v>1</v>
      </c>
      <c r="E2812" s="294"/>
      <c r="F2812" s="295" t="str">
        <f>IFERROR(__xludf.DUMMYFUNCTION("IF(B2812="""","""",IFERROR(VLOOKUP(TO_TEXT(B2812),PEDIDOS!D:I,6,0),IFERROR(VLOOKUP(B2812*1,PEDIDOS!D:I,6,0),"" "")))"),"ENTREGUE")</f>
        <v>ENTREGUE</v>
      </c>
      <c r="G2812" s="303"/>
      <c r="H2812" s="304"/>
    </row>
    <row r="2813">
      <c r="A2813" s="302" t="s">
        <v>3441</v>
      </c>
      <c r="B2813" s="291" t="s">
        <v>14740</v>
      </c>
      <c r="C2813" s="292" t="s">
        <v>48</v>
      </c>
      <c r="D2813" s="293">
        <f t="shared" si="2"/>
        <v>1</v>
      </c>
      <c r="E2813" s="294"/>
      <c r="F2813" s="295" t="str">
        <f>IFERROR(__xludf.DUMMYFUNCTION("IF(B2813="""","""",IFERROR(VLOOKUP(TO_TEXT(B2813),PEDIDOS!D:I,6,0),IFERROR(VLOOKUP(B2813*1,PEDIDOS!D:I,6,0),"" "")))"),"ENTREGUE")</f>
        <v>ENTREGUE</v>
      </c>
      <c r="G2813" s="303"/>
      <c r="H2813" s="304"/>
    </row>
    <row r="2814">
      <c r="A2814" s="302" t="s">
        <v>3441</v>
      </c>
      <c r="B2814" s="291" t="s">
        <v>16043</v>
      </c>
      <c r="C2814" s="292" t="s">
        <v>48</v>
      </c>
      <c r="D2814" s="293">
        <f t="shared" si="2"/>
        <v>1</v>
      </c>
      <c r="E2814" s="294"/>
      <c r="F2814" s="295" t="str">
        <f>IFERROR(__xludf.DUMMYFUNCTION("IF(B2814="""","""",IFERROR(VLOOKUP(TO_TEXT(B2814),PEDIDOS!D:I,6,0),IFERROR(VLOOKUP(B2814*1,PEDIDOS!D:I,6,0),"" "")))"),"ENTREGUE")</f>
        <v>ENTREGUE</v>
      </c>
      <c r="G2814" s="303"/>
      <c r="H2814" s="304"/>
    </row>
    <row r="2815">
      <c r="A2815" s="302" t="s">
        <v>3441</v>
      </c>
      <c r="B2815" s="291" t="s">
        <v>14694</v>
      </c>
      <c r="C2815" s="292" t="s">
        <v>48</v>
      </c>
      <c r="D2815" s="293">
        <f t="shared" si="2"/>
        <v>1</v>
      </c>
      <c r="E2815" s="294"/>
      <c r="F2815" s="295" t="str">
        <f>IFERROR(__xludf.DUMMYFUNCTION("IF(B2815="""","""",IFERROR(VLOOKUP(TO_TEXT(B2815),PEDIDOS!D:I,6,0),IFERROR(VLOOKUP(B2815*1,PEDIDOS!D:I,6,0),"" "")))"),"ENTREGUE")</f>
        <v>ENTREGUE</v>
      </c>
      <c r="G2815" s="303"/>
      <c r="H2815" s="304"/>
    </row>
    <row r="2816">
      <c r="A2816" s="302" t="s">
        <v>3441</v>
      </c>
      <c r="B2816" s="291" t="s">
        <v>15021</v>
      </c>
      <c r="C2816" s="292" t="s">
        <v>48</v>
      </c>
      <c r="D2816" s="293">
        <f t="shared" si="2"/>
        <v>1</v>
      </c>
      <c r="E2816" s="294"/>
      <c r="F2816" s="295" t="str">
        <f>IFERROR(__xludf.DUMMYFUNCTION("IF(B2816="""","""",IFERROR(VLOOKUP(TO_TEXT(B2816),PEDIDOS!D:I,6,0),IFERROR(VLOOKUP(B2816*1,PEDIDOS!D:I,6,0),"" "")))"),"ENTREGUE")</f>
        <v>ENTREGUE</v>
      </c>
      <c r="G2816" s="303"/>
      <c r="H2816" s="304"/>
    </row>
    <row r="2817">
      <c r="A2817" s="302" t="s">
        <v>3441</v>
      </c>
      <c r="B2817" s="291" t="s">
        <v>15818</v>
      </c>
      <c r="C2817" s="292" t="s">
        <v>48</v>
      </c>
      <c r="D2817" s="293">
        <f t="shared" si="2"/>
        <v>1</v>
      </c>
      <c r="E2817" s="294"/>
      <c r="F2817" s="295" t="str">
        <f>IFERROR(__xludf.DUMMYFUNCTION("IF(B2817="""","""",IFERROR(VLOOKUP(TO_TEXT(B2817),PEDIDOS!D:I,6,0),IFERROR(VLOOKUP(B2817*1,PEDIDOS!D:I,6,0),"" "")))"),"ENTREGUE")</f>
        <v>ENTREGUE</v>
      </c>
      <c r="G2817" s="303"/>
      <c r="H2817" s="304"/>
    </row>
    <row r="2818">
      <c r="A2818" s="302" t="s">
        <v>3441</v>
      </c>
      <c r="B2818" s="291" t="s">
        <v>15928</v>
      </c>
      <c r="C2818" s="292" t="s">
        <v>48</v>
      </c>
      <c r="D2818" s="293">
        <f t="shared" si="2"/>
        <v>1</v>
      </c>
      <c r="E2818" s="294"/>
      <c r="F2818" s="295" t="str">
        <f>IFERROR(__xludf.DUMMYFUNCTION("IF(B2818="""","""",IFERROR(VLOOKUP(TO_TEXT(B2818),PEDIDOS!D:I,6,0),IFERROR(VLOOKUP(B2818*1,PEDIDOS!D:I,6,0),"" "")))"),"ENTREGUE")</f>
        <v>ENTREGUE</v>
      </c>
      <c r="G2818" s="303"/>
      <c r="H2818" s="304"/>
    </row>
    <row r="2819">
      <c r="A2819" s="302" t="s">
        <v>3441</v>
      </c>
      <c r="B2819" s="291" t="s">
        <v>15347</v>
      </c>
      <c r="C2819" s="292" t="s">
        <v>48</v>
      </c>
      <c r="D2819" s="293">
        <f t="shared" si="2"/>
        <v>1</v>
      </c>
      <c r="E2819" s="294"/>
      <c r="F2819" s="295" t="str">
        <f>IFERROR(__xludf.DUMMYFUNCTION("IF(B2819="""","""",IFERROR(VLOOKUP(TO_TEXT(B2819),PEDIDOS!D:I,6,0),IFERROR(VLOOKUP(B2819*1,PEDIDOS!D:I,6,0),"" "")))"),"ENTREGUE")</f>
        <v>ENTREGUE</v>
      </c>
      <c r="G2819" s="303"/>
      <c r="H2819" s="304"/>
    </row>
    <row r="2820">
      <c r="A2820" s="302" t="s">
        <v>3441</v>
      </c>
      <c r="B2820" s="291" t="s">
        <v>15088</v>
      </c>
      <c r="C2820" s="292" t="s">
        <v>48</v>
      </c>
      <c r="D2820" s="293">
        <f t="shared" si="2"/>
        <v>1</v>
      </c>
      <c r="E2820" s="294"/>
      <c r="F2820" s="295" t="str">
        <f>IFERROR(__xludf.DUMMYFUNCTION("IF(B2820="""","""",IFERROR(VLOOKUP(TO_TEXT(B2820),PEDIDOS!D:I,6,0),IFERROR(VLOOKUP(B2820*1,PEDIDOS!D:I,6,0),"" "")))"),"ENTREGUE")</f>
        <v>ENTREGUE</v>
      </c>
      <c r="G2820" s="303"/>
      <c r="H2820" s="304"/>
    </row>
    <row r="2821">
      <c r="A2821" s="302" t="s">
        <v>3441</v>
      </c>
      <c r="B2821" s="291" t="s">
        <v>14405</v>
      </c>
      <c r="C2821" s="292" t="s">
        <v>48</v>
      </c>
      <c r="D2821" s="293">
        <f t="shared" si="2"/>
        <v>1</v>
      </c>
      <c r="E2821" s="294"/>
      <c r="F2821" s="295" t="str">
        <f>IFERROR(__xludf.DUMMYFUNCTION("IF(B2821="""","""",IFERROR(VLOOKUP(TO_TEXT(B2821),PEDIDOS!D:I,6,0),IFERROR(VLOOKUP(B2821*1,PEDIDOS!D:I,6,0),"" "")))"),"ENTREGUE")</f>
        <v>ENTREGUE</v>
      </c>
      <c r="G2821" s="303"/>
      <c r="H2821" s="304"/>
    </row>
    <row r="2822">
      <c r="A2822" s="302" t="s">
        <v>3441</v>
      </c>
      <c r="B2822" s="291" t="s">
        <v>15120</v>
      </c>
      <c r="C2822" s="292" t="s">
        <v>48</v>
      </c>
      <c r="D2822" s="293">
        <f t="shared" si="2"/>
        <v>1</v>
      </c>
      <c r="E2822" s="294"/>
      <c r="F2822" s="295" t="str">
        <f>IFERROR(__xludf.DUMMYFUNCTION("IF(B2822="""","""",IFERROR(VLOOKUP(TO_TEXT(B2822),PEDIDOS!D:I,6,0),IFERROR(VLOOKUP(B2822*1,PEDIDOS!D:I,6,0),"" "")))"),"ENTREGUE")</f>
        <v>ENTREGUE</v>
      </c>
      <c r="G2822" s="303"/>
      <c r="H2822" s="304"/>
    </row>
    <row r="2823">
      <c r="A2823" s="302" t="s">
        <v>3441</v>
      </c>
      <c r="B2823" s="291" t="s">
        <v>14873</v>
      </c>
      <c r="C2823" s="292" t="s">
        <v>48</v>
      </c>
      <c r="D2823" s="293">
        <f t="shared" si="2"/>
        <v>1</v>
      </c>
      <c r="E2823" s="294"/>
      <c r="F2823" s="295" t="str">
        <f>IFERROR(__xludf.DUMMYFUNCTION("IF(B2823="""","""",IFERROR(VLOOKUP(TO_TEXT(B2823),PEDIDOS!D:I,6,0),IFERROR(VLOOKUP(B2823*1,PEDIDOS!D:I,6,0),"" "")))"),"ENTREGUE")</f>
        <v>ENTREGUE</v>
      </c>
      <c r="G2823" s="303"/>
      <c r="H2823" s="304"/>
    </row>
    <row r="2824">
      <c r="A2824" s="302" t="s">
        <v>3441</v>
      </c>
      <c r="B2824" s="291" t="s">
        <v>15054</v>
      </c>
      <c r="C2824" s="292" t="s">
        <v>48</v>
      </c>
      <c r="D2824" s="293">
        <f t="shared" si="2"/>
        <v>1</v>
      </c>
      <c r="E2824" s="294"/>
      <c r="F2824" s="295" t="str">
        <f>IFERROR(__xludf.DUMMYFUNCTION("IF(B2824="""","""",IFERROR(VLOOKUP(TO_TEXT(B2824),PEDIDOS!D:I,6,0),IFERROR(VLOOKUP(B2824*1,PEDIDOS!D:I,6,0),"" "")))"),"ENTREGUE")</f>
        <v>ENTREGUE</v>
      </c>
      <c r="G2824" s="303"/>
      <c r="H2824" s="304"/>
    </row>
    <row r="2825">
      <c r="A2825" s="302" t="s">
        <v>3441</v>
      </c>
      <c r="B2825" s="291" t="s">
        <v>16208</v>
      </c>
      <c r="C2825" s="292" t="s">
        <v>48</v>
      </c>
      <c r="D2825" s="293">
        <f t="shared" si="2"/>
        <v>1</v>
      </c>
      <c r="E2825" s="294"/>
      <c r="F2825" s="295" t="str">
        <f>IFERROR(__xludf.DUMMYFUNCTION("IF(B2825="""","""",IFERROR(VLOOKUP(TO_TEXT(B2825),PEDIDOS!D:I,6,0),IFERROR(VLOOKUP(B2825*1,PEDIDOS!D:I,6,0),"" "")))"),"ENTREGUE")</f>
        <v>ENTREGUE</v>
      </c>
      <c r="G2825" s="303"/>
      <c r="H2825" s="304"/>
    </row>
    <row r="2826">
      <c r="A2826" s="302" t="s">
        <v>3441</v>
      </c>
      <c r="B2826" s="291" t="s">
        <v>16327</v>
      </c>
      <c r="C2826" s="292" t="s">
        <v>48</v>
      </c>
      <c r="D2826" s="293">
        <f t="shared" si="2"/>
        <v>1</v>
      </c>
      <c r="E2826" s="294"/>
      <c r="F2826" s="295" t="str">
        <f>IFERROR(__xludf.DUMMYFUNCTION("IF(B2826="""","""",IFERROR(VLOOKUP(TO_TEXT(B2826),PEDIDOS!D:I,6,0),IFERROR(VLOOKUP(B2826*1,PEDIDOS!D:I,6,0),"" "")))"),"ENTREGUE")</f>
        <v>ENTREGUE</v>
      </c>
      <c r="G2826" s="303"/>
      <c r="H2826" s="304"/>
    </row>
    <row r="2827">
      <c r="A2827" s="302" t="s">
        <v>3441</v>
      </c>
      <c r="B2827" s="291" t="s">
        <v>15134</v>
      </c>
      <c r="C2827" s="292" t="s">
        <v>48</v>
      </c>
      <c r="D2827" s="293">
        <f t="shared" si="2"/>
        <v>1</v>
      </c>
      <c r="E2827" s="294"/>
      <c r="F2827" s="295" t="str">
        <f>IFERROR(__xludf.DUMMYFUNCTION("IF(B2827="""","""",IFERROR(VLOOKUP(TO_TEXT(B2827),PEDIDOS!D:I,6,0),IFERROR(VLOOKUP(B2827*1,PEDIDOS!D:I,6,0),"" "")))"),"ENTREGUE")</f>
        <v>ENTREGUE</v>
      </c>
      <c r="G2827" s="303"/>
      <c r="H2827" s="304"/>
    </row>
    <row r="2828">
      <c r="A2828" s="302" t="s">
        <v>3441</v>
      </c>
      <c r="B2828" s="291" t="s">
        <v>15575</v>
      </c>
      <c r="C2828" s="292" t="s">
        <v>48</v>
      </c>
      <c r="D2828" s="293">
        <f t="shared" si="2"/>
        <v>1</v>
      </c>
      <c r="E2828" s="294"/>
      <c r="F2828" s="295" t="str">
        <f>IFERROR(__xludf.DUMMYFUNCTION("IF(B2828="""","""",IFERROR(VLOOKUP(TO_TEXT(B2828),PEDIDOS!D:I,6,0),IFERROR(VLOOKUP(B2828*1,PEDIDOS!D:I,6,0),"" "")))"),"ENTREGUE")</f>
        <v>ENTREGUE</v>
      </c>
      <c r="G2828" s="303"/>
      <c r="H2828" s="304"/>
    </row>
    <row r="2829">
      <c r="A2829" s="302" t="s">
        <v>3441</v>
      </c>
      <c r="B2829" s="291" t="s">
        <v>15713</v>
      </c>
      <c r="C2829" s="292" t="s">
        <v>48</v>
      </c>
      <c r="D2829" s="293">
        <f t="shared" si="2"/>
        <v>1</v>
      </c>
      <c r="E2829" s="294"/>
      <c r="F2829" s="295" t="str">
        <f>IFERROR(__xludf.DUMMYFUNCTION("IF(B2829="""","""",IFERROR(VLOOKUP(TO_TEXT(B2829),PEDIDOS!D:I,6,0),IFERROR(VLOOKUP(B2829*1,PEDIDOS!D:I,6,0),"" "")))"),"ENTREGUE")</f>
        <v>ENTREGUE</v>
      </c>
      <c r="G2829" s="303"/>
      <c r="H2829" s="304"/>
    </row>
    <row r="2830">
      <c r="A2830" s="302" t="s">
        <v>3441</v>
      </c>
      <c r="B2830" s="291" t="s">
        <v>16579</v>
      </c>
      <c r="C2830" s="292" t="s">
        <v>48</v>
      </c>
      <c r="D2830" s="293">
        <f t="shared" si="2"/>
        <v>1</v>
      </c>
      <c r="E2830" s="294"/>
      <c r="F2830" s="295" t="str">
        <f>IFERROR(__xludf.DUMMYFUNCTION("IF(B2830="""","""",IFERROR(VLOOKUP(TO_TEXT(B2830),PEDIDOS!D:I,6,0),IFERROR(VLOOKUP(B2830*1,PEDIDOS!D:I,6,0),"" "")))"),"ENTREGUE")</f>
        <v>ENTREGUE</v>
      </c>
      <c r="G2830" s="303"/>
      <c r="H2830" s="304"/>
    </row>
    <row r="2831">
      <c r="A2831" s="302" t="s">
        <v>3441</v>
      </c>
      <c r="B2831" s="291" t="s">
        <v>15723</v>
      </c>
      <c r="C2831" s="292" t="s">
        <v>48</v>
      </c>
      <c r="D2831" s="293">
        <f t="shared" si="2"/>
        <v>1</v>
      </c>
      <c r="E2831" s="294"/>
      <c r="F2831" s="295" t="str">
        <f>IFERROR(__xludf.DUMMYFUNCTION("IF(B2831="""","""",IFERROR(VLOOKUP(TO_TEXT(B2831),PEDIDOS!D:I,6,0),IFERROR(VLOOKUP(B2831*1,PEDIDOS!D:I,6,0),"" "")))"),"ENTREGUE")</f>
        <v>ENTREGUE</v>
      </c>
      <c r="G2831" s="303"/>
      <c r="H2831" s="304"/>
    </row>
    <row r="2832">
      <c r="A2832" s="302" t="s">
        <v>3441</v>
      </c>
      <c r="B2832" s="291" t="s">
        <v>15050</v>
      </c>
      <c r="C2832" s="292" t="s">
        <v>48</v>
      </c>
      <c r="D2832" s="293">
        <f t="shared" si="2"/>
        <v>1</v>
      </c>
      <c r="E2832" s="294"/>
      <c r="F2832" s="295" t="str">
        <f>IFERROR(__xludf.DUMMYFUNCTION("IF(B2832="""","""",IFERROR(VLOOKUP(TO_TEXT(B2832),PEDIDOS!D:I,6,0),IFERROR(VLOOKUP(B2832*1,PEDIDOS!D:I,6,0),"" "")))"),"ENTREGUE")</f>
        <v>ENTREGUE</v>
      </c>
      <c r="G2832" s="303"/>
      <c r="H2832" s="304"/>
    </row>
    <row r="2833">
      <c r="A2833" s="302" t="s">
        <v>3441</v>
      </c>
      <c r="B2833" s="291" t="s">
        <v>16121</v>
      </c>
      <c r="C2833" s="292" t="s">
        <v>48</v>
      </c>
      <c r="D2833" s="293">
        <f t="shared" si="2"/>
        <v>1</v>
      </c>
      <c r="E2833" s="294"/>
      <c r="F2833" s="295" t="str">
        <f>IFERROR(__xludf.DUMMYFUNCTION("IF(B2833="""","""",IFERROR(VLOOKUP(TO_TEXT(B2833),PEDIDOS!D:I,6,0),IFERROR(VLOOKUP(B2833*1,PEDIDOS!D:I,6,0),"" "")))"),"ENTREGUE")</f>
        <v>ENTREGUE</v>
      </c>
      <c r="G2833" s="303"/>
      <c r="H2833" s="304"/>
    </row>
    <row r="2834">
      <c r="A2834" s="302" t="s">
        <v>72</v>
      </c>
      <c r="B2834" s="291" t="s">
        <v>13894</v>
      </c>
      <c r="C2834" s="292"/>
      <c r="D2834" s="293">
        <f t="shared" si="2"/>
        <v>1</v>
      </c>
      <c r="E2834" s="294"/>
      <c r="F2834" s="295" t="str">
        <f>IFERROR(__xludf.DUMMYFUNCTION("IF(B2834="""","""",IFERROR(VLOOKUP(TO_TEXT(B2834),PEDIDOS!D:I,6,0),IFERROR(VLOOKUP(B2834*1,PEDIDOS!D:I,6,0),"" "")))"),"ENTREGUE")</f>
        <v>ENTREGUE</v>
      </c>
      <c r="G2834" s="303"/>
      <c r="H2834" s="304"/>
    </row>
    <row r="2835">
      <c r="A2835" s="302" t="s">
        <v>72</v>
      </c>
      <c r="B2835" s="291" t="s">
        <v>13722</v>
      </c>
      <c r="C2835" s="292"/>
      <c r="D2835" s="293">
        <f t="shared" si="2"/>
        <v>1</v>
      </c>
      <c r="E2835" s="294"/>
      <c r="F2835" s="295" t="str">
        <f>IFERROR(__xludf.DUMMYFUNCTION("IF(B2835="""","""",IFERROR(VLOOKUP(TO_TEXT(B2835),PEDIDOS!D:I,6,0),IFERROR(VLOOKUP(B2835*1,PEDIDOS!D:I,6,0),"" "")))"),"ENTREGUE")</f>
        <v>ENTREGUE</v>
      </c>
      <c r="G2835" s="303"/>
      <c r="H2835" s="304"/>
    </row>
    <row r="2836">
      <c r="A2836" s="302" t="s">
        <v>72</v>
      </c>
      <c r="B2836" s="291" t="s">
        <v>12823</v>
      </c>
      <c r="C2836" s="292"/>
      <c r="D2836" s="293">
        <f t="shared" si="2"/>
        <v>1</v>
      </c>
      <c r="E2836" s="294"/>
      <c r="F2836" s="295" t="str">
        <f>IFERROR(__xludf.DUMMYFUNCTION("IF(B2836="""","""",IFERROR(VLOOKUP(TO_TEXT(B2836),PEDIDOS!D:I,6,0),IFERROR(VLOOKUP(B2836*1,PEDIDOS!D:I,6,0),"" "")))"),"ENTREGUE")</f>
        <v>ENTREGUE</v>
      </c>
      <c r="G2836" s="303"/>
      <c r="H2836" s="304"/>
    </row>
    <row r="2837">
      <c r="A2837" s="302" t="s">
        <v>72</v>
      </c>
      <c r="B2837" s="291" t="s">
        <v>13598</v>
      </c>
      <c r="C2837" s="292"/>
      <c r="D2837" s="293">
        <f t="shared" si="2"/>
        <v>1</v>
      </c>
      <c r="E2837" s="294"/>
      <c r="F2837" s="295" t="str">
        <f>IFERROR(__xludf.DUMMYFUNCTION("IF(B2837="""","""",IFERROR(VLOOKUP(TO_TEXT(B2837),PEDIDOS!D:I,6,0),IFERROR(VLOOKUP(B2837*1,PEDIDOS!D:I,6,0),"" "")))"),"ENTREGUE")</f>
        <v>ENTREGUE</v>
      </c>
      <c r="G2837" s="303"/>
      <c r="H2837" s="304"/>
    </row>
    <row r="2838">
      <c r="A2838" s="302" t="s">
        <v>72</v>
      </c>
      <c r="B2838" s="291" t="s">
        <v>14099</v>
      </c>
      <c r="C2838" s="292"/>
      <c r="D2838" s="293">
        <f t="shared" si="2"/>
        <v>1</v>
      </c>
      <c r="E2838" s="294"/>
      <c r="F2838" s="295" t="str">
        <f>IFERROR(__xludf.DUMMYFUNCTION("IF(B2838="""","""",IFERROR(VLOOKUP(TO_TEXT(B2838),PEDIDOS!D:I,6,0),IFERROR(VLOOKUP(B2838*1,PEDIDOS!D:I,6,0),"" "")))"),"ENTREGUE")</f>
        <v>ENTREGUE</v>
      </c>
      <c r="G2838" s="303"/>
      <c r="H2838" s="304"/>
    </row>
    <row r="2839">
      <c r="A2839" s="302" t="s">
        <v>72</v>
      </c>
      <c r="B2839" s="291" t="s">
        <v>14115</v>
      </c>
      <c r="C2839" s="292"/>
      <c r="D2839" s="293">
        <f t="shared" si="2"/>
        <v>1</v>
      </c>
      <c r="E2839" s="294"/>
      <c r="F2839" s="295" t="str">
        <f>IFERROR(__xludf.DUMMYFUNCTION("IF(B2839="""","""",IFERROR(VLOOKUP(TO_TEXT(B2839),PEDIDOS!D:I,6,0),IFERROR(VLOOKUP(B2839*1,PEDIDOS!D:I,6,0),"" "")))"),"ENTREGUE")</f>
        <v>ENTREGUE</v>
      </c>
      <c r="G2839" s="303"/>
      <c r="H2839" s="304"/>
    </row>
    <row r="2840">
      <c r="A2840" s="302" t="s">
        <v>72</v>
      </c>
      <c r="B2840" s="291" t="s">
        <v>14311</v>
      </c>
      <c r="C2840" s="292" t="s">
        <v>48</v>
      </c>
      <c r="D2840" s="293">
        <f t="shared" si="2"/>
        <v>1</v>
      </c>
      <c r="E2840" s="294"/>
      <c r="F2840" s="295" t="str">
        <f>IFERROR(__xludf.DUMMYFUNCTION("IF(B2840="""","""",IFERROR(VLOOKUP(TO_TEXT(B2840),PEDIDOS!D:I,6,0),IFERROR(VLOOKUP(B2840*1,PEDIDOS!D:I,6,0),"" "")))"),"ENTREGUE")</f>
        <v>ENTREGUE</v>
      </c>
      <c r="G2840" s="303"/>
      <c r="H2840" s="304"/>
    </row>
    <row r="2841">
      <c r="A2841" s="302" t="s">
        <v>72</v>
      </c>
      <c r="B2841" s="291" t="s">
        <v>14044</v>
      </c>
      <c r="C2841" s="292"/>
      <c r="D2841" s="293">
        <f t="shared" si="2"/>
        <v>1</v>
      </c>
      <c r="E2841" s="294"/>
      <c r="F2841" s="295" t="str">
        <f>IFERROR(__xludf.DUMMYFUNCTION("IF(B2841="""","""",IFERROR(VLOOKUP(TO_TEXT(B2841),PEDIDOS!D:I,6,0),IFERROR(VLOOKUP(B2841*1,PEDIDOS!D:I,6,0),"" "")))"),"ENTREGUE")</f>
        <v>ENTREGUE</v>
      </c>
      <c r="G2841" s="303"/>
      <c r="H2841" s="304"/>
    </row>
    <row r="2842">
      <c r="A2842" s="302" t="s">
        <v>72</v>
      </c>
      <c r="B2842" s="291" t="s">
        <v>13970</v>
      </c>
      <c r="C2842" s="292"/>
      <c r="D2842" s="293">
        <f t="shared" si="2"/>
        <v>1</v>
      </c>
      <c r="E2842" s="294"/>
      <c r="F2842" s="295" t="str">
        <f>IFERROR(__xludf.DUMMYFUNCTION("IF(B2842="""","""",IFERROR(VLOOKUP(TO_TEXT(B2842),PEDIDOS!D:I,6,0),IFERROR(VLOOKUP(B2842*1,PEDIDOS!D:I,6,0),"" "")))"),"ENTREGUE")</f>
        <v>ENTREGUE</v>
      </c>
      <c r="G2842" s="303"/>
      <c r="H2842" s="304"/>
    </row>
    <row r="2843">
      <c r="A2843" s="302" t="s">
        <v>72</v>
      </c>
      <c r="B2843" s="291" t="s">
        <v>14056</v>
      </c>
      <c r="C2843" s="292"/>
      <c r="D2843" s="293">
        <f t="shared" si="2"/>
        <v>1</v>
      </c>
      <c r="E2843" s="294"/>
      <c r="F2843" s="295" t="str">
        <f>IFERROR(__xludf.DUMMYFUNCTION("IF(B2843="""","""",IFERROR(VLOOKUP(TO_TEXT(B2843),PEDIDOS!D:I,6,0),IFERROR(VLOOKUP(B2843*1,PEDIDOS!D:I,6,0),"" "")))"),"ENTREGUE")</f>
        <v>ENTREGUE</v>
      </c>
      <c r="G2843" s="303"/>
      <c r="H2843" s="304"/>
    </row>
    <row r="2844">
      <c r="A2844" s="302" t="s">
        <v>85</v>
      </c>
      <c r="B2844" s="291" t="s">
        <v>19340</v>
      </c>
      <c r="C2844" s="292" t="s">
        <v>48</v>
      </c>
      <c r="D2844" s="293">
        <f t="shared" si="2"/>
        <v>1</v>
      </c>
      <c r="E2844" s="294"/>
      <c r="F2844" s="295" t="str">
        <f>IFERROR(__xludf.DUMMYFUNCTION("IF(B2844="""","""",IFERROR(VLOOKUP(TO_TEXT(B2844),PEDIDOS!D:I,6,0),IFERROR(VLOOKUP(B2844*1,PEDIDOS!D:I,6,0),"" "")))"),"ENTREGUE")</f>
        <v>ENTREGUE</v>
      </c>
      <c r="G2844" s="303"/>
      <c r="H2844" s="304"/>
    </row>
    <row r="2845">
      <c r="A2845" s="302" t="s">
        <v>85</v>
      </c>
      <c r="B2845" s="291" t="s">
        <v>19464</v>
      </c>
      <c r="C2845" s="292" t="s">
        <v>48</v>
      </c>
      <c r="D2845" s="293">
        <f t="shared" si="2"/>
        <v>1</v>
      </c>
      <c r="E2845" s="294"/>
      <c r="F2845" s="295" t="str">
        <f>IFERROR(__xludf.DUMMYFUNCTION("IF(B2845="""","""",IFERROR(VLOOKUP(TO_TEXT(B2845),PEDIDOS!D:I,6,0),IFERROR(VLOOKUP(B2845*1,PEDIDOS!D:I,6,0),"" "")))"),"ENTREGUE")</f>
        <v>ENTREGUE</v>
      </c>
      <c r="G2845" s="303"/>
      <c r="H2845" s="304"/>
    </row>
    <row r="2846">
      <c r="A2846" s="302" t="s">
        <v>85</v>
      </c>
      <c r="B2846" s="291" t="s">
        <v>19699</v>
      </c>
      <c r="C2846" s="292" t="s">
        <v>48</v>
      </c>
      <c r="D2846" s="293">
        <f t="shared" si="2"/>
        <v>1</v>
      </c>
      <c r="E2846" s="294"/>
      <c r="F2846" s="295" t="str">
        <f>IFERROR(__xludf.DUMMYFUNCTION("IF(B2846="""","""",IFERROR(VLOOKUP(TO_TEXT(B2846),PEDIDOS!D:I,6,0),IFERROR(VLOOKUP(B2846*1,PEDIDOS!D:I,6,0),"" "")))"),"ENTREGUE")</f>
        <v>ENTREGUE</v>
      </c>
      <c r="G2846" s="303"/>
      <c r="H2846" s="304"/>
    </row>
    <row r="2847">
      <c r="A2847" s="302" t="s">
        <v>85</v>
      </c>
      <c r="B2847" s="291" t="s">
        <v>19941</v>
      </c>
      <c r="C2847" s="292" t="s">
        <v>48</v>
      </c>
      <c r="D2847" s="293">
        <f t="shared" si="2"/>
        <v>1</v>
      </c>
      <c r="E2847" s="294"/>
      <c r="F2847" s="295" t="str">
        <f>IFERROR(__xludf.DUMMYFUNCTION("IF(B2847="""","""",IFERROR(VLOOKUP(TO_TEXT(B2847),PEDIDOS!D:I,6,0),IFERROR(VLOOKUP(B2847*1,PEDIDOS!D:I,6,0),"" "")))"),"ENTREGUE")</f>
        <v>ENTREGUE</v>
      </c>
      <c r="G2847" s="303"/>
      <c r="H2847" s="304"/>
    </row>
    <row r="2848">
      <c r="A2848" s="302" t="s">
        <v>85</v>
      </c>
      <c r="B2848" s="291" t="s">
        <v>19808</v>
      </c>
      <c r="C2848" s="292" t="s">
        <v>48</v>
      </c>
      <c r="D2848" s="293">
        <f t="shared" si="2"/>
        <v>1</v>
      </c>
      <c r="E2848" s="294"/>
      <c r="F2848" s="295" t="str">
        <f>IFERROR(__xludf.DUMMYFUNCTION("IF(B2848="""","""",IFERROR(VLOOKUP(TO_TEXT(B2848),PEDIDOS!D:I,6,0),IFERROR(VLOOKUP(B2848*1,PEDIDOS!D:I,6,0),"" "")))"),"ENTREGUE")</f>
        <v>ENTREGUE</v>
      </c>
      <c r="G2848" s="303"/>
      <c r="H2848" s="304"/>
    </row>
    <row r="2849">
      <c r="A2849" s="302" t="s">
        <v>85</v>
      </c>
      <c r="B2849" s="291" t="s">
        <v>18352</v>
      </c>
      <c r="C2849" s="292" t="s">
        <v>48</v>
      </c>
      <c r="D2849" s="293">
        <f t="shared" si="2"/>
        <v>1</v>
      </c>
      <c r="E2849" s="294"/>
      <c r="F2849" s="295" t="str">
        <f>IFERROR(__xludf.DUMMYFUNCTION("IF(B2849="""","""",IFERROR(VLOOKUP(TO_TEXT(B2849),PEDIDOS!D:I,6,0),IFERROR(VLOOKUP(B2849*1,PEDIDOS!D:I,6,0),"" "")))"),"ENTREGUE")</f>
        <v>ENTREGUE</v>
      </c>
      <c r="G2849" s="303"/>
      <c r="H2849" s="304"/>
    </row>
    <row r="2850">
      <c r="A2850" s="302" t="s">
        <v>85</v>
      </c>
      <c r="B2850" s="291" t="s">
        <v>18364</v>
      </c>
      <c r="C2850" s="292" t="s">
        <v>48</v>
      </c>
      <c r="D2850" s="293">
        <f t="shared" si="2"/>
        <v>1</v>
      </c>
      <c r="E2850" s="294"/>
      <c r="F2850" s="295" t="str">
        <f>IFERROR(__xludf.DUMMYFUNCTION("IF(B2850="""","""",IFERROR(VLOOKUP(TO_TEXT(B2850),PEDIDOS!D:I,6,0),IFERROR(VLOOKUP(B2850*1,PEDIDOS!D:I,6,0),"" "")))"),"ENTREGUE")</f>
        <v>ENTREGUE</v>
      </c>
      <c r="G2850" s="303"/>
      <c r="H2850" s="304"/>
    </row>
    <row r="2851">
      <c r="A2851" s="302" t="s">
        <v>85</v>
      </c>
      <c r="B2851" s="291" t="s">
        <v>18368</v>
      </c>
      <c r="C2851" s="292" t="s">
        <v>48</v>
      </c>
      <c r="D2851" s="293">
        <f t="shared" si="2"/>
        <v>1</v>
      </c>
      <c r="E2851" s="294"/>
      <c r="F2851" s="295" t="str">
        <f>IFERROR(__xludf.DUMMYFUNCTION("IF(B2851="""","""",IFERROR(VLOOKUP(TO_TEXT(B2851),PEDIDOS!D:I,6,0),IFERROR(VLOOKUP(B2851*1,PEDIDOS!D:I,6,0),"" "")))"),"ENTREGUE")</f>
        <v>ENTREGUE</v>
      </c>
      <c r="G2851" s="303"/>
      <c r="H2851" s="304"/>
    </row>
    <row r="2852">
      <c r="A2852" s="302" t="s">
        <v>85</v>
      </c>
      <c r="B2852" s="291" t="s">
        <v>18372</v>
      </c>
      <c r="C2852" s="292" t="s">
        <v>48</v>
      </c>
      <c r="D2852" s="293">
        <f t="shared" si="2"/>
        <v>1</v>
      </c>
      <c r="E2852" s="294"/>
      <c r="F2852" s="295" t="str">
        <f>IFERROR(__xludf.DUMMYFUNCTION("IF(B2852="""","""",IFERROR(VLOOKUP(TO_TEXT(B2852),PEDIDOS!D:I,6,0),IFERROR(VLOOKUP(B2852*1,PEDIDOS!D:I,6,0),"" "")))"),"ENTREGUE")</f>
        <v>ENTREGUE</v>
      </c>
      <c r="G2852" s="303"/>
      <c r="H2852" s="304"/>
    </row>
    <row r="2853">
      <c r="A2853" s="302" t="s">
        <v>85</v>
      </c>
      <c r="B2853" s="291" t="s">
        <v>19820</v>
      </c>
      <c r="C2853" s="292" t="s">
        <v>48</v>
      </c>
      <c r="D2853" s="293">
        <f t="shared" si="2"/>
        <v>1</v>
      </c>
      <c r="E2853" s="294"/>
      <c r="F2853" s="295" t="str">
        <f>IFERROR(__xludf.DUMMYFUNCTION("IF(B2853="""","""",IFERROR(VLOOKUP(TO_TEXT(B2853),PEDIDOS!D:I,6,0),IFERROR(VLOOKUP(B2853*1,PEDIDOS!D:I,6,0),"" "")))"),"ENTREGUE")</f>
        <v>ENTREGUE</v>
      </c>
      <c r="G2853" s="303"/>
      <c r="H2853" s="304"/>
    </row>
    <row r="2854">
      <c r="A2854" s="302" t="s">
        <v>91</v>
      </c>
      <c r="B2854" s="291" t="s">
        <v>15881</v>
      </c>
      <c r="C2854" s="292" t="s">
        <v>48</v>
      </c>
      <c r="D2854" s="293">
        <f t="shared" si="2"/>
        <v>1</v>
      </c>
      <c r="E2854" s="294"/>
      <c r="F2854" s="295" t="str">
        <f>IFERROR(__xludf.DUMMYFUNCTION("IF(B2854="""","""",IFERROR(VLOOKUP(TO_TEXT(B2854),PEDIDOS!D:I,6,0),IFERROR(VLOOKUP(B2854*1,PEDIDOS!D:I,6,0),"" "")))"),"ENTREGUE")</f>
        <v>ENTREGUE</v>
      </c>
      <c r="G2854" s="303"/>
      <c r="H2854" s="304"/>
    </row>
    <row r="2855">
      <c r="A2855" s="302" t="s">
        <v>91</v>
      </c>
      <c r="B2855" s="291" t="s">
        <v>15626</v>
      </c>
      <c r="C2855" s="292" t="s">
        <v>48</v>
      </c>
      <c r="D2855" s="293">
        <f t="shared" si="2"/>
        <v>1</v>
      </c>
      <c r="E2855" s="294"/>
      <c r="F2855" s="295" t="str">
        <f>IFERROR(__xludf.DUMMYFUNCTION("IF(B2855="""","""",IFERROR(VLOOKUP(TO_TEXT(B2855),PEDIDOS!D:I,6,0),IFERROR(VLOOKUP(B2855*1,PEDIDOS!D:I,6,0),"" "")))"),"ENTREGUE")</f>
        <v>ENTREGUE</v>
      </c>
      <c r="G2855" s="303"/>
      <c r="H2855" s="304"/>
    </row>
    <row r="2856">
      <c r="A2856" s="302" t="s">
        <v>91</v>
      </c>
      <c r="B2856" s="291" t="s">
        <v>15828</v>
      </c>
      <c r="C2856" s="292" t="s">
        <v>48</v>
      </c>
      <c r="D2856" s="293">
        <f t="shared" si="2"/>
        <v>1</v>
      </c>
      <c r="E2856" s="294"/>
      <c r="F2856" s="295" t="str">
        <f>IFERROR(__xludf.DUMMYFUNCTION("IF(B2856="""","""",IFERROR(VLOOKUP(TO_TEXT(B2856),PEDIDOS!D:I,6,0),IFERROR(VLOOKUP(B2856*1,PEDIDOS!D:I,6,0),"" "")))"),"ENTREGUE")</f>
        <v>ENTREGUE</v>
      </c>
      <c r="G2856" s="303"/>
      <c r="H2856" s="304"/>
    </row>
    <row r="2857">
      <c r="A2857" s="302" t="s">
        <v>91</v>
      </c>
      <c r="B2857" s="291" t="s">
        <v>15876</v>
      </c>
      <c r="C2857" s="292" t="s">
        <v>48</v>
      </c>
      <c r="D2857" s="293">
        <f t="shared" si="2"/>
        <v>1</v>
      </c>
      <c r="E2857" s="294"/>
      <c r="F2857" s="295" t="str">
        <f>IFERROR(__xludf.DUMMYFUNCTION("IF(B2857="""","""",IFERROR(VLOOKUP(TO_TEXT(B2857),PEDIDOS!D:I,6,0),IFERROR(VLOOKUP(B2857*1,PEDIDOS!D:I,6,0),"" "")))"),"ENTREGUE")</f>
        <v>ENTREGUE</v>
      </c>
      <c r="G2857" s="303"/>
      <c r="H2857" s="304"/>
    </row>
    <row r="2858">
      <c r="A2858" s="302" t="s">
        <v>91</v>
      </c>
      <c r="B2858" s="291" t="s">
        <v>15684</v>
      </c>
      <c r="C2858" s="292" t="s">
        <v>48</v>
      </c>
      <c r="D2858" s="293">
        <f t="shared" si="2"/>
        <v>1</v>
      </c>
      <c r="E2858" s="294"/>
      <c r="F2858" s="295" t="str">
        <f>IFERROR(__xludf.DUMMYFUNCTION("IF(B2858="""","""",IFERROR(VLOOKUP(TO_TEXT(B2858),PEDIDOS!D:I,6,0),IFERROR(VLOOKUP(B2858*1,PEDIDOS!D:I,6,0),"" "")))"),"ENTREGUE")</f>
        <v>ENTREGUE</v>
      </c>
      <c r="G2858" s="303"/>
      <c r="H2858" s="304"/>
    </row>
    <row r="2859">
      <c r="A2859" s="302" t="s">
        <v>91</v>
      </c>
      <c r="B2859" s="291" t="s">
        <v>15648</v>
      </c>
      <c r="C2859" s="292" t="s">
        <v>48</v>
      </c>
      <c r="D2859" s="293">
        <f t="shared" si="2"/>
        <v>1</v>
      </c>
      <c r="E2859" s="294"/>
      <c r="F2859" s="295" t="str">
        <f>IFERROR(__xludf.DUMMYFUNCTION("IF(B2859="""","""",IFERROR(VLOOKUP(TO_TEXT(B2859),PEDIDOS!D:I,6,0),IFERROR(VLOOKUP(B2859*1,PEDIDOS!D:I,6,0),"" "")))"),"ENTREGUE")</f>
        <v>ENTREGUE</v>
      </c>
      <c r="G2859" s="303"/>
      <c r="H2859" s="304"/>
    </row>
    <row r="2860">
      <c r="A2860" s="302" t="s">
        <v>91</v>
      </c>
      <c r="B2860" s="291" t="s">
        <v>16019</v>
      </c>
      <c r="C2860" s="292" t="s">
        <v>48</v>
      </c>
      <c r="D2860" s="293">
        <f t="shared" si="2"/>
        <v>1</v>
      </c>
      <c r="E2860" s="294"/>
      <c r="F2860" s="295" t="str">
        <f>IFERROR(__xludf.DUMMYFUNCTION("IF(B2860="""","""",IFERROR(VLOOKUP(TO_TEXT(B2860),PEDIDOS!D:I,6,0),IFERROR(VLOOKUP(B2860*1,PEDIDOS!D:I,6,0),"" "")))"),"ENTREGUE")</f>
        <v>ENTREGUE</v>
      </c>
      <c r="G2860" s="303"/>
      <c r="H2860" s="304"/>
    </row>
    <row r="2861">
      <c r="A2861" s="302" t="s">
        <v>91</v>
      </c>
      <c r="B2861" s="291" t="s">
        <v>15984</v>
      </c>
      <c r="C2861" s="292" t="s">
        <v>48</v>
      </c>
      <c r="D2861" s="293">
        <f t="shared" si="2"/>
        <v>1</v>
      </c>
      <c r="E2861" s="294"/>
      <c r="F2861" s="295" t="str">
        <f>IFERROR(__xludf.DUMMYFUNCTION("IF(B2861="""","""",IFERROR(VLOOKUP(TO_TEXT(B2861),PEDIDOS!D:I,6,0),IFERROR(VLOOKUP(B2861*1,PEDIDOS!D:I,6,0),"" "")))"),"ENTREGUE")</f>
        <v>ENTREGUE</v>
      </c>
      <c r="G2861" s="303"/>
      <c r="H2861" s="304"/>
    </row>
    <row r="2862">
      <c r="A2862" s="302" t="s">
        <v>91</v>
      </c>
      <c r="B2862" s="291" t="s">
        <v>16199</v>
      </c>
      <c r="C2862" s="292" t="s">
        <v>48</v>
      </c>
      <c r="D2862" s="293">
        <f t="shared" si="2"/>
        <v>1</v>
      </c>
      <c r="E2862" s="294"/>
      <c r="F2862" s="295" t="str">
        <f>IFERROR(__xludf.DUMMYFUNCTION("IF(B2862="""","""",IFERROR(VLOOKUP(TO_TEXT(B2862),PEDIDOS!D:I,6,0),IFERROR(VLOOKUP(B2862*1,PEDIDOS!D:I,6,0),"" "")))"),"ENTREGUE")</f>
        <v>ENTREGUE</v>
      </c>
      <c r="G2862" s="303"/>
      <c r="H2862" s="304"/>
    </row>
    <row r="2863">
      <c r="A2863" s="302" t="s">
        <v>91</v>
      </c>
      <c r="B2863" s="291" t="s">
        <v>16265</v>
      </c>
      <c r="C2863" s="292" t="s">
        <v>48</v>
      </c>
      <c r="D2863" s="293">
        <f t="shared" si="2"/>
        <v>1</v>
      </c>
      <c r="E2863" s="294"/>
      <c r="F2863" s="295" t="str">
        <f>IFERROR(__xludf.DUMMYFUNCTION("IF(B2863="""","""",IFERROR(VLOOKUP(TO_TEXT(B2863),PEDIDOS!D:I,6,0),IFERROR(VLOOKUP(B2863*1,PEDIDOS!D:I,6,0),"" "")))"),"ENTREGUE")</f>
        <v>ENTREGUE</v>
      </c>
      <c r="G2863" s="303"/>
      <c r="H2863" s="304"/>
    </row>
    <row r="2864">
      <c r="A2864" s="302" t="s">
        <v>91</v>
      </c>
      <c r="B2864" s="291" t="s">
        <v>16024</v>
      </c>
      <c r="C2864" s="292" t="s">
        <v>48</v>
      </c>
      <c r="D2864" s="293">
        <f t="shared" si="2"/>
        <v>1</v>
      </c>
      <c r="E2864" s="294"/>
      <c r="F2864" s="295" t="str">
        <f>IFERROR(__xludf.DUMMYFUNCTION("IF(B2864="""","""",IFERROR(VLOOKUP(TO_TEXT(B2864),PEDIDOS!D:I,6,0),IFERROR(VLOOKUP(B2864*1,PEDIDOS!D:I,6,0),"" "")))"),"ENTREGUE")</f>
        <v>ENTREGUE</v>
      </c>
      <c r="G2864" s="303"/>
      <c r="H2864" s="304"/>
    </row>
    <row r="2865">
      <c r="A2865" s="302" t="s">
        <v>91</v>
      </c>
      <c r="B2865" s="291" t="s">
        <v>15313</v>
      </c>
      <c r="C2865" s="292" t="s">
        <v>48</v>
      </c>
      <c r="D2865" s="293">
        <f t="shared" si="2"/>
        <v>1</v>
      </c>
      <c r="E2865" s="294"/>
      <c r="F2865" s="295" t="str">
        <f>IFERROR(__xludf.DUMMYFUNCTION("IF(B2865="""","""",IFERROR(VLOOKUP(TO_TEXT(B2865),PEDIDOS!D:I,6,0),IFERROR(VLOOKUP(B2865*1,PEDIDOS!D:I,6,0),"" "")))"),"ENTREGUE")</f>
        <v>ENTREGUE</v>
      </c>
      <c r="G2865" s="303"/>
      <c r="H2865" s="304"/>
    </row>
    <row r="2866">
      <c r="A2866" s="302" t="s">
        <v>91</v>
      </c>
      <c r="B2866" s="291" t="s">
        <v>17064</v>
      </c>
      <c r="C2866" s="292" t="s">
        <v>48</v>
      </c>
      <c r="D2866" s="293">
        <f t="shared" si="2"/>
        <v>1</v>
      </c>
      <c r="E2866" s="294"/>
      <c r="F2866" s="295" t="str">
        <f>IFERROR(__xludf.DUMMYFUNCTION("IF(B2866="""","""",IFERROR(VLOOKUP(TO_TEXT(B2866),PEDIDOS!D:I,6,0),IFERROR(VLOOKUP(B2866*1,PEDIDOS!D:I,6,0),"" "")))"),"ENTREGUE")</f>
        <v>ENTREGUE</v>
      </c>
      <c r="G2866" s="303"/>
      <c r="H2866" s="304"/>
    </row>
    <row r="2867">
      <c r="A2867" s="302" t="s">
        <v>91</v>
      </c>
      <c r="B2867" s="291" t="s">
        <v>16413</v>
      </c>
      <c r="C2867" s="292" t="s">
        <v>48</v>
      </c>
      <c r="D2867" s="293">
        <f t="shared" si="2"/>
        <v>1</v>
      </c>
      <c r="E2867" s="294"/>
      <c r="F2867" s="295" t="str">
        <f>IFERROR(__xludf.DUMMYFUNCTION("IF(B2867="""","""",IFERROR(VLOOKUP(TO_TEXT(B2867),PEDIDOS!D:I,6,0),IFERROR(VLOOKUP(B2867*1,PEDIDOS!D:I,6,0),"" "")))"),"ENTREGUE")</f>
        <v>ENTREGUE</v>
      </c>
      <c r="G2867" s="303"/>
      <c r="H2867" s="304"/>
    </row>
    <row r="2868">
      <c r="A2868" s="302" t="s">
        <v>91</v>
      </c>
      <c r="B2868" s="291" t="s">
        <v>16340</v>
      </c>
      <c r="C2868" s="292" t="s">
        <v>48</v>
      </c>
      <c r="D2868" s="293">
        <f t="shared" si="2"/>
        <v>1</v>
      </c>
      <c r="E2868" s="294"/>
      <c r="F2868" s="295" t="str">
        <f>IFERROR(__xludf.DUMMYFUNCTION("IF(B2868="""","""",IFERROR(VLOOKUP(TO_TEXT(B2868),PEDIDOS!D:I,6,0),IFERROR(VLOOKUP(B2868*1,PEDIDOS!D:I,6,0),"" "")))"),"ENTREGUE")</f>
        <v>ENTREGUE</v>
      </c>
      <c r="G2868" s="303"/>
      <c r="H2868" s="304"/>
    </row>
    <row r="2869">
      <c r="A2869" s="302" t="s">
        <v>91</v>
      </c>
      <c r="B2869" s="291" t="s">
        <v>17075</v>
      </c>
      <c r="C2869" s="292" t="s">
        <v>48</v>
      </c>
      <c r="D2869" s="293">
        <f t="shared" si="2"/>
        <v>1</v>
      </c>
      <c r="E2869" s="294"/>
      <c r="F2869" s="295" t="str">
        <f>IFERROR(__xludf.DUMMYFUNCTION("IF(B2869="""","""",IFERROR(VLOOKUP(TO_TEXT(B2869),PEDIDOS!D:I,6,0),IFERROR(VLOOKUP(B2869*1,PEDIDOS!D:I,6,0),"" "")))"),"ENTREGUE")</f>
        <v>ENTREGUE</v>
      </c>
      <c r="G2869" s="303"/>
      <c r="H2869" s="304"/>
    </row>
    <row r="2870">
      <c r="A2870" s="302" t="s">
        <v>91</v>
      </c>
      <c r="B2870" s="291" t="s">
        <v>17104</v>
      </c>
      <c r="C2870" s="292" t="s">
        <v>48</v>
      </c>
      <c r="D2870" s="293">
        <f t="shared" si="2"/>
        <v>1</v>
      </c>
      <c r="E2870" s="294"/>
      <c r="F2870" s="295" t="str">
        <f>IFERROR(__xludf.DUMMYFUNCTION("IF(B2870="""","""",IFERROR(VLOOKUP(TO_TEXT(B2870),PEDIDOS!D:I,6,0),IFERROR(VLOOKUP(B2870*1,PEDIDOS!D:I,6,0),"" "")))"),"ENTREGUE")</f>
        <v>ENTREGUE</v>
      </c>
      <c r="G2870" s="303"/>
      <c r="H2870" s="304"/>
    </row>
    <row r="2871">
      <c r="A2871" s="302" t="s">
        <v>91</v>
      </c>
      <c r="B2871" s="291" t="s">
        <v>16997</v>
      </c>
      <c r="C2871" s="292" t="s">
        <v>48</v>
      </c>
      <c r="D2871" s="293">
        <f t="shared" si="2"/>
        <v>1</v>
      </c>
      <c r="E2871" s="294"/>
      <c r="F2871" s="295" t="str">
        <f>IFERROR(__xludf.DUMMYFUNCTION("IF(B2871="""","""",IFERROR(VLOOKUP(TO_TEXT(B2871),PEDIDOS!D:I,6,0),IFERROR(VLOOKUP(B2871*1,PEDIDOS!D:I,6,0),"" "")))"),"ENTREGUE")</f>
        <v>ENTREGUE</v>
      </c>
      <c r="G2871" s="303"/>
      <c r="H2871" s="304"/>
    </row>
    <row r="2872">
      <c r="A2872" s="302" t="s">
        <v>91</v>
      </c>
      <c r="B2872" s="291" t="s">
        <v>16692</v>
      </c>
      <c r="C2872" s="292" t="s">
        <v>48</v>
      </c>
      <c r="D2872" s="293">
        <f t="shared" si="2"/>
        <v>1</v>
      </c>
      <c r="E2872" s="294"/>
      <c r="F2872" s="295" t="str">
        <f>IFERROR(__xludf.DUMMYFUNCTION("IF(B2872="""","""",IFERROR(VLOOKUP(TO_TEXT(B2872),PEDIDOS!D:I,6,0),IFERROR(VLOOKUP(B2872*1,PEDIDOS!D:I,6,0),"" "")))"),"ENTREGUE")</f>
        <v>ENTREGUE</v>
      </c>
      <c r="G2872" s="303"/>
      <c r="H2872" s="304"/>
    </row>
    <row r="2873">
      <c r="A2873" s="302" t="s">
        <v>91</v>
      </c>
      <c r="B2873" s="291" t="s">
        <v>15536</v>
      </c>
      <c r="C2873" s="292" t="s">
        <v>48</v>
      </c>
      <c r="D2873" s="293">
        <f t="shared" si="2"/>
        <v>1</v>
      </c>
      <c r="E2873" s="294"/>
      <c r="F2873" s="295" t="str">
        <f>IFERROR(__xludf.DUMMYFUNCTION("IF(B2873="""","""",IFERROR(VLOOKUP(TO_TEXT(B2873),PEDIDOS!D:I,6,0),IFERROR(VLOOKUP(B2873*1,PEDIDOS!D:I,6,0),"" "")))"),"ENTREGUE")</f>
        <v>ENTREGUE</v>
      </c>
      <c r="G2873" s="303"/>
      <c r="H2873" s="304"/>
    </row>
    <row r="2874">
      <c r="A2874" s="302" t="s">
        <v>91</v>
      </c>
      <c r="B2874" s="291" t="s">
        <v>14957</v>
      </c>
      <c r="C2874" s="292" t="s">
        <v>48</v>
      </c>
      <c r="D2874" s="293">
        <f t="shared" si="2"/>
        <v>1</v>
      </c>
      <c r="E2874" s="294"/>
      <c r="F2874" s="295" t="str">
        <f>IFERROR(__xludf.DUMMYFUNCTION("IF(B2874="""","""",IFERROR(VLOOKUP(TO_TEXT(B2874),PEDIDOS!D:I,6,0),IFERROR(VLOOKUP(B2874*1,PEDIDOS!D:I,6,0),"" "")))"),"ENTREGUE")</f>
        <v>ENTREGUE</v>
      </c>
      <c r="G2874" s="303"/>
      <c r="H2874" s="304"/>
    </row>
    <row r="2875">
      <c r="A2875" s="302" t="s">
        <v>91</v>
      </c>
      <c r="B2875" s="291" t="s">
        <v>16898</v>
      </c>
      <c r="C2875" s="292" t="s">
        <v>48</v>
      </c>
      <c r="D2875" s="293">
        <f t="shared" si="2"/>
        <v>1</v>
      </c>
      <c r="E2875" s="294"/>
      <c r="F2875" s="295" t="str">
        <f>IFERROR(__xludf.DUMMYFUNCTION("IF(B2875="""","""",IFERROR(VLOOKUP(TO_TEXT(B2875),PEDIDOS!D:I,6,0),IFERROR(VLOOKUP(B2875*1,PEDIDOS!D:I,6,0),"" "")))"),"ENTREGUE")</f>
        <v>ENTREGUE</v>
      </c>
      <c r="G2875" s="303"/>
      <c r="H2875" s="304"/>
    </row>
    <row r="2876">
      <c r="A2876" s="302" t="s">
        <v>91</v>
      </c>
      <c r="B2876" s="291" t="s">
        <v>16465</v>
      </c>
      <c r="C2876" s="292" t="s">
        <v>48</v>
      </c>
      <c r="D2876" s="293">
        <f t="shared" si="2"/>
        <v>1</v>
      </c>
      <c r="E2876" s="294"/>
      <c r="F2876" s="295" t="str">
        <f>IFERROR(__xludf.DUMMYFUNCTION("IF(B2876="""","""",IFERROR(VLOOKUP(TO_TEXT(B2876),PEDIDOS!D:I,6,0),IFERROR(VLOOKUP(B2876*1,PEDIDOS!D:I,6,0),"" "")))"),"ENTREGUE")</f>
        <v>ENTREGUE</v>
      </c>
      <c r="G2876" s="303"/>
      <c r="H2876" s="304"/>
    </row>
    <row r="2877">
      <c r="A2877" s="302" t="s">
        <v>91</v>
      </c>
      <c r="B2877" s="291" t="s">
        <v>16558</v>
      </c>
      <c r="C2877" s="292" t="s">
        <v>48</v>
      </c>
      <c r="D2877" s="293">
        <f t="shared" si="2"/>
        <v>1</v>
      </c>
      <c r="E2877" s="294"/>
      <c r="F2877" s="295" t="str">
        <f>IFERROR(__xludf.DUMMYFUNCTION("IF(B2877="""","""",IFERROR(VLOOKUP(TO_TEXT(B2877),PEDIDOS!D:I,6,0),IFERROR(VLOOKUP(B2877*1,PEDIDOS!D:I,6,0),"" "")))"),"ENTREGUE")</f>
        <v>ENTREGUE</v>
      </c>
      <c r="G2877" s="303"/>
      <c r="H2877" s="304"/>
    </row>
    <row r="2878">
      <c r="A2878" s="302" t="s">
        <v>91</v>
      </c>
      <c r="B2878" s="291" t="s">
        <v>16389</v>
      </c>
      <c r="C2878" s="292" t="s">
        <v>48</v>
      </c>
      <c r="D2878" s="293">
        <f t="shared" si="2"/>
        <v>1</v>
      </c>
      <c r="E2878" s="294"/>
      <c r="F2878" s="295" t="str">
        <f>IFERROR(__xludf.DUMMYFUNCTION("IF(B2878="""","""",IFERROR(VLOOKUP(TO_TEXT(B2878),PEDIDOS!D:I,6,0),IFERROR(VLOOKUP(B2878*1,PEDIDOS!D:I,6,0),"" "")))"),"ENTREGUE")</f>
        <v>ENTREGUE</v>
      </c>
      <c r="G2878" s="303"/>
      <c r="H2878" s="304"/>
    </row>
    <row r="2879">
      <c r="A2879" s="302" t="s">
        <v>91</v>
      </c>
      <c r="B2879" s="291" t="s">
        <v>17597</v>
      </c>
      <c r="C2879" s="292" t="s">
        <v>48</v>
      </c>
      <c r="D2879" s="293">
        <f t="shared" si="2"/>
        <v>1</v>
      </c>
      <c r="E2879" s="294"/>
      <c r="F2879" s="295" t="str">
        <f>IFERROR(__xludf.DUMMYFUNCTION("IF(B2879="""","""",IFERROR(VLOOKUP(TO_TEXT(B2879),PEDIDOS!D:I,6,0),IFERROR(VLOOKUP(B2879*1,PEDIDOS!D:I,6,0),"" "")))"),"ENTREGUE")</f>
        <v>ENTREGUE</v>
      </c>
      <c r="G2879" s="303"/>
      <c r="H2879" s="304"/>
    </row>
    <row r="2880">
      <c r="A2880" s="302" t="s">
        <v>91</v>
      </c>
      <c r="B2880" s="291" t="s">
        <v>16748</v>
      </c>
      <c r="C2880" s="292" t="s">
        <v>48</v>
      </c>
      <c r="D2880" s="293">
        <f t="shared" si="2"/>
        <v>1</v>
      </c>
      <c r="E2880" s="294"/>
      <c r="F2880" s="295" t="str">
        <f>IFERROR(__xludf.DUMMYFUNCTION("IF(B2880="""","""",IFERROR(VLOOKUP(TO_TEXT(B2880),PEDIDOS!D:I,6,0),IFERROR(VLOOKUP(B2880*1,PEDIDOS!D:I,6,0),"" "")))"),"ENTREGUE")</f>
        <v>ENTREGUE</v>
      </c>
      <c r="G2880" s="303"/>
      <c r="H2880" s="304"/>
    </row>
    <row r="2881">
      <c r="A2881" s="302" t="s">
        <v>91</v>
      </c>
      <c r="B2881" s="291" t="s">
        <v>16637</v>
      </c>
      <c r="C2881" s="292" t="s">
        <v>48</v>
      </c>
      <c r="D2881" s="293">
        <f t="shared" si="2"/>
        <v>1</v>
      </c>
      <c r="E2881" s="294"/>
      <c r="F2881" s="295" t="str">
        <f>IFERROR(__xludf.DUMMYFUNCTION("IF(B2881="""","""",IFERROR(VLOOKUP(TO_TEXT(B2881),PEDIDOS!D:I,6,0),IFERROR(VLOOKUP(B2881*1,PEDIDOS!D:I,6,0),"" "")))"),"ENTREGUE")</f>
        <v>ENTREGUE</v>
      </c>
      <c r="G2881" s="303"/>
      <c r="H2881" s="304"/>
    </row>
    <row r="2882">
      <c r="A2882" s="302" t="s">
        <v>91</v>
      </c>
      <c r="B2882" s="291" t="s">
        <v>16792</v>
      </c>
      <c r="C2882" s="292" t="s">
        <v>48</v>
      </c>
      <c r="D2882" s="293">
        <f t="shared" si="2"/>
        <v>1</v>
      </c>
      <c r="E2882" s="294"/>
      <c r="F2882" s="295" t="str">
        <f>IFERROR(__xludf.DUMMYFUNCTION("IF(B2882="""","""",IFERROR(VLOOKUP(TO_TEXT(B2882),PEDIDOS!D:I,6,0),IFERROR(VLOOKUP(B2882*1,PEDIDOS!D:I,6,0),"" "")))"),"ENTREGUE")</f>
        <v>ENTREGUE</v>
      </c>
      <c r="G2882" s="303"/>
      <c r="H2882" s="304"/>
    </row>
    <row r="2883">
      <c r="A2883" s="302" t="s">
        <v>91</v>
      </c>
      <c r="B2883" s="291" t="s">
        <v>16752</v>
      </c>
      <c r="C2883" s="292" t="s">
        <v>48</v>
      </c>
      <c r="D2883" s="293">
        <f t="shared" si="2"/>
        <v>1</v>
      </c>
      <c r="E2883" s="294"/>
      <c r="F2883" s="295" t="str">
        <f>IFERROR(__xludf.DUMMYFUNCTION("IF(B2883="""","""",IFERROR(VLOOKUP(TO_TEXT(B2883),PEDIDOS!D:I,6,0),IFERROR(VLOOKUP(B2883*1,PEDIDOS!D:I,6,0),"" "")))"),"ENTREGUE")</f>
        <v>ENTREGUE</v>
      </c>
      <c r="G2883" s="303"/>
      <c r="H2883" s="304"/>
    </row>
    <row r="2884">
      <c r="A2884" s="302" t="s">
        <v>91</v>
      </c>
      <c r="B2884" s="291" t="s">
        <v>16904</v>
      </c>
      <c r="C2884" s="292" t="s">
        <v>48</v>
      </c>
      <c r="D2884" s="293">
        <f t="shared" si="2"/>
        <v>1</v>
      </c>
      <c r="E2884" s="294"/>
      <c r="F2884" s="295" t="str">
        <f>IFERROR(__xludf.DUMMYFUNCTION("IF(B2884="""","""",IFERROR(VLOOKUP(TO_TEXT(B2884),PEDIDOS!D:I,6,0),IFERROR(VLOOKUP(B2884*1,PEDIDOS!D:I,6,0),"" "")))"),"ENTREGUE")</f>
        <v>ENTREGUE</v>
      </c>
      <c r="G2884" s="303"/>
      <c r="H2884" s="304"/>
    </row>
    <row r="2885">
      <c r="A2885" s="302" t="s">
        <v>91</v>
      </c>
      <c r="B2885" s="291" t="s">
        <v>17099</v>
      </c>
      <c r="C2885" s="292" t="s">
        <v>48</v>
      </c>
      <c r="D2885" s="293">
        <f t="shared" si="2"/>
        <v>1</v>
      </c>
      <c r="E2885" s="294"/>
      <c r="F2885" s="295" t="str">
        <f>IFERROR(__xludf.DUMMYFUNCTION("IF(B2885="""","""",IFERROR(VLOOKUP(TO_TEXT(B2885),PEDIDOS!D:I,6,0),IFERROR(VLOOKUP(B2885*1,PEDIDOS!D:I,6,0),"" "")))"),"ENTREGUE")</f>
        <v>ENTREGUE</v>
      </c>
      <c r="G2885" s="303"/>
      <c r="H2885" s="304"/>
    </row>
    <row r="2886">
      <c r="A2886" s="302" t="s">
        <v>91</v>
      </c>
      <c r="B2886" s="291" t="s">
        <v>17228</v>
      </c>
      <c r="C2886" s="292" t="s">
        <v>48</v>
      </c>
      <c r="D2886" s="293">
        <f t="shared" si="2"/>
        <v>1</v>
      </c>
      <c r="E2886" s="294"/>
      <c r="F2886" s="295" t="str">
        <f>IFERROR(__xludf.DUMMYFUNCTION("IF(B2886="""","""",IFERROR(VLOOKUP(TO_TEXT(B2886),PEDIDOS!D:I,6,0),IFERROR(VLOOKUP(B2886*1,PEDIDOS!D:I,6,0),"" "")))"),"ENTREGUE")</f>
        <v>ENTREGUE</v>
      </c>
      <c r="G2886" s="303"/>
      <c r="H2886" s="304"/>
    </row>
    <row r="2887">
      <c r="A2887" s="302" t="s">
        <v>91</v>
      </c>
      <c r="B2887" s="291" t="s">
        <v>17034</v>
      </c>
      <c r="C2887" s="292" t="s">
        <v>48</v>
      </c>
      <c r="D2887" s="293">
        <f t="shared" si="2"/>
        <v>1</v>
      </c>
      <c r="E2887" s="294"/>
      <c r="F2887" s="295" t="str">
        <f>IFERROR(__xludf.DUMMYFUNCTION("IF(B2887="""","""",IFERROR(VLOOKUP(TO_TEXT(B2887),PEDIDOS!D:I,6,0),IFERROR(VLOOKUP(B2887*1,PEDIDOS!D:I,6,0),"" "")))"),"ENTREGUE")</f>
        <v>ENTREGUE</v>
      </c>
      <c r="G2887" s="303"/>
      <c r="H2887" s="304"/>
    </row>
    <row r="2888">
      <c r="A2888" s="302" t="s">
        <v>91</v>
      </c>
      <c r="B2888" s="291" t="s">
        <v>17038</v>
      </c>
      <c r="C2888" s="292" t="s">
        <v>48</v>
      </c>
      <c r="D2888" s="293">
        <f t="shared" si="2"/>
        <v>1</v>
      </c>
      <c r="E2888" s="294"/>
      <c r="F2888" s="295" t="str">
        <f>IFERROR(__xludf.DUMMYFUNCTION("IF(B2888="""","""",IFERROR(VLOOKUP(TO_TEXT(B2888),PEDIDOS!D:I,6,0),IFERROR(VLOOKUP(B2888*1,PEDIDOS!D:I,6,0),"" "")))"),"ENTREGUE")</f>
        <v>ENTREGUE</v>
      </c>
      <c r="G2888" s="303"/>
      <c r="H2888" s="304"/>
    </row>
    <row r="2889">
      <c r="A2889" s="302" t="s">
        <v>91</v>
      </c>
      <c r="B2889" s="291" t="s">
        <v>17042</v>
      </c>
      <c r="C2889" s="292" t="s">
        <v>48</v>
      </c>
      <c r="D2889" s="293">
        <f t="shared" si="2"/>
        <v>1</v>
      </c>
      <c r="E2889" s="294"/>
      <c r="F2889" s="295" t="str">
        <f>IFERROR(__xludf.DUMMYFUNCTION("IF(B2889="""","""",IFERROR(VLOOKUP(TO_TEXT(B2889),PEDIDOS!D:I,6,0),IFERROR(VLOOKUP(B2889*1,PEDIDOS!D:I,6,0),"" "")))"),"ENTREGUE")</f>
        <v>ENTREGUE</v>
      </c>
      <c r="G2889" s="303"/>
      <c r="H2889" s="304"/>
    </row>
    <row r="2890">
      <c r="A2890" s="302" t="s">
        <v>91</v>
      </c>
      <c r="B2890" s="291" t="s">
        <v>17400</v>
      </c>
      <c r="C2890" s="292" t="s">
        <v>48</v>
      </c>
      <c r="D2890" s="293">
        <f t="shared" si="2"/>
        <v>1</v>
      </c>
      <c r="E2890" s="294"/>
      <c r="F2890" s="295" t="str">
        <f>IFERROR(__xludf.DUMMYFUNCTION("IF(B2890="""","""",IFERROR(VLOOKUP(TO_TEXT(B2890),PEDIDOS!D:I,6,0),IFERROR(VLOOKUP(B2890*1,PEDIDOS!D:I,6,0),"" "")))"),"ENTREGUE")</f>
        <v>ENTREGUE</v>
      </c>
      <c r="G2890" s="303"/>
      <c r="H2890" s="304"/>
    </row>
    <row r="2891">
      <c r="A2891" s="302" t="s">
        <v>91</v>
      </c>
      <c r="B2891" s="291" t="s">
        <v>17409</v>
      </c>
      <c r="C2891" s="292" t="s">
        <v>48</v>
      </c>
      <c r="D2891" s="293">
        <f t="shared" si="2"/>
        <v>1</v>
      </c>
      <c r="E2891" s="294"/>
      <c r="F2891" s="295" t="str">
        <f>IFERROR(__xludf.DUMMYFUNCTION("IF(B2891="""","""",IFERROR(VLOOKUP(TO_TEXT(B2891),PEDIDOS!D:I,6,0),IFERROR(VLOOKUP(B2891*1,PEDIDOS!D:I,6,0),"" "")))"),"ENTREGUE")</f>
        <v>ENTREGUE</v>
      </c>
      <c r="G2891" s="303"/>
      <c r="H2891" s="304"/>
    </row>
    <row r="2892">
      <c r="A2892" s="302" t="s">
        <v>91</v>
      </c>
      <c r="B2892" s="291" t="s">
        <v>17413</v>
      </c>
      <c r="C2892" s="292" t="s">
        <v>48</v>
      </c>
      <c r="D2892" s="293">
        <f t="shared" si="2"/>
        <v>1</v>
      </c>
      <c r="E2892" s="294"/>
      <c r="F2892" s="295" t="str">
        <f>IFERROR(__xludf.DUMMYFUNCTION("IF(B2892="""","""",IFERROR(VLOOKUP(TO_TEXT(B2892),PEDIDOS!D:I,6,0),IFERROR(VLOOKUP(B2892*1,PEDIDOS!D:I,6,0),"" "")))"),"ENTREGUE")</f>
        <v>ENTREGUE</v>
      </c>
      <c r="G2892" s="303"/>
      <c r="H2892" s="304"/>
    </row>
    <row r="2893">
      <c r="A2893" s="302" t="s">
        <v>91</v>
      </c>
      <c r="B2893" s="291" t="s">
        <v>17405</v>
      </c>
      <c r="C2893" s="292" t="s">
        <v>48</v>
      </c>
      <c r="D2893" s="293">
        <f t="shared" si="2"/>
        <v>1</v>
      </c>
      <c r="E2893" s="294"/>
      <c r="F2893" s="295" t="str">
        <f>IFERROR(__xludf.DUMMYFUNCTION("IF(B2893="""","""",IFERROR(VLOOKUP(TO_TEXT(B2893),PEDIDOS!D:I,6,0),IFERROR(VLOOKUP(B2893*1,PEDIDOS!D:I,6,0),"" "")))"),"ENTREGUE")</f>
        <v>ENTREGUE</v>
      </c>
      <c r="G2893" s="303"/>
      <c r="H2893" s="304"/>
    </row>
    <row r="2894">
      <c r="A2894" s="302" t="s">
        <v>112</v>
      </c>
      <c r="B2894" s="291" t="s">
        <v>13726</v>
      </c>
      <c r="C2894" s="292"/>
      <c r="D2894" s="293">
        <f t="shared" si="2"/>
        <v>1</v>
      </c>
      <c r="E2894" s="294"/>
      <c r="F2894" s="295" t="str">
        <f>IFERROR(__xludf.DUMMYFUNCTION("IF(B2894="""","""",IFERROR(VLOOKUP(TO_TEXT(B2894),PEDIDOS!D:I,6,0),IFERROR(VLOOKUP(B2894*1,PEDIDOS!D:I,6,0),"" "")))"),"ENTREGUE")</f>
        <v>ENTREGUE</v>
      </c>
      <c r="G2894" s="303"/>
      <c r="H2894" s="304"/>
    </row>
    <row r="2895">
      <c r="A2895" s="302" t="s">
        <v>112</v>
      </c>
      <c r="B2895" s="291" t="s">
        <v>13874</v>
      </c>
      <c r="C2895" s="292"/>
      <c r="D2895" s="293">
        <f t="shared" si="2"/>
        <v>1</v>
      </c>
      <c r="E2895" s="294"/>
      <c r="F2895" s="295" t="str">
        <f>IFERROR(__xludf.DUMMYFUNCTION("IF(B2895="""","""",IFERROR(VLOOKUP(TO_TEXT(B2895),PEDIDOS!D:I,6,0),IFERROR(VLOOKUP(B2895*1,PEDIDOS!D:I,6,0),"" "")))"),"ENTREGUE")</f>
        <v>ENTREGUE</v>
      </c>
      <c r="G2895" s="303"/>
      <c r="H2895" s="304"/>
    </row>
    <row r="2896">
      <c r="A2896" s="302" t="s">
        <v>112</v>
      </c>
      <c r="B2896" s="291" t="s">
        <v>13655</v>
      </c>
      <c r="C2896" s="292"/>
      <c r="D2896" s="293">
        <f t="shared" si="2"/>
        <v>1</v>
      </c>
      <c r="E2896" s="294"/>
      <c r="F2896" s="295" t="str">
        <f>IFERROR(__xludf.DUMMYFUNCTION("IF(B2896="""","""",IFERROR(VLOOKUP(TO_TEXT(B2896),PEDIDOS!D:I,6,0),IFERROR(VLOOKUP(B2896*1,PEDIDOS!D:I,6,0),"" "")))"),"ENTREGUE")</f>
        <v>ENTREGUE</v>
      </c>
      <c r="G2896" s="303"/>
      <c r="H2896" s="304"/>
    </row>
    <row r="2897">
      <c r="A2897" s="302" t="s">
        <v>112</v>
      </c>
      <c r="B2897" s="291" t="s">
        <v>14296</v>
      </c>
      <c r="C2897" s="292"/>
      <c r="D2897" s="293">
        <f t="shared" si="2"/>
        <v>1</v>
      </c>
      <c r="E2897" s="294"/>
      <c r="F2897" s="295" t="str">
        <f>IFERROR(__xludf.DUMMYFUNCTION("IF(B2897="""","""",IFERROR(VLOOKUP(TO_TEXT(B2897),PEDIDOS!D:I,6,0),IFERROR(VLOOKUP(B2897*1,PEDIDOS!D:I,6,0),"" "")))"),"ENTREGUE")</f>
        <v>ENTREGUE</v>
      </c>
      <c r="G2897" s="303"/>
      <c r="H2897" s="304"/>
    </row>
    <row r="2898">
      <c r="A2898" s="302" t="s">
        <v>112</v>
      </c>
      <c r="B2898" s="291" t="s">
        <v>14111</v>
      </c>
      <c r="C2898" s="292"/>
      <c r="D2898" s="293">
        <f t="shared" si="2"/>
        <v>1</v>
      </c>
      <c r="E2898" s="294"/>
      <c r="F2898" s="295" t="str">
        <f>IFERROR(__xludf.DUMMYFUNCTION("IF(B2898="""","""",IFERROR(VLOOKUP(TO_TEXT(B2898),PEDIDOS!D:I,6,0),IFERROR(VLOOKUP(B2898*1,PEDIDOS!D:I,6,0),"" "")))"),"ENTREGUE")</f>
        <v>ENTREGUE</v>
      </c>
      <c r="G2898" s="303"/>
      <c r="H2898" s="304"/>
    </row>
    <row r="2899">
      <c r="A2899" s="302" t="s">
        <v>112</v>
      </c>
      <c r="B2899" s="291" t="s">
        <v>14292</v>
      </c>
      <c r="C2899" s="292"/>
      <c r="D2899" s="293">
        <f t="shared" si="2"/>
        <v>1</v>
      </c>
      <c r="E2899" s="294"/>
      <c r="F2899" s="295" t="str">
        <f>IFERROR(__xludf.DUMMYFUNCTION("IF(B2899="""","""",IFERROR(VLOOKUP(TO_TEXT(B2899),PEDIDOS!D:I,6,0),IFERROR(VLOOKUP(B2899*1,PEDIDOS!D:I,6,0),"" "")))"),"ENTREGUE")</f>
        <v>ENTREGUE</v>
      </c>
      <c r="G2899" s="303"/>
      <c r="H2899" s="304"/>
    </row>
    <row r="2900">
      <c r="A2900" s="302" t="s">
        <v>112</v>
      </c>
      <c r="B2900" s="291" t="s">
        <v>14567</v>
      </c>
      <c r="C2900" s="292" t="s">
        <v>48</v>
      </c>
      <c r="D2900" s="293">
        <f t="shared" si="2"/>
        <v>1</v>
      </c>
      <c r="E2900" s="294"/>
      <c r="F2900" s="295" t="str">
        <f>IFERROR(__xludf.DUMMYFUNCTION("IF(B2900="""","""",IFERROR(VLOOKUP(TO_TEXT(B2900),PEDIDOS!D:I,6,0),IFERROR(VLOOKUP(B2900*1,PEDIDOS!D:I,6,0),"" "")))"),"ENTREGUE")</f>
        <v>ENTREGUE</v>
      </c>
      <c r="G2900" s="303"/>
      <c r="H2900" s="304"/>
    </row>
    <row r="2901">
      <c r="A2901" s="302" t="s">
        <v>112</v>
      </c>
      <c r="B2901" s="291" t="s">
        <v>14560</v>
      </c>
      <c r="C2901" s="292" t="s">
        <v>48</v>
      </c>
      <c r="D2901" s="293">
        <f t="shared" si="2"/>
        <v>1</v>
      </c>
      <c r="E2901" s="294"/>
      <c r="F2901" s="295" t="str">
        <f>IFERROR(__xludf.DUMMYFUNCTION("IF(B2901="""","""",IFERROR(VLOOKUP(TO_TEXT(B2901),PEDIDOS!D:I,6,0),IFERROR(VLOOKUP(B2901*1,PEDIDOS!D:I,6,0),"" "")))"),"ENTREGUE")</f>
        <v>ENTREGUE</v>
      </c>
      <c r="G2901" s="303"/>
      <c r="H2901" s="304"/>
    </row>
    <row r="2902">
      <c r="A2902" s="302" t="s">
        <v>112</v>
      </c>
      <c r="B2902" s="291" t="s">
        <v>14245</v>
      </c>
      <c r="C2902" s="292"/>
      <c r="D2902" s="293">
        <f t="shared" si="2"/>
        <v>1</v>
      </c>
      <c r="E2902" s="294"/>
      <c r="F2902" s="295" t="str">
        <f>IFERROR(__xludf.DUMMYFUNCTION("IF(B2902="""","""",IFERROR(VLOOKUP(TO_TEXT(B2902),PEDIDOS!D:I,6,0),IFERROR(VLOOKUP(B2902*1,PEDIDOS!D:I,6,0),"" "")))"),"ENTREGUE")</f>
        <v>ENTREGUE</v>
      </c>
      <c r="G2902" s="303"/>
      <c r="H2902" s="304"/>
    </row>
    <row r="2903">
      <c r="A2903" s="302" t="s">
        <v>112</v>
      </c>
      <c r="B2903" s="291" t="s">
        <v>14712</v>
      </c>
      <c r="C2903" s="292" t="s">
        <v>48</v>
      </c>
      <c r="D2903" s="293">
        <f t="shared" si="2"/>
        <v>1</v>
      </c>
      <c r="E2903" s="294"/>
      <c r="F2903" s="295" t="str">
        <f>IFERROR(__xludf.DUMMYFUNCTION("IF(B2903="""","""",IFERROR(VLOOKUP(TO_TEXT(B2903),PEDIDOS!D:I,6,0),IFERROR(VLOOKUP(B2903*1,PEDIDOS!D:I,6,0),"" "")))"),"ENTREGUE")</f>
        <v>ENTREGUE</v>
      </c>
      <c r="G2903" s="303"/>
      <c r="H2903" s="304"/>
    </row>
    <row r="2904">
      <c r="A2904" s="302" t="s">
        <v>112</v>
      </c>
      <c r="B2904" s="291" t="s">
        <v>14716</v>
      </c>
      <c r="C2904" s="292" t="s">
        <v>48</v>
      </c>
      <c r="D2904" s="293">
        <f t="shared" si="2"/>
        <v>1</v>
      </c>
      <c r="E2904" s="294"/>
      <c r="F2904" s="295" t="str">
        <f>IFERROR(__xludf.DUMMYFUNCTION("IF(B2904="""","""",IFERROR(VLOOKUP(TO_TEXT(B2904),PEDIDOS!D:I,6,0),IFERROR(VLOOKUP(B2904*1,PEDIDOS!D:I,6,0),"" "")))"),"ENTREGUE")</f>
        <v>ENTREGUE</v>
      </c>
      <c r="G2904" s="303"/>
      <c r="H2904" s="304"/>
    </row>
    <row r="2905">
      <c r="A2905" s="302" t="s">
        <v>112</v>
      </c>
      <c r="B2905" s="291" t="s">
        <v>14241</v>
      </c>
      <c r="C2905" s="292"/>
      <c r="D2905" s="293">
        <f t="shared" si="2"/>
        <v>1</v>
      </c>
      <c r="E2905" s="294"/>
      <c r="F2905" s="295" t="str">
        <f>IFERROR(__xludf.DUMMYFUNCTION("IF(B2905="""","""",IFERROR(VLOOKUP(TO_TEXT(B2905),PEDIDOS!D:I,6,0),IFERROR(VLOOKUP(B2905*1,PEDIDOS!D:I,6,0),"" "")))"),"ENTREGUE")</f>
        <v>ENTREGUE</v>
      </c>
      <c r="G2905" s="303"/>
      <c r="H2905" s="304"/>
    </row>
    <row r="2906">
      <c r="A2906" s="302" t="s">
        <v>112</v>
      </c>
      <c r="B2906" s="291" t="s">
        <v>14915</v>
      </c>
      <c r="C2906" s="292" t="s">
        <v>48</v>
      </c>
      <c r="D2906" s="293">
        <f t="shared" si="2"/>
        <v>1</v>
      </c>
      <c r="E2906" s="294"/>
      <c r="F2906" s="295" t="str">
        <f>IFERROR(__xludf.DUMMYFUNCTION("IF(B2906="""","""",IFERROR(VLOOKUP(TO_TEXT(B2906),PEDIDOS!D:I,6,0),IFERROR(VLOOKUP(B2906*1,PEDIDOS!D:I,6,0),"" "")))"),"ENTREGUE")</f>
        <v>ENTREGUE</v>
      </c>
      <c r="G2906" s="303"/>
      <c r="H2906" s="304"/>
    </row>
    <row r="2907">
      <c r="A2907" s="302" t="s">
        <v>112</v>
      </c>
      <c r="B2907" s="291" t="s">
        <v>15149</v>
      </c>
      <c r="C2907" s="292" t="s">
        <v>48</v>
      </c>
      <c r="D2907" s="293">
        <f t="shared" si="2"/>
        <v>1</v>
      </c>
      <c r="E2907" s="294"/>
      <c r="F2907" s="295" t="str">
        <f>IFERROR(__xludf.DUMMYFUNCTION("IF(B2907="""","""",IFERROR(VLOOKUP(TO_TEXT(B2907),PEDIDOS!D:I,6,0),IFERROR(VLOOKUP(B2907*1,PEDIDOS!D:I,6,0),"" "")))"),"ENTREGUE")</f>
        <v>ENTREGUE</v>
      </c>
      <c r="G2907" s="303"/>
      <c r="H2907" s="304"/>
    </row>
    <row r="2908">
      <c r="A2908" s="302" t="s">
        <v>112</v>
      </c>
      <c r="B2908" s="291" t="s">
        <v>23442</v>
      </c>
      <c r="C2908" s="292" t="s">
        <v>48</v>
      </c>
      <c r="D2908" s="293">
        <f t="shared" si="2"/>
        <v>1</v>
      </c>
      <c r="E2908" s="294"/>
      <c r="F2908" s="295" t="str">
        <f>IFERROR(__xludf.DUMMYFUNCTION("IF(B2908="""","""",IFERROR(VLOOKUP(TO_TEXT(B2908),PEDIDOS!D:I,6,0),IFERROR(VLOOKUP(B2908*1,PEDIDOS!D:I,6,0),"" "")))")," ")</f>
        <v> </v>
      </c>
      <c r="G2908" s="307" t="s">
        <v>4129</v>
      </c>
      <c r="H2908" s="304"/>
    </row>
    <row r="2909">
      <c r="A2909" s="302" t="s">
        <v>47</v>
      </c>
      <c r="B2909" s="291" t="s">
        <v>15127</v>
      </c>
      <c r="C2909" s="292" t="s">
        <v>48</v>
      </c>
      <c r="D2909" s="293">
        <f t="shared" si="2"/>
        <v>1</v>
      </c>
      <c r="E2909" s="294"/>
      <c r="F2909" s="295" t="str">
        <f>IFERROR(__xludf.DUMMYFUNCTION("IF(B2909="""","""",IFERROR(VLOOKUP(TO_TEXT(B2909),PEDIDOS!D:I,6,0),IFERROR(VLOOKUP(B2909*1,PEDIDOS!D:I,6,0),"" "")))"),"ENTREGUE")</f>
        <v>ENTREGUE</v>
      </c>
      <c r="G2909" s="303"/>
      <c r="H2909" s="304"/>
    </row>
    <row r="2910">
      <c r="A2910" s="302" t="s">
        <v>47</v>
      </c>
      <c r="B2910" s="291" t="s">
        <v>15070</v>
      </c>
      <c r="C2910" s="292" t="s">
        <v>48</v>
      </c>
      <c r="D2910" s="293">
        <f t="shared" si="2"/>
        <v>1</v>
      </c>
      <c r="E2910" s="294"/>
      <c r="F2910" s="295" t="str">
        <f>IFERROR(__xludf.DUMMYFUNCTION("IF(B2910="""","""",IFERROR(VLOOKUP(TO_TEXT(B2910),PEDIDOS!D:I,6,0),IFERROR(VLOOKUP(B2910*1,PEDIDOS!D:I,6,0),"" "")))"),"ENTREGUE")</f>
        <v>ENTREGUE</v>
      </c>
      <c r="G2910" s="303"/>
      <c r="H2910" s="304"/>
    </row>
    <row r="2911">
      <c r="A2911" s="302" t="s">
        <v>47</v>
      </c>
      <c r="B2911" s="291" t="s">
        <v>14904</v>
      </c>
      <c r="C2911" s="292" t="s">
        <v>48</v>
      </c>
      <c r="D2911" s="293">
        <f t="shared" si="2"/>
        <v>1</v>
      </c>
      <c r="E2911" s="294"/>
      <c r="F2911" s="295" t="str">
        <f>IFERROR(__xludf.DUMMYFUNCTION("IF(B2911="""","""",IFERROR(VLOOKUP(TO_TEXT(B2911),PEDIDOS!D:I,6,0),IFERROR(VLOOKUP(B2911*1,PEDIDOS!D:I,6,0),"" "")))"),"ENTREGUE")</f>
        <v>ENTREGUE</v>
      </c>
      <c r="G2911" s="303"/>
      <c r="H2911" s="304"/>
    </row>
    <row r="2912">
      <c r="A2912" s="302" t="s">
        <v>47</v>
      </c>
      <c r="B2912" s="291" t="s">
        <v>14732</v>
      </c>
      <c r="C2912" s="292" t="s">
        <v>48</v>
      </c>
      <c r="D2912" s="293">
        <f t="shared" si="2"/>
        <v>1</v>
      </c>
      <c r="E2912" s="294"/>
      <c r="F2912" s="295" t="str">
        <f>IFERROR(__xludf.DUMMYFUNCTION("IF(B2912="""","""",IFERROR(VLOOKUP(TO_TEXT(B2912),PEDIDOS!D:I,6,0),IFERROR(VLOOKUP(B2912*1,PEDIDOS!D:I,6,0),"" "")))"),"ENTREGUE")</f>
        <v>ENTREGUE</v>
      </c>
      <c r="G2912" s="303"/>
      <c r="H2912" s="304"/>
    </row>
    <row r="2913">
      <c r="A2913" s="302" t="s">
        <v>47</v>
      </c>
      <c r="B2913" s="291" t="s">
        <v>14780</v>
      </c>
      <c r="C2913" s="292" t="s">
        <v>48</v>
      </c>
      <c r="D2913" s="293">
        <f t="shared" si="2"/>
        <v>1</v>
      </c>
      <c r="E2913" s="294"/>
      <c r="F2913" s="295" t="str">
        <f>IFERROR(__xludf.DUMMYFUNCTION("IF(B2913="""","""",IFERROR(VLOOKUP(TO_TEXT(B2913),PEDIDOS!D:I,6,0),IFERROR(VLOOKUP(B2913*1,PEDIDOS!D:I,6,0),"" "")))"),"ENTREGUE")</f>
        <v>ENTREGUE</v>
      </c>
      <c r="G2913" s="303"/>
      <c r="H2913" s="304"/>
    </row>
    <row r="2914">
      <c r="A2914" s="302" t="s">
        <v>47</v>
      </c>
      <c r="B2914" s="291" t="s">
        <v>14984</v>
      </c>
      <c r="C2914" s="292" t="s">
        <v>48</v>
      </c>
      <c r="D2914" s="293">
        <f t="shared" si="2"/>
        <v>1</v>
      </c>
      <c r="E2914" s="294"/>
      <c r="F2914" s="295" t="str">
        <f>IFERROR(__xludf.DUMMYFUNCTION("IF(B2914="""","""",IFERROR(VLOOKUP(TO_TEXT(B2914),PEDIDOS!D:I,6,0),IFERROR(VLOOKUP(B2914*1,PEDIDOS!D:I,6,0),"" "")))"),"ENTREGUE")</f>
        <v>ENTREGUE</v>
      </c>
      <c r="G2914" s="303"/>
      <c r="H2914" s="304"/>
    </row>
    <row r="2915">
      <c r="A2915" s="302" t="s">
        <v>47</v>
      </c>
      <c r="B2915" s="291" t="s">
        <v>15487</v>
      </c>
      <c r="C2915" s="292" t="s">
        <v>48</v>
      </c>
      <c r="D2915" s="293">
        <f t="shared" si="2"/>
        <v>1</v>
      </c>
      <c r="E2915" s="294"/>
      <c r="F2915" s="295" t="str">
        <f>IFERROR(__xludf.DUMMYFUNCTION("IF(B2915="""","""",IFERROR(VLOOKUP(TO_TEXT(B2915),PEDIDOS!D:I,6,0),IFERROR(VLOOKUP(B2915*1,PEDIDOS!D:I,6,0),"" "")))"),"ENTREGUE")</f>
        <v>ENTREGUE</v>
      </c>
      <c r="G2915" s="303"/>
      <c r="H2915" s="304"/>
    </row>
    <row r="2916">
      <c r="A2916" s="302" t="s">
        <v>47</v>
      </c>
      <c r="B2916" s="291" t="s">
        <v>15482</v>
      </c>
      <c r="C2916" s="292" t="s">
        <v>48</v>
      </c>
      <c r="D2916" s="293">
        <f t="shared" si="2"/>
        <v>1</v>
      </c>
      <c r="E2916" s="294"/>
      <c r="F2916" s="295" t="str">
        <f>IFERROR(__xludf.DUMMYFUNCTION("IF(B2916="""","""",IFERROR(VLOOKUP(TO_TEXT(B2916),PEDIDOS!D:I,6,0),IFERROR(VLOOKUP(B2916*1,PEDIDOS!D:I,6,0),"" "")))"),"ENTREGUE")</f>
        <v>ENTREGUE</v>
      </c>
      <c r="G2916" s="303"/>
      <c r="H2916" s="304"/>
    </row>
    <row r="2917">
      <c r="A2917" s="302" t="s">
        <v>47</v>
      </c>
      <c r="B2917" s="291" t="s">
        <v>15424</v>
      </c>
      <c r="C2917" s="292" t="s">
        <v>48</v>
      </c>
      <c r="D2917" s="293">
        <f t="shared" si="2"/>
        <v>1</v>
      </c>
      <c r="E2917" s="294"/>
      <c r="F2917" s="295" t="str">
        <f>IFERROR(__xludf.DUMMYFUNCTION("IF(B2917="""","""",IFERROR(VLOOKUP(TO_TEXT(B2917),PEDIDOS!D:I,6,0),IFERROR(VLOOKUP(B2917*1,PEDIDOS!D:I,6,0),"" "")))"),"ENTREGUE")</f>
        <v>ENTREGUE</v>
      </c>
      <c r="G2917" s="303"/>
      <c r="H2917" s="304"/>
    </row>
    <row r="2918">
      <c r="A2918" s="302" t="s">
        <v>47</v>
      </c>
      <c r="B2918" s="291" t="s">
        <v>15402</v>
      </c>
      <c r="C2918" s="292" t="s">
        <v>48</v>
      </c>
      <c r="D2918" s="293">
        <f t="shared" si="2"/>
        <v>1</v>
      </c>
      <c r="E2918" s="294"/>
      <c r="F2918" s="295" t="str">
        <f>IFERROR(__xludf.DUMMYFUNCTION("IF(B2918="""","""",IFERROR(VLOOKUP(TO_TEXT(B2918),PEDIDOS!D:I,6,0),IFERROR(VLOOKUP(B2918*1,PEDIDOS!D:I,6,0),"" "")))"),"ENTREGUE")</f>
        <v>ENTREGUE</v>
      </c>
      <c r="G2918" s="303"/>
      <c r="H2918" s="304"/>
    </row>
    <row r="2919">
      <c r="A2919" s="302" t="s">
        <v>47</v>
      </c>
      <c r="B2919" s="291" t="s">
        <v>15301</v>
      </c>
      <c r="C2919" s="292" t="s">
        <v>48</v>
      </c>
      <c r="D2919" s="293">
        <f t="shared" si="2"/>
        <v>1</v>
      </c>
      <c r="E2919" s="294"/>
      <c r="F2919" s="295" t="str">
        <f>IFERROR(__xludf.DUMMYFUNCTION("IF(B2919="""","""",IFERROR(VLOOKUP(TO_TEXT(B2919),PEDIDOS!D:I,6,0),IFERROR(VLOOKUP(B2919*1,PEDIDOS!D:I,6,0),"" "")))"),"ENTREGUE")</f>
        <v>ENTREGUE</v>
      </c>
      <c r="G2919" s="303"/>
      <c r="H2919" s="304"/>
    </row>
    <row r="2920">
      <c r="A2920" s="302" t="s">
        <v>47</v>
      </c>
      <c r="B2920" s="291" t="s">
        <v>15294</v>
      </c>
      <c r="C2920" s="292" t="s">
        <v>48</v>
      </c>
      <c r="D2920" s="293">
        <f t="shared" si="2"/>
        <v>1</v>
      </c>
      <c r="E2920" s="294"/>
      <c r="F2920" s="295" t="str">
        <f>IFERROR(__xludf.DUMMYFUNCTION("IF(B2920="""","""",IFERROR(VLOOKUP(TO_TEXT(B2920),PEDIDOS!D:I,6,0),IFERROR(VLOOKUP(B2920*1,PEDIDOS!D:I,6,0),"" "")))"),"ENTREGUE")</f>
        <v>ENTREGUE</v>
      </c>
      <c r="G2920" s="303"/>
      <c r="H2920" s="304"/>
    </row>
    <row r="2921">
      <c r="A2921" s="302" t="s">
        <v>47</v>
      </c>
      <c r="B2921" s="291" t="s">
        <v>15552</v>
      </c>
      <c r="C2921" s="292" t="s">
        <v>48</v>
      </c>
      <c r="D2921" s="293">
        <f t="shared" si="2"/>
        <v>1</v>
      </c>
      <c r="E2921" s="294"/>
      <c r="F2921" s="295" t="str">
        <f>IFERROR(__xludf.DUMMYFUNCTION("IF(B2921="""","""",IFERROR(VLOOKUP(TO_TEXT(B2921),PEDIDOS!D:I,6,0),IFERROR(VLOOKUP(B2921*1,PEDIDOS!D:I,6,0),"" "")))"),"ENTREGUE")</f>
        <v>ENTREGUE</v>
      </c>
      <c r="G2921" s="303"/>
      <c r="H2921" s="304"/>
    </row>
    <row r="2922">
      <c r="A2922" s="302" t="s">
        <v>47</v>
      </c>
      <c r="B2922" s="291" t="s">
        <v>17026</v>
      </c>
      <c r="C2922" s="292" t="s">
        <v>48</v>
      </c>
      <c r="D2922" s="293">
        <f t="shared" si="2"/>
        <v>1</v>
      </c>
      <c r="E2922" s="294"/>
      <c r="F2922" s="295" t="str">
        <f>IFERROR(__xludf.DUMMYFUNCTION("IF(B2922="""","""",IFERROR(VLOOKUP(TO_TEXT(B2922),PEDIDOS!D:I,6,0),IFERROR(VLOOKUP(B2922*1,PEDIDOS!D:I,6,0),"" "")))"),"ENTREGUE")</f>
        <v>ENTREGUE</v>
      </c>
      <c r="G2922" s="303"/>
      <c r="H2922" s="304" t="s">
        <v>15811</v>
      </c>
    </row>
    <row r="2923">
      <c r="A2923" s="302" t="s">
        <v>47</v>
      </c>
      <c r="B2923" s="291" t="s">
        <v>23443</v>
      </c>
      <c r="C2923" s="292" t="s">
        <v>48</v>
      </c>
      <c r="D2923" s="293">
        <f t="shared" si="2"/>
        <v>0</v>
      </c>
      <c r="E2923" s="294"/>
      <c r="F2923" s="295" t="str">
        <f>IFERROR(__xludf.DUMMYFUNCTION("IF(B2923="""","""",IFERROR(VLOOKUP(TO_TEXT(B2923),PEDIDOS!D:I,6,0),IFERROR(VLOOKUP(B2923*1,PEDIDOS!D:I,6,0),"" "")))")," ")</f>
        <v> </v>
      </c>
      <c r="G2923" s="303"/>
      <c r="H2923" s="304" t="s">
        <v>15811</v>
      </c>
    </row>
    <row r="2924">
      <c r="A2924" s="302" t="s">
        <v>47</v>
      </c>
      <c r="B2924" s="291" t="s">
        <v>23444</v>
      </c>
      <c r="C2924" s="292" t="s">
        <v>48</v>
      </c>
      <c r="D2924" s="293">
        <f t="shared" si="2"/>
        <v>0</v>
      </c>
      <c r="E2924" s="294"/>
      <c r="F2924" s="295" t="str">
        <f>IFERROR(__xludf.DUMMYFUNCTION("IF(B2924="""","""",IFERROR(VLOOKUP(TO_TEXT(B2924),PEDIDOS!D:I,6,0),IFERROR(VLOOKUP(B2924*1,PEDIDOS!D:I,6,0),"" "")))")," ")</f>
        <v> </v>
      </c>
      <c r="G2924" s="303"/>
      <c r="H2924" s="304" t="s">
        <v>15811</v>
      </c>
    </row>
    <row r="2925">
      <c r="A2925" s="302" t="s">
        <v>47</v>
      </c>
      <c r="B2925" s="291" t="s">
        <v>16137</v>
      </c>
      <c r="C2925" s="292" t="s">
        <v>48</v>
      </c>
      <c r="D2925" s="293">
        <f t="shared" si="2"/>
        <v>1</v>
      </c>
      <c r="E2925" s="294"/>
      <c r="F2925" s="295" t="str">
        <f>IFERROR(__xludf.DUMMYFUNCTION("IF(B2925="""","""",IFERROR(VLOOKUP(TO_TEXT(B2925),PEDIDOS!D:I,6,0),IFERROR(VLOOKUP(B2925*1,PEDIDOS!D:I,6,0),"" "")))"),"ENTREGUE")</f>
        <v>ENTREGUE</v>
      </c>
      <c r="G2925" s="303"/>
      <c r="H2925" s="304"/>
    </row>
    <row r="2926">
      <c r="A2926" s="302" t="s">
        <v>47</v>
      </c>
      <c r="B2926" s="291" t="s">
        <v>16737</v>
      </c>
      <c r="C2926" s="292" t="s">
        <v>48</v>
      </c>
      <c r="D2926" s="293">
        <f t="shared" si="2"/>
        <v>1</v>
      </c>
      <c r="E2926" s="294"/>
      <c r="F2926" s="295" t="str">
        <f>IFERROR(__xludf.DUMMYFUNCTION("IF(B2926="""","""",IFERROR(VLOOKUP(TO_TEXT(B2926),PEDIDOS!D:I,6,0),IFERROR(VLOOKUP(B2926*1,PEDIDOS!D:I,6,0),"" "")))"),"ENTREGUE")</f>
        <v>ENTREGUE</v>
      </c>
      <c r="G2926" s="303"/>
      <c r="H2926" s="304"/>
    </row>
    <row r="2927">
      <c r="A2927" s="302" t="s">
        <v>47</v>
      </c>
      <c r="B2927" s="291" t="s">
        <v>16683</v>
      </c>
      <c r="C2927" s="292" t="s">
        <v>48</v>
      </c>
      <c r="D2927" s="293">
        <f t="shared" si="2"/>
        <v>1</v>
      </c>
      <c r="E2927" s="294"/>
      <c r="F2927" s="295" t="str">
        <f>IFERROR(__xludf.DUMMYFUNCTION("IF(B2927="""","""",IFERROR(VLOOKUP(TO_TEXT(B2927),PEDIDOS!D:I,6,0),IFERROR(VLOOKUP(B2927*1,PEDIDOS!D:I,6,0),"" "")))"),"ENTREGUE")</f>
        <v>ENTREGUE</v>
      </c>
      <c r="G2927" s="303"/>
      <c r="H2927" s="304"/>
    </row>
    <row r="2928">
      <c r="A2928" s="302" t="s">
        <v>47</v>
      </c>
      <c r="B2928" s="291" t="s">
        <v>16444</v>
      </c>
      <c r="C2928" s="292" t="s">
        <v>48</v>
      </c>
      <c r="D2928" s="293">
        <f t="shared" si="2"/>
        <v>1</v>
      </c>
      <c r="E2928" s="294"/>
      <c r="F2928" s="295" t="str">
        <f>IFERROR(__xludf.DUMMYFUNCTION("IF(B2928="""","""",IFERROR(VLOOKUP(TO_TEXT(B2928),PEDIDOS!D:I,6,0),IFERROR(VLOOKUP(B2928*1,PEDIDOS!D:I,6,0),"" "")))"),"ENTREGUE")</f>
        <v>ENTREGUE</v>
      </c>
      <c r="G2928" s="303"/>
      <c r="H2928" s="304"/>
    </row>
    <row r="2929">
      <c r="A2929" s="302" t="s">
        <v>47</v>
      </c>
      <c r="B2929" s="291" t="s">
        <v>16687</v>
      </c>
      <c r="C2929" s="292" t="s">
        <v>48</v>
      </c>
      <c r="D2929" s="293">
        <f t="shared" si="2"/>
        <v>1</v>
      </c>
      <c r="E2929" s="294"/>
      <c r="F2929" s="295" t="str">
        <f>IFERROR(__xludf.DUMMYFUNCTION("IF(B2929="""","""",IFERROR(VLOOKUP(TO_TEXT(B2929),PEDIDOS!D:I,6,0),IFERROR(VLOOKUP(B2929*1,PEDIDOS!D:I,6,0),"" "")))"),"ENTREGUE")</f>
        <v>ENTREGUE</v>
      </c>
      <c r="G2929" s="303"/>
      <c r="H2929" s="304"/>
    </row>
    <row r="2930">
      <c r="A2930" s="302" t="s">
        <v>47</v>
      </c>
      <c r="B2930" s="291" t="s">
        <v>16656</v>
      </c>
      <c r="C2930" s="292" t="s">
        <v>48</v>
      </c>
      <c r="D2930" s="293">
        <f t="shared" si="2"/>
        <v>1</v>
      </c>
      <c r="E2930" s="294"/>
      <c r="F2930" s="295" t="str">
        <f>IFERROR(__xludf.DUMMYFUNCTION("IF(B2930="""","""",IFERROR(VLOOKUP(TO_TEXT(B2930),PEDIDOS!D:I,6,0),IFERROR(VLOOKUP(B2930*1,PEDIDOS!D:I,6,0),"" "")))"),"ENTREGUE")</f>
        <v>ENTREGUE</v>
      </c>
      <c r="G2930" s="303"/>
      <c r="H2930" s="304"/>
    </row>
    <row r="2931">
      <c r="A2931" s="302" t="s">
        <v>47</v>
      </c>
      <c r="B2931" s="291" t="s">
        <v>23445</v>
      </c>
      <c r="C2931" s="292" t="s">
        <v>48</v>
      </c>
      <c r="D2931" s="293">
        <f t="shared" si="2"/>
        <v>1</v>
      </c>
      <c r="E2931" s="294"/>
      <c r="F2931" s="295" t="str">
        <f>IFERROR(__xludf.DUMMYFUNCTION("IF(B2931="""","""",IFERROR(VLOOKUP(TO_TEXT(B2931),PEDIDOS!D:I,6,0),IFERROR(VLOOKUP(B2931*1,PEDIDOS!D:I,6,0),"" "")))")," ")</f>
        <v> </v>
      </c>
      <c r="G2931" s="303" t="s">
        <v>23334</v>
      </c>
      <c r="H2931" s="304"/>
    </row>
    <row r="2932">
      <c r="A2932" s="302" t="s">
        <v>47</v>
      </c>
      <c r="B2932" s="291" t="s">
        <v>15852</v>
      </c>
      <c r="C2932" s="292" t="s">
        <v>48</v>
      </c>
      <c r="D2932" s="293">
        <f t="shared" si="2"/>
        <v>1</v>
      </c>
      <c r="E2932" s="294"/>
      <c r="F2932" s="295" t="str">
        <f>IFERROR(__xludf.DUMMYFUNCTION("IF(B2932="""","""",IFERROR(VLOOKUP(TO_TEXT(B2932),PEDIDOS!D:I,6,0),IFERROR(VLOOKUP(B2932*1,PEDIDOS!D:I,6,0),"" "")))"),"ENTREGUE")</f>
        <v>ENTREGUE</v>
      </c>
      <c r="G2932" s="303"/>
      <c r="H2932" s="304"/>
    </row>
    <row r="2933">
      <c r="A2933" s="302" t="s">
        <v>47</v>
      </c>
      <c r="B2933" s="291" t="s">
        <v>16667</v>
      </c>
      <c r="C2933" s="292" t="s">
        <v>48</v>
      </c>
      <c r="D2933" s="293">
        <f t="shared" si="2"/>
        <v>1</v>
      </c>
      <c r="E2933" s="294"/>
      <c r="F2933" s="295" t="str">
        <f>IFERROR(__xludf.DUMMYFUNCTION("IF(B2933="""","""",IFERROR(VLOOKUP(TO_TEXT(B2933),PEDIDOS!D:I,6,0),IFERROR(VLOOKUP(B2933*1,PEDIDOS!D:I,6,0),"" "")))"),"ENTREGUE")</f>
        <v>ENTREGUE</v>
      </c>
      <c r="G2933" s="303"/>
      <c r="H2933" s="304"/>
    </row>
    <row r="2934">
      <c r="A2934" s="302" t="s">
        <v>47</v>
      </c>
      <c r="B2934" s="291" t="s">
        <v>16743</v>
      </c>
      <c r="C2934" s="292" t="s">
        <v>48</v>
      </c>
      <c r="D2934" s="293">
        <f t="shared" si="2"/>
        <v>1</v>
      </c>
      <c r="E2934" s="294"/>
      <c r="F2934" s="295" t="str">
        <f>IFERROR(__xludf.DUMMYFUNCTION("IF(B2934="""","""",IFERROR(VLOOKUP(TO_TEXT(B2934),PEDIDOS!D:I,6,0),IFERROR(VLOOKUP(B2934*1,PEDIDOS!D:I,6,0),"" "")))"),"ENTREGUE")</f>
        <v>ENTREGUE</v>
      </c>
      <c r="G2934" s="303"/>
      <c r="H2934" s="304"/>
    </row>
    <row r="2935">
      <c r="A2935" s="302" t="s">
        <v>47</v>
      </c>
      <c r="B2935" s="291" t="s">
        <v>16710</v>
      </c>
      <c r="C2935" s="292" t="s">
        <v>48</v>
      </c>
      <c r="D2935" s="293">
        <f t="shared" si="2"/>
        <v>1</v>
      </c>
      <c r="E2935" s="294"/>
      <c r="F2935" s="295" t="str">
        <f>IFERROR(__xludf.DUMMYFUNCTION("IF(B2935="""","""",IFERROR(VLOOKUP(TO_TEXT(B2935),PEDIDOS!D:I,6,0),IFERROR(VLOOKUP(B2935*1,PEDIDOS!D:I,6,0),"" "")))"),"ENTREGUE")</f>
        <v>ENTREGUE</v>
      </c>
      <c r="G2935" s="307"/>
      <c r="H2935" s="304"/>
    </row>
    <row r="2936">
      <c r="A2936" s="302" t="s">
        <v>47</v>
      </c>
      <c r="B2936" s="291" t="s">
        <v>16662</v>
      </c>
      <c r="C2936" s="292" t="s">
        <v>48</v>
      </c>
      <c r="D2936" s="293">
        <f t="shared" si="2"/>
        <v>1</v>
      </c>
      <c r="E2936" s="294"/>
      <c r="F2936" s="295" t="str">
        <f>IFERROR(__xludf.DUMMYFUNCTION("IF(B2936="""","""",IFERROR(VLOOKUP(TO_TEXT(B2936),PEDIDOS!D:I,6,0),IFERROR(VLOOKUP(B2936*1,PEDIDOS!D:I,6,0),"" "")))"),"ENTREGUE")</f>
        <v>ENTREGUE</v>
      </c>
      <c r="G2936" s="307"/>
      <c r="H2936" s="304"/>
    </row>
    <row r="2937">
      <c r="A2937" s="302" t="s">
        <v>47</v>
      </c>
      <c r="B2937" s="291" t="s">
        <v>23446</v>
      </c>
      <c r="C2937" s="292" t="s">
        <v>48</v>
      </c>
      <c r="D2937" s="293">
        <f t="shared" si="2"/>
        <v>1</v>
      </c>
      <c r="E2937" s="294"/>
      <c r="F2937" s="295" t="str">
        <f>IFERROR(__xludf.DUMMYFUNCTION("IF(B2937="""","""",IFERROR(VLOOKUP(TO_TEXT(B2937),PEDIDOS!D:I,6,0),IFERROR(VLOOKUP(B2937*1,PEDIDOS!D:I,6,0),"" "")))")," ")</f>
        <v> </v>
      </c>
      <c r="G2937" s="303" t="s">
        <v>23334</v>
      </c>
      <c r="H2937" s="304"/>
    </row>
    <row r="2938">
      <c r="A2938" s="302" t="s">
        <v>47</v>
      </c>
      <c r="B2938" s="291" t="s">
        <v>23447</v>
      </c>
      <c r="C2938" s="292" t="s">
        <v>48</v>
      </c>
      <c r="D2938" s="293">
        <f t="shared" si="2"/>
        <v>1</v>
      </c>
      <c r="E2938" s="294"/>
      <c r="F2938" s="295" t="str">
        <f>IFERROR(__xludf.DUMMYFUNCTION("IF(B2938="""","""",IFERROR(VLOOKUP(TO_TEXT(B2938),PEDIDOS!D:I,6,0),IFERROR(VLOOKUP(B2938*1,PEDIDOS!D:I,6,0),"" "")))")," ")</f>
        <v> </v>
      </c>
      <c r="G2938" s="303" t="s">
        <v>23334</v>
      </c>
      <c r="H2938" s="304"/>
    </row>
    <row r="2939">
      <c r="A2939" s="302" t="s">
        <v>47</v>
      </c>
      <c r="B2939" s="291" t="s">
        <v>23448</v>
      </c>
      <c r="C2939" s="292" t="s">
        <v>48</v>
      </c>
      <c r="D2939" s="293">
        <f t="shared" si="2"/>
        <v>1</v>
      </c>
      <c r="E2939" s="294"/>
      <c r="F2939" s="295" t="str">
        <f>IFERROR(__xludf.DUMMYFUNCTION("IF(B2939="""","""",IFERROR(VLOOKUP(TO_TEXT(B2939),PEDIDOS!D:I,6,0),IFERROR(VLOOKUP(B2939*1,PEDIDOS!D:I,6,0),"" "")))")," ")</f>
        <v> </v>
      </c>
      <c r="G2939" s="307" t="s">
        <v>23334</v>
      </c>
      <c r="H2939" s="304"/>
    </row>
    <row r="2940">
      <c r="A2940" s="302" t="s">
        <v>47</v>
      </c>
      <c r="B2940" s="291" t="s">
        <v>15675</v>
      </c>
      <c r="C2940" s="292" t="s">
        <v>48</v>
      </c>
      <c r="D2940" s="293">
        <f t="shared" si="2"/>
        <v>1</v>
      </c>
      <c r="E2940" s="294"/>
      <c r="F2940" s="295" t="str">
        <f>IFERROR(__xludf.DUMMYFUNCTION("IF(B2940="""","""",IFERROR(VLOOKUP(TO_TEXT(B2940),PEDIDOS!D:I,6,0),IFERROR(VLOOKUP(B2940*1,PEDIDOS!D:I,6,0),"" "")))"),"ENTREGUE")</f>
        <v>ENTREGUE</v>
      </c>
      <c r="G2940" s="303"/>
      <c r="H2940" s="304"/>
    </row>
    <row r="2941">
      <c r="A2941" s="302" t="s">
        <v>47</v>
      </c>
      <c r="B2941" s="291" t="s">
        <v>14389</v>
      </c>
      <c r="C2941" s="292" t="s">
        <v>48</v>
      </c>
      <c r="D2941" s="293">
        <f t="shared" si="2"/>
        <v>1</v>
      </c>
      <c r="E2941" s="294"/>
      <c r="F2941" s="295" t="str">
        <f>IFERROR(__xludf.DUMMYFUNCTION("IF(B2941="""","""",IFERROR(VLOOKUP(TO_TEXT(B2941),PEDIDOS!D:I,6,0),IFERROR(VLOOKUP(B2941*1,PEDIDOS!D:I,6,0),"" "")))"),"ENTREGUE")</f>
        <v>ENTREGUE</v>
      </c>
      <c r="G2941" s="303"/>
      <c r="H2941" s="304"/>
    </row>
    <row r="2942">
      <c r="A2942" s="302" t="s">
        <v>47</v>
      </c>
      <c r="B2942" s="291" t="s">
        <v>15643</v>
      </c>
      <c r="C2942" s="292" t="s">
        <v>48</v>
      </c>
      <c r="D2942" s="293">
        <f t="shared" si="2"/>
        <v>1</v>
      </c>
      <c r="E2942" s="294"/>
      <c r="F2942" s="295" t="str">
        <f>IFERROR(__xludf.DUMMYFUNCTION("IF(B2942="""","""",IFERROR(VLOOKUP(TO_TEXT(B2942),PEDIDOS!D:I,6,0),IFERROR(VLOOKUP(B2942*1,PEDIDOS!D:I,6,0),"" "")))"),"ENTREGUE")</f>
        <v>ENTREGUE</v>
      </c>
      <c r="G2942" s="303"/>
      <c r="H2942" s="304"/>
    </row>
    <row r="2943">
      <c r="A2943" s="302" t="s">
        <v>47</v>
      </c>
      <c r="B2943" s="291" t="s">
        <v>23449</v>
      </c>
      <c r="C2943" s="292" t="s">
        <v>48</v>
      </c>
      <c r="D2943" s="293">
        <f t="shared" si="2"/>
        <v>1</v>
      </c>
      <c r="E2943" s="294"/>
      <c r="F2943" s="295" t="str">
        <f>IFERROR(__xludf.DUMMYFUNCTION("IF(B2943="""","""",IFERROR(VLOOKUP(TO_TEXT(B2943),PEDIDOS!D:I,6,0),IFERROR(VLOOKUP(B2943*1,PEDIDOS!D:I,6,0),"" "")))")," ")</f>
        <v> </v>
      </c>
      <c r="G2943" s="307" t="s">
        <v>23334</v>
      </c>
      <c r="H2943" s="304"/>
    </row>
    <row r="2944">
      <c r="A2944" s="302" t="s">
        <v>47</v>
      </c>
      <c r="B2944" s="291" t="s">
        <v>14935</v>
      </c>
      <c r="C2944" s="292" t="s">
        <v>48</v>
      </c>
      <c r="D2944" s="293">
        <f t="shared" si="2"/>
        <v>1</v>
      </c>
      <c r="E2944" s="294"/>
      <c r="F2944" s="295" t="str">
        <f>IFERROR(__xludf.DUMMYFUNCTION("IF(B2944="""","""",IFERROR(VLOOKUP(TO_TEXT(B2944),PEDIDOS!D:I,6,0),IFERROR(VLOOKUP(B2944*1,PEDIDOS!D:I,6,0),"" "")))"),"ENTREGUE")</f>
        <v>ENTREGUE</v>
      </c>
      <c r="G2944" s="303"/>
      <c r="H2944" s="304"/>
    </row>
    <row r="2945">
      <c r="A2945" s="302" t="s">
        <v>47</v>
      </c>
      <c r="B2945" s="291" t="s">
        <v>23450</v>
      </c>
      <c r="C2945" s="292" t="s">
        <v>48</v>
      </c>
      <c r="D2945" s="293">
        <f t="shared" si="2"/>
        <v>1</v>
      </c>
      <c r="E2945" s="294"/>
      <c r="F2945" s="295" t="str">
        <f>IFERROR(__xludf.DUMMYFUNCTION("IF(B2945="""","""",IFERROR(VLOOKUP(TO_TEXT(B2945),PEDIDOS!D:I,6,0),IFERROR(VLOOKUP(B2945*1,PEDIDOS!D:I,6,0),"" "")))")," ")</f>
        <v> </v>
      </c>
      <c r="G2945" s="303" t="s">
        <v>23334</v>
      </c>
      <c r="H2945" s="304"/>
    </row>
    <row r="2946">
      <c r="A2946" s="302" t="s">
        <v>47</v>
      </c>
      <c r="B2946" s="291" t="s">
        <v>14581</v>
      </c>
      <c r="C2946" s="292" t="s">
        <v>48</v>
      </c>
      <c r="D2946" s="293">
        <f t="shared" si="2"/>
        <v>1</v>
      </c>
      <c r="E2946" s="294"/>
      <c r="F2946" s="295" t="str">
        <f>IFERROR(__xludf.DUMMYFUNCTION("IF(B2946="""","""",IFERROR(VLOOKUP(TO_TEXT(B2946),PEDIDOS!D:I,6,0),IFERROR(VLOOKUP(B2946*1,PEDIDOS!D:I,6,0),"" "")))"),"ENTREGUE")</f>
        <v>ENTREGUE</v>
      </c>
      <c r="G2946" s="303"/>
      <c r="H2946" s="304"/>
    </row>
    <row r="2947">
      <c r="A2947" s="302" t="s">
        <v>47</v>
      </c>
      <c r="B2947" s="291" t="s">
        <v>23451</v>
      </c>
      <c r="C2947" s="292" t="s">
        <v>48</v>
      </c>
      <c r="D2947" s="293">
        <f t="shared" si="2"/>
        <v>1</v>
      </c>
      <c r="E2947" s="294"/>
      <c r="F2947" s="295" t="str">
        <f>IFERROR(__xludf.DUMMYFUNCTION("IF(B2947="""","""",IFERROR(VLOOKUP(TO_TEXT(B2947),PEDIDOS!D:I,6,0),IFERROR(VLOOKUP(B2947*1,PEDIDOS!D:I,6,0),"" "")))")," ")</f>
        <v> </v>
      </c>
      <c r="G2947" s="307" t="s">
        <v>23334</v>
      </c>
      <c r="H2947" s="304"/>
    </row>
    <row r="2948">
      <c r="A2948" s="302" t="s">
        <v>47</v>
      </c>
      <c r="B2948" s="291" t="s">
        <v>14385</v>
      </c>
      <c r="C2948" s="292" t="s">
        <v>48</v>
      </c>
      <c r="D2948" s="293">
        <f t="shared" si="2"/>
        <v>1</v>
      </c>
      <c r="E2948" s="294"/>
      <c r="F2948" s="295" t="str">
        <f>IFERROR(__xludf.DUMMYFUNCTION("IF(B2948="""","""",IFERROR(VLOOKUP(TO_TEXT(B2948),PEDIDOS!D:I,6,0),IFERROR(VLOOKUP(B2948*1,PEDIDOS!D:I,6,0),"" "")))"),"ENTREGUE")</f>
        <v>ENTREGUE</v>
      </c>
      <c r="G2948" s="303"/>
      <c r="H2948" s="304"/>
    </row>
    <row r="2949">
      <c r="A2949" s="302" t="s">
        <v>3441</v>
      </c>
      <c r="B2949" s="291" t="s">
        <v>16569</v>
      </c>
      <c r="C2949" s="292" t="s">
        <v>48</v>
      </c>
      <c r="D2949" s="293">
        <f t="shared" si="2"/>
        <v>1</v>
      </c>
      <c r="E2949" s="294"/>
      <c r="F2949" s="295" t="str">
        <f>IFERROR(__xludf.DUMMYFUNCTION("IF(B2949="""","""",IFERROR(VLOOKUP(TO_TEXT(B2949),PEDIDOS!D:I,6,0),IFERROR(VLOOKUP(B2949*1,PEDIDOS!D:I,6,0),"" "")))"),"ENTREGUE")</f>
        <v>ENTREGUE</v>
      </c>
      <c r="G2949" s="303"/>
      <c r="H2949" s="304"/>
    </row>
    <row r="2950">
      <c r="A2950" s="302" t="s">
        <v>3441</v>
      </c>
      <c r="B2950" s="291" t="s">
        <v>16774</v>
      </c>
      <c r="C2950" s="292" t="s">
        <v>48</v>
      </c>
      <c r="D2950" s="293">
        <f t="shared" si="2"/>
        <v>1</v>
      </c>
      <c r="E2950" s="294"/>
      <c r="F2950" s="295" t="str">
        <f>IFERROR(__xludf.DUMMYFUNCTION("IF(B2950="""","""",IFERROR(VLOOKUP(TO_TEXT(B2950),PEDIDOS!D:I,6,0),IFERROR(VLOOKUP(B2950*1,PEDIDOS!D:I,6,0),"" "")))"),"ENTREGUE")</f>
        <v>ENTREGUE</v>
      </c>
      <c r="G2950" s="303"/>
      <c r="H2950" s="304"/>
    </row>
    <row r="2951">
      <c r="A2951" s="302" t="s">
        <v>3441</v>
      </c>
      <c r="B2951" s="291" t="s">
        <v>17437</v>
      </c>
      <c r="C2951" s="292" t="s">
        <v>48</v>
      </c>
      <c r="D2951" s="293">
        <f t="shared" si="2"/>
        <v>1</v>
      </c>
      <c r="E2951" s="294"/>
      <c r="F2951" s="295" t="str">
        <f>IFERROR(__xludf.DUMMYFUNCTION("IF(B2951="""","""",IFERROR(VLOOKUP(TO_TEXT(B2951),PEDIDOS!D:I,6,0),IFERROR(VLOOKUP(B2951*1,PEDIDOS!D:I,6,0),"" "")))"),"ENTREGUE")</f>
        <v>ENTREGUE</v>
      </c>
      <c r="G2951" s="303"/>
      <c r="H2951" s="304"/>
    </row>
    <row r="2952">
      <c r="A2952" s="302" t="s">
        <v>3441</v>
      </c>
      <c r="B2952" s="291" t="s">
        <v>16965</v>
      </c>
      <c r="C2952" s="292" t="s">
        <v>48</v>
      </c>
      <c r="D2952" s="293">
        <f t="shared" si="2"/>
        <v>1</v>
      </c>
      <c r="E2952" s="294"/>
      <c r="F2952" s="295" t="str">
        <f>IFERROR(__xludf.DUMMYFUNCTION("IF(B2952="""","""",IFERROR(VLOOKUP(TO_TEXT(B2952),PEDIDOS!D:I,6,0),IFERROR(VLOOKUP(B2952*1,PEDIDOS!D:I,6,0),"" "")))"),"ENTREGUE")</f>
        <v>ENTREGUE</v>
      </c>
      <c r="G2952" s="303"/>
      <c r="H2952" s="304"/>
    </row>
    <row r="2953">
      <c r="A2953" s="302" t="s">
        <v>3441</v>
      </c>
      <c r="B2953" s="291" t="s">
        <v>17433</v>
      </c>
      <c r="C2953" s="292" t="s">
        <v>48</v>
      </c>
      <c r="D2953" s="293">
        <f t="shared" si="2"/>
        <v>1</v>
      </c>
      <c r="E2953" s="294"/>
      <c r="F2953" s="295" t="str">
        <f>IFERROR(__xludf.DUMMYFUNCTION("IF(B2953="""","""",IFERROR(VLOOKUP(TO_TEXT(B2953),PEDIDOS!D:I,6,0),IFERROR(VLOOKUP(B2953*1,PEDIDOS!D:I,6,0),"" "")))"),"ENTREGUE")</f>
        <v>ENTREGUE</v>
      </c>
      <c r="G2953" s="303"/>
      <c r="H2953" s="304"/>
    </row>
    <row r="2954">
      <c r="A2954" s="302" t="s">
        <v>3441</v>
      </c>
      <c r="B2954" s="291" t="s">
        <v>16960</v>
      </c>
      <c r="C2954" s="292" t="s">
        <v>48</v>
      </c>
      <c r="D2954" s="293">
        <f t="shared" si="2"/>
        <v>1</v>
      </c>
      <c r="E2954" s="294"/>
      <c r="F2954" s="295" t="str">
        <f>IFERROR(__xludf.DUMMYFUNCTION("IF(B2954="""","""",IFERROR(VLOOKUP(TO_TEXT(B2954),PEDIDOS!D:I,6,0),IFERROR(VLOOKUP(B2954*1,PEDIDOS!D:I,6,0),"" "")))"),"ENTREGUE")</f>
        <v>ENTREGUE</v>
      </c>
      <c r="G2954" s="303"/>
      <c r="H2954" s="304"/>
    </row>
    <row r="2955">
      <c r="A2955" s="302" t="s">
        <v>3441</v>
      </c>
      <c r="B2955" s="291" t="s">
        <v>16598</v>
      </c>
      <c r="C2955" s="292" t="s">
        <v>48</v>
      </c>
      <c r="D2955" s="293">
        <f t="shared" si="2"/>
        <v>1</v>
      </c>
      <c r="E2955" s="294"/>
      <c r="F2955" s="295" t="str">
        <f>IFERROR(__xludf.DUMMYFUNCTION("IF(B2955="""","""",IFERROR(VLOOKUP(TO_TEXT(B2955),PEDIDOS!D:I,6,0),IFERROR(VLOOKUP(B2955*1,PEDIDOS!D:I,6,0),"" "")))"),"ENTREGUE")</f>
        <v>ENTREGUE</v>
      </c>
      <c r="G2955" s="303"/>
      <c r="H2955" s="304"/>
    </row>
    <row r="2956">
      <c r="A2956" s="302" t="s">
        <v>3441</v>
      </c>
      <c r="B2956" s="291" t="s">
        <v>16677</v>
      </c>
      <c r="C2956" s="292" t="s">
        <v>48</v>
      </c>
      <c r="D2956" s="293">
        <f t="shared" si="2"/>
        <v>1</v>
      </c>
      <c r="E2956" s="294"/>
      <c r="F2956" s="295" t="str">
        <f>IFERROR(__xludf.DUMMYFUNCTION("IF(B2956="""","""",IFERROR(VLOOKUP(TO_TEXT(B2956),PEDIDOS!D:I,6,0),IFERROR(VLOOKUP(B2956*1,PEDIDOS!D:I,6,0),"" "")))"),"ENTREGUE")</f>
        <v>ENTREGUE</v>
      </c>
      <c r="G2956" s="303"/>
      <c r="H2956" s="304"/>
    </row>
    <row r="2957">
      <c r="A2957" s="302" t="s">
        <v>3441</v>
      </c>
      <c r="B2957" s="291" t="s">
        <v>16697</v>
      </c>
      <c r="C2957" s="292" t="s">
        <v>48</v>
      </c>
      <c r="D2957" s="293">
        <f t="shared" si="2"/>
        <v>1</v>
      </c>
      <c r="E2957" s="294"/>
      <c r="F2957" s="295" t="str">
        <f>IFERROR(__xludf.DUMMYFUNCTION("IF(B2957="""","""",IFERROR(VLOOKUP(TO_TEXT(B2957),PEDIDOS!D:I,6,0),IFERROR(VLOOKUP(B2957*1,PEDIDOS!D:I,6,0),"" "")))"),"ENTREGUE")</f>
        <v>ENTREGUE</v>
      </c>
      <c r="G2957" s="303"/>
      <c r="H2957" s="304"/>
    </row>
    <row r="2958">
      <c r="A2958" s="302" t="s">
        <v>3441</v>
      </c>
      <c r="B2958" s="291" t="s">
        <v>16951</v>
      </c>
      <c r="C2958" s="292" t="s">
        <v>48</v>
      </c>
      <c r="D2958" s="293">
        <f t="shared" si="2"/>
        <v>1</v>
      </c>
      <c r="E2958" s="294"/>
      <c r="F2958" s="295" t="str">
        <f>IFERROR(__xludf.DUMMYFUNCTION("IF(B2958="""","""",IFERROR(VLOOKUP(TO_TEXT(B2958),PEDIDOS!D:I,6,0),IFERROR(VLOOKUP(B2958*1,PEDIDOS!D:I,6,0),"" "")))"),"ENTREGUE")</f>
        <v>ENTREGUE</v>
      </c>
      <c r="G2958" s="303"/>
      <c r="H2958" s="304"/>
    </row>
    <row r="2959">
      <c r="A2959" s="302" t="s">
        <v>3441</v>
      </c>
      <c r="B2959" s="291" t="s">
        <v>17119</v>
      </c>
      <c r="C2959" s="292" t="s">
        <v>48</v>
      </c>
      <c r="D2959" s="293">
        <f t="shared" si="2"/>
        <v>1</v>
      </c>
      <c r="E2959" s="294"/>
      <c r="F2959" s="295" t="str">
        <f>IFERROR(__xludf.DUMMYFUNCTION("IF(B2959="""","""",IFERROR(VLOOKUP(TO_TEXT(B2959),PEDIDOS!D:I,6,0),IFERROR(VLOOKUP(B2959*1,PEDIDOS!D:I,6,0),"" "")))"),"ENTREGUE")</f>
        <v>ENTREGUE</v>
      </c>
      <c r="G2959" s="303"/>
      <c r="H2959" s="304"/>
    </row>
    <row r="2960">
      <c r="A2960" s="302" t="s">
        <v>3441</v>
      </c>
      <c r="B2960" s="291" t="s">
        <v>17281</v>
      </c>
      <c r="C2960" s="292" t="s">
        <v>48</v>
      </c>
      <c r="D2960" s="293">
        <f t="shared" si="2"/>
        <v>1</v>
      </c>
      <c r="E2960" s="294"/>
      <c r="F2960" s="295" t="str">
        <f>IFERROR(__xludf.DUMMYFUNCTION("IF(B2960="""","""",IFERROR(VLOOKUP(TO_TEXT(B2960),PEDIDOS!D:I,6,0),IFERROR(VLOOKUP(B2960*1,PEDIDOS!D:I,6,0),"" "")))"),"ENTREGUE")</f>
        <v>ENTREGUE</v>
      </c>
      <c r="G2960" s="303"/>
      <c r="H2960" s="304"/>
    </row>
    <row r="2961">
      <c r="A2961" s="302" t="s">
        <v>3441</v>
      </c>
      <c r="B2961" s="291" t="s">
        <v>17233</v>
      </c>
      <c r="C2961" s="292" t="s">
        <v>48</v>
      </c>
      <c r="D2961" s="293">
        <f t="shared" si="2"/>
        <v>1</v>
      </c>
      <c r="E2961" s="294"/>
      <c r="F2961" s="295" t="str">
        <f>IFERROR(__xludf.DUMMYFUNCTION("IF(B2961="""","""",IFERROR(VLOOKUP(TO_TEXT(B2961),PEDIDOS!D:I,6,0),IFERROR(VLOOKUP(B2961*1,PEDIDOS!D:I,6,0),"" "")))"),"ENTREGUE")</f>
        <v>ENTREGUE</v>
      </c>
      <c r="G2961" s="303"/>
      <c r="H2961" s="304"/>
    </row>
    <row r="2962">
      <c r="A2962" s="302" t="s">
        <v>3441</v>
      </c>
      <c r="B2962" s="291" t="s">
        <v>17269</v>
      </c>
      <c r="C2962" s="292" t="s">
        <v>48</v>
      </c>
      <c r="D2962" s="293">
        <f t="shared" si="2"/>
        <v>1</v>
      </c>
      <c r="E2962" s="294"/>
      <c r="F2962" s="295" t="str">
        <f>IFERROR(__xludf.DUMMYFUNCTION("IF(B2962="""","""",IFERROR(VLOOKUP(TO_TEXT(B2962),PEDIDOS!D:I,6,0),IFERROR(VLOOKUP(B2962*1,PEDIDOS!D:I,6,0),"" "")))"),"ENTREGUE")</f>
        <v>ENTREGUE</v>
      </c>
      <c r="G2962" s="303"/>
      <c r="H2962" s="304"/>
    </row>
    <row r="2963">
      <c r="A2963" s="302" t="s">
        <v>3441</v>
      </c>
      <c r="B2963" s="291" t="s">
        <v>17016</v>
      </c>
      <c r="C2963" s="292" t="s">
        <v>48</v>
      </c>
      <c r="D2963" s="293">
        <f t="shared" si="2"/>
        <v>1</v>
      </c>
      <c r="E2963" s="294"/>
      <c r="F2963" s="295" t="str">
        <f>IFERROR(__xludf.DUMMYFUNCTION("IF(B2963="""","""",IFERROR(VLOOKUP(TO_TEXT(B2963),PEDIDOS!D:I,6,0),IFERROR(VLOOKUP(B2963*1,PEDIDOS!D:I,6,0),"" "")))"),"ENTREGUE")</f>
        <v>ENTREGUE</v>
      </c>
      <c r="G2963" s="303"/>
      <c r="H2963" s="304"/>
    </row>
    <row r="2964">
      <c r="A2964" s="302" t="s">
        <v>3441</v>
      </c>
      <c r="B2964" s="291" t="s">
        <v>17485</v>
      </c>
      <c r="C2964" s="292" t="s">
        <v>48</v>
      </c>
      <c r="D2964" s="293">
        <f t="shared" si="2"/>
        <v>1</v>
      </c>
      <c r="E2964" s="294"/>
      <c r="F2964" s="295" t="str">
        <f>IFERROR(__xludf.DUMMYFUNCTION("IF(B2964="""","""",IFERROR(VLOOKUP(TO_TEXT(B2964),PEDIDOS!D:I,6,0),IFERROR(VLOOKUP(B2964*1,PEDIDOS!D:I,6,0),"" "")))"),"ENTREGUE")</f>
        <v>ENTREGUE</v>
      </c>
      <c r="G2964" s="303"/>
      <c r="H2964" s="304"/>
    </row>
    <row r="2965">
      <c r="A2965" s="302" t="s">
        <v>3441</v>
      </c>
      <c r="B2965" s="291" t="s">
        <v>17354</v>
      </c>
      <c r="C2965" s="292" t="s">
        <v>48</v>
      </c>
      <c r="D2965" s="293">
        <f t="shared" si="2"/>
        <v>1</v>
      </c>
      <c r="E2965" s="294"/>
      <c r="F2965" s="295" t="str">
        <f>IFERROR(__xludf.DUMMYFUNCTION("IF(B2965="""","""",IFERROR(VLOOKUP(TO_TEXT(B2965),PEDIDOS!D:I,6,0),IFERROR(VLOOKUP(B2965*1,PEDIDOS!D:I,6,0),"" "")))"),"ENTREGUE")</f>
        <v>ENTREGUE</v>
      </c>
      <c r="G2965" s="303"/>
      <c r="H2965" s="304"/>
    </row>
    <row r="2966">
      <c r="A2966" s="302" t="s">
        <v>3441</v>
      </c>
      <c r="B2966" s="291" t="s">
        <v>17529</v>
      </c>
      <c r="C2966" s="292" t="s">
        <v>48</v>
      </c>
      <c r="D2966" s="293">
        <f t="shared" si="2"/>
        <v>1</v>
      </c>
      <c r="E2966" s="294"/>
      <c r="F2966" s="295" t="str">
        <f>IFERROR(__xludf.DUMMYFUNCTION("IF(B2966="""","""",IFERROR(VLOOKUP(TO_TEXT(B2966),PEDIDOS!D:I,6,0),IFERROR(VLOOKUP(B2966*1,PEDIDOS!D:I,6,0),"" "")))"),"ENTREGUE")</f>
        <v>ENTREGUE</v>
      </c>
      <c r="G2966" s="303"/>
      <c r="H2966" s="304"/>
    </row>
    <row r="2967">
      <c r="A2967" s="302" t="s">
        <v>3441</v>
      </c>
      <c r="B2967" s="291" t="s">
        <v>17602</v>
      </c>
      <c r="C2967" s="292" t="s">
        <v>48</v>
      </c>
      <c r="D2967" s="293">
        <f t="shared" si="2"/>
        <v>1</v>
      </c>
      <c r="E2967" s="294"/>
      <c r="F2967" s="295" t="str">
        <f>IFERROR(__xludf.DUMMYFUNCTION("IF(B2967="""","""",IFERROR(VLOOKUP(TO_TEXT(B2967),PEDIDOS!D:I,6,0),IFERROR(VLOOKUP(B2967*1,PEDIDOS!D:I,6,0),"" "")))"),"ENTREGUE")</f>
        <v>ENTREGUE</v>
      </c>
      <c r="G2967" s="303"/>
      <c r="H2967" s="304"/>
    </row>
    <row r="2968">
      <c r="A2968" s="302" t="s">
        <v>3441</v>
      </c>
      <c r="B2968" s="291" t="s">
        <v>17533</v>
      </c>
      <c r="C2968" s="292" t="s">
        <v>48</v>
      </c>
      <c r="D2968" s="293">
        <f t="shared" si="2"/>
        <v>1</v>
      </c>
      <c r="E2968" s="294"/>
      <c r="F2968" s="295" t="str">
        <f>IFERROR(__xludf.DUMMYFUNCTION("IF(B2968="""","""",IFERROR(VLOOKUP(TO_TEXT(B2968),PEDIDOS!D:I,6,0),IFERROR(VLOOKUP(B2968*1,PEDIDOS!D:I,6,0),"" "")))"),"ENTREGUE")</f>
        <v>ENTREGUE</v>
      </c>
      <c r="G2968" s="303"/>
      <c r="H2968" s="304"/>
    </row>
    <row r="2969">
      <c r="A2969" s="302" t="s">
        <v>3441</v>
      </c>
      <c r="B2969" s="291" t="s">
        <v>17480</v>
      </c>
      <c r="C2969" s="292" t="s">
        <v>48</v>
      </c>
      <c r="D2969" s="293">
        <f t="shared" si="2"/>
        <v>1</v>
      </c>
      <c r="E2969" s="294"/>
      <c r="F2969" s="295" t="str">
        <f>IFERROR(__xludf.DUMMYFUNCTION("IF(B2969="""","""",IFERROR(VLOOKUP(TO_TEXT(B2969),PEDIDOS!D:I,6,0),IFERROR(VLOOKUP(B2969*1,PEDIDOS!D:I,6,0),"" "")))"),"ENTREGUE")</f>
        <v>ENTREGUE</v>
      </c>
      <c r="G2969" s="303"/>
      <c r="H2969" s="304"/>
    </row>
    <row r="2970">
      <c r="A2970" s="302" t="s">
        <v>3441</v>
      </c>
      <c r="B2970" s="291" t="s">
        <v>17456</v>
      </c>
      <c r="C2970" s="292" t="s">
        <v>48</v>
      </c>
      <c r="D2970" s="293">
        <f t="shared" si="2"/>
        <v>1</v>
      </c>
      <c r="E2970" s="294"/>
      <c r="F2970" s="295" t="str">
        <f>IFERROR(__xludf.DUMMYFUNCTION("IF(B2970="""","""",IFERROR(VLOOKUP(TO_TEXT(B2970),PEDIDOS!D:I,6,0),IFERROR(VLOOKUP(B2970*1,PEDIDOS!D:I,6,0),"" "")))"),"ENTREGUE")</f>
        <v>ENTREGUE</v>
      </c>
      <c r="G2970" s="303"/>
      <c r="H2970" s="304"/>
    </row>
    <row r="2971">
      <c r="A2971" s="302" t="s">
        <v>3441</v>
      </c>
      <c r="B2971" s="291" t="s">
        <v>17205</v>
      </c>
      <c r="C2971" s="292" t="s">
        <v>48</v>
      </c>
      <c r="D2971" s="293">
        <f t="shared" si="2"/>
        <v>1</v>
      </c>
      <c r="E2971" s="294"/>
      <c r="F2971" s="295" t="str">
        <f>IFERROR(__xludf.DUMMYFUNCTION("IF(B2971="""","""",IFERROR(VLOOKUP(TO_TEXT(B2971),PEDIDOS!D:I,6,0),IFERROR(VLOOKUP(B2971*1,PEDIDOS!D:I,6,0),"" "")))"),"ENTREGUE")</f>
        <v>ENTREGUE</v>
      </c>
      <c r="G2971" s="303"/>
      <c r="H2971" s="304"/>
    </row>
    <row r="2972">
      <c r="A2972" s="302" t="s">
        <v>3441</v>
      </c>
      <c r="B2972" s="291" t="s">
        <v>17518</v>
      </c>
      <c r="C2972" s="292" t="s">
        <v>48</v>
      </c>
      <c r="D2972" s="293">
        <f t="shared" si="2"/>
        <v>1</v>
      </c>
      <c r="E2972" s="294"/>
      <c r="F2972" s="295" t="str">
        <f>IFERROR(__xludf.DUMMYFUNCTION("IF(B2972="""","""",IFERROR(VLOOKUP(TO_TEXT(B2972),PEDIDOS!D:I,6,0),IFERROR(VLOOKUP(B2972*1,PEDIDOS!D:I,6,0),"" "")))"),"ENTREGUE")</f>
        <v>ENTREGUE</v>
      </c>
      <c r="G2972" s="303"/>
      <c r="H2972" s="304"/>
    </row>
    <row r="2973">
      <c r="A2973" s="302" t="s">
        <v>3441</v>
      </c>
      <c r="B2973" s="291" t="s">
        <v>17584</v>
      </c>
      <c r="C2973" s="292" t="s">
        <v>48</v>
      </c>
      <c r="D2973" s="293">
        <f t="shared" si="2"/>
        <v>1</v>
      </c>
      <c r="E2973" s="294"/>
      <c r="F2973" s="295" t="str">
        <f>IFERROR(__xludf.DUMMYFUNCTION("IF(B2973="""","""",IFERROR(VLOOKUP(TO_TEXT(B2973),PEDIDOS!D:I,6,0),IFERROR(VLOOKUP(B2973*1,PEDIDOS!D:I,6,0),"" "")))"),"ENTREGUE")</f>
        <v>ENTREGUE</v>
      </c>
      <c r="G2973" s="303"/>
      <c r="H2973" s="304"/>
    </row>
    <row r="2974">
      <c r="A2974" s="302" t="s">
        <v>3441</v>
      </c>
      <c r="B2974" s="291" t="s">
        <v>17589</v>
      </c>
      <c r="C2974" s="292" t="s">
        <v>48</v>
      </c>
      <c r="D2974" s="293">
        <f t="shared" si="2"/>
        <v>1</v>
      </c>
      <c r="E2974" s="294"/>
      <c r="F2974" s="295" t="str">
        <f>IFERROR(__xludf.DUMMYFUNCTION("IF(B2974="""","""",IFERROR(VLOOKUP(TO_TEXT(B2974),PEDIDOS!D:I,6,0),IFERROR(VLOOKUP(B2974*1,PEDIDOS!D:I,6,0),"" "")))"),"ENTREGUE")</f>
        <v>ENTREGUE</v>
      </c>
      <c r="G2974" s="303"/>
      <c r="H2974" s="304"/>
    </row>
    <row r="2975">
      <c r="A2975" s="302" t="s">
        <v>3441</v>
      </c>
      <c r="B2975" s="291" t="s">
        <v>17328</v>
      </c>
      <c r="C2975" s="292" t="s">
        <v>48</v>
      </c>
      <c r="D2975" s="293">
        <f t="shared" si="2"/>
        <v>1</v>
      </c>
      <c r="E2975" s="294"/>
      <c r="F2975" s="295" t="str">
        <f>IFERROR(__xludf.DUMMYFUNCTION("IF(B2975="""","""",IFERROR(VLOOKUP(TO_TEXT(B2975),PEDIDOS!D:I,6,0),IFERROR(VLOOKUP(B2975*1,PEDIDOS!D:I,6,0),"" "")))"),"ENTREGUE")</f>
        <v>ENTREGUE</v>
      </c>
      <c r="G2975" s="303"/>
      <c r="H2975" s="304"/>
    </row>
    <row r="2976">
      <c r="A2976" s="302" t="s">
        <v>3441</v>
      </c>
      <c r="B2976" s="291" t="s">
        <v>17383</v>
      </c>
      <c r="C2976" s="292" t="s">
        <v>48</v>
      </c>
      <c r="D2976" s="293">
        <f t="shared" si="2"/>
        <v>1</v>
      </c>
      <c r="E2976" s="294"/>
      <c r="F2976" s="295" t="str">
        <f>IFERROR(__xludf.DUMMYFUNCTION("IF(B2976="""","""",IFERROR(VLOOKUP(TO_TEXT(B2976),PEDIDOS!D:I,6,0),IFERROR(VLOOKUP(B2976*1,PEDIDOS!D:I,6,0),"" "")))"),"ENTREGUE")</f>
        <v>ENTREGUE</v>
      </c>
      <c r="G2976" s="303"/>
      <c r="H2976" s="304"/>
    </row>
    <row r="2977">
      <c r="A2977" s="302" t="s">
        <v>3441</v>
      </c>
      <c r="B2977" s="291" t="s">
        <v>17651</v>
      </c>
      <c r="C2977" s="292" t="s">
        <v>48</v>
      </c>
      <c r="D2977" s="293">
        <f t="shared" si="2"/>
        <v>1</v>
      </c>
      <c r="E2977" s="294"/>
      <c r="F2977" s="295" t="str">
        <f>IFERROR(__xludf.DUMMYFUNCTION("IF(B2977="""","""",IFERROR(VLOOKUP(TO_TEXT(B2977),PEDIDOS!D:I,6,0),IFERROR(VLOOKUP(B2977*1,PEDIDOS!D:I,6,0),"" "")))"),"ENTREGUE")</f>
        <v>ENTREGUE</v>
      </c>
      <c r="G2977" s="303"/>
      <c r="H2977" s="304"/>
    </row>
    <row r="2978">
      <c r="A2978" s="302" t="s">
        <v>3441</v>
      </c>
      <c r="B2978" s="291" t="s">
        <v>17575</v>
      </c>
      <c r="C2978" s="292" t="s">
        <v>48</v>
      </c>
      <c r="D2978" s="293">
        <f t="shared" si="2"/>
        <v>1</v>
      </c>
      <c r="E2978" s="294"/>
      <c r="F2978" s="295" t="str">
        <f>IFERROR(__xludf.DUMMYFUNCTION("IF(B2978="""","""",IFERROR(VLOOKUP(TO_TEXT(B2978),PEDIDOS!D:I,6,0),IFERROR(VLOOKUP(B2978*1,PEDIDOS!D:I,6,0),"" "")))"),"ENTREGUE")</f>
        <v>ENTREGUE</v>
      </c>
      <c r="G2978" s="303"/>
      <c r="H2978" s="304"/>
    </row>
    <row r="2979">
      <c r="A2979" s="302" t="s">
        <v>3441</v>
      </c>
      <c r="B2979" s="291" t="s">
        <v>18129</v>
      </c>
      <c r="C2979" s="292" t="s">
        <v>48</v>
      </c>
      <c r="D2979" s="293">
        <f t="shared" si="2"/>
        <v>1</v>
      </c>
      <c r="E2979" s="294"/>
      <c r="F2979" s="295" t="str">
        <f>IFERROR(__xludf.DUMMYFUNCTION("IF(B2979="""","""",IFERROR(VLOOKUP(TO_TEXT(B2979),PEDIDOS!D:I,6,0),IFERROR(VLOOKUP(B2979*1,PEDIDOS!D:I,6,0),"" "")))"),"ENTREGUE")</f>
        <v>ENTREGUE</v>
      </c>
      <c r="G2979" s="303"/>
      <c r="H2979" s="304"/>
    </row>
    <row r="2980">
      <c r="A2980" s="302" t="s">
        <v>3441</v>
      </c>
      <c r="B2980" s="291" t="s">
        <v>17224</v>
      </c>
      <c r="C2980" s="292" t="s">
        <v>48</v>
      </c>
      <c r="D2980" s="293">
        <f t="shared" si="2"/>
        <v>1</v>
      </c>
      <c r="E2980" s="294"/>
      <c r="F2980" s="295" t="str">
        <f>IFERROR(__xludf.DUMMYFUNCTION("IF(B2980="""","""",IFERROR(VLOOKUP(TO_TEXT(B2980),PEDIDOS!D:I,6,0),IFERROR(VLOOKUP(B2980*1,PEDIDOS!D:I,6,0),"" "")))"),"ENTREGUE")</f>
        <v>ENTREGUE</v>
      </c>
      <c r="G2980" s="303"/>
      <c r="H2980" s="304"/>
    </row>
    <row r="2981">
      <c r="A2981" s="302" t="s">
        <v>3441</v>
      </c>
      <c r="B2981" s="291" t="s">
        <v>18125</v>
      </c>
      <c r="C2981" s="292" t="s">
        <v>48</v>
      </c>
      <c r="D2981" s="293">
        <f t="shared" si="2"/>
        <v>1</v>
      </c>
      <c r="E2981" s="294"/>
      <c r="F2981" s="295" t="str">
        <f>IFERROR(__xludf.DUMMYFUNCTION("IF(B2981="""","""",IFERROR(VLOOKUP(TO_TEXT(B2981),PEDIDOS!D:I,6,0),IFERROR(VLOOKUP(B2981*1,PEDIDOS!D:I,6,0),"" "")))"),"ENTREGUE")</f>
        <v>ENTREGUE</v>
      </c>
      <c r="G2981" s="303"/>
      <c r="H2981" s="304"/>
    </row>
    <row r="2982">
      <c r="A2982" s="302" t="s">
        <v>3441</v>
      </c>
      <c r="B2982" s="291" t="s">
        <v>17917</v>
      </c>
      <c r="C2982" s="292" t="s">
        <v>48</v>
      </c>
      <c r="D2982" s="293">
        <f t="shared" si="2"/>
        <v>1</v>
      </c>
      <c r="E2982" s="294"/>
      <c r="F2982" s="295" t="str">
        <f>IFERROR(__xludf.DUMMYFUNCTION("IF(B2982="""","""",IFERROR(VLOOKUP(TO_TEXT(B2982),PEDIDOS!D:I,6,0),IFERROR(VLOOKUP(B2982*1,PEDIDOS!D:I,6,0),"" "")))"),"ENTREGUE")</f>
        <v>ENTREGUE</v>
      </c>
      <c r="G2982" s="303"/>
      <c r="H2982" s="304"/>
    </row>
    <row r="2983">
      <c r="A2983" s="302" t="s">
        <v>3441</v>
      </c>
      <c r="B2983" s="291" t="s">
        <v>17807</v>
      </c>
      <c r="C2983" s="292" t="s">
        <v>48</v>
      </c>
      <c r="D2983" s="293">
        <f t="shared" si="2"/>
        <v>1</v>
      </c>
      <c r="E2983" s="294"/>
      <c r="F2983" s="295" t="str">
        <f>IFERROR(__xludf.DUMMYFUNCTION("IF(B2983="""","""",IFERROR(VLOOKUP(TO_TEXT(B2983),PEDIDOS!D:I,6,0),IFERROR(VLOOKUP(B2983*1,PEDIDOS!D:I,6,0),"" "")))"),"ENTREGUE")</f>
        <v>ENTREGUE</v>
      </c>
      <c r="G2983" s="303"/>
      <c r="H2983" s="304"/>
    </row>
    <row r="2984">
      <c r="A2984" s="302" t="s">
        <v>3441</v>
      </c>
      <c r="B2984" s="291" t="s">
        <v>18174</v>
      </c>
      <c r="C2984" s="292" t="s">
        <v>48</v>
      </c>
      <c r="D2984" s="293">
        <f t="shared" si="2"/>
        <v>1</v>
      </c>
      <c r="E2984" s="294"/>
      <c r="F2984" s="295" t="str">
        <f>IFERROR(__xludf.DUMMYFUNCTION("IF(B2984="""","""",IFERROR(VLOOKUP(TO_TEXT(B2984),PEDIDOS!D:I,6,0),IFERROR(VLOOKUP(B2984*1,PEDIDOS!D:I,6,0),"" "")))"),"ENTREGUE")</f>
        <v>ENTREGUE</v>
      </c>
      <c r="G2984" s="303"/>
      <c r="H2984" s="304"/>
    </row>
    <row r="2985">
      <c r="A2985" s="302" t="s">
        <v>3441</v>
      </c>
      <c r="B2985" s="291" t="s">
        <v>17855</v>
      </c>
      <c r="C2985" s="292" t="s">
        <v>48</v>
      </c>
      <c r="D2985" s="293">
        <f t="shared" si="2"/>
        <v>1</v>
      </c>
      <c r="E2985" s="294"/>
      <c r="F2985" s="295" t="str">
        <f>IFERROR(__xludf.DUMMYFUNCTION("IF(B2985="""","""",IFERROR(VLOOKUP(TO_TEXT(B2985),PEDIDOS!D:I,6,0),IFERROR(VLOOKUP(B2985*1,PEDIDOS!D:I,6,0),"" "")))"),"ENTREGUE")</f>
        <v>ENTREGUE</v>
      </c>
      <c r="G2985" s="303"/>
      <c r="H2985" s="304"/>
    </row>
    <row r="2986">
      <c r="A2986" s="302" t="s">
        <v>3441</v>
      </c>
      <c r="B2986" s="291" t="s">
        <v>18058</v>
      </c>
      <c r="C2986" s="292" t="s">
        <v>48</v>
      </c>
      <c r="D2986" s="293">
        <f t="shared" si="2"/>
        <v>1</v>
      </c>
      <c r="E2986" s="294"/>
      <c r="F2986" s="295" t="str">
        <f>IFERROR(__xludf.DUMMYFUNCTION("IF(B2986="""","""",IFERROR(VLOOKUP(TO_TEXT(B2986),PEDIDOS!D:I,6,0),IFERROR(VLOOKUP(B2986*1,PEDIDOS!D:I,6,0),"" "")))"),"ENTREGUE")</f>
        <v>ENTREGUE</v>
      </c>
      <c r="G2986" s="303"/>
      <c r="H2986" s="304"/>
    </row>
    <row r="2987">
      <c r="A2987" s="302" t="s">
        <v>3441</v>
      </c>
      <c r="B2987" s="291" t="s">
        <v>18158</v>
      </c>
      <c r="C2987" s="292" t="s">
        <v>48</v>
      </c>
      <c r="D2987" s="293">
        <f t="shared" si="2"/>
        <v>1</v>
      </c>
      <c r="E2987" s="294"/>
      <c r="F2987" s="295" t="str">
        <f>IFERROR(__xludf.DUMMYFUNCTION("IF(B2987="""","""",IFERROR(VLOOKUP(TO_TEXT(B2987),PEDIDOS!D:I,6,0),IFERROR(VLOOKUP(B2987*1,PEDIDOS!D:I,6,0),"" "")))"),"ENTREGUE")</f>
        <v>ENTREGUE</v>
      </c>
      <c r="G2987" s="303"/>
      <c r="H2987" s="304"/>
    </row>
    <row r="2988">
      <c r="A2988" s="302" t="s">
        <v>3441</v>
      </c>
      <c r="B2988" s="291" t="s">
        <v>17811</v>
      </c>
      <c r="C2988" s="292" t="s">
        <v>48</v>
      </c>
      <c r="D2988" s="293">
        <f t="shared" si="2"/>
        <v>1</v>
      </c>
      <c r="E2988" s="294"/>
      <c r="F2988" s="295" t="str">
        <f>IFERROR(__xludf.DUMMYFUNCTION("IF(B2988="""","""",IFERROR(VLOOKUP(TO_TEXT(B2988),PEDIDOS!D:I,6,0),IFERROR(VLOOKUP(B2988*1,PEDIDOS!D:I,6,0),"" "")))"),"ENTREGUE")</f>
        <v>ENTREGUE</v>
      </c>
      <c r="G2988" s="303"/>
      <c r="H2988" s="304"/>
    </row>
    <row r="2989">
      <c r="A2989" s="302" t="s">
        <v>3441</v>
      </c>
      <c r="B2989" s="291" t="s">
        <v>17802</v>
      </c>
      <c r="C2989" s="292" t="s">
        <v>48</v>
      </c>
      <c r="D2989" s="293">
        <f t="shared" si="2"/>
        <v>1</v>
      </c>
      <c r="E2989" s="294"/>
      <c r="F2989" s="295" t="str">
        <f>IFERROR(__xludf.DUMMYFUNCTION("IF(B2989="""","""",IFERROR(VLOOKUP(TO_TEXT(B2989),PEDIDOS!D:I,6,0),IFERROR(VLOOKUP(B2989*1,PEDIDOS!D:I,6,0),"" "")))"),"ENTREGUE")</f>
        <v>ENTREGUE</v>
      </c>
      <c r="G2989" s="303"/>
      <c r="H2989" s="304"/>
    </row>
    <row r="2990">
      <c r="A2990" s="302" t="s">
        <v>3441</v>
      </c>
      <c r="B2990" s="291" t="s">
        <v>17220</v>
      </c>
      <c r="C2990" s="292" t="s">
        <v>48</v>
      </c>
      <c r="D2990" s="293">
        <f t="shared" si="2"/>
        <v>1</v>
      </c>
      <c r="E2990" s="294"/>
      <c r="F2990" s="295" t="str">
        <f>IFERROR(__xludf.DUMMYFUNCTION("IF(B2990="""","""",IFERROR(VLOOKUP(TO_TEXT(B2990),PEDIDOS!D:I,6,0),IFERROR(VLOOKUP(B2990*1,PEDIDOS!D:I,6,0),"" "")))"),"ENTREGUE")</f>
        <v>ENTREGUE</v>
      </c>
      <c r="G2990" s="303"/>
      <c r="H2990" s="304"/>
    </row>
    <row r="2991">
      <c r="A2991" s="302" t="s">
        <v>3441</v>
      </c>
      <c r="B2991" s="291" t="s">
        <v>18319</v>
      </c>
      <c r="C2991" s="292" t="s">
        <v>48</v>
      </c>
      <c r="D2991" s="293">
        <f t="shared" si="2"/>
        <v>1</v>
      </c>
      <c r="E2991" s="294"/>
      <c r="F2991" s="295" t="str">
        <f>IFERROR(__xludf.DUMMYFUNCTION("IF(B2991="""","""",IFERROR(VLOOKUP(TO_TEXT(B2991),PEDIDOS!D:I,6,0),IFERROR(VLOOKUP(B2991*1,PEDIDOS!D:I,6,0),"" "")))"),"ENTREGUE")</f>
        <v>ENTREGUE</v>
      </c>
      <c r="G2991" s="303"/>
      <c r="H2991" s="304"/>
    </row>
    <row r="2992">
      <c r="A2992" s="302" t="s">
        <v>3441</v>
      </c>
      <c r="B2992" s="291" t="s">
        <v>18416</v>
      </c>
      <c r="C2992" s="292" t="s">
        <v>48</v>
      </c>
      <c r="D2992" s="293">
        <f t="shared" si="2"/>
        <v>1</v>
      </c>
      <c r="E2992" s="294"/>
      <c r="F2992" s="295" t="str">
        <f>IFERROR(__xludf.DUMMYFUNCTION("IF(B2992="""","""",IFERROR(VLOOKUP(TO_TEXT(B2992),PEDIDOS!D:I,6,0),IFERROR(VLOOKUP(B2992*1,PEDIDOS!D:I,6,0),"" "")))"),"ENTREGUE")</f>
        <v>ENTREGUE</v>
      </c>
      <c r="G2992" s="303"/>
      <c r="H2992" s="304"/>
    </row>
    <row r="2993">
      <c r="A2993" s="302" t="s">
        <v>3441</v>
      </c>
      <c r="B2993" s="291" t="s">
        <v>18335</v>
      </c>
      <c r="C2993" s="292" t="s">
        <v>48</v>
      </c>
      <c r="D2993" s="293">
        <f t="shared" si="2"/>
        <v>1</v>
      </c>
      <c r="E2993" s="294"/>
      <c r="F2993" s="295" t="str">
        <f>IFERROR(__xludf.DUMMYFUNCTION("IF(B2993="""","""",IFERROR(VLOOKUP(TO_TEXT(B2993),PEDIDOS!D:I,6,0),IFERROR(VLOOKUP(B2993*1,PEDIDOS!D:I,6,0),"" "")))"),"ENTREGUE")</f>
        <v>ENTREGUE</v>
      </c>
      <c r="G2993" s="303"/>
      <c r="H2993" s="304"/>
    </row>
    <row r="2994">
      <c r="A2994" s="302" t="s">
        <v>3441</v>
      </c>
      <c r="B2994" s="291" t="s">
        <v>18380</v>
      </c>
      <c r="C2994" s="292" t="s">
        <v>48</v>
      </c>
      <c r="D2994" s="293">
        <f t="shared" si="2"/>
        <v>1</v>
      </c>
      <c r="E2994" s="294"/>
      <c r="F2994" s="295" t="str">
        <f>IFERROR(__xludf.DUMMYFUNCTION("IF(B2994="""","""",IFERROR(VLOOKUP(TO_TEXT(B2994),PEDIDOS!D:I,6,0),IFERROR(VLOOKUP(B2994*1,PEDIDOS!D:I,6,0),"" "")))"),"ENTREGUE")</f>
        <v>ENTREGUE</v>
      </c>
      <c r="G2994" s="303"/>
      <c r="H2994" s="304"/>
    </row>
    <row r="2995">
      <c r="A2995" s="302" t="s">
        <v>3441</v>
      </c>
      <c r="B2995" s="291" t="s">
        <v>18420</v>
      </c>
      <c r="C2995" s="292" t="s">
        <v>48</v>
      </c>
      <c r="D2995" s="293">
        <f t="shared" si="2"/>
        <v>1</v>
      </c>
      <c r="E2995" s="294"/>
      <c r="F2995" s="295" t="str">
        <f>IFERROR(__xludf.DUMMYFUNCTION("IF(B2995="""","""",IFERROR(VLOOKUP(TO_TEXT(B2995),PEDIDOS!D:I,6,0),IFERROR(VLOOKUP(B2995*1,PEDIDOS!D:I,6,0),"" "")))"),"ENTREGUE")</f>
        <v>ENTREGUE</v>
      </c>
      <c r="G2995" s="303"/>
      <c r="H2995" s="304"/>
    </row>
    <row r="2996">
      <c r="A2996" s="302" t="s">
        <v>3441</v>
      </c>
      <c r="B2996" s="291" t="s">
        <v>18323</v>
      </c>
      <c r="C2996" s="292" t="s">
        <v>48</v>
      </c>
      <c r="D2996" s="293">
        <f t="shared" si="2"/>
        <v>1</v>
      </c>
      <c r="E2996" s="294"/>
      <c r="F2996" s="295" t="str">
        <f>IFERROR(__xludf.DUMMYFUNCTION("IF(B2996="""","""",IFERROR(VLOOKUP(TO_TEXT(B2996),PEDIDOS!D:I,6,0),IFERROR(VLOOKUP(B2996*1,PEDIDOS!D:I,6,0),"" "")))"),"ENTREGUE")</f>
        <v>ENTREGUE</v>
      </c>
      <c r="G2996" s="303"/>
      <c r="H2996" s="304"/>
    </row>
    <row r="2997">
      <c r="A2997" s="302" t="s">
        <v>72</v>
      </c>
      <c r="B2997" s="291" t="s">
        <v>16011</v>
      </c>
      <c r="C2997" s="292" t="s">
        <v>48</v>
      </c>
      <c r="D2997" s="293">
        <f t="shared" si="2"/>
        <v>1</v>
      </c>
      <c r="E2997" s="294"/>
      <c r="F2997" s="295" t="str">
        <f>IFERROR(__xludf.DUMMYFUNCTION("IF(B2997="""","""",IFERROR(VLOOKUP(TO_TEXT(B2997),PEDIDOS!D:I,6,0),IFERROR(VLOOKUP(B2997*1,PEDIDOS!D:I,6,0),"" "")))"),"ENTREGUE")</f>
        <v>ENTREGUE</v>
      </c>
      <c r="G2997" s="303"/>
      <c r="H2997" s="304"/>
    </row>
    <row r="2998">
      <c r="A2998" s="302" t="s">
        <v>72</v>
      </c>
      <c r="B2998" s="291" t="s">
        <v>16290</v>
      </c>
      <c r="C2998" s="292" t="s">
        <v>48</v>
      </c>
      <c r="D2998" s="293">
        <f t="shared" si="2"/>
        <v>1</v>
      </c>
      <c r="E2998" s="294"/>
      <c r="F2998" s="295" t="str">
        <f>IFERROR(__xludf.DUMMYFUNCTION("IF(B2998="""","""",IFERROR(VLOOKUP(TO_TEXT(B2998),PEDIDOS!D:I,6,0),IFERROR(VLOOKUP(B2998*1,PEDIDOS!D:I,6,0),"" "")))"),"ENTREGUE")</f>
        <v>ENTREGUE</v>
      </c>
      <c r="G2998" s="303"/>
      <c r="H2998" s="304"/>
    </row>
    <row r="2999">
      <c r="A2999" s="302" t="s">
        <v>72</v>
      </c>
      <c r="B2999" s="291" t="s">
        <v>15680</v>
      </c>
      <c r="C2999" s="292" t="s">
        <v>48</v>
      </c>
      <c r="D2999" s="293">
        <f t="shared" si="2"/>
        <v>1</v>
      </c>
      <c r="E2999" s="294"/>
      <c r="F2999" s="295" t="str">
        <f>IFERROR(__xludf.DUMMYFUNCTION("IF(B2999="""","""",IFERROR(VLOOKUP(TO_TEXT(B2999),PEDIDOS!D:I,6,0),IFERROR(VLOOKUP(B2999*1,PEDIDOS!D:I,6,0),"" "")))"),"ENTREGUE")</f>
        <v>ENTREGUE</v>
      </c>
      <c r="G2999" s="303"/>
      <c r="H2999" s="304"/>
    </row>
    <row r="3000">
      <c r="A3000" s="302" t="s">
        <v>72</v>
      </c>
      <c r="B3000" s="291" t="s">
        <v>16007</v>
      </c>
      <c r="C3000" s="292" t="s">
        <v>48</v>
      </c>
      <c r="D3000" s="293">
        <f t="shared" si="2"/>
        <v>1</v>
      </c>
      <c r="E3000" s="294"/>
      <c r="F3000" s="295" t="str">
        <f>IFERROR(__xludf.DUMMYFUNCTION("IF(B3000="""","""",IFERROR(VLOOKUP(TO_TEXT(B3000),PEDIDOS!D:I,6,0),IFERROR(VLOOKUP(B3000*1,PEDIDOS!D:I,6,0),"" "")))"),"ENTREGUE")</f>
        <v>ENTREGUE</v>
      </c>
      <c r="G3000" s="303"/>
      <c r="H3000" s="304"/>
    </row>
    <row r="3001">
      <c r="A3001" s="302" t="s">
        <v>72</v>
      </c>
      <c r="B3001" s="291" t="s">
        <v>16602</v>
      </c>
      <c r="C3001" s="292" t="s">
        <v>48</v>
      </c>
      <c r="D3001" s="293">
        <f t="shared" si="2"/>
        <v>1</v>
      </c>
      <c r="E3001" s="294"/>
      <c r="F3001" s="295" t="str">
        <f>IFERROR(__xludf.DUMMYFUNCTION("IF(B3001="""","""",IFERROR(VLOOKUP(TO_TEXT(B3001),PEDIDOS!D:I,6,0),IFERROR(VLOOKUP(B3001*1,PEDIDOS!D:I,6,0),"" "")))"),"ENTREGUE")</f>
        <v>ENTREGUE</v>
      </c>
      <c r="G3001" s="303"/>
      <c r="H3001" s="304"/>
    </row>
    <row r="3002">
      <c r="A3002" s="302" t="s">
        <v>72</v>
      </c>
      <c r="B3002" s="291" t="s">
        <v>16671</v>
      </c>
      <c r="C3002" s="292" t="s">
        <v>48</v>
      </c>
      <c r="D3002" s="293">
        <f t="shared" si="2"/>
        <v>1</v>
      </c>
      <c r="E3002" s="294"/>
      <c r="F3002" s="295" t="str">
        <f>IFERROR(__xludf.DUMMYFUNCTION("IF(B3002="""","""",IFERROR(VLOOKUP(TO_TEXT(B3002),PEDIDOS!D:I,6,0),IFERROR(VLOOKUP(B3002*1,PEDIDOS!D:I,6,0),"" "")))"),"ENTREGUE")</f>
        <v>ENTREGUE</v>
      </c>
      <c r="G3002" s="303"/>
      <c r="H3002" s="304"/>
    </row>
    <row r="3003">
      <c r="A3003" s="302" t="s">
        <v>72</v>
      </c>
      <c r="B3003" s="291" t="s">
        <v>17142</v>
      </c>
      <c r="C3003" s="292" t="s">
        <v>48</v>
      </c>
      <c r="D3003" s="293">
        <f t="shared" si="2"/>
        <v>1</v>
      </c>
      <c r="E3003" s="294"/>
      <c r="F3003" s="295" t="str">
        <f>IFERROR(__xludf.DUMMYFUNCTION("IF(B3003="""","""",IFERROR(VLOOKUP(TO_TEXT(B3003),PEDIDOS!D:I,6,0),IFERROR(VLOOKUP(B3003*1,PEDIDOS!D:I,6,0),"" "")))"),"ENTREGUE")</f>
        <v>ENTREGUE</v>
      </c>
      <c r="G3003" s="303"/>
      <c r="H3003" s="304"/>
    </row>
    <row r="3004">
      <c r="A3004" s="302" t="s">
        <v>72</v>
      </c>
      <c r="B3004" s="291" t="s">
        <v>17115</v>
      </c>
      <c r="C3004" s="292" t="s">
        <v>48</v>
      </c>
      <c r="D3004" s="293">
        <f t="shared" si="2"/>
        <v>1</v>
      </c>
      <c r="E3004" s="294"/>
      <c r="F3004" s="295" t="str">
        <f>IFERROR(__xludf.DUMMYFUNCTION("IF(B3004="""","""",IFERROR(VLOOKUP(TO_TEXT(B3004),PEDIDOS!D:I,6,0),IFERROR(VLOOKUP(B3004*1,PEDIDOS!D:I,6,0),"" "")))"),"ENTREGUE")</f>
        <v>ENTREGUE</v>
      </c>
      <c r="G3004" s="303"/>
      <c r="H3004" s="304"/>
    </row>
    <row r="3005">
      <c r="A3005" s="302" t="s">
        <v>72</v>
      </c>
      <c r="B3005" s="291" t="s">
        <v>16544</v>
      </c>
      <c r="C3005" s="292" t="s">
        <v>48</v>
      </c>
      <c r="D3005" s="293">
        <f t="shared" si="2"/>
        <v>1</v>
      </c>
      <c r="E3005" s="294"/>
      <c r="F3005" s="295" t="str">
        <f>IFERROR(__xludf.DUMMYFUNCTION("IF(B3005="""","""",IFERROR(VLOOKUP(TO_TEXT(B3005),PEDIDOS!D:I,6,0),IFERROR(VLOOKUP(B3005*1,PEDIDOS!D:I,6,0),"" "")))"),"ENTREGUE")</f>
        <v>ENTREGUE</v>
      </c>
      <c r="G3005" s="303"/>
      <c r="H3005" s="304"/>
    </row>
    <row r="3006">
      <c r="A3006" s="302" t="s">
        <v>72</v>
      </c>
      <c r="B3006" s="291" t="s">
        <v>16449</v>
      </c>
      <c r="C3006" s="292" t="s">
        <v>48</v>
      </c>
      <c r="D3006" s="293">
        <f t="shared" si="2"/>
        <v>1</v>
      </c>
      <c r="E3006" s="294"/>
      <c r="F3006" s="295" t="str">
        <f>IFERROR(__xludf.DUMMYFUNCTION("IF(B3006="""","""",IFERROR(VLOOKUP(TO_TEXT(B3006),PEDIDOS!D:I,6,0),IFERROR(VLOOKUP(B3006*1,PEDIDOS!D:I,6,0),"" "")))"),"ENTREGUE")</f>
        <v>ENTREGUE</v>
      </c>
      <c r="G3006" s="303"/>
      <c r="H3006" s="304"/>
    </row>
    <row r="3007">
      <c r="A3007" s="302" t="s">
        <v>72</v>
      </c>
      <c r="B3007" s="291" t="s">
        <v>16434</v>
      </c>
      <c r="C3007" s="292" t="s">
        <v>48</v>
      </c>
      <c r="D3007" s="293">
        <f t="shared" si="2"/>
        <v>1</v>
      </c>
      <c r="E3007" s="294"/>
      <c r="F3007" s="295" t="str">
        <f>IFERROR(__xludf.DUMMYFUNCTION("IF(B3007="""","""",IFERROR(VLOOKUP(TO_TEXT(B3007),PEDIDOS!D:I,6,0),IFERROR(VLOOKUP(B3007*1,PEDIDOS!D:I,6,0),"" "")))"),"ENTREGUE")</f>
        <v>ENTREGUE</v>
      </c>
      <c r="G3007" s="303"/>
      <c r="H3007" s="304"/>
    </row>
    <row r="3008">
      <c r="A3008" s="302" t="s">
        <v>72</v>
      </c>
      <c r="B3008" s="291" t="s">
        <v>16424</v>
      </c>
      <c r="C3008" s="292" t="s">
        <v>48</v>
      </c>
      <c r="D3008" s="293">
        <f t="shared" si="2"/>
        <v>1</v>
      </c>
      <c r="E3008" s="294"/>
      <c r="F3008" s="295" t="str">
        <f>IFERROR(__xludf.DUMMYFUNCTION("IF(B3008="""","""",IFERROR(VLOOKUP(TO_TEXT(B3008),PEDIDOS!D:I,6,0),IFERROR(VLOOKUP(B3008*1,PEDIDOS!D:I,6,0),"" "")))"),"ENTREGUE")</f>
        <v>ENTREGUE</v>
      </c>
      <c r="G3008" s="303"/>
      <c r="H3008" s="304"/>
    </row>
    <row r="3009">
      <c r="A3009" s="302" t="s">
        <v>72</v>
      </c>
      <c r="B3009" s="291" t="s">
        <v>16623</v>
      </c>
      <c r="C3009" s="292" t="s">
        <v>48</v>
      </c>
      <c r="D3009" s="293">
        <f t="shared" si="2"/>
        <v>1</v>
      </c>
      <c r="E3009" s="294"/>
      <c r="F3009" s="295" t="str">
        <f>IFERROR(__xludf.DUMMYFUNCTION("IF(B3009="""","""",IFERROR(VLOOKUP(TO_TEXT(B3009),PEDIDOS!D:I,6,0),IFERROR(VLOOKUP(B3009*1,PEDIDOS!D:I,6,0),"" "")))"),"ENTREGUE")</f>
        <v>ENTREGUE</v>
      </c>
      <c r="G3009" s="303"/>
      <c r="H3009" s="304"/>
    </row>
    <row r="3010">
      <c r="A3010" s="302" t="s">
        <v>72</v>
      </c>
      <c r="B3010" s="291" t="s">
        <v>16619</v>
      </c>
      <c r="C3010" s="292" t="s">
        <v>48</v>
      </c>
      <c r="D3010" s="293">
        <f t="shared" si="2"/>
        <v>1</v>
      </c>
      <c r="E3010" s="294"/>
      <c r="F3010" s="295" t="str">
        <f>IFERROR(__xludf.DUMMYFUNCTION("IF(B3010="""","""",IFERROR(VLOOKUP(TO_TEXT(B3010),PEDIDOS!D:I,6,0),IFERROR(VLOOKUP(B3010*1,PEDIDOS!D:I,6,0),"" "")))"),"ENTREGUE")</f>
        <v>ENTREGUE</v>
      </c>
      <c r="G3010" s="303"/>
      <c r="H3010" s="304"/>
    </row>
    <row r="3011">
      <c r="A3011" s="302" t="s">
        <v>72</v>
      </c>
      <c r="B3011" s="291" t="s">
        <v>16779</v>
      </c>
      <c r="C3011" s="292" t="s">
        <v>48</v>
      </c>
      <c r="D3011" s="293">
        <f t="shared" si="2"/>
        <v>1</v>
      </c>
      <c r="E3011" s="294"/>
      <c r="F3011" s="295" t="str">
        <f>IFERROR(__xludf.DUMMYFUNCTION("IF(B3011="""","""",IFERROR(VLOOKUP(TO_TEXT(B3011),PEDIDOS!D:I,6,0),IFERROR(VLOOKUP(B3011*1,PEDIDOS!D:I,6,0),"" "")))"),"ENTREGUE")</f>
        <v>ENTREGUE</v>
      </c>
      <c r="G3011" s="303"/>
      <c r="H3011" s="304"/>
    </row>
    <row r="3012">
      <c r="A3012" s="302" t="s">
        <v>72</v>
      </c>
      <c r="B3012" s="291" t="s">
        <v>16610</v>
      </c>
      <c r="C3012" s="292" t="s">
        <v>48</v>
      </c>
      <c r="D3012" s="293">
        <f t="shared" si="2"/>
        <v>1</v>
      </c>
      <c r="E3012" s="294"/>
      <c r="F3012" s="295" t="str">
        <f>IFERROR(__xludf.DUMMYFUNCTION("IF(B3012="""","""",IFERROR(VLOOKUP(TO_TEXT(B3012),PEDIDOS!D:I,6,0),IFERROR(VLOOKUP(B3012*1,PEDIDOS!D:I,6,0),"" "")))"),"ENTREGUE")</f>
        <v>ENTREGUE</v>
      </c>
      <c r="G3012" s="303"/>
      <c r="H3012" s="304"/>
    </row>
    <row r="3013">
      <c r="A3013" s="302" t="s">
        <v>72</v>
      </c>
      <c r="B3013" s="291" t="s">
        <v>16573</v>
      </c>
      <c r="C3013" s="292" t="s">
        <v>48</v>
      </c>
      <c r="D3013" s="293">
        <f t="shared" si="2"/>
        <v>1</v>
      </c>
      <c r="E3013" s="294"/>
      <c r="F3013" s="295" t="str">
        <f>IFERROR(__xludf.DUMMYFUNCTION("IF(B3013="""","""",IFERROR(VLOOKUP(TO_TEXT(B3013),PEDIDOS!D:I,6,0),IFERROR(VLOOKUP(B3013*1,PEDIDOS!D:I,6,0),"" "")))"),"ENTREGUE")</f>
        <v>ENTREGUE</v>
      </c>
      <c r="G3013" s="303"/>
      <c r="H3013" s="304"/>
    </row>
    <row r="3014">
      <c r="A3014" s="302" t="s">
        <v>72</v>
      </c>
      <c r="B3014" s="291" t="s">
        <v>16862</v>
      </c>
      <c r="C3014" s="292" t="s">
        <v>48</v>
      </c>
      <c r="D3014" s="293">
        <f t="shared" si="2"/>
        <v>1</v>
      </c>
      <c r="E3014" s="294"/>
      <c r="F3014" s="295" t="str">
        <f>IFERROR(__xludf.DUMMYFUNCTION("IF(B3014="""","""",IFERROR(VLOOKUP(TO_TEXT(B3014),PEDIDOS!D:I,6,0),IFERROR(VLOOKUP(B3014*1,PEDIDOS!D:I,6,0),"" "")))"),"ENTREGUE")</f>
        <v>ENTREGUE</v>
      </c>
      <c r="G3014" s="303"/>
      <c r="H3014" s="304"/>
    </row>
    <row r="3015">
      <c r="A3015" s="302" t="s">
        <v>72</v>
      </c>
      <c r="B3015" s="291" t="s">
        <v>16871</v>
      </c>
      <c r="C3015" s="292" t="s">
        <v>48</v>
      </c>
      <c r="D3015" s="293">
        <f t="shared" si="2"/>
        <v>1</v>
      </c>
      <c r="E3015" s="294"/>
      <c r="F3015" s="295" t="str">
        <f>IFERROR(__xludf.DUMMYFUNCTION("IF(B3015="""","""",IFERROR(VLOOKUP(TO_TEXT(B3015),PEDIDOS!D:I,6,0),IFERROR(VLOOKUP(B3015*1,PEDIDOS!D:I,6,0),"" "")))"),"ENTREGUE")</f>
        <v>ENTREGUE</v>
      </c>
      <c r="G3015" s="303"/>
      <c r="H3015" s="304"/>
    </row>
    <row r="3016">
      <c r="A3016" s="302" t="s">
        <v>72</v>
      </c>
      <c r="B3016" s="291" t="s">
        <v>17421</v>
      </c>
      <c r="C3016" s="292" t="s">
        <v>48</v>
      </c>
      <c r="D3016" s="293">
        <f t="shared" si="2"/>
        <v>1</v>
      </c>
      <c r="E3016" s="294"/>
      <c r="F3016" s="295" t="str">
        <f>IFERROR(__xludf.DUMMYFUNCTION("IF(B3016="""","""",IFERROR(VLOOKUP(TO_TEXT(B3016),PEDIDOS!D:I,6,0),IFERROR(VLOOKUP(B3016*1,PEDIDOS!D:I,6,0),"" "")))"),"ENTREGUE")</f>
        <v>ENTREGUE</v>
      </c>
      <c r="G3016" s="303"/>
      <c r="H3016" s="304"/>
    </row>
    <row r="3017">
      <c r="A3017" s="302" t="s">
        <v>72</v>
      </c>
      <c r="B3017" s="291" t="s">
        <v>17030</v>
      </c>
      <c r="C3017" s="292" t="s">
        <v>48</v>
      </c>
      <c r="D3017" s="293">
        <f t="shared" si="2"/>
        <v>1</v>
      </c>
      <c r="E3017" s="294"/>
      <c r="F3017" s="295" t="str">
        <f>IFERROR(__xludf.DUMMYFUNCTION("IF(B3017="""","""",IFERROR(VLOOKUP(TO_TEXT(B3017),PEDIDOS!D:I,6,0),IFERROR(VLOOKUP(B3017*1,PEDIDOS!D:I,6,0),"" "")))"),"ENTREGUE")</f>
        <v>ENTREGUE</v>
      </c>
      <c r="G3017" s="303"/>
      <c r="H3017" s="304"/>
    </row>
    <row r="3018">
      <c r="A3018" s="302" t="s">
        <v>72</v>
      </c>
      <c r="B3018" s="291" t="s">
        <v>17425</v>
      </c>
      <c r="C3018" s="292" t="s">
        <v>48</v>
      </c>
      <c r="D3018" s="293">
        <f t="shared" si="2"/>
        <v>1</v>
      </c>
      <c r="E3018" s="294"/>
      <c r="F3018" s="295" t="str">
        <f>IFERROR(__xludf.DUMMYFUNCTION("IF(B3018="""","""",IFERROR(VLOOKUP(TO_TEXT(B3018),PEDIDOS!D:I,6,0),IFERROR(VLOOKUP(B3018*1,PEDIDOS!D:I,6,0),"" "")))"),"ENTREGUE")</f>
        <v>ENTREGUE</v>
      </c>
      <c r="G3018" s="303"/>
      <c r="H3018" s="304"/>
    </row>
    <row r="3019">
      <c r="A3019" s="302" t="s">
        <v>72</v>
      </c>
      <c r="B3019" s="291" t="s">
        <v>17215</v>
      </c>
      <c r="C3019" s="292" t="s">
        <v>48</v>
      </c>
      <c r="D3019" s="293">
        <f t="shared" si="2"/>
        <v>1</v>
      </c>
      <c r="E3019" s="294"/>
      <c r="F3019" s="295" t="str">
        <f>IFERROR(__xludf.DUMMYFUNCTION("IF(B3019="""","""",IFERROR(VLOOKUP(TO_TEXT(B3019),PEDIDOS!D:I,6,0),IFERROR(VLOOKUP(B3019*1,PEDIDOS!D:I,6,0),"" "")))"),"ENTREGUE")</f>
        <v>ENTREGUE</v>
      </c>
      <c r="G3019" s="303"/>
      <c r="H3019" s="304"/>
    </row>
    <row r="3020">
      <c r="A3020" s="302" t="s">
        <v>72</v>
      </c>
      <c r="B3020" s="291" t="s">
        <v>17372</v>
      </c>
      <c r="C3020" s="292" t="s">
        <v>48</v>
      </c>
      <c r="D3020" s="293">
        <f t="shared" si="2"/>
        <v>1</v>
      </c>
      <c r="E3020" s="294"/>
      <c r="F3020" s="295" t="str">
        <f>IFERROR(__xludf.DUMMYFUNCTION("IF(B3020="""","""",IFERROR(VLOOKUP(TO_TEXT(B3020),PEDIDOS!D:I,6,0),IFERROR(VLOOKUP(B3020*1,PEDIDOS!D:I,6,0),"" "")))"),"ENTREGUE")</f>
        <v>ENTREGUE</v>
      </c>
      <c r="G3020" s="303"/>
      <c r="H3020" s="304"/>
    </row>
    <row r="3021">
      <c r="A3021" s="302" t="s">
        <v>72</v>
      </c>
      <c r="B3021" s="291" t="s">
        <v>17338</v>
      </c>
      <c r="C3021" s="292" t="s">
        <v>48</v>
      </c>
      <c r="D3021" s="293">
        <f t="shared" si="2"/>
        <v>1</v>
      </c>
      <c r="E3021" s="294"/>
      <c r="F3021" s="295" t="str">
        <f>IFERROR(__xludf.DUMMYFUNCTION("IF(B3021="""","""",IFERROR(VLOOKUP(TO_TEXT(B3021),PEDIDOS!D:I,6,0),IFERROR(VLOOKUP(B3021*1,PEDIDOS!D:I,6,0),"" "")))"),"ENTREGUE")</f>
        <v>ENTREGUE</v>
      </c>
      <c r="G3021" s="303"/>
      <c r="H3021" s="304"/>
    </row>
    <row r="3022">
      <c r="A3022" s="302" t="s">
        <v>72</v>
      </c>
      <c r="B3022" s="291" t="s">
        <v>16894</v>
      </c>
      <c r="C3022" s="292" t="s">
        <v>48</v>
      </c>
      <c r="D3022" s="293">
        <f t="shared" si="2"/>
        <v>1</v>
      </c>
      <c r="E3022" s="294"/>
      <c r="F3022" s="295" t="str">
        <f>IFERROR(__xludf.DUMMYFUNCTION("IF(B3022="""","""",IFERROR(VLOOKUP(TO_TEXT(B3022),PEDIDOS!D:I,6,0),IFERROR(VLOOKUP(B3022*1,PEDIDOS!D:I,6,0),"" "")))"),"ENTREGUE")</f>
        <v>ENTREGUE</v>
      </c>
      <c r="G3022" s="303"/>
      <c r="H3022" s="304"/>
    </row>
    <row r="3023">
      <c r="A3023" s="302" t="s">
        <v>72</v>
      </c>
      <c r="B3023" s="291" t="s">
        <v>16890</v>
      </c>
      <c r="C3023" s="292" t="s">
        <v>48</v>
      </c>
      <c r="D3023" s="293">
        <f t="shared" si="2"/>
        <v>1</v>
      </c>
      <c r="E3023" s="294"/>
      <c r="F3023" s="295" t="str">
        <f>IFERROR(__xludf.DUMMYFUNCTION("IF(B3023="""","""",IFERROR(VLOOKUP(TO_TEXT(B3023),PEDIDOS!D:I,6,0),IFERROR(VLOOKUP(B3023*1,PEDIDOS!D:I,6,0),"" "")))"),"ENTREGUE")</f>
        <v>ENTREGUE</v>
      </c>
      <c r="G3023" s="303"/>
      <c r="H3023" s="304"/>
    </row>
    <row r="3024">
      <c r="A3024" s="302" t="s">
        <v>72</v>
      </c>
      <c r="B3024" s="291" t="s">
        <v>17259</v>
      </c>
      <c r="C3024" s="292" t="s">
        <v>48</v>
      </c>
      <c r="D3024" s="293">
        <f t="shared" si="2"/>
        <v>1</v>
      </c>
      <c r="E3024" s="294"/>
      <c r="F3024" s="295" t="str">
        <f>IFERROR(__xludf.DUMMYFUNCTION("IF(B3024="""","""",IFERROR(VLOOKUP(TO_TEXT(B3024),PEDIDOS!D:I,6,0),IFERROR(VLOOKUP(B3024*1,PEDIDOS!D:I,6,0),"" "")))"),"ENTREGUE")</f>
        <v>ENTREGUE</v>
      </c>
      <c r="G3024" s="303"/>
      <c r="H3024" s="304"/>
    </row>
    <row r="3025">
      <c r="A3025" s="302" t="s">
        <v>72</v>
      </c>
      <c r="B3025" s="291" t="s">
        <v>17243</v>
      </c>
      <c r="C3025" s="292" t="s">
        <v>48</v>
      </c>
      <c r="D3025" s="293">
        <f t="shared" si="2"/>
        <v>1</v>
      </c>
      <c r="E3025" s="294"/>
      <c r="F3025" s="295" t="str">
        <f>IFERROR(__xludf.DUMMYFUNCTION("IF(B3025="""","""",IFERROR(VLOOKUP(TO_TEXT(B3025),PEDIDOS!D:I,6,0),IFERROR(VLOOKUP(B3025*1,PEDIDOS!D:I,6,0),"" "")))"),"ENTREGUE")</f>
        <v>ENTREGUE</v>
      </c>
      <c r="G3025" s="303"/>
      <c r="H3025" s="304"/>
    </row>
    <row r="3026">
      <c r="A3026" s="302" t="s">
        <v>72</v>
      </c>
      <c r="B3026" s="291" t="s">
        <v>17731</v>
      </c>
      <c r="C3026" s="292" t="s">
        <v>48</v>
      </c>
      <c r="D3026" s="293">
        <f t="shared" si="2"/>
        <v>1</v>
      </c>
      <c r="E3026" s="294"/>
      <c r="F3026" s="295" t="str">
        <f>IFERROR(__xludf.DUMMYFUNCTION("IF(B3026="""","""",IFERROR(VLOOKUP(TO_TEXT(B3026),PEDIDOS!D:I,6,0),IFERROR(VLOOKUP(B3026*1,PEDIDOS!D:I,6,0),"" "")))"),"ENTREGUE")</f>
        <v>ENTREGUE</v>
      </c>
      <c r="G3026" s="303"/>
      <c r="H3026" s="304"/>
    </row>
    <row r="3027">
      <c r="A3027" s="302" t="s">
        <v>72</v>
      </c>
      <c r="B3027" s="291" t="s">
        <v>16811</v>
      </c>
      <c r="C3027" s="292" t="s">
        <v>48</v>
      </c>
      <c r="D3027" s="293">
        <f t="shared" si="2"/>
        <v>1</v>
      </c>
      <c r="E3027" s="294"/>
      <c r="F3027" s="295" t="str">
        <f>IFERROR(__xludf.DUMMYFUNCTION("IF(B3027="""","""",IFERROR(VLOOKUP(TO_TEXT(B3027),PEDIDOS!D:I,6,0),IFERROR(VLOOKUP(B3027*1,PEDIDOS!D:I,6,0),"" "")))"),"ENTREGUE")</f>
        <v>ENTREGUE</v>
      </c>
      <c r="G3027" s="303"/>
      <c r="H3027" s="304"/>
    </row>
    <row r="3028">
      <c r="A3028" s="302" t="s">
        <v>72</v>
      </c>
      <c r="B3028" s="291" t="s">
        <v>19203</v>
      </c>
      <c r="C3028" s="292" t="s">
        <v>48</v>
      </c>
      <c r="D3028" s="293">
        <f t="shared" si="2"/>
        <v>1</v>
      </c>
      <c r="E3028" s="294"/>
      <c r="F3028" s="295" t="str">
        <f>IFERROR(__xludf.DUMMYFUNCTION("IF(B3028="""","""",IFERROR(VLOOKUP(TO_TEXT(B3028),PEDIDOS!D:I,6,0),IFERROR(VLOOKUP(B3028*1,PEDIDOS!D:I,6,0),"" "")))"),"ENTREGUE")</f>
        <v>ENTREGUE</v>
      </c>
      <c r="G3028" s="303"/>
      <c r="H3028" s="304"/>
    </row>
    <row r="3029">
      <c r="A3029" s="302" t="s">
        <v>72</v>
      </c>
      <c r="B3029" s="291" t="s">
        <v>17703</v>
      </c>
      <c r="C3029" s="292" t="s">
        <v>48</v>
      </c>
      <c r="D3029" s="293">
        <f t="shared" si="2"/>
        <v>1</v>
      </c>
      <c r="E3029" s="294"/>
      <c r="F3029" s="295" t="str">
        <f>IFERROR(__xludf.DUMMYFUNCTION("IF(B3029="""","""",IFERROR(VLOOKUP(TO_TEXT(B3029),PEDIDOS!D:I,6,0),IFERROR(VLOOKUP(B3029*1,PEDIDOS!D:I,6,0),"" "")))"),"ENTREGUE")</f>
        <v>ENTREGUE</v>
      </c>
      <c r="G3029" s="303"/>
      <c r="H3029" s="304"/>
    </row>
    <row r="3030">
      <c r="A3030" s="302" t="s">
        <v>72</v>
      </c>
      <c r="B3030" s="291" t="s">
        <v>17784</v>
      </c>
      <c r="C3030" s="292" t="s">
        <v>48</v>
      </c>
      <c r="D3030" s="293">
        <f t="shared" si="2"/>
        <v>1</v>
      </c>
      <c r="E3030" s="294"/>
      <c r="F3030" s="295" t="str">
        <f>IFERROR(__xludf.DUMMYFUNCTION("IF(B3030="""","""",IFERROR(VLOOKUP(TO_TEXT(B3030),PEDIDOS!D:I,6,0),IFERROR(VLOOKUP(B3030*1,PEDIDOS!D:I,6,0),"" "")))"),"ENTREGUE")</f>
        <v>ENTREGUE</v>
      </c>
      <c r="G3030" s="303"/>
      <c r="H3030" s="304"/>
    </row>
    <row r="3031">
      <c r="A3031" s="302" t="s">
        <v>72</v>
      </c>
      <c r="B3031" s="291" t="s">
        <v>17161</v>
      </c>
      <c r="C3031" s="292" t="s">
        <v>48</v>
      </c>
      <c r="D3031" s="293">
        <f t="shared" si="2"/>
        <v>1</v>
      </c>
      <c r="E3031" s="294"/>
      <c r="F3031" s="295" t="str">
        <f>IFERROR(__xludf.DUMMYFUNCTION("IF(B3031="""","""",IFERROR(VLOOKUP(TO_TEXT(B3031),PEDIDOS!D:I,6,0),IFERROR(VLOOKUP(B3031*1,PEDIDOS!D:I,6,0),"" "")))"),"ENTREGUE")</f>
        <v>ENTREGUE</v>
      </c>
      <c r="G3031" s="303"/>
      <c r="H3031" s="304"/>
    </row>
    <row r="3032">
      <c r="A3032" s="302" t="s">
        <v>72</v>
      </c>
      <c r="B3032" s="291" t="s">
        <v>17460</v>
      </c>
      <c r="C3032" s="292" t="s">
        <v>48</v>
      </c>
      <c r="D3032" s="293">
        <f t="shared" si="2"/>
        <v>1</v>
      </c>
      <c r="E3032" s="294"/>
      <c r="F3032" s="295" t="str">
        <f>IFERROR(__xludf.DUMMYFUNCTION("IF(B3032="""","""",IFERROR(VLOOKUP(TO_TEXT(B3032),PEDIDOS!D:I,6,0),IFERROR(VLOOKUP(B3032*1,PEDIDOS!D:I,6,0),"" "")))"),"ENTREGUE")</f>
        <v>ENTREGUE</v>
      </c>
      <c r="G3032" s="303"/>
      <c r="H3032" s="304"/>
    </row>
    <row r="3033">
      <c r="A3033" s="302" t="s">
        <v>72</v>
      </c>
      <c r="B3033" s="291" t="s">
        <v>15398</v>
      </c>
      <c r="C3033" s="292" t="s">
        <v>48</v>
      </c>
      <c r="D3033" s="293">
        <f t="shared" si="2"/>
        <v>1</v>
      </c>
      <c r="E3033" s="294"/>
      <c r="F3033" s="295" t="str">
        <f>IFERROR(__xludf.DUMMYFUNCTION("IF(B3033="""","""",IFERROR(VLOOKUP(TO_TEXT(B3033),PEDIDOS!D:I,6,0),IFERROR(VLOOKUP(B3033*1,PEDIDOS!D:I,6,0),"" "")))"),"ENTREGUE")</f>
        <v>ENTREGUE</v>
      </c>
      <c r="G3033" s="303"/>
      <c r="H3033" s="304"/>
    </row>
    <row r="3034">
      <c r="A3034" s="302" t="s">
        <v>72</v>
      </c>
      <c r="B3034" s="291" t="s">
        <v>17379</v>
      </c>
      <c r="C3034" s="292" t="s">
        <v>48</v>
      </c>
      <c r="D3034" s="293">
        <f t="shared" si="2"/>
        <v>1</v>
      </c>
      <c r="E3034" s="294"/>
      <c r="F3034" s="295" t="str">
        <f>IFERROR(__xludf.DUMMYFUNCTION("IF(B3034="""","""",IFERROR(VLOOKUP(TO_TEXT(B3034),PEDIDOS!D:I,6,0),IFERROR(VLOOKUP(B3034*1,PEDIDOS!D:I,6,0),"" "")))"),"ENTREGUE")</f>
        <v>ENTREGUE</v>
      </c>
      <c r="G3034" s="303"/>
      <c r="H3034" s="304"/>
    </row>
    <row r="3035">
      <c r="A3035" s="302" t="s">
        <v>72</v>
      </c>
      <c r="B3035" s="291" t="s">
        <v>17566</v>
      </c>
      <c r="C3035" s="292" t="s">
        <v>48</v>
      </c>
      <c r="D3035" s="293">
        <f t="shared" si="2"/>
        <v>1</v>
      </c>
      <c r="E3035" s="294"/>
      <c r="F3035" s="295" t="str">
        <f>IFERROR(__xludf.DUMMYFUNCTION("IF(B3035="""","""",IFERROR(VLOOKUP(TO_TEXT(B3035),PEDIDOS!D:I,6,0),IFERROR(VLOOKUP(B3035*1,PEDIDOS!D:I,6,0),"" "")))"),"ENTREGUE")</f>
        <v>ENTREGUE</v>
      </c>
      <c r="G3035" s="303"/>
      <c r="H3035" s="304"/>
    </row>
    <row r="3036">
      <c r="A3036" s="302" t="s">
        <v>72</v>
      </c>
      <c r="B3036" s="291" t="s">
        <v>17571</v>
      </c>
      <c r="C3036" s="292" t="s">
        <v>48</v>
      </c>
      <c r="D3036" s="293">
        <f t="shared" si="2"/>
        <v>1</v>
      </c>
      <c r="E3036" s="294"/>
      <c r="F3036" s="295" t="str">
        <f>IFERROR(__xludf.DUMMYFUNCTION("IF(B3036="""","""",IFERROR(VLOOKUP(TO_TEXT(B3036),PEDIDOS!D:I,6,0),IFERROR(VLOOKUP(B3036*1,PEDIDOS!D:I,6,0),"" "")))"),"ENTREGUE")</f>
        <v>ENTREGUE</v>
      </c>
      <c r="G3036" s="303"/>
      <c r="H3036" s="304"/>
    </row>
    <row r="3037">
      <c r="A3037" s="302" t="s">
        <v>72</v>
      </c>
      <c r="B3037" s="291" t="s">
        <v>17698</v>
      </c>
      <c r="C3037" s="292" t="s">
        <v>48</v>
      </c>
      <c r="D3037" s="293">
        <f t="shared" si="2"/>
        <v>1</v>
      </c>
      <c r="E3037" s="294"/>
      <c r="F3037" s="295" t="str">
        <f>IFERROR(__xludf.DUMMYFUNCTION("IF(B3037="""","""",IFERROR(VLOOKUP(TO_TEXT(B3037),PEDIDOS!D:I,6,0),IFERROR(VLOOKUP(B3037*1,PEDIDOS!D:I,6,0),"" "")))"),"ENTREGUE")</f>
        <v>ENTREGUE</v>
      </c>
      <c r="G3037" s="303"/>
      <c r="H3037" s="304"/>
    </row>
    <row r="3038">
      <c r="A3038" s="302" t="s">
        <v>72</v>
      </c>
      <c r="B3038" s="291" t="s">
        <v>17620</v>
      </c>
      <c r="C3038" s="292" t="s">
        <v>48</v>
      </c>
      <c r="D3038" s="293">
        <f t="shared" si="2"/>
        <v>1</v>
      </c>
      <c r="E3038" s="294"/>
      <c r="F3038" s="295" t="str">
        <f>IFERROR(__xludf.DUMMYFUNCTION("IF(B3038="""","""",IFERROR(VLOOKUP(TO_TEXT(B3038),PEDIDOS!D:I,6,0),IFERROR(VLOOKUP(B3038*1,PEDIDOS!D:I,6,0),"" "")))"),"ENTREGUE")</f>
        <v>ENTREGUE</v>
      </c>
      <c r="G3038" s="303"/>
      <c r="H3038" s="304"/>
    </row>
    <row r="3039">
      <c r="A3039" s="302" t="s">
        <v>72</v>
      </c>
      <c r="B3039" s="291" t="s">
        <v>17820</v>
      </c>
      <c r="C3039" s="292" t="s">
        <v>48</v>
      </c>
      <c r="D3039" s="293">
        <f t="shared" si="2"/>
        <v>1</v>
      </c>
      <c r="E3039" s="294"/>
      <c r="F3039" s="295" t="str">
        <f>IFERROR(__xludf.DUMMYFUNCTION("IF(B3039="""","""",IFERROR(VLOOKUP(TO_TEXT(B3039),PEDIDOS!D:I,6,0),IFERROR(VLOOKUP(B3039*1,PEDIDOS!D:I,6,0),"" "")))"),"ENTREGUE")</f>
        <v>ENTREGUE</v>
      </c>
      <c r="G3039" s="303"/>
      <c r="H3039" s="304"/>
    </row>
    <row r="3040">
      <c r="A3040" s="302" t="s">
        <v>72</v>
      </c>
      <c r="B3040" s="291" t="s">
        <v>18700</v>
      </c>
      <c r="C3040" s="292" t="s">
        <v>48</v>
      </c>
      <c r="D3040" s="293">
        <f t="shared" si="2"/>
        <v>1</v>
      </c>
      <c r="E3040" s="294"/>
      <c r="F3040" s="295" t="str">
        <f>IFERROR(__xludf.DUMMYFUNCTION("IF(B3040="""","""",IFERROR(VLOOKUP(TO_TEXT(B3040),PEDIDOS!D:I,6,0),IFERROR(VLOOKUP(B3040*1,PEDIDOS!D:I,6,0),"" "")))"),"ENTREGUE")</f>
        <v>ENTREGUE</v>
      </c>
      <c r="G3040" s="303"/>
      <c r="H3040" s="304"/>
    </row>
    <row r="3041">
      <c r="A3041" s="302" t="s">
        <v>72</v>
      </c>
      <c r="B3041" s="291" t="s">
        <v>18696</v>
      </c>
      <c r="C3041" s="292" t="s">
        <v>48</v>
      </c>
      <c r="D3041" s="293">
        <f t="shared" si="2"/>
        <v>1</v>
      </c>
      <c r="E3041" s="294"/>
      <c r="F3041" s="295" t="str">
        <f>IFERROR(__xludf.DUMMYFUNCTION("IF(B3041="""","""",IFERROR(VLOOKUP(TO_TEXT(B3041),PEDIDOS!D:I,6,0),IFERROR(VLOOKUP(B3041*1,PEDIDOS!D:I,6,0),"" "")))"),"ENTREGUE")</f>
        <v>ENTREGUE</v>
      </c>
      <c r="G3041" s="303"/>
      <c r="H3041" s="304"/>
    </row>
    <row r="3042">
      <c r="A3042" s="302" t="s">
        <v>72</v>
      </c>
      <c r="B3042" s="291" t="s">
        <v>18723</v>
      </c>
      <c r="C3042" s="292" t="s">
        <v>48</v>
      </c>
      <c r="D3042" s="293">
        <f t="shared" si="2"/>
        <v>1</v>
      </c>
      <c r="E3042" s="294"/>
      <c r="F3042" s="295" t="str">
        <f>IFERROR(__xludf.DUMMYFUNCTION("IF(B3042="""","""",IFERROR(VLOOKUP(TO_TEXT(B3042),PEDIDOS!D:I,6,0),IFERROR(VLOOKUP(B3042*1,PEDIDOS!D:I,6,0),"" "")))"),"ENTREGUE")</f>
        <v>ENTREGUE</v>
      </c>
      <c r="G3042" s="303"/>
      <c r="H3042" s="304"/>
    </row>
    <row r="3043">
      <c r="A3043" s="302" t="s">
        <v>72</v>
      </c>
      <c r="B3043" s="291" t="s">
        <v>18719</v>
      </c>
      <c r="C3043" s="292" t="s">
        <v>48</v>
      </c>
      <c r="D3043" s="293">
        <f t="shared" si="2"/>
        <v>1</v>
      </c>
      <c r="E3043" s="294"/>
      <c r="F3043" s="295" t="str">
        <f>IFERROR(__xludf.DUMMYFUNCTION("IF(B3043="""","""",IFERROR(VLOOKUP(TO_TEXT(B3043),PEDIDOS!D:I,6,0),IFERROR(VLOOKUP(B3043*1,PEDIDOS!D:I,6,0),"" "")))"),"ENTREGUE")</f>
        <v>ENTREGUE</v>
      </c>
      <c r="G3043" s="303"/>
      <c r="H3043" s="304"/>
    </row>
    <row r="3044">
      <c r="A3044" s="302" t="s">
        <v>72</v>
      </c>
      <c r="B3044" s="291" t="s">
        <v>18540</v>
      </c>
      <c r="C3044" s="292" t="s">
        <v>48</v>
      </c>
      <c r="D3044" s="293">
        <f t="shared" si="2"/>
        <v>1</v>
      </c>
      <c r="E3044" s="294"/>
      <c r="F3044" s="295" t="str">
        <f>IFERROR(__xludf.DUMMYFUNCTION("IF(B3044="""","""",IFERROR(VLOOKUP(TO_TEXT(B3044),PEDIDOS!D:I,6,0),IFERROR(VLOOKUP(B3044*1,PEDIDOS!D:I,6,0),"" "")))"),"ENTREGUE")</f>
        <v>ENTREGUE</v>
      </c>
      <c r="G3044" s="303"/>
      <c r="H3044" s="304"/>
    </row>
    <row r="3045">
      <c r="A3045" s="302" t="s">
        <v>72</v>
      </c>
      <c r="B3045" s="291" t="s">
        <v>17607</v>
      </c>
      <c r="C3045" s="292" t="s">
        <v>48</v>
      </c>
      <c r="D3045" s="293">
        <f t="shared" si="2"/>
        <v>1</v>
      </c>
      <c r="E3045" s="294"/>
      <c r="F3045" s="295" t="str">
        <f>IFERROR(__xludf.DUMMYFUNCTION("IF(B3045="""","""",IFERROR(VLOOKUP(TO_TEXT(B3045),PEDIDOS!D:I,6,0),IFERROR(VLOOKUP(B3045*1,PEDIDOS!D:I,6,0),"" "")))"),"ENTREGUE")</f>
        <v>ENTREGUE</v>
      </c>
      <c r="G3045" s="303"/>
      <c r="H3045" s="304"/>
    </row>
    <row r="3046">
      <c r="A3046" s="302" t="s">
        <v>72</v>
      </c>
      <c r="B3046" s="291" t="s">
        <v>18544</v>
      </c>
      <c r="C3046" s="292" t="s">
        <v>48</v>
      </c>
      <c r="D3046" s="293">
        <f t="shared" si="2"/>
        <v>1</v>
      </c>
      <c r="E3046" s="294"/>
      <c r="F3046" s="295" t="str">
        <f>IFERROR(__xludf.DUMMYFUNCTION("IF(B3046="""","""",IFERROR(VLOOKUP(TO_TEXT(B3046),PEDIDOS!D:I,6,0),IFERROR(VLOOKUP(B3046*1,PEDIDOS!D:I,6,0),"" "")))"),"ENTREGUE")</f>
        <v>ENTREGUE</v>
      </c>
      <c r="G3046" s="303"/>
      <c r="H3046" s="304"/>
    </row>
    <row r="3047">
      <c r="A3047" s="302" t="s">
        <v>72</v>
      </c>
      <c r="B3047" s="291" t="s">
        <v>17490</v>
      </c>
      <c r="C3047" s="292" t="s">
        <v>48</v>
      </c>
      <c r="D3047" s="293">
        <f t="shared" si="2"/>
        <v>1</v>
      </c>
      <c r="E3047" s="294"/>
      <c r="F3047" s="295" t="str">
        <f>IFERROR(__xludf.DUMMYFUNCTION("IF(B3047="""","""",IFERROR(VLOOKUP(TO_TEXT(B3047),PEDIDOS!D:I,6,0),IFERROR(VLOOKUP(B3047*1,PEDIDOS!D:I,6,0),"" "")))"),"ENTREGUE")</f>
        <v>ENTREGUE</v>
      </c>
      <c r="G3047" s="303"/>
      <c r="H3047" s="304"/>
    </row>
    <row r="3048">
      <c r="A3048" s="302" t="s">
        <v>72</v>
      </c>
      <c r="B3048" s="291" t="s">
        <v>17494</v>
      </c>
      <c r="C3048" s="292" t="s">
        <v>48</v>
      </c>
      <c r="D3048" s="293">
        <f t="shared" si="2"/>
        <v>1</v>
      </c>
      <c r="E3048" s="294"/>
      <c r="F3048" s="295" t="str">
        <f>IFERROR(__xludf.DUMMYFUNCTION("IF(B3048="""","""",IFERROR(VLOOKUP(TO_TEXT(B3048),PEDIDOS!D:I,6,0),IFERROR(VLOOKUP(B3048*1,PEDIDOS!D:I,6,0),"" "")))"),"ENTREGUE")</f>
        <v>ENTREGUE</v>
      </c>
      <c r="G3048" s="303"/>
      <c r="H3048" s="304"/>
    </row>
    <row r="3049">
      <c r="A3049" s="302" t="s">
        <v>72</v>
      </c>
      <c r="B3049" s="291" t="s">
        <v>19280</v>
      </c>
      <c r="C3049" s="292" t="s">
        <v>48</v>
      </c>
      <c r="D3049" s="293">
        <f t="shared" si="2"/>
        <v>1</v>
      </c>
      <c r="E3049" s="294"/>
      <c r="F3049" s="295" t="str">
        <f>IFERROR(__xludf.DUMMYFUNCTION("IF(B3049="""","""",IFERROR(VLOOKUP(TO_TEXT(B3049),PEDIDOS!D:I,6,0),IFERROR(VLOOKUP(B3049*1,PEDIDOS!D:I,6,0),"" "")))"),"ENTREGUE")</f>
        <v>ENTREGUE</v>
      </c>
      <c r="G3049" s="303"/>
      <c r="H3049" s="304"/>
    </row>
    <row r="3050">
      <c r="A3050" s="302" t="s">
        <v>72</v>
      </c>
      <c r="B3050" s="291" t="s">
        <v>16039</v>
      </c>
      <c r="C3050" s="292" t="s">
        <v>48</v>
      </c>
      <c r="D3050" s="293">
        <f t="shared" si="2"/>
        <v>1</v>
      </c>
      <c r="E3050" s="294"/>
      <c r="F3050" s="295" t="str">
        <f>IFERROR(__xludf.DUMMYFUNCTION("IF(B3050="""","""",IFERROR(VLOOKUP(TO_TEXT(B3050),PEDIDOS!D:I,6,0),IFERROR(VLOOKUP(B3050*1,PEDIDOS!D:I,6,0),"" "")))"),"ENTREGUE")</f>
        <v>ENTREGUE</v>
      </c>
      <c r="G3050" s="303"/>
      <c r="H3050" s="304" t="s">
        <v>15811</v>
      </c>
    </row>
    <row r="3051">
      <c r="A3051" s="302" t="s">
        <v>72</v>
      </c>
      <c r="B3051" s="291" t="s">
        <v>16788</v>
      </c>
      <c r="C3051" s="292" t="s">
        <v>48</v>
      </c>
      <c r="D3051" s="293">
        <f t="shared" si="2"/>
        <v>1</v>
      </c>
      <c r="E3051" s="294"/>
      <c r="F3051" s="295" t="str">
        <f>IFERROR(__xludf.DUMMYFUNCTION("IF(B3051="""","""",IFERROR(VLOOKUP(TO_TEXT(B3051),PEDIDOS!D:I,6,0),IFERROR(VLOOKUP(B3051*1,PEDIDOS!D:I,6,0),"" "")))"),"ENTREGUE")</f>
        <v>ENTREGUE</v>
      </c>
      <c r="G3051" s="303"/>
      <c r="H3051" s="304" t="s">
        <v>15811</v>
      </c>
    </row>
    <row r="3052">
      <c r="A3052" s="302" t="s">
        <v>72</v>
      </c>
      <c r="B3052" s="291" t="s">
        <v>17387</v>
      </c>
      <c r="C3052" s="292" t="s">
        <v>48</v>
      </c>
      <c r="D3052" s="293">
        <f t="shared" si="2"/>
        <v>1</v>
      </c>
      <c r="E3052" s="294"/>
      <c r="F3052" s="295" t="str">
        <f>IFERROR(__xludf.DUMMYFUNCTION("IF(B3052="""","""",IFERROR(VLOOKUP(TO_TEXT(B3052),PEDIDOS!D:I,6,0),IFERROR(VLOOKUP(B3052*1,PEDIDOS!D:I,6,0),"" "")))"),"ENTREGUE")</f>
        <v>ENTREGUE</v>
      </c>
      <c r="G3052" s="303"/>
      <c r="H3052" s="304" t="s">
        <v>15811</v>
      </c>
    </row>
    <row r="3053">
      <c r="A3053" s="302" t="s">
        <v>72</v>
      </c>
      <c r="B3053" s="291" t="s">
        <v>17683</v>
      </c>
      <c r="C3053" s="292" t="s">
        <v>48</v>
      </c>
      <c r="D3053" s="293">
        <f t="shared" si="2"/>
        <v>1</v>
      </c>
      <c r="E3053" s="294"/>
      <c r="F3053" s="295" t="str">
        <f>IFERROR(__xludf.DUMMYFUNCTION("IF(B3053="""","""",IFERROR(VLOOKUP(TO_TEXT(B3053),PEDIDOS!D:I,6,0),IFERROR(VLOOKUP(B3053*1,PEDIDOS!D:I,6,0),"" "")))"),"ENTREGUE")</f>
        <v>ENTREGUE</v>
      </c>
      <c r="G3053" s="303"/>
      <c r="H3053" s="304" t="s">
        <v>15811</v>
      </c>
    </row>
    <row r="3054">
      <c r="A3054" s="302" t="s">
        <v>72</v>
      </c>
      <c r="B3054" s="291" t="s">
        <v>18519</v>
      </c>
      <c r="C3054" s="292" t="s">
        <v>48</v>
      </c>
      <c r="D3054" s="293">
        <f t="shared" si="2"/>
        <v>1</v>
      </c>
      <c r="E3054" s="294"/>
      <c r="F3054" s="295" t="str">
        <f>IFERROR(__xludf.DUMMYFUNCTION("IF(B3054="""","""",IFERROR(VLOOKUP(TO_TEXT(B3054),PEDIDOS!D:I,6,0),IFERROR(VLOOKUP(B3054*1,PEDIDOS!D:I,6,0),"" "")))"),"ENTREGUE")</f>
        <v>ENTREGUE</v>
      </c>
      <c r="G3054" s="303"/>
      <c r="H3054" s="304" t="s">
        <v>15811</v>
      </c>
    </row>
    <row r="3055">
      <c r="A3055" s="302" t="s">
        <v>72</v>
      </c>
      <c r="B3055" s="291" t="s">
        <v>18846</v>
      </c>
      <c r="C3055" s="292" t="s">
        <v>48</v>
      </c>
      <c r="D3055" s="293">
        <f t="shared" si="2"/>
        <v>1</v>
      </c>
      <c r="E3055" s="294"/>
      <c r="F3055" s="295" t="str">
        <f>IFERROR(__xludf.DUMMYFUNCTION("IF(B3055="""","""",IFERROR(VLOOKUP(TO_TEXT(B3055),PEDIDOS!D:I,6,0),IFERROR(VLOOKUP(B3055*1,PEDIDOS!D:I,6,0),"" "")))"),"ENTREGUE")</f>
        <v>ENTREGUE</v>
      </c>
      <c r="G3055" s="303"/>
      <c r="H3055" s="304" t="s">
        <v>15811</v>
      </c>
    </row>
    <row r="3056">
      <c r="A3056" s="302" t="s">
        <v>72</v>
      </c>
      <c r="B3056" s="291" t="s">
        <v>18811</v>
      </c>
      <c r="C3056" s="292" t="s">
        <v>48</v>
      </c>
      <c r="D3056" s="293">
        <f t="shared" si="2"/>
        <v>1</v>
      </c>
      <c r="E3056" s="294"/>
      <c r="F3056" s="295" t="str">
        <f>IFERROR(__xludf.DUMMYFUNCTION("IF(B3056="""","""",IFERROR(VLOOKUP(TO_TEXT(B3056),PEDIDOS!D:I,6,0),IFERROR(VLOOKUP(B3056*1,PEDIDOS!D:I,6,0),"" "")))"),"ENTREGUE")</f>
        <v>ENTREGUE</v>
      </c>
      <c r="G3056" s="303"/>
      <c r="H3056" s="304" t="s">
        <v>15811</v>
      </c>
    </row>
    <row r="3057">
      <c r="A3057" s="302" t="s">
        <v>85</v>
      </c>
      <c r="B3057" s="291" t="s">
        <v>19985</v>
      </c>
      <c r="C3057" s="292" t="s">
        <v>48</v>
      </c>
      <c r="D3057" s="293">
        <f t="shared" si="2"/>
        <v>1</v>
      </c>
      <c r="E3057" s="294"/>
      <c r="F3057" s="295" t="str">
        <f>IFERROR(__xludf.DUMMYFUNCTION("IF(B3057="""","""",IFERROR(VLOOKUP(TO_TEXT(B3057),PEDIDOS!D:I,6,0),IFERROR(VLOOKUP(B3057*1,PEDIDOS!D:I,6,0),"" "")))"),"ENTREGUE")</f>
        <v>ENTREGUE</v>
      </c>
      <c r="G3057" s="303"/>
      <c r="H3057" s="304"/>
    </row>
    <row r="3058">
      <c r="A3058" s="302" t="s">
        <v>85</v>
      </c>
      <c r="B3058" s="291" t="s">
        <v>20517</v>
      </c>
      <c r="C3058" s="292" t="s">
        <v>48</v>
      </c>
      <c r="D3058" s="293">
        <f t="shared" si="2"/>
        <v>1</v>
      </c>
      <c r="E3058" s="294"/>
      <c r="F3058" s="295" t="str">
        <f>IFERROR(__xludf.DUMMYFUNCTION("IF(B3058="""","""",IFERROR(VLOOKUP(TO_TEXT(B3058),PEDIDOS!D:I,6,0),IFERROR(VLOOKUP(B3058*1,PEDIDOS!D:I,6,0),"" "")))"),"ENTREGUE")</f>
        <v>ENTREGUE</v>
      </c>
      <c r="G3058" s="303"/>
      <c r="H3058" s="304"/>
    </row>
    <row r="3059">
      <c r="A3059" s="302" t="s">
        <v>85</v>
      </c>
      <c r="B3059" s="291" t="s">
        <v>20513</v>
      </c>
      <c r="C3059" s="292" t="s">
        <v>48</v>
      </c>
      <c r="D3059" s="293">
        <f t="shared" si="2"/>
        <v>1</v>
      </c>
      <c r="E3059" s="294"/>
      <c r="F3059" s="295" t="str">
        <f>IFERROR(__xludf.DUMMYFUNCTION("IF(B3059="""","""",IFERROR(VLOOKUP(TO_TEXT(B3059),PEDIDOS!D:I,6,0),IFERROR(VLOOKUP(B3059*1,PEDIDOS!D:I,6,0),"" "")))"),"ENTREGUE")</f>
        <v>ENTREGUE</v>
      </c>
      <c r="G3059" s="303"/>
      <c r="H3059" s="304"/>
    </row>
    <row r="3060">
      <c r="A3060" s="302" t="s">
        <v>85</v>
      </c>
      <c r="B3060" s="291" t="s">
        <v>20500</v>
      </c>
      <c r="C3060" s="292" t="s">
        <v>48</v>
      </c>
      <c r="D3060" s="293">
        <f t="shared" si="2"/>
        <v>1</v>
      </c>
      <c r="E3060" s="294"/>
      <c r="F3060" s="295" t="str">
        <f>IFERROR(__xludf.DUMMYFUNCTION("IF(B3060="""","""",IFERROR(VLOOKUP(TO_TEXT(B3060),PEDIDOS!D:I,6,0),IFERROR(VLOOKUP(B3060*1,PEDIDOS!D:I,6,0),"" "")))"),"ENTREGUE")</f>
        <v>ENTREGUE</v>
      </c>
      <c r="G3060" s="303"/>
      <c r="H3060" s="304"/>
    </row>
    <row r="3061">
      <c r="A3061" s="302" t="s">
        <v>85</v>
      </c>
      <c r="B3061" s="291" t="s">
        <v>20509</v>
      </c>
      <c r="C3061" s="292" t="s">
        <v>48</v>
      </c>
      <c r="D3061" s="293">
        <f t="shared" si="2"/>
        <v>1</v>
      </c>
      <c r="E3061" s="294"/>
      <c r="F3061" s="295" t="str">
        <f>IFERROR(__xludf.DUMMYFUNCTION("IF(B3061="""","""",IFERROR(VLOOKUP(TO_TEXT(B3061),PEDIDOS!D:I,6,0),IFERROR(VLOOKUP(B3061*1,PEDIDOS!D:I,6,0),"" "")))"),"ENTREGUE")</f>
        <v>ENTREGUE</v>
      </c>
      <c r="G3061" s="303"/>
      <c r="H3061" s="304"/>
    </row>
    <row r="3062">
      <c r="A3062" s="302" t="s">
        <v>85</v>
      </c>
      <c r="B3062" s="291" t="s">
        <v>20504</v>
      </c>
      <c r="C3062" s="292" t="s">
        <v>48</v>
      </c>
      <c r="D3062" s="293">
        <f t="shared" si="2"/>
        <v>1</v>
      </c>
      <c r="E3062" s="294"/>
      <c r="F3062" s="295" t="str">
        <f>IFERROR(__xludf.DUMMYFUNCTION("IF(B3062="""","""",IFERROR(VLOOKUP(TO_TEXT(B3062),PEDIDOS!D:I,6,0),IFERROR(VLOOKUP(B3062*1,PEDIDOS!D:I,6,0),"" "")))"),"ENTREGUE")</f>
        <v>ENTREGUE</v>
      </c>
      <c r="G3062" s="303"/>
      <c r="H3062" s="304"/>
    </row>
    <row r="3063">
      <c r="A3063" s="302" t="s">
        <v>85</v>
      </c>
      <c r="B3063" s="291" t="s">
        <v>20492</v>
      </c>
      <c r="C3063" s="292" t="s">
        <v>48</v>
      </c>
      <c r="D3063" s="293">
        <f t="shared" si="2"/>
        <v>1</v>
      </c>
      <c r="E3063" s="294"/>
      <c r="F3063" s="295" t="str">
        <f>IFERROR(__xludf.DUMMYFUNCTION("IF(B3063="""","""",IFERROR(VLOOKUP(TO_TEXT(B3063),PEDIDOS!D:I,6,0),IFERROR(VLOOKUP(B3063*1,PEDIDOS!D:I,6,0),"" "")))"),"ENTREGUE")</f>
        <v>ENTREGUE</v>
      </c>
      <c r="G3063" s="303"/>
      <c r="H3063" s="304"/>
    </row>
    <row r="3064">
      <c r="A3064" s="302" t="s">
        <v>85</v>
      </c>
      <c r="B3064" s="291" t="s">
        <v>20487</v>
      </c>
      <c r="C3064" s="292" t="s">
        <v>48</v>
      </c>
      <c r="D3064" s="293">
        <f t="shared" si="2"/>
        <v>1</v>
      </c>
      <c r="E3064" s="294"/>
      <c r="F3064" s="295" t="str">
        <f>IFERROR(__xludf.DUMMYFUNCTION("IF(B3064="""","""",IFERROR(VLOOKUP(TO_TEXT(B3064),PEDIDOS!D:I,6,0),IFERROR(VLOOKUP(B3064*1,PEDIDOS!D:I,6,0),"" "")))"),"ENTREGUE")</f>
        <v>ENTREGUE</v>
      </c>
      <c r="G3064" s="303"/>
      <c r="H3064" s="304"/>
    </row>
    <row r="3065">
      <c r="A3065" s="302" t="s">
        <v>85</v>
      </c>
      <c r="B3065" s="291" t="s">
        <v>20775</v>
      </c>
      <c r="C3065" s="292" t="s">
        <v>48</v>
      </c>
      <c r="D3065" s="293">
        <f t="shared" si="2"/>
        <v>1</v>
      </c>
      <c r="E3065" s="294"/>
      <c r="F3065" s="295" t="str">
        <f>IFERROR(__xludf.DUMMYFUNCTION("IF(B3065="""","""",IFERROR(VLOOKUP(TO_TEXT(B3065),PEDIDOS!D:I,6,0),IFERROR(VLOOKUP(B3065*1,PEDIDOS!D:I,6,0),"" "")))"),"ENTREGUE")</f>
        <v>ENTREGUE</v>
      </c>
      <c r="G3065" s="303"/>
      <c r="H3065" s="304"/>
    </row>
    <row r="3066">
      <c r="A3066" s="302" t="s">
        <v>85</v>
      </c>
      <c r="B3066" s="291" t="s">
        <v>20797</v>
      </c>
      <c r="C3066" s="292" t="s">
        <v>48</v>
      </c>
      <c r="D3066" s="293">
        <f t="shared" si="2"/>
        <v>1</v>
      </c>
      <c r="E3066" s="294"/>
      <c r="F3066" s="295" t="str">
        <f>IFERROR(__xludf.DUMMYFUNCTION("IF(B3066="""","""",IFERROR(VLOOKUP(TO_TEXT(B3066),PEDIDOS!D:I,6,0),IFERROR(VLOOKUP(B3066*1,PEDIDOS!D:I,6,0),"" "")))"),"ENTREGUE")</f>
        <v>ENTREGUE</v>
      </c>
      <c r="G3066" s="303"/>
      <c r="H3066" s="304"/>
    </row>
    <row r="3067">
      <c r="A3067" s="302" t="s">
        <v>91</v>
      </c>
      <c r="B3067" s="291" t="s">
        <v>17332</v>
      </c>
      <c r="C3067" s="292" t="s">
        <v>48</v>
      </c>
      <c r="D3067" s="293">
        <f t="shared" si="2"/>
        <v>1</v>
      </c>
      <c r="E3067" s="294"/>
      <c r="F3067" s="295" t="str">
        <f>IFERROR(__xludf.DUMMYFUNCTION("IF(B3067="""","""",IFERROR(VLOOKUP(TO_TEXT(B3067),PEDIDOS!D:I,6,0),IFERROR(VLOOKUP(B3067*1,PEDIDOS!D:I,6,0),"" "")))"),"ENTREGUE")</f>
        <v>ENTREGUE</v>
      </c>
      <c r="G3067" s="303"/>
      <c r="H3067" s="304"/>
    </row>
    <row r="3068">
      <c r="A3068" s="302" t="s">
        <v>91</v>
      </c>
      <c r="B3068" s="291" t="s">
        <v>17264</v>
      </c>
      <c r="C3068" s="292" t="s">
        <v>48</v>
      </c>
      <c r="D3068" s="293">
        <f t="shared" si="2"/>
        <v>1</v>
      </c>
      <c r="E3068" s="294"/>
      <c r="F3068" s="295" t="str">
        <f>IFERROR(__xludf.DUMMYFUNCTION("IF(B3068="""","""",IFERROR(VLOOKUP(TO_TEXT(B3068),PEDIDOS!D:I,6,0),IFERROR(VLOOKUP(B3068*1,PEDIDOS!D:I,6,0),"" "")))"),"ENTREGUE")</f>
        <v>ENTREGUE</v>
      </c>
      <c r="G3068" s="303"/>
      <c r="H3068" s="304"/>
    </row>
    <row r="3069">
      <c r="A3069" s="302" t="s">
        <v>91</v>
      </c>
      <c r="B3069" s="291" t="s">
        <v>17626</v>
      </c>
      <c r="C3069" s="292" t="s">
        <v>48</v>
      </c>
      <c r="D3069" s="293">
        <f t="shared" si="2"/>
        <v>1</v>
      </c>
      <c r="E3069" s="294"/>
      <c r="F3069" s="295" t="str">
        <f>IFERROR(__xludf.DUMMYFUNCTION("IF(B3069="""","""",IFERROR(VLOOKUP(TO_TEXT(B3069),PEDIDOS!D:I,6,0),IFERROR(VLOOKUP(B3069*1,PEDIDOS!D:I,6,0),"" "")))"),"ENTREGUE")</f>
        <v>ENTREGUE</v>
      </c>
      <c r="G3069" s="303"/>
      <c r="H3069" s="304"/>
    </row>
    <row r="3070">
      <c r="A3070" s="302" t="s">
        <v>91</v>
      </c>
      <c r="B3070" s="291" t="s">
        <v>17687</v>
      </c>
      <c r="C3070" s="292" t="s">
        <v>48</v>
      </c>
      <c r="D3070" s="293">
        <f t="shared" si="2"/>
        <v>1</v>
      </c>
      <c r="E3070" s="294"/>
      <c r="F3070" s="295" t="str">
        <f>IFERROR(__xludf.DUMMYFUNCTION("IF(B3070="""","""",IFERROR(VLOOKUP(TO_TEXT(B3070),PEDIDOS!D:I,6,0),IFERROR(VLOOKUP(B3070*1,PEDIDOS!D:I,6,0),"" "")))"),"ENTREGUE")</f>
        <v>ENTREGUE</v>
      </c>
      <c r="G3070" s="303"/>
      <c r="H3070" s="304"/>
    </row>
    <row r="3071">
      <c r="A3071" s="302" t="s">
        <v>91</v>
      </c>
      <c r="B3071" s="291" t="s">
        <v>17349</v>
      </c>
      <c r="C3071" s="292" t="s">
        <v>48</v>
      </c>
      <c r="D3071" s="293">
        <f t="shared" si="2"/>
        <v>1</v>
      </c>
      <c r="E3071" s="294"/>
      <c r="F3071" s="295" t="str">
        <f>IFERROR(__xludf.DUMMYFUNCTION("IF(B3071="""","""",IFERROR(VLOOKUP(TO_TEXT(B3071),PEDIDOS!D:I,6,0),IFERROR(VLOOKUP(B3071*1,PEDIDOS!D:I,6,0),"" "")))"),"ENTREGUE")</f>
        <v>ENTREGUE</v>
      </c>
      <c r="G3071" s="303"/>
      <c r="H3071" s="304"/>
    </row>
    <row r="3072">
      <c r="A3072" s="302" t="s">
        <v>91</v>
      </c>
      <c r="B3072" s="291" t="s">
        <v>17311</v>
      </c>
      <c r="C3072" s="292" t="s">
        <v>48</v>
      </c>
      <c r="D3072" s="293">
        <f t="shared" si="2"/>
        <v>1</v>
      </c>
      <c r="E3072" s="294"/>
      <c r="F3072" s="295" t="str">
        <f>IFERROR(__xludf.DUMMYFUNCTION("IF(B3072="""","""",IFERROR(VLOOKUP(TO_TEXT(B3072),PEDIDOS!D:I,6,0),IFERROR(VLOOKUP(B3072*1,PEDIDOS!D:I,6,0),"" "")))"),"ENTREGUE")</f>
        <v>ENTREGUE</v>
      </c>
      <c r="G3072" s="303"/>
      <c r="H3072" s="304"/>
    </row>
    <row r="3073">
      <c r="A3073" s="302" t="s">
        <v>91</v>
      </c>
      <c r="B3073" s="291" t="s">
        <v>17593</v>
      </c>
      <c r="C3073" s="292" t="s">
        <v>48</v>
      </c>
      <c r="D3073" s="293">
        <f t="shared" si="2"/>
        <v>1</v>
      </c>
      <c r="E3073" s="294"/>
      <c r="F3073" s="295" t="str">
        <f>IFERROR(__xludf.DUMMYFUNCTION("IF(B3073="""","""",IFERROR(VLOOKUP(TO_TEXT(B3073),PEDIDOS!D:I,6,0),IFERROR(VLOOKUP(B3073*1,PEDIDOS!D:I,6,0),"" "")))"),"ENTREGUE")</f>
        <v>ENTREGUE</v>
      </c>
      <c r="G3073" s="303"/>
      <c r="H3073" s="304"/>
    </row>
    <row r="3074">
      <c r="A3074" s="302" t="s">
        <v>91</v>
      </c>
      <c r="B3074" s="291" t="s">
        <v>17561</v>
      </c>
      <c r="C3074" s="292" t="s">
        <v>48</v>
      </c>
      <c r="D3074" s="293">
        <f t="shared" si="2"/>
        <v>1</v>
      </c>
      <c r="E3074" s="294"/>
      <c r="F3074" s="295" t="str">
        <f>IFERROR(__xludf.DUMMYFUNCTION("IF(B3074="""","""",IFERROR(VLOOKUP(TO_TEXT(B3074),PEDIDOS!D:I,6,0),IFERROR(VLOOKUP(B3074*1,PEDIDOS!D:I,6,0),"" "")))"),"ENTREGUE")</f>
        <v>ENTREGUE</v>
      </c>
      <c r="G3074" s="303"/>
      <c r="H3074" s="304"/>
    </row>
    <row r="3075">
      <c r="A3075" s="302" t="s">
        <v>91</v>
      </c>
      <c r="B3075" s="291" t="s">
        <v>17556</v>
      </c>
      <c r="C3075" s="292" t="s">
        <v>48</v>
      </c>
      <c r="D3075" s="293">
        <f t="shared" si="2"/>
        <v>1</v>
      </c>
      <c r="E3075" s="294"/>
      <c r="F3075" s="295" t="str">
        <f>IFERROR(__xludf.DUMMYFUNCTION("IF(B3075="""","""",IFERROR(VLOOKUP(TO_TEXT(B3075),PEDIDOS!D:I,6,0),IFERROR(VLOOKUP(B3075*1,PEDIDOS!D:I,6,0),"" "")))"),"ENTREGUE")</f>
        <v>ENTREGUE</v>
      </c>
      <c r="G3075" s="303"/>
      <c r="H3075" s="304"/>
    </row>
    <row r="3076">
      <c r="A3076" s="302" t="s">
        <v>91</v>
      </c>
      <c r="B3076" s="291" t="s">
        <v>14196</v>
      </c>
      <c r="C3076" s="292" t="s">
        <v>48</v>
      </c>
      <c r="D3076" s="293">
        <f t="shared" si="2"/>
        <v>1</v>
      </c>
      <c r="E3076" s="294"/>
      <c r="F3076" s="295" t="str">
        <f>IFERROR(__xludf.DUMMYFUNCTION("IF(B3076="""","""",IFERROR(VLOOKUP(TO_TEXT(B3076),PEDIDOS!D:I,6,0),IFERROR(VLOOKUP(B3076*1,PEDIDOS!D:I,6,0),"" "")))"),"ENTREGUE")</f>
        <v>ENTREGUE</v>
      </c>
      <c r="G3076" s="303"/>
      <c r="H3076" s="304"/>
    </row>
    <row r="3077">
      <c r="A3077" s="302" t="s">
        <v>91</v>
      </c>
      <c r="B3077" s="291" t="s">
        <v>17640</v>
      </c>
      <c r="C3077" s="292" t="s">
        <v>48</v>
      </c>
      <c r="D3077" s="293">
        <f t="shared" si="2"/>
        <v>1</v>
      </c>
      <c r="E3077" s="294"/>
      <c r="F3077" s="295" t="str">
        <f>IFERROR(__xludf.DUMMYFUNCTION("IF(B3077="""","""",IFERROR(VLOOKUP(TO_TEXT(B3077),PEDIDOS!D:I,6,0),IFERROR(VLOOKUP(B3077*1,PEDIDOS!D:I,6,0),"" "")))"),"ENTREGUE")</f>
        <v>ENTREGUE</v>
      </c>
      <c r="G3077" s="303"/>
      <c r="H3077" s="304"/>
    </row>
    <row r="3078">
      <c r="A3078" s="302" t="s">
        <v>91</v>
      </c>
      <c r="B3078" s="291" t="s">
        <v>17911</v>
      </c>
      <c r="C3078" s="292" t="s">
        <v>48</v>
      </c>
      <c r="D3078" s="293">
        <f t="shared" si="2"/>
        <v>1</v>
      </c>
      <c r="E3078" s="294"/>
      <c r="F3078" s="295" t="str">
        <f>IFERROR(__xludf.DUMMYFUNCTION("IF(B3078="""","""",IFERROR(VLOOKUP(TO_TEXT(B3078),PEDIDOS!D:I,6,0),IFERROR(VLOOKUP(B3078*1,PEDIDOS!D:I,6,0),"" "")))"),"ENTREGUE")</f>
        <v>ENTREGUE</v>
      </c>
      <c r="G3078" s="303"/>
      <c r="H3078" s="304"/>
    </row>
    <row r="3079">
      <c r="A3079" s="302" t="s">
        <v>91</v>
      </c>
      <c r="B3079" s="291" t="s">
        <v>17721</v>
      </c>
      <c r="C3079" s="292" t="s">
        <v>48</v>
      </c>
      <c r="D3079" s="293">
        <f t="shared" si="2"/>
        <v>1</v>
      </c>
      <c r="E3079" s="294"/>
      <c r="F3079" s="295" t="str">
        <f>IFERROR(__xludf.DUMMYFUNCTION("IF(B3079="""","""",IFERROR(VLOOKUP(TO_TEXT(B3079),PEDIDOS!D:I,6,0),IFERROR(VLOOKUP(B3079*1,PEDIDOS!D:I,6,0),"" "")))"),"ENTREGUE")</f>
        <v>ENTREGUE</v>
      </c>
      <c r="G3079" s="303"/>
      <c r="H3079" s="304"/>
    </row>
    <row r="3080">
      <c r="A3080" s="302" t="s">
        <v>91</v>
      </c>
      <c r="B3080" s="291" t="s">
        <v>17692</v>
      </c>
      <c r="C3080" s="292" t="s">
        <v>48</v>
      </c>
      <c r="D3080" s="293">
        <f t="shared" si="2"/>
        <v>1</v>
      </c>
      <c r="E3080" s="294"/>
      <c r="F3080" s="295" t="str">
        <f>IFERROR(__xludf.DUMMYFUNCTION("IF(B3080="""","""",IFERROR(VLOOKUP(TO_TEXT(B3080),PEDIDOS!D:I,6,0),IFERROR(VLOOKUP(B3080*1,PEDIDOS!D:I,6,0),"" "")))"),"ENTREGUE")</f>
        <v>ENTREGUE</v>
      </c>
      <c r="G3080" s="303"/>
      <c r="H3080" s="304"/>
    </row>
    <row r="3081">
      <c r="A3081" s="302" t="s">
        <v>91</v>
      </c>
      <c r="B3081" s="291" t="s">
        <v>18596</v>
      </c>
      <c r="C3081" s="292" t="s">
        <v>48</v>
      </c>
      <c r="D3081" s="293">
        <f t="shared" si="2"/>
        <v>1</v>
      </c>
      <c r="E3081" s="294"/>
      <c r="F3081" s="295" t="str">
        <f>IFERROR(__xludf.DUMMYFUNCTION("IF(B3081="""","""",IFERROR(VLOOKUP(TO_TEXT(B3081),PEDIDOS!D:I,6,0),IFERROR(VLOOKUP(B3081*1,PEDIDOS!D:I,6,0),"" "")))"),"ENTREGUE")</f>
        <v>ENTREGUE</v>
      </c>
      <c r="G3081" s="303"/>
      <c r="H3081" s="304"/>
    </row>
    <row r="3082">
      <c r="A3082" s="302" t="s">
        <v>91</v>
      </c>
      <c r="B3082" s="291" t="s">
        <v>18137</v>
      </c>
      <c r="C3082" s="292" t="s">
        <v>48</v>
      </c>
      <c r="D3082" s="293">
        <f t="shared" si="2"/>
        <v>1</v>
      </c>
      <c r="E3082" s="294"/>
      <c r="F3082" s="295" t="str">
        <f>IFERROR(__xludf.DUMMYFUNCTION("IF(B3082="""","""",IFERROR(VLOOKUP(TO_TEXT(B3082),PEDIDOS!D:I,6,0),IFERROR(VLOOKUP(B3082*1,PEDIDOS!D:I,6,0),"" "")))"),"ENTREGUE")</f>
        <v>ENTREGUE</v>
      </c>
      <c r="G3082" s="303"/>
      <c r="H3082" s="304"/>
    </row>
    <row r="3083">
      <c r="A3083" s="302" t="s">
        <v>91</v>
      </c>
      <c r="B3083" s="291" t="s">
        <v>18120</v>
      </c>
      <c r="C3083" s="292" t="s">
        <v>48</v>
      </c>
      <c r="D3083" s="293">
        <f t="shared" si="2"/>
        <v>1</v>
      </c>
      <c r="E3083" s="294"/>
      <c r="F3083" s="295" t="str">
        <f>IFERROR(__xludf.DUMMYFUNCTION("IF(B3083="""","""",IFERROR(VLOOKUP(TO_TEXT(B3083),PEDIDOS!D:I,6,0),IFERROR(VLOOKUP(B3083*1,PEDIDOS!D:I,6,0),"" "")))"),"ENTREGUE")</f>
        <v>ENTREGUE</v>
      </c>
      <c r="G3083" s="303"/>
      <c r="H3083" s="304"/>
    </row>
    <row r="3084">
      <c r="A3084" s="302" t="s">
        <v>91</v>
      </c>
      <c r="B3084" s="291" t="s">
        <v>19271</v>
      </c>
      <c r="C3084" s="292" t="s">
        <v>48</v>
      </c>
      <c r="D3084" s="293">
        <f t="shared" si="2"/>
        <v>1</v>
      </c>
      <c r="E3084" s="294"/>
      <c r="F3084" s="295" t="str">
        <f>IFERROR(__xludf.DUMMYFUNCTION("IF(B3084="""","""",IFERROR(VLOOKUP(TO_TEXT(B3084),PEDIDOS!D:I,6,0),IFERROR(VLOOKUP(B3084*1,PEDIDOS!D:I,6,0),"" "")))"),"ENTREGUE")</f>
        <v>ENTREGUE</v>
      </c>
      <c r="G3084" s="303"/>
      <c r="H3084" s="304"/>
    </row>
    <row r="3085">
      <c r="A3085" s="302" t="s">
        <v>91</v>
      </c>
      <c r="B3085" s="291" t="s">
        <v>18180</v>
      </c>
      <c r="C3085" s="292" t="s">
        <v>48</v>
      </c>
      <c r="D3085" s="293">
        <f t="shared" si="2"/>
        <v>1</v>
      </c>
      <c r="E3085" s="294"/>
      <c r="F3085" s="295" t="str">
        <f>IFERROR(__xludf.DUMMYFUNCTION("IF(B3085="""","""",IFERROR(VLOOKUP(TO_TEXT(B3085),PEDIDOS!D:I,6,0),IFERROR(VLOOKUP(B3085*1,PEDIDOS!D:I,6,0),"" "")))"),"ENTREGUE")</f>
        <v>ENTREGUE</v>
      </c>
      <c r="G3085" s="303"/>
      <c r="H3085" s="304"/>
    </row>
    <row r="3086">
      <c r="A3086" s="302" t="s">
        <v>91</v>
      </c>
      <c r="B3086" s="291" t="s">
        <v>18189</v>
      </c>
      <c r="C3086" s="292" t="s">
        <v>48</v>
      </c>
      <c r="D3086" s="293">
        <f t="shared" si="2"/>
        <v>1</v>
      </c>
      <c r="E3086" s="294"/>
      <c r="F3086" s="295" t="str">
        <f>IFERROR(__xludf.DUMMYFUNCTION("IF(B3086="""","""",IFERROR(VLOOKUP(TO_TEXT(B3086),PEDIDOS!D:I,6,0),IFERROR(VLOOKUP(B3086*1,PEDIDOS!D:I,6,0),"" "")))"),"ENTREGUE")</f>
        <v>ENTREGUE</v>
      </c>
      <c r="G3086" s="303"/>
      <c r="H3086" s="304"/>
    </row>
    <row r="3087">
      <c r="A3087" s="302" t="s">
        <v>91</v>
      </c>
      <c r="B3087" s="291" t="s">
        <v>17979</v>
      </c>
      <c r="C3087" s="292" t="s">
        <v>48</v>
      </c>
      <c r="D3087" s="293">
        <f t="shared" si="2"/>
        <v>1</v>
      </c>
      <c r="E3087" s="294"/>
      <c r="F3087" s="295" t="str">
        <f>IFERROR(__xludf.DUMMYFUNCTION("IF(B3087="""","""",IFERROR(VLOOKUP(TO_TEXT(B3087),PEDIDOS!D:I,6,0),IFERROR(VLOOKUP(B3087*1,PEDIDOS!D:I,6,0),"" "")))"),"ENTREGUE")</f>
        <v>ENTREGUE</v>
      </c>
      <c r="G3087" s="303"/>
      <c r="H3087" s="304"/>
    </row>
    <row r="3088">
      <c r="A3088" s="302" t="s">
        <v>91</v>
      </c>
      <c r="B3088" s="291" t="s">
        <v>17975</v>
      </c>
      <c r="C3088" s="292" t="s">
        <v>48</v>
      </c>
      <c r="D3088" s="293">
        <f t="shared" si="2"/>
        <v>1</v>
      </c>
      <c r="E3088" s="294"/>
      <c r="F3088" s="295" t="str">
        <f>IFERROR(__xludf.DUMMYFUNCTION("IF(B3088="""","""",IFERROR(VLOOKUP(TO_TEXT(B3088),PEDIDOS!D:I,6,0),IFERROR(VLOOKUP(B3088*1,PEDIDOS!D:I,6,0),"" "")))"),"ENTREGUE")</f>
        <v>ENTREGUE</v>
      </c>
      <c r="G3088" s="303"/>
      <c r="H3088" s="304"/>
    </row>
    <row r="3089">
      <c r="A3089" s="302" t="s">
        <v>91</v>
      </c>
      <c r="B3089" s="291" t="s">
        <v>17983</v>
      </c>
      <c r="C3089" s="292" t="s">
        <v>48</v>
      </c>
      <c r="D3089" s="293">
        <f t="shared" si="2"/>
        <v>1</v>
      </c>
      <c r="E3089" s="294"/>
      <c r="F3089" s="295" t="str">
        <f>IFERROR(__xludf.DUMMYFUNCTION("IF(B3089="""","""",IFERROR(VLOOKUP(TO_TEXT(B3089),PEDIDOS!D:I,6,0),IFERROR(VLOOKUP(B3089*1,PEDIDOS!D:I,6,0),"" "")))"),"ENTREGUE")</f>
        <v>ENTREGUE</v>
      </c>
      <c r="G3089" s="303"/>
      <c r="H3089" s="304"/>
    </row>
    <row r="3090">
      <c r="A3090" s="302" t="s">
        <v>91</v>
      </c>
      <c r="B3090" s="291" t="s">
        <v>17987</v>
      </c>
      <c r="C3090" s="292" t="s">
        <v>48</v>
      </c>
      <c r="D3090" s="293">
        <f t="shared" si="2"/>
        <v>1</v>
      </c>
      <c r="E3090" s="294"/>
      <c r="F3090" s="295" t="str">
        <f>IFERROR(__xludf.DUMMYFUNCTION("IF(B3090="""","""",IFERROR(VLOOKUP(TO_TEXT(B3090),PEDIDOS!D:I,6,0),IFERROR(VLOOKUP(B3090*1,PEDIDOS!D:I,6,0),"" "")))"),"ENTREGUE")</f>
        <v>ENTREGUE</v>
      </c>
      <c r="G3090" s="303"/>
      <c r="H3090" s="304"/>
    </row>
    <row r="3091">
      <c r="A3091" s="302" t="s">
        <v>91</v>
      </c>
      <c r="B3091" s="291" t="s">
        <v>17950</v>
      </c>
      <c r="C3091" s="292" t="s">
        <v>48</v>
      </c>
      <c r="D3091" s="293">
        <f t="shared" si="2"/>
        <v>1</v>
      </c>
      <c r="E3091" s="294"/>
      <c r="F3091" s="295" t="str">
        <f>IFERROR(__xludf.DUMMYFUNCTION("IF(B3091="""","""",IFERROR(VLOOKUP(TO_TEXT(B3091),PEDIDOS!D:I,6,0),IFERROR(VLOOKUP(B3091*1,PEDIDOS!D:I,6,0),"" "")))"),"ENTREGUE")</f>
        <v>ENTREGUE</v>
      </c>
      <c r="G3091" s="303"/>
      <c r="H3091" s="304"/>
    </row>
    <row r="3092">
      <c r="A3092" s="302" t="s">
        <v>91</v>
      </c>
      <c r="B3092" s="291" t="s">
        <v>18376</v>
      </c>
      <c r="C3092" s="292" t="s">
        <v>48</v>
      </c>
      <c r="D3092" s="293">
        <f t="shared" si="2"/>
        <v>1</v>
      </c>
      <c r="E3092" s="294"/>
      <c r="F3092" s="295" t="str">
        <f>IFERROR(__xludf.DUMMYFUNCTION("IF(B3092="""","""",IFERROR(VLOOKUP(TO_TEXT(B3092),PEDIDOS!D:I,6,0),IFERROR(VLOOKUP(B3092*1,PEDIDOS!D:I,6,0),"" "")))"),"ENTREGUE")</f>
        <v>ENTREGUE</v>
      </c>
      <c r="G3092" s="303"/>
      <c r="H3092" s="304"/>
    </row>
    <row r="3093">
      <c r="A3093" s="302" t="s">
        <v>91</v>
      </c>
      <c r="B3093" s="291" t="s">
        <v>18384</v>
      </c>
      <c r="C3093" s="292" t="s">
        <v>48</v>
      </c>
      <c r="D3093" s="293">
        <f t="shared" si="2"/>
        <v>1</v>
      </c>
      <c r="E3093" s="294"/>
      <c r="F3093" s="295" t="str">
        <f>IFERROR(__xludf.DUMMYFUNCTION("IF(B3093="""","""",IFERROR(VLOOKUP(TO_TEXT(B3093),PEDIDOS!D:I,6,0),IFERROR(VLOOKUP(B3093*1,PEDIDOS!D:I,6,0),"" "")))"),"ENTREGUE")</f>
        <v>ENTREGUE</v>
      </c>
      <c r="G3093" s="303"/>
      <c r="H3093" s="304"/>
    </row>
    <row r="3094">
      <c r="A3094" s="302" t="s">
        <v>91</v>
      </c>
      <c r="B3094" s="291" t="s">
        <v>18388</v>
      </c>
      <c r="C3094" s="292" t="s">
        <v>48</v>
      </c>
      <c r="D3094" s="293">
        <f t="shared" si="2"/>
        <v>1</v>
      </c>
      <c r="E3094" s="294"/>
      <c r="F3094" s="295" t="str">
        <f>IFERROR(__xludf.DUMMYFUNCTION("IF(B3094="""","""",IFERROR(VLOOKUP(TO_TEXT(B3094),PEDIDOS!D:I,6,0),IFERROR(VLOOKUP(B3094*1,PEDIDOS!D:I,6,0),"" "")))"),"ENTREGUE")</f>
        <v>ENTREGUE</v>
      </c>
      <c r="G3094" s="303"/>
      <c r="H3094" s="304"/>
    </row>
    <row r="3095">
      <c r="A3095" s="302" t="s">
        <v>91</v>
      </c>
      <c r="B3095" s="291" t="s">
        <v>18254</v>
      </c>
      <c r="C3095" s="292" t="s">
        <v>48</v>
      </c>
      <c r="D3095" s="293">
        <f t="shared" si="2"/>
        <v>1</v>
      </c>
      <c r="E3095" s="294"/>
      <c r="F3095" s="295" t="str">
        <f>IFERROR(__xludf.DUMMYFUNCTION("IF(B3095="""","""",IFERROR(VLOOKUP(TO_TEXT(B3095),PEDIDOS!D:I,6,0),IFERROR(VLOOKUP(B3095*1,PEDIDOS!D:I,6,0),"" "")))"),"ENTREGUE")</f>
        <v>ENTREGUE</v>
      </c>
      <c r="G3095" s="303"/>
      <c r="H3095" s="304"/>
    </row>
    <row r="3096">
      <c r="A3096" s="302" t="s">
        <v>91</v>
      </c>
      <c r="B3096" s="291" t="s">
        <v>18262</v>
      </c>
      <c r="C3096" s="292" t="s">
        <v>48</v>
      </c>
      <c r="D3096" s="293">
        <f t="shared" si="2"/>
        <v>1</v>
      </c>
      <c r="E3096" s="294"/>
      <c r="F3096" s="295" t="str">
        <f>IFERROR(__xludf.DUMMYFUNCTION("IF(B3096="""","""",IFERROR(VLOOKUP(TO_TEXT(B3096),PEDIDOS!D:I,6,0),IFERROR(VLOOKUP(B3096*1,PEDIDOS!D:I,6,0),"" "")))"),"ENTREGUE")</f>
        <v>ENTREGUE</v>
      </c>
      <c r="G3096" s="303"/>
      <c r="H3096" s="304"/>
    </row>
    <row r="3097">
      <c r="A3097" s="302" t="s">
        <v>91</v>
      </c>
      <c r="B3097" s="291" t="s">
        <v>18392</v>
      </c>
      <c r="C3097" s="292" t="s">
        <v>48</v>
      </c>
      <c r="D3097" s="293">
        <f t="shared" si="2"/>
        <v>1</v>
      </c>
      <c r="E3097" s="294"/>
      <c r="F3097" s="295" t="str">
        <f>IFERROR(__xludf.DUMMYFUNCTION("IF(B3097="""","""",IFERROR(VLOOKUP(TO_TEXT(B3097),PEDIDOS!D:I,6,0),IFERROR(VLOOKUP(B3097*1,PEDIDOS!D:I,6,0),"" "")))"),"ENTREGUE")</f>
        <v>ENTREGUE</v>
      </c>
      <c r="G3097" s="303"/>
      <c r="H3097" s="304"/>
    </row>
    <row r="3098">
      <c r="A3098" s="302" t="s">
        <v>91</v>
      </c>
      <c r="B3098" s="291" t="s">
        <v>18396</v>
      </c>
      <c r="C3098" s="292" t="s">
        <v>48</v>
      </c>
      <c r="D3098" s="293">
        <f t="shared" si="2"/>
        <v>1</v>
      </c>
      <c r="E3098" s="294"/>
      <c r="F3098" s="295" t="str">
        <f>IFERROR(__xludf.DUMMYFUNCTION("IF(B3098="""","""",IFERROR(VLOOKUP(TO_TEXT(B3098),PEDIDOS!D:I,6,0),IFERROR(VLOOKUP(B3098*1,PEDIDOS!D:I,6,0),"" "")))"),"ENTREGUE")</f>
        <v>ENTREGUE</v>
      </c>
      <c r="G3098" s="303"/>
      <c r="H3098" s="304"/>
    </row>
    <row r="3099">
      <c r="A3099" s="302" t="s">
        <v>91</v>
      </c>
      <c r="B3099" s="291" t="s">
        <v>18204</v>
      </c>
      <c r="C3099" s="292" t="s">
        <v>48</v>
      </c>
      <c r="D3099" s="293">
        <f t="shared" si="2"/>
        <v>1</v>
      </c>
      <c r="E3099" s="294"/>
      <c r="F3099" s="295" t="str">
        <f>IFERROR(__xludf.DUMMYFUNCTION("IF(B3099="""","""",IFERROR(VLOOKUP(TO_TEXT(B3099),PEDIDOS!D:I,6,0),IFERROR(VLOOKUP(B3099*1,PEDIDOS!D:I,6,0),"" "")))"),"ENTREGUE")</f>
        <v>ENTREGUE</v>
      </c>
      <c r="G3099" s="303"/>
      <c r="H3099" s="304"/>
    </row>
    <row r="3100">
      <c r="A3100" s="302" t="s">
        <v>91</v>
      </c>
      <c r="B3100" s="291" t="s">
        <v>18274</v>
      </c>
      <c r="C3100" s="292" t="s">
        <v>48</v>
      </c>
      <c r="D3100" s="293">
        <f t="shared" si="2"/>
        <v>1</v>
      </c>
      <c r="E3100" s="294"/>
      <c r="F3100" s="295" t="str">
        <f>IFERROR(__xludf.DUMMYFUNCTION("IF(B3100="""","""",IFERROR(VLOOKUP(TO_TEXT(B3100),PEDIDOS!D:I,6,0),IFERROR(VLOOKUP(B3100*1,PEDIDOS!D:I,6,0),"" "")))"),"ENTREGUE")</f>
        <v>ENTREGUE</v>
      </c>
      <c r="G3100" s="303"/>
      <c r="H3100" s="304"/>
    </row>
    <row r="3101">
      <c r="A3101" s="302" t="s">
        <v>91</v>
      </c>
      <c r="B3101" s="291" t="s">
        <v>18266</v>
      </c>
      <c r="C3101" s="292" t="s">
        <v>48</v>
      </c>
      <c r="D3101" s="293">
        <f t="shared" si="2"/>
        <v>1</v>
      </c>
      <c r="E3101" s="294"/>
      <c r="F3101" s="295" t="str">
        <f>IFERROR(__xludf.DUMMYFUNCTION("IF(B3101="""","""",IFERROR(VLOOKUP(TO_TEXT(B3101),PEDIDOS!D:I,6,0),IFERROR(VLOOKUP(B3101*1,PEDIDOS!D:I,6,0),"" "")))"),"ENTREGUE")</f>
        <v>ENTREGUE</v>
      </c>
      <c r="G3101" s="303"/>
      <c r="H3101" s="304"/>
    </row>
    <row r="3102">
      <c r="A3102" s="302" t="s">
        <v>91</v>
      </c>
      <c r="B3102" s="291" t="s">
        <v>18270</v>
      </c>
      <c r="C3102" s="292" t="s">
        <v>48</v>
      </c>
      <c r="D3102" s="293">
        <f t="shared" si="2"/>
        <v>1</v>
      </c>
      <c r="E3102" s="294"/>
      <c r="F3102" s="295" t="str">
        <f>IFERROR(__xludf.DUMMYFUNCTION("IF(B3102="""","""",IFERROR(VLOOKUP(TO_TEXT(B3102),PEDIDOS!D:I,6,0),IFERROR(VLOOKUP(B3102*1,PEDIDOS!D:I,6,0),"" "")))"),"ENTREGUE")</f>
        <v>ENTREGUE</v>
      </c>
      <c r="G3102" s="303"/>
      <c r="H3102" s="304"/>
    </row>
    <row r="3103">
      <c r="A3103" s="302" t="s">
        <v>91</v>
      </c>
      <c r="B3103" s="291" t="s">
        <v>18209</v>
      </c>
      <c r="C3103" s="292" t="s">
        <v>48</v>
      </c>
      <c r="D3103" s="293">
        <f t="shared" si="2"/>
        <v>1</v>
      </c>
      <c r="E3103" s="294"/>
      <c r="F3103" s="295" t="str">
        <f>IFERROR(__xludf.DUMMYFUNCTION("IF(B3103="""","""",IFERROR(VLOOKUP(TO_TEXT(B3103),PEDIDOS!D:I,6,0),IFERROR(VLOOKUP(B3103*1,PEDIDOS!D:I,6,0),"" "")))"),"ENTREGUE")</f>
        <v>ENTREGUE</v>
      </c>
      <c r="G3103" s="303"/>
      <c r="H3103" s="304"/>
    </row>
    <row r="3104">
      <c r="A3104" s="302" t="s">
        <v>91</v>
      </c>
      <c r="B3104" s="291" t="s">
        <v>17926</v>
      </c>
      <c r="C3104" s="292" t="s">
        <v>48</v>
      </c>
      <c r="D3104" s="293">
        <f t="shared" si="2"/>
        <v>1</v>
      </c>
      <c r="E3104" s="294"/>
      <c r="F3104" s="295" t="str">
        <f>IFERROR(__xludf.DUMMYFUNCTION("IF(B3104="""","""",IFERROR(VLOOKUP(TO_TEXT(B3104),PEDIDOS!D:I,6,0),IFERROR(VLOOKUP(B3104*1,PEDIDOS!D:I,6,0),"" "")))"),"ENTREGUE")</f>
        <v>ENTREGUE</v>
      </c>
      <c r="G3104" s="303"/>
      <c r="H3104" s="304"/>
    </row>
    <row r="3105">
      <c r="A3105" s="302" t="s">
        <v>91</v>
      </c>
      <c r="B3105" s="291" t="s">
        <v>18467</v>
      </c>
      <c r="C3105" s="292" t="s">
        <v>48</v>
      </c>
      <c r="D3105" s="293">
        <f t="shared" si="2"/>
        <v>1</v>
      </c>
      <c r="E3105" s="294"/>
      <c r="F3105" s="295" t="str">
        <f>IFERROR(__xludf.DUMMYFUNCTION("IF(B3105="""","""",IFERROR(VLOOKUP(TO_TEXT(B3105),PEDIDOS!D:I,6,0),IFERROR(VLOOKUP(B3105*1,PEDIDOS!D:I,6,0),"" "")))"),"ENTREGUE")</f>
        <v>ENTREGUE</v>
      </c>
      <c r="G3105" s="303"/>
      <c r="H3105" s="304"/>
    </row>
    <row r="3106">
      <c r="A3106" s="302" t="s">
        <v>91</v>
      </c>
      <c r="B3106" s="291" t="s">
        <v>18514</v>
      </c>
      <c r="C3106" s="292" t="s">
        <v>48</v>
      </c>
      <c r="D3106" s="293">
        <f t="shared" si="2"/>
        <v>1</v>
      </c>
      <c r="E3106" s="294"/>
      <c r="F3106" s="295" t="str">
        <f>IFERROR(__xludf.DUMMYFUNCTION("IF(B3106="""","""",IFERROR(VLOOKUP(TO_TEXT(B3106),PEDIDOS!D:I,6,0),IFERROR(VLOOKUP(B3106*1,PEDIDOS!D:I,6,0),"" "")))"),"ENTREGUE")</f>
        <v>ENTREGUE</v>
      </c>
      <c r="G3106" s="303"/>
      <c r="H3106" s="304"/>
    </row>
    <row r="3107">
      <c r="A3107" s="302" t="s">
        <v>112</v>
      </c>
      <c r="B3107" s="291" t="s">
        <v>16048</v>
      </c>
      <c r="C3107" s="292" t="s">
        <v>48</v>
      </c>
      <c r="D3107" s="293">
        <f t="shared" si="2"/>
        <v>1</v>
      </c>
      <c r="E3107" s="294"/>
      <c r="F3107" s="295" t="str">
        <f>IFERROR(__xludf.DUMMYFUNCTION("IF(B3107="""","""",IFERROR(VLOOKUP(TO_TEXT(B3107),PEDIDOS!D:I,6,0),IFERROR(VLOOKUP(B3107*1,PEDIDOS!D:I,6,0),"" "")))"),"ENTREGUE")</f>
        <v>ENTREGUE</v>
      </c>
      <c r="G3107" s="303"/>
      <c r="H3107" s="304" t="s">
        <v>15811</v>
      </c>
    </row>
    <row r="3108">
      <c r="A3108" s="302" t="s">
        <v>112</v>
      </c>
      <c r="B3108" s="291" t="s">
        <v>15815</v>
      </c>
      <c r="C3108" s="292" t="s">
        <v>48</v>
      </c>
      <c r="D3108" s="293">
        <f t="shared" si="2"/>
        <v>1</v>
      </c>
      <c r="E3108" s="294"/>
      <c r="F3108" s="295" t="str">
        <f>IFERROR(__xludf.DUMMYFUNCTION("IF(B3108="""","""",IFERROR(VLOOKUP(TO_TEXT(B3108),PEDIDOS!D:I,6,0),IFERROR(VLOOKUP(B3108*1,PEDIDOS!D:I,6,0),"" "")))"),"ENTREGUE")</f>
        <v>ENTREGUE</v>
      </c>
      <c r="G3108" s="303"/>
      <c r="H3108" s="304" t="s">
        <v>15811</v>
      </c>
    </row>
    <row r="3109">
      <c r="A3109" s="302" t="s">
        <v>112</v>
      </c>
      <c r="B3109" s="291" t="s">
        <v>16484</v>
      </c>
      <c r="C3109" s="292" t="s">
        <v>48</v>
      </c>
      <c r="D3109" s="293">
        <f t="shared" si="2"/>
        <v>1</v>
      </c>
      <c r="E3109" s="294"/>
      <c r="F3109" s="295" t="str">
        <f>IFERROR(__xludf.DUMMYFUNCTION("IF(B3109="""","""",IFERROR(VLOOKUP(TO_TEXT(B3109),PEDIDOS!D:I,6,0),IFERROR(VLOOKUP(B3109*1,PEDIDOS!D:I,6,0),"" "")))"),"ENTREGUE")</f>
        <v>ENTREGUE</v>
      </c>
      <c r="G3109" s="303"/>
      <c r="H3109" s="304" t="s">
        <v>15811</v>
      </c>
    </row>
    <row r="3110">
      <c r="A3110" s="302" t="s">
        <v>112</v>
      </c>
      <c r="B3110" s="291" t="s">
        <v>16910</v>
      </c>
      <c r="C3110" s="292" t="s">
        <v>48</v>
      </c>
      <c r="D3110" s="293">
        <f t="shared" si="2"/>
        <v>1</v>
      </c>
      <c r="E3110" s="294"/>
      <c r="F3110" s="295" t="str">
        <f>IFERROR(__xludf.DUMMYFUNCTION("IF(B3110="""","""",IFERROR(VLOOKUP(TO_TEXT(B3110),PEDIDOS!D:I,6,0),IFERROR(VLOOKUP(B3110*1,PEDIDOS!D:I,6,0),"" "")))"),"ENTREGUE")</f>
        <v>ENTREGUE</v>
      </c>
      <c r="G3110" s="303"/>
      <c r="H3110" s="304" t="s">
        <v>15811</v>
      </c>
    </row>
    <row r="3111">
      <c r="A3111" s="302" t="s">
        <v>112</v>
      </c>
      <c r="B3111" s="291" t="s">
        <v>23452</v>
      </c>
      <c r="C3111" s="292" t="s">
        <v>48</v>
      </c>
      <c r="D3111" s="293">
        <f t="shared" si="2"/>
        <v>0</v>
      </c>
      <c r="E3111" s="294"/>
      <c r="F3111" s="295" t="str">
        <f>IFERROR(__xludf.DUMMYFUNCTION("IF(B3111="""","""",IFERROR(VLOOKUP(TO_TEXT(B3111),PEDIDOS!D:I,6,0),IFERROR(VLOOKUP(B3111*1,PEDIDOS!D:I,6,0),"" "")))")," ")</f>
        <v> </v>
      </c>
      <c r="G3111" s="303"/>
      <c r="H3111" s="304" t="s">
        <v>15811</v>
      </c>
    </row>
    <row r="3112">
      <c r="A3112" s="302" t="s">
        <v>112</v>
      </c>
      <c r="B3112" s="291" t="s">
        <v>15872</v>
      </c>
      <c r="C3112" s="292" t="s">
        <v>48</v>
      </c>
      <c r="D3112" s="293">
        <f t="shared" si="2"/>
        <v>1</v>
      </c>
      <c r="E3112" s="294"/>
      <c r="F3112" s="295" t="str">
        <f>IFERROR(__xludf.DUMMYFUNCTION("IF(B3112="""","""",IFERROR(VLOOKUP(TO_TEXT(B3112),PEDIDOS!D:I,6,0),IFERROR(VLOOKUP(B3112*1,PEDIDOS!D:I,6,0),"" "")))"),"ENTREGUE")</f>
        <v>ENTREGUE</v>
      </c>
      <c r="G3112" s="303"/>
      <c r="H3112" s="304"/>
    </row>
    <row r="3113">
      <c r="A3113" s="302" t="s">
        <v>112</v>
      </c>
      <c r="B3113" s="291" t="s">
        <v>16125</v>
      </c>
      <c r="C3113" s="292" t="s">
        <v>48</v>
      </c>
      <c r="D3113" s="293">
        <f t="shared" si="2"/>
        <v>1</v>
      </c>
      <c r="E3113" s="294"/>
      <c r="F3113" s="295" t="str">
        <f>IFERROR(__xludf.DUMMYFUNCTION("IF(B3113="""","""",IFERROR(VLOOKUP(TO_TEXT(B3113),PEDIDOS!D:I,6,0),IFERROR(VLOOKUP(B3113*1,PEDIDOS!D:I,6,0),"" "")))"),"ENTREGUE")</f>
        <v>ENTREGUE</v>
      </c>
      <c r="G3113" s="303"/>
      <c r="H3113" s="304"/>
    </row>
    <row r="3114">
      <c r="A3114" s="302" t="s">
        <v>112</v>
      </c>
      <c r="B3114" s="291" t="s">
        <v>16384</v>
      </c>
      <c r="C3114" s="292" t="s">
        <v>48</v>
      </c>
      <c r="D3114" s="293">
        <f t="shared" si="2"/>
        <v>1</v>
      </c>
      <c r="E3114" s="294"/>
      <c r="F3114" s="295" t="str">
        <f>IFERROR(__xludf.DUMMYFUNCTION("IF(B3114="""","""",IFERROR(VLOOKUP(TO_TEXT(B3114),PEDIDOS!D:I,6,0),IFERROR(VLOOKUP(B3114*1,PEDIDOS!D:I,6,0),"" "")))"),"ENTREGUE")</f>
        <v>ENTREGUE</v>
      </c>
      <c r="G3114" s="303"/>
      <c r="H3114" s="304"/>
    </row>
    <row r="3115">
      <c r="A3115" s="302" t="s">
        <v>112</v>
      </c>
      <c r="B3115" s="291" t="s">
        <v>16345</v>
      </c>
      <c r="C3115" s="292" t="s">
        <v>48</v>
      </c>
      <c r="D3115" s="293">
        <f t="shared" si="2"/>
        <v>1</v>
      </c>
      <c r="E3115" s="294"/>
      <c r="F3115" s="295" t="str">
        <f>IFERROR(__xludf.DUMMYFUNCTION("IF(B3115="""","""",IFERROR(VLOOKUP(TO_TEXT(B3115),PEDIDOS!D:I,6,0),IFERROR(VLOOKUP(B3115*1,PEDIDOS!D:I,6,0),"" "")))"),"ENTREGUE")</f>
        <v>ENTREGUE</v>
      </c>
      <c r="G3115" s="303"/>
      <c r="H3115" s="304"/>
    </row>
    <row r="3116">
      <c r="A3116" s="302" t="s">
        <v>112</v>
      </c>
      <c r="B3116" s="291" t="s">
        <v>16469</v>
      </c>
      <c r="C3116" s="292" t="s">
        <v>48</v>
      </c>
      <c r="D3116" s="293">
        <f t="shared" si="2"/>
        <v>1</v>
      </c>
      <c r="E3116" s="294"/>
      <c r="F3116" s="295" t="str">
        <f>IFERROR(__xludf.DUMMYFUNCTION("IF(B3116="""","""",IFERROR(VLOOKUP(TO_TEXT(B3116),PEDIDOS!D:I,6,0),IFERROR(VLOOKUP(B3116*1,PEDIDOS!D:I,6,0),"" "")))"),"ENTREGUE")</f>
        <v>ENTREGUE</v>
      </c>
      <c r="G3116" s="303"/>
      <c r="H3116" s="304"/>
    </row>
    <row r="3117">
      <c r="A3117" s="302" t="s">
        <v>112</v>
      </c>
      <c r="B3117" s="291" t="s">
        <v>16419</v>
      </c>
      <c r="C3117" s="292" t="s">
        <v>48</v>
      </c>
      <c r="D3117" s="293">
        <f t="shared" si="2"/>
        <v>1</v>
      </c>
      <c r="E3117" s="294"/>
      <c r="F3117" s="295" t="str">
        <f>IFERROR(__xludf.DUMMYFUNCTION("IF(B3117="""","""",IFERROR(VLOOKUP(TO_TEXT(B3117),PEDIDOS!D:I,6,0),IFERROR(VLOOKUP(B3117*1,PEDIDOS!D:I,6,0),"" "")))"),"ENTREGUE")</f>
        <v>ENTREGUE</v>
      </c>
      <c r="G3117" s="303"/>
      <c r="H3117" s="304"/>
    </row>
    <row r="3118">
      <c r="A3118" s="302" t="s">
        <v>112</v>
      </c>
      <c r="B3118" s="291" t="s">
        <v>16204</v>
      </c>
      <c r="C3118" s="292" t="s">
        <v>48</v>
      </c>
      <c r="D3118" s="293">
        <f t="shared" si="2"/>
        <v>1</v>
      </c>
      <c r="E3118" s="294"/>
      <c r="F3118" s="295" t="str">
        <f>IFERROR(__xludf.DUMMYFUNCTION("IF(B3118="""","""",IFERROR(VLOOKUP(TO_TEXT(B3118),PEDIDOS!D:I,6,0),IFERROR(VLOOKUP(B3118*1,PEDIDOS!D:I,6,0),"" "")))"),"ENTREGUE")</f>
        <v>ENTREGUE</v>
      </c>
      <c r="G3118" s="303"/>
      <c r="H3118" s="304"/>
    </row>
    <row r="3119">
      <c r="A3119" s="302" t="s">
        <v>112</v>
      </c>
      <c r="B3119" s="291" t="s">
        <v>16606</v>
      </c>
      <c r="C3119" s="292" t="s">
        <v>48</v>
      </c>
      <c r="D3119" s="293">
        <f t="shared" si="2"/>
        <v>1</v>
      </c>
      <c r="E3119" s="294"/>
      <c r="F3119" s="295" t="str">
        <f>IFERROR(__xludf.DUMMYFUNCTION("IF(B3119="""","""",IFERROR(VLOOKUP(TO_TEXT(B3119),PEDIDOS!D:I,6,0),IFERROR(VLOOKUP(B3119*1,PEDIDOS!D:I,6,0),"" "")))"),"ENTREGUE")</f>
        <v>ENTREGUE</v>
      </c>
      <c r="G3119" s="303"/>
      <c r="H3119" s="304"/>
    </row>
    <row r="3120">
      <c r="A3120" s="302" t="s">
        <v>112</v>
      </c>
      <c r="B3120" s="291" t="s">
        <v>16098</v>
      </c>
      <c r="C3120" s="292" t="s">
        <v>48</v>
      </c>
      <c r="D3120" s="293">
        <f t="shared" si="2"/>
        <v>1</v>
      </c>
      <c r="E3120" s="294"/>
      <c r="F3120" s="295" t="str">
        <f>IFERROR(__xludf.DUMMYFUNCTION("IF(B3120="""","""",IFERROR(VLOOKUP(TO_TEXT(B3120),PEDIDOS!D:I,6,0),IFERROR(VLOOKUP(B3120*1,PEDIDOS!D:I,6,0),"" "")))"),"ENTREGUE")</f>
        <v>ENTREGUE</v>
      </c>
      <c r="G3120" s="303"/>
      <c r="H3120" s="304"/>
    </row>
    <row r="3121">
      <c r="A3121" s="302" t="s">
        <v>112</v>
      </c>
      <c r="B3121" s="291" t="s">
        <v>16549</v>
      </c>
      <c r="C3121" s="292" t="s">
        <v>48</v>
      </c>
      <c r="D3121" s="293">
        <f t="shared" si="2"/>
        <v>1</v>
      </c>
      <c r="E3121" s="294"/>
      <c r="F3121" s="295" t="str">
        <f>IFERROR(__xludf.DUMMYFUNCTION("IF(B3121="""","""",IFERROR(VLOOKUP(TO_TEXT(B3121),PEDIDOS!D:I,6,0),IFERROR(VLOOKUP(B3121*1,PEDIDOS!D:I,6,0),"" "")))"),"ENTREGUE")</f>
        <v>ENTREGUE</v>
      </c>
      <c r="G3121" s="303"/>
      <c r="H3121" s="304"/>
    </row>
    <row r="3122">
      <c r="A3122" s="302" t="s">
        <v>112</v>
      </c>
      <c r="B3122" s="291" t="s">
        <v>23453</v>
      </c>
      <c r="C3122" s="292" t="s">
        <v>48</v>
      </c>
      <c r="D3122" s="293">
        <f t="shared" si="2"/>
        <v>1</v>
      </c>
      <c r="E3122" s="294"/>
      <c r="F3122" s="295" t="str">
        <f>IFERROR(__xludf.DUMMYFUNCTION("IF(B3122="""","""",IFERROR(VLOOKUP(TO_TEXT(B3122),PEDIDOS!D:I,6,0),IFERROR(VLOOKUP(B3122*1,PEDIDOS!D:I,6,0),"" "")))")," ")</f>
        <v> </v>
      </c>
      <c r="G3122" s="307" t="s">
        <v>23334</v>
      </c>
      <c r="H3122" s="304"/>
    </row>
    <row r="3123">
      <c r="A3123" s="302" t="s">
        <v>112</v>
      </c>
      <c r="B3123" s="291" t="s">
        <v>16757</v>
      </c>
      <c r="C3123" s="292" t="s">
        <v>48</v>
      </c>
      <c r="D3123" s="293">
        <f t="shared" si="2"/>
        <v>1</v>
      </c>
      <c r="E3123" s="294"/>
      <c r="F3123" s="295" t="str">
        <f>IFERROR(__xludf.DUMMYFUNCTION("IF(B3123="""","""",IFERROR(VLOOKUP(TO_TEXT(B3123),PEDIDOS!D:I,6,0),IFERROR(VLOOKUP(B3123*1,PEDIDOS!D:I,6,0),"" "")))"),"ENTREGUE")</f>
        <v>ENTREGUE</v>
      </c>
      <c r="G3123" s="303"/>
      <c r="H3123" s="304"/>
    </row>
    <row r="3124">
      <c r="A3124" s="302" t="s">
        <v>112</v>
      </c>
      <c r="B3124" s="291" t="s">
        <v>16770</v>
      </c>
      <c r="C3124" s="292" t="s">
        <v>48</v>
      </c>
      <c r="D3124" s="293">
        <f t="shared" si="2"/>
        <v>1</v>
      </c>
      <c r="E3124" s="294"/>
      <c r="F3124" s="295" t="str">
        <f>IFERROR(__xludf.DUMMYFUNCTION("IF(B3124="""","""",IFERROR(VLOOKUP(TO_TEXT(B3124),PEDIDOS!D:I,6,0),IFERROR(VLOOKUP(B3124*1,PEDIDOS!D:I,6,0),"" "")))"),"ENTREGUE")</f>
        <v>ENTREGUE</v>
      </c>
      <c r="G3124" s="303"/>
      <c r="H3124" s="304"/>
    </row>
    <row r="3125">
      <c r="A3125" s="302" t="s">
        <v>47</v>
      </c>
      <c r="B3125" s="291" t="s">
        <v>16089</v>
      </c>
      <c r="C3125" s="292" t="s">
        <v>48</v>
      </c>
      <c r="D3125" s="293">
        <f t="shared" si="2"/>
        <v>1</v>
      </c>
      <c r="E3125" s="294"/>
      <c r="F3125" s="295" t="str">
        <f>IFERROR(__xludf.DUMMYFUNCTION("IF(B3125="""","""",IFERROR(VLOOKUP(TO_TEXT(B3125),PEDIDOS!D:I,6,0),IFERROR(VLOOKUP(B3125*1,PEDIDOS!D:I,6,0),"" "")))"),"ENTREGUE")</f>
        <v>ENTREGUE</v>
      </c>
      <c r="G3125" s="303"/>
      <c r="H3125" s="304"/>
    </row>
    <row r="3126">
      <c r="A3126" s="302" t="s">
        <v>47</v>
      </c>
      <c r="B3126" s="291" t="s">
        <v>16364</v>
      </c>
      <c r="C3126" s="292" t="s">
        <v>48</v>
      </c>
      <c r="D3126" s="293">
        <f t="shared" si="2"/>
        <v>1</v>
      </c>
      <c r="E3126" s="294"/>
      <c r="F3126" s="295" t="str">
        <f>IFERROR(__xludf.DUMMYFUNCTION("IF(B3126="""","""",IFERROR(VLOOKUP(TO_TEXT(B3126),PEDIDOS!D:I,6,0),IFERROR(VLOOKUP(B3126*1,PEDIDOS!D:I,6,0),"" "")))"),"ENTREGUE")</f>
        <v>ENTREGUE</v>
      </c>
      <c r="G3126" s="303"/>
      <c r="H3126" s="304"/>
    </row>
    <row r="3127">
      <c r="A3127" s="302" t="s">
        <v>47</v>
      </c>
      <c r="B3127" s="291" t="s">
        <v>16034</v>
      </c>
      <c r="C3127" s="292" t="s">
        <v>48</v>
      </c>
      <c r="D3127" s="293">
        <f t="shared" si="2"/>
        <v>1</v>
      </c>
      <c r="E3127" s="294"/>
      <c r="F3127" s="295" t="str">
        <f>IFERROR(__xludf.DUMMYFUNCTION("IF(B3127="""","""",IFERROR(VLOOKUP(TO_TEXT(B3127),PEDIDOS!D:I,6,0),IFERROR(VLOOKUP(B3127*1,PEDIDOS!D:I,6,0),"" "")))"),"ENTREGUE")</f>
        <v>ENTREGUE</v>
      </c>
      <c r="G3127" s="303"/>
      <c r="H3127" s="304"/>
    </row>
    <row r="3128">
      <c r="A3128" s="302" t="s">
        <v>47</v>
      </c>
      <c r="B3128" s="291" t="s">
        <v>16335</v>
      </c>
      <c r="C3128" s="292" t="s">
        <v>48</v>
      </c>
      <c r="D3128" s="293">
        <f t="shared" si="2"/>
        <v>1</v>
      </c>
      <c r="E3128" s="294"/>
      <c r="F3128" s="295" t="str">
        <f>IFERROR(__xludf.DUMMYFUNCTION("IF(B3128="""","""",IFERROR(VLOOKUP(TO_TEXT(B3128),PEDIDOS!D:I,6,0),IFERROR(VLOOKUP(B3128*1,PEDIDOS!D:I,6,0),"" "")))"),"ENTREGUE")</f>
        <v>ENTREGUE</v>
      </c>
      <c r="G3128" s="303"/>
      <c r="H3128" s="304"/>
    </row>
    <row r="3129">
      <c r="A3129" s="302" t="s">
        <v>47</v>
      </c>
      <c r="B3129" s="291" t="s">
        <v>15979</v>
      </c>
      <c r="C3129" s="292" t="s">
        <v>48</v>
      </c>
      <c r="D3129" s="293">
        <f t="shared" si="2"/>
        <v>1</v>
      </c>
      <c r="E3129" s="294"/>
      <c r="F3129" s="295" t="str">
        <f>IFERROR(__xludf.DUMMYFUNCTION("IF(B3129="""","""",IFERROR(VLOOKUP(TO_TEXT(B3129),PEDIDOS!D:I,6,0),IFERROR(VLOOKUP(B3129*1,PEDIDOS!D:I,6,0),"" "")))"),"ENTREGUE")</f>
        <v>ENTREGUE</v>
      </c>
      <c r="G3129" s="303"/>
      <c r="H3129" s="304"/>
    </row>
    <row r="3130">
      <c r="A3130" s="302" t="s">
        <v>47</v>
      </c>
      <c r="B3130" s="291" t="s">
        <v>15611</v>
      </c>
      <c r="C3130" s="292" t="s">
        <v>48</v>
      </c>
      <c r="D3130" s="293">
        <f t="shared" si="2"/>
        <v>1</v>
      </c>
      <c r="E3130" s="294"/>
      <c r="F3130" s="295" t="str">
        <f>IFERROR(__xludf.DUMMYFUNCTION("IF(B3130="""","""",IFERROR(VLOOKUP(TO_TEXT(B3130),PEDIDOS!D:I,6,0),IFERROR(VLOOKUP(B3130*1,PEDIDOS!D:I,6,0),"" "")))"),"ENTREGUE")</f>
        <v>ENTREGUE</v>
      </c>
      <c r="G3130" s="303"/>
      <c r="H3130" s="304"/>
    </row>
    <row r="3131">
      <c r="A3131" s="302" t="s">
        <v>47</v>
      </c>
      <c r="B3131" s="291" t="s">
        <v>16085</v>
      </c>
      <c r="C3131" s="292" t="s">
        <v>48</v>
      </c>
      <c r="D3131" s="293">
        <f t="shared" si="2"/>
        <v>1</v>
      </c>
      <c r="E3131" s="294"/>
      <c r="F3131" s="295" t="str">
        <f>IFERROR(__xludf.DUMMYFUNCTION("IF(B3131="""","""",IFERROR(VLOOKUP(TO_TEXT(B3131),PEDIDOS!D:I,6,0),IFERROR(VLOOKUP(B3131*1,PEDIDOS!D:I,6,0),"" "")))"),"ENTREGUE")</f>
        <v>ENTREGUE</v>
      </c>
      <c r="G3131" s="303"/>
      <c r="H3131" s="304"/>
    </row>
    <row r="3132">
      <c r="A3132" s="302" t="s">
        <v>47</v>
      </c>
      <c r="B3132" s="291" t="s">
        <v>16080</v>
      </c>
      <c r="C3132" s="292" t="s">
        <v>48</v>
      </c>
      <c r="D3132" s="293">
        <f t="shared" si="2"/>
        <v>1</v>
      </c>
      <c r="E3132" s="294"/>
      <c r="F3132" s="295" t="str">
        <f>IFERROR(__xludf.DUMMYFUNCTION("IF(B3132="""","""",IFERROR(VLOOKUP(TO_TEXT(B3132),PEDIDOS!D:I,6,0),IFERROR(VLOOKUP(B3132*1,PEDIDOS!D:I,6,0),"" "")))"),"ENTREGUE")</f>
        <v>ENTREGUE</v>
      </c>
      <c r="G3132" s="303"/>
      <c r="H3132" s="304"/>
    </row>
    <row r="3133">
      <c r="A3133" s="302" t="s">
        <v>47</v>
      </c>
      <c r="B3133" s="291" t="s">
        <v>16129</v>
      </c>
      <c r="C3133" s="292" t="s">
        <v>48</v>
      </c>
      <c r="D3133" s="293">
        <f t="shared" si="2"/>
        <v>1</v>
      </c>
      <c r="E3133" s="294"/>
      <c r="F3133" s="295" t="str">
        <f>IFERROR(__xludf.DUMMYFUNCTION("IF(B3133="""","""",IFERROR(VLOOKUP(TO_TEXT(B3133),PEDIDOS!D:I,6,0),IFERROR(VLOOKUP(B3133*1,PEDIDOS!D:I,6,0),"" "")))"),"ENTREGUE")</f>
        <v>ENTREGUE</v>
      </c>
      <c r="G3133" s="303"/>
      <c r="H3133" s="304"/>
    </row>
    <row r="3134">
      <c r="A3134" s="302" t="s">
        <v>47</v>
      </c>
      <c r="B3134" s="291" t="s">
        <v>16133</v>
      </c>
      <c r="C3134" s="292" t="s">
        <v>48</v>
      </c>
      <c r="D3134" s="293">
        <f t="shared" si="2"/>
        <v>1</v>
      </c>
      <c r="E3134" s="294"/>
      <c r="F3134" s="295" t="str">
        <f>IFERROR(__xludf.DUMMYFUNCTION("IF(B3134="""","""",IFERROR(VLOOKUP(TO_TEXT(B3134),PEDIDOS!D:I,6,0),IFERROR(VLOOKUP(B3134*1,PEDIDOS!D:I,6,0),"" "")))"),"ENTREGUE")</f>
        <v>ENTREGUE</v>
      </c>
      <c r="G3134" s="303"/>
      <c r="H3134" s="304"/>
    </row>
    <row r="3135">
      <c r="A3135" s="302" t="s">
        <v>3395</v>
      </c>
      <c r="B3135" s="291" t="s">
        <v>19284</v>
      </c>
      <c r="C3135" s="292" t="s">
        <v>48</v>
      </c>
      <c r="D3135" s="293">
        <f t="shared" si="2"/>
        <v>1</v>
      </c>
      <c r="E3135" s="294"/>
      <c r="F3135" s="295" t="str">
        <f>IFERROR(__xludf.DUMMYFUNCTION("IF(B3135="""","""",IFERROR(VLOOKUP(TO_TEXT(B3135),PEDIDOS!D:I,6,0),IFERROR(VLOOKUP(B3135*1,PEDIDOS!D:I,6,0),"" "")))"),"ENTREGUE")</f>
        <v>ENTREGUE</v>
      </c>
      <c r="G3135" s="303"/>
      <c r="H3135" s="304"/>
    </row>
    <row r="3136">
      <c r="A3136" s="302" t="s">
        <v>3395</v>
      </c>
      <c r="B3136" s="291" t="s">
        <v>18654</v>
      </c>
      <c r="C3136" s="292" t="s">
        <v>48</v>
      </c>
      <c r="D3136" s="293">
        <f t="shared" si="2"/>
        <v>1</v>
      </c>
      <c r="E3136" s="294"/>
      <c r="F3136" s="295" t="str">
        <f>IFERROR(__xludf.DUMMYFUNCTION("IF(B3136="""","""",IFERROR(VLOOKUP(TO_TEXT(B3136),PEDIDOS!D:I,6,0),IFERROR(VLOOKUP(B3136*1,PEDIDOS!D:I,6,0),"" "")))"),"ENTREGUE")</f>
        <v>ENTREGUE</v>
      </c>
      <c r="G3136" s="303"/>
      <c r="H3136" s="304"/>
    </row>
    <row r="3137">
      <c r="A3137" s="302" t="s">
        <v>3395</v>
      </c>
      <c r="B3137" s="291" t="s">
        <v>19060</v>
      </c>
      <c r="C3137" s="292" t="s">
        <v>48</v>
      </c>
      <c r="D3137" s="293">
        <f t="shared" si="2"/>
        <v>1</v>
      </c>
      <c r="E3137" s="294"/>
      <c r="F3137" s="295" t="str">
        <f>IFERROR(__xludf.DUMMYFUNCTION("IF(B3137="""","""",IFERROR(VLOOKUP(TO_TEXT(B3137),PEDIDOS!D:I,6,0),IFERROR(VLOOKUP(B3137*1,PEDIDOS!D:I,6,0),"" "")))"),"ENTREGUE")</f>
        <v>ENTREGUE</v>
      </c>
      <c r="G3137" s="303"/>
      <c r="H3137" s="304"/>
    </row>
    <row r="3138">
      <c r="A3138" s="302" t="s">
        <v>3395</v>
      </c>
      <c r="B3138" s="291" t="s">
        <v>19056</v>
      </c>
      <c r="C3138" s="292" t="s">
        <v>48</v>
      </c>
      <c r="D3138" s="293">
        <f t="shared" si="2"/>
        <v>1</v>
      </c>
      <c r="E3138" s="294"/>
      <c r="F3138" s="295" t="str">
        <f>IFERROR(__xludf.DUMMYFUNCTION("IF(B3138="""","""",IFERROR(VLOOKUP(TO_TEXT(B3138),PEDIDOS!D:I,6,0),IFERROR(VLOOKUP(B3138*1,PEDIDOS!D:I,6,0),"" "")))"),"ENTREGUE")</f>
        <v>ENTREGUE</v>
      </c>
      <c r="G3138" s="303"/>
      <c r="H3138" s="304"/>
    </row>
    <row r="3139">
      <c r="A3139" s="302" t="s">
        <v>3395</v>
      </c>
      <c r="B3139" s="291" t="s">
        <v>19087</v>
      </c>
      <c r="C3139" s="292" t="s">
        <v>48</v>
      </c>
      <c r="D3139" s="293">
        <f t="shared" si="2"/>
        <v>1</v>
      </c>
      <c r="E3139" s="294"/>
      <c r="F3139" s="295" t="str">
        <f>IFERROR(__xludf.DUMMYFUNCTION("IF(B3139="""","""",IFERROR(VLOOKUP(TO_TEXT(B3139),PEDIDOS!D:I,6,0),IFERROR(VLOOKUP(B3139*1,PEDIDOS!D:I,6,0),"" "")))"),"ENTREGUE")</f>
        <v>ENTREGUE</v>
      </c>
      <c r="G3139" s="303"/>
      <c r="H3139" s="304"/>
    </row>
    <row r="3140">
      <c r="A3140" s="302" t="s">
        <v>3395</v>
      </c>
      <c r="B3140" s="291" t="s">
        <v>19071</v>
      </c>
      <c r="C3140" s="292" t="s">
        <v>48</v>
      </c>
      <c r="D3140" s="293">
        <f t="shared" si="2"/>
        <v>1</v>
      </c>
      <c r="E3140" s="294"/>
      <c r="F3140" s="295" t="str">
        <f>IFERROR(__xludf.DUMMYFUNCTION("IF(B3140="""","""",IFERROR(VLOOKUP(TO_TEXT(B3140),PEDIDOS!D:I,6,0),IFERROR(VLOOKUP(B3140*1,PEDIDOS!D:I,6,0),"" "")))"),"ENTREGUE")</f>
        <v>ENTREGUE</v>
      </c>
      <c r="G3140" s="303"/>
      <c r="H3140" s="304"/>
    </row>
    <row r="3141">
      <c r="A3141" s="302" t="s">
        <v>3395</v>
      </c>
      <c r="B3141" s="291" t="s">
        <v>18745</v>
      </c>
      <c r="C3141" s="292" t="s">
        <v>48</v>
      </c>
      <c r="D3141" s="293">
        <f t="shared" si="2"/>
        <v>1</v>
      </c>
      <c r="E3141" s="294"/>
      <c r="F3141" s="295" t="str">
        <f>IFERROR(__xludf.DUMMYFUNCTION("IF(B3141="""","""",IFERROR(VLOOKUP(TO_TEXT(B3141),PEDIDOS!D:I,6,0),IFERROR(VLOOKUP(B3141*1,PEDIDOS!D:I,6,0),"" "")))"),"ENTREGUE")</f>
        <v>ENTREGUE</v>
      </c>
      <c r="G3141" s="303"/>
      <c r="H3141" s="304"/>
    </row>
    <row r="3142">
      <c r="A3142" s="302" t="s">
        <v>3395</v>
      </c>
      <c r="B3142" s="291" t="s">
        <v>18773</v>
      </c>
      <c r="C3142" s="292" t="s">
        <v>48</v>
      </c>
      <c r="D3142" s="293">
        <f t="shared" si="2"/>
        <v>1</v>
      </c>
      <c r="E3142" s="294"/>
      <c r="F3142" s="295" t="str">
        <f>IFERROR(__xludf.DUMMYFUNCTION("IF(B3142="""","""",IFERROR(VLOOKUP(TO_TEXT(B3142),PEDIDOS!D:I,6,0),IFERROR(VLOOKUP(B3142*1,PEDIDOS!D:I,6,0),"" "")))"),"ENTREGUE")</f>
        <v>ENTREGUE</v>
      </c>
      <c r="G3142" s="303"/>
      <c r="H3142" s="304"/>
    </row>
    <row r="3143">
      <c r="A3143" s="302" t="s">
        <v>3395</v>
      </c>
      <c r="B3143" s="291" t="s">
        <v>18905</v>
      </c>
      <c r="C3143" s="292" t="s">
        <v>48</v>
      </c>
      <c r="D3143" s="293">
        <f t="shared" si="2"/>
        <v>1</v>
      </c>
      <c r="E3143" s="294"/>
      <c r="F3143" s="295" t="str">
        <f>IFERROR(__xludf.DUMMYFUNCTION("IF(B3143="""","""",IFERROR(VLOOKUP(TO_TEXT(B3143),PEDIDOS!D:I,6,0),IFERROR(VLOOKUP(B3143*1,PEDIDOS!D:I,6,0),"" "")))"),"ENTREGUE")</f>
        <v>ENTREGUE</v>
      </c>
      <c r="G3143" s="303"/>
      <c r="H3143" s="304"/>
    </row>
    <row r="3144">
      <c r="A3144" s="302" t="s">
        <v>3395</v>
      </c>
      <c r="B3144" s="291" t="s">
        <v>18910</v>
      </c>
      <c r="C3144" s="292" t="s">
        <v>48</v>
      </c>
      <c r="D3144" s="293">
        <f t="shared" si="2"/>
        <v>1</v>
      </c>
      <c r="E3144" s="294"/>
      <c r="F3144" s="295" t="str">
        <f>IFERROR(__xludf.DUMMYFUNCTION("IF(B3144="""","""",IFERROR(VLOOKUP(TO_TEXT(B3144),PEDIDOS!D:I,6,0),IFERROR(VLOOKUP(B3144*1,PEDIDOS!D:I,6,0),"" "")))"),"ENTREGUE")</f>
        <v>ENTREGUE</v>
      </c>
      <c r="G3144" s="303"/>
      <c r="H3144" s="304"/>
    </row>
    <row r="3145">
      <c r="A3145" s="302" t="s">
        <v>3395</v>
      </c>
      <c r="B3145" s="291" t="s">
        <v>18914</v>
      </c>
      <c r="C3145" s="292" t="s">
        <v>48</v>
      </c>
      <c r="D3145" s="293">
        <f t="shared" si="2"/>
        <v>1</v>
      </c>
      <c r="E3145" s="294"/>
      <c r="F3145" s="295" t="str">
        <f>IFERROR(__xludf.DUMMYFUNCTION("IF(B3145="""","""",IFERROR(VLOOKUP(TO_TEXT(B3145),PEDIDOS!D:I,6,0),IFERROR(VLOOKUP(B3145*1,PEDIDOS!D:I,6,0),"" "")))"),"ENTREGUE")</f>
        <v>ENTREGUE</v>
      </c>
      <c r="G3145" s="303"/>
      <c r="H3145" s="304"/>
    </row>
    <row r="3146">
      <c r="A3146" s="302" t="s">
        <v>3395</v>
      </c>
      <c r="B3146" s="291" t="s">
        <v>18955</v>
      </c>
      <c r="C3146" s="292" t="s">
        <v>48</v>
      </c>
      <c r="D3146" s="293">
        <f t="shared" si="2"/>
        <v>1</v>
      </c>
      <c r="E3146" s="294"/>
      <c r="F3146" s="295" t="str">
        <f>IFERROR(__xludf.DUMMYFUNCTION("IF(B3146="""","""",IFERROR(VLOOKUP(TO_TEXT(B3146),PEDIDOS!D:I,6,0),IFERROR(VLOOKUP(B3146*1,PEDIDOS!D:I,6,0),"" "")))"),"ENTREGUE")</f>
        <v>ENTREGUE</v>
      </c>
      <c r="G3146" s="303"/>
      <c r="H3146" s="304"/>
    </row>
    <row r="3147">
      <c r="A3147" s="302" t="s">
        <v>3395</v>
      </c>
      <c r="B3147" s="291" t="s">
        <v>19003</v>
      </c>
      <c r="C3147" s="292" t="s">
        <v>48</v>
      </c>
      <c r="D3147" s="293">
        <f t="shared" si="2"/>
        <v>1</v>
      </c>
      <c r="E3147" s="294"/>
      <c r="F3147" s="295" t="str">
        <f>IFERROR(__xludf.DUMMYFUNCTION("IF(B3147="""","""",IFERROR(VLOOKUP(TO_TEXT(B3147),PEDIDOS!D:I,6,0),IFERROR(VLOOKUP(B3147*1,PEDIDOS!D:I,6,0),"" "")))"),"ENTREGUE")</f>
        <v>ENTREGUE</v>
      </c>
      <c r="G3147" s="303"/>
      <c r="H3147" s="304"/>
    </row>
    <row r="3148">
      <c r="A3148" s="302" t="s">
        <v>3395</v>
      </c>
      <c r="B3148" s="291" t="s">
        <v>18978</v>
      </c>
      <c r="C3148" s="292" t="s">
        <v>48</v>
      </c>
      <c r="D3148" s="293">
        <f t="shared" si="2"/>
        <v>1</v>
      </c>
      <c r="E3148" s="294"/>
      <c r="F3148" s="295" t="str">
        <f>IFERROR(__xludf.DUMMYFUNCTION("IF(B3148="""","""",IFERROR(VLOOKUP(TO_TEXT(B3148),PEDIDOS!D:I,6,0),IFERROR(VLOOKUP(B3148*1,PEDIDOS!D:I,6,0),"" "")))"),"ENTREGUE")</f>
        <v>ENTREGUE</v>
      </c>
      <c r="G3148" s="303"/>
      <c r="H3148" s="304"/>
    </row>
    <row r="3149">
      <c r="A3149" s="302" t="s">
        <v>3395</v>
      </c>
      <c r="B3149" s="291" t="s">
        <v>19083</v>
      </c>
      <c r="C3149" s="292" t="s">
        <v>48</v>
      </c>
      <c r="D3149" s="293">
        <f t="shared" si="2"/>
        <v>1</v>
      </c>
      <c r="E3149" s="294"/>
      <c r="F3149" s="295" t="str">
        <f>IFERROR(__xludf.DUMMYFUNCTION("IF(B3149="""","""",IFERROR(VLOOKUP(TO_TEXT(B3149),PEDIDOS!D:I,6,0),IFERROR(VLOOKUP(B3149*1,PEDIDOS!D:I,6,0),"" "")))"),"ENTREGUE")</f>
        <v>ENTREGUE</v>
      </c>
      <c r="G3149" s="303"/>
      <c r="H3149" s="304"/>
    </row>
    <row r="3150">
      <c r="A3150" s="302" t="s">
        <v>3395</v>
      </c>
      <c r="B3150" s="291" t="s">
        <v>19048</v>
      </c>
      <c r="C3150" s="292" t="s">
        <v>48</v>
      </c>
      <c r="D3150" s="293">
        <f t="shared" si="2"/>
        <v>1</v>
      </c>
      <c r="E3150" s="294"/>
      <c r="F3150" s="295" t="str">
        <f>IFERROR(__xludf.DUMMYFUNCTION("IF(B3150="""","""",IFERROR(VLOOKUP(TO_TEXT(B3150),PEDIDOS!D:I,6,0),IFERROR(VLOOKUP(B3150*1,PEDIDOS!D:I,6,0),"" "")))"),"ENTREGUE")</f>
        <v>ENTREGUE</v>
      </c>
      <c r="G3150" s="303"/>
      <c r="H3150" s="304"/>
    </row>
    <row r="3151">
      <c r="A3151" s="302" t="s">
        <v>3395</v>
      </c>
      <c r="B3151" s="291" t="s">
        <v>19079</v>
      </c>
      <c r="C3151" s="292" t="s">
        <v>48</v>
      </c>
      <c r="D3151" s="293">
        <f t="shared" si="2"/>
        <v>1</v>
      </c>
      <c r="E3151" s="294"/>
      <c r="F3151" s="295" t="str">
        <f>IFERROR(__xludf.DUMMYFUNCTION("IF(B3151="""","""",IFERROR(VLOOKUP(TO_TEXT(B3151),PEDIDOS!D:I,6,0),IFERROR(VLOOKUP(B3151*1,PEDIDOS!D:I,6,0),"" "")))"),"ENTREGUE")</f>
        <v>ENTREGUE</v>
      </c>
      <c r="G3151" s="303"/>
      <c r="H3151" s="304"/>
    </row>
    <row r="3152">
      <c r="A3152" s="302" t="s">
        <v>3395</v>
      </c>
      <c r="B3152" s="291" t="s">
        <v>19091</v>
      </c>
      <c r="C3152" s="292" t="s">
        <v>48</v>
      </c>
      <c r="D3152" s="293">
        <f t="shared" si="2"/>
        <v>1</v>
      </c>
      <c r="E3152" s="294"/>
      <c r="F3152" s="295" t="str">
        <f>IFERROR(__xludf.DUMMYFUNCTION("IF(B3152="""","""",IFERROR(VLOOKUP(TO_TEXT(B3152),PEDIDOS!D:I,6,0),IFERROR(VLOOKUP(B3152*1,PEDIDOS!D:I,6,0),"" "")))"),"ENTREGUE")</f>
        <v>ENTREGUE</v>
      </c>
      <c r="G3152" s="303"/>
      <c r="H3152" s="304"/>
    </row>
    <row r="3153">
      <c r="A3153" s="302" t="s">
        <v>3395</v>
      </c>
      <c r="B3153" s="291" t="s">
        <v>19013</v>
      </c>
      <c r="C3153" s="292" t="s">
        <v>48</v>
      </c>
      <c r="D3153" s="293">
        <f t="shared" si="2"/>
        <v>1</v>
      </c>
      <c r="E3153" s="294"/>
      <c r="F3153" s="295" t="str">
        <f>IFERROR(__xludf.DUMMYFUNCTION("IF(B3153="""","""",IFERROR(VLOOKUP(TO_TEXT(B3153),PEDIDOS!D:I,6,0),IFERROR(VLOOKUP(B3153*1,PEDIDOS!D:I,6,0),"" "")))"),"ENTREGUE")</f>
        <v>ENTREGUE</v>
      </c>
      <c r="G3153" s="303"/>
      <c r="H3153" s="304"/>
    </row>
    <row r="3154">
      <c r="A3154" s="302" t="s">
        <v>3395</v>
      </c>
      <c r="B3154" s="291" t="s">
        <v>19103</v>
      </c>
      <c r="C3154" s="292" t="s">
        <v>48</v>
      </c>
      <c r="D3154" s="293">
        <f t="shared" si="2"/>
        <v>1</v>
      </c>
      <c r="E3154" s="294"/>
      <c r="F3154" s="295" t="str">
        <f>IFERROR(__xludf.DUMMYFUNCTION("IF(B3154="""","""",IFERROR(VLOOKUP(TO_TEXT(B3154),PEDIDOS!D:I,6,0),IFERROR(VLOOKUP(B3154*1,PEDIDOS!D:I,6,0),"" "")))"),"ENTREGUE")</f>
        <v>ENTREGUE</v>
      </c>
      <c r="G3154" s="303"/>
      <c r="H3154" s="304"/>
    </row>
    <row r="3155">
      <c r="A3155" s="302" t="s">
        <v>3395</v>
      </c>
      <c r="B3155" s="291" t="s">
        <v>19095</v>
      </c>
      <c r="C3155" s="292" t="s">
        <v>48</v>
      </c>
      <c r="D3155" s="293">
        <f t="shared" si="2"/>
        <v>1</v>
      </c>
      <c r="E3155" s="294"/>
      <c r="F3155" s="295" t="str">
        <f>IFERROR(__xludf.DUMMYFUNCTION("IF(B3155="""","""",IFERROR(VLOOKUP(TO_TEXT(B3155),PEDIDOS!D:I,6,0),IFERROR(VLOOKUP(B3155*1,PEDIDOS!D:I,6,0),"" "")))"),"ENTREGUE")</f>
        <v>ENTREGUE</v>
      </c>
      <c r="G3155" s="303"/>
      <c r="H3155" s="304"/>
    </row>
    <row r="3156">
      <c r="A3156" s="302" t="s">
        <v>3395</v>
      </c>
      <c r="B3156" s="291" t="s">
        <v>19099</v>
      </c>
      <c r="C3156" s="292" t="s">
        <v>48</v>
      </c>
      <c r="D3156" s="293">
        <f t="shared" si="2"/>
        <v>1</v>
      </c>
      <c r="E3156" s="294"/>
      <c r="F3156" s="295" t="str">
        <f>IFERROR(__xludf.DUMMYFUNCTION("IF(B3156="""","""",IFERROR(VLOOKUP(TO_TEXT(B3156),PEDIDOS!D:I,6,0),IFERROR(VLOOKUP(B3156*1,PEDIDOS!D:I,6,0),"" "")))"),"ENTREGUE")</f>
        <v>ENTREGUE</v>
      </c>
      <c r="G3156" s="303"/>
      <c r="H3156" s="304"/>
    </row>
    <row r="3157">
      <c r="A3157" s="302" t="s">
        <v>3395</v>
      </c>
      <c r="B3157" s="291" t="s">
        <v>19009</v>
      </c>
      <c r="C3157" s="292" t="s">
        <v>48</v>
      </c>
      <c r="D3157" s="293">
        <f t="shared" si="2"/>
        <v>1</v>
      </c>
      <c r="E3157" s="294"/>
      <c r="F3157" s="295" t="str">
        <f>IFERROR(__xludf.DUMMYFUNCTION("IF(B3157="""","""",IFERROR(VLOOKUP(TO_TEXT(B3157),PEDIDOS!D:I,6,0),IFERROR(VLOOKUP(B3157*1,PEDIDOS!D:I,6,0),"" "")))"),"ENTREGUE")</f>
        <v>ENTREGUE</v>
      </c>
      <c r="G3157" s="303"/>
      <c r="H3157" s="304"/>
    </row>
    <row r="3158">
      <c r="A3158" s="302" t="s">
        <v>3395</v>
      </c>
      <c r="B3158" s="291" t="s">
        <v>19017</v>
      </c>
      <c r="C3158" s="292" t="s">
        <v>48</v>
      </c>
      <c r="D3158" s="293">
        <f t="shared" si="2"/>
        <v>1</v>
      </c>
      <c r="E3158" s="294"/>
      <c r="F3158" s="295" t="str">
        <f>IFERROR(__xludf.DUMMYFUNCTION("IF(B3158="""","""",IFERROR(VLOOKUP(TO_TEXT(B3158),PEDIDOS!D:I,6,0),IFERROR(VLOOKUP(B3158*1,PEDIDOS!D:I,6,0),"" "")))"),"ENTREGUE")</f>
        <v>ENTREGUE</v>
      </c>
      <c r="G3158" s="303"/>
      <c r="H3158" s="304"/>
    </row>
    <row r="3159">
      <c r="A3159" s="302" t="s">
        <v>3395</v>
      </c>
      <c r="B3159" s="291" t="s">
        <v>19021</v>
      </c>
      <c r="C3159" s="292" t="s">
        <v>48</v>
      </c>
      <c r="D3159" s="293">
        <f t="shared" si="2"/>
        <v>1</v>
      </c>
      <c r="E3159" s="294"/>
      <c r="F3159" s="295" t="str">
        <f>IFERROR(__xludf.DUMMYFUNCTION("IF(B3159="""","""",IFERROR(VLOOKUP(TO_TEXT(B3159),PEDIDOS!D:I,6,0),IFERROR(VLOOKUP(B3159*1,PEDIDOS!D:I,6,0),"" "")))"),"ENTREGUE")</f>
        <v>ENTREGUE</v>
      </c>
      <c r="G3159" s="303"/>
      <c r="H3159" s="304"/>
    </row>
    <row r="3160">
      <c r="A3160" s="302" t="s">
        <v>3395</v>
      </c>
      <c r="B3160" s="291" t="s">
        <v>19025</v>
      </c>
      <c r="C3160" s="292" t="s">
        <v>48</v>
      </c>
      <c r="D3160" s="293">
        <f t="shared" si="2"/>
        <v>1</v>
      </c>
      <c r="E3160" s="294"/>
      <c r="F3160" s="295" t="str">
        <f>IFERROR(__xludf.DUMMYFUNCTION("IF(B3160="""","""",IFERROR(VLOOKUP(TO_TEXT(B3160),PEDIDOS!D:I,6,0),IFERROR(VLOOKUP(B3160*1,PEDIDOS!D:I,6,0),"" "")))"),"ENTREGUE")</f>
        <v>ENTREGUE</v>
      </c>
      <c r="G3160" s="303"/>
      <c r="H3160" s="304"/>
    </row>
    <row r="3161">
      <c r="A3161" s="302" t="s">
        <v>3395</v>
      </c>
      <c r="B3161" s="291" t="s">
        <v>19029</v>
      </c>
      <c r="C3161" s="292" t="s">
        <v>48</v>
      </c>
      <c r="D3161" s="293">
        <f t="shared" si="2"/>
        <v>1</v>
      </c>
      <c r="E3161" s="294"/>
      <c r="F3161" s="295" t="str">
        <f>IFERROR(__xludf.DUMMYFUNCTION("IF(B3161="""","""",IFERROR(VLOOKUP(TO_TEXT(B3161),PEDIDOS!D:I,6,0),IFERROR(VLOOKUP(B3161*1,PEDIDOS!D:I,6,0),"" "")))"),"ENTREGUE")</f>
        <v>ENTREGUE</v>
      </c>
      <c r="G3161" s="303"/>
      <c r="H3161" s="304"/>
    </row>
    <row r="3162">
      <c r="A3162" s="302" t="s">
        <v>3395</v>
      </c>
      <c r="B3162" s="291" t="s">
        <v>19036</v>
      </c>
      <c r="C3162" s="292" t="s">
        <v>48</v>
      </c>
      <c r="D3162" s="293">
        <f t="shared" si="2"/>
        <v>1</v>
      </c>
      <c r="E3162" s="294"/>
      <c r="F3162" s="295" t="str">
        <f>IFERROR(__xludf.DUMMYFUNCTION("IF(B3162="""","""",IFERROR(VLOOKUP(TO_TEXT(B3162),PEDIDOS!D:I,6,0),IFERROR(VLOOKUP(B3162*1,PEDIDOS!D:I,6,0),"" "")))"),"ENTREGUE")</f>
        <v>ENTREGUE</v>
      </c>
      <c r="G3162" s="303"/>
      <c r="H3162" s="304"/>
    </row>
    <row r="3163">
      <c r="A3163" s="302" t="s">
        <v>3395</v>
      </c>
      <c r="B3163" s="291" t="s">
        <v>19044</v>
      </c>
      <c r="C3163" s="292" t="s">
        <v>48</v>
      </c>
      <c r="D3163" s="293">
        <f t="shared" si="2"/>
        <v>1</v>
      </c>
      <c r="E3163" s="294"/>
      <c r="F3163" s="295" t="str">
        <f>IFERROR(__xludf.DUMMYFUNCTION("IF(B3163="""","""",IFERROR(VLOOKUP(TO_TEXT(B3163),PEDIDOS!D:I,6,0),IFERROR(VLOOKUP(B3163*1,PEDIDOS!D:I,6,0),"" "")))"),"ENTREGUE")</f>
        <v>ENTREGUE</v>
      </c>
      <c r="G3163" s="303"/>
      <c r="H3163" s="304"/>
    </row>
    <row r="3164">
      <c r="A3164" s="302" t="s">
        <v>3395</v>
      </c>
      <c r="B3164" s="291" t="s">
        <v>19052</v>
      </c>
      <c r="C3164" s="292" t="s">
        <v>48</v>
      </c>
      <c r="D3164" s="293">
        <f t="shared" si="2"/>
        <v>1</v>
      </c>
      <c r="E3164" s="294"/>
      <c r="F3164" s="295" t="str">
        <f>IFERROR(__xludf.DUMMYFUNCTION("IF(B3164="""","""",IFERROR(VLOOKUP(TO_TEXT(B3164),PEDIDOS!D:I,6,0),IFERROR(VLOOKUP(B3164*1,PEDIDOS!D:I,6,0),"" "")))"),"ENTREGUE")</f>
        <v>ENTREGUE</v>
      </c>
      <c r="G3164" s="303"/>
      <c r="H3164" s="304"/>
    </row>
    <row r="3165">
      <c r="A3165" s="302" t="s">
        <v>3395</v>
      </c>
      <c r="B3165" s="291" t="s">
        <v>19040</v>
      </c>
      <c r="C3165" s="292" t="s">
        <v>48</v>
      </c>
      <c r="D3165" s="293">
        <f t="shared" si="2"/>
        <v>1</v>
      </c>
      <c r="E3165" s="294"/>
      <c r="F3165" s="295" t="str">
        <f>IFERROR(__xludf.DUMMYFUNCTION("IF(B3165="""","""",IFERROR(VLOOKUP(TO_TEXT(B3165),PEDIDOS!D:I,6,0),IFERROR(VLOOKUP(B3165*1,PEDIDOS!D:I,6,0),"" "")))"),"ENTREGUE")</f>
        <v>ENTREGUE</v>
      </c>
      <c r="G3165" s="303"/>
      <c r="H3165" s="304"/>
    </row>
    <row r="3166">
      <c r="A3166" s="302" t="s">
        <v>3395</v>
      </c>
      <c r="B3166" s="291" t="s">
        <v>19033</v>
      </c>
      <c r="C3166" s="292" t="s">
        <v>48</v>
      </c>
      <c r="D3166" s="293">
        <f t="shared" si="2"/>
        <v>1</v>
      </c>
      <c r="E3166" s="294"/>
      <c r="F3166" s="295" t="str">
        <f>IFERROR(__xludf.DUMMYFUNCTION("IF(B3166="""","""",IFERROR(VLOOKUP(TO_TEXT(B3166),PEDIDOS!D:I,6,0),IFERROR(VLOOKUP(B3166*1,PEDIDOS!D:I,6,0),"" "")))"),"ENTREGUE")</f>
        <v>ENTREGUE</v>
      </c>
      <c r="G3166" s="303"/>
      <c r="H3166" s="304"/>
    </row>
    <row r="3167">
      <c r="A3167" s="302" t="s">
        <v>3395</v>
      </c>
      <c r="B3167" s="291" t="s">
        <v>18841</v>
      </c>
      <c r="C3167" s="292" t="s">
        <v>48</v>
      </c>
      <c r="D3167" s="293">
        <f t="shared" si="2"/>
        <v>1</v>
      </c>
      <c r="E3167" s="294"/>
      <c r="F3167" s="295" t="str">
        <f>IFERROR(__xludf.DUMMYFUNCTION("IF(B3167="""","""",IFERROR(VLOOKUP(TO_TEXT(B3167),PEDIDOS!D:I,6,0),IFERROR(VLOOKUP(B3167*1,PEDIDOS!D:I,6,0),"" "")))"),"ENTREGUE")</f>
        <v>ENTREGUE</v>
      </c>
      <c r="G3167" s="303"/>
      <c r="H3167" s="304"/>
    </row>
    <row r="3168">
      <c r="A3168" s="302" t="s">
        <v>3395</v>
      </c>
      <c r="B3168" s="291" t="s">
        <v>18807</v>
      </c>
      <c r="C3168" s="292" t="s">
        <v>48</v>
      </c>
      <c r="D3168" s="293">
        <f t="shared" si="2"/>
        <v>1</v>
      </c>
      <c r="E3168" s="294"/>
      <c r="F3168" s="295" t="str">
        <f>IFERROR(__xludf.DUMMYFUNCTION("IF(B3168="""","""",IFERROR(VLOOKUP(TO_TEXT(B3168),PEDIDOS!D:I,6,0),IFERROR(VLOOKUP(B3168*1,PEDIDOS!D:I,6,0),"" "")))"),"ENTREGUE")</f>
        <v>ENTREGUE</v>
      </c>
      <c r="G3168" s="303"/>
      <c r="H3168" s="304"/>
    </row>
    <row r="3169">
      <c r="A3169" s="302" t="s">
        <v>3395</v>
      </c>
      <c r="B3169" s="291" t="s">
        <v>18799</v>
      </c>
      <c r="C3169" s="292" t="s">
        <v>48</v>
      </c>
      <c r="D3169" s="293">
        <f t="shared" si="2"/>
        <v>1</v>
      </c>
      <c r="E3169" s="294"/>
      <c r="F3169" s="295" t="str">
        <f>IFERROR(__xludf.DUMMYFUNCTION("IF(B3169="""","""",IFERROR(VLOOKUP(TO_TEXT(B3169),PEDIDOS!D:I,6,0),IFERROR(VLOOKUP(B3169*1,PEDIDOS!D:I,6,0),"" "")))"),"ENTREGUE")</f>
        <v>ENTREGUE</v>
      </c>
      <c r="G3169" s="303"/>
      <c r="H3169" s="304"/>
    </row>
    <row r="3170">
      <c r="A3170" s="302" t="s">
        <v>3395</v>
      </c>
      <c r="B3170" s="291" t="s">
        <v>18793</v>
      </c>
      <c r="C3170" s="292" t="s">
        <v>48</v>
      </c>
      <c r="D3170" s="293">
        <f t="shared" si="2"/>
        <v>1</v>
      </c>
      <c r="E3170" s="294"/>
      <c r="F3170" s="295" t="str">
        <f>IFERROR(__xludf.DUMMYFUNCTION("IF(B3170="""","""",IFERROR(VLOOKUP(TO_TEXT(B3170),PEDIDOS!D:I,6,0),IFERROR(VLOOKUP(B3170*1,PEDIDOS!D:I,6,0),"" "")))"),"ENTREGUE")</f>
        <v>ENTREGUE</v>
      </c>
      <c r="G3170" s="303"/>
      <c r="H3170" s="304"/>
    </row>
    <row r="3171">
      <c r="A3171" s="302" t="s">
        <v>3395</v>
      </c>
      <c r="B3171" s="291" t="s">
        <v>18803</v>
      </c>
      <c r="C3171" s="292" t="s">
        <v>48</v>
      </c>
      <c r="D3171" s="293">
        <f t="shared" si="2"/>
        <v>1</v>
      </c>
      <c r="E3171" s="294"/>
      <c r="F3171" s="295" t="str">
        <f>IFERROR(__xludf.DUMMYFUNCTION("IF(B3171="""","""",IFERROR(VLOOKUP(TO_TEXT(B3171),PEDIDOS!D:I,6,0),IFERROR(VLOOKUP(B3171*1,PEDIDOS!D:I,6,0),"" "")))"),"ENTREGUE")</f>
        <v>ENTREGUE</v>
      </c>
      <c r="G3171" s="303"/>
      <c r="H3171" s="304"/>
    </row>
    <row r="3172">
      <c r="A3172" s="302" t="s">
        <v>3395</v>
      </c>
      <c r="B3172" s="291" t="s">
        <v>19075</v>
      </c>
      <c r="C3172" s="292" t="s">
        <v>48</v>
      </c>
      <c r="D3172" s="293">
        <f t="shared" si="2"/>
        <v>1</v>
      </c>
      <c r="E3172" s="294"/>
      <c r="F3172" s="295" t="str">
        <f>IFERROR(__xludf.DUMMYFUNCTION("IF(B3172="""","""",IFERROR(VLOOKUP(TO_TEXT(B3172),PEDIDOS!D:I,6,0),IFERROR(VLOOKUP(B3172*1,PEDIDOS!D:I,6,0),"" "")))"),"ENTREGUE")</f>
        <v>ENTREGUE</v>
      </c>
      <c r="G3172" s="303"/>
      <c r="H3172" s="304"/>
    </row>
    <row r="3173">
      <c r="A3173" s="302" t="s">
        <v>3395</v>
      </c>
      <c r="B3173" s="291" t="s">
        <v>19068</v>
      </c>
      <c r="C3173" s="292" t="s">
        <v>48</v>
      </c>
      <c r="D3173" s="293">
        <f t="shared" si="2"/>
        <v>1</v>
      </c>
      <c r="E3173" s="294"/>
      <c r="F3173" s="295" t="str">
        <f>IFERROR(__xludf.DUMMYFUNCTION("IF(B3173="""","""",IFERROR(VLOOKUP(TO_TEXT(B3173),PEDIDOS!D:I,6,0),IFERROR(VLOOKUP(B3173*1,PEDIDOS!D:I,6,0),"" "")))"),"ENTREGUE")</f>
        <v>ENTREGUE</v>
      </c>
      <c r="G3173" s="303"/>
      <c r="H3173" s="304"/>
    </row>
    <row r="3174">
      <c r="A3174" s="302" t="s">
        <v>3395</v>
      </c>
      <c r="B3174" s="291" t="s">
        <v>19064</v>
      </c>
      <c r="C3174" s="292" t="s">
        <v>48</v>
      </c>
      <c r="D3174" s="293">
        <f t="shared" si="2"/>
        <v>1</v>
      </c>
      <c r="E3174" s="294"/>
      <c r="F3174" s="295" t="str">
        <f>IFERROR(__xludf.DUMMYFUNCTION("IF(B3174="""","""",IFERROR(VLOOKUP(TO_TEXT(B3174),PEDIDOS!D:I,6,0),IFERROR(VLOOKUP(B3174*1,PEDIDOS!D:I,6,0),"" "")))"),"ENTREGUE")</f>
        <v>ENTREGUE</v>
      </c>
      <c r="G3174" s="303"/>
      <c r="H3174" s="304"/>
    </row>
    <row r="3175">
      <c r="A3175" s="302" t="s">
        <v>3441</v>
      </c>
      <c r="B3175" s="291" t="s">
        <v>18147</v>
      </c>
      <c r="C3175" s="292" t="s">
        <v>48</v>
      </c>
      <c r="D3175" s="293">
        <f t="shared" si="2"/>
        <v>1</v>
      </c>
      <c r="E3175" s="294"/>
      <c r="F3175" s="295" t="str">
        <f>IFERROR(__xludf.DUMMYFUNCTION("IF(B3175="""","""",IFERROR(VLOOKUP(TO_TEXT(B3175),PEDIDOS!D:I,6,0),IFERROR(VLOOKUP(B3175*1,PEDIDOS!D:I,6,0),"" "")))"),"FINALIZADO")</f>
        <v>FINALIZADO</v>
      </c>
      <c r="G3175" s="303"/>
      <c r="H3175" s="304"/>
    </row>
    <row r="3176">
      <c r="A3176" s="302" t="s">
        <v>3441</v>
      </c>
      <c r="B3176" s="291" t="s">
        <v>18106</v>
      </c>
      <c r="C3176" s="292" t="s">
        <v>48</v>
      </c>
      <c r="D3176" s="293">
        <f t="shared" si="2"/>
        <v>1</v>
      </c>
      <c r="E3176" s="294"/>
      <c r="F3176" s="295" t="str">
        <f>IFERROR(__xludf.DUMMYFUNCTION("IF(B3176="""","""",IFERROR(VLOOKUP(TO_TEXT(B3176),PEDIDOS!D:I,6,0),IFERROR(VLOOKUP(B3176*1,PEDIDOS!D:I,6,0),"" "")))"),"ENTREGUE")</f>
        <v>ENTREGUE</v>
      </c>
      <c r="G3176" s="303"/>
      <c r="H3176" s="304"/>
    </row>
    <row r="3177">
      <c r="A3177" s="302" t="s">
        <v>3441</v>
      </c>
      <c r="B3177" s="291" t="s">
        <v>18461</v>
      </c>
      <c r="C3177" s="292" t="s">
        <v>48</v>
      </c>
      <c r="D3177" s="293">
        <f t="shared" si="2"/>
        <v>1</v>
      </c>
      <c r="E3177" s="294"/>
      <c r="F3177" s="295" t="str">
        <f>IFERROR(__xludf.DUMMYFUNCTION("IF(B3177="""","""",IFERROR(VLOOKUP(TO_TEXT(B3177),PEDIDOS!D:I,6,0),IFERROR(VLOOKUP(B3177*1,PEDIDOS!D:I,6,0),"" "")))"),"ENTREGUE")</f>
        <v>ENTREGUE</v>
      </c>
      <c r="G3177" s="303"/>
      <c r="H3177" s="304"/>
    </row>
    <row r="3178">
      <c r="A3178" s="302" t="s">
        <v>3441</v>
      </c>
      <c r="B3178" s="291" t="s">
        <v>18077</v>
      </c>
      <c r="C3178" s="292" t="s">
        <v>48</v>
      </c>
      <c r="D3178" s="293">
        <f t="shared" si="2"/>
        <v>1</v>
      </c>
      <c r="E3178" s="294"/>
      <c r="F3178" s="295" t="str">
        <f>IFERROR(__xludf.DUMMYFUNCTION("IF(B3178="""","""",IFERROR(VLOOKUP(TO_TEXT(B3178),PEDIDOS!D:I,6,0),IFERROR(VLOOKUP(B3178*1,PEDIDOS!D:I,6,0),"" "")))"),"ENTREGUE")</f>
        <v>ENTREGUE</v>
      </c>
      <c r="G3178" s="303"/>
      <c r="H3178" s="304"/>
    </row>
    <row r="3179">
      <c r="A3179" s="302" t="s">
        <v>3441</v>
      </c>
      <c r="B3179" s="291" t="s">
        <v>18650</v>
      </c>
      <c r="C3179" s="292" t="s">
        <v>48</v>
      </c>
      <c r="D3179" s="293">
        <f t="shared" si="2"/>
        <v>1</v>
      </c>
      <c r="E3179" s="294"/>
      <c r="F3179" s="295" t="str">
        <f>IFERROR(__xludf.DUMMYFUNCTION("IF(B3179="""","""",IFERROR(VLOOKUP(TO_TEXT(B3179),PEDIDOS!D:I,6,0),IFERROR(VLOOKUP(B3179*1,PEDIDOS!D:I,6,0),"" "")))"),"ENTREGUE")</f>
        <v>ENTREGUE</v>
      </c>
      <c r="G3179" s="303"/>
      <c r="H3179" s="304"/>
    </row>
    <row r="3180">
      <c r="A3180" s="302" t="s">
        <v>3441</v>
      </c>
      <c r="B3180" s="291" t="s">
        <v>18740</v>
      </c>
      <c r="C3180" s="292" t="s">
        <v>48</v>
      </c>
      <c r="D3180" s="293">
        <f t="shared" si="2"/>
        <v>1</v>
      </c>
      <c r="E3180" s="294"/>
      <c r="F3180" s="295" t="str">
        <f>IFERROR(__xludf.DUMMYFUNCTION("IF(B3180="""","""",IFERROR(VLOOKUP(TO_TEXT(B3180),PEDIDOS!D:I,6,0),IFERROR(VLOOKUP(B3180*1,PEDIDOS!D:I,6,0),"" "")))"),"ENTREGUE")</f>
        <v>ENTREGUE</v>
      </c>
      <c r="G3180" s="303"/>
      <c r="H3180" s="304"/>
    </row>
    <row r="3181">
      <c r="A3181" s="302" t="s">
        <v>3441</v>
      </c>
      <c r="B3181" s="291" t="s">
        <v>18632</v>
      </c>
      <c r="C3181" s="292" t="s">
        <v>48</v>
      </c>
      <c r="D3181" s="293">
        <f t="shared" si="2"/>
        <v>1</v>
      </c>
      <c r="E3181" s="294"/>
      <c r="F3181" s="295" t="str">
        <f>IFERROR(__xludf.DUMMYFUNCTION("IF(B3181="""","""",IFERROR(VLOOKUP(TO_TEXT(B3181),PEDIDOS!D:I,6,0),IFERROR(VLOOKUP(B3181*1,PEDIDOS!D:I,6,0),"" "")))"),"ENTREGUE")</f>
        <v>ENTREGUE</v>
      </c>
      <c r="G3181" s="303"/>
      <c r="H3181" s="304"/>
    </row>
    <row r="3182">
      <c r="A3182" s="302" t="s">
        <v>3441</v>
      </c>
      <c r="B3182" s="291" t="s">
        <v>18501</v>
      </c>
      <c r="C3182" s="292" t="s">
        <v>48</v>
      </c>
      <c r="D3182" s="293">
        <f t="shared" si="2"/>
        <v>1</v>
      </c>
      <c r="E3182" s="294"/>
      <c r="F3182" s="295" t="str">
        <f>IFERROR(__xludf.DUMMYFUNCTION("IF(B3182="""","""",IFERROR(VLOOKUP(TO_TEXT(B3182),PEDIDOS!D:I,6,0),IFERROR(VLOOKUP(B3182*1,PEDIDOS!D:I,6,0),"" "")))"),"ENTREGUE")</f>
        <v>ENTREGUE</v>
      </c>
      <c r="G3182" s="303"/>
      <c r="H3182" s="304"/>
    </row>
    <row r="3183">
      <c r="A3183" s="302" t="s">
        <v>3441</v>
      </c>
      <c r="B3183" s="291" t="s">
        <v>18611</v>
      </c>
      <c r="C3183" s="292" t="s">
        <v>48</v>
      </c>
      <c r="D3183" s="293">
        <f t="shared" si="2"/>
        <v>1</v>
      </c>
      <c r="E3183" s="294"/>
      <c r="F3183" s="295" t="str">
        <f>IFERROR(__xludf.DUMMYFUNCTION("IF(B3183="""","""",IFERROR(VLOOKUP(TO_TEXT(B3183),PEDIDOS!D:I,6,0),IFERROR(VLOOKUP(B3183*1,PEDIDOS!D:I,6,0),"" "")))"),"ENTREGUE")</f>
        <v>ENTREGUE</v>
      </c>
      <c r="G3183" s="303"/>
      <c r="H3183" s="304"/>
    </row>
    <row r="3184">
      <c r="A3184" s="302" t="s">
        <v>3441</v>
      </c>
      <c r="B3184" s="291" t="s">
        <v>19195</v>
      </c>
      <c r="C3184" s="292" t="s">
        <v>48</v>
      </c>
      <c r="D3184" s="293">
        <f t="shared" si="2"/>
        <v>1</v>
      </c>
      <c r="E3184" s="294"/>
      <c r="F3184" s="295" t="str">
        <f>IFERROR(__xludf.DUMMYFUNCTION("IF(B3184="""","""",IFERROR(VLOOKUP(TO_TEXT(B3184),PEDIDOS!D:I,6,0),IFERROR(VLOOKUP(B3184*1,PEDIDOS!D:I,6,0),"" "")))"),"ENTREGUE")</f>
        <v>ENTREGUE</v>
      </c>
      <c r="G3184" s="303"/>
      <c r="H3184" s="304"/>
    </row>
    <row r="3185">
      <c r="A3185" s="302" t="s">
        <v>3441</v>
      </c>
      <c r="B3185" s="291" t="s">
        <v>19816</v>
      </c>
      <c r="C3185" s="292" t="s">
        <v>48</v>
      </c>
      <c r="D3185" s="293">
        <f t="shared" si="2"/>
        <v>1</v>
      </c>
      <c r="E3185" s="294"/>
      <c r="F3185" s="295" t="str">
        <f>IFERROR(__xludf.DUMMYFUNCTION("IF(B3185="""","""",IFERROR(VLOOKUP(TO_TEXT(B3185),PEDIDOS!D:I,6,0),IFERROR(VLOOKUP(B3185*1,PEDIDOS!D:I,6,0),"" "")))"),"ENTREGUE")</f>
        <v>ENTREGUE</v>
      </c>
      <c r="G3185" s="303"/>
      <c r="H3185" s="304"/>
    </row>
    <row r="3186">
      <c r="A3186" s="302" t="s">
        <v>3441</v>
      </c>
      <c r="B3186" s="291" t="s">
        <v>18636</v>
      </c>
      <c r="C3186" s="292" t="s">
        <v>48</v>
      </c>
      <c r="D3186" s="293">
        <f t="shared" si="2"/>
        <v>1</v>
      </c>
      <c r="E3186" s="294"/>
      <c r="F3186" s="295" t="str">
        <f>IFERROR(__xludf.DUMMYFUNCTION("IF(B3186="""","""",IFERROR(VLOOKUP(TO_TEXT(B3186),PEDIDOS!D:I,6,0),IFERROR(VLOOKUP(B3186*1,PEDIDOS!D:I,6,0),"" "")))"),"ENTREGUE")</f>
        <v>ENTREGUE</v>
      </c>
      <c r="G3186" s="303"/>
      <c r="H3186" s="304"/>
    </row>
    <row r="3187">
      <c r="A3187" s="302" t="s">
        <v>3441</v>
      </c>
      <c r="B3187" s="291" t="s">
        <v>18928</v>
      </c>
      <c r="C3187" s="292" t="s">
        <v>48</v>
      </c>
      <c r="D3187" s="293">
        <f t="shared" si="2"/>
        <v>1</v>
      </c>
      <c r="E3187" s="294"/>
      <c r="F3187" s="295" t="str">
        <f>IFERROR(__xludf.DUMMYFUNCTION("IF(B3187="""","""",IFERROR(VLOOKUP(TO_TEXT(B3187),PEDIDOS!D:I,6,0),IFERROR(VLOOKUP(B3187*1,PEDIDOS!D:I,6,0),"" "")))"),"ENTREGUE")</f>
        <v>ENTREGUE</v>
      </c>
      <c r="G3187" s="303"/>
      <c r="H3187" s="304"/>
    </row>
    <row r="3188">
      <c r="A3188" s="302" t="s">
        <v>3441</v>
      </c>
      <c r="B3188" s="291" t="s">
        <v>19719</v>
      </c>
      <c r="C3188" s="292" t="s">
        <v>48</v>
      </c>
      <c r="D3188" s="293">
        <f t="shared" si="2"/>
        <v>1</v>
      </c>
      <c r="E3188" s="294"/>
      <c r="F3188" s="295" t="str">
        <f>IFERROR(__xludf.DUMMYFUNCTION("IF(B3188="""","""",IFERROR(VLOOKUP(TO_TEXT(B3188),PEDIDOS!D:I,6,0),IFERROR(VLOOKUP(B3188*1,PEDIDOS!D:I,6,0),"" "")))"),"ENTREGUE")</f>
        <v>ENTREGUE</v>
      </c>
      <c r="G3188" s="303"/>
      <c r="H3188" s="304"/>
    </row>
    <row r="3189">
      <c r="A3189" s="302" t="s">
        <v>3441</v>
      </c>
      <c r="B3189" s="291" t="s">
        <v>19738</v>
      </c>
      <c r="C3189" s="292" t="s">
        <v>48</v>
      </c>
      <c r="D3189" s="293">
        <f t="shared" si="2"/>
        <v>1</v>
      </c>
      <c r="E3189" s="294"/>
      <c r="F3189" s="295" t="str">
        <f>IFERROR(__xludf.DUMMYFUNCTION("IF(B3189="""","""",IFERROR(VLOOKUP(TO_TEXT(B3189),PEDIDOS!D:I,6,0),IFERROR(VLOOKUP(B3189*1,PEDIDOS!D:I,6,0),"" "")))"),"ENTREGUE")</f>
        <v>ENTREGUE</v>
      </c>
      <c r="G3189" s="303"/>
      <c r="H3189" s="304"/>
    </row>
    <row r="3190">
      <c r="A3190" s="302" t="s">
        <v>3441</v>
      </c>
      <c r="B3190" s="291" t="s">
        <v>19733</v>
      </c>
      <c r="C3190" s="292" t="s">
        <v>48</v>
      </c>
      <c r="D3190" s="293">
        <f t="shared" si="2"/>
        <v>1</v>
      </c>
      <c r="E3190" s="294"/>
      <c r="F3190" s="295" t="str">
        <f>IFERROR(__xludf.DUMMYFUNCTION("IF(B3190="""","""",IFERROR(VLOOKUP(TO_TEXT(B3190),PEDIDOS!D:I,6,0),IFERROR(VLOOKUP(B3190*1,PEDIDOS!D:I,6,0),"" "")))"),"ENTREGUE")</f>
        <v>ENTREGUE</v>
      </c>
      <c r="G3190" s="303"/>
      <c r="H3190" s="304"/>
    </row>
    <row r="3191">
      <c r="A3191" s="302" t="s">
        <v>3441</v>
      </c>
      <c r="B3191" s="291" t="s">
        <v>18675</v>
      </c>
      <c r="C3191" s="292" t="s">
        <v>48</v>
      </c>
      <c r="D3191" s="293">
        <f t="shared" si="2"/>
        <v>1</v>
      </c>
      <c r="E3191" s="294"/>
      <c r="F3191" s="295" t="str">
        <f>IFERROR(__xludf.DUMMYFUNCTION("IF(B3191="""","""",IFERROR(VLOOKUP(TO_TEXT(B3191),PEDIDOS!D:I,6,0),IFERROR(VLOOKUP(B3191*1,PEDIDOS!D:I,6,0),"" "")))"),"ENTREGUE")</f>
        <v>ENTREGUE</v>
      </c>
      <c r="G3191" s="303"/>
      <c r="H3191" s="304"/>
    </row>
    <row r="3192">
      <c r="A3192" s="302" t="s">
        <v>3441</v>
      </c>
      <c r="B3192" s="291" t="s">
        <v>18327</v>
      </c>
      <c r="C3192" s="292" t="s">
        <v>48</v>
      </c>
      <c r="D3192" s="293">
        <f t="shared" si="2"/>
        <v>1</v>
      </c>
      <c r="E3192" s="294"/>
      <c r="F3192" s="295" t="str">
        <f>IFERROR(__xludf.DUMMYFUNCTION("IF(B3192="""","""",IFERROR(VLOOKUP(TO_TEXT(B3192),PEDIDOS!D:I,6,0),IFERROR(VLOOKUP(B3192*1,PEDIDOS!D:I,6,0),"" "")))"),"ENTREGUE")</f>
        <v>ENTREGUE</v>
      </c>
      <c r="G3192" s="303"/>
      <c r="H3192" s="304"/>
    </row>
    <row r="3193">
      <c r="A3193" s="302" t="s">
        <v>3441</v>
      </c>
      <c r="B3193" s="291" t="s">
        <v>18331</v>
      </c>
      <c r="C3193" s="292" t="s">
        <v>48</v>
      </c>
      <c r="D3193" s="293">
        <f t="shared" si="2"/>
        <v>1</v>
      </c>
      <c r="E3193" s="294"/>
      <c r="F3193" s="295" t="str">
        <f>IFERROR(__xludf.DUMMYFUNCTION("IF(B3193="""","""",IFERROR(VLOOKUP(TO_TEXT(B3193),PEDIDOS!D:I,6,0),IFERROR(VLOOKUP(B3193*1,PEDIDOS!D:I,6,0),"" "")))"),"ENTREGUE")</f>
        <v>ENTREGUE</v>
      </c>
      <c r="G3193" s="303"/>
      <c r="H3193" s="304"/>
    </row>
    <row r="3194">
      <c r="A3194" s="302" t="s">
        <v>3441</v>
      </c>
      <c r="B3194" s="291" t="s">
        <v>18919</v>
      </c>
      <c r="C3194" s="292" t="s">
        <v>48</v>
      </c>
      <c r="D3194" s="293">
        <f t="shared" si="2"/>
        <v>1</v>
      </c>
      <c r="E3194" s="294"/>
      <c r="F3194" s="295" t="str">
        <f>IFERROR(__xludf.DUMMYFUNCTION("IF(B3194="""","""",IFERROR(VLOOKUP(TO_TEXT(B3194),PEDIDOS!D:I,6,0),IFERROR(VLOOKUP(B3194*1,PEDIDOS!D:I,6,0),"" "")))"),"ENTREGUE")</f>
        <v>ENTREGUE</v>
      </c>
      <c r="G3194" s="303"/>
      <c r="H3194" s="304"/>
    </row>
    <row r="3195">
      <c r="A3195" s="302" t="s">
        <v>3441</v>
      </c>
      <c r="B3195" s="291" t="s">
        <v>19296</v>
      </c>
      <c r="C3195" s="292" t="s">
        <v>48</v>
      </c>
      <c r="D3195" s="293">
        <f t="shared" si="2"/>
        <v>1</v>
      </c>
      <c r="E3195" s="294"/>
      <c r="F3195" s="295" t="str">
        <f>IFERROR(__xludf.DUMMYFUNCTION("IF(B3195="""","""",IFERROR(VLOOKUP(TO_TEXT(B3195),PEDIDOS!D:I,6,0),IFERROR(VLOOKUP(B3195*1,PEDIDOS!D:I,6,0),"" "")))"),"ENTREGUE")</f>
        <v>ENTREGUE</v>
      </c>
      <c r="G3195" s="303"/>
      <c r="H3195" s="304"/>
    </row>
    <row r="3196">
      <c r="A3196" s="302" t="s">
        <v>3441</v>
      </c>
      <c r="B3196" s="291" t="s">
        <v>19231</v>
      </c>
      <c r="C3196" s="292" t="s">
        <v>48</v>
      </c>
      <c r="D3196" s="293">
        <f t="shared" si="2"/>
        <v>1</v>
      </c>
      <c r="E3196" s="294"/>
      <c r="F3196" s="295" t="str">
        <f>IFERROR(__xludf.DUMMYFUNCTION("IF(B3196="""","""",IFERROR(VLOOKUP(TO_TEXT(B3196),PEDIDOS!D:I,6,0),IFERROR(VLOOKUP(B3196*1,PEDIDOS!D:I,6,0),"" "")))"),"ENTREGUE")</f>
        <v>ENTREGUE</v>
      </c>
      <c r="G3196" s="303"/>
      <c r="H3196" s="304"/>
    </row>
    <row r="3197">
      <c r="A3197" s="302" t="s">
        <v>3441</v>
      </c>
      <c r="B3197" s="291" t="s">
        <v>18859</v>
      </c>
      <c r="C3197" s="292" t="s">
        <v>48</v>
      </c>
      <c r="D3197" s="293">
        <f t="shared" si="2"/>
        <v>1</v>
      </c>
      <c r="E3197" s="294"/>
      <c r="F3197" s="295" t="str">
        <f>IFERROR(__xludf.DUMMYFUNCTION("IF(B3197="""","""",IFERROR(VLOOKUP(TO_TEXT(B3197),PEDIDOS!D:I,6,0),IFERROR(VLOOKUP(B3197*1,PEDIDOS!D:I,6,0),"" "")))"),"ENTREGUE")</f>
        <v>ENTREGUE</v>
      </c>
      <c r="G3197" s="303"/>
      <c r="H3197" s="304"/>
    </row>
    <row r="3198">
      <c r="A3198" s="302" t="s">
        <v>3441</v>
      </c>
      <c r="B3198" s="291" t="s">
        <v>18934</v>
      </c>
      <c r="C3198" s="292" t="s">
        <v>48</v>
      </c>
      <c r="D3198" s="293">
        <f t="shared" si="2"/>
        <v>1</v>
      </c>
      <c r="E3198" s="294"/>
      <c r="F3198" s="295" t="str">
        <f>IFERROR(__xludf.DUMMYFUNCTION("IF(B3198="""","""",IFERROR(VLOOKUP(TO_TEXT(B3198),PEDIDOS!D:I,6,0),IFERROR(VLOOKUP(B3198*1,PEDIDOS!D:I,6,0),"" "")))"),"ENTREGUE")</f>
        <v>ENTREGUE</v>
      </c>
      <c r="G3198" s="303"/>
      <c r="H3198" s="304"/>
    </row>
    <row r="3199">
      <c r="A3199" s="302" t="s">
        <v>3441</v>
      </c>
      <c r="B3199" s="291" t="s">
        <v>19357</v>
      </c>
      <c r="C3199" s="292" t="s">
        <v>48</v>
      </c>
      <c r="D3199" s="293">
        <f t="shared" si="2"/>
        <v>1</v>
      </c>
      <c r="E3199" s="294"/>
      <c r="F3199" s="295" t="str">
        <f>IFERROR(__xludf.DUMMYFUNCTION("IF(B3199="""","""",IFERROR(VLOOKUP(TO_TEXT(B3199),PEDIDOS!D:I,6,0),IFERROR(VLOOKUP(B3199*1,PEDIDOS!D:I,6,0),"" "")))"),"ENTREGUE")</f>
        <v>ENTREGUE</v>
      </c>
      <c r="G3199" s="303"/>
      <c r="H3199" s="304"/>
    </row>
    <row r="3200">
      <c r="A3200" s="302" t="s">
        <v>3441</v>
      </c>
      <c r="B3200" s="291" t="s">
        <v>19328</v>
      </c>
      <c r="C3200" s="292" t="s">
        <v>48</v>
      </c>
      <c r="D3200" s="293">
        <f t="shared" si="2"/>
        <v>1</v>
      </c>
      <c r="E3200" s="294"/>
      <c r="F3200" s="295" t="str">
        <f>IFERROR(__xludf.DUMMYFUNCTION("IF(B3200="""","""",IFERROR(VLOOKUP(TO_TEXT(B3200),PEDIDOS!D:I,6,0),IFERROR(VLOOKUP(B3200*1,PEDIDOS!D:I,6,0),"" "")))"),"ENTREGUE")</f>
        <v>ENTREGUE</v>
      </c>
      <c r="G3200" s="303"/>
      <c r="H3200" s="304"/>
    </row>
    <row r="3201">
      <c r="A3201" s="302" t="s">
        <v>3441</v>
      </c>
      <c r="B3201" s="291" t="s">
        <v>19345</v>
      </c>
      <c r="C3201" s="292" t="s">
        <v>48</v>
      </c>
      <c r="D3201" s="293">
        <f t="shared" si="2"/>
        <v>1</v>
      </c>
      <c r="E3201" s="294"/>
      <c r="F3201" s="295" t="str">
        <f>IFERROR(__xludf.DUMMYFUNCTION("IF(B3201="""","""",IFERROR(VLOOKUP(TO_TEXT(B3201),PEDIDOS!D:I,6,0),IFERROR(VLOOKUP(B3201*1,PEDIDOS!D:I,6,0),"" "")))"),"ENTREGUE")</f>
        <v>ENTREGUE</v>
      </c>
      <c r="G3201" s="303"/>
      <c r="H3201" s="304"/>
    </row>
    <row r="3202">
      <c r="A3202" s="302" t="s">
        <v>3441</v>
      </c>
      <c r="B3202" s="291" t="s">
        <v>19498</v>
      </c>
      <c r="C3202" s="292" t="s">
        <v>48</v>
      </c>
      <c r="D3202" s="293">
        <f t="shared" si="2"/>
        <v>1</v>
      </c>
      <c r="E3202" s="294"/>
      <c r="F3202" s="295" t="str">
        <f>IFERROR(__xludf.DUMMYFUNCTION("IF(B3202="""","""",IFERROR(VLOOKUP(TO_TEXT(B3202),PEDIDOS!D:I,6,0),IFERROR(VLOOKUP(B3202*1,PEDIDOS!D:I,6,0),"" "")))"),"ENTREGUE")</f>
        <v>ENTREGUE</v>
      </c>
      <c r="G3202" s="303"/>
      <c r="H3202" s="304"/>
    </row>
    <row r="3203">
      <c r="A3203" s="302" t="s">
        <v>3441</v>
      </c>
      <c r="B3203" s="291" t="s">
        <v>19537</v>
      </c>
      <c r="C3203" s="292" t="s">
        <v>48</v>
      </c>
      <c r="D3203" s="293">
        <f t="shared" si="2"/>
        <v>1</v>
      </c>
      <c r="E3203" s="294"/>
      <c r="F3203" s="295" t="str">
        <f>IFERROR(__xludf.DUMMYFUNCTION("IF(B3203="""","""",IFERROR(VLOOKUP(TO_TEXT(B3203),PEDIDOS!D:I,6,0),IFERROR(VLOOKUP(B3203*1,PEDIDOS!D:I,6,0),"" "")))"),"ENTREGUE")</f>
        <v>ENTREGUE</v>
      </c>
      <c r="G3203" s="303"/>
      <c r="H3203" s="304"/>
    </row>
    <row r="3204">
      <c r="A3204" s="302" t="s">
        <v>3441</v>
      </c>
      <c r="B3204" s="291" t="s">
        <v>19614</v>
      </c>
      <c r="C3204" s="292" t="s">
        <v>48</v>
      </c>
      <c r="D3204" s="293">
        <f t="shared" si="2"/>
        <v>1</v>
      </c>
      <c r="E3204" s="294"/>
      <c r="F3204" s="295" t="str">
        <f>IFERROR(__xludf.DUMMYFUNCTION("IF(B3204="""","""",IFERROR(VLOOKUP(TO_TEXT(B3204),PEDIDOS!D:I,6,0),IFERROR(VLOOKUP(B3204*1,PEDIDOS!D:I,6,0),"" "")))"),"ENTREGUE")</f>
        <v>ENTREGUE</v>
      </c>
      <c r="G3204" s="303"/>
      <c r="H3204" s="304"/>
    </row>
    <row r="3205">
      <c r="A3205" s="302" t="s">
        <v>3441</v>
      </c>
      <c r="B3205" s="291" t="s">
        <v>19609</v>
      </c>
      <c r="C3205" s="292" t="s">
        <v>48</v>
      </c>
      <c r="D3205" s="293">
        <f t="shared" si="2"/>
        <v>1</v>
      </c>
      <c r="E3205" s="294"/>
      <c r="F3205" s="295" t="str">
        <f>IFERROR(__xludf.DUMMYFUNCTION("IF(B3205="""","""",IFERROR(VLOOKUP(TO_TEXT(B3205),PEDIDOS!D:I,6,0),IFERROR(VLOOKUP(B3205*1,PEDIDOS!D:I,6,0),"" "")))"),"ENTREGUE")</f>
        <v>ENTREGUE</v>
      </c>
      <c r="G3205" s="303"/>
      <c r="H3205" s="304"/>
    </row>
    <row r="3206">
      <c r="A3206" s="302" t="s">
        <v>3441</v>
      </c>
      <c r="B3206" s="291" t="s">
        <v>19622</v>
      </c>
      <c r="C3206" s="292" t="s">
        <v>48</v>
      </c>
      <c r="D3206" s="293">
        <f t="shared" si="2"/>
        <v>1</v>
      </c>
      <c r="E3206" s="294"/>
      <c r="F3206" s="295" t="str">
        <f>IFERROR(__xludf.DUMMYFUNCTION("IF(B3206="""","""",IFERROR(VLOOKUP(TO_TEXT(B3206),PEDIDOS!D:I,6,0),IFERROR(VLOOKUP(B3206*1,PEDIDOS!D:I,6,0),"" "")))"),"ENTREGUE")</f>
        <v>ENTREGUE</v>
      </c>
      <c r="G3206" s="303"/>
      <c r="H3206" s="304"/>
    </row>
    <row r="3207">
      <c r="A3207" s="302" t="s">
        <v>3441</v>
      </c>
      <c r="B3207" s="291" t="s">
        <v>19714</v>
      </c>
      <c r="C3207" s="292" t="s">
        <v>48</v>
      </c>
      <c r="D3207" s="293">
        <f t="shared" si="2"/>
        <v>1</v>
      </c>
      <c r="E3207" s="294"/>
      <c r="F3207" s="295" t="str">
        <f>IFERROR(__xludf.DUMMYFUNCTION("IF(B3207="""","""",IFERROR(VLOOKUP(TO_TEXT(B3207),PEDIDOS!D:I,6,0),IFERROR(VLOOKUP(B3207*1,PEDIDOS!D:I,6,0),"" "")))"),"ENTREGUE")</f>
        <v>ENTREGUE</v>
      </c>
      <c r="G3207" s="303"/>
      <c r="H3207" s="304"/>
    </row>
    <row r="3208">
      <c r="A3208" s="302" t="s">
        <v>3441</v>
      </c>
      <c r="B3208" s="291" t="s">
        <v>19704</v>
      </c>
      <c r="C3208" s="292" t="s">
        <v>48</v>
      </c>
      <c r="D3208" s="293">
        <f t="shared" si="2"/>
        <v>1</v>
      </c>
      <c r="E3208" s="294"/>
      <c r="F3208" s="295" t="str">
        <f>IFERROR(__xludf.DUMMYFUNCTION("IF(B3208="""","""",IFERROR(VLOOKUP(TO_TEXT(B3208),PEDIDOS!D:I,6,0),IFERROR(VLOOKUP(B3208*1,PEDIDOS!D:I,6,0),"" "")))"),"ENTREGUE")</f>
        <v>ENTREGUE</v>
      </c>
      <c r="G3208" s="303"/>
      <c r="H3208" s="304"/>
    </row>
    <row r="3209">
      <c r="A3209" s="302" t="s">
        <v>3441</v>
      </c>
      <c r="B3209" s="291" t="s">
        <v>19410</v>
      </c>
      <c r="C3209" s="292" t="s">
        <v>48</v>
      </c>
      <c r="D3209" s="293">
        <f t="shared" si="2"/>
        <v>1</v>
      </c>
      <c r="E3209" s="294"/>
      <c r="F3209" s="295" t="str">
        <f>IFERROR(__xludf.DUMMYFUNCTION("IF(B3209="""","""",IFERROR(VLOOKUP(TO_TEXT(B3209),PEDIDOS!D:I,6,0),IFERROR(VLOOKUP(B3209*1,PEDIDOS!D:I,6,0),"" "")))"),"ENTREGUE")</f>
        <v>ENTREGUE</v>
      </c>
      <c r="G3209" s="303"/>
      <c r="H3209" s="304"/>
    </row>
    <row r="3210">
      <c r="A3210" s="302" t="s">
        <v>3441</v>
      </c>
      <c r="B3210" s="291" t="s">
        <v>19123</v>
      </c>
      <c r="C3210" s="292" t="s">
        <v>48</v>
      </c>
      <c r="D3210" s="293">
        <f t="shared" si="2"/>
        <v>1</v>
      </c>
      <c r="E3210" s="294"/>
      <c r="F3210" s="295" t="str">
        <f>IFERROR(__xludf.DUMMYFUNCTION("IF(B3210="""","""",IFERROR(VLOOKUP(TO_TEXT(B3210),PEDIDOS!D:I,6,0),IFERROR(VLOOKUP(B3210*1,PEDIDOS!D:I,6,0),"" "")))"),"ENTREGUE")</f>
        <v>ENTREGUE</v>
      </c>
      <c r="G3210" s="303"/>
      <c r="H3210" s="304"/>
    </row>
    <row r="3211">
      <c r="A3211" s="302" t="s">
        <v>3441</v>
      </c>
      <c r="B3211" s="291" t="s">
        <v>19627</v>
      </c>
      <c r="C3211" s="292" t="s">
        <v>48</v>
      </c>
      <c r="D3211" s="293">
        <f t="shared" si="2"/>
        <v>1</v>
      </c>
      <c r="E3211" s="294"/>
      <c r="F3211" s="295" t="str">
        <f>IFERROR(__xludf.DUMMYFUNCTION("IF(B3211="""","""",IFERROR(VLOOKUP(TO_TEXT(B3211),PEDIDOS!D:I,6,0),IFERROR(VLOOKUP(B3211*1,PEDIDOS!D:I,6,0),"" "")))"),"ENTREGUE")</f>
        <v>ENTREGUE</v>
      </c>
      <c r="G3211" s="303"/>
      <c r="H3211" s="304"/>
    </row>
    <row r="3212">
      <c r="A3212" s="302" t="s">
        <v>3441</v>
      </c>
      <c r="B3212" s="291" t="s">
        <v>19933</v>
      </c>
      <c r="C3212" s="292" t="s">
        <v>48</v>
      </c>
      <c r="D3212" s="293">
        <f t="shared" si="2"/>
        <v>1</v>
      </c>
      <c r="E3212" s="294"/>
      <c r="F3212" s="295" t="str">
        <f>IFERROR(__xludf.DUMMYFUNCTION("IF(B3212="""","""",IFERROR(VLOOKUP(TO_TEXT(B3212),PEDIDOS!D:I,6,0),IFERROR(VLOOKUP(B3212*1,PEDIDOS!D:I,6,0),"" "")))"),"ENTREGUE")</f>
        <v>ENTREGUE</v>
      </c>
      <c r="G3212" s="303"/>
      <c r="H3212" s="304"/>
    </row>
    <row r="3213">
      <c r="A3213" s="302" t="s">
        <v>3441</v>
      </c>
      <c r="B3213" s="291" t="s">
        <v>19929</v>
      </c>
      <c r="C3213" s="292" t="s">
        <v>48</v>
      </c>
      <c r="D3213" s="293">
        <f t="shared" si="2"/>
        <v>1</v>
      </c>
      <c r="E3213" s="294"/>
      <c r="F3213" s="295" t="str">
        <f>IFERROR(__xludf.DUMMYFUNCTION("IF(B3213="""","""",IFERROR(VLOOKUP(TO_TEXT(B3213),PEDIDOS!D:I,6,0),IFERROR(VLOOKUP(B3213*1,PEDIDOS!D:I,6,0),"" "")))"),"ENTREGUE")</f>
        <v>ENTREGUE</v>
      </c>
      <c r="G3213" s="303"/>
      <c r="H3213" s="304"/>
    </row>
    <row r="3214">
      <c r="A3214" s="302" t="s">
        <v>3441</v>
      </c>
      <c r="B3214" s="291" t="s">
        <v>20025</v>
      </c>
      <c r="C3214" s="292" t="s">
        <v>48</v>
      </c>
      <c r="D3214" s="293">
        <f t="shared" si="2"/>
        <v>1</v>
      </c>
      <c r="E3214" s="294"/>
      <c r="F3214" s="295" t="str">
        <f>IFERROR(__xludf.DUMMYFUNCTION("IF(B3214="""","""",IFERROR(VLOOKUP(TO_TEXT(B3214),PEDIDOS!D:I,6,0),IFERROR(VLOOKUP(B3214*1,PEDIDOS!D:I,6,0),"" "")))"),"ENTREGUE")</f>
        <v>ENTREGUE</v>
      </c>
      <c r="G3214" s="303"/>
      <c r="H3214" s="304"/>
    </row>
    <row r="3215">
      <c r="A3215" s="302" t="s">
        <v>3441</v>
      </c>
      <c r="B3215" s="291" t="s">
        <v>19921</v>
      </c>
      <c r="C3215" s="292" t="s">
        <v>48</v>
      </c>
      <c r="D3215" s="293">
        <f t="shared" si="2"/>
        <v>1</v>
      </c>
      <c r="E3215" s="294"/>
      <c r="F3215" s="295" t="str">
        <f>IFERROR(__xludf.DUMMYFUNCTION("IF(B3215="""","""",IFERROR(VLOOKUP(TO_TEXT(B3215),PEDIDOS!D:I,6,0),IFERROR(VLOOKUP(B3215*1,PEDIDOS!D:I,6,0),"" "")))"),"ENTREGUE")</f>
        <v>ENTREGUE</v>
      </c>
      <c r="G3215" s="303"/>
      <c r="H3215" s="304"/>
    </row>
    <row r="3216">
      <c r="A3216" s="302" t="s">
        <v>3441</v>
      </c>
      <c r="B3216" s="291" t="s">
        <v>20116</v>
      </c>
      <c r="C3216" s="292" t="s">
        <v>48</v>
      </c>
      <c r="D3216" s="293">
        <f t="shared" si="2"/>
        <v>1</v>
      </c>
      <c r="E3216" s="294"/>
      <c r="F3216" s="295" t="str">
        <f>IFERROR(__xludf.DUMMYFUNCTION("IF(B3216="""","""",IFERROR(VLOOKUP(TO_TEXT(B3216),PEDIDOS!D:I,6,0),IFERROR(VLOOKUP(B3216*1,PEDIDOS!D:I,6,0),"" "")))"),"ENTREGUE")</f>
        <v>ENTREGUE</v>
      </c>
      <c r="G3216" s="303"/>
      <c r="H3216" s="304"/>
    </row>
    <row r="3217">
      <c r="A3217" s="302" t="s">
        <v>3441</v>
      </c>
      <c r="B3217" s="291" t="s">
        <v>18085</v>
      </c>
      <c r="C3217" s="292" t="s">
        <v>48</v>
      </c>
      <c r="D3217" s="293">
        <f t="shared" si="2"/>
        <v>1</v>
      </c>
      <c r="E3217" s="294"/>
      <c r="F3217" s="295" t="str">
        <f>IFERROR(__xludf.DUMMYFUNCTION("IF(B3217="""","""",IFERROR(VLOOKUP(TO_TEXT(B3217),PEDIDOS!D:I,6,0),IFERROR(VLOOKUP(B3217*1,PEDIDOS!D:I,6,0),"" "")))"),"ENTREGUE")</f>
        <v>ENTREGUE</v>
      </c>
      <c r="G3217" s="303"/>
      <c r="H3217" s="304"/>
    </row>
    <row r="3218">
      <c r="A3218" s="302" t="s">
        <v>3441</v>
      </c>
      <c r="B3218" s="291" t="s">
        <v>20107</v>
      </c>
      <c r="C3218" s="292" t="s">
        <v>48</v>
      </c>
      <c r="D3218" s="293">
        <f t="shared" si="2"/>
        <v>1</v>
      </c>
      <c r="E3218" s="294"/>
      <c r="F3218" s="295" t="str">
        <f>IFERROR(__xludf.DUMMYFUNCTION("IF(B3218="""","""",IFERROR(VLOOKUP(TO_TEXT(B3218),PEDIDOS!D:I,6,0),IFERROR(VLOOKUP(B3218*1,PEDIDOS!D:I,6,0),"" "")))"),"FINALIZADO")</f>
        <v>FINALIZADO</v>
      </c>
      <c r="G3218" s="303"/>
      <c r="H3218" s="304"/>
    </row>
    <row r="3219">
      <c r="A3219" s="302" t="s">
        <v>3441</v>
      </c>
      <c r="B3219" s="291" t="s">
        <v>20121</v>
      </c>
      <c r="C3219" s="292" t="s">
        <v>48</v>
      </c>
      <c r="D3219" s="293">
        <f t="shared" si="2"/>
        <v>1</v>
      </c>
      <c r="E3219" s="294"/>
      <c r="F3219" s="295" t="str">
        <f>IFERROR(__xludf.DUMMYFUNCTION("IF(B3219="""","""",IFERROR(VLOOKUP(TO_TEXT(B3219),PEDIDOS!D:I,6,0),IFERROR(VLOOKUP(B3219*1,PEDIDOS!D:I,6,0),"" "")))"),"ENTREGUE")</f>
        <v>ENTREGUE</v>
      </c>
      <c r="G3219" s="303"/>
      <c r="H3219" s="304"/>
    </row>
    <row r="3220">
      <c r="A3220" s="302" t="s">
        <v>3441</v>
      </c>
      <c r="B3220" s="291" t="s">
        <v>19569</v>
      </c>
      <c r="C3220" s="292" t="s">
        <v>48</v>
      </c>
      <c r="D3220" s="293">
        <f t="shared" si="2"/>
        <v>1</v>
      </c>
      <c r="E3220" s="294"/>
      <c r="F3220" s="295" t="str">
        <f>IFERROR(__xludf.DUMMYFUNCTION("IF(B3220="""","""",IFERROR(VLOOKUP(TO_TEXT(B3220),PEDIDOS!D:I,6,0),IFERROR(VLOOKUP(B3220*1,PEDIDOS!D:I,6,0),"" "")))"),"ENTREGUE")</f>
        <v>ENTREGUE</v>
      </c>
      <c r="G3220" s="303"/>
      <c r="H3220" s="304"/>
    </row>
    <row r="3221">
      <c r="A3221" s="302" t="s">
        <v>3441</v>
      </c>
      <c r="B3221" s="291" t="s">
        <v>19575</v>
      </c>
      <c r="C3221" s="292" t="s">
        <v>48</v>
      </c>
      <c r="D3221" s="293">
        <f t="shared" si="2"/>
        <v>1</v>
      </c>
      <c r="E3221" s="294"/>
      <c r="F3221" s="295" t="str">
        <f>IFERROR(__xludf.DUMMYFUNCTION("IF(B3221="""","""",IFERROR(VLOOKUP(TO_TEXT(B3221),PEDIDOS!D:I,6,0),IFERROR(VLOOKUP(B3221*1,PEDIDOS!D:I,6,0),"" "")))"),"ENTREGUE")</f>
        <v>ENTREGUE</v>
      </c>
      <c r="G3221" s="303"/>
      <c r="H3221" s="304"/>
    </row>
    <row r="3222">
      <c r="A3222" s="302" t="s">
        <v>3441</v>
      </c>
      <c r="B3222" s="291" t="s">
        <v>18432</v>
      </c>
      <c r="C3222" s="292" t="s">
        <v>48</v>
      </c>
      <c r="D3222" s="293">
        <f t="shared" si="2"/>
        <v>1</v>
      </c>
      <c r="E3222" s="294"/>
      <c r="F3222" s="295" t="str">
        <f>IFERROR(__xludf.DUMMYFUNCTION("IF(B3222="""","""",IFERROR(VLOOKUP(TO_TEXT(B3222),PEDIDOS!D:I,6,0),IFERROR(VLOOKUP(B3222*1,PEDIDOS!D:I,6,0),"" "")))"),"ENTREGUE")</f>
        <v>ENTREGUE</v>
      </c>
      <c r="G3222" s="303"/>
      <c r="H3222" s="304"/>
    </row>
    <row r="3223">
      <c r="A3223" s="302" t="s">
        <v>72</v>
      </c>
      <c r="B3223" s="291" t="s">
        <v>19275</v>
      </c>
      <c r="C3223" s="292" t="s">
        <v>48</v>
      </c>
      <c r="D3223" s="293">
        <f t="shared" si="2"/>
        <v>1</v>
      </c>
      <c r="E3223" s="294"/>
      <c r="F3223" s="295" t="str">
        <f>IFERROR(__xludf.DUMMYFUNCTION("IF(B3223="""","""",IFERROR(VLOOKUP(TO_TEXT(B3223),PEDIDOS!D:I,6,0),IFERROR(VLOOKUP(B3223*1,PEDIDOS!D:I,6,0),"" "")))"),"ENTREGUE")</f>
        <v>ENTREGUE</v>
      </c>
      <c r="G3223" s="303"/>
      <c r="H3223" s="304"/>
    </row>
    <row r="3224">
      <c r="A3224" s="302" t="s">
        <v>72</v>
      </c>
      <c r="B3224" s="291" t="s">
        <v>18644</v>
      </c>
      <c r="C3224" s="292" t="s">
        <v>48</v>
      </c>
      <c r="D3224" s="293">
        <f t="shared" si="2"/>
        <v>1</v>
      </c>
      <c r="E3224" s="294"/>
      <c r="F3224" s="295" t="str">
        <f>IFERROR(__xludf.DUMMYFUNCTION("IF(B3224="""","""",IFERROR(VLOOKUP(TO_TEXT(B3224),PEDIDOS!D:I,6,0),IFERROR(VLOOKUP(B3224*1,PEDIDOS!D:I,6,0),"" "")))"),"ENTREGUE")</f>
        <v>ENTREGUE</v>
      </c>
      <c r="G3224" s="303"/>
      <c r="H3224" s="304"/>
    </row>
    <row r="3225">
      <c r="A3225" s="302" t="s">
        <v>72</v>
      </c>
      <c r="B3225" s="291" t="s">
        <v>18788</v>
      </c>
      <c r="C3225" s="292" t="s">
        <v>48</v>
      </c>
      <c r="D3225" s="293">
        <f t="shared" si="2"/>
        <v>1</v>
      </c>
      <c r="E3225" s="294"/>
      <c r="F3225" s="295" t="str">
        <f>IFERROR(__xludf.DUMMYFUNCTION("IF(B3225="""","""",IFERROR(VLOOKUP(TO_TEXT(B3225),PEDIDOS!D:I,6,0),IFERROR(VLOOKUP(B3225*1,PEDIDOS!D:I,6,0),"" "")))"),"ENTREGUE")</f>
        <v>ENTREGUE</v>
      </c>
      <c r="G3225" s="303"/>
      <c r="H3225" s="304"/>
    </row>
    <row r="3226">
      <c r="A3226" s="302" t="s">
        <v>72</v>
      </c>
      <c r="B3226" s="291" t="s">
        <v>19169</v>
      </c>
      <c r="C3226" s="292" t="s">
        <v>48</v>
      </c>
      <c r="D3226" s="293">
        <f t="shared" si="2"/>
        <v>1</v>
      </c>
      <c r="E3226" s="294"/>
      <c r="F3226" s="295" t="str">
        <f>IFERROR(__xludf.DUMMYFUNCTION("IF(B3226="""","""",IFERROR(VLOOKUP(TO_TEXT(B3226),PEDIDOS!D:I,6,0),IFERROR(VLOOKUP(B3226*1,PEDIDOS!D:I,6,0),"" "")))"),"ENTREGUE")</f>
        <v>ENTREGUE</v>
      </c>
      <c r="G3226" s="303"/>
      <c r="H3226" s="304"/>
    </row>
    <row r="3227">
      <c r="A3227" s="302" t="s">
        <v>72</v>
      </c>
      <c r="B3227" s="291" t="s">
        <v>19190</v>
      </c>
      <c r="C3227" s="292" t="s">
        <v>48</v>
      </c>
      <c r="D3227" s="293">
        <f t="shared" si="2"/>
        <v>1</v>
      </c>
      <c r="E3227" s="294"/>
      <c r="F3227" s="295" t="str">
        <f>IFERROR(__xludf.DUMMYFUNCTION("IF(B3227="""","""",IFERROR(VLOOKUP(TO_TEXT(B3227),PEDIDOS!D:I,6,0),IFERROR(VLOOKUP(B3227*1,PEDIDOS!D:I,6,0),"" "")))"),"ENTREGUE")</f>
        <v>ENTREGUE</v>
      </c>
      <c r="G3227" s="303"/>
      <c r="H3227" s="304"/>
    </row>
    <row r="3228">
      <c r="A3228" s="302" t="s">
        <v>72</v>
      </c>
      <c r="B3228" s="291" t="s">
        <v>18687</v>
      </c>
      <c r="C3228" s="292" t="s">
        <v>48</v>
      </c>
      <c r="D3228" s="293">
        <f t="shared" si="2"/>
        <v>1</v>
      </c>
      <c r="E3228" s="294"/>
      <c r="F3228" s="295" t="str">
        <f>IFERROR(__xludf.DUMMYFUNCTION("IF(B3228="""","""",IFERROR(VLOOKUP(TO_TEXT(B3228),PEDIDOS!D:I,6,0),IFERROR(VLOOKUP(B3228*1,PEDIDOS!D:I,6,0),"" "")))"),"ENTREGUE")</f>
        <v>ENTREGUE</v>
      </c>
      <c r="G3228" s="303"/>
      <c r="H3228" s="304"/>
    </row>
    <row r="3229">
      <c r="A3229" s="302" t="s">
        <v>72</v>
      </c>
      <c r="B3229" s="291" t="s">
        <v>19155</v>
      </c>
      <c r="C3229" s="292" t="s">
        <v>48</v>
      </c>
      <c r="D3229" s="293">
        <f t="shared" si="2"/>
        <v>1</v>
      </c>
      <c r="E3229" s="294"/>
      <c r="F3229" s="295" t="str">
        <f>IFERROR(__xludf.DUMMYFUNCTION("IF(B3229="""","""",IFERROR(VLOOKUP(TO_TEXT(B3229),PEDIDOS!D:I,6,0),IFERROR(VLOOKUP(B3229*1,PEDIDOS!D:I,6,0),"" "")))"),"ENTREGUE")</f>
        <v>ENTREGUE</v>
      </c>
      <c r="G3229" s="303"/>
      <c r="H3229" s="304"/>
    </row>
    <row r="3230">
      <c r="A3230" s="302" t="s">
        <v>72</v>
      </c>
      <c r="B3230" s="291" t="s">
        <v>19175</v>
      </c>
      <c r="C3230" s="292" t="s">
        <v>48</v>
      </c>
      <c r="D3230" s="293">
        <f t="shared" si="2"/>
        <v>1</v>
      </c>
      <c r="E3230" s="294"/>
      <c r="F3230" s="295" t="str">
        <f>IFERROR(__xludf.DUMMYFUNCTION("IF(B3230="""","""",IFERROR(VLOOKUP(TO_TEXT(B3230),PEDIDOS!D:I,6,0),IFERROR(VLOOKUP(B3230*1,PEDIDOS!D:I,6,0),"" "")))"),"ENTREGUE")</f>
        <v>ENTREGUE</v>
      </c>
      <c r="G3230" s="303"/>
      <c r="H3230" s="304"/>
    </row>
    <row r="3231">
      <c r="A3231" s="302" t="s">
        <v>72</v>
      </c>
      <c r="B3231" s="291" t="s">
        <v>18836</v>
      </c>
      <c r="C3231" s="292" t="s">
        <v>48</v>
      </c>
      <c r="D3231" s="293">
        <f t="shared" si="2"/>
        <v>1</v>
      </c>
      <c r="E3231" s="294"/>
      <c r="F3231" s="295" t="str">
        <f>IFERROR(__xludf.DUMMYFUNCTION("IF(B3231="""","""",IFERROR(VLOOKUP(TO_TEXT(B3231),PEDIDOS!D:I,6,0),IFERROR(VLOOKUP(B3231*1,PEDIDOS!D:I,6,0),"" "")))"),"ENTREGUE")</f>
        <v>ENTREGUE</v>
      </c>
      <c r="G3231" s="303"/>
      <c r="H3231" s="304"/>
    </row>
    <row r="3232">
      <c r="A3232" s="302" t="s">
        <v>72</v>
      </c>
      <c r="B3232" s="291" t="s">
        <v>18714</v>
      </c>
      <c r="C3232" s="292" t="s">
        <v>48</v>
      </c>
      <c r="D3232" s="293">
        <f t="shared" si="2"/>
        <v>1</v>
      </c>
      <c r="E3232" s="294"/>
      <c r="F3232" s="295" t="str">
        <f>IFERROR(__xludf.DUMMYFUNCTION("IF(B3232="""","""",IFERROR(VLOOKUP(TO_TEXT(B3232),PEDIDOS!D:I,6,0),IFERROR(VLOOKUP(B3232*1,PEDIDOS!D:I,6,0),"" "")))"),"ENTREGUE")</f>
        <v>ENTREGUE</v>
      </c>
      <c r="G3232" s="303"/>
      <c r="H3232" s="304"/>
    </row>
    <row r="3233">
      <c r="A3233" s="302" t="s">
        <v>72</v>
      </c>
      <c r="B3233" s="291" t="s">
        <v>18960</v>
      </c>
      <c r="C3233" s="292" t="s">
        <v>48</v>
      </c>
      <c r="D3233" s="293">
        <f t="shared" si="2"/>
        <v>1</v>
      </c>
      <c r="E3233" s="294"/>
      <c r="F3233" s="295" t="str">
        <f>IFERROR(__xludf.DUMMYFUNCTION("IF(B3233="""","""",IFERROR(VLOOKUP(TO_TEXT(B3233),PEDIDOS!D:I,6,0),IFERROR(VLOOKUP(B3233*1,PEDIDOS!D:I,6,0),"" "")))"),"ENTREGUE")</f>
        <v>ENTREGUE</v>
      </c>
      <c r="G3233" s="303"/>
      <c r="H3233" s="304"/>
    </row>
    <row r="3234">
      <c r="A3234" s="302" t="s">
        <v>72</v>
      </c>
      <c r="B3234" s="291" t="s">
        <v>19237</v>
      </c>
      <c r="C3234" s="292" t="s">
        <v>48</v>
      </c>
      <c r="D3234" s="293">
        <f t="shared" si="2"/>
        <v>1</v>
      </c>
      <c r="E3234" s="294"/>
      <c r="F3234" s="295" t="str">
        <f>IFERROR(__xludf.DUMMYFUNCTION("IF(B3234="""","""",IFERROR(VLOOKUP(TO_TEXT(B3234),PEDIDOS!D:I,6,0),IFERROR(VLOOKUP(B3234*1,PEDIDOS!D:I,6,0),"" "")))"),"ENTREGUE")</f>
        <v>ENTREGUE</v>
      </c>
      <c r="G3234" s="303"/>
      <c r="H3234" s="304"/>
    </row>
    <row r="3235">
      <c r="A3235" s="302" t="s">
        <v>72</v>
      </c>
      <c r="B3235" s="291" t="s">
        <v>19379</v>
      </c>
      <c r="C3235" s="292" t="s">
        <v>48</v>
      </c>
      <c r="D3235" s="293">
        <f t="shared" si="2"/>
        <v>1</v>
      </c>
      <c r="E3235" s="294"/>
      <c r="F3235" s="295" t="str">
        <f>IFERROR(__xludf.DUMMYFUNCTION("IF(B3235="""","""",IFERROR(VLOOKUP(TO_TEXT(B3235),PEDIDOS!D:I,6,0),IFERROR(VLOOKUP(B3235*1,PEDIDOS!D:I,6,0),"" "")))"),"ENTREGUE")</f>
        <v>ENTREGUE</v>
      </c>
      <c r="G3235" s="303"/>
      <c r="H3235" s="304"/>
    </row>
    <row r="3236">
      <c r="A3236" s="302" t="s">
        <v>72</v>
      </c>
      <c r="B3236" s="291" t="s">
        <v>19353</v>
      </c>
      <c r="C3236" s="292" t="s">
        <v>48</v>
      </c>
      <c r="D3236" s="293">
        <f t="shared" si="2"/>
        <v>1</v>
      </c>
      <c r="E3236" s="294"/>
      <c r="F3236" s="295" t="str">
        <f>IFERROR(__xludf.DUMMYFUNCTION("IF(B3236="""","""",IFERROR(VLOOKUP(TO_TEXT(B3236),PEDIDOS!D:I,6,0),IFERROR(VLOOKUP(B3236*1,PEDIDOS!D:I,6,0),"" "")))"),"ENTREGUE")</f>
        <v>ENTREGUE</v>
      </c>
      <c r="G3236" s="303"/>
      <c r="H3236" s="304"/>
    </row>
    <row r="3237">
      <c r="A3237" s="302" t="s">
        <v>72</v>
      </c>
      <c r="B3237" s="291" t="s">
        <v>19648</v>
      </c>
      <c r="C3237" s="292" t="s">
        <v>48</v>
      </c>
      <c r="D3237" s="293">
        <f t="shared" si="2"/>
        <v>1</v>
      </c>
      <c r="E3237" s="294"/>
      <c r="F3237" s="295" t="str">
        <f>IFERROR(__xludf.DUMMYFUNCTION("IF(B3237="""","""",IFERROR(VLOOKUP(TO_TEXT(B3237),PEDIDOS!D:I,6,0),IFERROR(VLOOKUP(B3237*1,PEDIDOS!D:I,6,0),"" "")))"),"ENTREGUE")</f>
        <v>ENTREGUE</v>
      </c>
      <c r="G3237" s="303"/>
      <c r="H3237" s="304"/>
    </row>
    <row r="3238">
      <c r="A3238" s="302" t="s">
        <v>72</v>
      </c>
      <c r="B3238" s="291" t="s">
        <v>19542</v>
      </c>
      <c r="C3238" s="292" t="s">
        <v>48</v>
      </c>
      <c r="D3238" s="293">
        <f t="shared" si="2"/>
        <v>1</v>
      </c>
      <c r="E3238" s="294"/>
      <c r="F3238" s="295" t="str">
        <f>IFERROR(__xludf.DUMMYFUNCTION("IF(B3238="""","""",IFERROR(VLOOKUP(TO_TEXT(B3238),PEDIDOS!D:I,6,0),IFERROR(VLOOKUP(B3238*1,PEDIDOS!D:I,6,0),"" "")))"),"ENTREGUE")</f>
        <v>ENTREGUE</v>
      </c>
      <c r="G3238" s="303"/>
      <c r="H3238" s="304"/>
    </row>
    <row r="3239">
      <c r="A3239" s="302" t="s">
        <v>72</v>
      </c>
      <c r="B3239" s="291" t="s">
        <v>19631</v>
      </c>
      <c r="C3239" s="292" t="s">
        <v>48</v>
      </c>
      <c r="D3239" s="293">
        <f t="shared" si="2"/>
        <v>1</v>
      </c>
      <c r="E3239" s="294"/>
      <c r="F3239" s="295" t="str">
        <f>IFERROR(__xludf.DUMMYFUNCTION("IF(B3239="""","""",IFERROR(VLOOKUP(TO_TEXT(B3239),PEDIDOS!D:I,6,0),IFERROR(VLOOKUP(B3239*1,PEDIDOS!D:I,6,0),"" "")))"),"ENTREGUE")</f>
        <v>ENTREGUE</v>
      </c>
      <c r="G3239" s="303"/>
      <c r="H3239" s="304"/>
    </row>
    <row r="3240">
      <c r="A3240" s="302" t="s">
        <v>72</v>
      </c>
      <c r="B3240" s="291" t="s">
        <v>19430</v>
      </c>
      <c r="C3240" s="292" t="s">
        <v>48</v>
      </c>
      <c r="D3240" s="293">
        <f t="shared" si="2"/>
        <v>1</v>
      </c>
      <c r="E3240" s="294"/>
      <c r="F3240" s="295" t="str">
        <f>IFERROR(__xludf.DUMMYFUNCTION("IF(B3240="""","""",IFERROR(VLOOKUP(TO_TEXT(B3240),PEDIDOS!D:I,6,0),IFERROR(VLOOKUP(B3240*1,PEDIDOS!D:I,6,0),"" "")))"),"ENTREGUE")</f>
        <v>ENTREGUE</v>
      </c>
      <c r="G3240" s="303"/>
      <c r="H3240" s="304"/>
    </row>
    <row r="3241">
      <c r="A3241" s="302" t="s">
        <v>72</v>
      </c>
      <c r="B3241" s="291" t="s">
        <v>19215</v>
      </c>
      <c r="C3241" s="292" t="s">
        <v>48</v>
      </c>
      <c r="D3241" s="293">
        <f t="shared" si="2"/>
        <v>1</v>
      </c>
      <c r="E3241" s="294"/>
      <c r="F3241" s="295" t="str">
        <f>IFERROR(__xludf.DUMMYFUNCTION("IF(B3241="""","""",IFERROR(VLOOKUP(TO_TEXT(B3241),PEDIDOS!D:I,6,0),IFERROR(VLOOKUP(B3241*1,PEDIDOS!D:I,6,0),"" "")))"),"ENTREGUE")</f>
        <v>ENTREGUE</v>
      </c>
      <c r="G3241" s="303"/>
      <c r="H3241" s="304"/>
    </row>
    <row r="3242">
      <c r="A3242" s="302" t="s">
        <v>72</v>
      </c>
      <c r="B3242" s="291" t="s">
        <v>19695</v>
      </c>
      <c r="C3242" s="292" t="s">
        <v>48</v>
      </c>
      <c r="D3242" s="293">
        <f t="shared" si="2"/>
        <v>1</v>
      </c>
      <c r="E3242" s="294"/>
      <c r="F3242" s="295" t="str">
        <f>IFERROR(__xludf.DUMMYFUNCTION("IF(B3242="""","""",IFERROR(VLOOKUP(TO_TEXT(B3242),PEDIDOS!D:I,6,0),IFERROR(VLOOKUP(B3242*1,PEDIDOS!D:I,6,0),"" "")))"),"ENTREGUE")</f>
        <v>ENTREGUE</v>
      </c>
      <c r="G3242" s="303"/>
      <c r="H3242" s="304"/>
    </row>
    <row r="3243">
      <c r="A3243" s="302" t="s">
        <v>72</v>
      </c>
      <c r="B3243" s="291" t="s">
        <v>19775</v>
      </c>
      <c r="C3243" s="292" t="s">
        <v>48</v>
      </c>
      <c r="D3243" s="293">
        <f t="shared" si="2"/>
        <v>1</v>
      </c>
      <c r="E3243" s="294"/>
      <c r="F3243" s="295" t="str">
        <f>IFERROR(__xludf.DUMMYFUNCTION("IF(B3243="""","""",IFERROR(VLOOKUP(TO_TEXT(B3243),PEDIDOS!D:I,6,0),IFERROR(VLOOKUP(B3243*1,PEDIDOS!D:I,6,0),"" "")))"),"ENTREGUE")</f>
        <v>ENTREGUE</v>
      </c>
      <c r="G3243" s="303"/>
      <c r="H3243" s="304"/>
    </row>
    <row r="3244">
      <c r="A3244" s="302" t="s">
        <v>72</v>
      </c>
      <c r="B3244" s="291" t="s">
        <v>19937</v>
      </c>
      <c r="C3244" s="292" t="s">
        <v>48</v>
      </c>
      <c r="D3244" s="293">
        <f t="shared" si="2"/>
        <v>1</v>
      </c>
      <c r="E3244" s="294"/>
      <c r="F3244" s="295" t="str">
        <f>IFERROR(__xludf.DUMMYFUNCTION("IF(B3244="""","""",IFERROR(VLOOKUP(TO_TEXT(B3244),PEDIDOS!D:I,6,0),IFERROR(VLOOKUP(B3244*1,PEDIDOS!D:I,6,0),"" "")))"),"ENTREGUE")</f>
        <v>ENTREGUE</v>
      </c>
      <c r="G3244" s="303"/>
      <c r="H3244" s="304"/>
    </row>
    <row r="3245">
      <c r="A3245" s="302" t="s">
        <v>72</v>
      </c>
      <c r="B3245" s="291" t="s">
        <v>19846</v>
      </c>
      <c r="C3245" s="292" t="s">
        <v>48</v>
      </c>
      <c r="D3245" s="293">
        <f t="shared" si="2"/>
        <v>1</v>
      </c>
      <c r="E3245" s="294"/>
      <c r="F3245" s="295" t="str">
        <f>IFERROR(__xludf.DUMMYFUNCTION("IF(B3245="""","""",IFERROR(VLOOKUP(TO_TEXT(B3245),PEDIDOS!D:I,6,0),IFERROR(VLOOKUP(B3245*1,PEDIDOS!D:I,6,0),"" "")))"),"ENTREGUE")</f>
        <v>ENTREGUE</v>
      </c>
      <c r="G3245" s="303"/>
      <c r="H3245" s="304"/>
    </row>
    <row r="3246">
      <c r="A3246" s="302" t="s">
        <v>72</v>
      </c>
      <c r="B3246" s="291" t="s">
        <v>20137</v>
      </c>
      <c r="C3246" s="292" t="s">
        <v>48</v>
      </c>
      <c r="D3246" s="293">
        <f t="shared" si="2"/>
        <v>1</v>
      </c>
      <c r="E3246" s="294"/>
      <c r="F3246" s="295" t="str">
        <f>IFERROR(__xludf.DUMMYFUNCTION("IF(B3246="""","""",IFERROR(VLOOKUP(TO_TEXT(B3246),PEDIDOS!D:I,6,0),IFERROR(VLOOKUP(B3246*1,PEDIDOS!D:I,6,0),"" "")))"),"ENTREGUE")</f>
        <v>ENTREGUE</v>
      </c>
      <c r="G3246" s="303"/>
      <c r="H3246" s="304"/>
    </row>
    <row r="3247">
      <c r="A3247" s="302" t="s">
        <v>72</v>
      </c>
      <c r="B3247" s="291" t="s">
        <v>20089</v>
      </c>
      <c r="C3247" s="292" t="s">
        <v>48</v>
      </c>
      <c r="D3247" s="293">
        <f t="shared" si="2"/>
        <v>1</v>
      </c>
      <c r="E3247" s="294"/>
      <c r="F3247" s="295" t="str">
        <f>IFERROR(__xludf.DUMMYFUNCTION("IF(B3247="""","""",IFERROR(VLOOKUP(TO_TEXT(B3247),PEDIDOS!D:I,6,0),IFERROR(VLOOKUP(B3247*1,PEDIDOS!D:I,6,0),"" "")))"),"ENTREGUE")</f>
        <v>ENTREGUE</v>
      </c>
      <c r="G3247" s="303"/>
      <c r="H3247" s="304"/>
    </row>
    <row r="3248">
      <c r="A3248" s="302" t="s">
        <v>72</v>
      </c>
      <c r="B3248" s="291" t="s">
        <v>20112</v>
      </c>
      <c r="C3248" s="292" t="s">
        <v>48</v>
      </c>
      <c r="D3248" s="293">
        <f t="shared" si="2"/>
        <v>1</v>
      </c>
      <c r="E3248" s="294"/>
      <c r="F3248" s="295" t="str">
        <f>IFERROR(__xludf.DUMMYFUNCTION("IF(B3248="""","""",IFERROR(VLOOKUP(TO_TEXT(B3248),PEDIDOS!D:I,6,0),IFERROR(VLOOKUP(B3248*1,PEDIDOS!D:I,6,0),"" "")))"),"ENTREGUE")</f>
        <v>ENTREGUE</v>
      </c>
      <c r="G3248" s="303"/>
      <c r="H3248" s="304"/>
    </row>
    <row r="3249">
      <c r="A3249" s="302" t="s">
        <v>72</v>
      </c>
      <c r="B3249" s="291" t="s">
        <v>20169</v>
      </c>
      <c r="C3249" s="292" t="s">
        <v>48</v>
      </c>
      <c r="D3249" s="293">
        <f t="shared" si="2"/>
        <v>1</v>
      </c>
      <c r="E3249" s="294"/>
      <c r="F3249" s="295" t="str">
        <f>IFERROR(__xludf.DUMMYFUNCTION("IF(B3249="""","""",IFERROR(VLOOKUP(TO_TEXT(B3249),PEDIDOS!D:I,6,0),IFERROR(VLOOKUP(B3249*1,PEDIDOS!D:I,6,0),"" "")))"),"ENTREGUE")</f>
        <v>ENTREGUE</v>
      </c>
      <c r="G3249" s="303"/>
      <c r="H3249" s="304"/>
    </row>
    <row r="3250">
      <c r="A3250" s="302" t="s">
        <v>72</v>
      </c>
      <c r="B3250" s="291" t="s">
        <v>20020</v>
      </c>
      <c r="C3250" s="292" t="s">
        <v>48</v>
      </c>
      <c r="D3250" s="293">
        <f t="shared" si="2"/>
        <v>1</v>
      </c>
      <c r="E3250" s="294"/>
      <c r="F3250" s="295" t="str">
        <f>IFERROR(__xludf.DUMMYFUNCTION("IF(B3250="""","""",IFERROR(VLOOKUP(TO_TEXT(B3250),PEDIDOS!D:I,6,0),IFERROR(VLOOKUP(B3250*1,PEDIDOS!D:I,6,0),"" "")))"),"FINALIZADO")</f>
        <v>FINALIZADO</v>
      </c>
      <c r="G3250" s="303"/>
      <c r="H3250" s="304"/>
    </row>
    <row r="3251">
      <c r="A3251" s="302" t="s">
        <v>72</v>
      </c>
      <c r="B3251" s="291" t="s">
        <v>20164</v>
      </c>
      <c r="C3251" s="292" t="s">
        <v>48</v>
      </c>
      <c r="D3251" s="293">
        <f t="shared" si="2"/>
        <v>1</v>
      </c>
      <c r="E3251" s="294"/>
      <c r="F3251" s="295" t="str">
        <f>IFERROR(__xludf.DUMMYFUNCTION("IF(B3251="""","""",IFERROR(VLOOKUP(TO_TEXT(B3251),PEDIDOS!D:I,6,0),IFERROR(VLOOKUP(B3251*1,PEDIDOS!D:I,6,0),"" "")))"),"ENTREGUE")</f>
        <v>ENTREGUE</v>
      </c>
      <c r="G3251" s="303"/>
      <c r="H3251" s="304"/>
    </row>
    <row r="3252">
      <c r="A3252" s="302" t="s">
        <v>72</v>
      </c>
      <c r="B3252" s="291" t="s">
        <v>19812</v>
      </c>
      <c r="C3252" s="292" t="s">
        <v>48</v>
      </c>
      <c r="D3252" s="293">
        <f t="shared" si="2"/>
        <v>1</v>
      </c>
      <c r="E3252" s="294"/>
      <c r="F3252" s="295" t="str">
        <f>IFERROR(__xludf.DUMMYFUNCTION("IF(B3252="""","""",IFERROR(VLOOKUP(TO_TEXT(B3252),PEDIDOS!D:I,6,0),IFERROR(VLOOKUP(B3252*1,PEDIDOS!D:I,6,0),"" "")))"),"ENTREGUE")</f>
        <v>ENTREGUE</v>
      </c>
      <c r="G3252" s="303"/>
      <c r="H3252" s="304"/>
    </row>
    <row r="3253">
      <c r="A3253" s="302" t="s">
        <v>72</v>
      </c>
      <c r="B3253" s="291" t="s">
        <v>19790</v>
      </c>
      <c r="C3253" s="292" t="s">
        <v>48</v>
      </c>
      <c r="D3253" s="293">
        <f t="shared" si="2"/>
        <v>1</v>
      </c>
      <c r="E3253" s="294"/>
      <c r="F3253" s="295" t="str">
        <f>IFERROR(__xludf.DUMMYFUNCTION("IF(B3253="""","""",IFERROR(VLOOKUP(TO_TEXT(B3253),PEDIDOS!D:I,6,0),IFERROR(VLOOKUP(B3253*1,PEDIDOS!D:I,6,0),"" "")))"),"ENTREGUE")</f>
        <v>ENTREGUE</v>
      </c>
      <c r="G3253" s="303"/>
      <c r="H3253" s="304"/>
    </row>
    <row r="3254">
      <c r="A3254" s="302" t="s">
        <v>72</v>
      </c>
      <c r="B3254" s="291" t="s">
        <v>20251</v>
      </c>
      <c r="C3254" s="292" t="s">
        <v>48</v>
      </c>
      <c r="D3254" s="293">
        <f t="shared" si="2"/>
        <v>1</v>
      </c>
      <c r="E3254" s="294"/>
      <c r="F3254" s="295" t="str">
        <f>IFERROR(__xludf.DUMMYFUNCTION("IF(B3254="""","""",IFERROR(VLOOKUP(TO_TEXT(B3254),PEDIDOS!D:I,6,0),IFERROR(VLOOKUP(B3254*1,PEDIDOS!D:I,6,0),"" "")))"),"ENTREGUE")</f>
        <v>ENTREGUE</v>
      </c>
      <c r="G3254" s="303"/>
      <c r="H3254" s="304"/>
    </row>
    <row r="3255">
      <c r="A3255" s="302" t="s">
        <v>72</v>
      </c>
      <c r="B3255" s="291" t="s">
        <v>18239</v>
      </c>
      <c r="C3255" s="292" t="s">
        <v>48</v>
      </c>
      <c r="D3255" s="293">
        <f t="shared" si="2"/>
        <v>1</v>
      </c>
      <c r="E3255" s="294"/>
      <c r="F3255" s="295" t="str">
        <f>IFERROR(__xludf.DUMMYFUNCTION("IF(B3255="""","""",IFERROR(VLOOKUP(TO_TEXT(B3255),PEDIDOS!D:I,6,0),IFERROR(VLOOKUP(B3255*1,PEDIDOS!D:I,6,0),"" "")))"),"ENTREGUE")</f>
        <v>ENTREGUE</v>
      </c>
      <c r="G3255" s="303"/>
      <c r="H3255" s="304"/>
    </row>
    <row r="3256">
      <c r="A3256" s="302" t="s">
        <v>72</v>
      </c>
      <c r="B3256" s="291" t="s">
        <v>18231</v>
      </c>
      <c r="C3256" s="292" t="s">
        <v>48</v>
      </c>
      <c r="D3256" s="293">
        <f t="shared" si="2"/>
        <v>1</v>
      </c>
      <c r="E3256" s="294"/>
      <c r="F3256" s="295" t="str">
        <f>IFERROR(__xludf.DUMMYFUNCTION("IF(B3256="""","""",IFERROR(VLOOKUP(TO_TEXT(B3256),PEDIDOS!D:I,6,0),IFERROR(VLOOKUP(B3256*1,PEDIDOS!D:I,6,0),"" "")))"),"ENTREGUE")</f>
        <v>ENTREGUE</v>
      </c>
      <c r="G3256" s="303"/>
      <c r="H3256" s="304"/>
    </row>
    <row r="3257">
      <c r="A3257" s="302" t="s">
        <v>72</v>
      </c>
      <c r="B3257" s="291" t="s">
        <v>18235</v>
      </c>
      <c r="C3257" s="292" t="s">
        <v>48</v>
      </c>
      <c r="D3257" s="293">
        <f t="shared" si="2"/>
        <v>1</v>
      </c>
      <c r="E3257" s="294"/>
      <c r="F3257" s="295" t="str">
        <f>IFERROR(__xludf.DUMMYFUNCTION("IF(B3257="""","""",IFERROR(VLOOKUP(TO_TEXT(B3257),PEDIDOS!D:I,6,0),IFERROR(VLOOKUP(B3257*1,PEDIDOS!D:I,6,0),"" "")))"),"ENTREGUE")</f>
        <v>ENTREGUE</v>
      </c>
      <c r="G3257" s="303"/>
      <c r="H3257" s="304"/>
    </row>
    <row r="3258">
      <c r="A3258" s="302" t="s">
        <v>72</v>
      </c>
      <c r="B3258" s="291" t="s">
        <v>20285</v>
      </c>
      <c r="C3258" s="292" t="s">
        <v>48</v>
      </c>
      <c r="D3258" s="293">
        <f t="shared" si="2"/>
        <v>1</v>
      </c>
      <c r="E3258" s="294"/>
      <c r="F3258" s="295" t="str">
        <f>IFERROR(__xludf.DUMMYFUNCTION("IF(B3258="""","""",IFERROR(VLOOKUP(TO_TEXT(B3258),PEDIDOS!D:I,6,0),IFERROR(VLOOKUP(B3258*1,PEDIDOS!D:I,6,0),"" "")))"),"ENTREGUE")</f>
        <v>ENTREGUE</v>
      </c>
      <c r="G3258" s="303"/>
      <c r="H3258" s="304"/>
    </row>
    <row r="3259">
      <c r="A3259" s="302" t="s">
        <v>85</v>
      </c>
      <c r="B3259" s="291" t="s">
        <v>21895</v>
      </c>
      <c r="C3259" s="292" t="s">
        <v>48</v>
      </c>
      <c r="D3259" s="293">
        <f t="shared" si="2"/>
        <v>1</v>
      </c>
      <c r="E3259" s="294"/>
      <c r="F3259" s="295" t="str">
        <f>IFERROR(__xludf.DUMMYFUNCTION("IF(B3259="""","""",IFERROR(VLOOKUP(TO_TEXT(B3259),PEDIDOS!D:I,6,0),IFERROR(VLOOKUP(B3259*1,PEDIDOS!D:I,6,0),"" "")))"),"ENTREGUE")</f>
        <v>ENTREGUE</v>
      </c>
      <c r="G3259" s="303"/>
      <c r="H3259" s="304"/>
    </row>
    <row r="3260">
      <c r="A3260" s="302" t="s">
        <v>85</v>
      </c>
      <c r="B3260" s="291" t="s">
        <v>20807</v>
      </c>
      <c r="C3260" s="292" t="s">
        <v>48</v>
      </c>
      <c r="D3260" s="293">
        <f t="shared" si="2"/>
        <v>1</v>
      </c>
      <c r="E3260" s="294"/>
      <c r="F3260" s="295" t="str">
        <f>IFERROR(__xludf.DUMMYFUNCTION("IF(B3260="""","""",IFERROR(VLOOKUP(TO_TEXT(B3260),PEDIDOS!D:I,6,0),IFERROR(VLOOKUP(B3260*1,PEDIDOS!D:I,6,0),"" "")))"),"ENTREGUE")</f>
        <v>ENTREGUE</v>
      </c>
      <c r="G3260" s="303"/>
      <c r="H3260" s="304"/>
    </row>
    <row r="3261">
      <c r="A3261" s="302" t="s">
        <v>85</v>
      </c>
      <c r="B3261" s="291" t="s">
        <v>22892</v>
      </c>
      <c r="C3261" s="292" t="s">
        <v>48</v>
      </c>
      <c r="D3261" s="293">
        <f t="shared" si="2"/>
        <v>1</v>
      </c>
      <c r="E3261" s="294"/>
      <c r="F3261" s="295" t="str">
        <f>IFERROR(__xludf.DUMMYFUNCTION("IF(B3261="""","""",IFERROR(VLOOKUP(TO_TEXT(B3261),PEDIDOS!D:I,6,0),IFERROR(VLOOKUP(B3261*1,PEDIDOS!D:I,6,0),"" "")))"),"ENTREGUE")</f>
        <v>ENTREGUE</v>
      </c>
      <c r="G3261" s="303"/>
      <c r="H3261" s="304"/>
    </row>
    <row r="3262">
      <c r="A3262" s="302" t="s">
        <v>85</v>
      </c>
      <c r="B3262" s="291" t="s">
        <v>20580</v>
      </c>
      <c r="C3262" s="292" t="s">
        <v>48</v>
      </c>
      <c r="D3262" s="293">
        <f t="shared" si="2"/>
        <v>1</v>
      </c>
      <c r="E3262" s="294"/>
      <c r="F3262" s="295" t="str">
        <f>IFERROR(__xludf.DUMMYFUNCTION("IF(B3262="""","""",IFERROR(VLOOKUP(TO_TEXT(B3262),PEDIDOS!D:I,6,0),IFERROR(VLOOKUP(B3262*1,PEDIDOS!D:I,6,0),"" "")))"),"ENTREGUE")</f>
        <v>ENTREGUE</v>
      </c>
      <c r="G3262" s="303"/>
      <c r="H3262" s="304"/>
    </row>
    <row r="3263">
      <c r="A3263" s="302" t="s">
        <v>85</v>
      </c>
      <c r="B3263" s="291" t="s">
        <v>20584</v>
      </c>
      <c r="C3263" s="292" t="s">
        <v>48</v>
      </c>
      <c r="D3263" s="293">
        <f t="shared" si="2"/>
        <v>1</v>
      </c>
      <c r="E3263" s="294"/>
      <c r="F3263" s="295" t="str">
        <f>IFERROR(__xludf.DUMMYFUNCTION("IF(B3263="""","""",IFERROR(VLOOKUP(TO_TEXT(B3263),PEDIDOS!D:I,6,0),IFERROR(VLOOKUP(B3263*1,PEDIDOS!D:I,6,0),"" "")))"),"ENTREGUE")</f>
        <v>ENTREGUE</v>
      </c>
      <c r="G3263" s="303"/>
      <c r="H3263" s="304"/>
    </row>
    <row r="3264">
      <c r="A3264" s="302" t="s">
        <v>85</v>
      </c>
      <c r="B3264" s="291" t="s">
        <v>20588</v>
      </c>
      <c r="C3264" s="292" t="s">
        <v>48</v>
      </c>
      <c r="D3264" s="293">
        <f t="shared" si="2"/>
        <v>1</v>
      </c>
      <c r="E3264" s="294"/>
      <c r="F3264" s="295" t="str">
        <f>IFERROR(__xludf.DUMMYFUNCTION("IF(B3264="""","""",IFERROR(VLOOKUP(TO_TEXT(B3264),PEDIDOS!D:I,6,0),IFERROR(VLOOKUP(B3264*1,PEDIDOS!D:I,6,0),"" "")))"),"ENTREGUE")</f>
        <v>ENTREGUE</v>
      </c>
      <c r="G3264" s="303"/>
      <c r="H3264" s="304"/>
    </row>
    <row r="3265">
      <c r="A3265" s="302" t="s">
        <v>85</v>
      </c>
      <c r="B3265" s="291" t="s">
        <v>20610</v>
      </c>
      <c r="C3265" s="292" t="s">
        <v>48</v>
      </c>
      <c r="D3265" s="293">
        <f t="shared" si="2"/>
        <v>1</v>
      </c>
      <c r="E3265" s="294"/>
      <c r="F3265" s="295" t="str">
        <f>IFERROR(__xludf.DUMMYFUNCTION("IF(B3265="""","""",IFERROR(VLOOKUP(TO_TEXT(B3265),PEDIDOS!D:I,6,0),IFERROR(VLOOKUP(B3265*1,PEDIDOS!D:I,6,0),"" "")))"),"ENTREGUE")</f>
        <v>ENTREGUE</v>
      </c>
      <c r="G3265" s="303"/>
      <c r="H3265" s="304"/>
    </row>
    <row r="3266">
      <c r="A3266" s="302" t="s">
        <v>85</v>
      </c>
      <c r="B3266" s="291" t="s">
        <v>20934</v>
      </c>
      <c r="C3266" s="292" t="s">
        <v>48</v>
      </c>
      <c r="D3266" s="293">
        <f t="shared" si="2"/>
        <v>1</v>
      </c>
      <c r="E3266" s="294"/>
      <c r="F3266" s="295" t="str">
        <f>IFERROR(__xludf.DUMMYFUNCTION("IF(B3266="""","""",IFERROR(VLOOKUP(TO_TEXT(B3266),PEDIDOS!D:I,6,0),IFERROR(VLOOKUP(B3266*1,PEDIDOS!D:I,6,0),"" "")))"),"ENTREGUE")</f>
        <v>ENTREGUE</v>
      </c>
      <c r="G3266" s="303"/>
      <c r="H3266" s="304"/>
    </row>
    <row r="3267">
      <c r="A3267" s="302" t="s">
        <v>85</v>
      </c>
      <c r="B3267" s="291" t="s">
        <v>20867</v>
      </c>
      <c r="C3267" s="292" t="s">
        <v>48</v>
      </c>
      <c r="D3267" s="293">
        <f t="shared" si="2"/>
        <v>1</v>
      </c>
      <c r="E3267" s="294"/>
      <c r="F3267" s="295" t="str">
        <f>IFERROR(__xludf.DUMMYFUNCTION("IF(B3267="""","""",IFERROR(VLOOKUP(TO_TEXT(B3267),PEDIDOS!D:I,6,0),IFERROR(VLOOKUP(B3267*1,PEDIDOS!D:I,6,0),"" "")))"),"ENTREGUE")</f>
        <v>ENTREGUE</v>
      </c>
      <c r="G3267" s="303"/>
      <c r="H3267" s="304"/>
    </row>
    <row r="3268">
      <c r="A3268" s="302" t="s">
        <v>85</v>
      </c>
      <c r="B3268" s="291" t="s">
        <v>20840</v>
      </c>
      <c r="C3268" s="292" t="s">
        <v>48</v>
      </c>
      <c r="D3268" s="293">
        <f t="shared" si="2"/>
        <v>1</v>
      </c>
      <c r="E3268" s="294"/>
      <c r="F3268" s="295" t="str">
        <f>IFERROR(__xludf.DUMMYFUNCTION("IF(B3268="""","""",IFERROR(VLOOKUP(TO_TEXT(B3268),PEDIDOS!D:I,6,0),IFERROR(VLOOKUP(B3268*1,PEDIDOS!D:I,6,0),"" "")))"),"ENTREGUE")</f>
        <v>ENTREGUE</v>
      </c>
      <c r="G3268" s="303"/>
      <c r="H3268" s="304"/>
    </row>
    <row r="3269">
      <c r="A3269" s="302" t="s">
        <v>85</v>
      </c>
      <c r="B3269" s="291" t="s">
        <v>20845</v>
      </c>
      <c r="C3269" s="292" t="s">
        <v>48</v>
      </c>
      <c r="D3269" s="293">
        <f t="shared" si="2"/>
        <v>1</v>
      </c>
      <c r="E3269" s="294"/>
      <c r="F3269" s="295" t="str">
        <f>IFERROR(__xludf.DUMMYFUNCTION("IF(B3269="""","""",IFERROR(VLOOKUP(TO_TEXT(B3269),PEDIDOS!D:I,6,0),IFERROR(VLOOKUP(B3269*1,PEDIDOS!D:I,6,0),"" "")))"),"ENTREGUE")</f>
        <v>ENTREGUE</v>
      </c>
      <c r="G3269" s="303"/>
      <c r="H3269" s="304"/>
    </row>
    <row r="3270">
      <c r="A3270" s="302" t="s">
        <v>85</v>
      </c>
      <c r="B3270" s="291" t="s">
        <v>20849</v>
      </c>
      <c r="C3270" s="292" t="s">
        <v>48</v>
      </c>
      <c r="D3270" s="293">
        <f t="shared" si="2"/>
        <v>1</v>
      </c>
      <c r="E3270" s="294"/>
      <c r="F3270" s="295" t="str">
        <f>IFERROR(__xludf.DUMMYFUNCTION("IF(B3270="""","""",IFERROR(VLOOKUP(TO_TEXT(B3270),PEDIDOS!D:I,6,0),IFERROR(VLOOKUP(B3270*1,PEDIDOS!D:I,6,0),"" "")))"),"ENTREGUE")</f>
        <v>ENTREGUE</v>
      </c>
      <c r="G3270" s="303"/>
      <c r="H3270" s="304"/>
    </row>
    <row r="3271">
      <c r="A3271" s="302" t="s">
        <v>85</v>
      </c>
      <c r="B3271" s="291" t="s">
        <v>21008</v>
      </c>
      <c r="C3271" s="292" t="s">
        <v>48</v>
      </c>
      <c r="D3271" s="293">
        <f t="shared" si="2"/>
        <v>1</v>
      </c>
      <c r="E3271" s="294"/>
      <c r="F3271" s="295" t="str">
        <f>IFERROR(__xludf.DUMMYFUNCTION("IF(B3271="""","""",IFERROR(VLOOKUP(TO_TEXT(B3271),PEDIDOS!D:I,6,0),IFERROR(VLOOKUP(B3271*1,PEDIDOS!D:I,6,0),"" "")))"),"ENTREGUE")</f>
        <v>ENTREGUE</v>
      </c>
      <c r="G3271" s="303"/>
      <c r="H3271" s="304"/>
    </row>
    <row r="3272">
      <c r="A3272" s="302" t="s">
        <v>85</v>
      </c>
      <c r="B3272" s="291" t="s">
        <v>21000</v>
      </c>
      <c r="C3272" s="292" t="s">
        <v>48</v>
      </c>
      <c r="D3272" s="293">
        <f t="shared" si="2"/>
        <v>1</v>
      </c>
      <c r="E3272" s="294"/>
      <c r="F3272" s="295" t="str">
        <f>IFERROR(__xludf.DUMMYFUNCTION("IF(B3272="""","""",IFERROR(VLOOKUP(TO_TEXT(B3272),PEDIDOS!D:I,6,0),IFERROR(VLOOKUP(B3272*1,PEDIDOS!D:I,6,0),"" "")))"),"ENTREGUE")</f>
        <v>ENTREGUE</v>
      </c>
      <c r="G3272" s="303"/>
      <c r="H3272" s="304"/>
    </row>
    <row r="3273">
      <c r="A3273" s="302" t="s">
        <v>85</v>
      </c>
      <c r="B3273" s="291" t="s">
        <v>21055</v>
      </c>
      <c r="C3273" s="292" t="s">
        <v>48</v>
      </c>
      <c r="D3273" s="293">
        <f t="shared" si="2"/>
        <v>1</v>
      </c>
      <c r="E3273" s="294"/>
      <c r="F3273" s="295" t="str">
        <f>IFERROR(__xludf.DUMMYFUNCTION("IF(B3273="""","""",IFERROR(VLOOKUP(TO_TEXT(B3273),PEDIDOS!D:I,6,0),IFERROR(VLOOKUP(B3273*1,PEDIDOS!D:I,6,0),"" "")))"),"ENTREGUE")</f>
        <v>ENTREGUE</v>
      </c>
      <c r="G3273" s="303"/>
      <c r="H3273" s="304"/>
    </row>
    <row r="3274">
      <c r="A3274" s="302" t="s">
        <v>85</v>
      </c>
      <c r="B3274" s="291" t="s">
        <v>21004</v>
      </c>
      <c r="C3274" s="292" t="s">
        <v>48</v>
      </c>
      <c r="D3274" s="293">
        <f t="shared" si="2"/>
        <v>1</v>
      </c>
      <c r="E3274" s="294"/>
      <c r="F3274" s="295" t="str">
        <f>IFERROR(__xludf.DUMMYFUNCTION("IF(B3274="""","""",IFERROR(VLOOKUP(TO_TEXT(B3274),PEDIDOS!D:I,6,0),IFERROR(VLOOKUP(B3274*1,PEDIDOS!D:I,6,0),"" "")))"),"ENTREGUE")</f>
        <v>ENTREGUE</v>
      </c>
      <c r="G3274" s="303"/>
      <c r="H3274" s="304"/>
    </row>
    <row r="3275">
      <c r="A3275" s="302" t="s">
        <v>85</v>
      </c>
      <c r="B3275" s="291" t="s">
        <v>21152</v>
      </c>
      <c r="C3275" s="292" t="s">
        <v>48</v>
      </c>
      <c r="D3275" s="293">
        <f t="shared" si="2"/>
        <v>1</v>
      </c>
      <c r="E3275" s="294"/>
      <c r="F3275" s="295" t="str">
        <f>IFERROR(__xludf.DUMMYFUNCTION("IF(B3275="""","""",IFERROR(VLOOKUP(TO_TEXT(B3275),PEDIDOS!D:I,6,0),IFERROR(VLOOKUP(B3275*1,PEDIDOS!D:I,6,0),"" "")))"),"ENTREGUE")</f>
        <v>ENTREGUE</v>
      </c>
      <c r="G3275" s="303"/>
      <c r="H3275" s="304"/>
    </row>
    <row r="3276">
      <c r="A3276" s="302" t="s">
        <v>85</v>
      </c>
      <c r="B3276" s="291" t="s">
        <v>21210</v>
      </c>
      <c r="C3276" s="292" t="s">
        <v>48</v>
      </c>
      <c r="D3276" s="293">
        <f t="shared" si="2"/>
        <v>1</v>
      </c>
      <c r="E3276" s="294"/>
      <c r="F3276" s="295" t="str">
        <f>IFERROR(__xludf.DUMMYFUNCTION("IF(B3276="""","""",IFERROR(VLOOKUP(TO_TEXT(B3276),PEDIDOS!D:I,6,0),IFERROR(VLOOKUP(B3276*1,PEDIDOS!D:I,6,0),"" "")))"),"ENTREGUE")</f>
        <v>ENTREGUE</v>
      </c>
      <c r="G3276" s="303"/>
      <c r="H3276" s="304"/>
    </row>
    <row r="3277">
      <c r="A3277" s="302" t="s">
        <v>85</v>
      </c>
      <c r="B3277" s="291" t="s">
        <v>21171</v>
      </c>
      <c r="C3277" s="292" t="s">
        <v>48</v>
      </c>
      <c r="D3277" s="293">
        <f t="shared" si="2"/>
        <v>1</v>
      </c>
      <c r="E3277" s="294"/>
      <c r="F3277" s="295" t="str">
        <f>IFERROR(__xludf.DUMMYFUNCTION("IF(B3277="""","""",IFERROR(VLOOKUP(TO_TEXT(B3277),PEDIDOS!D:I,6,0),IFERROR(VLOOKUP(B3277*1,PEDIDOS!D:I,6,0),"" "")))"),"ENTREGUE")</f>
        <v>ENTREGUE</v>
      </c>
      <c r="G3277" s="303"/>
      <c r="H3277" s="304"/>
    </row>
    <row r="3278">
      <c r="A3278" s="302" t="s">
        <v>85</v>
      </c>
      <c r="B3278" s="291" t="s">
        <v>21181</v>
      </c>
      <c r="C3278" s="292" t="s">
        <v>48</v>
      </c>
      <c r="D3278" s="293">
        <f t="shared" si="2"/>
        <v>1</v>
      </c>
      <c r="E3278" s="294"/>
      <c r="F3278" s="295" t="str">
        <f>IFERROR(__xludf.DUMMYFUNCTION("IF(B3278="""","""",IFERROR(VLOOKUP(TO_TEXT(B3278),PEDIDOS!D:I,6,0),IFERROR(VLOOKUP(B3278*1,PEDIDOS!D:I,6,0),"" "")))"),"ENTREGUE")</f>
        <v>ENTREGUE</v>
      </c>
      <c r="G3278" s="303"/>
      <c r="H3278" s="304"/>
    </row>
    <row r="3279">
      <c r="A3279" s="302" t="s">
        <v>85</v>
      </c>
      <c r="B3279" s="291" t="s">
        <v>21186</v>
      </c>
      <c r="C3279" s="292" t="s">
        <v>48</v>
      </c>
      <c r="D3279" s="293">
        <f t="shared" si="2"/>
        <v>1</v>
      </c>
      <c r="E3279" s="294"/>
      <c r="F3279" s="295" t="str">
        <f>IFERROR(__xludf.DUMMYFUNCTION("IF(B3279="""","""",IFERROR(VLOOKUP(TO_TEXT(B3279),PEDIDOS!D:I,6,0),IFERROR(VLOOKUP(B3279*1,PEDIDOS!D:I,6,0),"" "")))"),"ENTREGUE")</f>
        <v>ENTREGUE</v>
      </c>
      <c r="G3279" s="303"/>
      <c r="H3279" s="304"/>
    </row>
    <row r="3280">
      <c r="A3280" s="302" t="s">
        <v>85</v>
      </c>
      <c r="B3280" s="291" t="s">
        <v>20789</v>
      </c>
      <c r="C3280" s="292" t="s">
        <v>48</v>
      </c>
      <c r="D3280" s="293">
        <f t="shared" si="2"/>
        <v>1</v>
      </c>
      <c r="E3280" s="294"/>
      <c r="F3280" s="295" t="str">
        <f>IFERROR(__xludf.DUMMYFUNCTION("IF(B3280="""","""",IFERROR(VLOOKUP(TO_TEXT(B3280),PEDIDOS!D:I,6,0),IFERROR(VLOOKUP(B3280*1,PEDIDOS!D:I,6,0),"" "")))"),"ENTREGUE")</f>
        <v>ENTREGUE</v>
      </c>
      <c r="G3280" s="303"/>
      <c r="H3280" s="304"/>
    </row>
    <row r="3281">
      <c r="A3281" s="302" t="s">
        <v>85</v>
      </c>
      <c r="B3281" s="291" t="s">
        <v>20793</v>
      </c>
      <c r="C3281" s="292" t="s">
        <v>48</v>
      </c>
      <c r="D3281" s="293">
        <f t="shared" si="2"/>
        <v>1</v>
      </c>
      <c r="E3281" s="294"/>
      <c r="F3281" s="295" t="str">
        <f>IFERROR(__xludf.DUMMYFUNCTION("IF(B3281="""","""",IFERROR(VLOOKUP(TO_TEXT(B3281),PEDIDOS!D:I,6,0),IFERROR(VLOOKUP(B3281*1,PEDIDOS!D:I,6,0),"" "")))"),"ENTREGUE")</f>
        <v>ENTREGUE</v>
      </c>
      <c r="G3281" s="303"/>
      <c r="H3281" s="304"/>
    </row>
    <row r="3282">
      <c r="A3282" s="302" t="s">
        <v>85</v>
      </c>
      <c r="B3282" s="291" t="s">
        <v>21107</v>
      </c>
      <c r="C3282" s="292" t="s">
        <v>48</v>
      </c>
      <c r="D3282" s="293">
        <f t="shared" si="2"/>
        <v>1</v>
      </c>
      <c r="E3282" s="294"/>
      <c r="F3282" s="295" t="str">
        <f>IFERROR(__xludf.DUMMYFUNCTION("IF(B3282="""","""",IFERROR(VLOOKUP(TO_TEXT(B3282),PEDIDOS!D:I,6,0),IFERROR(VLOOKUP(B3282*1,PEDIDOS!D:I,6,0),"" "")))"),"ENTREGUE")</f>
        <v>ENTREGUE</v>
      </c>
      <c r="G3282" s="303"/>
      <c r="H3282" s="304"/>
    </row>
    <row r="3283">
      <c r="A3283" s="302" t="s">
        <v>85</v>
      </c>
      <c r="B3283" s="291" t="s">
        <v>21190</v>
      </c>
      <c r="C3283" s="292" t="s">
        <v>48</v>
      </c>
      <c r="D3283" s="293">
        <f t="shared" si="2"/>
        <v>1</v>
      </c>
      <c r="E3283" s="294"/>
      <c r="F3283" s="295" t="str">
        <f>IFERROR(__xludf.DUMMYFUNCTION("IF(B3283="""","""",IFERROR(VLOOKUP(TO_TEXT(B3283),PEDIDOS!D:I,6,0),IFERROR(VLOOKUP(B3283*1,PEDIDOS!D:I,6,0),"" "")))"),"ENTREGUE")</f>
        <v>ENTREGUE</v>
      </c>
      <c r="G3283" s="303"/>
      <c r="H3283" s="304"/>
    </row>
    <row r="3284">
      <c r="A3284" s="302" t="s">
        <v>85</v>
      </c>
      <c r="B3284" s="291" t="s">
        <v>21198</v>
      </c>
      <c r="C3284" s="292" t="s">
        <v>48</v>
      </c>
      <c r="D3284" s="293">
        <f t="shared" si="2"/>
        <v>1</v>
      </c>
      <c r="E3284" s="294"/>
      <c r="F3284" s="295" t="str">
        <f>IFERROR(__xludf.DUMMYFUNCTION("IF(B3284="""","""",IFERROR(VLOOKUP(TO_TEXT(B3284),PEDIDOS!D:I,6,0),IFERROR(VLOOKUP(B3284*1,PEDIDOS!D:I,6,0),"" "")))"),"ENTREGUE")</f>
        <v>ENTREGUE</v>
      </c>
      <c r="G3284" s="303"/>
      <c r="H3284" s="304"/>
    </row>
    <row r="3285">
      <c r="A3285" s="302" t="s">
        <v>85</v>
      </c>
      <c r="B3285" s="291" t="s">
        <v>21233</v>
      </c>
      <c r="C3285" s="292" t="s">
        <v>48</v>
      </c>
      <c r="D3285" s="293">
        <f t="shared" si="2"/>
        <v>1</v>
      </c>
      <c r="E3285" s="294"/>
      <c r="F3285" s="295" t="str">
        <f>IFERROR(__xludf.DUMMYFUNCTION("IF(B3285="""","""",IFERROR(VLOOKUP(TO_TEXT(B3285),PEDIDOS!D:I,6,0),IFERROR(VLOOKUP(B3285*1,PEDIDOS!D:I,6,0),"" "")))"),"ENTREGUE")</f>
        <v>ENTREGUE</v>
      </c>
      <c r="G3285" s="303"/>
      <c r="H3285" s="304"/>
    </row>
    <row r="3286">
      <c r="A3286" s="302" t="s">
        <v>85</v>
      </c>
      <c r="B3286" s="291" t="s">
        <v>21265</v>
      </c>
      <c r="C3286" s="292" t="s">
        <v>48</v>
      </c>
      <c r="D3286" s="293">
        <f t="shared" si="2"/>
        <v>1</v>
      </c>
      <c r="E3286" s="294"/>
      <c r="F3286" s="295" t="str">
        <f>IFERROR(__xludf.DUMMYFUNCTION("IF(B3286="""","""",IFERROR(VLOOKUP(TO_TEXT(B3286),PEDIDOS!D:I,6,0),IFERROR(VLOOKUP(B3286*1,PEDIDOS!D:I,6,0),"" "")))"),"ENTREGUE")</f>
        <v>ENTREGUE</v>
      </c>
      <c r="G3286" s="303"/>
      <c r="H3286" s="304"/>
    </row>
    <row r="3287">
      <c r="A3287" s="302" t="s">
        <v>85</v>
      </c>
      <c r="B3287" s="291" t="s">
        <v>19998</v>
      </c>
      <c r="C3287" s="292" t="s">
        <v>48</v>
      </c>
      <c r="D3287" s="293">
        <f t="shared" si="2"/>
        <v>1</v>
      </c>
      <c r="E3287" s="294"/>
      <c r="F3287" s="295" t="str">
        <f>IFERROR(__xludf.DUMMYFUNCTION("IF(B3287="""","""",IFERROR(VLOOKUP(TO_TEXT(B3287),PEDIDOS!D:I,6,0),IFERROR(VLOOKUP(B3287*1,PEDIDOS!D:I,6,0),"" "")))"),"ENTREGUE")</f>
        <v>ENTREGUE</v>
      </c>
      <c r="G3287" s="303"/>
      <c r="H3287" s="304"/>
    </row>
    <row r="3288">
      <c r="A3288" s="302" t="s">
        <v>85</v>
      </c>
      <c r="B3288" s="291" t="s">
        <v>20003</v>
      </c>
      <c r="C3288" s="292" t="s">
        <v>48</v>
      </c>
      <c r="D3288" s="293">
        <f t="shared" si="2"/>
        <v>1</v>
      </c>
      <c r="E3288" s="294"/>
      <c r="F3288" s="295" t="str">
        <f>IFERROR(__xludf.DUMMYFUNCTION("IF(B3288="""","""",IFERROR(VLOOKUP(TO_TEXT(B3288),PEDIDOS!D:I,6,0),IFERROR(VLOOKUP(B3288*1,PEDIDOS!D:I,6,0),"" "")))"),"ENTREGUE")</f>
        <v>ENTREGUE</v>
      </c>
      <c r="G3288" s="303"/>
      <c r="H3288" s="304"/>
    </row>
    <row r="3289">
      <c r="A3289" s="302" t="s">
        <v>91</v>
      </c>
      <c r="B3289" s="291" t="s">
        <v>17291</v>
      </c>
      <c r="C3289" s="292" t="s">
        <v>48</v>
      </c>
      <c r="D3289" s="293">
        <f t="shared" si="2"/>
        <v>1</v>
      </c>
      <c r="E3289" s="294"/>
      <c r="F3289" s="295" t="str">
        <f>IFERROR(__xludf.DUMMYFUNCTION("IF(B3289="""","""",IFERROR(VLOOKUP(TO_TEXT(B3289),PEDIDOS!D:I,6,0),IFERROR(VLOOKUP(B3289*1,PEDIDOS!D:I,6,0),"" "")))"),"ENTREGUE")</f>
        <v>ENTREGUE</v>
      </c>
      <c r="G3289" s="303"/>
      <c r="H3289" s="304"/>
    </row>
    <row r="3290">
      <c r="A3290" s="302" t="s">
        <v>91</v>
      </c>
      <c r="B3290" s="291" t="s">
        <v>17286</v>
      </c>
      <c r="C3290" s="292" t="s">
        <v>48</v>
      </c>
      <c r="D3290" s="293">
        <f t="shared" si="2"/>
        <v>1</v>
      </c>
      <c r="E3290" s="294"/>
      <c r="F3290" s="295" t="str">
        <f>IFERROR(__xludf.DUMMYFUNCTION("IF(B3290="""","""",IFERROR(VLOOKUP(TO_TEXT(B3290),PEDIDOS!D:I,6,0),IFERROR(VLOOKUP(B3290*1,PEDIDOS!D:I,6,0),"" "")))"),"ENTREGUE")</f>
        <v>ENTREGUE</v>
      </c>
      <c r="G3290" s="303"/>
      <c r="H3290" s="304"/>
    </row>
    <row r="3291">
      <c r="A3291" s="302" t="s">
        <v>91</v>
      </c>
      <c r="B3291" s="291" t="s">
        <v>17238</v>
      </c>
      <c r="C3291" s="292" t="s">
        <v>48</v>
      </c>
      <c r="D3291" s="293">
        <f t="shared" si="2"/>
        <v>1</v>
      </c>
      <c r="E3291" s="294"/>
      <c r="F3291" s="295" t="str">
        <f>IFERROR(__xludf.DUMMYFUNCTION("IF(B3291="""","""",IFERROR(VLOOKUP(TO_TEXT(B3291),PEDIDOS!D:I,6,0),IFERROR(VLOOKUP(B3291*1,PEDIDOS!D:I,6,0),"" "")))"),"ENTREGUE")</f>
        <v>ENTREGUE</v>
      </c>
      <c r="G3291" s="303"/>
      <c r="H3291" s="304"/>
    </row>
    <row r="3292">
      <c r="A3292" s="302" t="s">
        <v>91</v>
      </c>
      <c r="B3292" s="291" t="s">
        <v>18526</v>
      </c>
      <c r="C3292" s="292" t="s">
        <v>48</v>
      </c>
      <c r="D3292" s="293">
        <f t="shared" si="2"/>
        <v>1</v>
      </c>
      <c r="E3292" s="294"/>
      <c r="F3292" s="295" t="str">
        <f>IFERROR(__xludf.DUMMYFUNCTION("IF(B3292="""","""",IFERROR(VLOOKUP(TO_TEXT(B3292),PEDIDOS!D:I,6,0),IFERROR(VLOOKUP(B3292*1,PEDIDOS!D:I,6,0),"" "")))"),"ENTREGUE")</f>
        <v>ENTREGUE</v>
      </c>
      <c r="G3292" s="303"/>
      <c r="H3292" s="304"/>
    </row>
    <row r="3293">
      <c r="A3293" s="302" t="s">
        <v>91</v>
      </c>
      <c r="B3293" s="291" t="s">
        <v>18574</v>
      </c>
      <c r="C3293" s="292" t="s">
        <v>48</v>
      </c>
      <c r="D3293" s="293">
        <f t="shared" si="2"/>
        <v>1</v>
      </c>
      <c r="E3293" s="294"/>
      <c r="F3293" s="295" t="str">
        <f>IFERROR(__xludf.DUMMYFUNCTION("IF(B3293="""","""",IFERROR(VLOOKUP(TO_TEXT(B3293),PEDIDOS!D:I,6,0),IFERROR(VLOOKUP(B3293*1,PEDIDOS!D:I,6,0),"" "")))"),"ENTREGUE")</f>
        <v>ENTREGUE</v>
      </c>
      <c r="G3293" s="303"/>
      <c r="H3293" s="304"/>
    </row>
    <row r="3294">
      <c r="A3294" s="302" t="s">
        <v>91</v>
      </c>
      <c r="B3294" s="291" t="s">
        <v>18536</v>
      </c>
      <c r="C3294" s="292" t="s">
        <v>48</v>
      </c>
      <c r="D3294" s="293">
        <f t="shared" si="2"/>
        <v>1</v>
      </c>
      <c r="E3294" s="294"/>
      <c r="F3294" s="295" t="str">
        <f>IFERROR(__xludf.DUMMYFUNCTION("IF(B3294="""","""",IFERROR(VLOOKUP(TO_TEXT(B3294),PEDIDOS!D:I,6,0),IFERROR(VLOOKUP(B3294*1,PEDIDOS!D:I,6,0),"" "")))"),"ENTREGUE")</f>
        <v>ENTREGUE</v>
      </c>
      <c r="G3294" s="303"/>
      <c r="H3294" s="304"/>
    </row>
    <row r="3295">
      <c r="A3295" s="302" t="s">
        <v>91</v>
      </c>
      <c r="B3295" s="291" t="s">
        <v>18532</v>
      </c>
      <c r="C3295" s="292" t="s">
        <v>48</v>
      </c>
      <c r="D3295" s="293">
        <f t="shared" si="2"/>
        <v>1</v>
      </c>
      <c r="E3295" s="294"/>
      <c r="F3295" s="295" t="str">
        <f>IFERROR(__xludf.DUMMYFUNCTION("IF(B3295="""","""",IFERROR(VLOOKUP(TO_TEXT(B3295),PEDIDOS!D:I,6,0),IFERROR(VLOOKUP(B3295*1,PEDIDOS!D:I,6,0),"" "")))"),"ENTREGUE")</f>
        <v>ENTREGUE</v>
      </c>
      <c r="G3295" s="303"/>
      <c r="H3295" s="304"/>
    </row>
    <row r="3296">
      <c r="A3296" s="302" t="s">
        <v>91</v>
      </c>
      <c r="B3296" s="291" t="s">
        <v>18592</v>
      </c>
      <c r="C3296" s="292" t="s">
        <v>48</v>
      </c>
      <c r="D3296" s="293">
        <f t="shared" si="2"/>
        <v>1</v>
      </c>
      <c r="E3296" s="294"/>
      <c r="F3296" s="295" t="str">
        <f>IFERROR(__xludf.DUMMYFUNCTION("IF(B3296="""","""",IFERROR(VLOOKUP(TO_TEXT(B3296),PEDIDOS!D:I,6,0),IFERROR(VLOOKUP(B3296*1,PEDIDOS!D:I,6,0),"" "")))"),"ENTREGUE")</f>
        <v>ENTREGUE</v>
      </c>
      <c r="G3296" s="303"/>
      <c r="H3296" s="304"/>
    </row>
    <row r="3297">
      <c r="A3297" s="302" t="s">
        <v>91</v>
      </c>
      <c r="B3297" s="291" t="s">
        <v>18617</v>
      </c>
      <c r="C3297" s="292" t="s">
        <v>48</v>
      </c>
      <c r="D3297" s="293">
        <f t="shared" si="2"/>
        <v>1</v>
      </c>
      <c r="E3297" s="294"/>
      <c r="F3297" s="295" t="str">
        <f>IFERROR(__xludf.DUMMYFUNCTION("IF(B3297="""","""",IFERROR(VLOOKUP(TO_TEXT(B3297),PEDIDOS!D:I,6,0),IFERROR(VLOOKUP(B3297*1,PEDIDOS!D:I,6,0),"" "")))"),"ENTREGUE")</f>
        <v>ENTREGUE</v>
      </c>
      <c r="G3297" s="303"/>
      <c r="H3297" s="304"/>
    </row>
    <row r="3298">
      <c r="A3298" s="302" t="s">
        <v>91</v>
      </c>
      <c r="B3298" s="291" t="s">
        <v>18477</v>
      </c>
      <c r="C3298" s="292" t="s">
        <v>48</v>
      </c>
      <c r="D3298" s="293">
        <f t="shared" si="2"/>
        <v>1</v>
      </c>
      <c r="E3298" s="294"/>
      <c r="F3298" s="295" t="str">
        <f>IFERROR(__xludf.DUMMYFUNCTION("IF(B3298="""","""",IFERROR(VLOOKUP(TO_TEXT(B3298),PEDIDOS!D:I,6,0),IFERROR(VLOOKUP(B3298*1,PEDIDOS!D:I,6,0),"" "")))"),"ENTREGUE")</f>
        <v>ENTREGUE</v>
      </c>
      <c r="G3298" s="303"/>
      <c r="H3298" s="304"/>
    </row>
    <row r="3299">
      <c r="A3299" s="302" t="s">
        <v>91</v>
      </c>
      <c r="B3299" s="291" t="s">
        <v>18710</v>
      </c>
      <c r="C3299" s="292" t="s">
        <v>48</v>
      </c>
      <c r="D3299" s="293">
        <f t="shared" si="2"/>
        <v>1</v>
      </c>
      <c r="E3299" s="294"/>
      <c r="F3299" s="295" t="str">
        <f>IFERROR(__xludf.DUMMYFUNCTION("IF(B3299="""","""",IFERROR(VLOOKUP(TO_TEXT(B3299),PEDIDOS!D:I,6,0),IFERROR(VLOOKUP(B3299*1,PEDIDOS!D:I,6,0),"" "")))"),"FINALIZADO")</f>
        <v>FINALIZADO</v>
      </c>
      <c r="G3299" s="303"/>
      <c r="H3299" s="304"/>
    </row>
    <row r="3300">
      <c r="A3300" s="302" t="s">
        <v>91</v>
      </c>
      <c r="B3300" s="291" t="s">
        <v>19765</v>
      </c>
      <c r="C3300" s="292" t="s">
        <v>48</v>
      </c>
      <c r="D3300" s="293">
        <f t="shared" si="2"/>
        <v>1</v>
      </c>
      <c r="E3300" s="294"/>
      <c r="F3300" s="295" t="str">
        <f>IFERROR(__xludf.DUMMYFUNCTION("IF(B3300="""","""",IFERROR(VLOOKUP(TO_TEXT(B3300),PEDIDOS!D:I,6,0),IFERROR(VLOOKUP(B3300*1,PEDIDOS!D:I,6,0),"" "")))"),"ENTREGUE")</f>
        <v>ENTREGUE</v>
      </c>
      <c r="G3300" s="303"/>
      <c r="H3300" s="304"/>
    </row>
    <row r="3301">
      <c r="A3301" s="302" t="s">
        <v>91</v>
      </c>
      <c r="B3301" s="291" t="s">
        <v>19830</v>
      </c>
      <c r="C3301" s="292" t="s">
        <v>48</v>
      </c>
      <c r="D3301" s="293">
        <f t="shared" si="2"/>
        <v>1</v>
      </c>
      <c r="E3301" s="294"/>
      <c r="F3301" s="295" t="str">
        <f>IFERROR(__xludf.DUMMYFUNCTION("IF(B3301="""","""",IFERROR(VLOOKUP(TO_TEXT(B3301),PEDIDOS!D:I,6,0),IFERROR(VLOOKUP(B3301*1,PEDIDOS!D:I,6,0),"" "")))"),"ENTREGUE")</f>
        <v>ENTREGUE</v>
      </c>
      <c r="G3301" s="303"/>
      <c r="H3301" s="304"/>
    </row>
    <row r="3302">
      <c r="A3302" s="302" t="s">
        <v>91</v>
      </c>
      <c r="B3302" s="291" t="s">
        <v>18734</v>
      </c>
      <c r="C3302" s="292" t="s">
        <v>48</v>
      </c>
      <c r="D3302" s="293">
        <f t="shared" si="2"/>
        <v>1</v>
      </c>
      <c r="E3302" s="294"/>
      <c r="F3302" s="295" t="str">
        <f>IFERROR(__xludf.DUMMYFUNCTION("IF(B3302="""","""",IFERROR(VLOOKUP(TO_TEXT(B3302),PEDIDOS!D:I,6,0),IFERROR(VLOOKUP(B3302*1,PEDIDOS!D:I,6,0),"" "")))"),"ENTREGUE")</f>
        <v>ENTREGUE</v>
      </c>
      <c r="G3302" s="303"/>
      <c r="H3302" s="304"/>
    </row>
    <row r="3303">
      <c r="A3303" s="302" t="s">
        <v>91</v>
      </c>
      <c r="B3303" s="291" t="s">
        <v>18679</v>
      </c>
      <c r="C3303" s="292" t="s">
        <v>48</v>
      </c>
      <c r="D3303" s="293">
        <f t="shared" si="2"/>
        <v>1</v>
      </c>
      <c r="E3303" s="294"/>
      <c r="F3303" s="295" t="str">
        <f>IFERROR(__xludf.DUMMYFUNCTION("IF(B3303="""","""",IFERROR(VLOOKUP(TO_TEXT(B3303),PEDIDOS!D:I,6,0),IFERROR(VLOOKUP(B3303*1,PEDIDOS!D:I,6,0),"" "")))"),"ENTREGUE")</f>
        <v>ENTREGUE</v>
      </c>
      <c r="G3303" s="303"/>
      <c r="H3303" s="304"/>
    </row>
    <row r="3304">
      <c r="A3304" s="302" t="s">
        <v>91</v>
      </c>
      <c r="B3304" s="291" t="s">
        <v>19107</v>
      </c>
      <c r="C3304" s="292" t="s">
        <v>48</v>
      </c>
      <c r="D3304" s="293">
        <f t="shared" si="2"/>
        <v>1</v>
      </c>
      <c r="E3304" s="294"/>
      <c r="F3304" s="295" t="str">
        <f>IFERROR(__xludf.DUMMYFUNCTION("IF(B3304="""","""",IFERROR(VLOOKUP(TO_TEXT(B3304),PEDIDOS!D:I,6,0),IFERROR(VLOOKUP(B3304*1,PEDIDOS!D:I,6,0),"" "")))"),"ENTREGUE")</f>
        <v>ENTREGUE</v>
      </c>
      <c r="G3304" s="303"/>
      <c r="H3304" s="304"/>
    </row>
    <row r="3305">
      <c r="A3305" s="302" t="s">
        <v>91</v>
      </c>
      <c r="B3305" s="291" t="s">
        <v>18728</v>
      </c>
      <c r="C3305" s="292" t="s">
        <v>48</v>
      </c>
      <c r="D3305" s="293">
        <f t="shared" si="2"/>
        <v>1</v>
      </c>
      <c r="E3305" s="294"/>
      <c r="F3305" s="295" t="str">
        <f>IFERROR(__xludf.DUMMYFUNCTION("IF(B3305="""","""",IFERROR(VLOOKUP(TO_TEXT(B3305),PEDIDOS!D:I,6,0),IFERROR(VLOOKUP(B3305*1,PEDIDOS!D:I,6,0),"" "")))"),"ENTREGUE")</f>
        <v>ENTREGUE</v>
      </c>
      <c r="G3305" s="303"/>
      <c r="H3305" s="304"/>
    </row>
    <row r="3306">
      <c r="A3306" s="302" t="s">
        <v>91</v>
      </c>
      <c r="B3306" s="291" t="s">
        <v>18763</v>
      </c>
      <c r="C3306" s="292" t="s">
        <v>48</v>
      </c>
      <c r="D3306" s="293">
        <f t="shared" si="2"/>
        <v>1</v>
      </c>
      <c r="E3306" s="294"/>
      <c r="F3306" s="295" t="str">
        <f>IFERROR(__xludf.DUMMYFUNCTION("IF(B3306="""","""",IFERROR(VLOOKUP(TO_TEXT(B3306),PEDIDOS!D:I,6,0),IFERROR(VLOOKUP(B3306*1,PEDIDOS!D:I,6,0),"" "")))"),"ENTREGUE")</f>
        <v>ENTREGUE</v>
      </c>
      <c r="G3306" s="303"/>
      <c r="H3306" s="304"/>
    </row>
    <row r="3307">
      <c r="A3307" s="302" t="s">
        <v>91</v>
      </c>
      <c r="B3307" s="291" t="s">
        <v>18784</v>
      </c>
      <c r="C3307" s="292" t="s">
        <v>48</v>
      </c>
      <c r="D3307" s="293">
        <f t="shared" si="2"/>
        <v>1</v>
      </c>
      <c r="E3307" s="294"/>
      <c r="F3307" s="295" t="str">
        <f>IFERROR(__xludf.DUMMYFUNCTION("IF(B3307="""","""",IFERROR(VLOOKUP(TO_TEXT(B3307),PEDIDOS!D:I,6,0),IFERROR(VLOOKUP(B3307*1,PEDIDOS!D:I,6,0),"" "")))"),"ENTREGUE")</f>
        <v>ENTREGUE</v>
      </c>
      <c r="G3307" s="303"/>
      <c r="H3307" s="304"/>
    </row>
    <row r="3308">
      <c r="A3308" s="302" t="s">
        <v>91</v>
      </c>
      <c r="B3308" s="291" t="s">
        <v>18779</v>
      </c>
      <c r="C3308" s="292" t="s">
        <v>48</v>
      </c>
      <c r="D3308" s="293">
        <f t="shared" si="2"/>
        <v>1</v>
      </c>
      <c r="E3308" s="294"/>
      <c r="F3308" s="295" t="str">
        <f>IFERROR(__xludf.DUMMYFUNCTION("IF(B3308="""","""",IFERROR(VLOOKUP(TO_TEXT(B3308),PEDIDOS!D:I,6,0),IFERROR(VLOOKUP(B3308*1,PEDIDOS!D:I,6,0),"" "")))"),"ENTREGUE")</f>
        <v>ENTREGUE</v>
      </c>
      <c r="G3308" s="303"/>
      <c r="H3308" s="304"/>
    </row>
    <row r="3309">
      <c r="A3309" s="302" t="s">
        <v>112</v>
      </c>
      <c r="B3309" s="291" t="s">
        <v>23454</v>
      </c>
      <c r="C3309" s="292" t="s">
        <v>48</v>
      </c>
      <c r="D3309" s="293">
        <f t="shared" si="2"/>
        <v>1</v>
      </c>
      <c r="E3309" s="294"/>
      <c r="F3309" s="295" t="str">
        <f>IFERROR(__xludf.DUMMYFUNCTION("IF(B3309="""","""",IFERROR(VLOOKUP(TO_TEXT(B3309),PEDIDOS!D:I,6,0),IFERROR(VLOOKUP(B3309*1,PEDIDOS!D:I,6,0),"" "")))")," ")</f>
        <v> </v>
      </c>
      <c r="G3309" s="307" t="s">
        <v>23334</v>
      </c>
      <c r="H3309" s="304"/>
    </row>
    <row r="3310">
      <c r="A3310" s="302" t="s">
        <v>112</v>
      </c>
      <c r="B3310" s="291" t="s">
        <v>16232</v>
      </c>
      <c r="C3310" s="292" t="s">
        <v>48</v>
      </c>
      <c r="D3310" s="293">
        <f t="shared" si="2"/>
        <v>1</v>
      </c>
      <c r="E3310" s="294"/>
      <c r="F3310" s="295" t="str">
        <f>IFERROR(__xludf.DUMMYFUNCTION("IF(B3310="""","""",IFERROR(VLOOKUP(TO_TEXT(B3310),PEDIDOS!D:I,6,0),IFERROR(VLOOKUP(B3310*1,PEDIDOS!D:I,6,0),"" "")))"),"ENTREGUE")</f>
        <v>ENTREGUE</v>
      </c>
      <c r="G3310" s="303"/>
      <c r="H3310" s="304"/>
    </row>
    <row r="3311">
      <c r="A3311" s="302" t="s">
        <v>112</v>
      </c>
      <c r="B3311" s="291" t="s">
        <v>16236</v>
      </c>
      <c r="C3311" s="292" t="s">
        <v>48</v>
      </c>
      <c r="D3311" s="293">
        <f t="shared" si="2"/>
        <v>1</v>
      </c>
      <c r="E3311" s="294"/>
      <c r="F3311" s="295" t="str">
        <f>IFERROR(__xludf.DUMMYFUNCTION("IF(B3311="""","""",IFERROR(VLOOKUP(TO_TEXT(B3311),PEDIDOS!D:I,6,0),IFERROR(VLOOKUP(B3311*1,PEDIDOS!D:I,6,0),"" "")))"),"ENTREGUE")</f>
        <v>ENTREGUE</v>
      </c>
      <c r="G3311" s="303"/>
      <c r="H3311" s="304"/>
    </row>
    <row r="3312">
      <c r="A3312" s="302" t="s">
        <v>112</v>
      </c>
      <c r="B3312" s="291" t="s">
        <v>16228</v>
      </c>
      <c r="C3312" s="292" t="s">
        <v>48</v>
      </c>
      <c r="D3312" s="293">
        <f t="shared" si="2"/>
        <v>1</v>
      </c>
      <c r="E3312" s="294"/>
      <c r="F3312" s="295" t="str">
        <f>IFERROR(__xludf.DUMMYFUNCTION("IF(B3312="""","""",IFERROR(VLOOKUP(TO_TEXT(B3312),PEDIDOS!D:I,6,0),IFERROR(VLOOKUP(B3312*1,PEDIDOS!D:I,6,0),"" "")))"),"ENTREGUE")</f>
        <v>ENTREGUE</v>
      </c>
      <c r="G3312" s="303"/>
      <c r="H3312" s="304"/>
    </row>
    <row r="3313">
      <c r="A3313" s="302" t="s">
        <v>112</v>
      </c>
      <c r="B3313" s="291" t="s">
        <v>17011</v>
      </c>
      <c r="C3313" s="292" t="s">
        <v>48</v>
      </c>
      <c r="D3313" s="293">
        <f t="shared" si="2"/>
        <v>1</v>
      </c>
      <c r="E3313" s="294"/>
      <c r="F3313" s="295" t="str">
        <f>IFERROR(__xludf.DUMMYFUNCTION("IF(B3313="""","""",IFERROR(VLOOKUP(TO_TEXT(B3313),PEDIDOS!D:I,6,0),IFERROR(VLOOKUP(B3313*1,PEDIDOS!D:I,6,0),"" "")))"),"ENTREGUE")</f>
        <v>ENTREGUE</v>
      </c>
      <c r="G3313" s="303"/>
      <c r="H3313" s="304"/>
    </row>
    <row r="3314">
      <c r="A3314" s="302" t="s">
        <v>112</v>
      </c>
      <c r="B3314" s="291" t="s">
        <v>17429</v>
      </c>
      <c r="C3314" s="292" t="s">
        <v>48</v>
      </c>
      <c r="D3314" s="293">
        <f t="shared" si="2"/>
        <v>1</v>
      </c>
      <c r="E3314" s="294"/>
      <c r="F3314" s="295" t="str">
        <f>IFERROR(__xludf.DUMMYFUNCTION("IF(B3314="""","""",IFERROR(VLOOKUP(TO_TEXT(B3314),PEDIDOS!D:I,6,0),IFERROR(VLOOKUP(B3314*1,PEDIDOS!D:I,6,0),"" "")))"),"ENTREGUE")</f>
        <v>ENTREGUE</v>
      </c>
      <c r="G3314" s="303"/>
      <c r="H3314" s="304"/>
    </row>
    <row r="3315">
      <c r="A3315" s="302" t="s">
        <v>112</v>
      </c>
      <c r="B3315" s="291" t="s">
        <v>17108</v>
      </c>
      <c r="C3315" s="292" t="s">
        <v>48</v>
      </c>
      <c r="D3315" s="293">
        <f t="shared" si="2"/>
        <v>1</v>
      </c>
      <c r="E3315" s="294"/>
      <c r="F3315" s="295" t="str">
        <f>IFERROR(__xludf.DUMMYFUNCTION("IF(B3315="""","""",IFERROR(VLOOKUP(TO_TEXT(B3315),PEDIDOS!D:I,6,0),IFERROR(VLOOKUP(B3315*1,PEDIDOS!D:I,6,0),"" "")))"),"ENTREGUE")</f>
        <v>ENTREGUE</v>
      </c>
      <c r="G3315" s="303"/>
      <c r="H3315" s="304"/>
    </row>
    <row r="3316">
      <c r="A3316" s="302" t="s">
        <v>112</v>
      </c>
      <c r="B3316" s="291" t="s">
        <v>17156</v>
      </c>
      <c r="C3316" s="292" t="s">
        <v>48</v>
      </c>
      <c r="D3316" s="293">
        <f t="shared" si="2"/>
        <v>1</v>
      </c>
      <c r="E3316" s="294"/>
      <c r="F3316" s="295" t="str">
        <f>IFERROR(__xludf.DUMMYFUNCTION("IF(B3316="""","""",IFERROR(VLOOKUP(TO_TEXT(B3316),PEDIDOS!D:I,6,0),IFERROR(VLOOKUP(B3316*1,PEDIDOS!D:I,6,0),"" "")))"),"ENTREGUE")</f>
        <v>ENTREGUE</v>
      </c>
      <c r="G3316" s="303"/>
      <c r="H3316" s="304"/>
    </row>
    <row r="3317">
      <c r="A3317" s="302" t="s">
        <v>112</v>
      </c>
      <c r="B3317" s="291" t="s">
        <v>23455</v>
      </c>
      <c r="C3317" s="292" t="s">
        <v>48</v>
      </c>
      <c r="D3317" s="293">
        <f t="shared" si="2"/>
        <v>1</v>
      </c>
      <c r="E3317" s="294"/>
      <c r="F3317" s="295" t="str">
        <f>IFERROR(__xludf.DUMMYFUNCTION("IF(B3317="""","""",IFERROR(VLOOKUP(TO_TEXT(B3317),PEDIDOS!D:I,6,0),IFERROR(VLOOKUP(B3317*1,PEDIDOS!D:I,6,0),"" "")))")," ")</f>
        <v> </v>
      </c>
      <c r="G3317" s="307" t="s">
        <v>23334</v>
      </c>
      <c r="H3317" s="304"/>
    </row>
    <row r="3318">
      <c r="A3318" s="302" t="s">
        <v>112</v>
      </c>
      <c r="B3318" s="291" t="s">
        <v>16880</v>
      </c>
      <c r="C3318" s="292" t="s">
        <v>48</v>
      </c>
      <c r="D3318" s="293">
        <f t="shared" si="2"/>
        <v>1</v>
      </c>
      <c r="E3318" s="294"/>
      <c r="F3318" s="295" t="str">
        <f>IFERROR(__xludf.DUMMYFUNCTION("IF(B3318="""","""",IFERROR(VLOOKUP(TO_TEXT(B3318),PEDIDOS!D:I,6,0),IFERROR(VLOOKUP(B3318*1,PEDIDOS!D:I,6,0),"" "")))"),"ENTREGUE")</f>
        <v>ENTREGUE</v>
      </c>
      <c r="G3318" s="303"/>
      <c r="H3318" s="304"/>
    </row>
    <row r="3319">
      <c r="A3319" s="302" t="s">
        <v>112</v>
      </c>
      <c r="B3319" s="291" t="s">
        <v>16886</v>
      </c>
      <c r="C3319" s="292" t="s">
        <v>48</v>
      </c>
      <c r="D3319" s="293">
        <f t="shared" si="2"/>
        <v>1</v>
      </c>
      <c r="E3319" s="294"/>
      <c r="F3319" s="295" t="str">
        <f>IFERROR(__xludf.DUMMYFUNCTION("IF(B3319="""","""",IFERROR(VLOOKUP(TO_TEXT(B3319),PEDIDOS!D:I,6,0),IFERROR(VLOOKUP(B3319*1,PEDIDOS!D:I,6,0),"" "")))"),"ENTREGUE")</f>
        <v>ENTREGUE</v>
      </c>
      <c r="G3319" s="303"/>
      <c r="H3319" s="304"/>
    </row>
    <row r="3320">
      <c r="A3320" s="302" t="s">
        <v>112</v>
      </c>
      <c r="B3320" s="291" t="s">
        <v>17296</v>
      </c>
      <c r="C3320" s="292" t="s">
        <v>48</v>
      </c>
      <c r="D3320" s="293">
        <f t="shared" si="2"/>
        <v>1</v>
      </c>
      <c r="E3320" s="294"/>
      <c r="F3320" s="295" t="str">
        <f>IFERROR(__xludf.DUMMYFUNCTION("IF(B3320="""","""",IFERROR(VLOOKUP(TO_TEXT(B3320),PEDIDOS!D:I,6,0),IFERROR(VLOOKUP(B3320*1,PEDIDOS!D:I,6,0),"" "")))"),"ENTREGUE")</f>
        <v>ENTREGUE</v>
      </c>
      <c r="G3320" s="303"/>
      <c r="H3320" s="304"/>
    </row>
    <row r="3321">
      <c r="A3321" s="302" t="s">
        <v>112</v>
      </c>
      <c r="B3321" s="291" t="s">
        <v>17301</v>
      </c>
      <c r="C3321" s="292" t="s">
        <v>48</v>
      </c>
      <c r="D3321" s="293">
        <f t="shared" si="2"/>
        <v>1</v>
      </c>
      <c r="E3321" s="294"/>
      <c r="F3321" s="295" t="str">
        <f>IFERROR(__xludf.DUMMYFUNCTION("IF(B3321="""","""",IFERROR(VLOOKUP(TO_TEXT(B3321),PEDIDOS!D:I,6,0),IFERROR(VLOOKUP(B3321*1,PEDIDOS!D:I,6,0),"" "")))"),"ENTREGUE")</f>
        <v>ENTREGUE</v>
      </c>
      <c r="G3321" s="303"/>
      <c r="H3321" s="304"/>
    </row>
    <row r="3322">
      <c r="A3322" s="302" t="s">
        <v>112</v>
      </c>
      <c r="B3322" s="291" t="s">
        <v>17661</v>
      </c>
      <c r="C3322" s="292" t="s">
        <v>48</v>
      </c>
      <c r="D3322" s="293">
        <f t="shared" si="2"/>
        <v>1</v>
      </c>
      <c r="E3322" s="294"/>
      <c r="F3322" s="295" t="str">
        <f>IFERROR(__xludf.DUMMYFUNCTION("IF(B3322="""","""",IFERROR(VLOOKUP(TO_TEXT(B3322),PEDIDOS!D:I,6,0),IFERROR(VLOOKUP(B3322*1,PEDIDOS!D:I,6,0),"" "")))"),"ENTREGUE")</f>
        <v>ENTREGUE</v>
      </c>
      <c r="G3322" s="303"/>
      <c r="H3322" s="304"/>
    </row>
    <row r="3323">
      <c r="A3323" s="302" t="s">
        <v>112</v>
      </c>
      <c r="B3323" s="291" t="s">
        <v>23456</v>
      </c>
      <c r="C3323" s="292" t="s">
        <v>48</v>
      </c>
      <c r="D3323" s="293">
        <f t="shared" si="2"/>
        <v>1</v>
      </c>
      <c r="E3323" s="294"/>
      <c r="F3323" s="295" t="str">
        <f>IFERROR(__xludf.DUMMYFUNCTION("IF(B3323="""","""",IFERROR(VLOOKUP(TO_TEXT(B3323),PEDIDOS!D:I,6,0),IFERROR(VLOOKUP(B3323*1,PEDIDOS!D:I,6,0),"" "")))")," ")</f>
        <v> </v>
      </c>
      <c r="G3323" s="307" t="s">
        <v>23334</v>
      </c>
      <c r="H3323" s="304"/>
    </row>
    <row r="3324">
      <c r="A3324" s="302" t="s">
        <v>112</v>
      </c>
      <c r="B3324" s="291" t="s">
        <v>17451</v>
      </c>
      <c r="C3324" s="292" t="s">
        <v>48</v>
      </c>
      <c r="D3324" s="293">
        <f t="shared" si="2"/>
        <v>1</v>
      </c>
      <c r="E3324" s="294"/>
      <c r="F3324" s="295" t="str">
        <f>IFERROR(__xludf.DUMMYFUNCTION("IF(B3324="""","""",IFERROR(VLOOKUP(TO_TEXT(B3324),PEDIDOS!D:I,6,0),IFERROR(VLOOKUP(B3324*1,PEDIDOS!D:I,6,0),"" "")))"),"ENTREGUE")</f>
        <v>ENTREGUE</v>
      </c>
      <c r="G3324" s="303"/>
      <c r="H3324" s="304"/>
    </row>
    <row r="3325">
      <c r="A3325" s="302" t="s">
        <v>112</v>
      </c>
      <c r="B3325" s="291" t="s">
        <v>17315</v>
      </c>
      <c r="C3325" s="292" t="s">
        <v>48</v>
      </c>
      <c r="D3325" s="293">
        <f t="shared" si="2"/>
        <v>1</v>
      </c>
      <c r="E3325" s="294"/>
      <c r="F3325" s="295" t="str">
        <f>IFERROR(__xludf.DUMMYFUNCTION("IF(B3325="""","""",IFERROR(VLOOKUP(TO_TEXT(B3325),PEDIDOS!D:I,6,0),IFERROR(VLOOKUP(B3325*1,PEDIDOS!D:I,6,0),"" "")))"),"ENTREGUE")</f>
        <v>ENTREGUE</v>
      </c>
      <c r="G3325" s="303"/>
      <c r="H3325" s="304"/>
    </row>
    <row r="3326">
      <c r="A3326" s="302" t="s">
        <v>112</v>
      </c>
      <c r="B3326" s="291" t="s">
        <v>17319</v>
      </c>
      <c r="C3326" s="292" t="s">
        <v>48</v>
      </c>
      <c r="D3326" s="293">
        <f t="shared" si="2"/>
        <v>1</v>
      </c>
      <c r="E3326" s="294"/>
      <c r="F3326" s="295" t="str">
        <f>IFERROR(__xludf.DUMMYFUNCTION("IF(B3326="""","""",IFERROR(VLOOKUP(TO_TEXT(B3326),PEDIDOS!D:I,6,0),IFERROR(VLOOKUP(B3326*1,PEDIDOS!D:I,6,0),"" "")))"),"ENTREGUE")</f>
        <v>ENTREGUE</v>
      </c>
      <c r="G3326" s="303"/>
      <c r="H3326" s="304"/>
    </row>
    <row r="3327">
      <c r="A3327" s="302" t="s">
        <v>112</v>
      </c>
      <c r="B3327" s="291" t="s">
        <v>23457</v>
      </c>
      <c r="C3327" s="292" t="s">
        <v>48</v>
      </c>
      <c r="D3327" s="293">
        <f t="shared" si="2"/>
        <v>1</v>
      </c>
      <c r="E3327" s="294"/>
      <c r="F3327" s="295" t="str">
        <f>IFERROR(__xludf.DUMMYFUNCTION("IF(B3327="""","""",IFERROR(VLOOKUP(TO_TEXT(B3327),PEDIDOS!D:I,6,0),IFERROR(VLOOKUP(B3327*1,PEDIDOS!D:I,6,0),"" "")))")," ")</f>
        <v> </v>
      </c>
      <c r="G3327" s="307" t="s">
        <v>23334</v>
      </c>
      <c r="H3327" s="304"/>
    </row>
    <row r="3328">
      <c r="A3328" s="302" t="s">
        <v>112</v>
      </c>
      <c r="B3328" s="291" t="s">
        <v>17678</v>
      </c>
      <c r="C3328" s="292" t="s">
        <v>48</v>
      </c>
      <c r="D3328" s="293">
        <f t="shared" si="2"/>
        <v>1</v>
      </c>
      <c r="E3328" s="294"/>
      <c r="F3328" s="295" t="str">
        <f>IFERROR(__xludf.DUMMYFUNCTION("IF(B3328="""","""",IFERROR(VLOOKUP(TO_TEXT(B3328),PEDIDOS!D:I,6,0),IFERROR(VLOOKUP(B3328*1,PEDIDOS!D:I,6,0),"" "")))"),"ENTREGUE")</f>
        <v>ENTREGUE</v>
      </c>
      <c r="G3328" s="303"/>
      <c r="H3328" s="304"/>
    </row>
    <row r="3329">
      <c r="A3329" s="302" t="s">
        <v>112</v>
      </c>
      <c r="B3329" s="291" t="s">
        <v>17615</v>
      </c>
      <c r="C3329" s="292" t="s">
        <v>48</v>
      </c>
      <c r="D3329" s="293">
        <f t="shared" si="2"/>
        <v>1</v>
      </c>
      <c r="E3329" s="294"/>
      <c r="F3329" s="295" t="str">
        <f>IFERROR(__xludf.DUMMYFUNCTION("IF(B3329="""","""",IFERROR(VLOOKUP(TO_TEXT(B3329),PEDIDOS!D:I,6,0),IFERROR(VLOOKUP(B3329*1,PEDIDOS!D:I,6,0),"" "")))"),"ENTREGUE")</f>
        <v>ENTREGUE</v>
      </c>
      <c r="G3329" s="303"/>
      <c r="H3329" s="304"/>
    </row>
    <row r="3330">
      <c r="A3330" s="302" t="s">
        <v>112</v>
      </c>
      <c r="B3330" s="291" t="s">
        <v>17630</v>
      </c>
      <c r="C3330" s="292" t="s">
        <v>48</v>
      </c>
      <c r="D3330" s="293">
        <f t="shared" si="2"/>
        <v>1</v>
      </c>
      <c r="E3330" s="294"/>
      <c r="F3330" s="295" t="str">
        <f>IFERROR(__xludf.DUMMYFUNCTION("IF(B3330="""","""",IFERROR(VLOOKUP(TO_TEXT(B3330),PEDIDOS!D:I,6,0),IFERROR(VLOOKUP(B3330*1,PEDIDOS!D:I,6,0),"" "")))"),"ENTREGUE")</f>
        <v>ENTREGUE</v>
      </c>
      <c r="G3330" s="303"/>
      <c r="H3330" s="304"/>
    </row>
    <row r="3331">
      <c r="A3331" s="302" t="s">
        <v>112</v>
      </c>
      <c r="B3331" s="291" t="s">
        <v>17798</v>
      </c>
      <c r="C3331" s="292" t="s">
        <v>48</v>
      </c>
      <c r="D3331" s="293">
        <f t="shared" si="2"/>
        <v>1</v>
      </c>
      <c r="E3331" s="294"/>
      <c r="F3331" s="295" t="str">
        <f>IFERROR(__xludf.DUMMYFUNCTION("IF(B3331="""","""",IFERROR(VLOOKUP(TO_TEXT(B3331),PEDIDOS!D:I,6,0),IFERROR(VLOOKUP(B3331*1,PEDIDOS!D:I,6,0),"" "")))"),"ENTREGUE")</f>
        <v>ENTREGUE</v>
      </c>
      <c r="G3331" s="303"/>
      <c r="H3331" s="304"/>
    </row>
    <row r="3332">
      <c r="A3332" s="302" t="s">
        <v>112</v>
      </c>
      <c r="B3332" s="291" t="s">
        <v>17897</v>
      </c>
      <c r="C3332" s="292" t="s">
        <v>48</v>
      </c>
      <c r="D3332" s="293">
        <f t="shared" si="2"/>
        <v>1</v>
      </c>
      <c r="E3332" s="294"/>
      <c r="F3332" s="295" t="str">
        <f>IFERROR(__xludf.DUMMYFUNCTION("IF(B3332="""","""",IFERROR(VLOOKUP(TO_TEXT(B3332),PEDIDOS!D:I,6,0),IFERROR(VLOOKUP(B3332*1,PEDIDOS!D:I,6,0),"" "")))"),"ENTREGUE")</f>
        <v>ENTREGUE</v>
      </c>
      <c r="G3332" s="303"/>
      <c r="H3332" s="304"/>
    </row>
    <row r="3333">
      <c r="A3333" s="302" t="s">
        <v>112</v>
      </c>
      <c r="B3333" s="291" t="s">
        <v>17793</v>
      </c>
      <c r="C3333" s="292" t="s">
        <v>48</v>
      </c>
      <c r="D3333" s="293">
        <f t="shared" si="2"/>
        <v>1</v>
      </c>
      <c r="E3333" s="294"/>
      <c r="F3333" s="295" t="str">
        <f>IFERROR(__xludf.DUMMYFUNCTION("IF(B3333="""","""",IFERROR(VLOOKUP(TO_TEXT(B3333),PEDIDOS!D:I,6,0),IFERROR(VLOOKUP(B3333*1,PEDIDOS!D:I,6,0),"" "")))"),"ENTREGUE")</f>
        <v>ENTREGUE</v>
      </c>
      <c r="G3333" s="303"/>
      <c r="H3333" s="304"/>
    </row>
    <row r="3334">
      <c r="A3334" s="302" t="s">
        <v>112</v>
      </c>
      <c r="B3334" s="291" t="s">
        <v>16304</v>
      </c>
      <c r="C3334" s="292" t="s">
        <v>48</v>
      </c>
      <c r="D3334" s="293">
        <f t="shared" si="2"/>
        <v>1</v>
      </c>
      <c r="E3334" s="294"/>
      <c r="F3334" s="295" t="str">
        <f>IFERROR(__xludf.DUMMYFUNCTION("IF(B3334="""","""",IFERROR(VLOOKUP(TO_TEXT(B3334),PEDIDOS!D:I,6,0),IFERROR(VLOOKUP(B3334*1,PEDIDOS!D:I,6,0),"" "")))"),"ENTREGUE")</f>
        <v>ENTREGUE</v>
      </c>
      <c r="G3334" s="303"/>
      <c r="H3334" s="304"/>
    </row>
    <row r="3335">
      <c r="A3335" s="302" t="s">
        <v>112</v>
      </c>
      <c r="B3335" s="291" t="s">
        <v>17761</v>
      </c>
      <c r="C3335" s="292" t="s">
        <v>48</v>
      </c>
      <c r="D3335" s="293">
        <f t="shared" si="2"/>
        <v>1</v>
      </c>
      <c r="E3335" s="294"/>
      <c r="F3335" s="295" t="str">
        <f>IFERROR(__xludf.DUMMYFUNCTION("IF(B3335="""","""",IFERROR(VLOOKUP(TO_TEXT(B3335),PEDIDOS!D:I,6,0),IFERROR(VLOOKUP(B3335*1,PEDIDOS!D:I,6,0),"" "")))"),"ENTREGUE")</f>
        <v>ENTREGUE</v>
      </c>
      <c r="G3335" s="303"/>
      <c r="H3335" s="304"/>
    </row>
    <row r="3336">
      <c r="A3336" s="302" t="s">
        <v>112</v>
      </c>
      <c r="B3336" s="291" t="s">
        <v>20472</v>
      </c>
      <c r="C3336" s="292" t="s">
        <v>48</v>
      </c>
      <c r="D3336" s="293">
        <f t="shared" si="2"/>
        <v>1</v>
      </c>
      <c r="E3336" s="294"/>
      <c r="F3336" s="295" t="str">
        <f>IFERROR(__xludf.DUMMYFUNCTION("IF(B3336="""","""",IFERROR(VLOOKUP(TO_TEXT(B3336),PEDIDOS!D:I,6,0),IFERROR(VLOOKUP(B3336*1,PEDIDOS!D:I,6,0),"" "")))"),"ENTREGUE")</f>
        <v>ENTREGUE</v>
      </c>
      <c r="G3336" s="303"/>
      <c r="H3336" s="304"/>
    </row>
    <row r="3337">
      <c r="A3337" s="302" t="s">
        <v>72</v>
      </c>
      <c r="B3337" s="291" t="s">
        <v>17999</v>
      </c>
      <c r="C3337" s="292" t="s">
        <v>48</v>
      </c>
      <c r="D3337" s="293">
        <f t="shared" si="2"/>
        <v>1</v>
      </c>
      <c r="E3337" s="294"/>
      <c r="F3337" s="295" t="str">
        <f>IFERROR(__xludf.DUMMYFUNCTION("IF(B3337="""","""",IFERROR(VLOOKUP(TO_TEXT(B3337),PEDIDOS!D:I,6,0),IFERROR(VLOOKUP(B3337*1,PEDIDOS!D:I,6,0),"" "")))"),"ENTREGUE")</f>
        <v>ENTREGUE</v>
      </c>
      <c r="G3337" s="303"/>
      <c r="H3337" s="304"/>
    </row>
    <row r="3338">
      <c r="A3338" s="302" t="s">
        <v>72</v>
      </c>
      <c r="B3338" s="291" t="s">
        <v>17815</v>
      </c>
      <c r="C3338" s="292" t="s">
        <v>48</v>
      </c>
      <c r="D3338" s="293">
        <f t="shared" si="2"/>
        <v>1</v>
      </c>
      <c r="E3338" s="294"/>
      <c r="F3338" s="295" t="str">
        <f>IFERROR(__xludf.DUMMYFUNCTION("IF(B3338="""","""",IFERROR(VLOOKUP(TO_TEXT(B3338),PEDIDOS!D:I,6,0),IFERROR(VLOOKUP(B3338*1,PEDIDOS!D:I,6,0),"" "")))"),"ENTREGUE")</f>
        <v>ENTREGUE</v>
      </c>
      <c r="G3338" s="303"/>
      <c r="H3338" s="304"/>
    </row>
    <row r="3339">
      <c r="A3339" s="302" t="s">
        <v>72</v>
      </c>
      <c r="B3339" s="291" t="s">
        <v>18194</v>
      </c>
      <c r="C3339" s="292" t="s">
        <v>48</v>
      </c>
      <c r="D3339" s="293">
        <f t="shared" si="2"/>
        <v>1</v>
      </c>
      <c r="E3339" s="294"/>
      <c r="F3339" s="295" t="str">
        <f>IFERROR(__xludf.DUMMYFUNCTION("IF(B3339="""","""",IFERROR(VLOOKUP(TO_TEXT(B3339),PEDIDOS!D:I,6,0),IFERROR(VLOOKUP(B3339*1,PEDIDOS!D:I,6,0),"" "")))"),"ENTREGUE")</f>
        <v>ENTREGUE</v>
      </c>
      <c r="G3339" s="303"/>
      <c r="H3339" s="304"/>
    </row>
    <row r="3340">
      <c r="A3340" s="302" t="s">
        <v>72</v>
      </c>
      <c r="B3340" s="291" t="s">
        <v>17965</v>
      </c>
      <c r="C3340" s="292" t="s">
        <v>48</v>
      </c>
      <c r="D3340" s="293">
        <f t="shared" si="2"/>
        <v>1</v>
      </c>
      <c r="E3340" s="294"/>
      <c r="F3340" s="295" t="str">
        <f>IFERROR(__xludf.DUMMYFUNCTION("IF(B3340="""","""",IFERROR(VLOOKUP(TO_TEXT(B3340),PEDIDOS!D:I,6,0),IFERROR(VLOOKUP(B3340*1,PEDIDOS!D:I,6,0),"" "")))"),"ENTREGUE")</f>
        <v>ENTREGUE</v>
      </c>
      <c r="G3340" s="303"/>
      <c r="H3340" s="304"/>
    </row>
    <row r="3341">
      <c r="A3341" s="302" t="s">
        <v>72</v>
      </c>
      <c r="B3341" s="291" t="s">
        <v>18219</v>
      </c>
      <c r="C3341" s="292" t="s">
        <v>48</v>
      </c>
      <c r="D3341" s="293">
        <f t="shared" si="2"/>
        <v>1</v>
      </c>
      <c r="E3341" s="294"/>
      <c r="F3341" s="295" t="str">
        <f>IFERROR(__xludf.DUMMYFUNCTION("IF(B3341="""","""",IFERROR(VLOOKUP(TO_TEXT(B3341),PEDIDOS!D:I,6,0),IFERROR(VLOOKUP(B3341*1,PEDIDOS!D:I,6,0),"" "")))"),"ENTREGUE")</f>
        <v>ENTREGUE</v>
      </c>
      <c r="G3341" s="303"/>
      <c r="H3341" s="304"/>
    </row>
    <row r="3342">
      <c r="A3342" s="302" t="s">
        <v>72</v>
      </c>
      <c r="B3342" s="291" t="s">
        <v>18223</v>
      </c>
      <c r="C3342" s="292" t="s">
        <v>48</v>
      </c>
      <c r="D3342" s="293">
        <f t="shared" si="2"/>
        <v>1</v>
      </c>
      <c r="E3342" s="294"/>
      <c r="F3342" s="295" t="str">
        <f>IFERROR(__xludf.DUMMYFUNCTION("IF(B3342="""","""",IFERROR(VLOOKUP(TO_TEXT(B3342),PEDIDOS!D:I,6,0),IFERROR(VLOOKUP(B3342*1,PEDIDOS!D:I,6,0),"" "")))"),"ENTREGUE")</f>
        <v>ENTREGUE</v>
      </c>
      <c r="G3342" s="303"/>
      <c r="H3342" s="304"/>
    </row>
    <row r="3343">
      <c r="A3343" s="302" t="s">
        <v>72</v>
      </c>
      <c r="B3343" s="291" t="s">
        <v>18227</v>
      </c>
      <c r="C3343" s="292" t="s">
        <v>48</v>
      </c>
      <c r="D3343" s="293">
        <f t="shared" si="2"/>
        <v>1</v>
      </c>
      <c r="E3343" s="294"/>
      <c r="F3343" s="295" t="str">
        <f>IFERROR(__xludf.DUMMYFUNCTION("IF(B3343="""","""",IFERROR(VLOOKUP(TO_TEXT(B3343),PEDIDOS!D:I,6,0),IFERROR(VLOOKUP(B3343*1,PEDIDOS!D:I,6,0),"" "")))"),"ENTREGUE")</f>
        <v>ENTREGUE</v>
      </c>
      <c r="G3343" s="303"/>
      <c r="H3343" s="304"/>
    </row>
    <row r="3344">
      <c r="A3344" s="302" t="s">
        <v>72</v>
      </c>
      <c r="B3344" s="291" t="s">
        <v>18111</v>
      </c>
      <c r="C3344" s="292" t="s">
        <v>48</v>
      </c>
      <c r="D3344" s="293">
        <f t="shared" si="2"/>
        <v>1</v>
      </c>
      <c r="E3344" s="294"/>
      <c r="F3344" s="295" t="str">
        <f>IFERROR(__xludf.DUMMYFUNCTION("IF(B3344="""","""",IFERROR(VLOOKUP(TO_TEXT(B3344),PEDIDOS!D:I,6,0),IFERROR(VLOOKUP(B3344*1,PEDIDOS!D:I,6,0),"" "")))"),"ENTREGUE")</f>
        <v>ENTREGUE</v>
      </c>
      <c r="G3344" s="303"/>
      <c r="H3344" s="304"/>
    </row>
    <row r="3345">
      <c r="A3345" s="302" t="s">
        <v>72</v>
      </c>
      <c r="B3345" s="291" t="s">
        <v>20576</v>
      </c>
      <c r="C3345" s="292" t="s">
        <v>48</v>
      </c>
      <c r="D3345" s="293">
        <f t="shared" si="2"/>
        <v>1</v>
      </c>
      <c r="E3345" s="294"/>
      <c r="F3345" s="295" t="str">
        <f>IFERROR(__xludf.DUMMYFUNCTION("IF(B3345="""","""",IFERROR(VLOOKUP(TO_TEXT(B3345),PEDIDOS!D:I,6,0),IFERROR(VLOOKUP(B3345*1,PEDIDOS!D:I,6,0),"" "")))"),"ENTREGUE")</f>
        <v>ENTREGUE</v>
      </c>
      <c r="G3345" s="303"/>
      <c r="H3345" s="304"/>
    </row>
    <row r="3346">
      <c r="A3346" s="302" t="s">
        <v>72</v>
      </c>
      <c r="B3346" s="291" t="s">
        <v>19332</v>
      </c>
      <c r="C3346" s="292" t="s">
        <v>48</v>
      </c>
      <c r="D3346" s="293">
        <f t="shared" si="2"/>
        <v>1</v>
      </c>
      <c r="E3346" s="294"/>
      <c r="F3346" s="295" t="str">
        <f>IFERROR(__xludf.DUMMYFUNCTION("IF(B3346="""","""",IFERROR(VLOOKUP(TO_TEXT(B3346),PEDIDOS!D:I,6,0),IFERROR(VLOOKUP(B3346*1,PEDIDOS!D:I,6,0),"" "")))"),"ENTREGUE")</f>
        <v>ENTREGUE</v>
      </c>
      <c r="G3346" s="303"/>
      <c r="H3346" s="304"/>
    </row>
    <row r="3347">
      <c r="A3347" s="302" t="s">
        <v>85</v>
      </c>
      <c r="B3347" s="291" t="s">
        <v>21117</v>
      </c>
      <c r="C3347" s="292" t="s">
        <v>48</v>
      </c>
      <c r="D3347" s="293">
        <f t="shared" si="2"/>
        <v>1</v>
      </c>
      <c r="E3347" s="294"/>
      <c r="F3347" s="295" t="str">
        <f>IFERROR(__xludf.DUMMYFUNCTION("IF(B3347="""","""",IFERROR(VLOOKUP(TO_TEXT(B3347),PEDIDOS!D:I,6,0),IFERROR(VLOOKUP(B3347*1,PEDIDOS!D:I,6,0),"" "")))"),"ENTREGUE")</f>
        <v>ENTREGUE</v>
      </c>
      <c r="G3347" s="303"/>
      <c r="H3347" s="304"/>
    </row>
    <row r="3348">
      <c r="A3348" s="302" t="s">
        <v>85</v>
      </c>
      <c r="B3348" s="291" t="s">
        <v>21134</v>
      </c>
      <c r="C3348" s="292" t="s">
        <v>48</v>
      </c>
      <c r="D3348" s="293">
        <f t="shared" si="2"/>
        <v>1</v>
      </c>
      <c r="E3348" s="294"/>
      <c r="F3348" s="295" t="str">
        <f>IFERROR(__xludf.DUMMYFUNCTION("IF(B3348="""","""",IFERROR(VLOOKUP(TO_TEXT(B3348),PEDIDOS!D:I,6,0),IFERROR(VLOOKUP(B3348*1,PEDIDOS!D:I,6,0),"" "")))"),"ENTREGUE")</f>
        <v>ENTREGUE</v>
      </c>
      <c r="G3348" s="303"/>
      <c r="H3348" s="304"/>
    </row>
    <row r="3349">
      <c r="A3349" s="302" t="s">
        <v>85</v>
      </c>
      <c r="B3349" s="291" t="s">
        <v>21138</v>
      </c>
      <c r="C3349" s="292" t="s">
        <v>48</v>
      </c>
      <c r="D3349" s="293">
        <f t="shared" si="2"/>
        <v>1</v>
      </c>
      <c r="E3349" s="294"/>
      <c r="F3349" s="295" t="str">
        <f>IFERROR(__xludf.DUMMYFUNCTION("IF(B3349="""","""",IFERROR(VLOOKUP(TO_TEXT(B3349),PEDIDOS!D:I,6,0),IFERROR(VLOOKUP(B3349*1,PEDIDOS!D:I,6,0),"" "")))"),"ENTREGUE")</f>
        <v>ENTREGUE</v>
      </c>
      <c r="G3349" s="303"/>
      <c r="H3349" s="304"/>
    </row>
    <row r="3350">
      <c r="A3350" s="302" t="s">
        <v>85</v>
      </c>
      <c r="B3350" s="291" t="s">
        <v>21506</v>
      </c>
      <c r="C3350" s="292" t="s">
        <v>48</v>
      </c>
      <c r="D3350" s="293">
        <f t="shared" si="2"/>
        <v>1</v>
      </c>
      <c r="E3350" s="294"/>
      <c r="F3350" s="295" t="str">
        <f>IFERROR(__xludf.DUMMYFUNCTION("IF(B3350="""","""",IFERROR(VLOOKUP(TO_TEXT(B3350),PEDIDOS!D:I,6,0),IFERROR(VLOOKUP(B3350*1,PEDIDOS!D:I,6,0),"" "")))"),"ENTREGUE")</f>
        <v>ENTREGUE</v>
      </c>
      <c r="G3350" s="303"/>
      <c r="H3350" s="304"/>
    </row>
    <row r="3351">
      <c r="A3351" s="302" t="s">
        <v>85</v>
      </c>
      <c r="B3351" s="291" t="s">
        <v>21516</v>
      </c>
      <c r="C3351" s="292" t="s">
        <v>48</v>
      </c>
      <c r="D3351" s="293">
        <f t="shared" si="2"/>
        <v>1</v>
      </c>
      <c r="E3351" s="294"/>
      <c r="F3351" s="295" t="str">
        <f>IFERROR(__xludf.DUMMYFUNCTION("IF(B3351="""","""",IFERROR(VLOOKUP(TO_TEXT(B3351),PEDIDOS!D:I,6,0),IFERROR(VLOOKUP(B3351*1,PEDIDOS!D:I,6,0),"" "")))"),"ENTREGUE")</f>
        <v>ENTREGUE</v>
      </c>
      <c r="G3351" s="303"/>
      <c r="H3351" s="304"/>
    </row>
    <row r="3352">
      <c r="A3352" s="302" t="s">
        <v>85</v>
      </c>
      <c r="B3352" s="291" t="s">
        <v>21520</v>
      </c>
      <c r="C3352" s="292" t="s">
        <v>48</v>
      </c>
      <c r="D3352" s="293">
        <f t="shared" si="2"/>
        <v>1</v>
      </c>
      <c r="E3352" s="294"/>
      <c r="F3352" s="295" t="str">
        <f>IFERROR(__xludf.DUMMYFUNCTION("IF(B3352="""","""",IFERROR(VLOOKUP(TO_TEXT(B3352),PEDIDOS!D:I,6,0),IFERROR(VLOOKUP(B3352*1,PEDIDOS!D:I,6,0),"" "")))"),"ENTREGUE")</f>
        <v>ENTREGUE</v>
      </c>
      <c r="G3352" s="303"/>
      <c r="H3352" s="304"/>
    </row>
    <row r="3353">
      <c r="A3353" s="302" t="s">
        <v>85</v>
      </c>
      <c r="B3353" s="291" t="s">
        <v>21512</v>
      </c>
      <c r="C3353" s="292" t="s">
        <v>48</v>
      </c>
      <c r="D3353" s="293">
        <f t="shared" si="2"/>
        <v>1</v>
      </c>
      <c r="E3353" s="294"/>
      <c r="F3353" s="295" t="str">
        <f>IFERROR(__xludf.DUMMYFUNCTION("IF(B3353="""","""",IFERROR(VLOOKUP(TO_TEXT(B3353),PEDIDOS!D:I,6,0),IFERROR(VLOOKUP(B3353*1,PEDIDOS!D:I,6,0),"" "")))"),"ENTREGUE")</f>
        <v>ENTREGUE</v>
      </c>
      <c r="G3353" s="303"/>
      <c r="H3353" s="304"/>
    </row>
    <row r="3354">
      <c r="A3354" s="302" t="s">
        <v>85</v>
      </c>
      <c r="B3354" s="291" t="s">
        <v>21524</v>
      </c>
      <c r="C3354" s="292" t="s">
        <v>48</v>
      </c>
      <c r="D3354" s="293">
        <f t="shared" si="2"/>
        <v>1</v>
      </c>
      <c r="E3354" s="294"/>
      <c r="F3354" s="295" t="str">
        <f>IFERROR(__xludf.DUMMYFUNCTION("IF(B3354="""","""",IFERROR(VLOOKUP(TO_TEXT(B3354),PEDIDOS!D:I,6,0),IFERROR(VLOOKUP(B3354*1,PEDIDOS!D:I,6,0),"" "")))"),"ENTREGUE")</f>
        <v>ENTREGUE</v>
      </c>
      <c r="G3354" s="303"/>
      <c r="H3354" s="304"/>
    </row>
    <row r="3355">
      <c r="A3355" s="302" t="s">
        <v>85</v>
      </c>
      <c r="B3355" s="291" t="s">
        <v>21528</v>
      </c>
      <c r="C3355" s="292" t="s">
        <v>48</v>
      </c>
      <c r="D3355" s="293">
        <f t="shared" si="2"/>
        <v>1</v>
      </c>
      <c r="E3355" s="294"/>
      <c r="F3355" s="295" t="str">
        <f>IFERROR(__xludf.DUMMYFUNCTION("IF(B3355="""","""",IFERROR(VLOOKUP(TO_TEXT(B3355),PEDIDOS!D:I,6,0),IFERROR(VLOOKUP(B3355*1,PEDIDOS!D:I,6,0),"" "")))"),"ENTREGUE")</f>
        <v>ENTREGUE</v>
      </c>
      <c r="G3355" s="303"/>
      <c r="H3355" s="304"/>
    </row>
    <row r="3356">
      <c r="A3356" s="302" t="s">
        <v>85</v>
      </c>
      <c r="B3356" s="291" t="s">
        <v>21566</v>
      </c>
      <c r="C3356" s="292" t="s">
        <v>48</v>
      </c>
      <c r="D3356" s="293">
        <f t="shared" si="2"/>
        <v>1</v>
      </c>
      <c r="E3356" s="294"/>
      <c r="F3356" s="295" t="str">
        <f>IFERROR(__xludf.DUMMYFUNCTION("IF(B3356="""","""",IFERROR(VLOOKUP(TO_TEXT(B3356),PEDIDOS!D:I,6,0),IFERROR(VLOOKUP(B3356*1,PEDIDOS!D:I,6,0),"" "")))"),"ENTREGUE")</f>
        <v>ENTREGUE</v>
      </c>
      <c r="G3356" s="303"/>
      <c r="H3356" s="304"/>
    </row>
    <row r="3357">
      <c r="A3357" s="302" t="s">
        <v>85</v>
      </c>
      <c r="B3357" s="291" t="s">
        <v>21487</v>
      </c>
      <c r="C3357" s="292" t="s">
        <v>48</v>
      </c>
      <c r="D3357" s="293">
        <f t="shared" si="2"/>
        <v>1</v>
      </c>
      <c r="E3357" s="294"/>
      <c r="F3357" s="295" t="str">
        <f>IFERROR(__xludf.DUMMYFUNCTION("IF(B3357="""","""",IFERROR(VLOOKUP(TO_TEXT(B3357),PEDIDOS!D:I,6,0),IFERROR(VLOOKUP(B3357*1,PEDIDOS!D:I,6,0),"" "")))"),"ENTREGUE")</f>
        <v>ENTREGUE</v>
      </c>
      <c r="G3357" s="303"/>
      <c r="H3357" s="304"/>
    </row>
    <row r="3358">
      <c r="A3358" s="302" t="s">
        <v>85</v>
      </c>
      <c r="B3358" s="291" t="s">
        <v>21649</v>
      </c>
      <c r="C3358" s="292" t="s">
        <v>48</v>
      </c>
      <c r="D3358" s="293">
        <f t="shared" si="2"/>
        <v>1</v>
      </c>
      <c r="E3358" s="294"/>
      <c r="F3358" s="295" t="str">
        <f>IFERROR(__xludf.DUMMYFUNCTION("IF(B3358="""","""",IFERROR(VLOOKUP(TO_TEXT(B3358),PEDIDOS!D:I,6,0),IFERROR(VLOOKUP(B3358*1,PEDIDOS!D:I,6,0),"" "")))"),"ENTREGUE")</f>
        <v>ENTREGUE</v>
      </c>
      <c r="G3358" s="303"/>
      <c r="H3358" s="304"/>
    </row>
    <row r="3359">
      <c r="A3359" s="302" t="s">
        <v>85</v>
      </c>
      <c r="B3359" s="291" t="s">
        <v>21622</v>
      </c>
      <c r="C3359" s="292" t="s">
        <v>48</v>
      </c>
      <c r="D3359" s="293">
        <f t="shared" si="2"/>
        <v>1</v>
      </c>
      <c r="E3359" s="294"/>
      <c r="F3359" s="295" t="str">
        <f>IFERROR(__xludf.DUMMYFUNCTION("IF(B3359="""","""",IFERROR(VLOOKUP(TO_TEXT(B3359),PEDIDOS!D:I,6,0),IFERROR(VLOOKUP(B3359*1,PEDIDOS!D:I,6,0),"" "")))"),"ENTREGUE")</f>
        <v>ENTREGUE</v>
      </c>
      <c r="G3359" s="303"/>
      <c r="H3359" s="304"/>
    </row>
    <row r="3360">
      <c r="A3360" s="302" t="s">
        <v>85</v>
      </c>
      <c r="B3360" s="291" t="s">
        <v>21626</v>
      </c>
      <c r="C3360" s="292" t="s">
        <v>48</v>
      </c>
      <c r="D3360" s="293">
        <f t="shared" si="2"/>
        <v>1</v>
      </c>
      <c r="E3360" s="294"/>
      <c r="F3360" s="295" t="str">
        <f>IFERROR(__xludf.DUMMYFUNCTION("IF(B3360="""","""",IFERROR(VLOOKUP(TO_TEXT(B3360),PEDIDOS!D:I,6,0),IFERROR(VLOOKUP(B3360*1,PEDIDOS!D:I,6,0),"" "")))"),"ENTREGUE")</f>
        <v>ENTREGUE</v>
      </c>
      <c r="G3360" s="303"/>
      <c r="H3360" s="304"/>
    </row>
    <row r="3361">
      <c r="A3361" s="302" t="s">
        <v>85</v>
      </c>
      <c r="B3361" s="291" t="s">
        <v>21635</v>
      </c>
      <c r="C3361" s="292" t="s">
        <v>48</v>
      </c>
      <c r="D3361" s="293">
        <f t="shared" si="2"/>
        <v>1</v>
      </c>
      <c r="E3361" s="294"/>
      <c r="F3361" s="295" t="str">
        <f>IFERROR(__xludf.DUMMYFUNCTION("IF(B3361="""","""",IFERROR(VLOOKUP(TO_TEXT(B3361),PEDIDOS!D:I,6,0),IFERROR(VLOOKUP(B3361*1,PEDIDOS!D:I,6,0),"" "")))"),"ENTREGUE")</f>
        <v>ENTREGUE</v>
      </c>
      <c r="G3361" s="303"/>
      <c r="H3361" s="304"/>
    </row>
    <row r="3362">
      <c r="A3362" s="302" t="s">
        <v>85</v>
      </c>
      <c r="B3362" s="291" t="s">
        <v>21900</v>
      </c>
      <c r="C3362" s="292" t="s">
        <v>48</v>
      </c>
      <c r="D3362" s="293">
        <f t="shared" si="2"/>
        <v>1</v>
      </c>
      <c r="E3362" s="294"/>
      <c r="F3362" s="295" t="str">
        <f>IFERROR(__xludf.DUMMYFUNCTION("IF(B3362="""","""",IFERROR(VLOOKUP(TO_TEXT(B3362),PEDIDOS!D:I,6,0),IFERROR(VLOOKUP(B3362*1,PEDIDOS!D:I,6,0),"" "")))"),"ENTREGUE")</f>
        <v>ENTREGUE</v>
      </c>
      <c r="G3362" s="303"/>
      <c r="H3362" s="304"/>
    </row>
    <row r="3363">
      <c r="A3363" s="302" t="s">
        <v>85</v>
      </c>
      <c r="B3363" s="291" t="s">
        <v>21218</v>
      </c>
      <c r="C3363" s="292" t="s">
        <v>48</v>
      </c>
      <c r="D3363" s="293">
        <f t="shared" si="2"/>
        <v>1</v>
      </c>
      <c r="E3363" s="294"/>
      <c r="F3363" s="295" t="str">
        <f>IFERROR(__xludf.DUMMYFUNCTION("IF(B3363="""","""",IFERROR(VLOOKUP(TO_TEXT(B3363),PEDIDOS!D:I,6,0),IFERROR(VLOOKUP(B3363*1,PEDIDOS!D:I,6,0),"" "")))"),"ENTREGUE")</f>
        <v>ENTREGUE</v>
      </c>
      <c r="G3363" s="303"/>
      <c r="H3363" s="304"/>
    </row>
    <row r="3364">
      <c r="A3364" s="302" t="s">
        <v>85</v>
      </c>
      <c r="B3364" s="291" t="s">
        <v>21904</v>
      </c>
      <c r="C3364" s="292" t="s">
        <v>48</v>
      </c>
      <c r="D3364" s="293">
        <f t="shared" si="2"/>
        <v>1</v>
      </c>
      <c r="E3364" s="294"/>
      <c r="F3364" s="295" t="str">
        <f>IFERROR(__xludf.DUMMYFUNCTION("IF(B3364="""","""",IFERROR(VLOOKUP(TO_TEXT(B3364),PEDIDOS!D:I,6,0),IFERROR(VLOOKUP(B3364*1,PEDIDOS!D:I,6,0),"" "")))"),"ENTREGUE")</f>
        <v>ENTREGUE</v>
      </c>
      <c r="G3364" s="303"/>
      <c r="H3364" s="304"/>
    </row>
    <row r="3365">
      <c r="A3365" s="302" t="s">
        <v>85</v>
      </c>
      <c r="B3365" s="291" t="s">
        <v>21746</v>
      </c>
      <c r="C3365" s="292" t="s">
        <v>48</v>
      </c>
      <c r="D3365" s="293">
        <f t="shared" si="2"/>
        <v>1</v>
      </c>
      <c r="E3365" s="294"/>
      <c r="F3365" s="295" t="str">
        <f>IFERROR(__xludf.DUMMYFUNCTION("IF(B3365="""","""",IFERROR(VLOOKUP(TO_TEXT(B3365),PEDIDOS!D:I,6,0),IFERROR(VLOOKUP(B3365*1,PEDIDOS!D:I,6,0),"" "")))"),"ENTREGUE")</f>
        <v>ENTREGUE</v>
      </c>
      <c r="G3365" s="303"/>
      <c r="H3365" s="304"/>
    </row>
    <row r="3366">
      <c r="A3366" s="302" t="s">
        <v>85</v>
      </c>
      <c r="B3366" s="291" t="s">
        <v>21661</v>
      </c>
      <c r="C3366" s="292" t="s">
        <v>48</v>
      </c>
      <c r="D3366" s="293">
        <f t="shared" si="2"/>
        <v>1</v>
      </c>
      <c r="E3366" s="294"/>
      <c r="F3366" s="295" t="str">
        <f>IFERROR(__xludf.DUMMYFUNCTION("IF(B3366="""","""",IFERROR(VLOOKUP(TO_TEXT(B3366),PEDIDOS!D:I,6,0),IFERROR(VLOOKUP(B3366*1,PEDIDOS!D:I,6,0),"" "")))"),"ENTREGUE")</f>
        <v>ENTREGUE</v>
      </c>
      <c r="G3366" s="303"/>
      <c r="H3366" s="304"/>
    </row>
    <row r="3367">
      <c r="A3367" s="302" t="s">
        <v>85</v>
      </c>
      <c r="B3367" s="291" t="s">
        <v>21737</v>
      </c>
      <c r="C3367" s="292" t="s">
        <v>48</v>
      </c>
      <c r="D3367" s="293">
        <f t="shared" si="2"/>
        <v>1</v>
      </c>
      <c r="E3367" s="294"/>
      <c r="F3367" s="295" t="str">
        <f>IFERROR(__xludf.DUMMYFUNCTION("IF(B3367="""","""",IFERROR(VLOOKUP(TO_TEXT(B3367),PEDIDOS!D:I,6,0),IFERROR(VLOOKUP(B3367*1,PEDIDOS!D:I,6,0),"" "")))"),"ENTREGUE")</f>
        <v>ENTREGUE</v>
      </c>
      <c r="G3367" s="303"/>
      <c r="H3367" s="304"/>
    </row>
    <row r="3368">
      <c r="A3368" s="302" t="s">
        <v>85</v>
      </c>
      <c r="B3368" s="291" t="s">
        <v>21742</v>
      </c>
      <c r="C3368" s="292" t="s">
        <v>48</v>
      </c>
      <c r="D3368" s="293">
        <f t="shared" si="2"/>
        <v>1</v>
      </c>
      <c r="E3368" s="294"/>
      <c r="F3368" s="295" t="str">
        <f>IFERROR(__xludf.DUMMYFUNCTION("IF(B3368="""","""",IFERROR(VLOOKUP(TO_TEXT(B3368),PEDIDOS!D:I,6,0),IFERROR(VLOOKUP(B3368*1,PEDIDOS!D:I,6,0),"" "")))"),"ENTREGUE")</f>
        <v>ENTREGUE</v>
      </c>
      <c r="G3368" s="303"/>
      <c r="H3368" s="304"/>
    </row>
    <row r="3369">
      <c r="A3369" s="302" t="s">
        <v>85</v>
      </c>
      <c r="B3369" s="291" t="s">
        <v>21708</v>
      </c>
      <c r="C3369" s="292" t="s">
        <v>48</v>
      </c>
      <c r="D3369" s="293">
        <f t="shared" si="2"/>
        <v>1</v>
      </c>
      <c r="E3369" s="294"/>
      <c r="F3369" s="295" t="str">
        <f>IFERROR(__xludf.DUMMYFUNCTION("IF(B3369="""","""",IFERROR(VLOOKUP(TO_TEXT(B3369),PEDIDOS!D:I,6,0),IFERROR(VLOOKUP(B3369*1,PEDIDOS!D:I,6,0),"" "")))"),"ENTREGUE")</f>
        <v>ENTREGUE</v>
      </c>
      <c r="G3369" s="303"/>
      <c r="H3369" s="304"/>
    </row>
    <row r="3370">
      <c r="A3370" s="302" t="s">
        <v>85</v>
      </c>
      <c r="B3370" s="291" t="s">
        <v>21575</v>
      </c>
      <c r="C3370" s="292" t="s">
        <v>48</v>
      </c>
      <c r="D3370" s="293">
        <f t="shared" si="2"/>
        <v>1</v>
      </c>
      <c r="E3370" s="294"/>
      <c r="F3370" s="295" t="str">
        <f>IFERROR(__xludf.DUMMYFUNCTION("IF(B3370="""","""",IFERROR(VLOOKUP(TO_TEXT(B3370),PEDIDOS!D:I,6,0),IFERROR(VLOOKUP(B3370*1,PEDIDOS!D:I,6,0),"" "")))"),"ENTREGUE")</f>
        <v>ENTREGUE</v>
      </c>
      <c r="G3370" s="303"/>
      <c r="H3370" s="304"/>
    </row>
    <row r="3371">
      <c r="A3371" s="302" t="s">
        <v>85</v>
      </c>
      <c r="B3371" s="291" t="s">
        <v>21571</v>
      </c>
      <c r="C3371" s="292" t="s">
        <v>48</v>
      </c>
      <c r="D3371" s="293">
        <f t="shared" si="2"/>
        <v>1</v>
      </c>
      <c r="E3371" s="294"/>
      <c r="F3371" s="295" t="str">
        <f>IFERROR(__xludf.DUMMYFUNCTION("IF(B3371="""","""",IFERROR(VLOOKUP(TO_TEXT(B3371),PEDIDOS!D:I,6,0),IFERROR(VLOOKUP(B3371*1,PEDIDOS!D:I,6,0),"" "")))"),"ENTREGUE")</f>
        <v>ENTREGUE</v>
      </c>
      <c r="G3371" s="303"/>
      <c r="H3371" s="304"/>
    </row>
    <row r="3372">
      <c r="A3372" s="302" t="s">
        <v>85</v>
      </c>
      <c r="B3372" s="291" t="s">
        <v>21685</v>
      </c>
      <c r="C3372" s="292" t="s">
        <v>48</v>
      </c>
      <c r="D3372" s="293">
        <f t="shared" si="2"/>
        <v>1</v>
      </c>
      <c r="E3372" s="294"/>
      <c r="F3372" s="295" t="str">
        <f>IFERROR(__xludf.DUMMYFUNCTION("IF(B3372="""","""",IFERROR(VLOOKUP(TO_TEXT(B3372),PEDIDOS!D:I,6,0),IFERROR(VLOOKUP(B3372*1,PEDIDOS!D:I,6,0),"" "")))"),"ENTREGUE")</f>
        <v>ENTREGUE</v>
      </c>
      <c r="G3372" s="303"/>
      <c r="H3372" s="304"/>
    </row>
    <row r="3373">
      <c r="A3373" s="302" t="s">
        <v>85</v>
      </c>
      <c r="B3373" s="291" t="s">
        <v>21704</v>
      </c>
      <c r="C3373" s="292" t="s">
        <v>48</v>
      </c>
      <c r="D3373" s="293">
        <f t="shared" si="2"/>
        <v>1</v>
      </c>
      <c r="E3373" s="294"/>
      <c r="F3373" s="295" t="str">
        <f>IFERROR(__xludf.DUMMYFUNCTION("IF(B3373="""","""",IFERROR(VLOOKUP(TO_TEXT(B3373),PEDIDOS!D:I,6,0),IFERROR(VLOOKUP(B3373*1,PEDIDOS!D:I,6,0),"" "")))"),"ENTREGUE")</f>
        <v>ENTREGUE</v>
      </c>
      <c r="G3373" s="303"/>
      <c r="H3373" s="304"/>
    </row>
    <row r="3374">
      <c r="A3374" s="302" t="s">
        <v>85</v>
      </c>
      <c r="B3374" s="291" t="s">
        <v>21842</v>
      </c>
      <c r="C3374" s="292" t="s">
        <v>48</v>
      </c>
      <c r="D3374" s="293">
        <f t="shared" si="2"/>
        <v>1</v>
      </c>
      <c r="E3374" s="294"/>
      <c r="F3374" s="295" t="str">
        <f>IFERROR(__xludf.DUMMYFUNCTION("IF(B3374="""","""",IFERROR(VLOOKUP(TO_TEXT(B3374),PEDIDOS!D:I,6,0),IFERROR(VLOOKUP(B3374*1,PEDIDOS!D:I,6,0),"" "")))"),"ENTREGUE")</f>
        <v>ENTREGUE</v>
      </c>
      <c r="G3374" s="303"/>
      <c r="H3374" s="304"/>
    </row>
    <row r="3375">
      <c r="A3375" s="302" t="s">
        <v>85</v>
      </c>
      <c r="B3375" s="291" t="s">
        <v>21851</v>
      </c>
      <c r="C3375" s="292" t="s">
        <v>48</v>
      </c>
      <c r="D3375" s="293">
        <f t="shared" si="2"/>
        <v>1</v>
      </c>
      <c r="E3375" s="294"/>
      <c r="F3375" s="295" t="str">
        <f>IFERROR(__xludf.DUMMYFUNCTION("IF(B3375="""","""",IFERROR(VLOOKUP(TO_TEXT(B3375),PEDIDOS!D:I,6,0),IFERROR(VLOOKUP(B3375*1,PEDIDOS!D:I,6,0),"" "")))"),"ENTREGUE")</f>
        <v>ENTREGUE</v>
      </c>
      <c r="G3375" s="303"/>
      <c r="H3375" s="304"/>
    </row>
    <row r="3376">
      <c r="A3376" s="302" t="s">
        <v>85</v>
      </c>
      <c r="B3376" s="291" t="s">
        <v>21863</v>
      </c>
      <c r="C3376" s="292" t="s">
        <v>48</v>
      </c>
      <c r="D3376" s="293">
        <f t="shared" si="2"/>
        <v>1</v>
      </c>
      <c r="E3376" s="294"/>
      <c r="F3376" s="295" t="str">
        <f>IFERROR(__xludf.DUMMYFUNCTION("IF(B3376="""","""",IFERROR(VLOOKUP(TO_TEXT(B3376),PEDIDOS!D:I,6,0),IFERROR(VLOOKUP(B3376*1,PEDIDOS!D:I,6,0),"" "")))"),"ENTREGUE")</f>
        <v>ENTREGUE</v>
      </c>
      <c r="G3376" s="303"/>
      <c r="H3376" s="304"/>
    </row>
    <row r="3377">
      <c r="A3377" s="302" t="s">
        <v>85</v>
      </c>
      <c r="B3377" s="291" t="s">
        <v>21847</v>
      </c>
      <c r="C3377" s="292" t="s">
        <v>48</v>
      </c>
      <c r="D3377" s="293">
        <f t="shared" si="2"/>
        <v>1</v>
      </c>
      <c r="E3377" s="294"/>
      <c r="F3377" s="295" t="str">
        <f>IFERROR(__xludf.DUMMYFUNCTION("IF(B3377="""","""",IFERROR(VLOOKUP(TO_TEXT(B3377),PEDIDOS!D:I,6,0),IFERROR(VLOOKUP(B3377*1,PEDIDOS!D:I,6,0),"" "")))"),"ENTREGUE")</f>
        <v>ENTREGUE</v>
      </c>
      <c r="G3377" s="303"/>
      <c r="H3377" s="304"/>
    </row>
    <row r="3378">
      <c r="A3378" s="302" t="s">
        <v>85</v>
      </c>
      <c r="B3378" s="291" t="s">
        <v>21886</v>
      </c>
      <c r="C3378" s="292" t="s">
        <v>48</v>
      </c>
      <c r="D3378" s="293">
        <f t="shared" si="2"/>
        <v>1</v>
      </c>
      <c r="E3378" s="294"/>
      <c r="F3378" s="295" t="str">
        <f>IFERROR(__xludf.DUMMYFUNCTION("IF(B3378="""","""",IFERROR(VLOOKUP(TO_TEXT(B3378),PEDIDOS!D:I,6,0),IFERROR(VLOOKUP(B3378*1,PEDIDOS!D:I,6,0),"" "")))"),"ENTREGUE")</f>
        <v>ENTREGUE</v>
      </c>
      <c r="G3378" s="303"/>
      <c r="H3378" s="304"/>
    </row>
    <row r="3379">
      <c r="A3379" s="302" t="s">
        <v>85</v>
      </c>
      <c r="B3379" s="291" t="s">
        <v>21823</v>
      </c>
      <c r="C3379" s="292" t="s">
        <v>48</v>
      </c>
      <c r="D3379" s="293">
        <f t="shared" si="2"/>
        <v>1</v>
      </c>
      <c r="E3379" s="294"/>
      <c r="F3379" s="295" t="str">
        <f>IFERROR(__xludf.DUMMYFUNCTION("IF(B3379="""","""",IFERROR(VLOOKUP(TO_TEXT(B3379),PEDIDOS!D:I,6,0),IFERROR(VLOOKUP(B3379*1,PEDIDOS!D:I,6,0),"" "")))"),"ENTREGUE")</f>
        <v>ENTREGUE</v>
      </c>
      <c r="G3379" s="303"/>
      <c r="H3379" s="304"/>
    </row>
    <row r="3380">
      <c r="A3380" s="302" t="s">
        <v>85</v>
      </c>
      <c r="B3380" s="291" t="s">
        <v>21819</v>
      </c>
      <c r="C3380" s="292" t="s">
        <v>48</v>
      </c>
      <c r="D3380" s="293">
        <f t="shared" si="2"/>
        <v>1</v>
      </c>
      <c r="E3380" s="294"/>
      <c r="F3380" s="295" t="str">
        <f>IFERROR(__xludf.DUMMYFUNCTION("IF(B3380="""","""",IFERROR(VLOOKUP(TO_TEXT(B3380),PEDIDOS!D:I,6,0),IFERROR(VLOOKUP(B3380*1,PEDIDOS!D:I,6,0),"" "")))"),"ENTREGUE")</f>
        <v>ENTREGUE</v>
      </c>
      <c r="G3380" s="303"/>
      <c r="H3380" s="304"/>
    </row>
    <row r="3381">
      <c r="A3381" s="302" t="s">
        <v>85</v>
      </c>
      <c r="B3381" s="291" t="s">
        <v>21644</v>
      </c>
      <c r="C3381" s="292" t="s">
        <v>48</v>
      </c>
      <c r="D3381" s="293">
        <f t="shared" si="2"/>
        <v>1</v>
      </c>
      <c r="E3381" s="294"/>
      <c r="F3381" s="295" t="str">
        <f>IFERROR(__xludf.DUMMYFUNCTION("IF(B3381="""","""",IFERROR(VLOOKUP(TO_TEXT(B3381),PEDIDOS!D:I,6,0),IFERROR(VLOOKUP(B3381*1,PEDIDOS!D:I,6,0),"" "")))"),"ENTREGUE")</f>
        <v>ENTREGUE</v>
      </c>
      <c r="G3381" s="303"/>
      <c r="H3381" s="304"/>
    </row>
    <row r="3382">
      <c r="A3382" s="302" t="s">
        <v>85</v>
      </c>
      <c r="B3382" s="291" t="s">
        <v>21949</v>
      </c>
      <c r="C3382" s="292" t="s">
        <v>48</v>
      </c>
      <c r="D3382" s="293">
        <f t="shared" si="2"/>
        <v>1</v>
      </c>
      <c r="E3382" s="294"/>
      <c r="F3382" s="295" t="str">
        <f>IFERROR(__xludf.DUMMYFUNCTION("IF(B3382="""","""",IFERROR(VLOOKUP(TO_TEXT(B3382),PEDIDOS!D:I,6,0),IFERROR(VLOOKUP(B3382*1,PEDIDOS!D:I,6,0),"" "")))"),"ENTREGUE")</f>
        <v>ENTREGUE</v>
      </c>
      <c r="G3382" s="303"/>
      <c r="H3382" s="304"/>
    </row>
    <row r="3383">
      <c r="A3383" s="302" t="s">
        <v>85</v>
      </c>
      <c r="B3383" s="291" t="s">
        <v>21955</v>
      </c>
      <c r="C3383" s="292" t="s">
        <v>48</v>
      </c>
      <c r="D3383" s="293">
        <f t="shared" si="2"/>
        <v>1</v>
      </c>
      <c r="E3383" s="294"/>
      <c r="F3383" s="295" t="str">
        <f>IFERROR(__xludf.DUMMYFUNCTION("IF(B3383="""","""",IFERROR(VLOOKUP(TO_TEXT(B3383),PEDIDOS!D:I,6,0),IFERROR(VLOOKUP(B3383*1,PEDIDOS!D:I,6,0),"" "")))"),"ENTREGUE")</f>
        <v>ENTREGUE</v>
      </c>
      <c r="G3383" s="303"/>
      <c r="H3383" s="304"/>
    </row>
    <row r="3384">
      <c r="A3384" s="302" t="s">
        <v>85</v>
      </c>
      <c r="B3384" s="291" t="s">
        <v>21908</v>
      </c>
      <c r="C3384" s="292" t="s">
        <v>48</v>
      </c>
      <c r="D3384" s="293">
        <f t="shared" si="2"/>
        <v>1</v>
      </c>
      <c r="E3384" s="294"/>
      <c r="F3384" s="295" t="str">
        <f>IFERROR(__xludf.DUMMYFUNCTION("IF(B3384="""","""",IFERROR(VLOOKUP(TO_TEXT(B3384),PEDIDOS!D:I,6,0),IFERROR(VLOOKUP(B3384*1,PEDIDOS!D:I,6,0),"" "")))"),"ENTREGUE")</f>
        <v>ENTREGUE</v>
      </c>
      <c r="G3384" s="303"/>
      <c r="H3384" s="304"/>
    </row>
    <row r="3385">
      <c r="A3385" s="302" t="s">
        <v>85</v>
      </c>
      <c r="B3385" s="291" t="s">
        <v>21917</v>
      </c>
      <c r="C3385" s="292" t="s">
        <v>48</v>
      </c>
      <c r="D3385" s="293">
        <f t="shared" si="2"/>
        <v>1</v>
      </c>
      <c r="E3385" s="294"/>
      <c r="F3385" s="295" t="str">
        <f>IFERROR(__xludf.DUMMYFUNCTION("IF(B3385="""","""",IFERROR(VLOOKUP(TO_TEXT(B3385),PEDIDOS!D:I,6,0),IFERROR(VLOOKUP(B3385*1,PEDIDOS!D:I,6,0),"" "")))"),"ENTREGUE")</f>
        <v>ENTREGUE</v>
      </c>
      <c r="G3385" s="303"/>
      <c r="H3385" s="304"/>
    </row>
    <row r="3386">
      <c r="A3386" s="302" t="s">
        <v>85</v>
      </c>
      <c r="B3386" s="291" t="s">
        <v>21913</v>
      </c>
      <c r="C3386" s="292" t="s">
        <v>48</v>
      </c>
      <c r="D3386" s="293">
        <f t="shared" si="2"/>
        <v>1</v>
      </c>
      <c r="E3386" s="294"/>
      <c r="F3386" s="295" t="str">
        <f>IFERROR(__xludf.DUMMYFUNCTION("IF(B3386="""","""",IFERROR(VLOOKUP(TO_TEXT(B3386),PEDIDOS!D:I,6,0),IFERROR(VLOOKUP(B3386*1,PEDIDOS!D:I,6,0),"" "")))"),"ENTREGUE")</f>
        <v>ENTREGUE</v>
      </c>
      <c r="G3386" s="303"/>
      <c r="H3386" s="304"/>
    </row>
    <row r="3387">
      <c r="A3387" s="302" t="s">
        <v>85</v>
      </c>
      <c r="B3387" s="291" t="s">
        <v>22017</v>
      </c>
      <c r="C3387" s="292" t="s">
        <v>48</v>
      </c>
      <c r="D3387" s="293">
        <f t="shared" si="2"/>
        <v>1</v>
      </c>
      <c r="E3387" s="294"/>
      <c r="F3387" s="295" t="str">
        <f>IFERROR(__xludf.DUMMYFUNCTION("IF(B3387="""","""",IFERROR(VLOOKUP(TO_TEXT(B3387),PEDIDOS!D:I,6,0),IFERROR(VLOOKUP(B3387*1,PEDIDOS!D:I,6,0),"" "")))"),"ENTREGUE")</f>
        <v>ENTREGUE</v>
      </c>
      <c r="G3387" s="303"/>
      <c r="H3387" s="304"/>
    </row>
    <row r="3388">
      <c r="A3388" s="302" t="s">
        <v>85</v>
      </c>
      <c r="B3388" s="291" t="s">
        <v>21999</v>
      </c>
      <c r="C3388" s="292" t="s">
        <v>48</v>
      </c>
      <c r="D3388" s="293">
        <f t="shared" si="2"/>
        <v>1</v>
      </c>
      <c r="E3388" s="294"/>
      <c r="F3388" s="295" t="str">
        <f>IFERROR(__xludf.DUMMYFUNCTION("IF(B3388="""","""",IFERROR(VLOOKUP(TO_TEXT(B3388),PEDIDOS!D:I,6,0),IFERROR(VLOOKUP(B3388*1,PEDIDOS!D:I,6,0),"" "")))"),"ENTREGUE")</f>
        <v>ENTREGUE</v>
      </c>
      <c r="G3388" s="303"/>
      <c r="H3388" s="304"/>
    </row>
    <row r="3389">
      <c r="A3389" s="302" t="s">
        <v>85</v>
      </c>
      <c r="B3389" s="291" t="s">
        <v>22021</v>
      </c>
      <c r="C3389" s="292" t="s">
        <v>48</v>
      </c>
      <c r="D3389" s="293">
        <f t="shared" si="2"/>
        <v>1</v>
      </c>
      <c r="E3389" s="294"/>
      <c r="F3389" s="295" t="str">
        <f>IFERROR(__xludf.DUMMYFUNCTION("IF(B3389="""","""",IFERROR(VLOOKUP(TO_TEXT(B3389),PEDIDOS!D:I,6,0),IFERROR(VLOOKUP(B3389*1,PEDIDOS!D:I,6,0),"" "")))"),"ENTREGUE")</f>
        <v>ENTREGUE</v>
      </c>
      <c r="G3389" s="303"/>
      <c r="H3389" s="304"/>
    </row>
    <row r="3390">
      <c r="A3390" s="302" t="s">
        <v>85</v>
      </c>
      <c r="B3390" s="291" t="s">
        <v>22050</v>
      </c>
      <c r="C3390" s="292" t="s">
        <v>48</v>
      </c>
      <c r="D3390" s="293">
        <f t="shared" si="2"/>
        <v>1</v>
      </c>
      <c r="E3390" s="294"/>
      <c r="F3390" s="295" t="str">
        <f>IFERROR(__xludf.DUMMYFUNCTION("IF(B3390="""","""",IFERROR(VLOOKUP(TO_TEXT(B3390),PEDIDOS!D:I,6,0),IFERROR(VLOOKUP(B3390*1,PEDIDOS!D:I,6,0),"" "")))"),"ENTREGUE")</f>
        <v>ENTREGUE</v>
      </c>
      <c r="G3390" s="303"/>
      <c r="H3390" s="304"/>
    </row>
    <row r="3391">
      <c r="A3391" s="302" t="s">
        <v>85</v>
      </c>
      <c r="B3391" s="291" t="s">
        <v>21965</v>
      </c>
      <c r="C3391" s="292" t="s">
        <v>48</v>
      </c>
      <c r="D3391" s="293">
        <f t="shared" si="2"/>
        <v>1</v>
      </c>
      <c r="E3391" s="294"/>
      <c r="F3391" s="295" t="str">
        <f>IFERROR(__xludf.DUMMYFUNCTION("IF(B3391="""","""",IFERROR(VLOOKUP(TO_TEXT(B3391),PEDIDOS!D:I,6,0),IFERROR(VLOOKUP(B3391*1,PEDIDOS!D:I,6,0),"" "")))"),"ENTREGUE")</f>
        <v>ENTREGUE</v>
      </c>
      <c r="G3391" s="303"/>
      <c r="H3391" s="304"/>
    </row>
    <row r="3392">
      <c r="A3392" s="302" t="s">
        <v>85</v>
      </c>
      <c r="B3392" s="291" t="s">
        <v>21297</v>
      </c>
      <c r="C3392" s="292" t="s">
        <v>48</v>
      </c>
      <c r="D3392" s="293">
        <f t="shared" si="2"/>
        <v>1</v>
      </c>
      <c r="E3392" s="294"/>
      <c r="F3392" s="295" t="str">
        <f>IFERROR(__xludf.DUMMYFUNCTION("IF(B3392="""","""",IFERROR(VLOOKUP(TO_TEXT(B3392),PEDIDOS!D:I,6,0),IFERROR(VLOOKUP(B3392*1,PEDIDOS!D:I,6,0),"" "")))"),"ENTREGUE")</f>
        <v>ENTREGUE</v>
      </c>
      <c r="G3392" s="303"/>
      <c r="H3392" s="304"/>
    </row>
    <row r="3393">
      <c r="A3393" s="302" t="s">
        <v>85</v>
      </c>
      <c r="B3393" s="291" t="s">
        <v>21398</v>
      </c>
      <c r="C3393" s="292" t="s">
        <v>48</v>
      </c>
      <c r="D3393" s="293">
        <f t="shared" si="2"/>
        <v>1</v>
      </c>
      <c r="E3393" s="294"/>
      <c r="F3393" s="295" t="str">
        <f>IFERROR(__xludf.DUMMYFUNCTION("IF(B3393="""","""",IFERROR(VLOOKUP(TO_TEXT(B3393),PEDIDOS!D:I,6,0),IFERROR(VLOOKUP(B3393*1,PEDIDOS!D:I,6,0),"" "")))"),"ENTREGUE")</f>
        <v>ENTREGUE</v>
      </c>
      <c r="G3393" s="303"/>
      <c r="H3393" s="304"/>
    </row>
    <row r="3394">
      <c r="A3394" s="302" t="s">
        <v>85</v>
      </c>
      <c r="B3394" s="291" t="s">
        <v>20747</v>
      </c>
      <c r="C3394" s="292" t="s">
        <v>48</v>
      </c>
      <c r="D3394" s="293">
        <f t="shared" si="2"/>
        <v>1</v>
      </c>
      <c r="E3394" s="294"/>
      <c r="F3394" s="295" t="str">
        <f>IFERROR(__xludf.DUMMYFUNCTION("IF(B3394="""","""",IFERROR(VLOOKUP(TO_TEXT(B3394),PEDIDOS!D:I,6,0),IFERROR(VLOOKUP(B3394*1,PEDIDOS!D:I,6,0),"" "")))"),"ENTREGUE")</f>
        <v>ENTREGUE</v>
      </c>
      <c r="G3394" s="303"/>
      <c r="H3394" s="304"/>
    </row>
    <row r="3395">
      <c r="A3395" s="302" t="s">
        <v>85</v>
      </c>
      <c r="B3395" s="291" t="s">
        <v>20743</v>
      </c>
      <c r="C3395" s="292" t="s">
        <v>48</v>
      </c>
      <c r="D3395" s="293">
        <f t="shared" si="2"/>
        <v>1</v>
      </c>
      <c r="E3395" s="294"/>
      <c r="F3395" s="295" t="str">
        <f>IFERROR(__xludf.DUMMYFUNCTION("IF(B3395="""","""",IFERROR(VLOOKUP(TO_TEXT(B3395),PEDIDOS!D:I,6,0),IFERROR(VLOOKUP(B3395*1,PEDIDOS!D:I,6,0),"" "")))"),"ENTREGUE")</f>
        <v>ENTREGUE</v>
      </c>
      <c r="G3395" s="303"/>
      <c r="H3395" s="304"/>
    </row>
    <row r="3396">
      <c r="A3396" s="302" t="s">
        <v>85</v>
      </c>
      <c r="B3396" s="291" t="s">
        <v>21360</v>
      </c>
      <c r="C3396" s="292" t="s">
        <v>48</v>
      </c>
      <c r="D3396" s="293">
        <f t="shared" si="2"/>
        <v>1</v>
      </c>
      <c r="E3396" s="294"/>
      <c r="F3396" s="295" t="str">
        <f>IFERROR(__xludf.DUMMYFUNCTION("IF(B3396="""","""",IFERROR(VLOOKUP(TO_TEXT(B3396),PEDIDOS!D:I,6,0),IFERROR(VLOOKUP(B3396*1,PEDIDOS!D:I,6,0),"" "")))"),"ENTREGUE")</f>
        <v>ENTREGUE</v>
      </c>
      <c r="G3396" s="303"/>
      <c r="H3396" s="304"/>
    </row>
    <row r="3397">
      <c r="A3397" s="302" t="s">
        <v>85</v>
      </c>
      <c r="B3397" s="291" t="s">
        <v>20738</v>
      </c>
      <c r="C3397" s="292" t="s">
        <v>48</v>
      </c>
      <c r="D3397" s="293">
        <f t="shared" si="2"/>
        <v>1</v>
      </c>
      <c r="E3397" s="294"/>
      <c r="F3397" s="295" t="str">
        <f>IFERROR(__xludf.DUMMYFUNCTION("IF(B3397="""","""",IFERROR(VLOOKUP(TO_TEXT(B3397),PEDIDOS!D:I,6,0),IFERROR(VLOOKUP(B3397*1,PEDIDOS!D:I,6,0),"" "")))"),"ENTREGUE")</f>
        <v>ENTREGUE</v>
      </c>
      <c r="G3397" s="303"/>
      <c r="H3397" s="304"/>
    </row>
    <row r="3398">
      <c r="A3398" s="302" t="s">
        <v>85</v>
      </c>
      <c r="B3398" s="291" t="s">
        <v>20893</v>
      </c>
      <c r="C3398" s="292" t="s">
        <v>48</v>
      </c>
      <c r="D3398" s="293">
        <f t="shared" si="2"/>
        <v>1</v>
      </c>
      <c r="E3398" s="294"/>
      <c r="F3398" s="295" t="str">
        <f>IFERROR(__xludf.DUMMYFUNCTION("IF(B3398="""","""",IFERROR(VLOOKUP(TO_TEXT(B3398),PEDIDOS!D:I,6,0),IFERROR(VLOOKUP(B3398*1,PEDIDOS!D:I,6,0),"" "")))"),"ENTREGUE")</f>
        <v>ENTREGUE</v>
      </c>
      <c r="G3398" s="303"/>
      <c r="H3398" s="304"/>
    </row>
    <row r="3399">
      <c r="A3399" s="302" t="s">
        <v>85</v>
      </c>
      <c r="B3399" s="291" t="s">
        <v>21464</v>
      </c>
      <c r="C3399" s="292" t="s">
        <v>48</v>
      </c>
      <c r="D3399" s="293">
        <f t="shared" si="2"/>
        <v>1</v>
      </c>
      <c r="E3399" s="294"/>
      <c r="F3399" s="295" t="str">
        <f>IFERROR(__xludf.DUMMYFUNCTION("IF(B3399="""","""",IFERROR(VLOOKUP(TO_TEXT(B3399),PEDIDOS!D:I,6,0),IFERROR(VLOOKUP(B3399*1,PEDIDOS!D:I,6,0),"" "")))"),"ENTREGUE")</f>
        <v>ENTREGUE</v>
      </c>
      <c r="G3399" s="303"/>
      <c r="H3399" s="304"/>
    </row>
    <row r="3400">
      <c r="A3400" s="302" t="s">
        <v>85</v>
      </c>
      <c r="B3400" s="291" t="s">
        <v>21130</v>
      </c>
      <c r="C3400" s="292" t="s">
        <v>48</v>
      </c>
      <c r="D3400" s="293">
        <f t="shared" si="2"/>
        <v>1</v>
      </c>
      <c r="E3400" s="294"/>
      <c r="F3400" s="295" t="str">
        <f>IFERROR(__xludf.DUMMYFUNCTION("IF(B3400="""","""",IFERROR(VLOOKUP(TO_TEXT(B3400),PEDIDOS!D:I,6,0),IFERROR(VLOOKUP(B3400*1,PEDIDOS!D:I,6,0),"" "")))"),"ENTREGUE")</f>
        <v>ENTREGUE</v>
      </c>
      <c r="G3400" s="303"/>
      <c r="H3400" s="304"/>
    </row>
    <row r="3401">
      <c r="A3401" s="302" t="s">
        <v>85</v>
      </c>
      <c r="B3401" s="291" t="s">
        <v>20639</v>
      </c>
      <c r="C3401" s="292" t="s">
        <v>48</v>
      </c>
      <c r="D3401" s="293">
        <f t="shared" si="2"/>
        <v>1</v>
      </c>
      <c r="E3401" s="294"/>
      <c r="F3401" s="295" t="str">
        <f>IFERROR(__xludf.DUMMYFUNCTION("IF(B3401="""","""",IFERROR(VLOOKUP(TO_TEXT(B3401),PEDIDOS!D:I,6,0),IFERROR(VLOOKUP(B3401*1,PEDIDOS!D:I,6,0),"" "")))"),"ENTREGUE")</f>
        <v>ENTREGUE</v>
      </c>
      <c r="G3401" s="303"/>
      <c r="H3401" s="304"/>
    </row>
    <row r="3402">
      <c r="A3402" s="302" t="s">
        <v>85</v>
      </c>
      <c r="B3402" s="291" t="s">
        <v>21122</v>
      </c>
      <c r="C3402" s="292" t="s">
        <v>48</v>
      </c>
      <c r="D3402" s="293">
        <f t="shared" si="2"/>
        <v>1</v>
      </c>
      <c r="E3402" s="294"/>
      <c r="F3402" s="295" t="str">
        <f>IFERROR(__xludf.DUMMYFUNCTION("IF(B3402="""","""",IFERROR(VLOOKUP(TO_TEXT(B3402),PEDIDOS!D:I,6,0),IFERROR(VLOOKUP(B3402*1,PEDIDOS!D:I,6,0),"" "")))"),"ENTREGUE")</f>
        <v>ENTREGUE</v>
      </c>
      <c r="G3402" s="303"/>
      <c r="H3402" s="304"/>
    </row>
    <row r="3403">
      <c r="A3403" s="302" t="s">
        <v>85</v>
      </c>
      <c r="B3403" s="291" t="s">
        <v>21126</v>
      </c>
      <c r="C3403" s="292" t="s">
        <v>48</v>
      </c>
      <c r="D3403" s="293">
        <f t="shared" si="2"/>
        <v>1</v>
      </c>
      <c r="E3403" s="294"/>
      <c r="F3403" s="295" t="str">
        <f>IFERROR(__xludf.DUMMYFUNCTION("IF(B3403="""","""",IFERROR(VLOOKUP(TO_TEXT(B3403),PEDIDOS!D:I,6,0),IFERROR(VLOOKUP(B3403*1,PEDIDOS!D:I,6,0),"" "")))"),"ENTREGUE")</f>
        <v>ENTREGUE</v>
      </c>
      <c r="G3403" s="303"/>
      <c r="H3403" s="304"/>
    </row>
    <row r="3404">
      <c r="A3404" s="302" t="s">
        <v>91</v>
      </c>
      <c r="B3404" s="291" t="s">
        <v>19128</v>
      </c>
      <c r="C3404" s="292" t="s">
        <v>48</v>
      </c>
      <c r="D3404" s="293">
        <f t="shared" si="2"/>
        <v>1</v>
      </c>
      <c r="E3404" s="294"/>
      <c r="F3404" s="295" t="str">
        <f>IFERROR(__xludf.DUMMYFUNCTION("IF(B3404="""","""",IFERROR(VLOOKUP(TO_TEXT(B3404),PEDIDOS!D:I,6,0),IFERROR(VLOOKUP(B3404*1,PEDIDOS!D:I,6,0),"" "")))"),"ENTREGUE")</f>
        <v>ENTREGUE</v>
      </c>
      <c r="G3404" s="303"/>
      <c r="H3404" s="304"/>
    </row>
    <row r="3405">
      <c r="A3405" s="302" t="s">
        <v>91</v>
      </c>
      <c r="B3405" s="291" t="s">
        <v>19365</v>
      </c>
      <c r="C3405" s="292" t="s">
        <v>48</v>
      </c>
      <c r="D3405" s="293">
        <f t="shared" si="2"/>
        <v>1</v>
      </c>
      <c r="E3405" s="294"/>
      <c r="F3405" s="295" t="str">
        <f>IFERROR(__xludf.DUMMYFUNCTION("IF(B3405="""","""",IFERROR(VLOOKUP(TO_TEXT(B3405),PEDIDOS!D:I,6,0),IFERROR(VLOOKUP(B3405*1,PEDIDOS!D:I,6,0),"" "")))"),"ENTREGUE")</f>
        <v>ENTREGUE</v>
      </c>
      <c r="G3405" s="303"/>
      <c r="H3405" s="304"/>
    </row>
    <row r="3406">
      <c r="A3406" s="302" t="s">
        <v>91</v>
      </c>
      <c r="B3406" s="291" t="s">
        <v>19871</v>
      </c>
      <c r="C3406" s="292" t="s">
        <v>48</v>
      </c>
      <c r="D3406" s="293">
        <f t="shared" si="2"/>
        <v>1</v>
      </c>
      <c r="E3406" s="294"/>
      <c r="F3406" s="295" t="str">
        <f>IFERROR(__xludf.DUMMYFUNCTION("IF(B3406="""","""",IFERROR(VLOOKUP(TO_TEXT(B3406),PEDIDOS!D:I,6,0),IFERROR(VLOOKUP(B3406*1,PEDIDOS!D:I,6,0),"" "")))"),"ENTREGUE")</f>
        <v>ENTREGUE</v>
      </c>
      <c r="G3406" s="303"/>
      <c r="H3406" s="304"/>
    </row>
    <row r="3407">
      <c r="A3407" s="302" t="s">
        <v>91</v>
      </c>
      <c r="B3407" s="291" t="s">
        <v>19160</v>
      </c>
      <c r="C3407" s="292" t="s">
        <v>48</v>
      </c>
      <c r="D3407" s="293">
        <f t="shared" si="2"/>
        <v>1</v>
      </c>
      <c r="E3407" s="294"/>
      <c r="F3407" s="295" t="str">
        <f>IFERROR(__xludf.DUMMYFUNCTION("IF(B3407="""","""",IFERROR(VLOOKUP(TO_TEXT(B3407),PEDIDOS!D:I,6,0),IFERROR(VLOOKUP(B3407*1,PEDIDOS!D:I,6,0),"" "")))"),"ENTREGUE")</f>
        <v>ENTREGUE</v>
      </c>
      <c r="G3407" s="303"/>
      <c r="H3407" s="304"/>
    </row>
    <row r="3408">
      <c r="A3408" s="302" t="s">
        <v>91</v>
      </c>
      <c r="B3408" s="291" t="s">
        <v>19164</v>
      </c>
      <c r="C3408" s="292" t="s">
        <v>48</v>
      </c>
      <c r="D3408" s="293">
        <f t="shared" si="2"/>
        <v>1</v>
      </c>
      <c r="E3408" s="294"/>
      <c r="F3408" s="295" t="str">
        <f>IFERROR(__xludf.DUMMYFUNCTION("IF(B3408="""","""",IFERROR(VLOOKUP(TO_TEXT(B3408),PEDIDOS!D:I,6,0),IFERROR(VLOOKUP(B3408*1,PEDIDOS!D:I,6,0),"" "")))"),"ENTREGUE")</f>
        <v>ENTREGUE</v>
      </c>
      <c r="G3408" s="303"/>
      <c r="H3408" s="304"/>
    </row>
    <row r="3409">
      <c r="A3409" s="302" t="s">
        <v>91</v>
      </c>
      <c r="B3409" s="291" t="s">
        <v>18626</v>
      </c>
      <c r="C3409" s="292" t="s">
        <v>48</v>
      </c>
      <c r="D3409" s="293">
        <f t="shared" si="2"/>
        <v>1</v>
      </c>
      <c r="E3409" s="294"/>
      <c r="F3409" s="295" t="str">
        <f>IFERROR(__xludf.DUMMYFUNCTION("IF(B3409="""","""",IFERROR(VLOOKUP(TO_TEXT(B3409),PEDIDOS!D:I,6,0),IFERROR(VLOOKUP(B3409*1,PEDIDOS!D:I,6,0),"" "")))"),"ENTREGUE")</f>
        <v>ENTREGUE</v>
      </c>
      <c r="G3409" s="303"/>
      <c r="H3409" s="304"/>
    </row>
    <row r="3410">
      <c r="A3410" s="302" t="s">
        <v>91</v>
      </c>
      <c r="B3410" s="291" t="s">
        <v>18754</v>
      </c>
      <c r="C3410" s="292" t="s">
        <v>48</v>
      </c>
      <c r="D3410" s="293">
        <f t="shared" si="2"/>
        <v>1</v>
      </c>
      <c r="E3410" s="294"/>
      <c r="F3410" s="295" t="str">
        <f>IFERROR(__xludf.DUMMYFUNCTION("IF(B3410="""","""",IFERROR(VLOOKUP(TO_TEXT(B3410),PEDIDOS!D:I,6,0),IFERROR(VLOOKUP(B3410*1,PEDIDOS!D:I,6,0),"" "")))"),"ENTREGUE")</f>
        <v>ENTREGUE</v>
      </c>
      <c r="G3410" s="303"/>
      <c r="H3410" s="304"/>
    </row>
    <row r="3411">
      <c r="A3411" s="302" t="s">
        <v>91</v>
      </c>
      <c r="B3411" s="291" t="s">
        <v>18601</v>
      </c>
      <c r="C3411" s="292" t="s">
        <v>48</v>
      </c>
      <c r="D3411" s="293">
        <f t="shared" si="2"/>
        <v>1</v>
      </c>
      <c r="E3411" s="294"/>
      <c r="F3411" s="295" t="str">
        <f>IFERROR(__xludf.DUMMYFUNCTION("IF(B3411="""","""",IFERROR(VLOOKUP(TO_TEXT(B3411),PEDIDOS!D:I,6,0),IFERROR(VLOOKUP(B3411*1,PEDIDOS!D:I,6,0),"" "")))"),"ENTREGUE")</f>
        <v>ENTREGUE</v>
      </c>
      <c r="G3411" s="303"/>
      <c r="H3411" s="304"/>
    </row>
    <row r="3412">
      <c r="A3412" s="302" t="s">
        <v>91</v>
      </c>
      <c r="B3412" s="291" t="s">
        <v>18605</v>
      </c>
      <c r="C3412" s="292" t="s">
        <v>48</v>
      </c>
      <c r="D3412" s="293">
        <f t="shared" si="2"/>
        <v>1</v>
      </c>
      <c r="E3412" s="294"/>
      <c r="F3412" s="295" t="str">
        <f>IFERROR(__xludf.DUMMYFUNCTION("IF(B3412="""","""",IFERROR(VLOOKUP(TO_TEXT(B3412),PEDIDOS!D:I,6,0),IFERROR(VLOOKUP(B3412*1,PEDIDOS!D:I,6,0),"" "")))"),"ENTREGUE")</f>
        <v>ENTREGUE</v>
      </c>
      <c r="G3412" s="303"/>
      <c r="H3412" s="304"/>
    </row>
    <row r="3413">
      <c r="A3413" s="302" t="s">
        <v>91</v>
      </c>
      <c r="B3413" s="291" t="s">
        <v>18814</v>
      </c>
      <c r="C3413" s="292" t="s">
        <v>48</v>
      </c>
      <c r="D3413" s="293">
        <f t="shared" si="2"/>
        <v>1</v>
      </c>
      <c r="E3413" s="294"/>
      <c r="F3413" s="295" t="str">
        <f>IFERROR(__xludf.DUMMYFUNCTION("IF(B3413="""","""",IFERROR(VLOOKUP(TO_TEXT(B3413),PEDIDOS!D:I,6,0),IFERROR(VLOOKUP(B3413*1,PEDIDOS!D:I,6,0),"" "")))"),"ENTREGUE")</f>
        <v>ENTREGUE</v>
      </c>
      <c r="G3413" s="303"/>
      <c r="H3413" s="304"/>
    </row>
    <row r="3414">
      <c r="A3414" s="302" t="s">
        <v>91</v>
      </c>
      <c r="B3414" s="291" t="s">
        <v>18822</v>
      </c>
      <c r="C3414" s="292" t="s">
        <v>48</v>
      </c>
      <c r="D3414" s="293">
        <f t="shared" si="2"/>
        <v>1</v>
      </c>
      <c r="E3414" s="294"/>
      <c r="F3414" s="295" t="str">
        <f>IFERROR(__xludf.DUMMYFUNCTION("IF(B3414="""","""",IFERROR(VLOOKUP(TO_TEXT(B3414),PEDIDOS!D:I,6,0),IFERROR(VLOOKUP(B3414*1,PEDIDOS!D:I,6,0),"" "")))"),"ENTREGUE")</f>
        <v>ENTREGUE</v>
      </c>
      <c r="G3414" s="303"/>
      <c r="H3414" s="304"/>
    </row>
    <row r="3415">
      <c r="A3415" s="302" t="s">
        <v>91</v>
      </c>
      <c r="B3415" s="291" t="s">
        <v>18947</v>
      </c>
      <c r="C3415" s="292" t="s">
        <v>48</v>
      </c>
      <c r="D3415" s="293">
        <f t="shared" si="2"/>
        <v>1</v>
      </c>
      <c r="E3415" s="294"/>
      <c r="F3415" s="295" t="str">
        <f>IFERROR(__xludf.DUMMYFUNCTION("IF(B3415="""","""",IFERROR(VLOOKUP(TO_TEXT(B3415),PEDIDOS!D:I,6,0),IFERROR(VLOOKUP(B3415*1,PEDIDOS!D:I,6,0),"" "")))"),"ENTREGUE")</f>
        <v>ENTREGUE</v>
      </c>
      <c r="G3415" s="303"/>
      <c r="H3415" s="304"/>
    </row>
    <row r="3416">
      <c r="A3416" s="302" t="s">
        <v>91</v>
      </c>
      <c r="B3416" s="291" t="s">
        <v>18983</v>
      </c>
      <c r="C3416" s="292" t="s">
        <v>48</v>
      </c>
      <c r="D3416" s="293">
        <f t="shared" si="2"/>
        <v>1</v>
      </c>
      <c r="E3416" s="294"/>
      <c r="F3416" s="295" t="str">
        <f>IFERROR(__xludf.DUMMYFUNCTION("IF(B3416="""","""",IFERROR(VLOOKUP(TO_TEXT(B3416),PEDIDOS!D:I,6,0),IFERROR(VLOOKUP(B3416*1,PEDIDOS!D:I,6,0),"" "")))"),"ENTREGUE")</f>
        <v>ENTREGUE</v>
      </c>
      <c r="G3416" s="303"/>
      <c r="H3416" s="304"/>
    </row>
    <row r="3417">
      <c r="A3417" s="302" t="s">
        <v>91</v>
      </c>
      <c r="B3417" s="291" t="s">
        <v>19210</v>
      </c>
      <c r="C3417" s="292" t="s">
        <v>48</v>
      </c>
      <c r="D3417" s="293">
        <f t="shared" si="2"/>
        <v>1</v>
      </c>
      <c r="E3417" s="294"/>
      <c r="F3417" s="295" t="str">
        <f>IFERROR(__xludf.DUMMYFUNCTION("IF(B3417="""","""",IFERROR(VLOOKUP(TO_TEXT(B3417),PEDIDOS!D:I,6,0),IFERROR(VLOOKUP(B3417*1,PEDIDOS!D:I,6,0),"" "")))"),"ENTREGUE")</f>
        <v>ENTREGUE</v>
      </c>
      <c r="G3417" s="303"/>
      <c r="H3417" s="304"/>
    </row>
    <row r="3418">
      <c r="A3418" s="302" t="s">
        <v>91</v>
      </c>
      <c r="B3418" s="291" t="s">
        <v>19132</v>
      </c>
      <c r="C3418" s="292" t="s">
        <v>48</v>
      </c>
      <c r="D3418" s="293">
        <f t="shared" si="2"/>
        <v>1</v>
      </c>
      <c r="E3418" s="294"/>
      <c r="F3418" s="295" t="str">
        <f>IFERROR(__xludf.DUMMYFUNCTION("IF(B3418="""","""",IFERROR(VLOOKUP(TO_TEXT(B3418),PEDIDOS!D:I,6,0),IFERROR(VLOOKUP(B3418*1,PEDIDOS!D:I,6,0),"" "")))"),"ENTREGUE")</f>
        <v>ENTREGUE</v>
      </c>
      <c r="G3418" s="303"/>
      <c r="H3418" s="304"/>
    </row>
    <row r="3419">
      <c r="A3419" s="302" t="s">
        <v>91</v>
      </c>
      <c r="B3419" s="291" t="s">
        <v>19301</v>
      </c>
      <c r="C3419" s="292" t="s">
        <v>48</v>
      </c>
      <c r="D3419" s="293">
        <f t="shared" si="2"/>
        <v>1</v>
      </c>
      <c r="E3419" s="294"/>
      <c r="F3419" s="295" t="str">
        <f>IFERROR(__xludf.DUMMYFUNCTION("IF(B3419="""","""",IFERROR(VLOOKUP(TO_TEXT(B3419),PEDIDOS!D:I,6,0),IFERROR(VLOOKUP(B3419*1,PEDIDOS!D:I,6,0),"" "")))"),"ENTREGUE")</f>
        <v>ENTREGUE</v>
      </c>
      <c r="G3419" s="303"/>
      <c r="H3419" s="304"/>
    </row>
    <row r="3420">
      <c r="A3420" s="302" t="s">
        <v>91</v>
      </c>
      <c r="B3420" s="291" t="s">
        <v>19320</v>
      </c>
      <c r="C3420" s="292" t="s">
        <v>48</v>
      </c>
      <c r="D3420" s="293">
        <f t="shared" si="2"/>
        <v>1</v>
      </c>
      <c r="E3420" s="294"/>
      <c r="F3420" s="295" t="str">
        <f>IFERROR(__xludf.DUMMYFUNCTION("IF(B3420="""","""",IFERROR(VLOOKUP(TO_TEXT(B3420),PEDIDOS!D:I,6,0),IFERROR(VLOOKUP(B3420*1,PEDIDOS!D:I,6,0),"" "")))"),"ENTREGUE")</f>
        <v>ENTREGUE</v>
      </c>
      <c r="G3420" s="303"/>
      <c r="H3420" s="304"/>
    </row>
    <row r="3421">
      <c r="A3421" s="302" t="s">
        <v>91</v>
      </c>
      <c r="B3421" s="291" t="s">
        <v>19180</v>
      </c>
      <c r="C3421" s="292" t="s">
        <v>48</v>
      </c>
      <c r="D3421" s="293">
        <f t="shared" si="2"/>
        <v>1</v>
      </c>
      <c r="E3421" s="294"/>
      <c r="F3421" s="295" t="str">
        <f>IFERROR(__xludf.DUMMYFUNCTION("IF(B3421="""","""",IFERROR(VLOOKUP(TO_TEXT(B3421),PEDIDOS!D:I,6,0),IFERROR(VLOOKUP(B3421*1,PEDIDOS!D:I,6,0),"" "")))"),"ENTREGUE")</f>
        <v>ENTREGUE</v>
      </c>
      <c r="G3421" s="303"/>
      <c r="H3421" s="304"/>
    </row>
    <row r="3422">
      <c r="A3422" s="302" t="s">
        <v>91</v>
      </c>
      <c r="B3422" s="291" t="s">
        <v>19596</v>
      </c>
      <c r="C3422" s="292" t="s">
        <v>48</v>
      </c>
      <c r="D3422" s="293">
        <f t="shared" si="2"/>
        <v>1</v>
      </c>
      <c r="E3422" s="294"/>
      <c r="F3422" s="295" t="str">
        <f>IFERROR(__xludf.DUMMYFUNCTION("IF(B3422="""","""",IFERROR(VLOOKUP(TO_TEXT(B3422),PEDIDOS!D:I,6,0),IFERROR(VLOOKUP(B3422*1,PEDIDOS!D:I,6,0),"" "")))"),"ENTREGUE")</f>
        <v>ENTREGUE</v>
      </c>
      <c r="G3422" s="303"/>
      <c r="H3422" s="304"/>
    </row>
    <row r="3423">
      <c r="A3423" s="302" t="s">
        <v>91</v>
      </c>
      <c r="B3423" s="291" t="s">
        <v>19604</v>
      </c>
      <c r="C3423" s="292" t="s">
        <v>48</v>
      </c>
      <c r="D3423" s="293">
        <f t="shared" si="2"/>
        <v>1</v>
      </c>
      <c r="E3423" s="294"/>
      <c r="F3423" s="295" t="str">
        <f>IFERROR(__xludf.DUMMYFUNCTION("IF(B3423="""","""",IFERROR(VLOOKUP(TO_TEXT(B3423),PEDIDOS!D:I,6,0),IFERROR(VLOOKUP(B3423*1,PEDIDOS!D:I,6,0),"" "")))"),"ENTREGUE")</f>
        <v>ENTREGUE</v>
      </c>
      <c r="G3423" s="303"/>
      <c r="H3423" s="304"/>
    </row>
    <row r="3424">
      <c r="A3424" s="302" t="s">
        <v>112</v>
      </c>
      <c r="B3424" s="291" t="s">
        <v>17876</v>
      </c>
      <c r="C3424" s="292" t="s">
        <v>48</v>
      </c>
      <c r="D3424" s="293">
        <f t="shared" si="2"/>
        <v>1</v>
      </c>
      <c r="E3424" s="294"/>
      <c r="F3424" s="295" t="str">
        <f>IFERROR(__xludf.DUMMYFUNCTION("IF(B3424="""","""",IFERROR(VLOOKUP(TO_TEXT(B3424),PEDIDOS!D:I,6,0),IFERROR(VLOOKUP(B3424*1,PEDIDOS!D:I,6,0),"" "")))"),"ENTREGUE")</f>
        <v>ENTREGUE</v>
      </c>
      <c r="G3424" s="303"/>
      <c r="H3424" s="304"/>
    </row>
    <row r="3425">
      <c r="A3425" s="302" t="s">
        <v>112</v>
      </c>
      <c r="B3425" s="291" t="s">
        <v>17880</v>
      </c>
      <c r="C3425" s="292" t="s">
        <v>48</v>
      </c>
      <c r="D3425" s="293">
        <f t="shared" si="2"/>
        <v>1</v>
      </c>
      <c r="E3425" s="294"/>
      <c r="F3425" s="295" t="str">
        <f>IFERROR(__xludf.DUMMYFUNCTION("IF(B3425="""","""",IFERROR(VLOOKUP(TO_TEXT(B3425),PEDIDOS!D:I,6,0),IFERROR(VLOOKUP(B3425*1,PEDIDOS!D:I,6,0),"" "")))"),"ENTREGUE")</f>
        <v>ENTREGUE</v>
      </c>
      <c r="G3425" s="303"/>
      <c r="H3425" s="304"/>
    </row>
    <row r="3426">
      <c r="A3426" s="302" t="s">
        <v>112</v>
      </c>
      <c r="B3426" s="291" t="s">
        <v>17945</v>
      </c>
      <c r="C3426" s="292" t="s">
        <v>48</v>
      </c>
      <c r="D3426" s="293">
        <f t="shared" si="2"/>
        <v>1</v>
      </c>
      <c r="E3426" s="294"/>
      <c r="F3426" s="295" t="str">
        <f>IFERROR(__xludf.DUMMYFUNCTION("IF(B3426="""","""",IFERROR(VLOOKUP(TO_TEXT(B3426),PEDIDOS!D:I,6,0),IFERROR(VLOOKUP(B3426*1,PEDIDOS!D:I,6,0),"" "")))"),"ENTREGUE")</f>
        <v>ENTREGUE</v>
      </c>
      <c r="G3426" s="303"/>
      <c r="H3426" s="304"/>
    </row>
    <row r="3427">
      <c r="A3427" s="302" t="s">
        <v>112</v>
      </c>
      <c r="B3427" s="291" t="s">
        <v>17872</v>
      </c>
      <c r="C3427" s="292" t="s">
        <v>48</v>
      </c>
      <c r="D3427" s="293">
        <f t="shared" si="2"/>
        <v>1</v>
      </c>
      <c r="E3427" s="294"/>
      <c r="F3427" s="295" t="str">
        <f>IFERROR(__xludf.DUMMYFUNCTION("IF(B3427="""","""",IFERROR(VLOOKUP(TO_TEXT(B3427),PEDIDOS!D:I,6,0),IFERROR(VLOOKUP(B3427*1,PEDIDOS!D:I,6,0),"" "")))"),"ENTREGUE")</f>
        <v>ENTREGUE</v>
      </c>
      <c r="G3427" s="303"/>
      <c r="H3427" s="304"/>
    </row>
    <row r="3428">
      <c r="A3428" s="302" t="s">
        <v>112</v>
      </c>
      <c r="B3428" s="291" t="s">
        <v>17884</v>
      </c>
      <c r="C3428" s="292" t="s">
        <v>48</v>
      </c>
      <c r="D3428" s="293">
        <f t="shared" si="2"/>
        <v>1</v>
      </c>
      <c r="E3428" s="294"/>
      <c r="F3428" s="295" t="str">
        <f>IFERROR(__xludf.DUMMYFUNCTION("IF(B3428="""","""",IFERROR(VLOOKUP(TO_TEXT(B3428),PEDIDOS!D:I,6,0),IFERROR(VLOOKUP(B3428*1,PEDIDOS!D:I,6,0),"" "")))"),"ENTREGUE")</f>
        <v>ENTREGUE</v>
      </c>
      <c r="G3428" s="303"/>
      <c r="H3428" s="304"/>
    </row>
    <row r="3429">
      <c r="A3429" s="302" t="s">
        <v>112</v>
      </c>
      <c r="B3429" s="291" t="s">
        <v>17867</v>
      </c>
      <c r="C3429" s="292" t="s">
        <v>48</v>
      </c>
      <c r="D3429" s="293">
        <f t="shared" si="2"/>
        <v>1</v>
      </c>
      <c r="E3429" s="294"/>
      <c r="F3429" s="295" t="str">
        <f>IFERROR(__xludf.DUMMYFUNCTION("IF(B3429="""","""",IFERROR(VLOOKUP(TO_TEXT(B3429),PEDIDOS!D:I,6,0),IFERROR(VLOOKUP(B3429*1,PEDIDOS!D:I,6,0),"" "")))"),"ENTREGUE")</f>
        <v>ENTREGUE</v>
      </c>
      <c r="G3429" s="303"/>
      <c r="H3429" s="304"/>
    </row>
    <row r="3430">
      <c r="A3430" s="302" t="s">
        <v>112</v>
      </c>
      <c r="B3430" s="291" t="s">
        <v>18659</v>
      </c>
      <c r="C3430" s="292" t="s">
        <v>48</v>
      </c>
      <c r="D3430" s="293">
        <f t="shared" si="2"/>
        <v>1</v>
      </c>
      <c r="E3430" s="294"/>
      <c r="F3430" s="295" t="str">
        <f>IFERROR(__xludf.DUMMYFUNCTION("IF(B3430="""","""",IFERROR(VLOOKUP(TO_TEXT(B3430),PEDIDOS!D:I,6,0),IFERROR(VLOOKUP(B3430*1,PEDIDOS!D:I,6,0),"" "")))"),"ENTREGUE")</f>
        <v>ENTREGUE</v>
      </c>
      <c r="G3430" s="303"/>
      <c r="H3430" s="304"/>
    </row>
    <row r="3431">
      <c r="A3431" s="302" t="s">
        <v>112</v>
      </c>
      <c r="B3431" s="291" t="s">
        <v>18578</v>
      </c>
      <c r="C3431" s="292" t="s">
        <v>48</v>
      </c>
      <c r="D3431" s="293">
        <f t="shared" si="2"/>
        <v>1</v>
      </c>
      <c r="E3431" s="294"/>
      <c r="F3431" s="295" t="str">
        <f>IFERROR(__xludf.DUMMYFUNCTION("IF(B3431="""","""",IFERROR(VLOOKUP(TO_TEXT(B3431),PEDIDOS!D:I,6,0),IFERROR(VLOOKUP(B3431*1,PEDIDOS!D:I,6,0),"" "")))"),"ENTREGUE")</f>
        <v>ENTREGUE</v>
      </c>
      <c r="G3431" s="303"/>
      <c r="H3431" s="304"/>
    </row>
    <row r="3432">
      <c r="A3432" s="302" t="s">
        <v>112</v>
      </c>
      <c r="B3432" s="291" t="s">
        <v>18091</v>
      </c>
      <c r="C3432" s="292" t="s">
        <v>48</v>
      </c>
      <c r="D3432" s="293">
        <f t="shared" si="2"/>
        <v>1</v>
      </c>
      <c r="E3432" s="294"/>
      <c r="F3432" s="295" t="str">
        <f>IFERROR(__xludf.DUMMYFUNCTION("IF(B3432="""","""",IFERROR(VLOOKUP(TO_TEXT(B3432),PEDIDOS!D:I,6,0),IFERROR(VLOOKUP(B3432*1,PEDIDOS!D:I,6,0),"" "")))"),"ENTREGUE")</f>
        <v>ENTREGUE</v>
      </c>
      <c r="G3432" s="303"/>
      <c r="H3432" s="304"/>
    </row>
    <row r="3433">
      <c r="A3433" s="302" t="s">
        <v>112</v>
      </c>
      <c r="B3433" s="291" t="s">
        <v>18142</v>
      </c>
      <c r="C3433" s="292" t="s">
        <v>48</v>
      </c>
      <c r="D3433" s="293">
        <f t="shared" si="2"/>
        <v>1</v>
      </c>
      <c r="E3433" s="294"/>
      <c r="F3433" s="295" t="str">
        <f>IFERROR(__xludf.DUMMYFUNCTION("IF(B3433="""","""",IFERROR(VLOOKUP(TO_TEXT(B3433),PEDIDOS!D:I,6,0),IFERROR(VLOOKUP(B3433*1,PEDIDOS!D:I,6,0),"" "")))"),"ENTREGUE")</f>
        <v>ENTREGUE</v>
      </c>
      <c r="G3433" s="303"/>
      <c r="H3433" s="304"/>
    </row>
    <row r="3434">
      <c r="A3434" s="302" t="s">
        <v>112</v>
      </c>
      <c r="B3434" s="291" t="s">
        <v>17970</v>
      </c>
      <c r="C3434" s="292" t="s">
        <v>48</v>
      </c>
      <c r="D3434" s="293">
        <f t="shared" si="2"/>
        <v>1</v>
      </c>
      <c r="E3434" s="294"/>
      <c r="F3434" s="295" t="str">
        <f>IFERROR(__xludf.DUMMYFUNCTION("IF(B3434="""","""",IFERROR(VLOOKUP(TO_TEXT(B3434),PEDIDOS!D:I,6,0),IFERROR(VLOOKUP(B3434*1,PEDIDOS!D:I,6,0),"" "")))"),"ENTREGUE")</f>
        <v>ENTREGUE</v>
      </c>
      <c r="G3434" s="303"/>
      <c r="H3434" s="304"/>
    </row>
    <row r="3435">
      <c r="A3435" s="302" t="s">
        <v>112</v>
      </c>
      <c r="B3435" s="291" t="s">
        <v>18493</v>
      </c>
      <c r="C3435" s="292" t="s">
        <v>48</v>
      </c>
      <c r="D3435" s="293">
        <f t="shared" si="2"/>
        <v>1</v>
      </c>
      <c r="E3435" s="294"/>
      <c r="F3435" s="295" t="str">
        <f>IFERROR(__xludf.DUMMYFUNCTION("IF(B3435="""","""",IFERROR(VLOOKUP(TO_TEXT(B3435),PEDIDOS!D:I,6,0),IFERROR(VLOOKUP(B3435*1,PEDIDOS!D:I,6,0),"" "")))"),"ENTREGUE")</f>
        <v>ENTREGUE</v>
      </c>
      <c r="G3435" s="303"/>
      <c r="H3435" s="304"/>
    </row>
    <row r="3436">
      <c r="A3436" s="302" t="s">
        <v>112</v>
      </c>
      <c r="B3436" s="291" t="s">
        <v>18488</v>
      </c>
      <c r="C3436" s="292" t="s">
        <v>48</v>
      </c>
      <c r="D3436" s="293">
        <f t="shared" si="2"/>
        <v>1</v>
      </c>
      <c r="E3436" s="294"/>
      <c r="F3436" s="295" t="str">
        <f>IFERROR(__xludf.DUMMYFUNCTION("IF(B3436="""","""",IFERROR(VLOOKUP(TO_TEXT(B3436),PEDIDOS!D:I,6,0),IFERROR(VLOOKUP(B3436*1,PEDIDOS!D:I,6,0),"" "")))"),"ENTREGUE")</f>
        <v>ENTREGUE</v>
      </c>
      <c r="G3436" s="303"/>
      <c r="H3436" s="304"/>
    </row>
    <row r="3437">
      <c r="A3437" s="302" t="s">
        <v>112</v>
      </c>
      <c r="B3437" s="291" t="s">
        <v>18665</v>
      </c>
      <c r="C3437" s="292" t="s">
        <v>48</v>
      </c>
      <c r="D3437" s="293">
        <f t="shared" si="2"/>
        <v>1</v>
      </c>
      <c r="E3437" s="294"/>
      <c r="F3437" s="295" t="str">
        <f>IFERROR(__xludf.DUMMYFUNCTION("IF(B3437="""","""",IFERROR(VLOOKUP(TO_TEXT(B3437),PEDIDOS!D:I,6,0),IFERROR(VLOOKUP(B3437*1,PEDIDOS!D:I,6,0),"" "")))"),"ENTREGUE")</f>
        <v>ENTREGUE</v>
      </c>
      <c r="G3437" s="303"/>
      <c r="H3437" s="304"/>
    </row>
    <row r="3438">
      <c r="A3438" s="302" t="s">
        <v>112</v>
      </c>
      <c r="B3438" s="291" t="s">
        <v>18973</v>
      </c>
      <c r="C3438" s="292" t="s">
        <v>48</v>
      </c>
      <c r="D3438" s="293">
        <f t="shared" si="2"/>
        <v>1</v>
      </c>
      <c r="E3438" s="294"/>
      <c r="F3438" s="295" t="str">
        <f>IFERROR(__xludf.DUMMYFUNCTION("IF(B3438="""","""",IFERROR(VLOOKUP(TO_TEXT(B3438),PEDIDOS!D:I,6,0),IFERROR(VLOOKUP(B3438*1,PEDIDOS!D:I,6,0),"" "")))"),"ENTREGUE")</f>
        <v>ENTREGUE</v>
      </c>
      <c r="G3438" s="303"/>
      <c r="H3438" s="304"/>
    </row>
    <row r="3439">
      <c r="A3439" s="302" t="s">
        <v>112</v>
      </c>
      <c r="B3439" s="291" t="s">
        <v>18968</v>
      </c>
      <c r="C3439" s="292" t="s">
        <v>48</v>
      </c>
      <c r="D3439" s="293">
        <f t="shared" si="2"/>
        <v>1</v>
      </c>
      <c r="E3439" s="294"/>
      <c r="F3439" s="295" t="str">
        <f>IFERROR(__xludf.DUMMYFUNCTION("IF(B3439="""","""",IFERROR(VLOOKUP(TO_TEXT(B3439),PEDIDOS!D:I,6,0),IFERROR(VLOOKUP(B3439*1,PEDIDOS!D:I,6,0),"" "")))"),"ENTREGUE")</f>
        <v>ENTREGUE</v>
      </c>
      <c r="G3439" s="303"/>
      <c r="H3439" s="304"/>
    </row>
    <row r="3440">
      <c r="A3440" s="302" t="s">
        <v>112</v>
      </c>
      <c r="B3440" s="291" t="s">
        <v>18768</v>
      </c>
      <c r="C3440" s="292" t="s">
        <v>48</v>
      </c>
      <c r="D3440" s="293">
        <f t="shared" si="2"/>
        <v>1</v>
      </c>
      <c r="E3440" s="294"/>
      <c r="F3440" s="295" t="str">
        <f>IFERROR(__xludf.DUMMYFUNCTION("IF(B3440="""","""",IFERROR(VLOOKUP(TO_TEXT(B3440),PEDIDOS!D:I,6,0),IFERROR(VLOOKUP(B3440*1,PEDIDOS!D:I,6,0),"" "")))"),"ENTREGUE")</f>
        <v>ENTREGUE</v>
      </c>
      <c r="G3440" s="303"/>
      <c r="H3440" s="304"/>
    </row>
    <row r="3441">
      <c r="A3441" s="302" t="s">
        <v>112</v>
      </c>
      <c r="B3441" s="291" t="s">
        <v>23458</v>
      </c>
      <c r="C3441" s="292" t="s">
        <v>48</v>
      </c>
      <c r="D3441" s="293">
        <f t="shared" si="2"/>
        <v>1</v>
      </c>
      <c r="E3441" s="294"/>
      <c r="F3441" s="295" t="str">
        <f>IFERROR(__xludf.DUMMYFUNCTION("IF(B3441="""","""",IFERROR(VLOOKUP(TO_TEXT(B3441),PEDIDOS!D:I,6,0),IFERROR(VLOOKUP(B3441*1,PEDIDOS!D:I,6,0),"" "")))")," ")</f>
        <v> </v>
      </c>
      <c r="G3441" s="307" t="s">
        <v>23334</v>
      </c>
      <c r="H3441" s="304"/>
    </row>
    <row r="3442">
      <c r="A3442" s="302" t="s">
        <v>112</v>
      </c>
      <c r="B3442" s="291" t="s">
        <v>18483</v>
      </c>
      <c r="C3442" s="292" t="s">
        <v>48</v>
      </c>
      <c r="D3442" s="293">
        <f t="shared" si="2"/>
        <v>1</v>
      </c>
      <c r="E3442" s="294"/>
      <c r="F3442" s="295" t="str">
        <f>IFERROR(__xludf.DUMMYFUNCTION("IF(B3442="""","""",IFERROR(VLOOKUP(TO_TEXT(B3442),PEDIDOS!D:I,6,0),IFERROR(VLOOKUP(B3442*1,PEDIDOS!D:I,6,0),"" "")))"),"ENTREGUE")</f>
        <v>ENTREGUE</v>
      </c>
      <c r="G3442" s="303"/>
      <c r="H3442" s="304"/>
    </row>
    <row r="3443">
      <c r="A3443" s="302" t="s">
        <v>112</v>
      </c>
      <c r="B3443" s="291" t="s">
        <v>18749</v>
      </c>
      <c r="C3443" s="292" t="s">
        <v>48</v>
      </c>
      <c r="D3443" s="293">
        <f t="shared" si="2"/>
        <v>1</v>
      </c>
      <c r="E3443" s="294"/>
      <c r="F3443" s="295" t="str">
        <f>IFERROR(__xludf.DUMMYFUNCTION("IF(B3443="""","""",IFERROR(VLOOKUP(TO_TEXT(B3443),PEDIDOS!D:I,6,0),IFERROR(VLOOKUP(B3443*1,PEDIDOS!D:I,6,0),"" "")))"),"ENTREGUE")</f>
        <v>ENTREGUE</v>
      </c>
      <c r="G3443" s="303"/>
      <c r="H3443" s="304"/>
    </row>
    <row r="3444">
      <c r="A3444" s="302" t="s">
        <v>47</v>
      </c>
      <c r="B3444" s="291" t="s">
        <v>16834</v>
      </c>
      <c r="C3444" s="292" t="s">
        <v>48</v>
      </c>
      <c r="D3444" s="293">
        <f t="shared" si="2"/>
        <v>1</v>
      </c>
      <c r="E3444" s="294"/>
      <c r="F3444" s="295" t="str">
        <f>IFERROR(__xludf.DUMMYFUNCTION("IF(B3444="""","""",IFERROR(VLOOKUP(TO_TEXT(B3444),PEDIDOS!D:I,6,0),IFERROR(VLOOKUP(B3444*1,PEDIDOS!D:I,6,0),"" "")))"),"ENTREGUE")</f>
        <v>ENTREGUE</v>
      </c>
      <c r="G3444" s="303"/>
      <c r="H3444" s="304"/>
    </row>
    <row r="3445">
      <c r="A3445" s="302" t="s">
        <v>47</v>
      </c>
      <c r="B3445" s="291" t="s">
        <v>16299</v>
      </c>
      <c r="C3445" s="292" t="s">
        <v>48</v>
      </c>
      <c r="D3445" s="293">
        <f t="shared" si="2"/>
        <v>1</v>
      </c>
      <c r="E3445" s="294"/>
      <c r="F3445" s="295" t="str">
        <f>IFERROR(__xludf.DUMMYFUNCTION("IF(B3445="""","""",IFERROR(VLOOKUP(TO_TEXT(B3445),PEDIDOS!D:I,6,0),IFERROR(VLOOKUP(B3445*1,PEDIDOS!D:I,6,0),"" "")))"),"ENTREGUE")</f>
        <v>ENTREGUE</v>
      </c>
      <c r="G3445" s="303"/>
      <c r="H3445" s="304"/>
    </row>
    <row r="3446">
      <c r="A3446" s="302" t="s">
        <v>47</v>
      </c>
      <c r="B3446" s="291" t="s">
        <v>16928</v>
      </c>
      <c r="C3446" s="292" t="s">
        <v>48</v>
      </c>
      <c r="D3446" s="293">
        <f t="shared" si="2"/>
        <v>1</v>
      </c>
      <c r="E3446" s="294"/>
      <c r="F3446" s="295" t="str">
        <f>IFERROR(__xludf.DUMMYFUNCTION("IF(B3446="""","""",IFERROR(VLOOKUP(TO_TEXT(B3446),PEDIDOS!D:I,6,0),IFERROR(VLOOKUP(B3446*1,PEDIDOS!D:I,6,0),"" "")))"),"ENTREGUE")</f>
        <v>ENTREGUE</v>
      </c>
      <c r="G3446" s="303"/>
      <c r="H3446" s="304"/>
    </row>
    <row r="3447">
      <c r="A3447" s="302" t="s">
        <v>47</v>
      </c>
      <c r="B3447" s="291" t="s">
        <v>16397</v>
      </c>
      <c r="C3447" s="292" t="s">
        <v>48</v>
      </c>
      <c r="D3447" s="293">
        <f t="shared" si="2"/>
        <v>1</v>
      </c>
      <c r="E3447" s="294"/>
      <c r="F3447" s="295" t="str">
        <f>IFERROR(__xludf.DUMMYFUNCTION("IF(B3447="""","""",IFERROR(VLOOKUP(TO_TEXT(B3447),PEDIDOS!D:I,6,0),IFERROR(VLOOKUP(B3447*1,PEDIDOS!D:I,6,0),"" "")))"),"ENTREGUE")</f>
        <v>ENTREGUE</v>
      </c>
      <c r="G3447" s="303"/>
      <c r="H3447" s="304"/>
    </row>
    <row r="3448">
      <c r="A3448" s="302" t="s">
        <v>47</v>
      </c>
      <c r="B3448" s="291" t="s">
        <v>16393</v>
      </c>
      <c r="C3448" s="292" t="s">
        <v>48</v>
      </c>
      <c r="D3448" s="293">
        <f t="shared" si="2"/>
        <v>1</v>
      </c>
      <c r="E3448" s="294"/>
      <c r="F3448" s="295" t="str">
        <f>IFERROR(__xludf.DUMMYFUNCTION("IF(B3448="""","""",IFERROR(VLOOKUP(TO_TEXT(B3448),PEDIDOS!D:I,6,0),IFERROR(VLOOKUP(B3448*1,PEDIDOS!D:I,6,0),"" "")))"),"ENTREGUE")</f>
        <v>ENTREGUE</v>
      </c>
      <c r="G3448" s="303"/>
      <c r="H3448" s="304"/>
    </row>
    <row r="3449">
      <c r="A3449" s="302" t="s">
        <v>47</v>
      </c>
      <c r="B3449" s="291" t="s">
        <v>16847</v>
      </c>
      <c r="C3449" s="292" t="s">
        <v>48</v>
      </c>
      <c r="D3449" s="293">
        <f t="shared" si="2"/>
        <v>1</v>
      </c>
      <c r="E3449" s="294"/>
      <c r="F3449" s="295" t="str">
        <f>IFERROR(__xludf.DUMMYFUNCTION("IF(B3449="""","""",IFERROR(VLOOKUP(TO_TEXT(B3449),PEDIDOS!D:I,6,0),IFERROR(VLOOKUP(B3449*1,PEDIDOS!D:I,6,0),"" "")))"),"ENTREGUE")</f>
        <v>ENTREGUE</v>
      </c>
      <c r="G3449" s="303"/>
      <c r="H3449" s="304"/>
    </row>
    <row r="3450">
      <c r="A3450" s="302" t="s">
        <v>47</v>
      </c>
      <c r="B3450" s="291" t="s">
        <v>17054</v>
      </c>
      <c r="C3450" s="292" t="s">
        <v>48</v>
      </c>
      <c r="D3450" s="293">
        <f t="shared" si="2"/>
        <v>1</v>
      </c>
      <c r="E3450" s="294"/>
      <c r="F3450" s="295" t="str">
        <f>IFERROR(__xludf.DUMMYFUNCTION("IF(B3450="""","""",IFERROR(VLOOKUP(TO_TEXT(B3450),PEDIDOS!D:I,6,0),IFERROR(VLOOKUP(B3450*1,PEDIDOS!D:I,6,0),"" "")))"),"ENTREGUE")</f>
        <v>ENTREGUE</v>
      </c>
      <c r="G3450" s="303"/>
      <c r="H3450" s="304"/>
    </row>
    <row r="3451">
      <c r="A3451" s="302" t="s">
        <v>47</v>
      </c>
      <c r="B3451" s="291" t="s">
        <v>17932</v>
      </c>
      <c r="C3451" s="292" t="s">
        <v>48</v>
      </c>
      <c r="D3451" s="293">
        <f t="shared" si="2"/>
        <v>1</v>
      </c>
      <c r="E3451" s="294"/>
      <c r="F3451" s="295" t="str">
        <f>IFERROR(__xludf.DUMMYFUNCTION("IF(B3451="""","""",IFERROR(VLOOKUP(TO_TEXT(B3451),PEDIDOS!D:I,6,0),IFERROR(VLOOKUP(B3451*1,PEDIDOS!D:I,6,0),"" "")))"),"ENTREGUE")</f>
        <v>ENTREGUE</v>
      </c>
      <c r="G3451" s="303"/>
      <c r="H3451" s="304"/>
    </row>
    <row r="3452">
      <c r="A3452" s="302" t="s">
        <v>47</v>
      </c>
      <c r="B3452" s="291" t="s">
        <v>17751</v>
      </c>
      <c r="C3452" s="292" t="s">
        <v>48</v>
      </c>
      <c r="D3452" s="293">
        <f t="shared" si="2"/>
        <v>1</v>
      </c>
      <c r="E3452" s="294"/>
      <c r="F3452" s="295" t="str">
        <f>IFERROR(__xludf.DUMMYFUNCTION("IF(B3452="""","""",IFERROR(VLOOKUP(TO_TEXT(B3452),PEDIDOS!D:I,6,0),IFERROR(VLOOKUP(B3452*1,PEDIDOS!D:I,6,0),"" "")))"),"ENTREGUE")</f>
        <v>ENTREGUE</v>
      </c>
      <c r="G3452" s="303"/>
      <c r="H3452" s="304"/>
    </row>
    <row r="3453">
      <c r="A3453" s="302" t="s">
        <v>47</v>
      </c>
      <c r="B3453" s="291" t="s">
        <v>16942</v>
      </c>
      <c r="C3453" s="292" t="s">
        <v>48</v>
      </c>
      <c r="D3453" s="293">
        <f t="shared" si="2"/>
        <v>1</v>
      </c>
      <c r="E3453" s="294"/>
      <c r="F3453" s="295" t="str">
        <f>IFERROR(__xludf.DUMMYFUNCTION("IF(B3453="""","""",IFERROR(VLOOKUP(TO_TEXT(B3453),PEDIDOS!D:I,6,0),IFERROR(VLOOKUP(B3453*1,PEDIDOS!D:I,6,0),"" "")))"),"ENTREGUE")</f>
        <v>ENTREGUE</v>
      </c>
      <c r="G3453" s="303"/>
      <c r="H3453" s="304"/>
    </row>
    <row r="3454">
      <c r="A3454" s="302" t="s">
        <v>47</v>
      </c>
      <c r="B3454" s="291" t="s">
        <v>16985</v>
      </c>
      <c r="C3454" s="292" t="s">
        <v>48</v>
      </c>
      <c r="D3454" s="293">
        <f t="shared" si="2"/>
        <v>1</v>
      </c>
      <c r="E3454" s="294"/>
      <c r="F3454" s="295" t="str">
        <f>IFERROR(__xludf.DUMMYFUNCTION("IF(B3454="""","""",IFERROR(VLOOKUP(TO_TEXT(B3454),PEDIDOS!D:I,6,0),IFERROR(VLOOKUP(B3454*1,PEDIDOS!D:I,6,0),"" "")))"),"ENTREGUE")</f>
        <v>ENTREGUE</v>
      </c>
      <c r="G3454" s="303"/>
      <c r="H3454" s="304"/>
    </row>
    <row r="3455">
      <c r="A3455" s="302" t="s">
        <v>47</v>
      </c>
      <c r="B3455" s="291" t="s">
        <v>17166</v>
      </c>
      <c r="C3455" s="292" t="s">
        <v>48</v>
      </c>
      <c r="D3455" s="293">
        <f t="shared" si="2"/>
        <v>1</v>
      </c>
      <c r="E3455" s="294"/>
      <c r="F3455" s="295" t="str">
        <f>IFERROR(__xludf.DUMMYFUNCTION("IF(B3455="""","""",IFERROR(VLOOKUP(TO_TEXT(B3455),PEDIDOS!D:I,6,0),IFERROR(VLOOKUP(B3455*1,PEDIDOS!D:I,6,0),"" "")))"),"ENTREGUE")</f>
        <v>ENTREGUE</v>
      </c>
      <c r="G3455" s="303"/>
      <c r="H3455" s="304"/>
    </row>
    <row r="3456">
      <c r="A3456" s="302" t="s">
        <v>47</v>
      </c>
      <c r="B3456" s="291" t="s">
        <v>16980</v>
      </c>
      <c r="C3456" s="292" t="s">
        <v>48</v>
      </c>
      <c r="D3456" s="293">
        <f t="shared" si="2"/>
        <v>1</v>
      </c>
      <c r="E3456" s="294"/>
      <c r="F3456" s="295" t="str">
        <f>IFERROR(__xludf.DUMMYFUNCTION("IF(B3456="""","""",IFERROR(VLOOKUP(TO_TEXT(B3456),PEDIDOS!D:I,6,0),IFERROR(VLOOKUP(B3456*1,PEDIDOS!D:I,6,0),"" "")))"),"ENTREGUE")</f>
        <v>ENTREGUE</v>
      </c>
      <c r="G3456" s="303"/>
      <c r="H3456" s="304"/>
    </row>
    <row r="3457">
      <c r="A3457" s="302" t="s">
        <v>47</v>
      </c>
      <c r="B3457" s="291" t="s">
        <v>17417</v>
      </c>
      <c r="C3457" s="292" t="s">
        <v>48</v>
      </c>
      <c r="D3457" s="293">
        <f t="shared" si="2"/>
        <v>1</v>
      </c>
      <c r="E3457" s="294"/>
      <c r="F3457" s="295" t="str">
        <f>IFERROR(__xludf.DUMMYFUNCTION("IF(B3457="""","""",IFERROR(VLOOKUP(TO_TEXT(B3457),PEDIDOS!D:I,6,0),IFERROR(VLOOKUP(B3457*1,PEDIDOS!D:I,6,0),"" "")))"),"ENTREGUE")</f>
        <v>ENTREGUE</v>
      </c>
      <c r="G3457" s="303"/>
      <c r="H3457" s="304"/>
    </row>
    <row r="3458">
      <c r="A3458" s="302" t="s">
        <v>47</v>
      </c>
      <c r="B3458" s="291" t="s">
        <v>17248</v>
      </c>
      <c r="C3458" s="292" t="s">
        <v>48</v>
      </c>
      <c r="D3458" s="293">
        <f t="shared" si="2"/>
        <v>1</v>
      </c>
      <c r="E3458" s="294"/>
      <c r="F3458" s="295" t="str">
        <f>IFERROR(__xludf.DUMMYFUNCTION("IF(B3458="""","""",IFERROR(VLOOKUP(TO_TEXT(B3458),PEDIDOS!D:I,6,0),IFERROR(VLOOKUP(B3458*1,PEDIDOS!D:I,6,0),"" "")))"),"ENTREGUE")</f>
        <v>ENTREGUE</v>
      </c>
      <c r="G3458" s="303"/>
      <c r="H3458" s="304"/>
    </row>
    <row r="3459">
      <c r="A3459" s="302" t="s">
        <v>47</v>
      </c>
      <c r="B3459" s="291" t="s">
        <v>18133</v>
      </c>
      <c r="C3459" s="292" t="s">
        <v>48</v>
      </c>
      <c r="D3459" s="293">
        <f t="shared" si="2"/>
        <v>1</v>
      </c>
      <c r="E3459" s="294"/>
      <c r="F3459" s="295" t="str">
        <f>IFERROR(__xludf.DUMMYFUNCTION("IF(B3459="""","""",IFERROR(VLOOKUP(TO_TEXT(B3459),PEDIDOS!D:I,6,0),IFERROR(VLOOKUP(B3459*1,PEDIDOS!D:I,6,0),"" "")))"),"ENTREGUE")</f>
        <v>ENTREGUE</v>
      </c>
      <c r="G3459" s="303"/>
      <c r="H3459" s="304"/>
    </row>
    <row r="3460">
      <c r="A3460" s="302" t="s">
        <v>47</v>
      </c>
      <c r="B3460" s="291" t="s">
        <v>17669</v>
      </c>
      <c r="C3460" s="292" t="s">
        <v>48</v>
      </c>
      <c r="D3460" s="293">
        <f t="shared" si="2"/>
        <v>1</v>
      </c>
      <c r="E3460" s="294"/>
      <c r="F3460" s="295" t="str">
        <f>IFERROR(__xludf.DUMMYFUNCTION("IF(B3460="""","""",IFERROR(VLOOKUP(TO_TEXT(B3460),PEDIDOS!D:I,6,0),IFERROR(VLOOKUP(B3460*1,PEDIDOS!D:I,6,0),"" "")))"),"ENTREGUE")</f>
        <v>ENTREGUE</v>
      </c>
      <c r="G3460" s="303"/>
      <c r="H3460" s="304"/>
    </row>
    <row r="3461">
      <c r="A3461" s="302" t="s">
        <v>47</v>
      </c>
      <c r="B3461" s="291" t="s">
        <v>17712</v>
      </c>
      <c r="C3461" s="292" t="s">
        <v>48</v>
      </c>
      <c r="D3461" s="293">
        <f t="shared" si="2"/>
        <v>1</v>
      </c>
      <c r="E3461" s="294"/>
      <c r="F3461" s="295" t="str">
        <f>IFERROR(__xludf.DUMMYFUNCTION("IF(B3461="""","""",IFERROR(VLOOKUP(TO_TEXT(B3461),PEDIDOS!D:I,6,0),IFERROR(VLOOKUP(B3461*1,PEDIDOS!D:I,6,0),"" "")))"),"ENTREGUE")</f>
        <v>ENTREGUE</v>
      </c>
      <c r="G3461" s="303"/>
      <c r="H3461" s="304"/>
    </row>
    <row r="3462">
      <c r="A3462" s="302" t="s">
        <v>47</v>
      </c>
      <c r="B3462" s="291" t="s">
        <v>17446</v>
      </c>
      <c r="C3462" s="292" t="s">
        <v>48</v>
      </c>
      <c r="D3462" s="293">
        <f t="shared" si="2"/>
        <v>1</v>
      </c>
      <c r="E3462" s="294"/>
      <c r="F3462" s="295" t="str">
        <f>IFERROR(__xludf.DUMMYFUNCTION("IF(B3462="""","""",IFERROR(VLOOKUP(TO_TEXT(B3462),PEDIDOS!D:I,6,0),IFERROR(VLOOKUP(B3462*1,PEDIDOS!D:I,6,0),"" "")))"),"ENTREGUE")</f>
        <v>ENTREGUE</v>
      </c>
      <c r="G3462" s="303"/>
      <c r="H3462" s="304"/>
    </row>
    <row r="3463">
      <c r="A3463" s="302" t="s">
        <v>47</v>
      </c>
      <c r="B3463" s="291" t="s">
        <v>17471</v>
      </c>
      <c r="C3463" s="292" t="s">
        <v>48</v>
      </c>
      <c r="D3463" s="293">
        <f t="shared" si="2"/>
        <v>1</v>
      </c>
      <c r="E3463" s="294"/>
      <c r="F3463" s="295" t="str">
        <f>IFERROR(__xludf.DUMMYFUNCTION("IF(B3463="""","""",IFERROR(VLOOKUP(TO_TEXT(B3463),PEDIDOS!D:I,6,0),IFERROR(VLOOKUP(B3463*1,PEDIDOS!D:I,6,0),"" "")))"),"ENTREGUE")</f>
        <v>ENTREGUE</v>
      </c>
      <c r="G3463" s="303"/>
      <c r="H3463" s="304"/>
    </row>
    <row r="3464">
      <c r="A3464" s="302" t="s">
        <v>47</v>
      </c>
      <c r="B3464" s="291" t="s">
        <v>19336</v>
      </c>
      <c r="C3464" s="292" t="s">
        <v>48</v>
      </c>
      <c r="D3464" s="293">
        <f t="shared" si="2"/>
        <v>1</v>
      </c>
      <c r="E3464" s="294"/>
      <c r="F3464" s="295" t="str">
        <f>IFERROR(__xludf.DUMMYFUNCTION("IF(B3464="""","""",IFERROR(VLOOKUP(TO_TEXT(B3464),PEDIDOS!D:I,6,0),IFERROR(VLOOKUP(B3464*1,PEDIDOS!D:I,6,0),"" "")))"),"ENTREGUE")</f>
        <v>ENTREGUE</v>
      </c>
      <c r="G3464" s="303"/>
      <c r="H3464" s="304"/>
    </row>
    <row r="3465">
      <c r="A3465" s="302" t="s">
        <v>47</v>
      </c>
      <c r="B3465" s="291" t="s">
        <v>18997</v>
      </c>
      <c r="C3465" s="292" t="s">
        <v>48</v>
      </c>
      <c r="D3465" s="293">
        <f t="shared" si="2"/>
        <v>1</v>
      </c>
      <c r="E3465" s="294"/>
      <c r="F3465" s="295" t="str">
        <f>IFERROR(__xludf.DUMMYFUNCTION("IF(B3465="""","""",IFERROR(VLOOKUP(TO_TEXT(B3465),PEDIDOS!D:I,6,0),IFERROR(VLOOKUP(B3465*1,PEDIDOS!D:I,6,0),"" "")))"),"ENTREGUE")</f>
        <v>ENTREGUE</v>
      </c>
      <c r="G3465" s="303"/>
      <c r="H3465" s="304"/>
    </row>
    <row r="3466">
      <c r="A3466" s="302" t="s">
        <v>47</v>
      </c>
      <c r="B3466" s="291" t="s">
        <v>18298</v>
      </c>
      <c r="C3466" s="292" t="s">
        <v>48</v>
      </c>
      <c r="D3466" s="293">
        <f t="shared" si="2"/>
        <v>1</v>
      </c>
      <c r="E3466" s="294"/>
      <c r="F3466" s="295" t="str">
        <f>IFERROR(__xludf.DUMMYFUNCTION("IF(B3466="""","""",IFERROR(VLOOKUP(TO_TEXT(B3466),PEDIDOS!D:I,6,0),IFERROR(VLOOKUP(B3466*1,PEDIDOS!D:I,6,0),"" "")))"),"ENTREGUE")</f>
        <v>ENTREGUE</v>
      </c>
      <c r="G3466" s="303"/>
      <c r="H3466" s="304"/>
    </row>
    <row r="3467">
      <c r="A3467" s="302" t="s">
        <v>47</v>
      </c>
      <c r="B3467" s="291" t="s">
        <v>18184</v>
      </c>
      <c r="C3467" s="292" t="s">
        <v>48</v>
      </c>
      <c r="D3467" s="293">
        <f t="shared" si="2"/>
        <v>1</v>
      </c>
      <c r="E3467" s="294"/>
      <c r="F3467" s="295" t="str">
        <f>IFERROR(__xludf.DUMMYFUNCTION("IF(B3467="""","""",IFERROR(VLOOKUP(TO_TEXT(B3467),PEDIDOS!D:I,6,0),IFERROR(VLOOKUP(B3467*1,PEDIDOS!D:I,6,0),"" "")))"),"ENTREGUE")</f>
        <v>ENTREGUE</v>
      </c>
      <c r="G3467" s="303"/>
      <c r="H3467" s="304"/>
    </row>
    <row r="3468">
      <c r="A3468" s="302" t="s">
        <v>47</v>
      </c>
      <c r="B3468" s="291" t="s">
        <v>17991</v>
      </c>
      <c r="C3468" s="292" t="s">
        <v>48</v>
      </c>
      <c r="D3468" s="293">
        <f t="shared" si="2"/>
        <v>1</v>
      </c>
      <c r="E3468" s="294"/>
      <c r="F3468" s="295" t="str">
        <f>IFERROR(__xludf.DUMMYFUNCTION("IF(B3468="""","""",IFERROR(VLOOKUP(TO_TEXT(B3468),PEDIDOS!D:I,6,0),IFERROR(VLOOKUP(B3468*1,PEDIDOS!D:I,6,0),"" "")))"),"ENTREGUE")</f>
        <v>ENTREGUE</v>
      </c>
      <c r="G3468" s="303"/>
      <c r="H3468" s="304"/>
    </row>
    <row r="3469">
      <c r="A3469" s="302" t="s">
        <v>47</v>
      </c>
      <c r="B3469" s="291" t="s">
        <v>18306</v>
      </c>
      <c r="C3469" s="292" t="s">
        <v>48</v>
      </c>
      <c r="D3469" s="293">
        <f t="shared" si="2"/>
        <v>1</v>
      </c>
      <c r="E3469" s="294"/>
      <c r="F3469" s="295" t="str">
        <f>IFERROR(__xludf.DUMMYFUNCTION("IF(B3469="""","""",IFERROR(VLOOKUP(TO_TEXT(B3469),PEDIDOS!D:I,6,0),IFERROR(VLOOKUP(B3469*1,PEDIDOS!D:I,6,0),"" "")))"),"ENTREGUE")</f>
        <v>ENTREGUE</v>
      </c>
      <c r="G3469" s="303"/>
      <c r="H3469" s="304"/>
    </row>
    <row r="3470">
      <c r="A3470" s="302" t="s">
        <v>47</v>
      </c>
      <c r="B3470" s="291" t="s">
        <v>18497</v>
      </c>
      <c r="C3470" s="292" t="s">
        <v>48</v>
      </c>
      <c r="D3470" s="293">
        <f t="shared" si="2"/>
        <v>1</v>
      </c>
      <c r="E3470" s="294"/>
      <c r="F3470" s="295" t="str">
        <f>IFERROR(__xludf.DUMMYFUNCTION("IF(B3470="""","""",IFERROR(VLOOKUP(TO_TEXT(B3470),PEDIDOS!D:I,6,0),IFERROR(VLOOKUP(B3470*1,PEDIDOS!D:I,6,0),"" "")))"),"ENTREGUE")</f>
        <v>ENTREGUE</v>
      </c>
      <c r="G3470" s="303"/>
      <c r="H3470" s="304"/>
    </row>
    <row r="3471">
      <c r="A3471" s="302" t="s">
        <v>47</v>
      </c>
      <c r="B3471" s="291" t="s">
        <v>18818</v>
      </c>
      <c r="C3471" s="292" t="s">
        <v>48</v>
      </c>
      <c r="D3471" s="293">
        <f t="shared" si="2"/>
        <v>1</v>
      </c>
      <c r="E3471" s="294"/>
      <c r="F3471" s="295" t="str">
        <f>IFERROR(__xludf.DUMMYFUNCTION("IF(B3471="""","""",IFERROR(VLOOKUP(TO_TEXT(B3471),PEDIDOS!D:I,6,0),IFERROR(VLOOKUP(B3471*1,PEDIDOS!D:I,6,0),"" "")))"),"ENTREGUE")</f>
        <v>ENTREGUE</v>
      </c>
      <c r="G3471" s="303"/>
      <c r="H3471" s="304"/>
    </row>
    <row r="3472">
      <c r="A3472" s="302" t="s">
        <v>47</v>
      </c>
      <c r="B3472" s="291" t="s">
        <v>18855</v>
      </c>
      <c r="C3472" s="292" t="s">
        <v>48</v>
      </c>
      <c r="D3472" s="293">
        <f t="shared" si="2"/>
        <v>1</v>
      </c>
      <c r="E3472" s="294"/>
      <c r="F3472" s="295" t="str">
        <f>IFERROR(__xludf.DUMMYFUNCTION("IF(B3472="""","""",IFERROR(VLOOKUP(TO_TEXT(B3472),PEDIDOS!D:I,6,0),IFERROR(VLOOKUP(B3472*1,PEDIDOS!D:I,6,0),"" "")))"),"ENTREGUE")</f>
        <v>ENTREGUE</v>
      </c>
      <c r="G3472" s="303"/>
      <c r="H3472" s="304"/>
    </row>
    <row r="3473">
      <c r="A3473" s="302" t="s">
        <v>47</v>
      </c>
      <c r="B3473" s="291" t="s">
        <v>19113</v>
      </c>
      <c r="C3473" s="292" t="s">
        <v>48</v>
      </c>
      <c r="D3473" s="293">
        <f t="shared" si="2"/>
        <v>1</v>
      </c>
      <c r="E3473" s="294"/>
      <c r="F3473" s="295" t="str">
        <f>IFERROR(__xludf.DUMMYFUNCTION("IF(B3473="""","""",IFERROR(VLOOKUP(TO_TEXT(B3473),PEDIDOS!D:I,6,0),IFERROR(VLOOKUP(B3473*1,PEDIDOS!D:I,6,0),"" "")))"),"ENTREGUE")</f>
        <v>ENTREGUE</v>
      </c>
      <c r="G3473" s="303"/>
      <c r="H3473" s="304"/>
    </row>
    <row r="3474">
      <c r="A3474" s="302" t="s">
        <v>47</v>
      </c>
      <c r="B3474" s="291" t="s">
        <v>18850</v>
      </c>
      <c r="C3474" s="292" t="s">
        <v>48</v>
      </c>
      <c r="D3474" s="293">
        <f t="shared" si="2"/>
        <v>1</v>
      </c>
      <c r="E3474" s="294"/>
      <c r="F3474" s="295" t="str">
        <f>IFERROR(__xludf.DUMMYFUNCTION("IF(B3474="""","""",IFERROR(VLOOKUP(TO_TEXT(B3474),PEDIDOS!D:I,6,0),IFERROR(VLOOKUP(B3474*1,PEDIDOS!D:I,6,0),"" "")))"),"ENTREGUE")</f>
        <v>ENTREGUE</v>
      </c>
      <c r="G3474" s="303"/>
      <c r="H3474" s="304"/>
    </row>
    <row r="3475">
      <c r="A3475" s="302" t="s">
        <v>47</v>
      </c>
      <c r="B3475" s="291" t="s">
        <v>19399</v>
      </c>
      <c r="C3475" s="292" t="s">
        <v>48</v>
      </c>
      <c r="D3475" s="293">
        <f t="shared" si="2"/>
        <v>1</v>
      </c>
      <c r="E3475" s="294"/>
      <c r="F3475" s="295" t="str">
        <f>IFERROR(__xludf.DUMMYFUNCTION("IF(B3475="""","""",IFERROR(VLOOKUP(TO_TEXT(B3475),PEDIDOS!D:I,6,0),IFERROR(VLOOKUP(B3475*1,PEDIDOS!D:I,6,0),"" "")))"),"ENTREGUE")</f>
        <v>ENTREGUE</v>
      </c>
      <c r="G3475" s="303"/>
      <c r="H3475" s="304"/>
    </row>
    <row r="3476">
      <c r="A3476" s="302" t="s">
        <v>47</v>
      </c>
      <c r="B3476" s="291" t="s">
        <v>19481</v>
      </c>
      <c r="C3476" s="292" t="s">
        <v>48</v>
      </c>
      <c r="D3476" s="293">
        <f t="shared" si="2"/>
        <v>1</v>
      </c>
      <c r="E3476" s="294"/>
      <c r="F3476" s="295" t="str">
        <f>IFERROR(__xludf.DUMMYFUNCTION("IF(B3476="""","""",IFERROR(VLOOKUP(TO_TEXT(B3476),PEDIDOS!D:I,6,0),IFERROR(VLOOKUP(B3476*1,PEDIDOS!D:I,6,0),"" "")))"),"ENTREGUE")</f>
        <v>ENTREGUE</v>
      </c>
      <c r="G3476" s="303"/>
      <c r="H3476" s="304"/>
    </row>
    <row r="3477">
      <c r="A3477" s="302" t="s">
        <v>47</v>
      </c>
      <c r="B3477" s="291" t="s">
        <v>19635</v>
      </c>
      <c r="C3477" s="292" t="s">
        <v>48</v>
      </c>
      <c r="D3477" s="293">
        <f t="shared" si="2"/>
        <v>1</v>
      </c>
      <c r="E3477" s="294"/>
      <c r="F3477" s="295" t="str">
        <f>IFERROR(__xludf.DUMMYFUNCTION("IF(B3477="""","""",IFERROR(VLOOKUP(TO_TEXT(B3477),PEDIDOS!D:I,6,0),IFERROR(VLOOKUP(B3477*1,PEDIDOS!D:I,6,0),"" "")))"),"ENTREGUE")</f>
        <v>ENTREGUE</v>
      </c>
      <c r="G3477" s="303"/>
      <c r="H3477" s="304"/>
    </row>
    <row r="3478">
      <c r="A3478" s="302" t="s">
        <v>47</v>
      </c>
      <c r="B3478" s="291" t="s">
        <v>19757</v>
      </c>
      <c r="C3478" s="292" t="s">
        <v>48</v>
      </c>
      <c r="D3478" s="293">
        <f t="shared" si="2"/>
        <v>1</v>
      </c>
      <c r="E3478" s="294"/>
      <c r="F3478" s="295" t="str">
        <f>IFERROR(__xludf.DUMMYFUNCTION("IF(B3478="""","""",IFERROR(VLOOKUP(TO_TEXT(B3478),PEDIDOS!D:I,6,0),IFERROR(VLOOKUP(B3478*1,PEDIDOS!D:I,6,0),"" "")))"),"ENTREGUE")</f>
        <v>ENTREGUE</v>
      </c>
      <c r="G3478" s="303"/>
      <c r="H3478" s="304"/>
    </row>
    <row r="3479">
      <c r="A3479" s="302" t="s">
        <v>47</v>
      </c>
      <c r="B3479" s="291" t="s">
        <v>19761</v>
      </c>
      <c r="C3479" s="292" t="s">
        <v>48</v>
      </c>
      <c r="D3479" s="293">
        <f t="shared" si="2"/>
        <v>1</v>
      </c>
      <c r="E3479" s="294"/>
      <c r="F3479" s="295" t="str">
        <f>IFERROR(__xludf.DUMMYFUNCTION("IF(B3479="""","""",IFERROR(VLOOKUP(TO_TEXT(B3479),PEDIDOS!D:I,6,0),IFERROR(VLOOKUP(B3479*1,PEDIDOS!D:I,6,0),"" "")))"),"ENTREGUE")</f>
        <v>ENTREGUE</v>
      </c>
      <c r="G3479" s="303"/>
      <c r="H3479" s="304"/>
    </row>
    <row r="3480">
      <c r="A3480" s="302" t="s">
        <v>47</v>
      </c>
      <c r="B3480" s="291" t="s">
        <v>19902</v>
      </c>
      <c r="C3480" s="292" t="s">
        <v>48</v>
      </c>
      <c r="D3480" s="293">
        <f t="shared" si="2"/>
        <v>1</v>
      </c>
      <c r="E3480" s="294"/>
      <c r="F3480" s="295" t="str">
        <f>IFERROR(__xludf.DUMMYFUNCTION("IF(B3480="""","""",IFERROR(VLOOKUP(TO_TEXT(B3480),PEDIDOS!D:I,6,0),IFERROR(VLOOKUP(B3480*1,PEDIDOS!D:I,6,0),"" "")))"),"ENTREGUE")</f>
        <v>ENTREGUE</v>
      </c>
      <c r="G3480" s="303"/>
      <c r="H3480" s="304"/>
    </row>
    <row r="3481">
      <c r="A3481" s="302" t="s">
        <v>47</v>
      </c>
      <c r="B3481" s="291" t="s">
        <v>19907</v>
      </c>
      <c r="C3481" s="292" t="s">
        <v>48</v>
      </c>
      <c r="D3481" s="293">
        <f t="shared" si="2"/>
        <v>1</v>
      </c>
      <c r="E3481" s="294"/>
      <c r="F3481" s="295" t="str">
        <f>IFERROR(__xludf.DUMMYFUNCTION("IF(B3481="""","""",IFERROR(VLOOKUP(TO_TEXT(B3481),PEDIDOS!D:I,6,0),IFERROR(VLOOKUP(B3481*1,PEDIDOS!D:I,6,0),"" "")))"),"ENTREGUE")</f>
        <v>ENTREGUE</v>
      </c>
      <c r="G3481" s="303"/>
      <c r="H3481" s="304"/>
    </row>
    <row r="3482">
      <c r="A3482" s="302" t="s">
        <v>47</v>
      </c>
      <c r="B3482" s="291" t="s">
        <v>19911</v>
      </c>
      <c r="C3482" s="292" t="s">
        <v>48</v>
      </c>
      <c r="D3482" s="293">
        <f t="shared" si="2"/>
        <v>1</v>
      </c>
      <c r="E3482" s="294"/>
      <c r="F3482" s="295" t="str">
        <f>IFERROR(__xludf.DUMMYFUNCTION("IF(B3482="""","""",IFERROR(VLOOKUP(TO_TEXT(B3482),PEDIDOS!D:I,6,0),IFERROR(VLOOKUP(B3482*1,PEDIDOS!D:I,6,0),"" "")))"),"ENTREGUE")</f>
        <v>ENTREGUE</v>
      </c>
      <c r="G3482" s="303"/>
      <c r="H3482" s="304"/>
    </row>
    <row r="3483">
      <c r="A3483" s="302" t="s">
        <v>47</v>
      </c>
      <c r="B3483" s="291" t="s">
        <v>20031</v>
      </c>
      <c r="C3483" s="292" t="s">
        <v>48</v>
      </c>
      <c r="D3483" s="293">
        <f t="shared" si="2"/>
        <v>1</v>
      </c>
      <c r="E3483" s="294"/>
      <c r="F3483" s="295" t="str">
        <f>IFERROR(__xludf.DUMMYFUNCTION("IF(B3483="""","""",IFERROR(VLOOKUP(TO_TEXT(B3483),PEDIDOS!D:I,6,0),IFERROR(VLOOKUP(B3483*1,PEDIDOS!D:I,6,0),"" "")))"),"ENTREGUE")</f>
        <v>ENTREGUE</v>
      </c>
      <c r="G3483" s="303"/>
      <c r="H3483" s="304"/>
    </row>
    <row r="3484">
      <c r="A3484" s="302" t="s">
        <v>4430</v>
      </c>
      <c r="B3484" s="291" t="s">
        <v>23459</v>
      </c>
      <c r="C3484" s="292" t="s">
        <v>48</v>
      </c>
      <c r="D3484" s="293">
        <f t="shared" si="2"/>
        <v>1</v>
      </c>
      <c r="E3484" s="294"/>
      <c r="F3484" s="295" t="str">
        <f>IFERROR(__xludf.DUMMYFUNCTION("IF(B3484="""","""",IFERROR(VLOOKUP(TO_TEXT(B3484),PEDIDOS!D:I,6,0),IFERROR(VLOOKUP(B3484*1,PEDIDOS!D:I,6,0),"" "")))")," ")</f>
        <v> </v>
      </c>
      <c r="G3484" s="307" t="s">
        <v>23334</v>
      </c>
      <c r="H3484" s="304"/>
    </row>
    <row r="3485">
      <c r="A3485" s="302" t="s">
        <v>4430</v>
      </c>
      <c r="B3485" s="291" t="s">
        <v>23460</v>
      </c>
      <c r="C3485" s="292" t="s">
        <v>48</v>
      </c>
      <c r="D3485" s="293">
        <f t="shared" si="2"/>
        <v>1</v>
      </c>
      <c r="E3485" s="294"/>
      <c r="F3485" s="295" t="str">
        <f>IFERROR(__xludf.DUMMYFUNCTION("IF(B3485="""","""",IFERROR(VLOOKUP(TO_TEXT(B3485),PEDIDOS!D:I,6,0),IFERROR(VLOOKUP(B3485*1,PEDIDOS!D:I,6,0),"" "")))")," ")</f>
        <v> </v>
      </c>
      <c r="G3485" s="307" t="s">
        <v>23334</v>
      </c>
      <c r="H3485" s="304"/>
    </row>
    <row r="3486">
      <c r="A3486" s="302" t="s">
        <v>4430</v>
      </c>
      <c r="B3486" s="291" t="s">
        <v>23461</v>
      </c>
      <c r="C3486" s="292" t="s">
        <v>48</v>
      </c>
      <c r="D3486" s="293">
        <f t="shared" si="2"/>
        <v>1</v>
      </c>
      <c r="E3486" s="294"/>
      <c r="F3486" s="295" t="str">
        <f>IFERROR(__xludf.DUMMYFUNCTION("IF(B3486="""","""",IFERROR(VLOOKUP(TO_TEXT(B3486),PEDIDOS!D:I,6,0),IFERROR(VLOOKUP(B3486*1,PEDIDOS!D:I,6,0),"" "")))")," ")</f>
        <v> </v>
      </c>
      <c r="G3486" s="307" t="s">
        <v>23334</v>
      </c>
      <c r="H3486" s="304"/>
    </row>
    <row r="3487">
      <c r="A3487" s="302" t="s">
        <v>4430</v>
      </c>
      <c r="B3487" s="291" t="s">
        <v>23462</v>
      </c>
      <c r="C3487" s="292" t="s">
        <v>48</v>
      </c>
      <c r="D3487" s="293">
        <f t="shared" si="2"/>
        <v>1</v>
      </c>
      <c r="E3487" s="294"/>
      <c r="F3487" s="295" t="str">
        <f>IFERROR(__xludf.DUMMYFUNCTION("IF(B3487="""","""",IFERROR(VLOOKUP(TO_TEXT(B3487),PEDIDOS!D:I,6,0),IFERROR(VLOOKUP(B3487*1,PEDIDOS!D:I,6,0),"" "")))")," ")</f>
        <v> </v>
      </c>
      <c r="G3487" s="307" t="s">
        <v>23334</v>
      </c>
      <c r="H3487" s="304"/>
    </row>
    <row r="3488">
      <c r="A3488" s="302" t="s">
        <v>4430</v>
      </c>
      <c r="B3488" s="291" t="s">
        <v>18683</v>
      </c>
      <c r="C3488" s="292" t="s">
        <v>48</v>
      </c>
      <c r="D3488" s="293">
        <f t="shared" si="2"/>
        <v>1</v>
      </c>
      <c r="E3488" s="294"/>
      <c r="F3488" s="295" t="str">
        <f>IFERROR(__xludf.DUMMYFUNCTION("IF(B3488="""","""",IFERROR(VLOOKUP(TO_TEXT(B3488),PEDIDOS!D:I,6,0),IFERROR(VLOOKUP(B3488*1,PEDIDOS!D:I,6,0),"" "")))"),"ENTREGUE")</f>
        <v>ENTREGUE</v>
      </c>
      <c r="G3488" s="303"/>
      <c r="H3488" s="304"/>
    </row>
    <row r="3489">
      <c r="A3489" s="302" t="s">
        <v>4430</v>
      </c>
      <c r="B3489" s="291" t="s">
        <v>23463</v>
      </c>
      <c r="C3489" s="292" t="s">
        <v>48</v>
      </c>
      <c r="D3489" s="293">
        <f t="shared" si="2"/>
        <v>1</v>
      </c>
      <c r="E3489" s="294"/>
      <c r="F3489" s="295" t="str">
        <f>IFERROR(__xludf.DUMMYFUNCTION("IF(B3489="""","""",IFERROR(VLOOKUP(TO_TEXT(B3489),PEDIDOS!D:I,6,0),IFERROR(VLOOKUP(B3489*1,PEDIDOS!D:I,6,0),"" "")))")," ")</f>
        <v> </v>
      </c>
      <c r="G3489" s="307" t="s">
        <v>23334</v>
      </c>
      <c r="H3489" s="304"/>
    </row>
    <row r="3490">
      <c r="A3490" s="302" t="s">
        <v>4430</v>
      </c>
      <c r="B3490" s="291" t="s">
        <v>17902</v>
      </c>
      <c r="C3490" s="292" t="s">
        <v>48</v>
      </c>
      <c r="D3490" s="293">
        <f t="shared" si="2"/>
        <v>1</v>
      </c>
      <c r="E3490" s="294"/>
      <c r="F3490" s="295" t="str">
        <f>IFERROR(__xludf.DUMMYFUNCTION("IF(B3490="""","""",IFERROR(VLOOKUP(TO_TEXT(B3490),PEDIDOS!D:I,6,0),IFERROR(VLOOKUP(B3490*1,PEDIDOS!D:I,6,0),"" "")))"),"ENTREGUE")</f>
        <v>ENTREGUE</v>
      </c>
      <c r="G3490" s="303"/>
      <c r="H3490" s="304"/>
    </row>
    <row r="3491">
      <c r="A3491" s="302" t="s">
        <v>4430</v>
      </c>
      <c r="B3491" s="291" t="s">
        <v>17201</v>
      </c>
      <c r="C3491" s="292" t="s">
        <v>48</v>
      </c>
      <c r="D3491" s="293">
        <f t="shared" si="2"/>
        <v>1</v>
      </c>
      <c r="E3491" s="294"/>
      <c r="F3491" s="295" t="str">
        <f>IFERROR(__xludf.DUMMYFUNCTION("IF(B3491="""","""",IFERROR(VLOOKUP(TO_TEXT(B3491),PEDIDOS!D:I,6,0),IFERROR(VLOOKUP(B3491*1,PEDIDOS!D:I,6,0),"" "")))"),"ENTREGUE")</f>
        <v>ENTREGUE</v>
      </c>
      <c r="G3491" s="303"/>
      <c r="H3491" s="304"/>
    </row>
    <row r="3492">
      <c r="A3492" s="302" t="s">
        <v>4430</v>
      </c>
      <c r="B3492" s="291" t="s">
        <v>17364</v>
      </c>
      <c r="C3492" s="292" t="s">
        <v>48</v>
      </c>
      <c r="D3492" s="293">
        <f t="shared" si="2"/>
        <v>1</v>
      </c>
      <c r="E3492" s="294"/>
      <c r="F3492" s="295" t="str">
        <f>IFERROR(__xludf.DUMMYFUNCTION("IF(B3492="""","""",IFERROR(VLOOKUP(TO_TEXT(B3492),PEDIDOS!D:I,6,0),IFERROR(VLOOKUP(B3492*1,PEDIDOS!D:I,6,0),"" "")))"),"ENTREGUE")</f>
        <v>ENTREGUE</v>
      </c>
      <c r="G3492" s="303"/>
      <c r="H3492" s="304"/>
    </row>
    <row r="3493">
      <c r="A3493" s="302" t="s">
        <v>4430</v>
      </c>
      <c r="B3493" s="291" t="s">
        <v>17359</v>
      </c>
      <c r="C3493" s="292" t="s">
        <v>48</v>
      </c>
      <c r="D3493" s="293">
        <f t="shared" si="2"/>
        <v>1</v>
      </c>
      <c r="E3493" s="294"/>
      <c r="F3493" s="295" t="str">
        <f>IFERROR(__xludf.DUMMYFUNCTION("IF(B3493="""","""",IFERROR(VLOOKUP(TO_TEXT(B3493),PEDIDOS!D:I,6,0),IFERROR(VLOOKUP(B3493*1,PEDIDOS!D:I,6,0),"" "")))"),"ENTREGUE")</f>
        <v>ENTREGUE</v>
      </c>
      <c r="G3493" s="303"/>
      <c r="H3493" s="304"/>
    </row>
    <row r="3494">
      <c r="A3494" s="302" t="s">
        <v>4430</v>
      </c>
      <c r="B3494" s="291" t="s">
        <v>18704</v>
      </c>
      <c r="C3494" s="292" t="s">
        <v>48</v>
      </c>
      <c r="D3494" s="293">
        <f t="shared" si="2"/>
        <v>1</v>
      </c>
      <c r="E3494" s="294"/>
      <c r="F3494" s="295" t="str">
        <f>IFERROR(__xludf.DUMMYFUNCTION("IF(B3494="""","""",IFERROR(VLOOKUP(TO_TEXT(B3494),PEDIDOS!D:I,6,0),IFERROR(VLOOKUP(B3494*1,PEDIDOS!D:I,6,0),"" "")))"),"ENTREGUE")</f>
        <v>ENTREGUE</v>
      </c>
      <c r="G3494" s="303"/>
      <c r="H3494" s="304"/>
    </row>
    <row r="3495">
      <c r="A3495" s="302" t="s">
        <v>4430</v>
      </c>
      <c r="B3495" s="291" t="s">
        <v>20206</v>
      </c>
      <c r="C3495" s="292" t="s">
        <v>48</v>
      </c>
      <c r="D3495" s="293">
        <f t="shared" si="2"/>
        <v>1</v>
      </c>
      <c r="E3495" s="294"/>
      <c r="F3495" s="295" t="str">
        <f>IFERROR(__xludf.DUMMYFUNCTION("IF(B3495="""","""",IFERROR(VLOOKUP(TO_TEXT(B3495),PEDIDOS!D:I,6,0),IFERROR(VLOOKUP(B3495*1,PEDIDOS!D:I,6,0),"" "")))"),"ENTREGUE")</f>
        <v>ENTREGUE</v>
      </c>
      <c r="G3495" s="303"/>
      <c r="H3495" s="304"/>
    </row>
    <row r="3496">
      <c r="A3496" s="302" t="s">
        <v>3441</v>
      </c>
      <c r="B3496" s="291" t="s">
        <v>18424</v>
      </c>
      <c r="C3496" s="292" t="s">
        <v>48</v>
      </c>
      <c r="D3496" s="293">
        <f t="shared" si="2"/>
        <v>1</v>
      </c>
      <c r="E3496" s="294" t="s">
        <v>23464</v>
      </c>
      <c r="F3496" s="295" t="str">
        <f>IFERROR(__xludf.DUMMYFUNCTION("IF(B3496="""","""",IFERROR(VLOOKUP(TO_TEXT(B3496),PEDIDOS!D:I,6,0),IFERROR(VLOOKUP(B3496*1,PEDIDOS!D:I,6,0),"" "")))"),"ENTREGUE")</f>
        <v>ENTREGUE</v>
      </c>
      <c r="G3496" s="307"/>
      <c r="H3496" s="304"/>
    </row>
    <row r="3497">
      <c r="A3497" s="302" t="s">
        <v>3441</v>
      </c>
      <c r="B3497" s="291" t="s">
        <v>18428</v>
      </c>
      <c r="C3497" s="292" t="s">
        <v>48</v>
      </c>
      <c r="D3497" s="293">
        <f t="shared" si="2"/>
        <v>1</v>
      </c>
      <c r="E3497" s="294" t="s">
        <v>23464</v>
      </c>
      <c r="F3497" s="295" t="str">
        <f>IFERROR(__xludf.DUMMYFUNCTION("IF(B3497="""","""",IFERROR(VLOOKUP(TO_TEXT(B3497),PEDIDOS!D:I,6,0),IFERROR(VLOOKUP(B3497*1,PEDIDOS!D:I,6,0),"" "")))"),"ENTREGUE")</f>
        <v>ENTREGUE</v>
      </c>
      <c r="G3497" s="307"/>
      <c r="H3497" s="304"/>
    </row>
    <row r="3498">
      <c r="A3498" s="302" t="s">
        <v>3441</v>
      </c>
      <c r="B3498" s="291" t="s">
        <v>18436</v>
      </c>
      <c r="C3498" s="292" t="s">
        <v>48</v>
      </c>
      <c r="D3498" s="293">
        <f t="shared" si="2"/>
        <v>1</v>
      </c>
      <c r="E3498" s="294" t="s">
        <v>23464</v>
      </c>
      <c r="F3498" s="295" t="str">
        <f>IFERROR(__xludf.DUMMYFUNCTION("IF(B3498="""","""",IFERROR(VLOOKUP(TO_TEXT(B3498),PEDIDOS!D:I,6,0),IFERROR(VLOOKUP(B3498*1,PEDIDOS!D:I,6,0),"" "")))"),"ENTREGUE")</f>
        <v>ENTREGUE</v>
      </c>
      <c r="G3498" s="307"/>
      <c r="H3498" s="304"/>
    </row>
    <row r="3499">
      <c r="A3499" s="302" t="s">
        <v>3441</v>
      </c>
      <c r="B3499" s="291" t="s">
        <v>20255</v>
      </c>
      <c r="C3499" s="292" t="s">
        <v>48</v>
      </c>
      <c r="D3499" s="293">
        <f t="shared" si="2"/>
        <v>1</v>
      </c>
      <c r="E3499" s="294" t="s">
        <v>23464</v>
      </c>
      <c r="F3499" s="295" t="str">
        <f>IFERROR(__xludf.DUMMYFUNCTION("IF(B3499="""","""",IFERROR(VLOOKUP(TO_TEXT(B3499),PEDIDOS!D:I,6,0),IFERROR(VLOOKUP(B3499*1,PEDIDOS!D:I,6,0),"" "")))"),"ENTREGUE")</f>
        <v>ENTREGUE</v>
      </c>
      <c r="G3499" s="307"/>
      <c r="H3499" s="304"/>
    </row>
    <row r="3500">
      <c r="A3500" s="302" t="s">
        <v>3441</v>
      </c>
      <c r="B3500" s="291" t="s">
        <v>20246</v>
      </c>
      <c r="C3500" s="292" t="s">
        <v>48</v>
      </c>
      <c r="D3500" s="293">
        <f t="shared" si="2"/>
        <v>1</v>
      </c>
      <c r="E3500" s="294" t="s">
        <v>23464</v>
      </c>
      <c r="F3500" s="295" t="str">
        <f>IFERROR(__xludf.DUMMYFUNCTION("IF(B3500="""","""",IFERROR(VLOOKUP(TO_TEXT(B3500),PEDIDOS!D:I,6,0),IFERROR(VLOOKUP(B3500*1,PEDIDOS!D:I,6,0),"" "")))"),"ENTREGUE")</f>
        <v>ENTREGUE</v>
      </c>
      <c r="G3500" s="307"/>
      <c r="H3500" s="304"/>
    </row>
    <row r="3501">
      <c r="A3501" s="302" t="s">
        <v>3441</v>
      </c>
      <c r="B3501" s="291" t="s">
        <v>20232</v>
      </c>
      <c r="C3501" s="292" t="s">
        <v>48</v>
      </c>
      <c r="D3501" s="293">
        <f t="shared" si="2"/>
        <v>1</v>
      </c>
      <c r="E3501" s="294" t="s">
        <v>23464</v>
      </c>
      <c r="F3501" s="295" t="str">
        <f>IFERROR(__xludf.DUMMYFUNCTION("IF(B3501="""","""",IFERROR(VLOOKUP(TO_TEXT(B3501),PEDIDOS!D:I,6,0),IFERROR(VLOOKUP(B3501*1,PEDIDOS!D:I,6,0),"" "")))"),"ENTREGUE")</f>
        <v>ENTREGUE</v>
      </c>
      <c r="G3501" s="307"/>
      <c r="H3501" s="304"/>
    </row>
    <row r="3502">
      <c r="A3502" s="302" t="s">
        <v>3441</v>
      </c>
      <c r="B3502" s="291" t="s">
        <v>19752</v>
      </c>
      <c r="C3502" s="292" t="s">
        <v>48</v>
      </c>
      <c r="D3502" s="293">
        <f t="shared" si="2"/>
        <v>1</v>
      </c>
      <c r="E3502" s="294" t="s">
        <v>23464</v>
      </c>
      <c r="F3502" s="295" t="str">
        <f>IFERROR(__xludf.DUMMYFUNCTION("IF(B3502="""","""",IFERROR(VLOOKUP(TO_TEXT(B3502),PEDIDOS!D:I,6,0),IFERROR(VLOOKUP(B3502*1,PEDIDOS!D:I,6,0),"" "")))"),"ENTREGUE")</f>
        <v>ENTREGUE</v>
      </c>
      <c r="G3502" s="307"/>
      <c r="H3502" s="304"/>
    </row>
    <row r="3503">
      <c r="A3503" s="302" t="s">
        <v>3441</v>
      </c>
      <c r="B3503" s="291" t="s">
        <v>20098</v>
      </c>
      <c r="C3503" s="292" t="s">
        <v>48</v>
      </c>
      <c r="D3503" s="293">
        <f t="shared" si="2"/>
        <v>1</v>
      </c>
      <c r="E3503" s="294" t="s">
        <v>23464</v>
      </c>
      <c r="F3503" s="295" t="str">
        <f>IFERROR(__xludf.DUMMYFUNCTION("IF(B3503="""","""",IFERROR(VLOOKUP(TO_TEXT(B3503),PEDIDOS!D:I,6,0),IFERROR(VLOOKUP(B3503*1,PEDIDOS!D:I,6,0),"" "")))"),"ENTREGUE")</f>
        <v>ENTREGUE</v>
      </c>
      <c r="G3503" s="307"/>
      <c r="H3503" s="304"/>
    </row>
    <row r="3504">
      <c r="A3504" s="302" t="s">
        <v>3441</v>
      </c>
      <c r="B3504" s="291" t="s">
        <v>20268</v>
      </c>
      <c r="C3504" s="292" t="s">
        <v>48</v>
      </c>
      <c r="D3504" s="293">
        <f t="shared" si="2"/>
        <v>1</v>
      </c>
      <c r="E3504" s="294" t="s">
        <v>23464</v>
      </c>
      <c r="F3504" s="295" t="str">
        <f>IFERROR(__xludf.DUMMYFUNCTION("IF(B3504="""","""",IFERROR(VLOOKUP(TO_TEXT(B3504),PEDIDOS!D:I,6,0),IFERROR(VLOOKUP(B3504*1,PEDIDOS!D:I,6,0),"" "")))"),"ENTREGUE")</f>
        <v>ENTREGUE</v>
      </c>
      <c r="G3504" s="307"/>
      <c r="H3504" s="304"/>
    </row>
    <row r="3505">
      <c r="A3505" s="302" t="s">
        <v>3441</v>
      </c>
      <c r="B3505" s="291" t="s">
        <v>20294</v>
      </c>
      <c r="C3505" s="292" t="s">
        <v>48</v>
      </c>
      <c r="D3505" s="293">
        <f t="shared" si="2"/>
        <v>1</v>
      </c>
      <c r="E3505" s="294" t="s">
        <v>23464</v>
      </c>
      <c r="F3505" s="295" t="str">
        <f>IFERROR(__xludf.DUMMYFUNCTION("IF(B3505="""","""",IFERROR(VLOOKUP(TO_TEXT(B3505),PEDIDOS!D:I,6,0),IFERROR(VLOOKUP(B3505*1,PEDIDOS!D:I,6,0),"" "")))"),"ENTREGUE")</f>
        <v>ENTREGUE</v>
      </c>
      <c r="G3505" s="307"/>
      <c r="H3505" s="304"/>
    </row>
    <row r="3506">
      <c r="A3506" s="302" t="s">
        <v>3441</v>
      </c>
      <c r="B3506" s="291" t="s">
        <v>20378</v>
      </c>
      <c r="C3506" s="292" t="s">
        <v>48</v>
      </c>
      <c r="D3506" s="293">
        <f t="shared" si="2"/>
        <v>1</v>
      </c>
      <c r="E3506" s="294" t="s">
        <v>23464</v>
      </c>
      <c r="F3506" s="295" t="str">
        <f>IFERROR(__xludf.DUMMYFUNCTION("IF(B3506="""","""",IFERROR(VLOOKUP(TO_TEXT(B3506),PEDIDOS!D:I,6,0),IFERROR(VLOOKUP(B3506*1,PEDIDOS!D:I,6,0),"" "")))"),"ENTREGUE")</f>
        <v>ENTREGUE</v>
      </c>
      <c r="G3506" s="307"/>
      <c r="H3506" s="304"/>
    </row>
    <row r="3507">
      <c r="A3507" s="302" t="s">
        <v>3441</v>
      </c>
      <c r="B3507" s="291" t="s">
        <v>20227</v>
      </c>
      <c r="C3507" s="292" t="s">
        <v>48</v>
      </c>
      <c r="D3507" s="293">
        <f t="shared" si="2"/>
        <v>1</v>
      </c>
      <c r="E3507" s="294" t="s">
        <v>23464</v>
      </c>
      <c r="F3507" s="295" t="str">
        <f>IFERROR(__xludf.DUMMYFUNCTION("IF(B3507="""","""",IFERROR(VLOOKUP(TO_TEXT(B3507),PEDIDOS!D:I,6,0),IFERROR(VLOOKUP(B3507*1,PEDIDOS!D:I,6,0),"" "")))"),"ENTREGUE")</f>
        <v>ENTREGUE</v>
      </c>
      <c r="G3507" s="307"/>
      <c r="H3507" s="304"/>
    </row>
    <row r="3508">
      <c r="A3508" s="302" t="s">
        <v>3441</v>
      </c>
      <c r="B3508" s="291" t="s">
        <v>20331</v>
      </c>
      <c r="C3508" s="292" t="s">
        <v>48</v>
      </c>
      <c r="D3508" s="293">
        <f t="shared" si="2"/>
        <v>1</v>
      </c>
      <c r="E3508" s="294" t="s">
        <v>23464</v>
      </c>
      <c r="F3508" s="295" t="str">
        <f>IFERROR(__xludf.DUMMYFUNCTION("IF(B3508="""","""",IFERROR(VLOOKUP(TO_TEXT(B3508),PEDIDOS!D:I,6,0),IFERROR(VLOOKUP(B3508*1,PEDIDOS!D:I,6,0),"" "")))"),"ENTREGUE")</f>
        <v>ENTREGUE</v>
      </c>
      <c r="G3508" s="307"/>
      <c r="H3508" s="304"/>
    </row>
    <row r="3509">
      <c r="A3509" s="302" t="s">
        <v>3441</v>
      </c>
      <c r="B3509" s="291" t="s">
        <v>20216</v>
      </c>
      <c r="C3509" s="292" t="s">
        <v>48</v>
      </c>
      <c r="D3509" s="293">
        <f t="shared" si="2"/>
        <v>1</v>
      </c>
      <c r="E3509" s="294" t="s">
        <v>23464</v>
      </c>
      <c r="F3509" s="295" t="str">
        <f>IFERROR(__xludf.DUMMYFUNCTION("IF(B3509="""","""",IFERROR(VLOOKUP(TO_TEXT(B3509),PEDIDOS!D:I,6,0),IFERROR(VLOOKUP(B3509*1,PEDIDOS!D:I,6,0),"" "")))"),"ENTREGUE")</f>
        <v>ENTREGUE</v>
      </c>
      <c r="G3509" s="307"/>
      <c r="H3509" s="304"/>
    </row>
    <row r="3510">
      <c r="A3510" s="302" t="s">
        <v>3441</v>
      </c>
      <c r="B3510" s="291" t="s">
        <v>20645</v>
      </c>
      <c r="C3510" s="292" t="s">
        <v>48</v>
      </c>
      <c r="D3510" s="293">
        <f t="shared" si="2"/>
        <v>1</v>
      </c>
      <c r="E3510" s="294" t="s">
        <v>23464</v>
      </c>
      <c r="F3510" s="295" t="str">
        <f>IFERROR(__xludf.DUMMYFUNCTION("IF(B3510="""","""",IFERROR(VLOOKUP(TO_TEXT(B3510),PEDIDOS!D:I,6,0),IFERROR(VLOOKUP(B3510*1,PEDIDOS!D:I,6,0),"" "")))"),"ENTREGUE")</f>
        <v>ENTREGUE</v>
      </c>
      <c r="G3510" s="307"/>
      <c r="H3510" s="304"/>
    </row>
    <row r="3511">
      <c r="A3511" s="302" t="s">
        <v>3441</v>
      </c>
      <c r="B3511" s="291" t="s">
        <v>20483</v>
      </c>
      <c r="C3511" s="292" t="s">
        <v>48</v>
      </c>
      <c r="D3511" s="293">
        <f t="shared" si="2"/>
        <v>1</v>
      </c>
      <c r="E3511" s="294" t="s">
        <v>23464</v>
      </c>
      <c r="F3511" s="295" t="str">
        <f>IFERROR(__xludf.DUMMYFUNCTION("IF(B3511="""","""",IFERROR(VLOOKUP(TO_TEXT(B3511),PEDIDOS!D:I,6,0),IFERROR(VLOOKUP(B3511*1,PEDIDOS!D:I,6,0),"" "")))"),"ENTREGUE")</f>
        <v>ENTREGUE</v>
      </c>
      <c r="G3511" s="307"/>
      <c r="H3511" s="304"/>
    </row>
    <row r="3512">
      <c r="A3512" s="302" t="s">
        <v>3441</v>
      </c>
      <c r="B3512" s="291" t="s">
        <v>20596</v>
      </c>
      <c r="C3512" s="292" t="s">
        <v>48</v>
      </c>
      <c r="D3512" s="293">
        <f t="shared" si="2"/>
        <v>1</v>
      </c>
      <c r="E3512" s="294" t="s">
        <v>23464</v>
      </c>
      <c r="F3512" s="295" t="str">
        <f>IFERROR(__xludf.DUMMYFUNCTION("IF(B3512="""","""",IFERROR(VLOOKUP(TO_TEXT(B3512),PEDIDOS!D:I,6,0),IFERROR(VLOOKUP(B3512*1,PEDIDOS!D:I,6,0),"" "")))"),"ENTREGUE")</f>
        <v>ENTREGUE</v>
      </c>
      <c r="G3512" s="307"/>
      <c r="H3512" s="304"/>
    </row>
    <row r="3513">
      <c r="A3513" s="302" t="s">
        <v>3441</v>
      </c>
      <c r="B3513" s="291" t="s">
        <v>20600</v>
      </c>
      <c r="C3513" s="292" t="s">
        <v>48</v>
      </c>
      <c r="D3513" s="293">
        <f t="shared" si="2"/>
        <v>1</v>
      </c>
      <c r="E3513" s="294" t="s">
        <v>23464</v>
      </c>
      <c r="F3513" s="295" t="str">
        <f>IFERROR(__xludf.DUMMYFUNCTION("IF(B3513="""","""",IFERROR(VLOOKUP(TO_TEXT(B3513),PEDIDOS!D:I,6,0),IFERROR(VLOOKUP(B3513*1,PEDIDOS!D:I,6,0),"" "")))"),"ENTREGUE")</f>
        <v>ENTREGUE</v>
      </c>
      <c r="G3513" s="307"/>
      <c r="H3513" s="304"/>
    </row>
    <row r="3514">
      <c r="A3514" s="302" t="s">
        <v>3441</v>
      </c>
      <c r="B3514" s="291" t="s">
        <v>20272</v>
      </c>
      <c r="C3514" s="292" t="s">
        <v>48</v>
      </c>
      <c r="D3514" s="293">
        <f t="shared" si="2"/>
        <v>1</v>
      </c>
      <c r="E3514" s="294" t="s">
        <v>23464</v>
      </c>
      <c r="F3514" s="295" t="str">
        <f>IFERROR(__xludf.DUMMYFUNCTION("IF(B3514="""","""",IFERROR(VLOOKUP(TO_TEXT(B3514),PEDIDOS!D:I,6,0),IFERROR(VLOOKUP(B3514*1,PEDIDOS!D:I,6,0),"" "")))"),"ENTREGUE")</f>
        <v>ENTREGUE</v>
      </c>
      <c r="G3514" s="307"/>
      <c r="H3514" s="304"/>
    </row>
    <row r="3515">
      <c r="A3515" s="302" t="s">
        <v>3441</v>
      </c>
      <c r="B3515" s="291" t="s">
        <v>20592</v>
      </c>
      <c r="C3515" s="292" t="s">
        <v>48</v>
      </c>
      <c r="D3515" s="293">
        <f t="shared" si="2"/>
        <v>1</v>
      </c>
      <c r="E3515" s="294" t="s">
        <v>23464</v>
      </c>
      <c r="F3515" s="295" t="str">
        <f>IFERROR(__xludf.DUMMYFUNCTION("IF(B3515="""","""",IFERROR(VLOOKUP(TO_TEXT(B3515),PEDIDOS!D:I,6,0),IFERROR(VLOOKUP(B3515*1,PEDIDOS!D:I,6,0),"" "")))"),"ENTREGUE")</f>
        <v>ENTREGUE</v>
      </c>
      <c r="G3515" s="307"/>
      <c r="H3515" s="304"/>
    </row>
    <row r="3516">
      <c r="A3516" s="302" t="s">
        <v>72</v>
      </c>
      <c r="B3516" s="291" t="s">
        <v>20403</v>
      </c>
      <c r="C3516" s="292" t="s">
        <v>48</v>
      </c>
      <c r="D3516" s="293">
        <f t="shared" si="2"/>
        <v>1</v>
      </c>
      <c r="E3516" s="294" t="s">
        <v>23464</v>
      </c>
      <c r="F3516" s="295" t="str">
        <f>IFERROR(__xludf.DUMMYFUNCTION("IF(B3516="""","""",IFERROR(VLOOKUP(TO_TEXT(B3516),PEDIDOS!D:I,6,0),IFERROR(VLOOKUP(B3516*1,PEDIDOS!D:I,6,0),"" "")))"),"ENTREGUE")</f>
        <v>ENTREGUE</v>
      </c>
      <c r="G3516" s="307"/>
      <c r="H3516" s="304"/>
    </row>
    <row r="3517">
      <c r="A3517" s="302" t="s">
        <v>72</v>
      </c>
      <c r="B3517" s="291" t="s">
        <v>20356</v>
      </c>
      <c r="C3517" s="292" t="s">
        <v>48</v>
      </c>
      <c r="D3517" s="293">
        <f t="shared" si="2"/>
        <v>1</v>
      </c>
      <c r="E3517" s="294" t="s">
        <v>23464</v>
      </c>
      <c r="F3517" s="295" t="str">
        <f>IFERROR(__xludf.DUMMYFUNCTION("IF(B3517="""","""",IFERROR(VLOOKUP(TO_TEXT(B3517),PEDIDOS!D:I,6,0),IFERROR(VLOOKUP(B3517*1,PEDIDOS!D:I,6,0),"" "")))"),"ENTREGUE")</f>
        <v>ENTREGUE</v>
      </c>
      <c r="G3517" s="307"/>
      <c r="H3517" s="304"/>
    </row>
    <row r="3518">
      <c r="A3518" s="302" t="s">
        <v>72</v>
      </c>
      <c r="B3518" s="291" t="s">
        <v>20398</v>
      </c>
      <c r="C3518" s="292" t="s">
        <v>48</v>
      </c>
      <c r="D3518" s="293">
        <f t="shared" si="2"/>
        <v>1</v>
      </c>
      <c r="E3518" s="294" t="s">
        <v>23464</v>
      </c>
      <c r="F3518" s="295" t="str">
        <f>IFERROR(__xludf.DUMMYFUNCTION("IF(B3518="""","""",IFERROR(VLOOKUP(TO_TEXT(B3518),PEDIDOS!D:I,6,0),IFERROR(VLOOKUP(B3518*1,PEDIDOS!D:I,6,0),"" "")))"),"ENTREGUE")</f>
        <v>ENTREGUE</v>
      </c>
      <c r="G3518" s="307"/>
      <c r="H3518" s="304"/>
    </row>
    <row r="3519">
      <c r="A3519" s="302" t="s">
        <v>72</v>
      </c>
      <c r="B3519" s="291" t="s">
        <v>20522</v>
      </c>
      <c r="C3519" s="292" t="s">
        <v>48</v>
      </c>
      <c r="D3519" s="293">
        <f t="shared" si="2"/>
        <v>1</v>
      </c>
      <c r="E3519" s="294" t="s">
        <v>23464</v>
      </c>
      <c r="F3519" s="295" t="str">
        <f>IFERROR(__xludf.DUMMYFUNCTION("IF(B3519="""","""",IFERROR(VLOOKUP(TO_TEXT(B3519),PEDIDOS!D:I,6,0),IFERROR(VLOOKUP(B3519*1,PEDIDOS!D:I,6,0),"" "")))"),"ENTREGUE")</f>
        <v>ENTREGUE</v>
      </c>
      <c r="G3519" s="307"/>
      <c r="H3519" s="304"/>
    </row>
    <row r="3520">
      <c r="A3520" s="302" t="s">
        <v>72</v>
      </c>
      <c r="B3520" s="291" t="s">
        <v>20672</v>
      </c>
      <c r="C3520" s="292" t="s">
        <v>48</v>
      </c>
      <c r="D3520" s="293">
        <f t="shared" si="2"/>
        <v>1</v>
      </c>
      <c r="E3520" s="294" t="s">
        <v>23464</v>
      </c>
      <c r="F3520" s="295" t="str">
        <f>IFERROR(__xludf.DUMMYFUNCTION("IF(B3520="""","""",IFERROR(VLOOKUP(TO_TEXT(B3520),PEDIDOS!D:I,6,0),IFERROR(VLOOKUP(B3520*1,PEDIDOS!D:I,6,0),"" "")))"),"ENTREGUE")</f>
        <v>ENTREGUE</v>
      </c>
      <c r="G3520" s="307"/>
      <c r="H3520" s="304"/>
    </row>
    <row r="3521">
      <c r="A3521" s="302" t="s">
        <v>72</v>
      </c>
      <c r="B3521" s="291" t="s">
        <v>22879</v>
      </c>
      <c r="C3521" s="292" t="s">
        <v>48</v>
      </c>
      <c r="D3521" s="293">
        <f t="shared" si="2"/>
        <v>1</v>
      </c>
      <c r="E3521" s="294" t="s">
        <v>23464</v>
      </c>
      <c r="F3521" s="295" t="str">
        <f>IFERROR(__xludf.DUMMYFUNCTION("IF(B3521="""","""",IFERROR(VLOOKUP(TO_TEXT(B3521),PEDIDOS!D:I,6,0),IFERROR(VLOOKUP(B3521*1,PEDIDOS!D:I,6,0),"" "")))"),"ENTREGUE")</f>
        <v>ENTREGUE</v>
      </c>
      <c r="G3521" s="307"/>
      <c r="H3521" s="304"/>
    </row>
    <row r="3522">
      <c r="A3522" s="302" t="s">
        <v>72</v>
      </c>
      <c r="B3522" s="291" t="s">
        <v>22888</v>
      </c>
      <c r="C3522" s="292" t="s">
        <v>48</v>
      </c>
      <c r="D3522" s="293">
        <f t="shared" si="2"/>
        <v>1</v>
      </c>
      <c r="E3522" s="294" t="s">
        <v>23464</v>
      </c>
      <c r="F3522" s="295" t="str">
        <f>IFERROR(__xludf.DUMMYFUNCTION("IF(B3522="""","""",IFERROR(VLOOKUP(TO_TEXT(B3522),PEDIDOS!D:I,6,0),IFERROR(VLOOKUP(B3522*1,PEDIDOS!D:I,6,0),"" "")))"),"ENTREGUE")</f>
        <v>ENTREGUE</v>
      </c>
      <c r="G3522" s="307"/>
      <c r="H3522" s="304"/>
    </row>
    <row r="3523">
      <c r="A3523" s="302" t="s">
        <v>72</v>
      </c>
      <c r="B3523" s="291" t="s">
        <v>20858</v>
      </c>
      <c r="C3523" s="292" t="s">
        <v>48</v>
      </c>
      <c r="D3523" s="293">
        <f t="shared" si="2"/>
        <v>1</v>
      </c>
      <c r="E3523" s="294" t="s">
        <v>23464</v>
      </c>
      <c r="F3523" s="295" t="str">
        <f>IFERROR(__xludf.DUMMYFUNCTION("IF(B3523="""","""",IFERROR(VLOOKUP(TO_TEXT(B3523),PEDIDOS!D:I,6,0),IFERROR(VLOOKUP(B3523*1,PEDIDOS!D:I,6,0),"" "")))"),"ENTREGUE")</f>
        <v>ENTREGUE</v>
      </c>
      <c r="G3523" s="307"/>
      <c r="H3523" s="304"/>
    </row>
    <row r="3524">
      <c r="A3524" s="302" t="s">
        <v>72</v>
      </c>
      <c r="B3524" s="291" t="s">
        <v>22884</v>
      </c>
      <c r="C3524" s="292" t="s">
        <v>48</v>
      </c>
      <c r="D3524" s="293">
        <f t="shared" si="2"/>
        <v>1</v>
      </c>
      <c r="E3524" s="294" t="s">
        <v>23464</v>
      </c>
      <c r="F3524" s="295" t="str">
        <f>IFERROR(__xludf.DUMMYFUNCTION("IF(B3524="""","""",IFERROR(VLOOKUP(TO_TEXT(B3524),PEDIDOS!D:I,6,0),IFERROR(VLOOKUP(B3524*1,PEDIDOS!D:I,6,0),"" "")))"),"ENTREGUE")</f>
        <v>ENTREGUE</v>
      </c>
      <c r="G3524" s="307"/>
      <c r="H3524" s="304"/>
    </row>
    <row r="3525">
      <c r="A3525" s="302" t="s">
        <v>72</v>
      </c>
      <c r="B3525" s="291" t="s">
        <v>20863</v>
      </c>
      <c r="C3525" s="292" t="s">
        <v>48</v>
      </c>
      <c r="D3525" s="293">
        <f t="shared" si="2"/>
        <v>1</v>
      </c>
      <c r="E3525" s="294" t="s">
        <v>23464</v>
      </c>
      <c r="F3525" s="295" t="str">
        <f>IFERROR(__xludf.DUMMYFUNCTION("IF(B3525="""","""",IFERROR(VLOOKUP(TO_TEXT(B3525),PEDIDOS!D:I,6,0),IFERROR(VLOOKUP(B3525*1,PEDIDOS!D:I,6,0),"" "")))"),"ENTREGUE")</f>
        <v>ENTREGUE</v>
      </c>
      <c r="G3525" s="307"/>
      <c r="H3525" s="304"/>
    </row>
    <row r="3526">
      <c r="A3526" s="302" t="s">
        <v>72</v>
      </c>
      <c r="B3526" s="291" t="s">
        <v>20912</v>
      </c>
      <c r="C3526" s="292" t="s">
        <v>48</v>
      </c>
      <c r="D3526" s="293">
        <f t="shared" si="2"/>
        <v>1</v>
      </c>
      <c r="E3526" s="294" t="s">
        <v>23464</v>
      </c>
      <c r="F3526" s="295" t="str">
        <f>IFERROR(__xludf.DUMMYFUNCTION("IF(B3526="""","""",IFERROR(VLOOKUP(TO_TEXT(B3526),PEDIDOS!D:I,6,0),IFERROR(VLOOKUP(B3526*1,PEDIDOS!D:I,6,0),"" "")))"),"ENTREGUE")</f>
        <v>ENTREGUE</v>
      </c>
      <c r="G3526" s="307"/>
      <c r="H3526" s="304"/>
    </row>
    <row r="3527">
      <c r="A3527" s="302" t="s">
        <v>72</v>
      </c>
      <c r="B3527" s="291" t="s">
        <v>20972</v>
      </c>
      <c r="C3527" s="292" t="s">
        <v>48</v>
      </c>
      <c r="D3527" s="293">
        <f t="shared" si="2"/>
        <v>1</v>
      </c>
      <c r="E3527" s="294" t="s">
        <v>23464</v>
      </c>
      <c r="F3527" s="295" t="str">
        <f>IFERROR(__xludf.DUMMYFUNCTION("IF(B3527="""","""",IFERROR(VLOOKUP(TO_TEXT(B3527),PEDIDOS!D:I,6,0),IFERROR(VLOOKUP(B3527*1,PEDIDOS!D:I,6,0),"" "")))"),"ENTREGUE")</f>
        <v>ENTREGUE</v>
      </c>
      <c r="G3527" s="307"/>
      <c r="H3527" s="304"/>
    </row>
    <row r="3528">
      <c r="A3528" s="302" t="s">
        <v>72</v>
      </c>
      <c r="B3528" s="291" t="s">
        <v>21013</v>
      </c>
      <c r="C3528" s="292" t="s">
        <v>48</v>
      </c>
      <c r="D3528" s="293">
        <f t="shared" si="2"/>
        <v>1</v>
      </c>
      <c r="E3528" s="294" t="s">
        <v>23464</v>
      </c>
      <c r="F3528" s="295" t="str">
        <f>IFERROR(__xludf.DUMMYFUNCTION("IF(B3528="""","""",IFERROR(VLOOKUP(TO_TEXT(B3528),PEDIDOS!D:I,6,0),IFERROR(VLOOKUP(B3528*1,PEDIDOS!D:I,6,0),"" "")))"),"ENTREGUE")</f>
        <v>ENTREGUE</v>
      </c>
      <c r="G3528" s="307"/>
      <c r="H3528" s="304"/>
    </row>
    <row r="3529">
      <c r="A3529" s="302" t="s">
        <v>72</v>
      </c>
      <c r="B3529" s="291" t="s">
        <v>20044</v>
      </c>
      <c r="C3529" s="292" t="s">
        <v>48</v>
      </c>
      <c r="D3529" s="293">
        <f t="shared" si="2"/>
        <v>1</v>
      </c>
      <c r="E3529" s="294" t="s">
        <v>23464</v>
      </c>
      <c r="F3529" s="295" t="str">
        <f>IFERROR(__xludf.DUMMYFUNCTION("IF(B3529="""","""",IFERROR(VLOOKUP(TO_TEXT(B3529),PEDIDOS!D:I,6,0),IFERROR(VLOOKUP(B3529*1,PEDIDOS!D:I,6,0),"" "")))"),"ENTREGUE")</f>
        <v>ENTREGUE</v>
      </c>
      <c r="G3529" s="307"/>
      <c r="H3529" s="304"/>
    </row>
    <row r="3530">
      <c r="A3530" s="302" t="s">
        <v>72</v>
      </c>
      <c r="B3530" s="291" t="s">
        <v>21307</v>
      </c>
      <c r="C3530" s="292" t="s">
        <v>48</v>
      </c>
      <c r="D3530" s="293">
        <f t="shared" si="2"/>
        <v>1</v>
      </c>
      <c r="E3530" s="294" t="s">
        <v>23464</v>
      </c>
      <c r="F3530" s="295" t="str">
        <f>IFERROR(__xludf.DUMMYFUNCTION("IF(B3530="""","""",IFERROR(VLOOKUP(TO_TEXT(B3530),PEDIDOS!D:I,6,0),IFERROR(VLOOKUP(B3530*1,PEDIDOS!D:I,6,0),"" "")))"),"ENTREGUE")</f>
        <v>ENTREGUE</v>
      </c>
      <c r="G3530" s="307"/>
      <c r="H3530" s="304"/>
    </row>
    <row r="3531">
      <c r="A3531" s="302" t="s">
        <v>72</v>
      </c>
      <c r="B3531" s="291" t="s">
        <v>23465</v>
      </c>
      <c r="C3531" s="292" t="s">
        <v>48</v>
      </c>
      <c r="D3531" s="293">
        <f t="shared" si="2"/>
        <v>1</v>
      </c>
      <c r="E3531" s="294" t="s">
        <v>23464</v>
      </c>
      <c r="F3531" s="295" t="str">
        <f>IFERROR(__xludf.DUMMYFUNCTION("IF(B3531="""","""",IFERROR(VLOOKUP(TO_TEXT(B3531),PEDIDOS!D:I,6,0),IFERROR(VLOOKUP(B3531*1,PEDIDOS!D:I,6,0),"" "")))")," ")</f>
        <v> </v>
      </c>
      <c r="G3531" s="307" t="s">
        <v>23466</v>
      </c>
      <c r="H3531" s="304"/>
    </row>
    <row r="3532">
      <c r="A3532" s="302" t="s">
        <v>85</v>
      </c>
      <c r="B3532" s="291" t="s">
        <v>23467</v>
      </c>
      <c r="C3532" s="292" t="s">
        <v>48</v>
      </c>
      <c r="D3532" s="293">
        <f t="shared" si="2"/>
        <v>0</v>
      </c>
      <c r="E3532" s="294" t="s">
        <v>23464</v>
      </c>
      <c r="F3532" s="295" t="str">
        <f>IFERROR(__xludf.DUMMYFUNCTION("IF(B3532="""","""",IFERROR(VLOOKUP(TO_TEXT(B3532),PEDIDOS!D:I,6,0),IFERROR(VLOOKUP(B3532*1,PEDIDOS!D:I,6,0),"" "")))")," ")</f>
        <v> </v>
      </c>
      <c r="G3532" s="307"/>
      <c r="H3532" s="304"/>
    </row>
    <row r="3533">
      <c r="A3533" s="302" t="s">
        <v>85</v>
      </c>
      <c r="B3533" s="291" t="s">
        <v>23468</v>
      </c>
      <c r="C3533" s="292" t="s">
        <v>48</v>
      </c>
      <c r="D3533" s="293">
        <f t="shared" si="2"/>
        <v>0</v>
      </c>
      <c r="E3533" s="294" t="s">
        <v>23464</v>
      </c>
      <c r="F3533" s="295" t="str">
        <f>IFERROR(__xludf.DUMMYFUNCTION("IF(B3533="""","""",IFERROR(VLOOKUP(TO_TEXT(B3533),PEDIDOS!D:I,6,0),IFERROR(VLOOKUP(B3533*1,PEDIDOS!D:I,6,0),"" "")))")," ")</f>
        <v> </v>
      </c>
      <c r="G3533" s="307"/>
      <c r="H3533" s="304"/>
    </row>
    <row r="3534">
      <c r="A3534" s="302" t="s">
        <v>85</v>
      </c>
      <c r="B3534" s="291" t="s">
        <v>23469</v>
      </c>
      <c r="C3534" s="292" t="s">
        <v>48</v>
      </c>
      <c r="D3534" s="293">
        <f t="shared" si="2"/>
        <v>0</v>
      </c>
      <c r="E3534" s="294" t="s">
        <v>23464</v>
      </c>
      <c r="F3534" s="295" t="str">
        <f>IFERROR(__xludf.DUMMYFUNCTION("IF(B3534="""","""",IFERROR(VLOOKUP(TO_TEXT(B3534),PEDIDOS!D:I,6,0),IFERROR(VLOOKUP(B3534*1,PEDIDOS!D:I,6,0),"" "")))")," ")</f>
        <v> </v>
      </c>
      <c r="G3534" s="307"/>
      <c r="H3534" s="304"/>
    </row>
    <row r="3535">
      <c r="A3535" s="302" t="s">
        <v>85</v>
      </c>
      <c r="B3535" s="291" t="s">
        <v>23470</v>
      </c>
      <c r="C3535" s="292" t="s">
        <v>48</v>
      </c>
      <c r="D3535" s="293">
        <f t="shared" si="2"/>
        <v>0</v>
      </c>
      <c r="E3535" s="294" t="s">
        <v>23464</v>
      </c>
      <c r="F3535" s="295" t="str">
        <f>IFERROR(__xludf.DUMMYFUNCTION("IF(B3535="""","""",IFERROR(VLOOKUP(TO_TEXT(B3535),PEDIDOS!D:I,6,0),IFERROR(VLOOKUP(B3535*1,PEDIDOS!D:I,6,0),"" "")))")," ")</f>
        <v> </v>
      </c>
      <c r="G3535" s="307"/>
      <c r="H3535" s="304"/>
    </row>
    <row r="3536">
      <c r="A3536" s="302" t="s">
        <v>85</v>
      </c>
      <c r="B3536" s="291" t="s">
        <v>23471</v>
      </c>
      <c r="C3536" s="292" t="s">
        <v>48</v>
      </c>
      <c r="D3536" s="293">
        <f t="shared" si="2"/>
        <v>0</v>
      </c>
      <c r="E3536" s="294" t="s">
        <v>23464</v>
      </c>
      <c r="F3536" s="295" t="str">
        <f>IFERROR(__xludf.DUMMYFUNCTION("IF(B3536="""","""",IFERROR(VLOOKUP(TO_TEXT(B3536),PEDIDOS!D:I,6,0),IFERROR(VLOOKUP(B3536*1,PEDIDOS!D:I,6,0),"" "")))")," ")</f>
        <v> </v>
      </c>
      <c r="G3536" s="307"/>
      <c r="H3536" s="304"/>
    </row>
    <row r="3537">
      <c r="A3537" s="302" t="s">
        <v>85</v>
      </c>
      <c r="B3537" s="291" t="s">
        <v>23472</v>
      </c>
      <c r="C3537" s="292" t="s">
        <v>48</v>
      </c>
      <c r="D3537" s="293">
        <f t="shared" si="2"/>
        <v>0</v>
      </c>
      <c r="E3537" s="294" t="s">
        <v>23464</v>
      </c>
      <c r="F3537" s="295" t="str">
        <f>IFERROR(__xludf.DUMMYFUNCTION("IF(B3537="""","""",IFERROR(VLOOKUP(TO_TEXT(B3537),PEDIDOS!D:I,6,0),IFERROR(VLOOKUP(B3537*1,PEDIDOS!D:I,6,0),"" "")))")," ")</f>
        <v> </v>
      </c>
      <c r="G3537" s="307"/>
      <c r="H3537" s="304"/>
    </row>
    <row r="3538">
      <c r="A3538" s="302" t="s">
        <v>85</v>
      </c>
      <c r="B3538" s="291" t="s">
        <v>23473</v>
      </c>
      <c r="C3538" s="292" t="s">
        <v>48</v>
      </c>
      <c r="D3538" s="293">
        <f t="shared" si="2"/>
        <v>0</v>
      </c>
      <c r="E3538" s="294" t="s">
        <v>23464</v>
      </c>
      <c r="F3538" s="295" t="str">
        <f>IFERROR(__xludf.DUMMYFUNCTION("IF(B3538="""","""",IFERROR(VLOOKUP(TO_TEXT(B3538),PEDIDOS!D:I,6,0),IFERROR(VLOOKUP(B3538*1,PEDIDOS!D:I,6,0),"" "")))")," ")</f>
        <v> </v>
      </c>
      <c r="G3538" s="307"/>
      <c r="H3538" s="304"/>
    </row>
    <row r="3539">
      <c r="A3539" s="302" t="s">
        <v>85</v>
      </c>
      <c r="B3539" s="291" t="s">
        <v>23474</v>
      </c>
      <c r="C3539" s="292" t="s">
        <v>48</v>
      </c>
      <c r="D3539" s="293">
        <f t="shared" si="2"/>
        <v>0</v>
      </c>
      <c r="E3539" s="294" t="s">
        <v>23464</v>
      </c>
      <c r="F3539" s="295" t="str">
        <f>IFERROR(__xludf.DUMMYFUNCTION("IF(B3539="""","""",IFERROR(VLOOKUP(TO_TEXT(B3539),PEDIDOS!D:I,6,0),IFERROR(VLOOKUP(B3539*1,PEDIDOS!D:I,6,0),"" "")))")," ")</f>
        <v> </v>
      </c>
      <c r="G3539" s="307"/>
      <c r="H3539" s="304"/>
    </row>
    <row r="3540">
      <c r="A3540" s="302" t="s">
        <v>85</v>
      </c>
      <c r="B3540" s="291" t="s">
        <v>23475</v>
      </c>
      <c r="C3540" s="292" t="s">
        <v>48</v>
      </c>
      <c r="D3540" s="293">
        <f t="shared" si="2"/>
        <v>0</v>
      </c>
      <c r="E3540" s="294" t="s">
        <v>23464</v>
      </c>
      <c r="F3540" s="295" t="str">
        <f>IFERROR(__xludf.DUMMYFUNCTION("IF(B3540="""","""",IFERROR(VLOOKUP(TO_TEXT(B3540),PEDIDOS!D:I,6,0),IFERROR(VLOOKUP(B3540*1,PEDIDOS!D:I,6,0),"" "")))")," ")</f>
        <v> </v>
      </c>
      <c r="G3540" s="307"/>
      <c r="H3540" s="304"/>
    </row>
    <row r="3541">
      <c r="A3541" s="302" t="s">
        <v>85</v>
      </c>
      <c r="B3541" s="291" t="s">
        <v>23476</v>
      </c>
      <c r="C3541" s="292" t="s">
        <v>48</v>
      </c>
      <c r="D3541" s="293">
        <f t="shared" si="2"/>
        <v>0</v>
      </c>
      <c r="E3541" s="294" t="s">
        <v>23464</v>
      </c>
      <c r="F3541" s="295" t="str">
        <f>IFERROR(__xludf.DUMMYFUNCTION("IF(B3541="""","""",IFERROR(VLOOKUP(TO_TEXT(B3541),PEDIDOS!D:I,6,0),IFERROR(VLOOKUP(B3541*1,PEDIDOS!D:I,6,0),"" "")))")," ")</f>
        <v> </v>
      </c>
      <c r="G3541" s="307"/>
      <c r="H3541" s="304"/>
    </row>
    <row r="3542">
      <c r="A3542" s="302" t="s">
        <v>85</v>
      </c>
      <c r="B3542" s="291" t="s">
        <v>23477</v>
      </c>
      <c r="C3542" s="292" t="s">
        <v>48</v>
      </c>
      <c r="D3542" s="293">
        <f t="shared" si="2"/>
        <v>0</v>
      </c>
      <c r="E3542" s="294" t="s">
        <v>23464</v>
      </c>
      <c r="F3542" s="295" t="str">
        <f>IFERROR(__xludf.DUMMYFUNCTION("IF(B3542="""","""",IFERROR(VLOOKUP(TO_TEXT(B3542),PEDIDOS!D:I,6,0),IFERROR(VLOOKUP(B3542*1,PEDIDOS!D:I,6,0),"" "")))")," ")</f>
        <v> </v>
      </c>
      <c r="G3542" s="307"/>
      <c r="H3542" s="304"/>
    </row>
    <row r="3543">
      <c r="A3543" s="302" t="s">
        <v>85</v>
      </c>
      <c r="B3543" s="291" t="s">
        <v>23478</v>
      </c>
      <c r="C3543" s="292" t="s">
        <v>48</v>
      </c>
      <c r="D3543" s="293">
        <f t="shared" si="2"/>
        <v>0</v>
      </c>
      <c r="E3543" s="294" t="s">
        <v>23464</v>
      </c>
      <c r="F3543" s="295" t="str">
        <f>IFERROR(__xludf.DUMMYFUNCTION("IF(B3543="""","""",IFERROR(VLOOKUP(TO_TEXT(B3543),PEDIDOS!D:I,6,0),IFERROR(VLOOKUP(B3543*1,PEDIDOS!D:I,6,0),"" "")))")," ")</f>
        <v> </v>
      </c>
      <c r="G3543" s="307"/>
      <c r="H3543" s="304"/>
    </row>
    <row r="3544">
      <c r="A3544" s="302" t="s">
        <v>85</v>
      </c>
      <c r="B3544" s="291" t="s">
        <v>23479</v>
      </c>
      <c r="C3544" s="292" t="s">
        <v>48</v>
      </c>
      <c r="D3544" s="293">
        <f t="shared" si="2"/>
        <v>0</v>
      </c>
      <c r="E3544" s="294" t="s">
        <v>23464</v>
      </c>
      <c r="F3544" s="295" t="str">
        <f>IFERROR(__xludf.DUMMYFUNCTION("IF(B3544="""","""",IFERROR(VLOOKUP(TO_TEXT(B3544),PEDIDOS!D:I,6,0),IFERROR(VLOOKUP(B3544*1,PEDIDOS!D:I,6,0),"" "")))")," ")</f>
        <v> </v>
      </c>
      <c r="G3544" s="307"/>
      <c r="H3544" s="304"/>
    </row>
    <row r="3545">
      <c r="A3545" s="302" t="s">
        <v>85</v>
      </c>
      <c r="B3545" s="291" t="s">
        <v>23480</v>
      </c>
      <c r="C3545" s="292" t="s">
        <v>48</v>
      </c>
      <c r="D3545" s="293">
        <f t="shared" si="2"/>
        <v>0</v>
      </c>
      <c r="E3545" s="294" t="s">
        <v>23464</v>
      </c>
      <c r="F3545" s="295" t="str">
        <f>IFERROR(__xludf.DUMMYFUNCTION("IF(B3545="""","""",IFERROR(VLOOKUP(TO_TEXT(B3545),PEDIDOS!D:I,6,0),IFERROR(VLOOKUP(B3545*1,PEDIDOS!D:I,6,0),"" "")))")," ")</f>
        <v> </v>
      </c>
      <c r="G3545" s="307"/>
      <c r="H3545" s="304"/>
    </row>
    <row r="3546">
      <c r="A3546" s="302" t="s">
        <v>85</v>
      </c>
      <c r="B3546" s="291" t="s">
        <v>23481</v>
      </c>
      <c r="C3546" s="292" t="s">
        <v>48</v>
      </c>
      <c r="D3546" s="293">
        <f t="shared" si="2"/>
        <v>0</v>
      </c>
      <c r="E3546" s="294" t="s">
        <v>23464</v>
      </c>
      <c r="F3546" s="295" t="str">
        <f>IFERROR(__xludf.DUMMYFUNCTION("IF(B3546="""","""",IFERROR(VLOOKUP(TO_TEXT(B3546),PEDIDOS!D:I,6,0),IFERROR(VLOOKUP(B3546*1,PEDIDOS!D:I,6,0),"" "")))")," ")</f>
        <v> </v>
      </c>
      <c r="G3546" s="307"/>
      <c r="H3546" s="304"/>
    </row>
    <row r="3547">
      <c r="A3547" s="302" t="s">
        <v>85</v>
      </c>
      <c r="B3547" s="291" t="s">
        <v>23482</v>
      </c>
      <c r="C3547" s="292" t="s">
        <v>48</v>
      </c>
      <c r="D3547" s="293">
        <f t="shared" si="2"/>
        <v>0</v>
      </c>
      <c r="E3547" s="294" t="s">
        <v>23464</v>
      </c>
      <c r="F3547" s="295" t="str">
        <f>IFERROR(__xludf.DUMMYFUNCTION("IF(B3547="""","""",IFERROR(VLOOKUP(TO_TEXT(B3547),PEDIDOS!D:I,6,0),IFERROR(VLOOKUP(B3547*1,PEDIDOS!D:I,6,0),"" "")))")," ")</f>
        <v> </v>
      </c>
      <c r="G3547" s="307"/>
      <c r="H3547" s="304"/>
    </row>
    <row r="3548">
      <c r="A3548" s="302" t="s">
        <v>85</v>
      </c>
      <c r="B3548" s="291" t="s">
        <v>23483</v>
      </c>
      <c r="C3548" s="292" t="s">
        <v>48</v>
      </c>
      <c r="D3548" s="293">
        <f t="shared" si="2"/>
        <v>0</v>
      </c>
      <c r="E3548" s="294" t="s">
        <v>23464</v>
      </c>
      <c r="F3548" s="295" t="str">
        <f>IFERROR(__xludf.DUMMYFUNCTION("IF(B3548="""","""",IFERROR(VLOOKUP(TO_TEXT(B3548),PEDIDOS!D:I,6,0),IFERROR(VLOOKUP(B3548*1,PEDIDOS!D:I,6,0),"" "")))")," ")</f>
        <v> </v>
      </c>
      <c r="G3548" s="307"/>
      <c r="H3548" s="304"/>
    </row>
    <row r="3549">
      <c r="A3549" s="302" t="s">
        <v>85</v>
      </c>
      <c r="B3549" s="291" t="s">
        <v>23484</v>
      </c>
      <c r="C3549" s="292" t="s">
        <v>48</v>
      </c>
      <c r="D3549" s="293">
        <f t="shared" si="2"/>
        <v>0</v>
      </c>
      <c r="E3549" s="294" t="s">
        <v>23464</v>
      </c>
      <c r="F3549" s="295" t="str">
        <f>IFERROR(__xludf.DUMMYFUNCTION("IF(B3549="""","""",IFERROR(VLOOKUP(TO_TEXT(B3549),PEDIDOS!D:I,6,0),IFERROR(VLOOKUP(B3549*1,PEDIDOS!D:I,6,0),"" "")))")," ")</f>
        <v> </v>
      </c>
      <c r="G3549" s="307"/>
      <c r="H3549" s="304"/>
    </row>
    <row r="3550">
      <c r="A3550" s="302" t="s">
        <v>85</v>
      </c>
      <c r="B3550" s="291" t="s">
        <v>23485</v>
      </c>
      <c r="C3550" s="292" t="s">
        <v>48</v>
      </c>
      <c r="D3550" s="293">
        <f t="shared" si="2"/>
        <v>0</v>
      </c>
      <c r="E3550" s="294" t="s">
        <v>23464</v>
      </c>
      <c r="F3550" s="295" t="str">
        <f>IFERROR(__xludf.DUMMYFUNCTION("IF(B3550="""","""",IFERROR(VLOOKUP(TO_TEXT(B3550),PEDIDOS!D:I,6,0),IFERROR(VLOOKUP(B3550*1,PEDIDOS!D:I,6,0),"" "")))")," ")</f>
        <v> </v>
      </c>
      <c r="G3550" s="307"/>
      <c r="H3550" s="304"/>
    </row>
    <row r="3551">
      <c r="A3551" s="302" t="s">
        <v>85</v>
      </c>
      <c r="B3551" s="291" t="s">
        <v>23486</v>
      </c>
      <c r="C3551" s="292" t="s">
        <v>48</v>
      </c>
      <c r="D3551" s="293">
        <f t="shared" si="2"/>
        <v>0</v>
      </c>
      <c r="E3551" s="294" t="s">
        <v>23464</v>
      </c>
      <c r="F3551" s="295" t="str">
        <f>IFERROR(__xludf.DUMMYFUNCTION("IF(B3551="""","""",IFERROR(VLOOKUP(TO_TEXT(B3551),PEDIDOS!D:I,6,0),IFERROR(VLOOKUP(B3551*1,PEDIDOS!D:I,6,0),"" "")))")," ")</f>
        <v> </v>
      </c>
      <c r="G3551" s="307"/>
      <c r="H3551" s="304"/>
    </row>
    <row r="3552">
      <c r="A3552" s="302" t="s">
        <v>85</v>
      </c>
      <c r="B3552" s="291" t="s">
        <v>23487</v>
      </c>
      <c r="C3552" s="292" t="s">
        <v>48</v>
      </c>
      <c r="D3552" s="293">
        <f t="shared" si="2"/>
        <v>0</v>
      </c>
      <c r="E3552" s="294" t="s">
        <v>23464</v>
      </c>
      <c r="F3552" s="295" t="str">
        <f>IFERROR(__xludf.DUMMYFUNCTION("IF(B3552="""","""",IFERROR(VLOOKUP(TO_TEXT(B3552),PEDIDOS!D:I,6,0),IFERROR(VLOOKUP(B3552*1,PEDIDOS!D:I,6,0),"" "")))")," ")</f>
        <v> </v>
      </c>
      <c r="G3552" s="307"/>
      <c r="H3552" s="304"/>
    </row>
    <row r="3553">
      <c r="A3553" s="302" t="s">
        <v>85</v>
      </c>
      <c r="B3553" s="291" t="s">
        <v>23488</v>
      </c>
      <c r="C3553" s="292" t="s">
        <v>48</v>
      </c>
      <c r="D3553" s="293">
        <f t="shared" si="2"/>
        <v>0</v>
      </c>
      <c r="E3553" s="294" t="s">
        <v>23464</v>
      </c>
      <c r="F3553" s="295" t="str">
        <f>IFERROR(__xludf.DUMMYFUNCTION("IF(B3553="""","""",IFERROR(VLOOKUP(TO_TEXT(B3553),PEDIDOS!D:I,6,0),IFERROR(VLOOKUP(B3553*1,PEDIDOS!D:I,6,0),"" "")))")," ")</f>
        <v> </v>
      </c>
      <c r="G3553" s="307"/>
      <c r="H3553" s="304"/>
    </row>
    <row r="3554">
      <c r="A3554" s="302" t="s">
        <v>85</v>
      </c>
      <c r="B3554" s="291" t="s">
        <v>23489</v>
      </c>
      <c r="C3554" s="292" t="s">
        <v>48</v>
      </c>
      <c r="D3554" s="293">
        <f t="shared" si="2"/>
        <v>0</v>
      </c>
      <c r="E3554" s="294" t="s">
        <v>23464</v>
      </c>
      <c r="F3554" s="295" t="str">
        <f>IFERROR(__xludf.DUMMYFUNCTION("IF(B3554="""","""",IFERROR(VLOOKUP(TO_TEXT(B3554),PEDIDOS!D:I,6,0),IFERROR(VLOOKUP(B3554*1,PEDIDOS!D:I,6,0),"" "")))")," ")</f>
        <v> </v>
      </c>
      <c r="G3554" s="307"/>
      <c r="H3554" s="304"/>
    </row>
    <row r="3555">
      <c r="A3555" s="302" t="s">
        <v>85</v>
      </c>
      <c r="B3555" s="291" t="s">
        <v>23490</v>
      </c>
      <c r="C3555" s="292" t="s">
        <v>48</v>
      </c>
      <c r="D3555" s="293">
        <f t="shared" si="2"/>
        <v>0</v>
      </c>
      <c r="E3555" s="294" t="s">
        <v>23464</v>
      </c>
      <c r="F3555" s="295" t="str">
        <f>IFERROR(__xludf.DUMMYFUNCTION("IF(B3555="""","""",IFERROR(VLOOKUP(TO_TEXT(B3555),PEDIDOS!D:I,6,0),IFERROR(VLOOKUP(B3555*1,PEDIDOS!D:I,6,0),"" "")))")," ")</f>
        <v> </v>
      </c>
      <c r="G3555" s="307"/>
      <c r="H3555" s="304"/>
    </row>
    <row r="3556">
      <c r="A3556" s="302" t="s">
        <v>85</v>
      </c>
      <c r="B3556" s="291" t="s">
        <v>23491</v>
      </c>
      <c r="C3556" s="292" t="s">
        <v>48</v>
      </c>
      <c r="D3556" s="293">
        <f t="shared" si="2"/>
        <v>0</v>
      </c>
      <c r="E3556" s="294" t="s">
        <v>23464</v>
      </c>
      <c r="F3556" s="295" t="str">
        <f>IFERROR(__xludf.DUMMYFUNCTION("IF(B3556="""","""",IFERROR(VLOOKUP(TO_TEXT(B3556),PEDIDOS!D:I,6,0),IFERROR(VLOOKUP(B3556*1,PEDIDOS!D:I,6,0),"" "")))")," ")</f>
        <v> </v>
      </c>
      <c r="G3556" s="307"/>
      <c r="H3556" s="304"/>
    </row>
    <row r="3557">
      <c r="A3557" s="302" t="s">
        <v>85</v>
      </c>
      <c r="B3557" s="291" t="s">
        <v>23492</v>
      </c>
      <c r="C3557" s="292" t="s">
        <v>48</v>
      </c>
      <c r="D3557" s="293">
        <f t="shared" si="2"/>
        <v>0</v>
      </c>
      <c r="E3557" s="294" t="s">
        <v>23464</v>
      </c>
      <c r="F3557" s="295" t="str">
        <f>IFERROR(__xludf.DUMMYFUNCTION("IF(B3557="""","""",IFERROR(VLOOKUP(TO_TEXT(B3557),PEDIDOS!D:I,6,0),IFERROR(VLOOKUP(B3557*1,PEDIDOS!D:I,6,0),"" "")))")," ")</f>
        <v> </v>
      </c>
      <c r="G3557" s="307"/>
      <c r="H3557" s="304"/>
    </row>
    <row r="3558">
      <c r="A3558" s="302" t="s">
        <v>85</v>
      </c>
      <c r="B3558" s="291" t="s">
        <v>23493</v>
      </c>
      <c r="C3558" s="292" t="s">
        <v>48</v>
      </c>
      <c r="D3558" s="293">
        <f t="shared" si="2"/>
        <v>0</v>
      </c>
      <c r="E3558" s="294" t="s">
        <v>23464</v>
      </c>
      <c r="F3558" s="295" t="str">
        <f>IFERROR(__xludf.DUMMYFUNCTION("IF(B3558="""","""",IFERROR(VLOOKUP(TO_TEXT(B3558),PEDIDOS!D:I,6,0),IFERROR(VLOOKUP(B3558*1,PEDIDOS!D:I,6,0),"" "")))")," ")</f>
        <v> </v>
      </c>
      <c r="G3558" s="307"/>
      <c r="H3558" s="304"/>
    </row>
    <row r="3559">
      <c r="A3559" s="302" t="s">
        <v>85</v>
      </c>
      <c r="B3559" s="291" t="s">
        <v>23494</v>
      </c>
      <c r="C3559" s="292" t="s">
        <v>48</v>
      </c>
      <c r="D3559" s="293">
        <f t="shared" si="2"/>
        <v>0</v>
      </c>
      <c r="E3559" s="294" t="s">
        <v>23464</v>
      </c>
      <c r="F3559" s="295" t="str">
        <f>IFERROR(__xludf.DUMMYFUNCTION("IF(B3559="""","""",IFERROR(VLOOKUP(TO_TEXT(B3559),PEDIDOS!D:I,6,0),IFERROR(VLOOKUP(B3559*1,PEDIDOS!D:I,6,0),"" "")))")," ")</f>
        <v> </v>
      </c>
      <c r="G3559" s="307"/>
      <c r="H3559" s="304"/>
    </row>
    <row r="3560">
      <c r="A3560" s="302" t="s">
        <v>85</v>
      </c>
      <c r="B3560" s="291" t="s">
        <v>23495</v>
      </c>
      <c r="C3560" s="292" t="s">
        <v>48</v>
      </c>
      <c r="D3560" s="293">
        <f t="shared" si="2"/>
        <v>0</v>
      </c>
      <c r="E3560" s="294" t="s">
        <v>23464</v>
      </c>
      <c r="F3560" s="295" t="str">
        <f>IFERROR(__xludf.DUMMYFUNCTION("IF(B3560="""","""",IFERROR(VLOOKUP(TO_TEXT(B3560),PEDIDOS!D:I,6,0),IFERROR(VLOOKUP(B3560*1,PEDIDOS!D:I,6,0),"" "")))")," ")</f>
        <v> </v>
      </c>
      <c r="G3560" s="307"/>
      <c r="H3560" s="304"/>
    </row>
    <row r="3561">
      <c r="A3561" s="302" t="s">
        <v>85</v>
      </c>
      <c r="B3561" s="291" t="s">
        <v>23496</v>
      </c>
      <c r="C3561" s="292" t="s">
        <v>48</v>
      </c>
      <c r="D3561" s="293">
        <f t="shared" si="2"/>
        <v>0</v>
      </c>
      <c r="E3561" s="294" t="s">
        <v>23464</v>
      </c>
      <c r="F3561" s="295" t="str">
        <f>IFERROR(__xludf.DUMMYFUNCTION("IF(B3561="""","""",IFERROR(VLOOKUP(TO_TEXT(B3561),PEDIDOS!D:I,6,0),IFERROR(VLOOKUP(B3561*1,PEDIDOS!D:I,6,0),"" "")))")," ")</f>
        <v> </v>
      </c>
      <c r="G3561" s="307"/>
      <c r="H3561" s="304"/>
    </row>
    <row r="3562">
      <c r="A3562" s="302" t="s">
        <v>85</v>
      </c>
      <c r="B3562" s="291" t="s">
        <v>23497</v>
      </c>
      <c r="C3562" s="292" t="s">
        <v>48</v>
      </c>
      <c r="D3562" s="293">
        <f t="shared" si="2"/>
        <v>0</v>
      </c>
      <c r="E3562" s="294" t="s">
        <v>23464</v>
      </c>
      <c r="F3562" s="295" t="str">
        <f>IFERROR(__xludf.DUMMYFUNCTION("IF(B3562="""","""",IFERROR(VLOOKUP(TO_TEXT(B3562),PEDIDOS!D:I,6,0),IFERROR(VLOOKUP(B3562*1,PEDIDOS!D:I,6,0),"" "")))")," ")</f>
        <v> </v>
      </c>
      <c r="G3562" s="307"/>
      <c r="H3562" s="304"/>
    </row>
    <row r="3563">
      <c r="A3563" s="302" t="s">
        <v>85</v>
      </c>
      <c r="B3563" s="291" t="s">
        <v>23498</v>
      </c>
      <c r="C3563" s="292" t="s">
        <v>48</v>
      </c>
      <c r="D3563" s="293">
        <f t="shared" si="2"/>
        <v>0</v>
      </c>
      <c r="E3563" s="294" t="s">
        <v>23464</v>
      </c>
      <c r="F3563" s="295" t="str">
        <f>IFERROR(__xludf.DUMMYFUNCTION("IF(B3563="""","""",IFERROR(VLOOKUP(TO_TEXT(B3563),PEDIDOS!D:I,6,0),IFERROR(VLOOKUP(B3563*1,PEDIDOS!D:I,6,0),"" "")))")," ")</f>
        <v> </v>
      </c>
      <c r="G3563" s="307"/>
      <c r="H3563" s="304"/>
    </row>
    <row r="3564">
      <c r="A3564" s="302" t="s">
        <v>85</v>
      </c>
      <c r="B3564" s="291" t="s">
        <v>23499</v>
      </c>
      <c r="C3564" s="292" t="s">
        <v>48</v>
      </c>
      <c r="D3564" s="293">
        <f t="shared" si="2"/>
        <v>0</v>
      </c>
      <c r="E3564" s="294" t="s">
        <v>23464</v>
      </c>
      <c r="F3564" s="295" t="str">
        <f>IFERROR(__xludf.DUMMYFUNCTION("IF(B3564="""","""",IFERROR(VLOOKUP(TO_TEXT(B3564),PEDIDOS!D:I,6,0),IFERROR(VLOOKUP(B3564*1,PEDIDOS!D:I,6,0),"" "")))")," ")</f>
        <v> </v>
      </c>
      <c r="G3564" s="307"/>
      <c r="H3564" s="304"/>
    </row>
    <row r="3565">
      <c r="A3565" s="302" t="s">
        <v>85</v>
      </c>
      <c r="B3565" s="291" t="s">
        <v>23500</v>
      </c>
      <c r="C3565" s="292" t="s">
        <v>48</v>
      </c>
      <c r="D3565" s="293">
        <f t="shared" si="2"/>
        <v>0</v>
      </c>
      <c r="E3565" s="294" t="s">
        <v>23464</v>
      </c>
      <c r="F3565" s="295" t="str">
        <f>IFERROR(__xludf.DUMMYFUNCTION("IF(B3565="""","""",IFERROR(VLOOKUP(TO_TEXT(B3565),PEDIDOS!D:I,6,0),IFERROR(VLOOKUP(B3565*1,PEDIDOS!D:I,6,0),"" "")))")," ")</f>
        <v> </v>
      </c>
      <c r="G3565" s="307"/>
      <c r="H3565" s="304"/>
    </row>
    <row r="3566">
      <c r="A3566" s="302" t="s">
        <v>85</v>
      </c>
      <c r="B3566" s="291" t="s">
        <v>23501</v>
      </c>
      <c r="C3566" s="292" t="s">
        <v>48</v>
      </c>
      <c r="D3566" s="293">
        <f t="shared" si="2"/>
        <v>0</v>
      </c>
      <c r="E3566" s="294" t="s">
        <v>23464</v>
      </c>
      <c r="F3566" s="295" t="str">
        <f>IFERROR(__xludf.DUMMYFUNCTION("IF(B3566="""","""",IFERROR(VLOOKUP(TO_TEXT(B3566),PEDIDOS!D:I,6,0),IFERROR(VLOOKUP(B3566*1,PEDIDOS!D:I,6,0),"" "")))")," ")</f>
        <v> </v>
      </c>
      <c r="G3566" s="307"/>
      <c r="H3566" s="304"/>
    </row>
    <row r="3567">
      <c r="A3567" s="302" t="s">
        <v>85</v>
      </c>
      <c r="B3567" s="291" t="s">
        <v>23502</v>
      </c>
      <c r="C3567" s="292" t="s">
        <v>48</v>
      </c>
      <c r="D3567" s="293">
        <f t="shared" si="2"/>
        <v>0</v>
      </c>
      <c r="E3567" s="294" t="s">
        <v>23464</v>
      </c>
      <c r="F3567" s="295" t="str">
        <f>IFERROR(__xludf.DUMMYFUNCTION("IF(B3567="""","""",IFERROR(VLOOKUP(TO_TEXT(B3567),PEDIDOS!D:I,6,0),IFERROR(VLOOKUP(B3567*1,PEDIDOS!D:I,6,0),"" "")))")," ")</f>
        <v> </v>
      </c>
      <c r="G3567" s="307"/>
      <c r="H3567" s="304"/>
    </row>
    <row r="3568">
      <c r="A3568" s="302" t="s">
        <v>85</v>
      </c>
      <c r="B3568" s="291" t="s">
        <v>23503</v>
      </c>
      <c r="C3568" s="292" t="s">
        <v>48</v>
      </c>
      <c r="D3568" s="293">
        <f t="shared" si="2"/>
        <v>0</v>
      </c>
      <c r="E3568" s="294" t="s">
        <v>23464</v>
      </c>
      <c r="F3568" s="295" t="str">
        <f>IFERROR(__xludf.DUMMYFUNCTION("IF(B3568="""","""",IFERROR(VLOOKUP(TO_TEXT(B3568),PEDIDOS!D:I,6,0),IFERROR(VLOOKUP(B3568*1,PEDIDOS!D:I,6,0),"" "")))")," ")</f>
        <v> </v>
      </c>
      <c r="G3568" s="307"/>
      <c r="H3568" s="304"/>
    </row>
    <row r="3569">
      <c r="A3569" s="302" t="s">
        <v>85</v>
      </c>
      <c r="B3569" s="291" t="s">
        <v>23504</v>
      </c>
      <c r="C3569" s="292" t="s">
        <v>48</v>
      </c>
      <c r="D3569" s="293">
        <f t="shared" si="2"/>
        <v>0</v>
      </c>
      <c r="E3569" s="294" t="s">
        <v>23464</v>
      </c>
      <c r="F3569" s="295" t="str">
        <f>IFERROR(__xludf.DUMMYFUNCTION("IF(B3569="""","""",IFERROR(VLOOKUP(TO_TEXT(B3569),PEDIDOS!D:I,6,0),IFERROR(VLOOKUP(B3569*1,PEDIDOS!D:I,6,0),"" "")))")," ")</f>
        <v> </v>
      </c>
      <c r="G3569" s="307"/>
      <c r="H3569" s="304"/>
    </row>
    <row r="3570">
      <c r="A3570" s="302" t="s">
        <v>85</v>
      </c>
      <c r="B3570" s="291" t="s">
        <v>23505</v>
      </c>
      <c r="C3570" s="292" t="s">
        <v>48</v>
      </c>
      <c r="D3570" s="293">
        <f t="shared" si="2"/>
        <v>0</v>
      </c>
      <c r="E3570" s="294" t="s">
        <v>23464</v>
      </c>
      <c r="F3570" s="295" t="str">
        <f>IFERROR(__xludf.DUMMYFUNCTION("IF(B3570="""","""",IFERROR(VLOOKUP(TO_TEXT(B3570),PEDIDOS!D:I,6,0),IFERROR(VLOOKUP(B3570*1,PEDIDOS!D:I,6,0),"" "")))")," ")</f>
        <v> </v>
      </c>
      <c r="G3570" s="307"/>
      <c r="H3570" s="304"/>
    </row>
    <row r="3571">
      <c r="A3571" s="302" t="s">
        <v>85</v>
      </c>
      <c r="B3571" s="291" t="s">
        <v>23506</v>
      </c>
      <c r="C3571" s="292" t="s">
        <v>48</v>
      </c>
      <c r="D3571" s="293">
        <f t="shared" si="2"/>
        <v>0</v>
      </c>
      <c r="E3571" s="294" t="s">
        <v>23464</v>
      </c>
      <c r="F3571" s="295" t="str">
        <f>IFERROR(__xludf.DUMMYFUNCTION("IF(B3571="""","""",IFERROR(VLOOKUP(TO_TEXT(B3571),PEDIDOS!D:I,6,0),IFERROR(VLOOKUP(B3571*1,PEDIDOS!D:I,6,0),"" "")))")," ")</f>
        <v> </v>
      </c>
      <c r="G3571" s="307"/>
      <c r="H3571" s="304"/>
    </row>
    <row r="3572">
      <c r="A3572" s="302" t="s">
        <v>91</v>
      </c>
      <c r="B3572" s="291" t="s">
        <v>19600</v>
      </c>
      <c r="C3572" s="292" t="s">
        <v>48</v>
      </c>
      <c r="D3572" s="293">
        <f t="shared" si="2"/>
        <v>1</v>
      </c>
      <c r="E3572" s="294" t="s">
        <v>23464</v>
      </c>
      <c r="F3572" s="295" t="str">
        <f>IFERROR(__xludf.DUMMYFUNCTION("IF(B3572="""","""",IFERROR(VLOOKUP(TO_TEXT(B3572),PEDIDOS!D:I,6,0),IFERROR(VLOOKUP(B3572*1,PEDIDOS!D:I,6,0),"" "")))"),"ENTREGUE")</f>
        <v>ENTREGUE</v>
      </c>
      <c r="G3572" s="307"/>
      <c r="H3572" s="304"/>
    </row>
    <row r="3573">
      <c r="A3573" s="302" t="s">
        <v>91</v>
      </c>
      <c r="B3573" s="291" t="s">
        <v>19653</v>
      </c>
      <c r="C3573" s="292" t="s">
        <v>48</v>
      </c>
      <c r="D3573" s="293">
        <f t="shared" si="2"/>
        <v>1</v>
      </c>
      <c r="E3573" s="294" t="s">
        <v>23464</v>
      </c>
      <c r="F3573" s="295" t="str">
        <f>IFERROR(__xludf.DUMMYFUNCTION("IF(B3573="""","""",IFERROR(VLOOKUP(TO_TEXT(B3573),PEDIDOS!D:I,6,0),IFERROR(VLOOKUP(B3573*1,PEDIDOS!D:I,6,0),"" "")))"),"ENTREGUE")</f>
        <v>ENTREGUE</v>
      </c>
      <c r="G3573" s="307"/>
      <c r="H3573" s="304"/>
    </row>
    <row r="3574">
      <c r="A3574" s="302" t="s">
        <v>91</v>
      </c>
      <c r="B3574" s="291" t="s">
        <v>19434</v>
      </c>
      <c r="C3574" s="292" t="s">
        <v>48</v>
      </c>
      <c r="D3574" s="293">
        <f t="shared" si="2"/>
        <v>1</v>
      </c>
      <c r="E3574" s="294" t="s">
        <v>23464</v>
      </c>
      <c r="F3574" s="295" t="str">
        <f>IFERROR(__xludf.DUMMYFUNCTION("IF(B3574="""","""",IFERROR(VLOOKUP(TO_TEXT(B3574),PEDIDOS!D:I,6,0),IFERROR(VLOOKUP(B3574*1,PEDIDOS!D:I,6,0),"" "")))"),"ENTREGUE")</f>
        <v>ENTREGUE</v>
      </c>
      <c r="G3574" s="307"/>
      <c r="H3574" s="304"/>
    </row>
    <row r="3575">
      <c r="A3575" s="302" t="s">
        <v>91</v>
      </c>
      <c r="B3575" s="291" t="s">
        <v>19425</v>
      </c>
      <c r="C3575" s="292" t="s">
        <v>48</v>
      </c>
      <c r="D3575" s="293">
        <f t="shared" si="2"/>
        <v>1</v>
      </c>
      <c r="E3575" s="294" t="s">
        <v>23464</v>
      </c>
      <c r="F3575" s="295" t="str">
        <f>IFERROR(__xludf.DUMMYFUNCTION("IF(B3575="""","""",IFERROR(VLOOKUP(TO_TEXT(B3575),PEDIDOS!D:I,6,0),IFERROR(VLOOKUP(B3575*1,PEDIDOS!D:I,6,0),"" "")))"),"ENTREGUE")</f>
        <v>ENTREGUE</v>
      </c>
      <c r="G3575" s="307"/>
      <c r="H3575" s="304"/>
    </row>
    <row r="3576">
      <c r="A3576" s="302" t="s">
        <v>91</v>
      </c>
      <c r="B3576" s="291" t="s">
        <v>19448</v>
      </c>
      <c r="C3576" s="292" t="s">
        <v>48</v>
      </c>
      <c r="D3576" s="293">
        <f t="shared" si="2"/>
        <v>1</v>
      </c>
      <c r="E3576" s="294" t="s">
        <v>23464</v>
      </c>
      <c r="F3576" s="295" t="str">
        <f>IFERROR(__xludf.DUMMYFUNCTION("IF(B3576="""","""",IFERROR(VLOOKUP(TO_TEXT(B3576),PEDIDOS!D:I,6,0),IFERROR(VLOOKUP(B3576*1,PEDIDOS!D:I,6,0),"" "")))"),"ENTREGUE")</f>
        <v>ENTREGUE</v>
      </c>
      <c r="G3576" s="307"/>
      <c r="H3576" s="304"/>
    </row>
    <row r="3577">
      <c r="A3577" s="302" t="s">
        <v>91</v>
      </c>
      <c r="B3577" s="291" t="s">
        <v>19835</v>
      </c>
      <c r="C3577" s="292" t="s">
        <v>48</v>
      </c>
      <c r="D3577" s="293">
        <f t="shared" si="2"/>
        <v>1</v>
      </c>
      <c r="E3577" s="294" t="s">
        <v>23464</v>
      </c>
      <c r="F3577" s="295" t="str">
        <f>IFERROR(__xludf.DUMMYFUNCTION("IF(B3577="""","""",IFERROR(VLOOKUP(TO_TEXT(B3577),PEDIDOS!D:I,6,0),IFERROR(VLOOKUP(B3577*1,PEDIDOS!D:I,6,0),"" "")))"),"ENTREGUE")</f>
        <v>ENTREGUE</v>
      </c>
      <c r="G3577" s="307"/>
      <c r="H3577" s="304"/>
    </row>
    <row r="3578">
      <c r="A3578" s="302" t="s">
        <v>91</v>
      </c>
      <c r="B3578" s="291" t="s">
        <v>19841</v>
      </c>
      <c r="C3578" s="292" t="s">
        <v>48</v>
      </c>
      <c r="D3578" s="293">
        <f t="shared" si="2"/>
        <v>1</v>
      </c>
      <c r="E3578" s="294" t="s">
        <v>23464</v>
      </c>
      <c r="F3578" s="295" t="str">
        <f>IFERROR(__xludf.DUMMYFUNCTION("IF(B3578="""","""",IFERROR(VLOOKUP(TO_TEXT(B3578),PEDIDOS!D:I,6,0),IFERROR(VLOOKUP(B3578*1,PEDIDOS!D:I,6,0),"" "")))"),"ENTREGUE")</f>
        <v>ENTREGUE</v>
      </c>
      <c r="G3578" s="307"/>
      <c r="H3578" s="304"/>
    </row>
    <row r="3579">
      <c r="A3579" s="302" t="s">
        <v>91</v>
      </c>
      <c r="B3579" s="291" t="s">
        <v>19770</v>
      </c>
      <c r="C3579" s="292" t="s">
        <v>48</v>
      </c>
      <c r="D3579" s="293">
        <f t="shared" si="2"/>
        <v>1</v>
      </c>
      <c r="E3579" s="294" t="s">
        <v>23464</v>
      </c>
      <c r="F3579" s="295" t="str">
        <f>IFERROR(__xludf.DUMMYFUNCTION("IF(B3579="""","""",IFERROR(VLOOKUP(TO_TEXT(B3579),PEDIDOS!D:I,6,0),IFERROR(VLOOKUP(B3579*1,PEDIDOS!D:I,6,0),"" "")))"),"ENTREGUE")</f>
        <v>ENTREGUE</v>
      </c>
      <c r="G3579" s="307"/>
      <c r="H3579" s="304"/>
    </row>
    <row r="3580">
      <c r="A3580" s="302" t="s">
        <v>91</v>
      </c>
      <c r="B3580" s="291" t="s">
        <v>19780</v>
      </c>
      <c r="C3580" s="292" t="s">
        <v>48</v>
      </c>
      <c r="D3580" s="293">
        <f t="shared" si="2"/>
        <v>1</v>
      </c>
      <c r="E3580" s="294" t="s">
        <v>23464</v>
      </c>
      <c r="F3580" s="295" t="str">
        <f>IFERROR(__xludf.DUMMYFUNCTION("IF(B3580="""","""",IFERROR(VLOOKUP(TO_TEXT(B3580),PEDIDOS!D:I,6,0),IFERROR(VLOOKUP(B3580*1,PEDIDOS!D:I,6,0),"" "")))"),"ENTREGUE")</f>
        <v>ENTREGUE</v>
      </c>
      <c r="G3580" s="307"/>
      <c r="H3580" s="304"/>
    </row>
    <row r="3581">
      <c r="A3581" s="302" t="s">
        <v>91</v>
      </c>
      <c r="B3581" s="291" t="s">
        <v>19742</v>
      </c>
      <c r="C3581" s="292" t="s">
        <v>48</v>
      </c>
      <c r="D3581" s="293">
        <f t="shared" si="2"/>
        <v>1</v>
      </c>
      <c r="E3581" s="294" t="s">
        <v>23464</v>
      </c>
      <c r="F3581" s="295" t="str">
        <f>IFERROR(__xludf.DUMMYFUNCTION("IF(B3581="""","""",IFERROR(VLOOKUP(TO_TEXT(B3581),PEDIDOS!D:I,6,0),IFERROR(VLOOKUP(B3581*1,PEDIDOS!D:I,6,0),"" "")))"),"ENTREGUE")</f>
        <v>ENTREGUE</v>
      </c>
      <c r="G3581" s="307"/>
      <c r="H3581" s="304"/>
    </row>
    <row r="3582">
      <c r="A3582" s="302" t="s">
        <v>91</v>
      </c>
      <c r="B3582" s="291" t="s">
        <v>19658</v>
      </c>
      <c r="C3582" s="292" t="s">
        <v>48</v>
      </c>
      <c r="D3582" s="293">
        <f t="shared" si="2"/>
        <v>1</v>
      </c>
      <c r="E3582" s="294" t="s">
        <v>23464</v>
      </c>
      <c r="F3582" s="295" t="str">
        <f>IFERROR(__xludf.DUMMYFUNCTION("IF(B3582="""","""",IFERROR(VLOOKUP(TO_TEXT(B3582),PEDIDOS!D:I,6,0),IFERROR(VLOOKUP(B3582*1,PEDIDOS!D:I,6,0),"" "")))"),"ENTREGUE")</f>
        <v>ENTREGUE</v>
      </c>
      <c r="G3582" s="307"/>
      <c r="H3582" s="304"/>
    </row>
    <row r="3583">
      <c r="A3583" s="302" t="s">
        <v>91</v>
      </c>
      <c r="B3583" s="291" t="s">
        <v>19662</v>
      </c>
      <c r="C3583" s="292" t="s">
        <v>48</v>
      </c>
      <c r="D3583" s="293">
        <f t="shared" si="2"/>
        <v>1</v>
      </c>
      <c r="E3583" s="294" t="s">
        <v>23464</v>
      </c>
      <c r="F3583" s="295" t="str">
        <f>IFERROR(__xludf.DUMMYFUNCTION("IF(B3583="""","""",IFERROR(VLOOKUP(TO_TEXT(B3583),PEDIDOS!D:I,6,0),IFERROR(VLOOKUP(B3583*1,PEDIDOS!D:I,6,0),"" "")))"),"ENTREGUE")</f>
        <v>ENTREGUE</v>
      </c>
      <c r="G3583" s="307"/>
      <c r="H3583" s="304"/>
    </row>
    <row r="3584">
      <c r="A3584" s="302" t="s">
        <v>91</v>
      </c>
      <c r="B3584" s="291" t="s">
        <v>19709</v>
      </c>
      <c r="C3584" s="292" t="s">
        <v>48</v>
      </c>
      <c r="D3584" s="293">
        <f t="shared" si="2"/>
        <v>1</v>
      </c>
      <c r="E3584" s="294" t="s">
        <v>23464</v>
      </c>
      <c r="F3584" s="295" t="str">
        <f>IFERROR(__xludf.DUMMYFUNCTION("IF(B3584="""","""",IFERROR(VLOOKUP(TO_TEXT(B3584),PEDIDOS!D:I,6,0),IFERROR(VLOOKUP(B3584*1,PEDIDOS!D:I,6,0),"" "")))"),"ENTREGUE")</f>
        <v>ENTREGUE</v>
      </c>
      <c r="G3584" s="307"/>
      <c r="H3584" s="304"/>
    </row>
    <row r="3585">
      <c r="A3585" s="302" t="s">
        <v>91</v>
      </c>
      <c r="B3585" s="291" t="s">
        <v>19785</v>
      </c>
      <c r="C3585" s="292" t="s">
        <v>48</v>
      </c>
      <c r="D3585" s="293">
        <f t="shared" si="2"/>
        <v>1</v>
      </c>
      <c r="E3585" s="294" t="s">
        <v>23464</v>
      </c>
      <c r="F3585" s="295" t="str">
        <f>IFERROR(__xludf.DUMMYFUNCTION("IF(B3585="""","""",IFERROR(VLOOKUP(TO_TEXT(B3585),PEDIDOS!D:I,6,0),IFERROR(VLOOKUP(B3585*1,PEDIDOS!D:I,6,0),"" "")))"),"ENTREGUE")</f>
        <v>ENTREGUE</v>
      </c>
      <c r="G3585" s="307"/>
      <c r="H3585" s="304"/>
    </row>
    <row r="3586">
      <c r="A3586" s="302" t="s">
        <v>91</v>
      </c>
      <c r="B3586" s="291" t="s">
        <v>19968</v>
      </c>
      <c r="C3586" s="292" t="s">
        <v>48</v>
      </c>
      <c r="D3586" s="293">
        <f t="shared" si="2"/>
        <v>1</v>
      </c>
      <c r="E3586" s="294" t="s">
        <v>23464</v>
      </c>
      <c r="F3586" s="295" t="str">
        <f>IFERROR(__xludf.DUMMYFUNCTION("IF(B3586="""","""",IFERROR(VLOOKUP(TO_TEXT(B3586),PEDIDOS!D:I,6,0),IFERROR(VLOOKUP(B3586*1,PEDIDOS!D:I,6,0),"" "")))"),"ENTREGUE")</f>
        <v>ENTREGUE</v>
      </c>
      <c r="G3586" s="307"/>
      <c r="H3586" s="304"/>
    </row>
    <row r="3587">
      <c r="A3587" s="302" t="s">
        <v>91</v>
      </c>
      <c r="B3587" s="291" t="s">
        <v>19964</v>
      </c>
      <c r="C3587" s="292" t="s">
        <v>48</v>
      </c>
      <c r="D3587" s="293">
        <f t="shared" si="2"/>
        <v>1</v>
      </c>
      <c r="E3587" s="294" t="s">
        <v>23464</v>
      </c>
      <c r="F3587" s="295" t="str">
        <f>IFERROR(__xludf.DUMMYFUNCTION("IF(B3587="""","""",IFERROR(VLOOKUP(TO_TEXT(B3587),PEDIDOS!D:I,6,0),IFERROR(VLOOKUP(B3587*1,PEDIDOS!D:I,6,0),"" "")))"),"ENTREGUE")</f>
        <v>ENTREGUE</v>
      </c>
      <c r="G3587" s="307"/>
      <c r="H3587" s="304"/>
    </row>
    <row r="3588">
      <c r="A3588" s="302" t="s">
        <v>91</v>
      </c>
      <c r="B3588" s="291" t="s">
        <v>20142</v>
      </c>
      <c r="C3588" s="292" t="s">
        <v>48</v>
      </c>
      <c r="D3588" s="293">
        <f t="shared" si="2"/>
        <v>1</v>
      </c>
      <c r="E3588" s="294" t="s">
        <v>23464</v>
      </c>
      <c r="F3588" s="295" t="str">
        <f>IFERROR(__xludf.DUMMYFUNCTION("IF(B3588="""","""",IFERROR(VLOOKUP(TO_TEXT(B3588),PEDIDOS!D:I,6,0),IFERROR(VLOOKUP(B3588*1,PEDIDOS!D:I,6,0),"" "")))"),"ENTREGUE")</f>
        <v>ENTREGUE</v>
      </c>
      <c r="G3588" s="307"/>
      <c r="H3588" s="304"/>
    </row>
    <row r="3589">
      <c r="A3589" s="302" t="s">
        <v>91</v>
      </c>
      <c r="B3589" s="291" t="s">
        <v>19747</v>
      </c>
      <c r="C3589" s="292" t="s">
        <v>48</v>
      </c>
      <c r="D3589" s="293">
        <f t="shared" si="2"/>
        <v>1</v>
      </c>
      <c r="E3589" s="294" t="s">
        <v>23464</v>
      </c>
      <c r="F3589" s="295" t="str">
        <f>IFERROR(__xludf.DUMMYFUNCTION("IF(B3589="""","""",IFERROR(VLOOKUP(TO_TEXT(B3589),PEDIDOS!D:I,6,0),IFERROR(VLOOKUP(B3589*1,PEDIDOS!D:I,6,0),"" "")))"),"ENTREGUE")</f>
        <v>ENTREGUE</v>
      </c>
      <c r="G3589" s="307"/>
      <c r="H3589" s="304"/>
    </row>
    <row r="3590">
      <c r="A3590" s="302" t="s">
        <v>91</v>
      </c>
      <c r="B3590" s="291" t="s">
        <v>20126</v>
      </c>
      <c r="C3590" s="292" t="s">
        <v>48</v>
      </c>
      <c r="D3590" s="293">
        <f t="shared" si="2"/>
        <v>1</v>
      </c>
      <c r="E3590" s="294" t="s">
        <v>23464</v>
      </c>
      <c r="F3590" s="295" t="str">
        <f>IFERROR(__xludf.DUMMYFUNCTION("IF(B3590="""","""",IFERROR(VLOOKUP(TO_TEXT(B3590),PEDIDOS!D:I,6,0),IFERROR(VLOOKUP(B3590*1,PEDIDOS!D:I,6,0),"" "")))"),"ENTREGUE")</f>
        <v>ENTREGUE</v>
      </c>
      <c r="G3590" s="307"/>
      <c r="H3590" s="304"/>
    </row>
    <row r="3591">
      <c r="A3591" s="302" t="s">
        <v>91</v>
      </c>
      <c r="B3591" s="291" t="s">
        <v>19225</v>
      </c>
      <c r="C3591" s="292" t="s">
        <v>48</v>
      </c>
      <c r="D3591" s="293">
        <f t="shared" si="2"/>
        <v>1</v>
      </c>
      <c r="E3591" s="294" t="s">
        <v>23464</v>
      </c>
      <c r="F3591" s="295" t="str">
        <f>IFERROR(__xludf.DUMMYFUNCTION("IF(B3591="""","""",IFERROR(VLOOKUP(TO_TEXT(B3591),PEDIDOS!D:I,6,0),IFERROR(VLOOKUP(B3591*1,PEDIDOS!D:I,6,0),"" "")))"),"ENTREGUE")</f>
        <v>ENTREGUE</v>
      </c>
      <c r="G3591" s="307"/>
      <c r="H3591" s="304"/>
    </row>
    <row r="3592">
      <c r="A3592" s="302" t="s">
        <v>91</v>
      </c>
      <c r="B3592" s="291" t="s">
        <v>20184</v>
      </c>
      <c r="C3592" s="292" t="s">
        <v>48</v>
      </c>
      <c r="D3592" s="293">
        <f t="shared" si="2"/>
        <v>1</v>
      </c>
      <c r="E3592" s="294" t="s">
        <v>23464</v>
      </c>
      <c r="F3592" s="295" t="str">
        <f>IFERROR(__xludf.DUMMYFUNCTION("IF(B3592="""","""",IFERROR(VLOOKUP(TO_TEXT(B3592),PEDIDOS!D:I,6,0),IFERROR(VLOOKUP(B3592*1,PEDIDOS!D:I,6,0),"" "")))"),"ENTREGUE")</f>
        <v>ENTREGUE</v>
      </c>
      <c r="G3592" s="307"/>
      <c r="H3592" s="304"/>
    </row>
    <row r="3593">
      <c r="A3593" s="302" t="s">
        <v>91</v>
      </c>
      <c r="B3593" s="291" t="s">
        <v>19795</v>
      </c>
      <c r="C3593" s="292" t="s">
        <v>48</v>
      </c>
      <c r="D3593" s="293">
        <f t="shared" si="2"/>
        <v>1</v>
      </c>
      <c r="E3593" s="294" t="s">
        <v>23464</v>
      </c>
      <c r="F3593" s="295" t="str">
        <f>IFERROR(__xludf.DUMMYFUNCTION("IF(B3593="""","""",IFERROR(VLOOKUP(TO_TEXT(B3593),PEDIDOS!D:I,6,0),IFERROR(VLOOKUP(B3593*1,PEDIDOS!D:I,6,0),"" "")))"),"ENTREGUE")</f>
        <v>ENTREGUE</v>
      </c>
      <c r="G3593" s="307"/>
      <c r="H3593" s="304"/>
    </row>
    <row r="3594">
      <c r="A3594" s="302" t="s">
        <v>91</v>
      </c>
      <c r="B3594" s="291" t="s">
        <v>19800</v>
      </c>
      <c r="C3594" s="292" t="s">
        <v>48</v>
      </c>
      <c r="D3594" s="293">
        <f t="shared" si="2"/>
        <v>1</v>
      </c>
      <c r="E3594" s="294" t="s">
        <v>23464</v>
      </c>
      <c r="F3594" s="295" t="str">
        <f>IFERROR(__xludf.DUMMYFUNCTION("IF(B3594="""","""",IFERROR(VLOOKUP(TO_TEXT(B3594),PEDIDOS!D:I,6,0),IFERROR(VLOOKUP(B3594*1,PEDIDOS!D:I,6,0),"" "")))"),"ENTREGUE")</f>
        <v>ENTREGUE</v>
      </c>
      <c r="G3594" s="307"/>
      <c r="H3594" s="304"/>
    </row>
    <row r="3595">
      <c r="A3595" s="302" t="s">
        <v>91</v>
      </c>
      <c r="B3595" s="291" t="s">
        <v>18278</v>
      </c>
      <c r="C3595" s="292" t="s">
        <v>48</v>
      </c>
      <c r="D3595" s="293">
        <f t="shared" si="2"/>
        <v>1</v>
      </c>
      <c r="E3595" s="294" t="s">
        <v>23464</v>
      </c>
      <c r="F3595" s="295" t="str">
        <f>IFERROR(__xludf.DUMMYFUNCTION("IF(B3595="""","""",IFERROR(VLOOKUP(TO_TEXT(B3595),PEDIDOS!D:I,6,0),IFERROR(VLOOKUP(B3595*1,PEDIDOS!D:I,6,0),"" "")))"),"ENTREGUE")</f>
        <v>ENTREGUE</v>
      </c>
      <c r="G3595" s="307"/>
      <c r="H3595" s="304"/>
    </row>
    <row r="3596">
      <c r="A3596" s="302" t="s">
        <v>91</v>
      </c>
      <c r="B3596" s="291" t="s">
        <v>20408</v>
      </c>
      <c r="C3596" s="292" t="s">
        <v>48</v>
      </c>
      <c r="D3596" s="293">
        <f t="shared" si="2"/>
        <v>1</v>
      </c>
      <c r="E3596" s="294" t="s">
        <v>23464</v>
      </c>
      <c r="F3596" s="295" t="str">
        <f>IFERROR(__xludf.DUMMYFUNCTION("IF(B3596="""","""",IFERROR(VLOOKUP(TO_TEXT(B3596),PEDIDOS!D:I,6,0),IFERROR(VLOOKUP(B3596*1,PEDIDOS!D:I,6,0),"" "")))"),"ENTREGUE")</f>
        <v>ENTREGUE</v>
      </c>
      <c r="G3596" s="307"/>
      <c r="H3596" s="304"/>
    </row>
    <row r="3597">
      <c r="A3597" s="302" t="s">
        <v>91</v>
      </c>
      <c r="B3597" s="291" t="s">
        <v>18282</v>
      </c>
      <c r="C3597" s="292" t="s">
        <v>48</v>
      </c>
      <c r="D3597" s="293">
        <f t="shared" si="2"/>
        <v>1</v>
      </c>
      <c r="E3597" s="294" t="s">
        <v>23464</v>
      </c>
      <c r="F3597" s="295" t="str">
        <f>IFERROR(__xludf.DUMMYFUNCTION("IF(B3597="""","""",IFERROR(VLOOKUP(TO_TEXT(B3597),PEDIDOS!D:I,6,0),IFERROR(VLOOKUP(B3597*1,PEDIDOS!D:I,6,0),"" "")))"),"ENTREGUE")</f>
        <v>ENTREGUE</v>
      </c>
      <c r="G3597" s="307"/>
      <c r="H3597" s="304"/>
    </row>
    <row r="3598">
      <c r="A3598" s="302" t="s">
        <v>91</v>
      </c>
      <c r="B3598" s="291" t="s">
        <v>18286</v>
      </c>
      <c r="C3598" s="292" t="s">
        <v>48</v>
      </c>
      <c r="D3598" s="293">
        <f t="shared" si="2"/>
        <v>1</v>
      </c>
      <c r="E3598" s="294" t="s">
        <v>23464</v>
      </c>
      <c r="F3598" s="295" t="str">
        <f>IFERROR(__xludf.DUMMYFUNCTION("IF(B3598="""","""",IFERROR(VLOOKUP(TO_TEXT(B3598),PEDIDOS!D:I,6,0),IFERROR(VLOOKUP(B3598*1,PEDIDOS!D:I,6,0),"" "")))"),"ENTREGUE")</f>
        <v>ENTREGUE</v>
      </c>
      <c r="G3598" s="307"/>
      <c r="H3598" s="304"/>
    </row>
    <row r="3599">
      <c r="A3599" s="302" t="s">
        <v>91</v>
      </c>
      <c r="B3599" s="291" t="s">
        <v>18290</v>
      </c>
      <c r="C3599" s="292" t="s">
        <v>48</v>
      </c>
      <c r="D3599" s="293">
        <f t="shared" si="2"/>
        <v>1</v>
      </c>
      <c r="E3599" s="294" t="s">
        <v>23464</v>
      </c>
      <c r="F3599" s="295" t="str">
        <f>IFERROR(__xludf.DUMMYFUNCTION("IF(B3599="""","""",IFERROR(VLOOKUP(TO_TEXT(B3599),PEDIDOS!D:I,6,0),IFERROR(VLOOKUP(B3599*1,PEDIDOS!D:I,6,0),"" "")))"),"ENTREGUE")</f>
        <v>ENTREGUE</v>
      </c>
      <c r="G3599" s="307"/>
      <c r="H3599" s="304"/>
    </row>
    <row r="3600">
      <c r="A3600" s="302" t="s">
        <v>91</v>
      </c>
      <c r="B3600" s="291" t="s">
        <v>18294</v>
      </c>
      <c r="C3600" s="292" t="s">
        <v>48</v>
      </c>
      <c r="D3600" s="293">
        <f t="shared" si="2"/>
        <v>1</v>
      </c>
      <c r="E3600" s="294" t="s">
        <v>23464</v>
      </c>
      <c r="F3600" s="295" t="str">
        <f>IFERROR(__xludf.DUMMYFUNCTION("IF(B3600="""","""",IFERROR(VLOOKUP(TO_TEXT(B3600),PEDIDOS!D:I,6,0),IFERROR(VLOOKUP(B3600*1,PEDIDOS!D:I,6,0),"" "")))"),"ENTREGUE")</f>
        <v>ENTREGUE</v>
      </c>
      <c r="G3600" s="307"/>
      <c r="H3600" s="304"/>
    </row>
    <row r="3601">
      <c r="A3601" s="302" t="s">
        <v>91</v>
      </c>
      <c r="B3601" s="291" t="s">
        <v>18412</v>
      </c>
      <c r="C3601" s="292" t="s">
        <v>48</v>
      </c>
      <c r="D3601" s="293">
        <f t="shared" si="2"/>
        <v>1</v>
      </c>
      <c r="E3601" s="294" t="s">
        <v>23464</v>
      </c>
      <c r="F3601" s="295" t="str">
        <f>IFERROR(__xludf.DUMMYFUNCTION("IF(B3601="""","""",IFERROR(VLOOKUP(TO_TEXT(B3601),PEDIDOS!D:I,6,0),IFERROR(VLOOKUP(B3601*1,PEDIDOS!D:I,6,0),"" "")))"),"ENTREGUE")</f>
        <v>ENTREGUE</v>
      </c>
      <c r="G3601" s="307"/>
      <c r="H3601" s="304"/>
    </row>
    <row r="3602">
      <c r="A3602" s="302" t="s">
        <v>91</v>
      </c>
      <c r="B3602" s="291" t="s">
        <v>18408</v>
      </c>
      <c r="C3602" s="292" t="s">
        <v>48</v>
      </c>
      <c r="D3602" s="293">
        <f t="shared" si="2"/>
        <v>1</v>
      </c>
      <c r="E3602" s="294" t="s">
        <v>23464</v>
      </c>
      <c r="F3602" s="295" t="str">
        <f>IFERROR(__xludf.DUMMYFUNCTION("IF(B3602="""","""",IFERROR(VLOOKUP(TO_TEXT(B3602),PEDIDOS!D:I,6,0),IFERROR(VLOOKUP(B3602*1,PEDIDOS!D:I,6,0),"" "")))"),"ENTREGUE")</f>
        <v>ENTREGUE</v>
      </c>
      <c r="G3602" s="307"/>
      <c r="H3602" s="304"/>
    </row>
    <row r="3603">
      <c r="A3603" s="302" t="s">
        <v>91</v>
      </c>
      <c r="B3603" s="291" t="s">
        <v>18400</v>
      </c>
      <c r="C3603" s="292" t="s">
        <v>48</v>
      </c>
      <c r="D3603" s="293">
        <f t="shared" si="2"/>
        <v>1</v>
      </c>
      <c r="E3603" s="294" t="s">
        <v>23464</v>
      </c>
      <c r="F3603" s="295" t="str">
        <f>IFERROR(__xludf.DUMMYFUNCTION("IF(B3603="""","""",IFERROR(VLOOKUP(TO_TEXT(B3603),PEDIDOS!D:I,6,0),IFERROR(VLOOKUP(B3603*1,PEDIDOS!D:I,6,0),"" "")))"),"ENTREGUE")</f>
        <v>ENTREGUE</v>
      </c>
      <c r="G3603" s="307"/>
      <c r="H3603" s="304"/>
    </row>
    <row r="3604">
      <c r="A3604" s="302" t="s">
        <v>91</v>
      </c>
      <c r="B3604" s="291" t="s">
        <v>18404</v>
      </c>
      <c r="C3604" s="292" t="s">
        <v>48</v>
      </c>
      <c r="D3604" s="293">
        <f t="shared" si="2"/>
        <v>1</v>
      </c>
      <c r="E3604" s="294" t="s">
        <v>23464</v>
      </c>
      <c r="F3604" s="295" t="str">
        <f>IFERROR(__xludf.DUMMYFUNCTION("IF(B3604="""","""",IFERROR(VLOOKUP(TO_TEXT(B3604),PEDIDOS!D:I,6,0),IFERROR(VLOOKUP(B3604*1,PEDIDOS!D:I,6,0),"" "")))"),"ENTREGUE")</f>
        <v>ENTREGUE</v>
      </c>
      <c r="G3604" s="307"/>
      <c r="H3604" s="304"/>
    </row>
    <row r="3605">
      <c r="A3605" s="302" t="s">
        <v>91</v>
      </c>
      <c r="B3605" s="291" t="s">
        <v>20237</v>
      </c>
      <c r="C3605" s="292" t="s">
        <v>48</v>
      </c>
      <c r="D3605" s="293">
        <f t="shared" si="2"/>
        <v>1</v>
      </c>
      <c r="E3605" s="294" t="s">
        <v>23464</v>
      </c>
      <c r="F3605" s="295" t="str">
        <f>IFERROR(__xludf.DUMMYFUNCTION("IF(B3605="""","""",IFERROR(VLOOKUP(TO_TEXT(B3605),PEDIDOS!D:I,6,0),IFERROR(VLOOKUP(B3605*1,PEDIDOS!D:I,6,0),"" "")))"),"ENTREGUE")</f>
        <v>ENTREGUE</v>
      </c>
      <c r="G3605" s="307"/>
      <c r="H3605" s="304"/>
    </row>
    <row r="3606">
      <c r="A3606" s="302" t="s">
        <v>91</v>
      </c>
      <c r="B3606" s="291" t="s">
        <v>20263</v>
      </c>
      <c r="C3606" s="292" t="s">
        <v>48</v>
      </c>
      <c r="D3606" s="293">
        <f t="shared" si="2"/>
        <v>1</v>
      </c>
      <c r="E3606" s="294" t="s">
        <v>23464</v>
      </c>
      <c r="F3606" s="295" t="str">
        <f>IFERROR(__xludf.DUMMYFUNCTION("IF(B3606="""","""",IFERROR(VLOOKUP(TO_TEXT(B3606),PEDIDOS!D:I,6,0),IFERROR(VLOOKUP(B3606*1,PEDIDOS!D:I,6,0),"" "")))"),"ENTREGUE")</f>
        <v>ENTREGUE</v>
      </c>
      <c r="G3606" s="307"/>
      <c r="H3606" s="304"/>
    </row>
    <row r="3607">
      <c r="A3607" s="302" t="s">
        <v>91</v>
      </c>
      <c r="B3607" s="291" t="s">
        <v>20321</v>
      </c>
      <c r="C3607" s="292" t="s">
        <v>48</v>
      </c>
      <c r="D3607" s="293">
        <f t="shared" si="2"/>
        <v>1</v>
      </c>
      <c r="E3607" s="294" t="s">
        <v>23464</v>
      </c>
      <c r="F3607" s="295" t="str">
        <f>IFERROR(__xludf.DUMMYFUNCTION("IF(B3607="""","""",IFERROR(VLOOKUP(TO_TEXT(B3607),PEDIDOS!D:I,6,0),IFERROR(VLOOKUP(B3607*1,PEDIDOS!D:I,6,0),"" "")))"),"ENTREGUE")</f>
        <v>ENTREGUE</v>
      </c>
      <c r="G3607" s="307"/>
      <c r="H3607" s="304"/>
    </row>
    <row r="3608">
      <c r="A3608" s="302" t="s">
        <v>91</v>
      </c>
      <c r="B3608" s="291" t="s">
        <v>19456</v>
      </c>
      <c r="C3608" s="292" t="s">
        <v>48</v>
      </c>
      <c r="D3608" s="293">
        <f t="shared" si="2"/>
        <v>1</v>
      </c>
      <c r="E3608" s="294" t="s">
        <v>23464</v>
      </c>
      <c r="F3608" s="295" t="str">
        <f>IFERROR(__xludf.DUMMYFUNCTION("IF(B3608="""","""",IFERROR(VLOOKUP(TO_TEXT(B3608),PEDIDOS!D:I,6,0),IFERROR(VLOOKUP(B3608*1,PEDIDOS!D:I,6,0),"" "")))"),"ENTREGUE")</f>
        <v>ENTREGUE</v>
      </c>
      <c r="G3608" s="307"/>
      <c r="H3608" s="304"/>
    </row>
    <row r="3609">
      <c r="A3609" s="302" t="s">
        <v>91</v>
      </c>
      <c r="B3609" s="291" t="s">
        <v>19460</v>
      </c>
      <c r="C3609" s="292" t="s">
        <v>48</v>
      </c>
      <c r="D3609" s="293">
        <f t="shared" si="2"/>
        <v>1</v>
      </c>
      <c r="E3609" s="294" t="s">
        <v>23464</v>
      </c>
      <c r="F3609" s="295" t="str">
        <f>IFERROR(__xludf.DUMMYFUNCTION("IF(B3609="""","""",IFERROR(VLOOKUP(TO_TEXT(B3609),PEDIDOS!D:I,6,0),IFERROR(VLOOKUP(B3609*1,PEDIDOS!D:I,6,0),"" "")))"),"ENTREGUE")</f>
        <v>ENTREGUE</v>
      </c>
      <c r="G3609" s="307"/>
      <c r="H3609" s="304"/>
    </row>
    <row r="3610">
      <c r="A3610" s="302" t="s">
        <v>91</v>
      </c>
      <c r="B3610" s="291" t="s">
        <v>20734</v>
      </c>
      <c r="C3610" s="292" t="s">
        <v>48</v>
      </c>
      <c r="D3610" s="293">
        <f t="shared" si="2"/>
        <v>1</v>
      </c>
      <c r="E3610" s="294" t="s">
        <v>23464</v>
      </c>
      <c r="F3610" s="295" t="str">
        <f>IFERROR(__xludf.DUMMYFUNCTION("IF(B3610="""","""",IFERROR(VLOOKUP(TO_TEXT(B3610),PEDIDOS!D:I,6,0),IFERROR(VLOOKUP(B3610*1,PEDIDOS!D:I,6,0),"" "")))"),"ENTREGUE")</f>
        <v>ENTREGUE</v>
      </c>
      <c r="G3610" s="307"/>
      <c r="H3610" s="304"/>
    </row>
    <row r="3611">
      <c r="A3611" s="302" t="s">
        <v>91</v>
      </c>
      <c r="B3611" s="291" t="s">
        <v>20352</v>
      </c>
      <c r="C3611" s="292" t="s">
        <v>48</v>
      </c>
      <c r="D3611" s="293">
        <f t="shared" si="2"/>
        <v>1</v>
      </c>
      <c r="E3611" s="294" t="s">
        <v>23464</v>
      </c>
      <c r="F3611" s="295" t="str">
        <f>IFERROR(__xludf.DUMMYFUNCTION("IF(B3611="""","""",IFERROR(VLOOKUP(TO_TEXT(B3611),PEDIDOS!D:I,6,0),IFERROR(VLOOKUP(B3611*1,PEDIDOS!D:I,6,0),"" "")))"),"ENTREGUE")</f>
        <v>ENTREGUE</v>
      </c>
      <c r="G3611" s="307"/>
      <c r="H3611" s="304"/>
    </row>
    <row r="3612">
      <c r="A3612" s="302" t="s">
        <v>91</v>
      </c>
      <c r="B3612" s="291" t="s">
        <v>20348</v>
      </c>
      <c r="C3612" s="292" t="s">
        <v>48</v>
      </c>
      <c r="D3612" s="293">
        <f t="shared" si="2"/>
        <v>1</v>
      </c>
      <c r="E3612" s="294" t="s">
        <v>23464</v>
      </c>
      <c r="F3612" s="295" t="str">
        <f>IFERROR(__xludf.DUMMYFUNCTION("IF(B3612="""","""",IFERROR(VLOOKUP(TO_TEXT(B3612),PEDIDOS!D:I,6,0),IFERROR(VLOOKUP(B3612*1,PEDIDOS!D:I,6,0),"" "")))"),"ENTREGUE")</f>
        <v>ENTREGUE</v>
      </c>
      <c r="G3612" s="307"/>
      <c r="H3612" s="304"/>
    </row>
    <row r="3613">
      <c r="A3613" s="302" t="s">
        <v>91</v>
      </c>
      <c r="B3613" s="291" t="s">
        <v>20605</v>
      </c>
      <c r="C3613" s="292" t="s">
        <v>48</v>
      </c>
      <c r="D3613" s="293">
        <f t="shared" si="2"/>
        <v>1</v>
      </c>
      <c r="E3613" s="294" t="s">
        <v>23464</v>
      </c>
      <c r="F3613" s="295" t="str">
        <f>IFERROR(__xludf.DUMMYFUNCTION("IF(B3613="""","""",IFERROR(VLOOKUP(TO_TEXT(B3613),PEDIDOS!D:I,6,0),IFERROR(VLOOKUP(B3613*1,PEDIDOS!D:I,6,0),"" "")))"),"ENTREGUE")</f>
        <v>ENTREGUE</v>
      </c>
      <c r="G3613" s="307"/>
      <c r="H3613" s="304"/>
    </row>
    <row r="3614">
      <c r="A3614" s="302" t="s">
        <v>91</v>
      </c>
      <c r="B3614" s="291" t="s">
        <v>20853</v>
      </c>
      <c r="C3614" s="292" t="s">
        <v>48</v>
      </c>
      <c r="D3614" s="293">
        <f t="shared" si="2"/>
        <v>1</v>
      </c>
      <c r="E3614" s="294" t="s">
        <v>23464</v>
      </c>
      <c r="F3614" s="295" t="str">
        <f>IFERROR(__xludf.DUMMYFUNCTION("IF(B3614="""","""",IFERROR(VLOOKUP(TO_TEXT(B3614),PEDIDOS!D:I,6,0),IFERROR(VLOOKUP(B3614*1,PEDIDOS!D:I,6,0),"" "")))"),"ENTREGUE")</f>
        <v>ENTREGUE</v>
      </c>
      <c r="G3614" s="307"/>
      <c r="H3614" s="304"/>
    </row>
    <row r="3615">
      <c r="A3615" s="302" t="s">
        <v>91</v>
      </c>
      <c r="B3615" s="291" t="s">
        <v>20822</v>
      </c>
      <c r="C3615" s="292" t="s">
        <v>48</v>
      </c>
      <c r="D3615" s="293">
        <f t="shared" si="2"/>
        <v>1</v>
      </c>
      <c r="E3615" s="294" t="s">
        <v>23464</v>
      </c>
      <c r="F3615" s="295" t="str">
        <f>IFERROR(__xludf.DUMMYFUNCTION("IF(B3615="""","""",IFERROR(VLOOKUP(TO_TEXT(B3615),PEDIDOS!D:I,6,0),IFERROR(VLOOKUP(B3615*1,PEDIDOS!D:I,6,0),"" "")))"),"ENTREGUE")</f>
        <v>ENTREGUE</v>
      </c>
      <c r="G3615" s="307"/>
      <c r="H3615" s="304"/>
    </row>
    <row r="3616">
      <c r="A3616" s="302" t="s">
        <v>91</v>
      </c>
      <c r="B3616" s="291" t="s">
        <v>20817</v>
      </c>
      <c r="C3616" s="292" t="s">
        <v>48</v>
      </c>
      <c r="D3616" s="293">
        <f t="shared" si="2"/>
        <v>1</v>
      </c>
      <c r="E3616" s="294" t="s">
        <v>23464</v>
      </c>
      <c r="F3616" s="295" t="str">
        <f>IFERROR(__xludf.DUMMYFUNCTION("IF(B3616="""","""",IFERROR(VLOOKUP(TO_TEXT(B3616),PEDIDOS!D:I,6,0),IFERROR(VLOOKUP(B3616*1,PEDIDOS!D:I,6,0),"" "")))"),"ENTREGUE")</f>
        <v>ENTREGUE</v>
      </c>
      <c r="G3616" s="307"/>
      <c r="H3616" s="304"/>
    </row>
    <row r="3617">
      <c r="A3617" s="302" t="s">
        <v>112</v>
      </c>
      <c r="B3617" s="291" t="s">
        <v>18692</v>
      </c>
      <c r="C3617" s="292" t="s">
        <v>48</v>
      </c>
      <c r="D3617" s="293">
        <f t="shared" si="2"/>
        <v>1</v>
      </c>
      <c r="E3617" s="294" t="s">
        <v>23464</v>
      </c>
      <c r="F3617" s="295" t="str">
        <f>IFERROR(__xludf.DUMMYFUNCTION("IF(B3617="""","""",IFERROR(VLOOKUP(TO_TEXT(B3617),PEDIDOS!D:I,6,0),IFERROR(VLOOKUP(B3617*1,PEDIDOS!D:I,6,0),"" "")))"),"ENTREGUE")</f>
        <v>ENTREGUE</v>
      </c>
      <c r="G3617" s="307"/>
      <c r="H3617" s="304"/>
    </row>
    <row r="3618">
      <c r="A3618" s="302" t="s">
        <v>112</v>
      </c>
      <c r="B3618" s="291" t="s">
        <v>18832</v>
      </c>
      <c r="C3618" s="292" t="s">
        <v>48</v>
      </c>
      <c r="D3618" s="293">
        <f t="shared" si="2"/>
        <v>1</v>
      </c>
      <c r="E3618" s="294" t="s">
        <v>23464</v>
      </c>
      <c r="F3618" s="295" t="str">
        <f>IFERROR(__xludf.DUMMYFUNCTION("IF(B3618="""","""",IFERROR(VLOOKUP(TO_TEXT(B3618),PEDIDOS!D:I,6,0),IFERROR(VLOOKUP(B3618*1,PEDIDOS!D:I,6,0),"" "")))"),"ENTREGUE")</f>
        <v>ENTREGUE</v>
      </c>
      <c r="G3618" s="307"/>
      <c r="H3618" s="304"/>
    </row>
    <row r="3619">
      <c r="A3619" s="302" t="s">
        <v>112</v>
      </c>
      <c r="B3619" s="291" t="s">
        <v>18827</v>
      </c>
      <c r="C3619" s="292" t="s">
        <v>48</v>
      </c>
      <c r="D3619" s="293">
        <f t="shared" si="2"/>
        <v>1</v>
      </c>
      <c r="E3619" s="294" t="s">
        <v>23464</v>
      </c>
      <c r="F3619" s="295" t="str">
        <f>IFERROR(__xludf.DUMMYFUNCTION("IF(B3619="""","""",IFERROR(VLOOKUP(TO_TEXT(B3619),PEDIDOS!D:I,6,0),IFERROR(VLOOKUP(B3619*1,PEDIDOS!D:I,6,0),"" "")))"),"ENTREGUE")</f>
        <v>ENTREGUE</v>
      </c>
      <c r="G3619" s="307"/>
      <c r="H3619" s="304"/>
    </row>
    <row r="3620">
      <c r="A3620" s="302" t="s">
        <v>112</v>
      </c>
      <c r="B3620" s="291" t="s">
        <v>19117</v>
      </c>
      <c r="C3620" s="292" t="s">
        <v>48</v>
      </c>
      <c r="D3620" s="293">
        <f t="shared" si="2"/>
        <v>1</v>
      </c>
      <c r="E3620" s="294" t="s">
        <v>23464</v>
      </c>
      <c r="F3620" s="295" t="str">
        <f>IFERROR(__xludf.DUMMYFUNCTION("IF(B3620="""","""",IFERROR(VLOOKUP(TO_TEXT(B3620),PEDIDOS!D:I,6,0),IFERROR(VLOOKUP(B3620*1,PEDIDOS!D:I,6,0),"" "")))"),"ENTREGUE")</f>
        <v>ENTREGUE</v>
      </c>
      <c r="G3620" s="307"/>
      <c r="H3620" s="304"/>
    </row>
    <row r="3621">
      <c r="A3621" s="302" t="s">
        <v>112</v>
      </c>
      <c r="B3621" s="291" t="s">
        <v>19145</v>
      </c>
      <c r="C3621" s="292" t="s">
        <v>48</v>
      </c>
      <c r="D3621" s="293">
        <f t="shared" si="2"/>
        <v>1</v>
      </c>
      <c r="E3621" s="294" t="s">
        <v>23464</v>
      </c>
      <c r="F3621" s="295" t="str">
        <f>IFERROR(__xludf.DUMMYFUNCTION("IF(B3621="""","""",IFERROR(VLOOKUP(TO_TEXT(B3621),PEDIDOS!D:I,6,0),IFERROR(VLOOKUP(B3621*1,PEDIDOS!D:I,6,0),"" "")))"),"ENTREGUE")</f>
        <v>ENTREGUE</v>
      </c>
      <c r="G3621" s="307"/>
      <c r="H3621" s="304"/>
    </row>
    <row r="3622">
      <c r="A3622" s="302" t="s">
        <v>112</v>
      </c>
      <c r="B3622" s="291" t="s">
        <v>19220</v>
      </c>
      <c r="C3622" s="292" t="s">
        <v>48</v>
      </c>
      <c r="D3622" s="293">
        <f t="shared" si="2"/>
        <v>1</v>
      </c>
      <c r="E3622" s="294" t="s">
        <v>23464</v>
      </c>
      <c r="F3622" s="295" t="str">
        <f>IFERROR(__xludf.DUMMYFUNCTION("IF(B3622="""","""",IFERROR(VLOOKUP(TO_TEXT(B3622),PEDIDOS!D:I,6,0),IFERROR(VLOOKUP(B3622*1,PEDIDOS!D:I,6,0),"" "")))"),"ENTREGUE")</f>
        <v>ENTREGUE</v>
      </c>
      <c r="G3622" s="307"/>
      <c r="H3622" s="304"/>
    </row>
    <row r="3623">
      <c r="A3623" s="302" t="s">
        <v>112</v>
      </c>
      <c r="B3623" s="291" t="s">
        <v>19361</v>
      </c>
      <c r="C3623" s="292" t="s">
        <v>48</v>
      </c>
      <c r="D3623" s="293">
        <f t="shared" si="2"/>
        <v>1</v>
      </c>
      <c r="E3623" s="294" t="s">
        <v>23464</v>
      </c>
      <c r="F3623" s="295" t="str">
        <f>IFERROR(__xludf.DUMMYFUNCTION("IF(B3623="""","""",IFERROR(VLOOKUP(TO_TEXT(B3623),PEDIDOS!D:I,6,0),IFERROR(VLOOKUP(B3623*1,PEDIDOS!D:I,6,0),"" "")))"),"ENTREGUE")</f>
        <v>ENTREGUE</v>
      </c>
      <c r="G3623" s="307"/>
      <c r="H3623" s="304"/>
    </row>
    <row r="3624">
      <c r="A3624" s="302" t="s">
        <v>112</v>
      </c>
      <c r="B3624" s="291" t="s">
        <v>19375</v>
      </c>
      <c r="C3624" s="292" t="s">
        <v>48</v>
      </c>
      <c r="D3624" s="293">
        <f t="shared" si="2"/>
        <v>1</v>
      </c>
      <c r="E3624" s="294" t="s">
        <v>23464</v>
      </c>
      <c r="F3624" s="295" t="str">
        <f>IFERROR(__xludf.DUMMYFUNCTION("IF(B3624="""","""",IFERROR(VLOOKUP(TO_TEXT(B3624),PEDIDOS!D:I,6,0),IFERROR(VLOOKUP(B3624*1,PEDIDOS!D:I,6,0),"" "")))"),"ENTREGUE")</f>
        <v>ENTREGUE</v>
      </c>
      <c r="G3624" s="307"/>
      <c r="H3624" s="304"/>
    </row>
    <row r="3625">
      <c r="A3625" s="302" t="s">
        <v>112</v>
      </c>
      <c r="B3625" s="291" t="s">
        <v>19243</v>
      </c>
      <c r="C3625" s="292" t="s">
        <v>48</v>
      </c>
      <c r="D3625" s="293">
        <f t="shared" si="2"/>
        <v>1</v>
      </c>
      <c r="E3625" s="294" t="s">
        <v>23464</v>
      </c>
      <c r="F3625" s="295" t="str">
        <f>IFERROR(__xludf.DUMMYFUNCTION("IF(B3625="""","""",IFERROR(VLOOKUP(TO_TEXT(B3625),PEDIDOS!D:I,6,0),IFERROR(VLOOKUP(B3625*1,PEDIDOS!D:I,6,0),"" "")))"),"ENTREGUE")</f>
        <v>ENTREGUE</v>
      </c>
      <c r="G3625" s="307"/>
      <c r="H3625" s="304"/>
    </row>
    <row r="3626">
      <c r="A3626" s="302" t="s">
        <v>112</v>
      </c>
      <c r="B3626" s="291" t="s">
        <v>19639</v>
      </c>
      <c r="C3626" s="292" t="s">
        <v>48</v>
      </c>
      <c r="D3626" s="293">
        <f t="shared" si="2"/>
        <v>1</v>
      </c>
      <c r="E3626" s="294" t="s">
        <v>23464</v>
      </c>
      <c r="F3626" s="295" t="str">
        <f>IFERROR(__xludf.DUMMYFUNCTION("IF(B3626="""","""",IFERROR(VLOOKUP(TO_TEXT(B3626),PEDIDOS!D:I,6,0),IFERROR(VLOOKUP(B3626*1,PEDIDOS!D:I,6,0),"" "")))"),"ENTREGUE")</f>
        <v>ENTREGUE</v>
      </c>
      <c r="G3626" s="307"/>
      <c r="H3626" s="304"/>
    </row>
    <row r="3627">
      <c r="A3627" s="302" t="s">
        <v>112</v>
      </c>
      <c r="B3627" s="291" t="s">
        <v>19507</v>
      </c>
      <c r="C3627" s="292" t="s">
        <v>48</v>
      </c>
      <c r="D3627" s="293">
        <f t="shared" si="2"/>
        <v>1</v>
      </c>
      <c r="E3627" s="294" t="s">
        <v>23464</v>
      </c>
      <c r="F3627" s="295" t="str">
        <f>IFERROR(__xludf.DUMMYFUNCTION("IF(B3627="""","""",IFERROR(VLOOKUP(TO_TEXT(B3627),PEDIDOS!D:I,6,0),IFERROR(VLOOKUP(B3627*1,PEDIDOS!D:I,6,0),"" "")))"),"ENTREGUE")</f>
        <v>ENTREGUE</v>
      </c>
      <c r="G3627" s="307"/>
      <c r="H3627" s="304"/>
    </row>
    <row r="3628">
      <c r="A3628" s="302" t="s">
        <v>112</v>
      </c>
      <c r="B3628" s="291" t="s">
        <v>19394</v>
      </c>
      <c r="C3628" s="292" t="s">
        <v>48</v>
      </c>
      <c r="D3628" s="293">
        <f t="shared" si="2"/>
        <v>1</v>
      </c>
      <c r="E3628" s="294" t="s">
        <v>23464</v>
      </c>
      <c r="F3628" s="295" t="str">
        <f>IFERROR(__xludf.DUMMYFUNCTION("IF(B3628="""","""",IFERROR(VLOOKUP(TO_TEXT(B3628),PEDIDOS!D:I,6,0),IFERROR(VLOOKUP(B3628*1,PEDIDOS!D:I,6,0),"" "")))"),"ENTREGUE")</f>
        <v>ENTREGUE</v>
      </c>
      <c r="G3628" s="307"/>
      <c r="H3628" s="304"/>
    </row>
    <row r="3629">
      <c r="A3629" s="302" t="s">
        <v>112</v>
      </c>
      <c r="B3629" s="291" t="s">
        <v>19675</v>
      </c>
      <c r="C3629" s="292" t="s">
        <v>48</v>
      </c>
      <c r="D3629" s="293">
        <f t="shared" si="2"/>
        <v>1</v>
      </c>
      <c r="E3629" s="294" t="s">
        <v>23464</v>
      </c>
      <c r="F3629" s="295" t="str">
        <f>IFERROR(__xludf.DUMMYFUNCTION("IF(B3629="""","""",IFERROR(VLOOKUP(TO_TEXT(B3629),PEDIDOS!D:I,6,0),IFERROR(VLOOKUP(B3629*1,PEDIDOS!D:I,6,0),"" "")))"),"ENTREGUE")</f>
        <v>ENTREGUE</v>
      </c>
      <c r="G3629" s="307"/>
      <c r="H3629" s="304"/>
    </row>
    <row r="3630">
      <c r="A3630" s="302" t="s">
        <v>112</v>
      </c>
      <c r="B3630" s="291" t="s">
        <v>19680</v>
      </c>
      <c r="C3630" s="292" t="s">
        <v>48</v>
      </c>
      <c r="D3630" s="293">
        <f t="shared" si="2"/>
        <v>1</v>
      </c>
      <c r="E3630" s="294" t="s">
        <v>23464</v>
      </c>
      <c r="F3630" s="295" t="str">
        <f>IFERROR(__xludf.DUMMYFUNCTION("IF(B3630="""","""",IFERROR(VLOOKUP(TO_TEXT(B3630),PEDIDOS!D:I,6,0),IFERROR(VLOOKUP(B3630*1,PEDIDOS!D:I,6,0),"" "")))"),"ENTREGUE")</f>
        <v>ENTREGUE</v>
      </c>
      <c r="G3630" s="307"/>
      <c r="H3630" s="304"/>
    </row>
    <row r="3631">
      <c r="A3631" s="302" t="s">
        <v>112</v>
      </c>
      <c r="B3631" s="291" t="s">
        <v>19876</v>
      </c>
      <c r="C3631" s="292" t="s">
        <v>48</v>
      </c>
      <c r="D3631" s="293">
        <f t="shared" si="2"/>
        <v>1</v>
      </c>
      <c r="E3631" s="294" t="s">
        <v>23464</v>
      </c>
      <c r="F3631" s="295" t="str">
        <f>IFERROR(__xludf.DUMMYFUNCTION("IF(B3631="""","""",IFERROR(VLOOKUP(TO_TEXT(B3631),PEDIDOS!D:I,6,0),IFERROR(VLOOKUP(B3631*1,PEDIDOS!D:I,6,0),"" "")))"),"ENTREGUE")</f>
        <v>ENTREGUE</v>
      </c>
      <c r="G3631" s="307"/>
      <c r="H3631" s="304"/>
    </row>
    <row r="3632">
      <c r="A3632" s="302" t="s">
        <v>112</v>
      </c>
      <c r="B3632" s="291" t="s">
        <v>20241</v>
      </c>
      <c r="C3632" s="292" t="s">
        <v>48</v>
      </c>
      <c r="D3632" s="293">
        <f t="shared" si="2"/>
        <v>1</v>
      </c>
      <c r="E3632" s="294" t="s">
        <v>23464</v>
      </c>
      <c r="F3632" s="295" t="str">
        <f>IFERROR(__xludf.DUMMYFUNCTION("IF(B3632="""","""",IFERROR(VLOOKUP(TO_TEXT(B3632),PEDIDOS!D:I,6,0),IFERROR(VLOOKUP(B3632*1,PEDIDOS!D:I,6,0),"" "")))"),"ENTREGUE")</f>
        <v>ENTREGUE</v>
      </c>
      <c r="G3632" s="307"/>
      <c r="H3632" s="304"/>
    </row>
    <row r="3633">
      <c r="A3633" s="302" t="s">
        <v>112</v>
      </c>
      <c r="B3633" s="291" t="s">
        <v>20202</v>
      </c>
      <c r="C3633" s="292" t="s">
        <v>48</v>
      </c>
      <c r="D3633" s="293">
        <f t="shared" si="2"/>
        <v>1</v>
      </c>
      <c r="E3633" s="294" t="s">
        <v>23464</v>
      </c>
      <c r="F3633" s="295" t="str">
        <f>IFERROR(__xludf.DUMMYFUNCTION("IF(B3633="""","""",IFERROR(VLOOKUP(TO_TEXT(B3633),PEDIDOS!D:I,6,0),IFERROR(VLOOKUP(B3633*1,PEDIDOS!D:I,6,0),"" "")))"),"ENTREGUE")</f>
        <v>ENTREGUE</v>
      </c>
      <c r="G3633" s="307"/>
      <c r="H3633" s="304"/>
    </row>
    <row r="3634">
      <c r="A3634" s="302" t="s">
        <v>112</v>
      </c>
      <c r="B3634" s="291" t="s">
        <v>19684</v>
      </c>
      <c r="C3634" s="292" t="s">
        <v>48</v>
      </c>
      <c r="D3634" s="293">
        <f t="shared" si="2"/>
        <v>1</v>
      </c>
      <c r="E3634" s="294" t="s">
        <v>23464</v>
      </c>
      <c r="F3634" s="295" t="str">
        <f>IFERROR(__xludf.DUMMYFUNCTION("IF(B3634="""","""",IFERROR(VLOOKUP(TO_TEXT(B3634),PEDIDOS!D:I,6,0),IFERROR(VLOOKUP(B3634*1,PEDIDOS!D:I,6,0),"" "")))"),"ENTREGUE")</f>
        <v>ENTREGUE</v>
      </c>
      <c r="G3634" s="307"/>
      <c r="H3634" s="304"/>
    </row>
    <row r="3635">
      <c r="A3635" s="302" t="s">
        <v>112</v>
      </c>
      <c r="B3635" s="291" t="s">
        <v>20335</v>
      </c>
      <c r="C3635" s="292" t="s">
        <v>48</v>
      </c>
      <c r="D3635" s="293">
        <f t="shared" si="2"/>
        <v>1</v>
      </c>
      <c r="E3635" s="294" t="s">
        <v>23464</v>
      </c>
      <c r="F3635" s="295" t="str">
        <f>IFERROR(__xludf.DUMMYFUNCTION("IF(B3635="""","""",IFERROR(VLOOKUP(TO_TEXT(B3635),PEDIDOS!D:I,6,0),IFERROR(VLOOKUP(B3635*1,PEDIDOS!D:I,6,0),"" "")))"),"ENTREGUE")</f>
        <v>ENTREGUE</v>
      </c>
      <c r="G3635" s="307"/>
      <c r="H3635" s="304"/>
    </row>
    <row r="3636">
      <c r="A3636" s="302" t="s">
        <v>112</v>
      </c>
      <c r="B3636" s="291" t="s">
        <v>20344</v>
      </c>
      <c r="C3636" s="292" t="s">
        <v>48</v>
      </c>
      <c r="D3636" s="293">
        <f t="shared" si="2"/>
        <v>1</v>
      </c>
      <c r="E3636" s="294" t="s">
        <v>23464</v>
      </c>
      <c r="F3636" s="295" t="str">
        <f>IFERROR(__xludf.DUMMYFUNCTION("IF(B3636="""","""",IFERROR(VLOOKUP(TO_TEXT(B3636),PEDIDOS!D:I,6,0),IFERROR(VLOOKUP(B3636*1,PEDIDOS!D:I,6,0),"" "")))"),"ENTREGUE")</f>
        <v>ENTREGUE</v>
      </c>
      <c r="G3636" s="307"/>
      <c r="H3636" s="304"/>
    </row>
    <row r="3637">
      <c r="A3637" s="302" t="s">
        <v>47</v>
      </c>
      <c r="B3637" s="291" t="s">
        <v>19976</v>
      </c>
      <c r="C3637" s="292" t="s">
        <v>48</v>
      </c>
      <c r="D3637" s="293">
        <f t="shared" si="2"/>
        <v>1</v>
      </c>
      <c r="E3637" s="294" t="s">
        <v>23464</v>
      </c>
      <c r="F3637" s="295" t="str">
        <f>IFERROR(__xludf.DUMMYFUNCTION("IF(B3637="""","""",IFERROR(VLOOKUP(TO_TEXT(B3637),PEDIDOS!D:I,6,0),IFERROR(VLOOKUP(B3637*1,PEDIDOS!D:I,6,0),"" "")))"),"ENTREGUE")</f>
        <v>ENTREGUE</v>
      </c>
      <c r="G3637" s="307"/>
      <c r="H3637" s="304"/>
    </row>
    <row r="3638">
      <c r="A3638" s="302" t="s">
        <v>47</v>
      </c>
      <c r="B3638" s="291" t="s">
        <v>19981</v>
      </c>
      <c r="C3638" s="292" t="s">
        <v>48</v>
      </c>
      <c r="D3638" s="293">
        <f t="shared" si="2"/>
        <v>1</v>
      </c>
      <c r="E3638" s="294" t="s">
        <v>23464</v>
      </c>
      <c r="F3638" s="295" t="str">
        <f>IFERROR(__xludf.DUMMYFUNCTION("IF(B3638="""","""",IFERROR(VLOOKUP(TO_TEXT(B3638),PEDIDOS!D:I,6,0),IFERROR(VLOOKUP(B3638*1,PEDIDOS!D:I,6,0),"" "")))"),"ENTREGUE")</f>
        <v>ENTREGUE</v>
      </c>
      <c r="G3638" s="307"/>
      <c r="H3638" s="304"/>
    </row>
    <row r="3639">
      <c r="A3639" s="302" t="s">
        <v>47</v>
      </c>
      <c r="B3639" s="291" t="s">
        <v>18310</v>
      </c>
      <c r="C3639" s="292" t="s">
        <v>48</v>
      </c>
      <c r="D3639" s="293">
        <f t="shared" si="2"/>
        <v>1</v>
      </c>
      <c r="E3639" s="294" t="s">
        <v>23464</v>
      </c>
      <c r="F3639" s="295" t="str">
        <f>IFERROR(__xludf.DUMMYFUNCTION("IF(B3639="""","""",IFERROR(VLOOKUP(TO_TEXT(B3639),PEDIDOS!D:I,6,0),IFERROR(VLOOKUP(B3639*1,PEDIDOS!D:I,6,0),"" "")))"),"ENTREGUE")</f>
        <v>ENTREGUE</v>
      </c>
      <c r="G3639" s="307"/>
      <c r="H3639" s="304"/>
    </row>
    <row r="3640">
      <c r="A3640" s="302" t="s">
        <v>47</v>
      </c>
      <c r="B3640" s="291" t="s">
        <v>20189</v>
      </c>
      <c r="C3640" s="292" t="s">
        <v>48</v>
      </c>
      <c r="D3640" s="293">
        <f t="shared" si="2"/>
        <v>1</v>
      </c>
      <c r="E3640" s="294" t="s">
        <v>23464</v>
      </c>
      <c r="F3640" s="295" t="str">
        <f>IFERROR(__xludf.DUMMYFUNCTION("IF(B3640="""","""",IFERROR(VLOOKUP(TO_TEXT(B3640),PEDIDOS!D:I,6,0),IFERROR(VLOOKUP(B3640*1,PEDIDOS!D:I,6,0),"" "")))"),"ENTREGUE")</f>
        <v>ENTREGUE</v>
      </c>
      <c r="G3640" s="307"/>
      <c r="H3640" s="304"/>
    </row>
    <row r="3641">
      <c r="A3641" s="302" t="s">
        <v>47</v>
      </c>
      <c r="B3641" s="291" t="s">
        <v>20194</v>
      </c>
      <c r="C3641" s="292" t="s">
        <v>48</v>
      </c>
      <c r="D3641" s="293">
        <f t="shared" si="2"/>
        <v>1</v>
      </c>
      <c r="E3641" s="294" t="s">
        <v>23464</v>
      </c>
      <c r="F3641" s="295" t="str">
        <f>IFERROR(__xludf.DUMMYFUNCTION("IF(B3641="""","""",IFERROR(VLOOKUP(TO_TEXT(B3641),PEDIDOS!D:I,6,0),IFERROR(VLOOKUP(B3641*1,PEDIDOS!D:I,6,0),"" "")))"),"ENTREGUE")</f>
        <v>ENTREGUE</v>
      </c>
      <c r="G3641" s="307"/>
      <c r="H3641" s="304"/>
    </row>
    <row r="3642">
      <c r="A3642" s="302" t="s">
        <v>47</v>
      </c>
      <c r="B3642" s="291" t="s">
        <v>20198</v>
      </c>
      <c r="C3642" s="292" t="s">
        <v>48</v>
      </c>
      <c r="D3642" s="293">
        <f t="shared" si="2"/>
        <v>1</v>
      </c>
      <c r="E3642" s="294" t="s">
        <v>23464</v>
      </c>
      <c r="F3642" s="295" t="str">
        <f>IFERROR(__xludf.DUMMYFUNCTION("IF(B3642="""","""",IFERROR(VLOOKUP(TO_TEXT(B3642),PEDIDOS!D:I,6,0),IFERROR(VLOOKUP(B3642*1,PEDIDOS!D:I,6,0),"" "")))"),"ENTREGUE")</f>
        <v>ENTREGUE</v>
      </c>
      <c r="G3642" s="307"/>
      <c r="H3642" s="304"/>
    </row>
    <row r="3643">
      <c r="A3643" s="302" t="s">
        <v>47</v>
      </c>
      <c r="B3643" s="291" t="s">
        <v>20317</v>
      </c>
      <c r="C3643" s="292" t="s">
        <v>48</v>
      </c>
      <c r="D3643" s="293">
        <f t="shared" si="2"/>
        <v>1</v>
      </c>
      <c r="E3643" s="294" t="s">
        <v>23464</v>
      </c>
      <c r="F3643" s="295" t="str">
        <f>IFERROR(__xludf.DUMMYFUNCTION("IF(B3643="""","""",IFERROR(VLOOKUP(TO_TEXT(B3643),PEDIDOS!D:I,6,0),IFERROR(VLOOKUP(B3643*1,PEDIDOS!D:I,6,0),"" "")))"),"ENTREGUE")</f>
        <v>ENTREGUE</v>
      </c>
      <c r="G3643" s="307"/>
      <c r="H3643" s="304"/>
    </row>
    <row r="3644">
      <c r="A3644" s="302" t="s">
        <v>47</v>
      </c>
      <c r="B3644" s="291" t="s">
        <v>20312</v>
      </c>
      <c r="C3644" s="292" t="s">
        <v>48</v>
      </c>
      <c r="D3644" s="293">
        <f t="shared" si="2"/>
        <v>1</v>
      </c>
      <c r="E3644" s="294" t="s">
        <v>23464</v>
      </c>
      <c r="F3644" s="295" t="str">
        <f>IFERROR(__xludf.DUMMYFUNCTION("IF(B3644="""","""",IFERROR(VLOOKUP(TO_TEXT(B3644),PEDIDOS!D:I,6,0),IFERROR(VLOOKUP(B3644*1,PEDIDOS!D:I,6,0),"" "")))"),"ENTREGUE")</f>
        <v>ENTREGUE</v>
      </c>
      <c r="G3644" s="307"/>
      <c r="H3644" s="304"/>
    </row>
    <row r="3645">
      <c r="A3645" s="302" t="s">
        <v>47</v>
      </c>
      <c r="B3645" s="291" t="s">
        <v>20428</v>
      </c>
      <c r="C3645" s="292" t="s">
        <v>48</v>
      </c>
      <c r="D3645" s="293">
        <f t="shared" si="2"/>
        <v>1</v>
      </c>
      <c r="E3645" s="294" t="s">
        <v>23464</v>
      </c>
      <c r="F3645" s="295" t="str">
        <f>IFERROR(__xludf.DUMMYFUNCTION("IF(B3645="""","""",IFERROR(VLOOKUP(TO_TEXT(B3645),PEDIDOS!D:I,6,0),IFERROR(VLOOKUP(B3645*1,PEDIDOS!D:I,6,0),"" "")))"),"ENTREGUE")</f>
        <v>ENTREGUE</v>
      </c>
      <c r="G3645" s="307"/>
      <c r="H3645" s="304"/>
    </row>
    <row r="3646">
      <c r="A3646" s="302" t="s">
        <v>47</v>
      </c>
      <c r="B3646" s="291" t="s">
        <v>20464</v>
      </c>
      <c r="C3646" s="292" t="s">
        <v>48</v>
      </c>
      <c r="D3646" s="293">
        <f t="shared" si="2"/>
        <v>1</v>
      </c>
      <c r="E3646" s="294" t="s">
        <v>23464</v>
      </c>
      <c r="F3646" s="295" t="str">
        <f>IFERROR(__xludf.DUMMYFUNCTION("IF(B3646="""","""",IFERROR(VLOOKUP(TO_TEXT(B3646),PEDIDOS!D:I,6,0),IFERROR(VLOOKUP(B3646*1,PEDIDOS!D:I,6,0),"" "")))"),"ENTREGUE")</f>
        <v>ENTREGUE</v>
      </c>
      <c r="G3646" s="307"/>
      <c r="H3646" s="304"/>
    </row>
    <row r="3647">
      <c r="A3647" s="302" t="s">
        <v>47</v>
      </c>
      <c r="B3647" s="291" t="s">
        <v>20468</v>
      </c>
      <c r="C3647" s="292" t="s">
        <v>48</v>
      </c>
      <c r="D3647" s="293">
        <f t="shared" si="2"/>
        <v>1</v>
      </c>
      <c r="E3647" s="294" t="s">
        <v>23464</v>
      </c>
      <c r="F3647" s="295" t="str">
        <f>IFERROR(__xludf.DUMMYFUNCTION("IF(B3647="""","""",IFERROR(VLOOKUP(TO_TEXT(B3647),PEDIDOS!D:I,6,0),IFERROR(VLOOKUP(B3647*1,PEDIDOS!D:I,6,0),"" "")))"),"ENTREGUE")</f>
        <v>ENTREGUE</v>
      </c>
      <c r="G3647" s="307"/>
      <c r="H3647" s="304"/>
    </row>
    <row r="3648">
      <c r="A3648" s="302" t="s">
        <v>47</v>
      </c>
      <c r="B3648" s="291" t="s">
        <v>20369</v>
      </c>
      <c r="C3648" s="292" t="s">
        <v>48</v>
      </c>
      <c r="D3648" s="293">
        <f t="shared" si="2"/>
        <v>1</v>
      </c>
      <c r="E3648" s="294" t="s">
        <v>23464</v>
      </c>
      <c r="F3648" s="295" t="str">
        <f>IFERROR(__xludf.DUMMYFUNCTION("IF(B3648="""","""",IFERROR(VLOOKUP(TO_TEXT(B3648),PEDIDOS!D:I,6,0),IFERROR(VLOOKUP(B3648*1,PEDIDOS!D:I,6,0),"" "")))"),"ENTREGUE")</f>
        <v>ENTREGUE</v>
      </c>
      <c r="G3648" s="307"/>
      <c r="H3648" s="304"/>
    </row>
    <row r="3649">
      <c r="A3649" s="302" t="s">
        <v>47</v>
      </c>
      <c r="B3649" s="291" t="s">
        <v>20374</v>
      </c>
      <c r="C3649" s="292" t="s">
        <v>48</v>
      </c>
      <c r="D3649" s="293">
        <f t="shared" si="2"/>
        <v>1</v>
      </c>
      <c r="E3649" s="294" t="s">
        <v>23464</v>
      </c>
      <c r="F3649" s="295" t="str">
        <f>IFERROR(__xludf.DUMMYFUNCTION("IF(B3649="""","""",IFERROR(VLOOKUP(TO_TEXT(B3649),PEDIDOS!D:I,6,0),IFERROR(VLOOKUP(B3649*1,PEDIDOS!D:I,6,0),"" "")))"),"ENTREGUE")</f>
        <v>ENTREGUE</v>
      </c>
      <c r="G3649" s="307"/>
      <c r="H3649" s="304"/>
    </row>
    <row r="3650">
      <c r="A3650" s="302" t="s">
        <v>47</v>
      </c>
      <c r="B3650" s="291" t="s">
        <v>20623</v>
      </c>
      <c r="C3650" s="292" t="s">
        <v>48</v>
      </c>
      <c r="D3650" s="293">
        <f t="shared" si="2"/>
        <v>1</v>
      </c>
      <c r="E3650" s="294" t="s">
        <v>23464</v>
      </c>
      <c r="F3650" s="295" t="str">
        <f>IFERROR(__xludf.DUMMYFUNCTION("IF(B3650="""","""",IFERROR(VLOOKUP(TO_TEXT(B3650),PEDIDOS!D:I,6,0),IFERROR(VLOOKUP(B3650*1,PEDIDOS!D:I,6,0),"" "")))"),"ENTREGUE")</f>
        <v>ENTREGUE</v>
      </c>
      <c r="G3650" s="307"/>
      <c r="H3650" s="304"/>
    </row>
    <row r="3651">
      <c r="A3651" s="302" t="s">
        <v>47</v>
      </c>
      <c r="B3651" s="291" t="s">
        <v>20496</v>
      </c>
      <c r="C3651" s="292" t="s">
        <v>48</v>
      </c>
      <c r="D3651" s="293">
        <f t="shared" si="2"/>
        <v>1</v>
      </c>
      <c r="E3651" s="294" t="s">
        <v>23464</v>
      </c>
      <c r="F3651" s="295" t="str">
        <f>IFERROR(__xludf.DUMMYFUNCTION("IF(B3651="""","""",IFERROR(VLOOKUP(TO_TEXT(B3651),PEDIDOS!D:I,6,0),IFERROR(VLOOKUP(B3651*1,PEDIDOS!D:I,6,0),"" "")))"),"ENTREGUE")</f>
        <v>ENTREGUE</v>
      </c>
      <c r="G3651" s="307"/>
      <c r="H3651" s="304"/>
    </row>
    <row r="3652">
      <c r="A3652" s="302" t="s">
        <v>47</v>
      </c>
      <c r="B3652" s="291" t="s">
        <v>21031</v>
      </c>
      <c r="C3652" s="292" t="s">
        <v>48</v>
      </c>
      <c r="D3652" s="293">
        <f t="shared" si="2"/>
        <v>1</v>
      </c>
      <c r="E3652" s="294" t="s">
        <v>23464</v>
      </c>
      <c r="F3652" s="295" t="str">
        <f>IFERROR(__xludf.DUMMYFUNCTION("IF(B3652="""","""",IFERROR(VLOOKUP(TO_TEXT(B3652),PEDIDOS!D:I,6,0),IFERROR(VLOOKUP(B3652*1,PEDIDOS!D:I,6,0),"" "")))"),"ENTREGUE")</f>
        <v>ENTREGUE</v>
      </c>
      <c r="G3652" s="307"/>
      <c r="H3652" s="304"/>
    </row>
    <row r="3653">
      <c r="A3653" s="302" t="s">
        <v>47</v>
      </c>
      <c r="B3653" s="291" t="s">
        <v>16406</v>
      </c>
      <c r="C3653" s="292" t="s">
        <v>48</v>
      </c>
      <c r="D3653" s="293">
        <f t="shared" si="2"/>
        <v>1</v>
      </c>
      <c r="E3653" s="294" t="s">
        <v>23464</v>
      </c>
      <c r="F3653" s="295" t="str">
        <f>IFERROR(__xludf.DUMMYFUNCTION("IF(B3653="""","""",IFERROR(VLOOKUP(TO_TEXT(B3653),PEDIDOS!D:I,6,0),IFERROR(VLOOKUP(B3653*1,PEDIDOS!D:I,6,0),"" "")))"),"ENTREGUE")</f>
        <v>ENTREGUE</v>
      </c>
      <c r="G3653" s="307"/>
      <c r="H3653" s="304"/>
    </row>
    <row r="3654">
      <c r="A3654" s="302" t="s">
        <v>47</v>
      </c>
      <c r="B3654" s="291" t="s">
        <v>20902</v>
      </c>
      <c r="C3654" s="292" t="s">
        <v>48</v>
      </c>
      <c r="D3654" s="293">
        <f t="shared" si="2"/>
        <v>1</v>
      </c>
      <c r="E3654" s="294" t="s">
        <v>23464</v>
      </c>
      <c r="F3654" s="295" t="str">
        <f>IFERROR(__xludf.DUMMYFUNCTION("IF(B3654="""","""",IFERROR(VLOOKUP(TO_TEXT(B3654),PEDIDOS!D:I,6,0),IFERROR(VLOOKUP(B3654*1,PEDIDOS!D:I,6,0),"" "")))"),"ENTREGUE")</f>
        <v>ENTREGUE</v>
      </c>
      <c r="G3654" s="307"/>
      <c r="H3654" s="304"/>
    </row>
    <row r="3655">
      <c r="A3655" s="302" t="s">
        <v>47</v>
      </c>
      <c r="B3655" s="291" t="s">
        <v>20968</v>
      </c>
      <c r="C3655" s="292" t="s">
        <v>48</v>
      </c>
      <c r="D3655" s="293">
        <f t="shared" si="2"/>
        <v>1</v>
      </c>
      <c r="E3655" s="294" t="s">
        <v>23464</v>
      </c>
      <c r="F3655" s="295" t="str">
        <f>IFERROR(__xludf.DUMMYFUNCTION("IF(B3655="""","""",IFERROR(VLOOKUP(TO_TEXT(B3655),PEDIDOS!D:I,6,0),IFERROR(VLOOKUP(B3655*1,PEDIDOS!D:I,6,0),"" "")))"),"ENTREGUE")</f>
        <v>ENTREGUE</v>
      </c>
      <c r="G3655" s="307"/>
      <c r="H3655" s="304"/>
    </row>
    <row r="3656">
      <c r="A3656" s="302" t="s">
        <v>47</v>
      </c>
      <c r="B3656" s="291" t="s">
        <v>20393</v>
      </c>
      <c r="C3656" s="292" t="s">
        <v>48</v>
      </c>
      <c r="D3656" s="293">
        <f t="shared" si="2"/>
        <v>1</v>
      </c>
      <c r="E3656" s="294" t="s">
        <v>23464</v>
      </c>
      <c r="F3656" s="295" t="str">
        <f>IFERROR(__xludf.DUMMYFUNCTION("IF(B3656="""","""",IFERROR(VLOOKUP(TO_TEXT(B3656),PEDIDOS!D:I,6,0),IFERROR(VLOOKUP(B3656*1,PEDIDOS!D:I,6,0),"" "")))"),"ENTREGUE")</f>
        <v>ENTREGUE</v>
      </c>
      <c r="G3656" s="307"/>
      <c r="H3656" s="304"/>
    </row>
    <row r="3657">
      <c r="A3657" s="302" t="s">
        <v>4430</v>
      </c>
      <c r="B3657" s="291" t="s">
        <v>18893</v>
      </c>
      <c r="C3657" s="292" t="s">
        <v>48</v>
      </c>
      <c r="D3657" s="293">
        <f t="shared" si="2"/>
        <v>1</v>
      </c>
      <c r="E3657" s="294" t="s">
        <v>23464</v>
      </c>
      <c r="F3657" s="295" t="str">
        <f>IFERROR(__xludf.DUMMYFUNCTION("IF(B3657="""","""",IFERROR(VLOOKUP(TO_TEXT(B3657),PEDIDOS!D:I,6,0),IFERROR(VLOOKUP(B3657*1,PEDIDOS!D:I,6,0),"" "")))"),"ENTREGUE")</f>
        <v>ENTREGUE</v>
      </c>
      <c r="G3657" s="307"/>
      <c r="H3657" s="304"/>
    </row>
    <row r="3658">
      <c r="A3658" s="302" t="s">
        <v>4430</v>
      </c>
      <c r="B3658" s="291" t="s">
        <v>18938</v>
      </c>
      <c r="C3658" s="292" t="s">
        <v>48</v>
      </c>
      <c r="D3658" s="293">
        <f t="shared" si="2"/>
        <v>1</v>
      </c>
      <c r="E3658" s="294" t="s">
        <v>23464</v>
      </c>
      <c r="F3658" s="295" t="str">
        <f>IFERROR(__xludf.DUMMYFUNCTION("IF(B3658="""","""",IFERROR(VLOOKUP(TO_TEXT(B3658),PEDIDOS!D:I,6,0),IFERROR(VLOOKUP(B3658*1,PEDIDOS!D:I,6,0),"" "")))"),"ENTREGUE")</f>
        <v>ENTREGUE</v>
      </c>
      <c r="G3658" s="307"/>
      <c r="H3658" s="304"/>
    </row>
    <row r="3659">
      <c r="A3659" s="302" t="s">
        <v>4430</v>
      </c>
      <c r="B3659" s="291" t="s">
        <v>18988</v>
      </c>
      <c r="C3659" s="292" t="s">
        <v>48</v>
      </c>
      <c r="D3659" s="293">
        <f t="shared" si="2"/>
        <v>1</v>
      </c>
      <c r="E3659" s="294" t="s">
        <v>23464</v>
      </c>
      <c r="F3659" s="295" t="str">
        <f>IFERROR(__xludf.DUMMYFUNCTION("IF(B3659="""","""",IFERROR(VLOOKUP(TO_TEXT(B3659),PEDIDOS!D:I,6,0),IFERROR(VLOOKUP(B3659*1,PEDIDOS!D:I,6,0),"" "")))"),"ENTREGUE")</f>
        <v>ENTREGUE</v>
      </c>
      <c r="G3659" s="307"/>
      <c r="H3659" s="304"/>
    </row>
    <row r="3660">
      <c r="A3660" s="302" t="s">
        <v>4430</v>
      </c>
      <c r="B3660" s="291" t="s">
        <v>18993</v>
      </c>
      <c r="C3660" s="292" t="s">
        <v>48</v>
      </c>
      <c r="D3660" s="293">
        <f t="shared" si="2"/>
        <v>1</v>
      </c>
      <c r="E3660" s="294" t="s">
        <v>23464</v>
      </c>
      <c r="F3660" s="295" t="str">
        <f>IFERROR(__xludf.DUMMYFUNCTION("IF(B3660="""","""",IFERROR(VLOOKUP(TO_TEXT(B3660),PEDIDOS!D:I,6,0),IFERROR(VLOOKUP(B3660*1,PEDIDOS!D:I,6,0),"" "")))"),"ENTREGUE")</f>
        <v>ENTREGUE</v>
      </c>
      <c r="G3660" s="307"/>
      <c r="H3660" s="304"/>
    </row>
    <row r="3661">
      <c r="A3661" s="302" t="s">
        <v>4430</v>
      </c>
      <c r="B3661" s="291" t="s">
        <v>19592</v>
      </c>
      <c r="C3661" s="292" t="s">
        <v>48</v>
      </c>
      <c r="D3661" s="293">
        <f t="shared" si="2"/>
        <v>1</v>
      </c>
      <c r="E3661" s="294" t="s">
        <v>23464</v>
      </c>
      <c r="F3661" s="295" t="str">
        <f>IFERROR(__xludf.DUMMYFUNCTION("IF(B3661="""","""",IFERROR(VLOOKUP(TO_TEXT(B3661),PEDIDOS!D:I,6,0),IFERROR(VLOOKUP(B3661*1,PEDIDOS!D:I,6,0),"" "")))"),"ENTREGUE")</f>
        <v>ENTREGUE</v>
      </c>
      <c r="G3661" s="307"/>
      <c r="H3661" s="304"/>
    </row>
    <row r="3662">
      <c r="A3662" s="302" t="s">
        <v>4430</v>
      </c>
      <c r="B3662" s="291" t="s">
        <v>19863</v>
      </c>
      <c r="C3662" s="292" t="s">
        <v>48</v>
      </c>
      <c r="D3662" s="293">
        <f t="shared" si="2"/>
        <v>1</v>
      </c>
      <c r="E3662" s="294" t="s">
        <v>23464</v>
      </c>
      <c r="F3662" s="295" t="str">
        <f>IFERROR(__xludf.DUMMYFUNCTION("IF(B3662="""","""",IFERROR(VLOOKUP(TO_TEXT(B3662),PEDIDOS!D:I,6,0),IFERROR(VLOOKUP(B3662*1,PEDIDOS!D:I,6,0),"" "")))"),"ENTREGUE")</f>
        <v>ENTREGUE</v>
      </c>
      <c r="G3662" s="307"/>
      <c r="H3662" s="304"/>
    </row>
    <row r="3663">
      <c r="A3663" s="302" t="s">
        <v>4430</v>
      </c>
      <c r="B3663" s="291" t="s">
        <v>19389</v>
      </c>
      <c r="C3663" s="292" t="s">
        <v>48</v>
      </c>
      <c r="D3663" s="293">
        <f t="shared" si="2"/>
        <v>1</v>
      </c>
      <c r="E3663" s="294" t="s">
        <v>23464</v>
      </c>
      <c r="F3663" s="295" t="str">
        <f>IFERROR(__xludf.DUMMYFUNCTION("IF(B3663="""","""",IFERROR(VLOOKUP(TO_TEXT(B3663),PEDIDOS!D:I,6,0),IFERROR(VLOOKUP(B3663*1,PEDIDOS!D:I,6,0),"" "")))"),"ENTREGUE")</f>
        <v>ENTREGUE</v>
      </c>
      <c r="G3663" s="307"/>
      <c r="H3663" s="304"/>
    </row>
    <row r="3664">
      <c r="A3664" s="302" t="s">
        <v>4430</v>
      </c>
      <c r="B3664" s="291" t="s">
        <v>20016</v>
      </c>
      <c r="C3664" s="292" t="s">
        <v>48</v>
      </c>
      <c r="D3664" s="293">
        <f t="shared" si="2"/>
        <v>1</v>
      </c>
      <c r="E3664" s="294" t="s">
        <v>23464</v>
      </c>
      <c r="F3664" s="295" t="str">
        <f>IFERROR(__xludf.DUMMYFUNCTION("IF(B3664="""","""",IFERROR(VLOOKUP(TO_TEXT(B3664),PEDIDOS!D:I,6,0),IFERROR(VLOOKUP(B3664*1,PEDIDOS!D:I,6,0),"" "")))"),"ENTREGUE")</f>
        <v>ENTREGUE</v>
      </c>
      <c r="G3664" s="307"/>
      <c r="H3664" s="304"/>
    </row>
    <row r="3665">
      <c r="A3665" s="302" t="s">
        <v>4430</v>
      </c>
      <c r="B3665" s="291" t="s">
        <v>20011</v>
      </c>
      <c r="C3665" s="292" t="s">
        <v>48</v>
      </c>
      <c r="D3665" s="293">
        <f t="shared" si="2"/>
        <v>1</v>
      </c>
      <c r="E3665" s="294" t="s">
        <v>23464</v>
      </c>
      <c r="F3665" s="295" t="str">
        <f>IFERROR(__xludf.DUMMYFUNCTION("IF(B3665="""","""",IFERROR(VLOOKUP(TO_TEXT(B3665),PEDIDOS!D:I,6,0),IFERROR(VLOOKUP(B3665*1,PEDIDOS!D:I,6,0),"" "")))"),"ENTREGUE")</f>
        <v>ENTREGUE</v>
      </c>
      <c r="G3665" s="307"/>
      <c r="H3665" s="304"/>
    </row>
    <row r="3666">
      <c r="A3666" s="302" t="s">
        <v>4430</v>
      </c>
      <c r="B3666" s="291" t="s">
        <v>20307</v>
      </c>
      <c r="C3666" s="292" t="s">
        <v>48</v>
      </c>
      <c r="D3666" s="293">
        <f t="shared" si="2"/>
        <v>1</v>
      </c>
      <c r="E3666" s="294" t="s">
        <v>23464</v>
      </c>
      <c r="F3666" s="295" t="str">
        <f>IFERROR(__xludf.DUMMYFUNCTION("IF(B3666="""","""",IFERROR(VLOOKUP(TO_TEXT(B3666),PEDIDOS!D:I,6,0),IFERROR(VLOOKUP(B3666*1,PEDIDOS!D:I,6,0),"" "")))"),"ENTREGUE")</f>
        <v>ENTREGUE</v>
      </c>
      <c r="G3666" s="307"/>
      <c r="H3666" s="304"/>
    </row>
    <row r="3667">
      <c r="A3667" s="302" t="s">
        <v>19952</v>
      </c>
      <c r="B3667" s="291" t="s">
        <v>23507</v>
      </c>
      <c r="C3667" s="292" t="s">
        <v>48</v>
      </c>
      <c r="D3667" s="293">
        <f t="shared" si="2"/>
        <v>0</v>
      </c>
      <c r="E3667" s="294"/>
      <c r="F3667" s="295" t="str">
        <f>IFERROR(__xludf.DUMMYFUNCTION("IF(B3667="""","""",IFERROR(VLOOKUP(TO_TEXT(B3667),PEDIDOS!D:I,6,0),IFERROR(VLOOKUP(B3667*1,PEDIDOS!D:I,6,0),"" "")))")," ")</f>
        <v> </v>
      </c>
      <c r="G3667" s="303"/>
      <c r="H3667" s="304"/>
    </row>
    <row r="3668">
      <c r="A3668" s="302" t="s">
        <v>19952</v>
      </c>
      <c r="B3668" s="291" t="s">
        <v>23508</v>
      </c>
      <c r="C3668" s="292" t="s">
        <v>48</v>
      </c>
      <c r="D3668" s="293">
        <f t="shared" si="2"/>
        <v>0</v>
      </c>
      <c r="E3668" s="294"/>
      <c r="F3668" s="295" t="str">
        <f>IFERROR(__xludf.DUMMYFUNCTION("IF(B3668="""","""",IFERROR(VLOOKUP(TO_TEXT(B3668),PEDIDOS!D:I,6,0),IFERROR(VLOOKUP(B3668*1,PEDIDOS!D:I,6,0),"" "")))")," ")</f>
        <v> </v>
      </c>
      <c r="G3668" s="303"/>
      <c r="H3668" s="304"/>
    </row>
    <row r="3669">
      <c r="A3669" s="302" t="s">
        <v>19952</v>
      </c>
      <c r="B3669" s="291" t="s">
        <v>23509</v>
      </c>
      <c r="C3669" s="292" t="s">
        <v>48</v>
      </c>
      <c r="D3669" s="293">
        <f t="shared" si="2"/>
        <v>0</v>
      </c>
      <c r="E3669" s="294"/>
      <c r="F3669" s="295" t="str">
        <f>IFERROR(__xludf.DUMMYFUNCTION("IF(B3669="""","""",IFERROR(VLOOKUP(TO_TEXT(B3669),PEDIDOS!D:I,6,0),IFERROR(VLOOKUP(B3669*1,PEDIDOS!D:I,6,0),"" "")))")," ")</f>
        <v> </v>
      </c>
      <c r="G3669" s="303"/>
      <c r="H3669" s="304"/>
    </row>
    <row r="3670">
      <c r="A3670" s="302" t="s">
        <v>19952</v>
      </c>
      <c r="B3670" s="291" t="s">
        <v>23510</v>
      </c>
      <c r="C3670" s="292" t="s">
        <v>48</v>
      </c>
      <c r="D3670" s="293">
        <f t="shared" si="2"/>
        <v>0</v>
      </c>
      <c r="E3670" s="294"/>
      <c r="F3670" s="295" t="str">
        <f>IFERROR(__xludf.DUMMYFUNCTION("IF(B3670="""","""",IFERROR(VLOOKUP(TO_TEXT(B3670),PEDIDOS!D:I,6,0),IFERROR(VLOOKUP(B3670*1,PEDIDOS!D:I,6,0),"" "")))")," ")</f>
        <v> </v>
      </c>
      <c r="G3670" s="303"/>
      <c r="H3670" s="304"/>
    </row>
    <row r="3671">
      <c r="A3671" s="302" t="s">
        <v>19952</v>
      </c>
      <c r="B3671" s="291" t="s">
        <v>23511</v>
      </c>
      <c r="C3671" s="292" t="s">
        <v>48</v>
      </c>
      <c r="D3671" s="293">
        <f t="shared" si="2"/>
        <v>0</v>
      </c>
      <c r="E3671" s="294"/>
      <c r="F3671" s="295" t="str">
        <f>IFERROR(__xludf.DUMMYFUNCTION("IF(B3671="""","""",IFERROR(VLOOKUP(TO_TEXT(B3671),PEDIDOS!D:I,6,0),IFERROR(VLOOKUP(B3671*1,PEDIDOS!D:I,6,0),"" "")))")," ")</f>
        <v> </v>
      </c>
      <c r="G3671" s="303"/>
      <c r="H3671" s="304"/>
    </row>
    <row r="3672">
      <c r="A3672" s="302" t="s">
        <v>19952</v>
      </c>
      <c r="B3672" s="291" t="s">
        <v>23512</v>
      </c>
      <c r="C3672" s="292" t="s">
        <v>48</v>
      </c>
      <c r="D3672" s="293">
        <f t="shared" si="2"/>
        <v>0</v>
      </c>
      <c r="E3672" s="294"/>
      <c r="F3672" s="295" t="str">
        <f>IFERROR(__xludf.DUMMYFUNCTION("IF(B3672="""","""",IFERROR(VLOOKUP(TO_TEXT(B3672),PEDIDOS!D:I,6,0),IFERROR(VLOOKUP(B3672*1,PEDIDOS!D:I,6,0),"" "")))")," ")</f>
        <v> </v>
      </c>
      <c r="G3672" s="303"/>
      <c r="H3672" s="304"/>
    </row>
    <row r="3673">
      <c r="A3673" s="302" t="s">
        <v>19952</v>
      </c>
      <c r="B3673" s="291" t="s">
        <v>23513</v>
      </c>
      <c r="C3673" s="292" t="s">
        <v>48</v>
      </c>
      <c r="D3673" s="293">
        <f t="shared" si="2"/>
        <v>0</v>
      </c>
      <c r="E3673" s="294"/>
      <c r="F3673" s="295" t="str">
        <f>IFERROR(__xludf.DUMMYFUNCTION("IF(B3673="""","""",IFERROR(VLOOKUP(TO_TEXT(B3673),PEDIDOS!D:I,6,0),IFERROR(VLOOKUP(B3673*1,PEDIDOS!D:I,6,0),"" "")))")," ")</f>
        <v> </v>
      </c>
      <c r="G3673" s="303"/>
      <c r="H3673" s="304"/>
    </row>
    <row r="3674">
      <c r="A3674" s="302" t="s">
        <v>19952</v>
      </c>
      <c r="B3674" s="291" t="s">
        <v>23514</v>
      </c>
      <c r="C3674" s="292" t="s">
        <v>48</v>
      </c>
      <c r="D3674" s="293">
        <f t="shared" si="2"/>
        <v>0</v>
      </c>
      <c r="E3674" s="294"/>
      <c r="F3674" s="295" t="str">
        <f>IFERROR(__xludf.DUMMYFUNCTION("IF(B3674="""","""",IFERROR(VLOOKUP(TO_TEXT(B3674),PEDIDOS!D:I,6,0),IFERROR(VLOOKUP(B3674*1,PEDIDOS!D:I,6,0),"" "")))")," ")</f>
        <v> </v>
      </c>
      <c r="G3674" s="303"/>
      <c r="H3674" s="304"/>
    </row>
    <row r="3675">
      <c r="A3675" s="302" t="s">
        <v>19952</v>
      </c>
      <c r="B3675" s="291" t="s">
        <v>23515</v>
      </c>
      <c r="C3675" s="292" t="s">
        <v>48</v>
      </c>
      <c r="D3675" s="293">
        <f t="shared" si="2"/>
        <v>0</v>
      </c>
      <c r="E3675" s="294"/>
      <c r="F3675" s="295" t="str">
        <f>IFERROR(__xludf.DUMMYFUNCTION("IF(B3675="""","""",IFERROR(VLOOKUP(TO_TEXT(B3675),PEDIDOS!D:I,6,0),IFERROR(VLOOKUP(B3675*1,PEDIDOS!D:I,6,0),"" "")))")," ")</f>
        <v> </v>
      </c>
      <c r="G3675" s="303"/>
      <c r="H3675" s="304"/>
    </row>
    <row r="3676">
      <c r="A3676" s="302" t="s">
        <v>19952</v>
      </c>
      <c r="B3676" s="291" t="s">
        <v>23516</v>
      </c>
      <c r="C3676" s="292" t="s">
        <v>48</v>
      </c>
      <c r="D3676" s="293">
        <f t="shared" si="2"/>
        <v>0</v>
      </c>
      <c r="E3676" s="294"/>
      <c r="F3676" s="295" t="str">
        <f>IFERROR(__xludf.DUMMYFUNCTION("IF(B3676="""","""",IFERROR(VLOOKUP(TO_TEXT(B3676),PEDIDOS!D:I,6,0),IFERROR(VLOOKUP(B3676*1,PEDIDOS!D:I,6,0),"" "")))")," ")</f>
        <v> </v>
      </c>
      <c r="G3676" s="303"/>
      <c r="H3676" s="304"/>
    </row>
    <row r="3677">
      <c r="A3677" s="302" t="s">
        <v>19952</v>
      </c>
      <c r="B3677" s="291" t="s">
        <v>23517</v>
      </c>
      <c r="C3677" s="292" t="s">
        <v>48</v>
      </c>
      <c r="D3677" s="293">
        <f t="shared" si="2"/>
        <v>1</v>
      </c>
      <c r="E3677" s="294"/>
      <c r="F3677" s="295" t="str">
        <f>IFERROR(__xludf.DUMMYFUNCTION("IF(B3677="""","""",IFERROR(VLOOKUP(TO_TEXT(B3677),PEDIDOS!D:I,6,0),IFERROR(VLOOKUP(B3677*1,PEDIDOS!D:I,6,0),"" "")))")," ")</f>
        <v> </v>
      </c>
      <c r="G3677" s="305" t="s">
        <v>23518</v>
      </c>
      <c r="H3677" s="304"/>
    </row>
    <row r="3678">
      <c r="A3678" s="302" t="s">
        <v>19952</v>
      </c>
      <c r="B3678" s="291" t="s">
        <v>23519</v>
      </c>
      <c r="C3678" s="292" t="s">
        <v>48</v>
      </c>
      <c r="D3678" s="293">
        <f t="shared" si="2"/>
        <v>0</v>
      </c>
      <c r="E3678" s="294"/>
      <c r="F3678" s="295" t="str">
        <f>IFERROR(__xludf.DUMMYFUNCTION("IF(B3678="""","""",IFERROR(VLOOKUP(TO_TEXT(B3678),PEDIDOS!D:I,6,0),IFERROR(VLOOKUP(B3678*1,PEDIDOS!D:I,6,0),"" "")))")," ")</f>
        <v> </v>
      </c>
      <c r="G3678" s="303"/>
      <c r="H3678" s="304"/>
    </row>
    <row r="3679">
      <c r="A3679" s="302" t="s">
        <v>19952</v>
      </c>
      <c r="B3679" s="291" t="s">
        <v>23520</v>
      </c>
      <c r="C3679" s="292" t="s">
        <v>48</v>
      </c>
      <c r="D3679" s="293">
        <f t="shared" si="2"/>
        <v>0</v>
      </c>
      <c r="E3679" s="294"/>
      <c r="F3679" s="295" t="str">
        <f>IFERROR(__xludf.DUMMYFUNCTION("IF(B3679="""","""",IFERROR(VLOOKUP(TO_TEXT(B3679),PEDIDOS!D:I,6,0),IFERROR(VLOOKUP(B3679*1,PEDIDOS!D:I,6,0),"" "")))")," ")</f>
        <v> </v>
      </c>
      <c r="G3679" s="303"/>
      <c r="H3679" s="304"/>
    </row>
    <row r="3680">
      <c r="A3680" s="302" t="s">
        <v>19952</v>
      </c>
      <c r="B3680" s="291" t="s">
        <v>23521</v>
      </c>
      <c r="C3680" s="292" t="s">
        <v>48</v>
      </c>
      <c r="D3680" s="293">
        <f t="shared" si="2"/>
        <v>0</v>
      </c>
      <c r="E3680" s="294"/>
      <c r="F3680" s="295" t="str">
        <f>IFERROR(__xludf.DUMMYFUNCTION("IF(B3680="""","""",IFERROR(VLOOKUP(TO_TEXT(B3680),PEDIDOS!D:I,6,0),IFERROR(VLOOKUP(B3680*1,PEDIDOS!D:I,6,0),"" "")))")," ")</f>
        <v> </v>
      </c>
      <c r="G3680" s="303"/>
      <c r="H3680" s="304"/>
    </row>
    <row r="3681">
      <c r="A3681" s="302" t="s">
        <v>19952</v>
      </c>
      <c r="B3681" s="291" t="s">
        <v>23522</v>
      </c>
      <c r="C3681" s="292" t="s">
        <v>48</v>
      </c>
      <c r="D3681" s="293">
        <f t="shared" si="2"/>
        <v>0</v>
      </c>
      <c r="E3681" s="294"/>
      <c r="F3681" s="295" t="str">
        <f>IFERROR(__xludf.DUMMYFUNCTION("IF(B3681="""","""",IFERROR(VLOOKUP(TO_TEXT(B3681),PEDIDOS!D:I,6,0),IFERROR(VLOOKUP(B3681*1,PEDIDOS!D:I,6,0),"" "")))")," ")</f>
        <v> </v>
      </c>
      <c r="G3681" s="303"/>
      <c r="H3681" s="304"/>
    </row>
    <row r="3682">
      <c r="A3682" s="302" t="s">
        <v>19952</v>
      </c>
      <c r="B3682" s="291" t="s">
        <v>23523</v>
      </c>
      <c r="C3682" s="292" t="s">
        <v>48</v>
      </c>
      <c r="D3682" s="293">
        <f t="shared" si="2"/>
        <v>0</v>
      </c>
      <c r="E3682" s="294"/>
      <c r="F3682" s="295" t="str">
        <f>IFERROR(__xludf.DUMMYFUNCTION("IF(B3682="""","""",IFERROR(VLOOKUP(TO_TEXT(B3682),PEDIDOS!D:I,6,0),IFERROR(VLOOKUP(B3682*1,PEDIDOS!D:I,6,0),"" "")))")," ")</f>
        <v> </v>
      </c>
      <c r="G3682" s="303"/>
      <c r="H3682" s="304"/>
    </row>
    <row r="3683">
      <c r="A3683" s="302" t="s">
        <v>19952</v>
      </c>
      <c r="B3683" s="291" t="s">
        <v>23524</v>
      </c>
      <c r="C3683" s="292" t="s">
        <v>48</v>
      </c>
      <c r="D3683" s="293">
        <f t="shared" si="2"/>
        <v>0</v>
      </c>
      <c r="E3683" s="294"/>
      <c r="F3683" s="295" t="str">
        <f>IFERROR(__xludf.DUMMYFUNCTION("IF(B3683="""","""",IFERROR(VLOOKUP(TO_TEXT(B3683),PEDIDOS!D:I,6,0),IFERROR(VLOOKUP(B3683*1,PEDIDOS!D:I,6,0),"" "")))")," ")</f>
        <v> </v>
      </c>
      <c r="G3683" s="303"/>
      <c r="H3683" s="304"/>
    </row>
    <row r="3684">
      <c r="A3684" s="302" t="s">
        <v>19952</v>
      </c>
      <c r="B3684" s="291" t="s">
        <v>23525</v>
      </c>
      <c r="C3684" s="292" t="s">
        <v>48</v>
      </c>
      <c r="D3684" s="293">
        <f t="shared" si="2"/>
        <v>0</v>
      </c>
      <c r="E3684" s="294"/>
      <c r="F3684" s="295" t="str">
        <f>IFERROR(__xludf.DUMMYFUNCTION("IF(B3684="""","""",IFERROR(VLOOKUP(TO_TEXT(B3684),PEDIDOS!D:I,6,0),IFERROR(VLOOKUP(B3684*1,PEDIDOS!D:I,6,0),"" "")))")," ")</f>
        <v> </v>
      </c>
      <c r="G3684" s="303"/>
      <c r="H3684" s="304"/>
    </row>
    <row r="3685">
      <c r="A3685" s="302" t="s">
        <v>19952</v>
      </c>
      <c r="B3685" s="291" t="s">
        <v>23526</v>
      </c>
      <c r="C3685" s="292" t="s">
        <v>48</v>
      </c>
      <c r="D3685" s="293">
        <f t="shared" si="2"/>
        <v>0</v>
      </c>
      <c r="E3685" s="294"/>
      <c r="F3685" s="295" t="str">
        <f>IFERROR(__xludf.DUMMYFUNCTION("IF(B3685="""","""",IFERROR(VLOOKUP(TO_TEXT(B3685),PEDIDOS!D:I,6,0),IFERROR(VLOOKUP(B3685*1,PEDIDOS!D:I,6,0),"" "")))")," ")</f>
        <v> </v>
      </c>
      <c r="G3685" s="303"/>
      <c r="H3685" s="304"/>
    </row>
    <row r="3686">
      <c r="A3686" s="302" t="s">
        <v>19952</v>
      </c>
      <c r="B3686" s="291" t="s">
        <v>23527</v>
      </c>
      <c r="C3686" s="292" t="s">
        <v>48</v>
      </c>
      <c r="D3686" s="293">
        <f t="shared" si="2"/>
        <v>1</v>
      </c>
      <c r="E3686" s="294"/>
      <c r="F3686" s="295" t="str">
        <f>IFERROR(__xludf.DUMMYFUNCTION("IF(B3686="""","""",IFERROR(VLOOKUP(TO_TEXT(B3686),PEDIDOS!D:I,6,0),IFERROR(VLOOKUP(B3686*1,PEDIDOS!D:I,6,0),"" "")))")," ")</f>
        <v> </v>
      </c>
      <c r="G3686" s="305" t="s">
        <v>23518</v>
      </c>
      <c r="H3686" s="304"/>
    </row>
    <row r="3687">
      <c r="A3687" s="302" t="s">
        <v>19952</v>
      </c>
      <c r="B3687" s="291" t="s">
        <v>23528</v>
      </c>
      <c r="C3687" s="292" t="s">
        <v>48</v>
      </c>
      <c r="D3687" s="293">
        <f t="shared" si="2"/>
        <v>0</v>
      </c>
      <c r="E3687" s="294"/>
      <c r="F3687" s="295" t="str">
        <f>IFERROR(__xludf.DUMMYFUNCTION("IF(B3687="""","""",IFERROR(VLOOKUP(TO_TEXT(B3687),PEDIDOS!D:I,6,0),IFERROR(VLOOKUP(B3687*1,PEDIDOS!D:I,6,0),"" "")))")," ")</f>
        <v> </v>
      </c>
      <c r="G3687" s="303"/>
      <c r="H3687" s="304"/>
    </row>
    <row r="3688">
      <c r="A3688" s="302" t="s">
        <v>19952</v>
      </c>
      <c r="B3688" s="291" t="s">
        <v>23529</v>
      </c>
      <c r="C3688" s="292" t="s">
        <v>48</v>
      </c>
      <c r="D3688" s="293">
        <f t="shared" si="2"/>
        <v>0</v>
      </c>
      <c r="E3688" s="294"/>
      <c r="F3688" s="295" t="str">
        <f>IFERROR(__xludf.DUMMYFUNCTION("IF(B3688="""","""",IFERROR(VLOOKUP(TO_TEXT(B3688),PEDIDOS!D:I,6,0),IFERROR(VLOOKUP(B3688*1,PEDIDOS!D:I,6,0),"" "")))")," ")</f>
        <v> </v>
      </c>
      <c r="G3688" s="303"/>
      <c r="H3688" s="304"/>
    </row>
    <row r="3689">
      <c r="A3689" s="302" t="s">
        <v>19952</v>
      </c>
      <c r="B3689" s="291" t="s">
        <v>23530</v>
      </c>
      <c r="C3689" s="292" t="s">
        <v>48</v>
      </c>
      <c r="D3689" s="293">
        <f t="shared" si="2"/>
        <v>0</v>
      </c>
      <c r="E3689" s="294"/>
      <c r="F3689" s="295" t="str">
        <f>IFERROR(__xludf.DUMMYFUNCTION("IF(B3689="""","""",IFERROR(VLOOKUP(TO_TEXT(B3689),PEDIDOS!D:I,6,0),IFERROR(VLOOKUP(B3689*1,PEDIDOS!D:I,6,0),"" "")))")," ")</f>
        <v> </v>
      </c>
      <c r="G3689" s="303"/>
      <c r="H3689" s="304"/>
    </row>
    <row r="3690">
      <c r="A3690" s="302" t="s">
        <v>19952</v>
      </c>
      <c r="B3690" s="291" t="s">
        <v>23531</v>
      </c>
      <c r="C3690" s="292" t="s">
        <v>48</v>
      </c>
      <c r="D3690" s="293">
        <f t="shared" si="2"/>
        <v>0</v>
      </c>
      <c r="E3690" s="294"/>
      <c r="F3690" s="295" t="str">
        <f>IFERROR(__xludf.DUMMYFUNCTION("IF(B3690="""","""",IFERROR(VLOOKUP(TO_TEXT(B3690),PEDIDOS!D:I,6,0),IFERROR(VLOOKUP(B3690*1,PEDIDOS!D:I,6,0),"" "")))")," ")</f>
        <v> </v>
      </c>
      <c r="G3690" s="303"/>
      <c r="H3690" s="304"/>
    </row>
    <row r="3691">
      <c r="A3691" s="302" t="s">
        <v>19952</v>
      </c>
      <c r="B3691" s="291" t="s">
        <v>23532</v>
      </c>
      <c r="C3691" s="292" t="s">
        <v>48</v>
      </c>
      <c r="D3691" s="293">
        <f t="shared" si="2"/>
        <v>0</v>
      </c>
      <c r="E3691" s="294"/>
      <c r="F3691" s="295" t="str">
        <f>IFERROR(__xludf.DUMMYFUNCTION("IF(B3691="""","""",IFERROR(VLOOKUP(TO_TEXT(B3691),PEDIDOS!D:I,6,0),IFERROR(VLOOKUP(B3691*1,PEDIDOS!D:I,6,0),"" "")))")," ")</f>
        <v> </v>
      </c>
      <c r="G3691" s="303"/>
      <c r="H3691" s="304"/>
    </row>
    <row r="3692">
      <c r="A3692" s="302" t="s">
        <v>19952</v>
      </c>
      <c r="B3692" s="291" t="s">
        <v>23533</v>
      </c>
      <c r="C3692" s="292" t="s">
        <v>48</v>
      </c>
      <c r="D3692" s="293">
        <f t="shared" si="2"/>
        <v>0</v>
      </c>
      <c r="E3692" s="294"/>
      <c r="F3692" s="295" t="str">
        <f>IFERROR(__xludf.DUMMYFUNCTION("IF(B3692="""","""",IFERROR(VLOOKUP(TO_TEXT(B3692),PEDIDOS!D:I,6,0),IFERROR(VLOOKUP(B3692*1,PEDIDOS!D:I,6,0),"" "")))")," ")</f>
        <v> </v>
      </c>
      <c r="G3692" s="303"/>
      <c r="H3692" s="304"/>
    </row>
    <row r="3693">
      <c r="A3693" s="302" t="s">
        <v>19952</v>
      </c>
      <c r="B3693" s="291" t="s">
        <v>23534</v>
      </c>
      <c r="C3693" s="292" t="s">
        <v>48</v>
      </c>
      <c r="D3693" s="293">
        <f t="shared" si="2"/>
        <v>0</v>
      </c>
      <c r="E3693" s="294"/>
      <c r="F3693" s="295" t="str">
        <f>IFERROR(__xludf.DUMMYFUNCTION("IF(B3693="""","""",IFERROR(VLOOKUP(TO_TEXT(B3693),PEDIDOS!D:I,6,0),IFERROR(VLOOKUP(B3693*1,PEDIDOS!D:I,6,0),"" "")))")," ")</f>
        <v> </v>
      </c>
      <c r="G3693" s="303"/>
      <c r="H3693" s="304"/>
    </row>
    <row r="3694">
      <c r="A3694" s="302" t="s">
        <v>19952</v>
      </c>
      <c r="B3694" s="291" t="s">
        <v>23535</v>
      </c>
      <c r="C3694" s="292" t="s">
        <v>48</v>
      </c>
      <c r="D3694" s="293">
        <f t="shared" si="2"/>
        <v>0</v>
      </c>
      <c r="E3694" s="294"/>
      <c r="F3694" s="295" t="str">
        <f>IFERROR(__xludf.DUMMYFUNCTION("IF(B3694="""","""",IFERROR(VLOOKUP(TO_TEXT(B3694),PEDIDOS!D:I,6,0),IFERROR(VLOOKUP(B3694*1,PEDIDOS!D:I,6,0),"" "")))")," ")</f>
        <v> </v>
      </c>
      <c r="G3694" s="303"/>
      <c r="H3694" s="304"/>
    </row>
    <row r="3695">
      <c r="A3695" s="302" t="s">
        <v>19952</v>
      </c>
      <c r="B3695" s="291" t="s">
        <v>23536</v>
      </c>
      <c r="C3695" s="292" t="s">
        <v>48</v>
      </c>
      <c r="D3695" s="293">
        <f t="shared" si="2"/>
        <v>0</v>
      </c>
      <c r="E3695" s="294"/>
      <c r="F3695" s="295" t="str">
        <f>IFERROR(__xludf.DUMMYFUNCTION("IF(B3695="""","""",IFERROR(VLOOKUP(TO_TEXT(B3695),PEDIDOS!D:I,6,0),IFERROR(VLOOKUP(B3695*1,PEDIDOS!D:I,6,0),"" "")))")," ")</f>
        <v> </v>
      </c>
      <c r="G3695" s="303"/>
      <c r="H3695" s="304"/>
    </row>
    <row r="3696">
      <c r="A3696" s="302" t="s">
        <v>19952</v>
      </c>
      <c r="B3696" s="291" t="s">
        <v>23537</v>
      </c>
      <c r="C3696" s="292" t="s">
        <v>48</v>
      </c>
      <c r="D3696" s="293">
        <f t="shared" si="2"/>
        <v>0</v>
      </c>
      <c r="E3696" s="294"/>
      <c r="F3696" s="295" t="str">
        <f>IFERROR(__xludf.DUMMYFUNCTION("IF(B3696="""","""",IFERROR(VLOOKUP(TO_TEXT(B3696),PEDIDOS!D:I,6,0),IFERROR(VLOOKUP(B3696*1,PEDIDOS!D:I,6,0),"" "")))")," ")</f>
        <v> </v>
      </c>
      <c r="G3696" s="303"/>
      <c r="H3696" s="304"/>
    </row>
    <row r="3697">
      <c r="A3697" s="302" t="s">
        <v>19952</v>
      </c>
      <c r="B3697" s="291" t="s">
        <v>23538</v>
      </c>
      <c r="C3697" s="292" t="s">
        <v>48</v>
      </c>
      <c r="D3697" s="293">
        <f t="shared" si="2"/>
        <v>0</v>
      </c>
      <c r="E3697" s="294"/>
      <c r="F3697" s="295" t="str">
        <f>IFERROR(__xludf.DUMMYFUNCTION("IF(B3697="""","""",IFERROR(VLOOKUP(TO_TEXT(B3697),PEDIDOS!D:I,6,0),IFERROR(VLOOKUP(B3697*1,PEDIDOS!D:I,6,0),"" "")))")," ")</f>
        <v> </v>
      </c>
      <c r="G3697" s="303"/>
      <c r="H3697" s="304"/>
    </row>
    <row r="3698">
      <c r="A3698" s="302" t="s">
        <v>19952</v>
      </c>
      <c r="B3698" s="291" t="s">
        <v>23539</v>
      </c>
      <c r="C3698" s="292" t="s">
        <v>48</v>
      </c>
      <c r="D3698" s="293">
        <f t="shared" si="2"/>
        <v>0</v>
      </c>
      <c r="E3698" s="294"/>
      <c r="F3698" s="295" t="str">
        <f>IFERROR(__xludf.DUMMYFUNCTION("IF(B3698="""","""",IFERROR(VLOOKUP(TO_TEXT(B3698),PEDIDOS!D:I,6,0),IFERROR(VLOOKUP(B3698*1,PEDIDOS!D:I,6,0),"" "")))")," ")</f>
        <v> </v>
      </c>
      <c r="G3698" s="303"/>
      <c r="H3698" s="304"/>
    </row>
    <row r="3699">
      <c r="A3699" s="302" t="s">
        <v>19952</v>
      </c>
      <c r="B3699" s="291" t="s">
        <v>23540</v>
      </c>
      <c r="C3699" s="292" t="s">
        <v>48</v>
      </c>
      <c r="D3699" s="293">
        <f t="shared" si="2"/>
        <v>0</v>
      </c>
      <c r="E3699" s="294"/>
      <c r="F3699" s="295" t="str">
        <f>IFERROR(__xludf.DUMMYFUNCTION("IF(B3699="""","""",IFERROR(VLOOKUP(TO_TEXT(B3699),PEDIDOS!D:I,6,0),IFERROR(VLOOKUP(B3699*1,PEDIDOS!D:I,6,0),"" "")))")," ")</f>
        <v> </v>
      </c>
      <c r="G3699" s="303"/>
      <c r="H3699" s="304"/>
    </row>
    <row r="3700">
      <c r="A3700" s="302" t="s">
        <v>19952</v>
      </c>
      <c r="B3700" s="291" t="s">
        <v>23541</v>
      </c>
      <c r="C3700" s="292" t="s">
        <v>48</v>
      </c>
      <c r="D3700" s="293">
        <f t="shared" si="2"/>
        <v>1</v>
      </c>
      <c r="E3700" s="294"/>
      <c r="F3700" s="295" t="str">
        <f>IFERROR(__xludf.DUMMYFUNCTION("IF(B3700="""","""",IFERROR(VLOOKUP(TO_TEXT(B3700),PEDIDOS!D:I,6,0),IFERROR(VLOOKUP(B3700*1,PEDIDOS!D:I,6,0),"" "")))")," ")</f>
        <v> </v>
      </c>
      <c r="G3700" s="305" t="s">
        <v>23518</v>
      </c>
      <c r="H3700" s="304"/>
    </row>
    <row r="3701">
      <c r="A3701" s="302" t="s">
        <v>19952</v>
      </c>
      <c r="B3701" s="291" t="s">
        <v>23542</v>
      </c>
      <c r="C3701" s="292" t="s">
        <v>48</v>
      </c>
      <c r="D3701" s="293">
        <f t="shared" si="2"/>
        <v>0</v>
      </c>
      <c r="E3701" s="294"/>
      <c r="F3701" s="295" t="str">
        <f>IFERROR(__xludf.DUMMYFUNCTION("IF(B3701="""","""",IFERROR(VLOOKUP(TO_TEXT(B3701),PEDIDOS!D:I,6,0),IFERROR(VLOOKUP(B3701*1,PEDIDOS!D:I,6,0),"" "")))")," ")</f>
        <v> </v>
      </c>
      <c r="G3701" s="303"/>
      <c r="H3701" s="304"/>
    </row>
    <row r="3702">
      <c r="A3702" s="302" t="s">
        <v>19952</v>
      </c>
      <c r="B3702" s="291" t="s">
        <v>23543</v>
      </c>
      <c r="C3702" s="292" t="s">
        <v>48</v>
      </c>
      <c r="D3702" s="293">
        <f t="shared" si="2"/>
        <v>0</v>
      </c>
      <c r="E3702" s="294"/>
      <c r="F3702" s="295" t="str">
        <f>IFERROR(__xludf.DUMMYFUNCTION("IF(B3702="""","""",IFERROR(VLOOKUP(TO_TEXT(B3702),PEDIDOS!D:I,6,0),IFERROR(VLOOKUP(B3702*1,PEDIDOS!D:I,6,0),"" "")))")," ")</f>
        <v> </v>
      </c>
      <c r="G3702" s="303"/>
      <c r="H3702" s="304"/>
    </row>
    <row r="3703">
      <c r="A3703" s="302" t="s">
        <v>19952</v>
      </c>
      <c r="B3703" s="291" t="s">
        <v>23544</v>
      </c>
      <c r="C3703" s="292" t="s">
        <v>48</v>
      </c>
      <c r="D3703" s="293">
        <f t="shared" si="2"/>
        <v>1</v>
      </c>
      <c r="E3703" s="294"/>
      <c r="F3703" s="295" t="str">
        <f>IFERROR(__xludf.DUMMYFUNCTION("IF(B3703="""","""",IFERROR(VLOOKUP(TO_TEXT(B3703),PEDIDOS!D:I,6,0),IFERROR(VLOOKUP(B3703*1,PEDIDOS!D:I,6,0),"" "")))")," ")</f>
        <v> </v>
      </c>
      <c r="G3703" s="305" t="s">
        <v>23518</v>
      </c>
      <c r="H3703" s="304"/>
    </row>
    <row r="3704">
      <c r="A3704" s="302" t="s">
        <v>19952</v>
      </c>
      <c r="B3704" s="291" t="s">
        <v>23545</v>
      </c>
      <c r="C3704" s="292" t="s">
        <v>48</v>
      </c>
      <c r="D3704" s="293">
        <f t="shared" si="2"/>
        <v>0</v>
      </c>
      <c r="E3704" s="294"/>
      <c r="F3704" s="295" t="str">
        <f>IFERROR(__xludf.DUMMYFUNCTION("IF(B3704="""","""",IFERROR(VLOOKUP(TO_TEXT(B3704),PEDIDOS!D:I,6,0),IFERROR(VLOOKUP(B3704*1,PEDIDOS!D:I,6,0),"" "")))")," ")</f>
        <v> </v>
      </c>
      <c r="G3704" s="303"/>
      <c r="H3704" s="304"/>
    </row>
    <row r="3705">
      <c r="A3705" s="302" t="s">
        <v>19952</v>
      </c>
      <c r="B3705" s="291" t="s">
        <v>19951</v>
      </c>
      <c r="C3705" s="292" t="s">
        <v>48</v>
      </c>
      <c r="D3705" s="293">
        <f t="shared" si="2"/>
        <v>1</v>
      </c>
      <c r="E3705" s="294"/>
      <c r="F3705" s="295" t="str">
        <f>IFERROR(__xludf.DUMMYFUNCTION("IF(B3705="""","""",IFERROR(VLOOKUP(TO_TEXT(B3705),PEDIDOS!D:I,6,0),IFERROR(VLOOKUP(B3705*1,PEDIDOS!D:I,6,0),"" "")))"),"ENTREGUE")</f>
        <v>ENTREGUE</v>
      </c>
      <c r="G3705" s="303"/>
      <c r="H3705" s="304"/>
    </row>
    <row r="3706">
      <c r="A3706" s="302" t="s">
        <v>19952</v>
      </c>
      <c r="B3706" s="291" t="s">
        <v>23546</v>
      </c>
      <c r="C3706" s="292" t="s">
        <v>48</v>
      </c>
      <c r="D3706" s="293">
        <f t="shared" si="2"/>
        <v>0</v>
      </c>
      <c r="E3706" s="294"/>
      <c r="F3706" s="295" t="str">
        <f>IFERROR(__xludf.DUMMYFUNCTION("IF(B3706="""","""",IFERROR(VLOOKUP(TO_TEXT(B3706),PEDIDOS!D:I,6,0),IFERROR(VLOOKUP(B3706*1,PEDIDOS!D:I,6,0),"" "")))")," ")</f>
        <v> </v>
      </c>
      <c r="G3706" s="303"/>
      <c r="H3706" s="304"/>
    </row>
    <row r="3707">
      <c r="A3707" s="302" t="s">
        <v>19952</v>
      </c>
      <c r="B3707" s="291" t="s">
        <v>23547</v>
      </c>
      <c r="C3707" s="292" t="s">
        <v>48</v>
      </c>
      <c r="D3707" s="293">
        <f t="shared" si="2"/>
        <v>1</v>
      </c>
      <c r="E3707" s="294"/>
      <c r="F3707" s="295" t="str">
        <f>IFERROR(__xludf.DUMMYFUNCTION("IF(B3707="""","""",IFERROR(VLOOKUP(TO_TEXT(B3707),PEDIDOS!D:I,6,0),IFERROR(VLOOKUP(B3707*1,PEDIDOS!D:I,6,0),"" "")))")," ")</f>
        <v> </v>
      </c>
      <c r="G3707" s="305" t="s">
        <v>23518</v>
      </c>
      <c r="H3707" s="304"/>
    </row>
    <row r="3708">
      <c r="A3708" s="302" t="s">
        <v>19952</v>
      </c>
      <c r="B3708" s="291" t="s">
        <v>23548</v>
      </c>
      <c r="C3708" s="292" t="s">
        <v>48</v>
      </c>
      <c r="D3708" s="293">
        <f t="shared" si="2"/>
        <v>0</v>
      </c>
      <c r="E3708" s="294"/>
      <c r="F3708" s="295" t="str">
        <f>IFERROR(__xludf.DUMMYFUNCTION("IF(B3708="""","""",IFERROR(VLOOKUP(TO_TEXT(B3708),PEDIDOS!D:I,6,0),IFERROR(VLOOKUP(B3708*1,PEDIDOS!D:I,6,0),"" "")))")," ")</f>
        <v> </v>
      </c>
      <c r="G3708" s="303"/>
      <c r="H3708" s="304"/>
    </row>
    <row r="3709">
      <c r="A3709" s="302" t="s">
        <v>19952</v>
      </c>
      <c r="B3709" s="291" t="s">
        <v>23549</v>
      </c>
      <c r="C3709" s="292" t="s">
        <v>48</v>
      </c>
      <c r="D3709" s="293">
        <f t="shared" si="2"/>
        <v>1</v>
      </c>
      <c r="E3709" s="294"/>
      <c r="F3709" s="295" t="str">
        <f>IFERROR(__xludf.DUMMYFUNCTION("IF(B3709="""","""",IFERROR(VLOOKUP(TO_TEXT(B3709),PEDIDOS!D:I,6,0),IFERROR(VLOOKUP(B3709*1,PEDIDOS!D:I,6,0),"" "")))")," ")</f>
        <v> </v>
      </c>
      <c r="G3709" s="305" t="s">
        <v>23518</v>
      </c>
      <c r="H3709" s="304"/>
    </row>
    <row r="3710">
      <c r="A3710" s="302" t="s">
        <v>19952</v>
      </c>
      <c r="B3710" s="291" t="s">
        <v>23550</v>
      </c>
      <c r="C3710" s="292" t="s">
        <v>48</v>
      </c>
      <c r="D3710" s="293">
        <f t="shared" si="2"/>
        <v>1</v>
      </c>
      <c r="E3710" s="294"/>
      <c r="F3710" s="295" t="str">
        <f>IFERROR(__xludf.DUMMYFUNCTION("IF(B3710="""","""",IFERROR(VLOOKUP(TO_TEXT(B3710),PEDIDOS!D:I,6,0),IFERROR(VLOOKUP(B3710*1,PEDIDOS!D:I,6,0),"" "")))")," ")</f>
        <v> </v>
      </c>
      <c r="G3710" s="305" t="s">
        <v>23518</v>
      </c>
      <c r="H3710" s="304"/>
    </row>
    <row r="3711">
      <c r="A3711" s="302" t="s">
        <v>19952</v>
      </c>
      <c r="B3711" s="291" t="s">
        <v>23551</v>
      </c>
      <c r="C3711" s="292" t="s">
        <v>48</v>
      </c>
      <c r="D3711" s="293">
        <f t="shared" si="2"/>
        <v>0</v>
      </c>
      <c r="E3711" s="294"/>
      <c r="F3711" s="295" t="str">
        <f>IFERROR(__xludf.DUMMYFUNCTION("IF(B3711="""","""",IFERROR(VLOOKUP(TO_TEXT(B3711),PEDIDOS!D:I,6,0),IFERROR(VLOOKUP(B3711*1,PEDIDOS!D:I,6,0),"" "")))")," ")</f>
        <v> </v>
      </c>
      <c r="G3711" s="303"/>
      <c r="H3711" s="304"/>
    </row>
    <row r="3712">
      <c r="A3712" s="302" t="s">
        <v>19952</v>
      </c>
      <c r="B3712" s="291" t="s">
        <v>23552</v>
      </c>
      <c r="C3712" s="292" t="s">
        <v>48</v>
      </c>
      <c r="D3712" s="293">
        <f t="shared" si="2"/>
        <v>1</v>
      </c>
      <c r="E3712" s="294"/>
      <c r="F3712" s="295" t="str">
        <f>IFERROR(__xludf.DUMMYFUNCTION("IF(B3712="""","""",IFERROR(VLOOKUP(TO_TEXT(B3712),PEDIDOS!D:I,6,0),IFERROR(VLOOKUP(B3712*1,PEDIDOS!D:I,6,0),"" "")))")," ")</f>
        <v> </v>
      </c>
      <c r="G3712" s="305" t="s">
        <v>23518</v>
      </c>
      <c r="H3712" s="304"/>
    </row>
    <row r="3713">
      <c r="A3713" s="302" t="s">
        <v>19952</v>
      </c>
      <c r="B3713" s="291" t="s">
        <v>23553</v>
      </c>
      <c r="C3713" s="292" t="s">
        <v>48</v>
      </c>
      <c r="D3713" s="293">
        <f t="shared" si="2"/>
        <v>0</v>
      </c>
      <c r="E3713" s="294"/>
      <c r="F3713" s="295" t="str">
        <f>IFERROR(__xludf.DUMMYFUNCTION("IF(B3713="""","""",IFERROR(VLOOKUP(TO_TEXT(B3713),PEDIDOS!D:I,6,0),IFERROR(VLOOKUP(B3713*1,PEDIDOS!D:I,6,0),"" "")))")," ")</f>
        <v> </v>
      </c>
      <c r="G3713" s="303"/>
      <c r="H3713" s="304"/>
    </row>
    <row r="3714">
      <c r="A3714" s="302" t="s">
        <v>22732</v>
      </c>
      <c r="B3714" s="291" t="s">
        <v>23554</v>
      </c>
      <c r="C3714" s="292" t="s">
        <v>48</v>
      </c>
      <c r="D3714" s="293">
        <f t="shared" si="2"/>
        <v>1</v>
      </c>
      <c r="E3714" s="294"/>
      <c r="F3714" s="295" t="str">
        <f>IFERROR(__xludf.DUMMYFUNCTION("IF(B3714="""","""",IFERROR(VLOOKUP(TO_TEXT(B3714),PEDIDOS!D:I,6,0),IFERROR(VLOOKUP(B3714*1,PEDIDOS!D:I,6,0),"" "")))")," ")</f>
        <v> </v>
      </c>
      <c r="G3714" s="305" t="s">
        <v>23518</v>
      </c>
      <c r="H3714" s="304"/>
    </row>
    <row r="3715">
      <c r="A3715" s="302" t="s">
        <v>22732</v>
      </c>
      <c r="B3715" s="291" t="s">
        <v>23555</v>
      </c>
      <c r="C3715" s="292" t="s">
        <v>48</v>
      </c>
      <c r="D3715" s="293">
        <f t="shared" si="2"/>
        <v>0</v>
      </c>
      <c r="E3715" s="294"/>
      <c r="F3715" s="295" t="str">
        <f>IFERROR(__xludf.DUMMYFUNCTION("IF(B3715="""","""",IFERROR(VLOOKUP(TO_TEXT(B3715),PEDIDOS!D:I,6,0),IFERROR(VLOOKUP(B3715*1,PEDIDOS!D:I,6,0),"" "")))")," ")</f>
        <v> </v>
      </c>
      <c r="G3715" s="303"/>
      <c r="H3715" s="304"/>
    </row>
    <row r="3716">
      <c r="A3716" s="302" t="s">
        <v>22732</v>
      </c>
      <c r="B3716" s="291" t="s">
        <v>23556</v>
      </c>
      <c r="C3716" s="292" t="s">
        <v>48</v>
      </c>
      <c r="D3716" s="293">
        <f t="shared" si="2"/>
        <v>0</v>
      </c>
      <c r="E3716" s="294"/>
      <c r="F3716" s="295" t="str">
        <f>IFERROR(__xludf.DUMMYFUNCTION("IF(B3716="""","""",IFERROR(VLOOKUP(TO_TEXT(B3716),PEDIDOS!D:I,6,0),IFERROR(VLOOKUP(B3716*1,PEDIDOS!D:I,6,0),"" "")))")," ")</f>
        <v> </v>
      </c>
      <c r="G3716" s="303"/>
      <c r="H3716" s="304"/>
    </row>
    <row r="3717">
      <c r="A3717" s="302" t="s">
        <v>22732</v>
      </c>
      <c r="B3717" s="291" t="s">
        <v>23557</v>
      </c>
      <c r="C3717" s="292" t="s">
        <v>48</v>
      </c>
      <c r="D3717" s="293">
        <f t="shared" si="2"/>
        <v>0</v>
      </c>
      <c r="E3717" s="294"/>
      <c r="F3717" s="295" t="str">
        <f>IFERROR(__xludf.DUMMYFUNCTION("IF(B3717="""","""",IFERROR(VLOOKUP(TO_TEXT(B3717),PEDIDOS!D:I,6,0),IFERROR(VLOOKUP(B3717*1,PEDIDOS!D:I,6,0),"" "")))")," ")</f>
        <v> </v>
      </c>
      <c r="G3717" s="303"/>
      <c r="H3717" s="304"/>
    </row>
    <row r="3718">
      <c r="A3718" s="302" t="s">
        <v>22732</v>
      </c>
      <c r="B3718" s="291" t="s">
        <v>23558</v>
      </c>
      <c r="C3718" s="292" t="s">
        <v>48</v>
      </c>
      <c r="D3718" s="293">
        <f t="shared" si="2"/>
        <v>0</v>
      </c>
      <c r="E3718" s="294"/>
      <c r="F3718" s="295" t="str">
        <f>IFERROR(__xludf.DUMMYFUNCTION("IF(B3718="""","""",IFERROR(VLOOKUP(TO_TEXT(B3718),PEDIDOS!D:I,6,0),IFERROR(VLOOKUP(B3718*1,PEDIDOS!D:I,6,0),"" "")))")," ")</f>
        <v> </v>
      </c>
      <c r="G3718" s="303"/>
      <c r="H3718" s="304"/>
    </row>
    <row r="3719">
      <c r="A3719" s="302" t="s">
        <v>22732</v>
      </c>
      <c r="B3719" s="291" t="s">
        <v>23559</v>
      </c>
      <c r="C3719" s="292" t="s">
        <v>48</v>
      </c>
      <c r="D3719" s="293">
        <f t="shared" si="2"/>
        <v>0</v>
      </c>
      <c r="E3719" s="294"/>
      <c r="F3719" s="295" t="str">
        <f>IFERROR(__xludf.DUMMYFUNCTION("IF(B3719="""","""",IFERROR(VLOOKUP(TO_TEXT(B3719),PEDIDOS!D:I,6,0),IFERROR(VLOOKUP(B3719*1,PEDIDOS!D:I,6,0),"" "")))")," ")</f>
        <v> </v>
      </c>
      <c r="G3719" s="303"/>
      <c r="H3719" s="304"/>
    </row>
    <row r="3720">
      <c r="A3720" s="302" t="s">
        <v>22732</v>
      </c>
      <c r="B3720" s="291" t="s">
        <v>23560</v>
      </c>
      <c r="C3720" s="292" t="s">
        <v>48</v>
      </c>
      <c r="D3720" s="293">
        <f t="shared" si="2"/>
        <v>0</v>
      </c>
      <c r="E3720" s="294"/>
      <c r="F3720" s="295" t="str">
        <f>IFERROR(__xludf.DUMMYFUNCTION("IF(B3720="""","""",IFERROR(VLOOKUP(TO_TEXT(B3720),PEDIDOS!D:I,6,0),IFERROR(VLOOKUP(B3720*1,PEDIDOS!D:I,6,0),"" "")))")," ")</f>
        <v> </v>
      </c>
      <c r="G3720" s="303"/>
      <c r="H3720" s="304"/>
    </row>
    <row r="3721">
      <c r="A3721" s="302" t="s">
        <v>22732</v>
      </c>
      <c r="B3721" s="291" t="s">
        <v>23561</v>
      </c>
      <c r="C3721" s="292" t="s">
        <v>48</v>
      </c>
      <c r="D3721" s="293">
        <f t="shared" si="2"/>
        <v>0</v>
      </c>
      <c r="E3721" s="294"/>
      <c r="F3721" s="295" t="str">
        <f>IFERROR(__xludf.DUMMYFUNCTION("IF(B3721="""","""",IFERROR(VLOOKUP(TO_TEXT(B3721),PEDIDOS!D:I,6,0),IFERROR(VLOOKUP(B3721*1,PEDIDOS!D:I,6,0),"" "")))")," ")</f>
        <v> </v>
      </c>
      <c r="G3721" s="303"/>
      <c r="H3721" s="304"/>
    </row>
    <row r="3722">
      <c r="A3722" s="302" t="s">
        <v>22732</v>
      </c>
      <c r="B3722" s="291" t="s">
        <v>23562</v>
      </c>
      <c r="C3722" s="292" t="s">
        <v>48</v>
      </c>
      <c r="D3722" s="293">
        <f t="shared" si="2"/>
        <v>0</v>
      </c>
      <c r="E3722" s="294"/>
      <c r="F3722" s="295" t="str">
        <f>IFERROR(__xludf.DUMMYFUNCTION("IF(B3722="""","""",IFERROR(VLOOKUP(TO_TEXT(B3722),PEDIDOS!D:I,6,0),IFERROR(VLOOKUP(B3722*1,PEDIDOS!D:I,6,0),"" "")))")," ")</f>
        <v> </v>
      </c>
      <c r="G3722" s="303"/>
      <c r="H3722" s="304"/>
    </row>
    <row r="3723">
      <c r="A3723" s="302" t="s">
        <v>22732</v>
      </c>
      <c r="B3723" s="291" t="s">
        <v>23563</v>
      </c>
      <c r="C3723" s="292" t="s">
        <v>48</v>
      </c>
      <c r="D3723" s="293">
        <f t="shared" si="2"/>
        <v>1</v>
      </c>
      <c r="E3723" s="294"/>
      <c r="F3723" s="295" t="str">
        <f>IFERROR(__xludf.DUMMYFUNCTION("IF(B3723="""","""",IFERROR(VLOOKUP(TO_TEXT(B3723),PEDIDOS!D:I,6,0),IFERROR(VLOOKUP(B3723*1,PEDIDOS!D:I,6,0),"" "")))")," ")</f>
        <v> </v>
      </c>
      <c r="G3723" s="305" t="s">
        <v>23518</v>
      </c>
      <c r="H3723" s="304"/>
    </row>
    <row r="3724">
      <c r="A3724" s="302" t="s">
        <v>22732</v>
      </c>
      <c r="B3724" s="291" t="s">
        <v>23564</v>
      </c>
      <c r="C3724" s="292" t="s">
        <v>48</v>
      </c>
      <c r="D3724" s="293">
        <f t="shared" si="2"/>
        <v>0</v>
      </c>
      <c r="E3724" s="294"/>
      <c r="F3724" s="295" t="str">
        <f>IFERROR(__xludf.DUMMYFUNCTION("IF(B3724="""","""",IFERROR(VLOOKUP(TO_TEXT(B3724),PEDIDOS!D:I,6,0),IFERROR(VLOOKUP(B3724*1,PEDIDOS!D:I,6,0),"" "")))")," ")</f>
        <v> </v>
      </c>
      <c r="G3724" s="303"/>
      <c r="H3724" s="304"/>
    </row>
    <row r="3725">
      <c r="A3725" s="302" t="s">
        <v>22732</v>
      </c>
      <c r="B3725" s="291" t="s">
        <v>23565</v>
      </c>
      <c r="C3725" s="292" t="s">
        <v>48</v>
      </c>
      <c r="D3725" s="293">
        <f t="shared" si="2"/>
        <v>0</v>
      </c>
      <c r="E3725" s="294"/>
      <c r="F3725" s="295" t="str">
        <f>IFERROR(__xludf.DUMMYFUNCTION("IF(B3725="""","""",IFERROR(VLOOKUP(TO_TEXT(B3725),PEDIDOS!D:I,6,0),IFERROR(VLOOKUP(B3725*1,PEDIDOS!D:I,6,0),"" "")))")," ")</f>
        <v> </v>
      </c>
      <c r="G3725" s="303"/>
      <c r="H3725" s="304"/>
    </row>
    <row r="3726">
      <c r="A3726" s="302" t="s">
        <v>22732</v>
      </c>
      <c r="B3726" s="291" t="s">
        <v>23566</v>
      </c>
      <c r="C3726" s="292" t="s">
        <v>48</v>
      </c>
      <c r="D3726" s="293">
        <f t="shared" si="2"/>
        <v>0</v>
      </c>
      <c r="E3726" s="294"/>
      <c r="F3726" s="295" t="str">
        <f>IFERROR(__xludf.DUMMYFUNCTION("IF(B3726="""","""",IFERROR(VLOOKUP(TO_TEXT(B3726),PEDIDOS!D:I,6,0),IFERROR(VLOOKUP(B3726*1,PEDIDOS!D:I,6,0),"" "")))")," ")</f>
        <v> </v>
      </c>
      <c r="G3726" s="303"/>
      <c r="H3726" s="304"/>
    </row>
    <row r="3727">
      <c r="A3727" s="302" t="s">
        <v>22732</v>
      </c>
      <c r="B3727" s="291" t="s">
        <v>23567</v>
      </c>
      <c r="C3727" s="292" t="s">
        <v>48</v>
      </c>
      <c r="D3727" s="293">
        <f t="shared" si="2"/>
        <v>1</v>
      </c>
      <c r="E3727" s="294"/>
      <c r="F3727" s="295" t="str">
        <f>IFERROR(__xludf.DUMMYFUNCTION("IF(B3727="""","""",IFERROR(VLOOKUP(TO_TEXT(B3727),PEDIDOS!D:I,6,0),IFERROR(VLOOKUP(B3727*1,PEDIDOS!D:I,6,0),"" "")))")," ")</f>
        <v> </v>
      </c>
      <c r="G3727" s="305" t="s">
        <v>23518</v>
      </c>
      <c r="H3727" s="304"/>
    </row>
    <row r="3728">
      <c r="A3728" s="302" t="s">
        <v>22732</v>
      </c>
      <c r="B3728" s="291" t="s">
        <v>23568</v>
      </c>
      <c r="C3728" s="292" t="s">
        <v>48</v>
      </c>
      <c r="D3728" s="293">
        <f t="shared" si="2"/>
        <v>0</v>
      </c>
      <c r="E3728" s="294"/>
      <c r="F3728" s="295" t="str">
        <f>IFERROR(__xludf.DUMMYFUNCTION("IF(B3728="""","""",IFERROR(VLOOKUP(TO_TEXT(B3728),PEDIDOS!D:I,6,0),IFERROR(VLOOKUP(B3728*1,PEDIDOS!D:I,6,0),"" "")))")," ")</f>
        <v> </v>
      </c>
      <c r="G3728" s="303"/>
      <c r="H3728" s="304"/>
    </row>
    <row r="3729">
      <c r="A3729" s="302" t="s">
        <v>22732</v>
      </c>
      <c r="B3729" s="291" t="s">
        <v>23569</v>
      </c>
      <c r="C3729" s="292" t="s">
        <v>48</v>
      </c>
      <c r="D3729" s="293">
        <f t="shared" si="2"/>
        <v>0</v>
      </c>
      <c r="E3729" s="294"/>
      <c r="F3729" s="295" t="str">
        <f>IFERROR(__xludf.DUMMYFUNCTION("IF(B3729="""","""",IFERROR(VLOOKUP(TO_TEXT(B3729),PEDIDOS!D:I,6,0),IFERROR(VLOOKUP(B3729*1,PEDIDOS!D:I,6,0),"" "")))")," ")</f>
        <v> </v>
      </c>
      <c r="G3729" s="303"/>
      <c r="H3729" s="304"/>
    </row>
    <row r="3730">
      <c r="A3730" s="302" t="s">
        <v>22732</v>
      </c>
      <c r="B3730" s="291" t="s">
        <v>23570</v>
      </c>
      <c r="C3730" s="292" t="s">
        <v>48</v>
      </c>
      <c r="D3730" s="293">
        <f t="shared" si="2"/>
        <v>0</v>
      </c>
      <c r="E3730" s="294"/>
      <c r="F3730" s="295" t="str">
        <f>IFERROR(__xludf.DUMMYFUNCTION("IF(B3730="""","""",IFERROR(VLOOKUP(TO_TEXT(B3730),PEDIDOS!D:I,6,0),IFERROR(VLOOKUP(B3730*1,PEDIDOS!D:I,6,0),"" "")))")," ")</f>
        <v> </v>
      </c>
      <c r="G3730" s="303"/>
      <c r="H3730" s="304"/>
    </row>
    <row r="3731">
      <c r="A3731" s="302" t="s">
        <v>22732</v>
      </c>
      <c r="B3731" s="291" t="s">
        <v>23571</v>
      </c>
      <c r="C3731" s="292" t="s">
        <v>48</v>
      </c>
      <c r="D3731" s="293">
        <f t="shared" si="2"/>
        <v>0</v>
      </c>
      <c r="E3731" s="294"/>
      <c r="F3731" s="295" t="str">
        <f>IFERROR(__xludf.DUMMYFUNCTION("IF(B3731="""","""",IFERROR(VLOOKUP(TO_TEXT(B3731),PEDIDOS!D:I,6,0),IFERROR(VLOOKUP(B3731*1,PEDIDOS!D:I,6,0),"" "")))")," ")</f>
        <v> </v>
      </c>
      <c r="G3731" s="303"/>
      <c r="H3731" s="304"/>
    </row>
    <row r="3732">
      <c r="A3732" s="302" t="s">
        <v>22732</v>
      </c>
      <c r="B3732" s="291" t="s">
        <v>23572</v>
      </c>
      <c r="C3732" s="292" t="s">
        <v>48</v>
      </c>
      <c r="D3732" s="293">
        <f t="shared" si="2"/>
        <v>0</v>
      </c>
      <c r="E3732" s="294"/>
      <c r="F3732" s="295" t="str">
        <f>IFERROR(__xludf.DUMMYFUNCTION("IF(B3732="""","""",IFERROR(VLOOKUP(TO_TEXT(B3732),PEDIDOS!D:I,6,0),IFERROR(VLOOKUP(B3732*1,PEDIDOS!D:I,6,0),"" "")))")," ")</f>
        <v> </v>
      </c>
      <c r="G3732" s="303"/>
      <c r="H3732" s="304"/>
    </row>
    <row r="3733">
      <c r="A3733" s="302" t="s">
        <v>22732</v>
      </c>
      <c r="B3733" s="291" t="s">
        <v>23573</v>
      </c>
      <c r="C3733" s="292" t="s">
        <v>48</v>
      </c>
      <c r="D3733" s="293">
        <f t="shared" si="2"/>
        <v>0</v>
      </c>
      <c r="E3733" s="294"/>
      <c r="F3733" s="295" t="str">
        <f>IFERROR(__xludf.DUMMYFUNCTION("IF(B3733="""","""",IFERROR(VLOOKUP(TO_TEXT(B3733),PEDIDOS!D:I,6,0),IFERROR(VLOOKUP(B3733*1,PEDIDOS!D:I,6,0),"" "")))")," ")</f>
        <v> </v>
      </c>
      <c r="G3733" s="303"/>
      <c r="H3733" s="304"/>
    </row>
    <row r="3734">
      <c r="A3734" s="302" t="s">
        <v>22732</v>
      </c>
      <c r="B3734" s="291" t="s">
        <v>23574</v>
      </c>
      <c r="C3734" s="292" t="s">
        <v>48</v>
      </c>
      <c r="D3734" s="293">
        <f t="shared" si="2"/>
        <v>0</v>
      </c>
      <c r="E3734" s="294"/>
      <c r="F3734" s="295" t="str">
        <f>IFERROR(__xludf.DUMMYFUNCTION("IF(B3734="""","""",IFERROR(VLOOKUP(TO_TEXT(B3734),PEDIDOS!D:I,6,0),IFERROR(VLOOKUP(B3734*1,PEDIDOS!D:I,6,0),"" "")))")," ")</f>
        <v> </v>
      </c>
      <c r="G3734" s="303"/>
      <c r="H3734" s="304"/>
    </row>
    <row r="3735">
      <c r="A3735" s="302" t="s">
        <v>22732</v>
      </c>
      <c r="B3735" s="291" t="s">
        <v>23575</v>
      </c>
      <c r="C3735" s="292" t="s">
        <v>48</v>
      </c>
      <c r="D3735" s="293">
        <f t="shared" si="2"/>
        <v>0</v>
      </c>
      <c r="E3735" s="294"/>
      <c r="F3735" s="295" t="str">
        <f>IFERROR(__xludf.DUMMYFUNCTION("IF(B3735="""","""",IFERROR(VLOOKUP(TO_TEXT(B3735),PEDIDOS!D:I,6,0),IFERROR(VLOOKUP(B3735*1,PEDIDOS!D:I,6,0),"" "")))")," ")</f>
        <v> </v>
      </c>
      <c r="G3735" s="303"/>
      <c r="H3735" s="304"/>
    </row>
    <row r="3736">
      <c r="A3736" s="302" t="s">
        <v>22732</v>
      </c>
      <c r="B3736" s="291" t="s">
        <v>23576</v>
      </c>
      <c r="C3736" s="292" t="s">
        <v>48</v>
      </c>
      <c r="D3736" s="293">
        <f t="shared" si="2"/>
        <v>1</v>
      </c>
      <c r="E3736" s="294"/>
      <c r="F3736" s="295" t="str">
        <f>IFERROR(__xludf.DUMMYFUNCTION("IF(B3736="""","""",IFERROR(VLOOKUP(TO_TEXT(B3736),PEDIDOS!D:I,6,0),IFERROR(VLOOKUP(B3736*1,PEDIDOS!D:I,6,0),"" "")))")," ")</f>
        <v> </v>
      </c>
      <c r="G3736" s="305" t="s">
        <v>23518</v>
      </c>
      <c r="H3736" s="304"/>
    </row>
    <row r="3737">
      <c r="A3737" s="302" t="s">
        <v>22732</v>
      </c>
      <c r="B3737" s="291" t="s">
        <v>23577</v>
      </c>
      <c r="C3737" s="292" t="s">
        <v>48</v>
      </c>
      <c r="D3737" s="293">
        <f t="shared" si="2"/>
        <v>0</v>
      </c>
      <c r="E3737" s="294"/>
      <c r="F3737" s="295" t="str">
        <f>IFERROR(__xludf.DUMMYFUNCTION("IF(B3737="""","""",IFERROR(VLOOKUP(TO_TEXT(B3737),PEDIDOS!D:I,6,0),IFERROR(VLOOKUP(B3737*1,PEDIDOS!D:I,6,0),"" "")))")," ")</f>
        <v> </v>
      </c>
      <c r="G3737" s="303"/>
      <c r="H3737" s="304"/>
    </row>
    <row r="3738">
      <c r="A3738" s="302" t="s">
        <v>22732</v>
      </c>
      <c r="B3738" s="291" t="s">
        <v>23578</v>
      </c>
      <c r="C3738" s="292" t="s">
        <v>48</v>
      </c>
      <c r="D3738" s="293">
        <f t="shared" si="2"/>
        <v>0</v>
      </c>
      <c r="E3738" s="294"/>
      <c r="F3738" s="295" t="str">
        <f>IFERROR(__xludf.DUMMYFUNCTION("IF(B3738="""","""",IFERROR(VLOOKUP(TO_TEXT(B3738),PEDIDOS!D:I,6,0),IFERROR(VLOOKUP(B3738*1,PEDIDOS!D:I,6,0),"" "")))")," ")</f>
        <v> </v>
      </c>
      <c r="G3738" s="303"/>
      <c r="H3738" s="304"/>
    </row>
    <row r="3739">
      <c r="A3739" s="302" t="s">
        <v>22732</v>
      </c>
      <c r="B3739" s="291" t="s">
        <v>23579</v>
      </c>
      <c r="C3739" s="292" t="s">
        <v>48</v>
      </c>
      <c r="D3739" s="293">
        <f t="shared" si="2"/>
        <v>0</v>
      </c>
      <c r="E3739" s="294"/>
      <c r="F3739" s="295" t="str">
        <f>IFERROR(__xludf.DUMMYFUNCTION("IF(B3739="""","""",IFERROR(VLOOKUP(TO_TEXT(B3739),PEDIDOS!D:I,6,0),IFERROR(VLOOKUP(B3739*1,PEDIDOS!D:I,6,0),"" "")))")," ")</f>
        <v> </v>
      </c>
      <c r="G3739" s="303"/>
      <c r="H3739" s="304"/>
    </row>
    <row r="3740">
      <c r="A3740" s="302" t="s">
        <v>22732</v>
      </c>
      <c r="B3740" s="291" t="s">
        <v>23580</v>
      </c>
      <c r="C3740" s="292" t="s">
        <v>48</v>
      </c>
      <c r="D3740" s="293">
        <f t="shared" si="2"/>
        <v>0</v>
      </c>
      <c r="E3740" s="294"/>
      <c r="F3740" s="295" t="str">
        <f>IFERROR(__xludf.DUMMYFUNCTION("IF(B3740="""","""",IFERROR(VLOOKUP(TO_TEXT(B3740),PEDIDOS!D:I,6,0),IFERROR(VLOOKUP(B3740*1,PEDIDOS!D:I,6,0),"" "")))")," ")</f>
        <v> </v>
      </c>
      <c r="G3740" s="303"/>
      <c r="H3740" s="304"/>
    </row>
    <row r="3741">
      <c r="A3741" s="302" t="s">
        <v>22732</v>
      </c>
      <c r="B3741" s="291" t="s">
        <v>23581</v>
      </c>
      <c r="C3741" s="292" t="s">
        <v>48</v>
      </c>
      <c r="D3741" s="293">
        <f t="shared" si="2"/>
        <v>0</v>
      </c>
      <c r="E3741" s="294"/>
      <c r="F3741" s="295" t="str">
        <f>IFERROR(__xludf.DUMMYFUNCTION("IF(B3741="""","""",IFERROR(VLOOKUP(TO_TEXT(B3741),PEDIDOS!D:I,6,0),IFERROR(VLOOKUP(B3741*1,PEDIDOS!D:I,6,0),"" "")))")," ")</f>
        <v> </v>
      </c>
      <c r="G3741" s="303"/>
      <c r="H3741" s="304"/>
    </row>
    <row r="3742">
      <c r="A3742" s="302" t="s">
        <v>22732</v>
      </c>
      <c r="B3742" s="291" t="s">
        <v>23582</v>
      </c>
      <c r="C3742" s="292" t="s">
        <v>48</v>
      </c>
      <c r="D3742" s="293">
        <f t="shared" si="2"/>
        <v>0</v>
      </c>
      <c r="E3742" s="294"/>
      <c r="F3742" s="295" t="str">
        <f>IFERROR(__xludf.DUMMYFUNCTION("IF(B3742="""","""",IFERROR(VLOOKUP(TO_TEXT(B3742),PEDIDOS!D:I,6,0),IFERROR(VLOOKUP(B3742*1,PEDIDOS!D:I,6,0),"" "")))")," ")</f>
        <v> </v>
      </c>
      <c r="G3742" s="303"/>
      <c r="H3742" s="304"/>
    </row>
    <row r="3743">
      <c r="A3743" s="302" t="s">
        <v>22732</v>
      </c>
      <c r="B3743" s="291" t="s">
        <v>23583</v>
      </c>
      <c r="C3743" s="292" t="s">
        <v>48</v>
      </c>
      <c r="D3743" s="293">
        <f t="shared" si="2"/>
        <v>1</v>
      </c>
      <c r="E3743" s="294"/>
      <c r="F3743" s="295" t="str">
        <f>IFERROR(__xludf.DUMMYFUNCTION("IF(B3743="""","""",IFERROR(VLOOKUP(TO_TEXT(B3743),PEDIDOS!D:I,6,0),IFERROR(VLOOKUP(B3743*1,PEDIDOS!D:I,6,0),"" "")))")," ")</f>
        <v> </v>
      </c>
      <c r="G3743" s="305" t="s">
        <v>23518</v>
      </c>
      <c r="H3743" s="304"/>
    </row>
    <row r="3744">
      <c r="A3744" s="302" t="s">
        <v>22732</v>
      </c>
      <c r="B3744" s="291" t="s">
        <v>23584</v>
      </c>
      <c r="C3744" s="292" t="s">
        <v>48</v>
      </c>
      <c r="D3744" s="293">
        <f t="shared" si="2"/>
        <v>0</v>
      </c>
      <c r="E3744" s="294"/>
      <c r="F3744" s="295" t="str">
        <f>IFERROR(__xludf.DUMMYFUNCTION("IF(B3744="""","""",IFERROR(VLOOKUP(TO_TEXT(B3744),PEDIDOS!D:I,6,0),IFERROR(VLOOKUP(B3744*1,PEDIDOS!D:I,6,0),"" "")))")," ")</f>
        <v> </v>
      </c>
      <c r="G3744" s="303"/>
      <c r="H3744" s="304"/>
    </row>
    <row r="3745">
      <c r="A3745" s="302" t="s">
        <v>22732</v>
      </c>
      <c r="B3745" s="291" t="s">
        <v>23585</v>
      </c>
      <c r="C3745" s="292" t="s">
        <v>48</v>
      </c>
      <c r="D3745" s="293">
        <f t="shared" si="2"/>
        <v>0</v>
      </c>
      <c r="E3745" s="294"/>
      <c r="F3745" s="295" t="str">
        <f>IFERROR(__xludf.DUMMYFUNCTION("IF(B3745="""","""",IFERROR(VLOOKUP(TO_TEXT(B3745),PEDIDOS!D:I,6,0),IFERROR(VLOOKUP(B3745*1,PEDIDOS!D:I,6,0),"" "")))")," ")</f>
        <v> </v>
      </c>
      <c r="G3745" s="303"/>
      <c r="H3745" s="304"/>
    </row>
    <row r="3746">
      <c r="A3746" s="302" t="s">
        <v>22732</v>
      </c>
      <c r="B3746" s="291" t="s">
        <v>23586</v>
      </c>
      <c r="C3746" s="292" t="s">
        <v>48</v>
      </c>
      <c r="D3746" s="293">
        <f t="shared" si="2"/>
        <v>0</v>
      </c>
      <c r="E3746" s="294"/>
      <c r="F3746" s="295" t="str">
        <f>IFERROR(__xludf.DUMMYFUNCTION("IF(B3746="""","""",IFERROR(VLOOKUP(TO_TEXT(B3746),PEDIDOS!D:I,6,0),IFERROR(VLOOKUP(B3746*1,PEDIDOS!D:I,6,0),"" "")))")," ")</f>
        <v> </v>
      </c>
      <c r="G3746" s="303"/>
      <c r="H3746" s="304"/>
    </row>
    <row r="3747">
      <c r="A3747" s="302" t="s">
        <v>22732</v>
      </c>
      <c r="B3747" s="291" t="s">
        <v>23587</v>
      </c>
      <c r="C3747" s="292" t="s">
        <v>48</v>
      </c>
      <c r="D3747" s="293">
        <f t="shared" si="2"/>
        <v>0</v>
      </c>
      <c r="E3747" s="294"/>
      <c r="F3747" s="295" t="str">
        <f>IFERROR(__xludf.DUMMYFUNCTION("IF(B3747="""","""",IFERROR(VLOOKUP(TO_TEXT(B3747),PEDIDOS!D:I,6,0),IFERROR(VLOOKUP(B3747*1,PEDIDOS!D:I,6,0),"" "")))")," ")</f>
        <v> </v>
      </c>
      <c r="G3747" s="303"/>
      <c r="H3747" s="304"/>
    </row>
    <row r="3748">
      <c r="A3748" s="302" t="s">
        <v>22732</v>
      </c>
      <c r="B3748" s="291" t="s">
        <v>23588</v>
      </c>
      <c r="C3748" s="292" t="s">
        <v>48</v>
      </c>
      <c r="D3748" s="293">
        <f t="shared" si="2"/>
        <v>0</v>
      </c>
      <c r="E3748" s="294"/>
      <c r="F3748" s="295" t="str">
        <f>IFERROR(__xludf.DUMMYFUNCTION("IF(B3748="""","""",IFERROR(VLOOKUP(TO_TEXT(B3748),PEDIDOS!D:I,6,0),IFERROR(VLOOKUP(B3748*1,PEDIDOS!D:I,6,0),"" "")))")," ")</f>
        <v> </v>
      </c>
      <c r="G3748" s="303"/>
      <c r="H3748" s="304"/>
    </row>
    <row r="3749">
      <c r="A3749" s="302" t="s">
        <v>22732</v>
      </c>
      <c r="B3749" s="291" t="s">
        <v>23589</v>
      </c>
      <c r="C3749" s="292" t="s">
        <v>48</v>
      </c>
      <c r="D3749" s="293">
        <f t="shared" si="2"/>
        <v>0</v>
      </c>
      <c r="E3749" s="294"/>
      <c r="F3749" s="295" t="str">
        <f>IFERROR(__xludf.DUMMYFUNCTION("IF(B3749="""","""",IFERROR(VLOOKUP(TO_TEXT(B3749),PEDIDOS!D:I,6,0),IFERROR(VLOOKUP(B3749*1,PEDIDOS!D:I,6,0),"" "")))")," ")</f>
        <v> </v>
      </c>
      <c r="G3749" s="303"/>
      <c r="H3749" s="304"/>
    </row>
    <row r="3750">
      <c r="A3750" s="302" t="s">
        <v>22732</v>
      </c>
      <c r="B3750" s="291" t="s">
        <v>23590</v>
      </c>
      <c r="C3750" s="292" t="s">
        <v>48</v>
      </c>
      <c r="D3750" s="293">
        <f t="shared" si="2"/>
        <v>0</v>
      </c>
      <c r="E3750" s="294"/>
      <c r="F3750" s="295" t="str">
        <f>IFERROR(__xludf.DUMMYFUNCTION("IF(B3750="""","""",IFERROR(VLOOKUP(TO_TEXT(B3750),PEDIDOS!D:I,6,0),IFERROR(VLOOKUP(B3750*1,PEDIDOS!D:I,6,0),"" "")))")," ")</f>
        <v> </v>
      </c>
      <c r="G3750" s="303"/>
      <c r="H3750" s="304"/>
    </row>
    <row r="3751">
      <c r="A3751" s="302" t="s">
        <v>22732</v>
      </c>
      <c r="B3751" s="291" t="s">
        <v>23591</v>
      </c>
      <c r="C3751" s="292" t="s">
        <v>48</v>
      </c>
      <c r="D3751" s="293">
        <f t="shared" si="2"/>
        <v>0</v>
      </c>
      <c r="E3751" s="294"/>
      <c r="F3751" s="295" t="str">
        <f>IFERROR(__xludf.DUMMYFUNCTION("IF(B3751="""","""",IFERROR(VLOOKUP(TO_TEXT(B3751),PEDIDOS!D:I,6,0),IFERROR(VLOOKUP(B3751*1,PEDIDOS!D:I,6,0),"" "")))")," ")</f>
        <v> </v>
      </c>
      <c r="G3751" s="303"/>
      <c r="H3751" s="304"/>
    </row>
    <row r="3752">
      <c r="A3752" s="302" t="s">
        <v>22732</v>
      </c>
      <c r="B3752" s="291" t="s">
        <v>23592</v>
      </c>
      <c r="C3752" s="292" t="s">
        <v>48</v>
      </c>
      <c r="D3752" s="293">
        <f t="shared" si="2"/>
        <v>0</v>
      </c>
      <c r="E3752" s="294"/>
      <c r="F3752" s="295" t="str">
        <f>IFERROR(__xludf.DUMMYFUNCTION("IF(B3752="""","""",IFERROR(VLOOKUP(TO_TEXT(B3752),PEDIDOS!D:I,6,0),IFERROR(VLOOKUP(B3752*1,PEDIDOS!D:I,6,0),"" "")))")," ")</f>
        <v> </v>
      </c>
      <c r="G3752" s="303"/>
      <c r="H3752" s="304"/>
    </row>
    <row r="3753">
      <c r="A3753" s="302" t="s">
        <v>22732</v>
      </c>
      <c r="B3753" s="291" t="s">
        <v>23593</v>
      </c>
      <c r="C3753" s="292" t="s">
        <v>48</v>
      </c>
      <c r="D3753" s="293">
        <f t="shared" si="2"/>
        <v>0</v>
      </c>
      <c r="E3753" s="294"/>
      <c r="F3753" s="295" t="str">
        <f>IFERROR(__xludf.DUMMYFUNCTION("IF(B3753="""","""",IFERROR(VLOOKUP(TO_TEXT(B3753),PEDIDOS!D:I,6,0),IFERROR(VLOOKUP(B3753*1,PEDIDOS!D:I,6,0),"" "")))")," ")</f>
        <v> </v>
      </c>
      <c r="G3753" s="303"/>
      <c r="H3753" s="304"/>
    </row>
    <row r="3754">
      <c r="A3754" s="302" t="s">
        <v>22732</v>
      </c>
      <c r="B3754" s="291" t="s">
        <v>23594</v>
      </c>
      <c r="C3754" s="292" t="s">
        <v>48</v>
      </c>
      <c r="D3754" s="293">
        <f t="shared" si="2"/>
        <v>0</v>
      </c>
      <c r="E3754" s="294"/>
      <c r="F3754" s="295" t="str">
        <f>IFERROR(__xludf.DUMMYFUNCTION("IF(B3754="""","""",IFERROR(VLOOKUP(TO_TEXT(B3754),PEDIDOS!D:I,6,0),IFERROR(VLOOKUP(B3754*1,PEDIDOS!D:I,6,0),"" "")))")," ")</f>
        <v> </v>
      </c>
      <c r="G3754" s="303"/>
      <c r="H3754" s="304"/>
    </row>
    <row r="3755">
      <c r="A3755" s="302" t="s">
        <v>22732</v>
      </c>
      <c r="B3755" s="291" t="s">
        <v>23595</v>
      </c>
      <c r="C3755" s="292" t="s">
        <v>48</v>
      </c>
      <c r="D3755" s="293">
        <f t="shared" si="2"/>
        <v>0</v>
      </c>
      <c r="E3755" s="294"/>
      <c r="F3755" s="295" t="str">
        <f>IFERROR(__xludf.DUMMYFUNCTION("IF(B3755="""","""",IFERROR(VLOOKUP(TO_TEXT(B3755),PEDIDOS!D:I,6,0),IFERROR(VLOOKUP(B3755*1,PEDIDOS!D:I,6,0),"" "")))")," ")</f>
        <v> </v>
      </c>
      <c r="G3755" s="303"/>
      <c r="H3755" s="304"/>
    </row>
    <row r="3756">
      <c r="A3756" s="302" t="s">
        <v>22732</v>
      </c>
      <c r="B3756" s="291" t="s">
        <v>23596</v>
      </c>
      <c r="C3756" s="292" t="s">
        <v>48</v>
      </c>
      <c r="D3756" s="293">
        <f t="shared" si="2"/>
        <v>0</v>
      </c>
      <c r="E3756" s="294"/>
      <c r="F3756" s="295" t="str">
        <f>IFERROR(__xludf.DUMMYFUNCTION("IF(B3756="""","""",IFERROR(VLOOKUP(TO_TEXT(B3756),PEDIDOS!D:I,6,0),IFERROR(VLOOKUP(B3756*1,PEDIDOS!D:I,6,0),"" "")))")," ")</f>
        <v> </v>
      </c>
      <c r="G3756" s="303"/>
      <c r="H3756" s="304"/>
    </row>
    <row r="3757">
      <c r="A3757" s="302" t="s">
        <v>22732</v>
      </c>
      <c r="B3757" s="291" t="s">
        <v>23597</v>
      </c>
      <c r="C3757" s="292" t="s">
        <v>48</v>
      </c>
      <c r="D3757" s="293">
        <f t="shared" si="2"/>
        <v>0</v>
      </c>
      <c r="E3757" s="294"/>
      <c r="F3757" s="295" t="str">
        <f>IFERROR(__xludf.DUMMYFUNCTION("IF(B3757="""","""",IFERROR(VLOOKUP(TO_TEXT(B3757),PEDIDOS!D:I,6,0),IFERROR(VLOOKUP(B3757*1,PEDIDOS!D:I,6,0),"" "")))")," ")</f>
        <v> </v>
      </c>
      <c r="G3757" s="303"/>
      <c r="H3757" s="304"/>
    </row>
    <row r="3758">
      <c r="A3758" s="302" t="s">
        <v>22732</v>
      </c>
      <c r="B3758" s="291" t="s">
        <v>23598</v>
      </c>
      <c r="C3758" s="292" t="s">
        <v>48</v>
      </c>
      <c r="D3758" s="293">
        <f t="shared" si="2"/>
        <v>0</v>
      </c>
      <c r="E3758" s="294"/>
      <c r="F3758" s="295" t="str">
        <f>IFERROR(__xludf.DUMMYFUNCTION("IF(B3758="""","""",IFERROR(VLOOKUP(TO_TEXT(B3758),PEDIDOS!D:I,6,0),IFERROR(VLOOKUP(B3758*1,PEDIDOS!D:I,6,0),"" "")))")," ")</f>
        <v> </v>
      </c>
      <c r="G3758" s="303"/>
      <c r="H3758" s="304"/>
    </row>
    <row r="3759">
      <c r="A3759" s="302" t="s">
        <v>22732</v>
      </c>
      <c r="B3759" s="291" t="s">
        <v>23599</v>
      </c>
      <c r="C3759" s="292" t="s">
        <v>48</v>
      </c>
      <c r="D3759" s="293">
        <f t="shared" si="2"/>
        <v>1</v>
      </c>
      <c r="E3759" s="294"/>
      <c r="F3759" s="295" t="str">
        <f>IFERROR(__xludf.DUMMYFUNCTION("IF(B3759="""","""",IFERROR(VLOOKUP(TO_TEXT(B3759),PEDIDOS!D:I,6,0),IFERROR(VLOOKUP(B3759*1,PEDIDOS!D:I,6,0),"" "")))")," ")</f>
        <v> </v>
      </c>
      <c r="G3759" s="305" t="s">
        <v>23518</v>
      </c>
      <c r="H3759" s="304"/>
    </row>
    <row r="3760">
      <c r="A3760" s="302" t="s">
        <v>22732</v>
      </c>
      <c r="B3760" s="291" t="s">
        <v>23600</v>
      </c>
      <c r="C3760" s="292" t="s">
        <v>48</v>
      </c>
      <c r="D3760" s="293">
        <f t="shared" si="2"/>
        <v>1</v>
      </c>
      <c r="E3760" s="294"/>
      <c r="F3760" s="295" t="str">
        <f>IFERROR(__xludf.DUMMYFUNCTION("IF(B3760="""","""",IFERROR(VLOOKUP(TO_TEXT(B3760),PEDIDOS!D:I,6,0),IFERROR(VLOOKUP(B3760*1,PEDIDOS!D:I,6,0),"" "")))")," ")</f>
        <v> </v>
      </c>
      <c r="G3760" s="305" t="s">
        <v>23518</v>
      </c>
      <c r="H3760" s="304"/>
    </row>
    <row r="3761">
      <c r="A3761" s="302" t="s">
        <v>22732</v>
      </c>
      <c r="B3761" s="291" t="s">
        <v>23601</v>
      </c>
      <c r="C3761" s="292" t="s">
        <v>48</v>
      </c>
      <c r="D3761" s="293">
        <f t="shared" si="2"/>
        <v>1</v>
      </c>
      <c r="E3761" s="294"/>
      <c r="F3761" s="295" t="str">
        <f>IFERROR(__xludf.DUMMYFUNCTION("IF(B3761="""","""",IFERROR(VLOOKUP(TO_TEXT(B3761),PEDIDOS!D:I,6,0),IFERROR(VLOOKUP(B3761*1,PEDIDOS!D:I,6,0),"" "")))")," ")</f>
        <v> </v>
      </c>
      <c r="G3761" s="305" t="s">
        <v>23518</v>
      </c>
      <c r="H3761" s="304"/>
    </row>
    <row r="3762">
      <c r="A3762" s="302" t="s">
        <v>19952</v>
      </c>
      <c r="B3762" s="291" t="s">
        <v>23602</v>
      </c>
      <c r="C3762" s="292" t="s">
        <v>48</v>
      </c>
      <c r="D3762" s="293">
        <f t="shared" si="2"/>
        <v>1</v>
      </c>
      <c r="E3762" s="294"/>
      <c r="F3762" s="295" t="str">
        <f>IFERROR(__xludf.DUMMYFUNCTION("IF(B3762="""","""",IFERROR(VLOOKUP(TO_TEXT(B3762),PEDIDOS!D:I,6,0),IFERROR(VLOOKUP(B3762*1,PEDIDOS!D:I,6,0),"" "")))")," ")</f>
        <v> </v>
      </c>
      <c r="G3762" s="303" t="s">
        <v>23603</v>
      </c>
      <c r="H3762" s="304"/>
    </row>
    <row r="3763">
      <c r="A3763" s="302" t="s">
        <v>19952</v>
      </c>
      <c r="B3763" s="291" t="s">
        <v>23604</v>
      </c>
      <c r="C3763" s="292" t="s">
        <v>48</v>
      </c>
      <c r="D3763" s="293">
        <f t="shared" si="2"/>
        <v>1</v>
      </c>
      <c r="E3763" s="294"/>
      <c r="F3763" s="295" t="str">
        <f>IFERROR(__xludf.DUMMYFUNCTION("IF(B3763="""","""",IFERROR(VLOOKUP(TO_TEXT(B3763),PEDIDOS!D:I,6,0),IFERROR(VLOOKUP(B3763*1,PEDIDOS!D:I,6,0),"" "")))")," ")</f>
        <v> </v>
      </c>
      <c r="G3763" s="303" t="s">
        <v>23603</v>
      </c>
      <c r="H3763" s="304"/>
    </row>
    <row r="3764">
      <c r="A3764" s="302" t="s">
        <v>19952</v>
      </c>
      <c r="B3764" s="291" t="s">
        <v>23605</v>
      </c>
      <c r="C3764" s="292" t="s">
        <v>48</v>
      </c>
      <c r="D3764" s="293">
        <f t="shared" si="2"/>
        <v>1</v>
      </c>
      <c r="E3764" s="294"/>
      <c r="F3764" s="295" t="str">
        <f>IFERROR(__xludf.DUMMYFUNCTION("IF(B3764="""","""",IFERROR(VLOOKUP(TO_TEXT(B3764),PEDIDOS!D:I,6,0),IFERROR(VLOOKUP(B3764*1,PEDIDOS!D:I,6,0),"" "")))")," ")</f>
        <v> </v>
      </c>
      <c r="G3764" s="303" t="s">
        <v>23603</v>
      </c>
      <c r="H3764" s="304"/>
    </row>
    <row r="3765">
      <c r="A3765" s="302" t="s">
        <v>22732</v>
      </c>
      <c r="B3765" s="291" t="s">
        <v>23606</v>
      </c>
      <c r="C3765" s="292" t="s">
        <v>48</v>
      </c>
      <c r="D3765" s="293">
        <f t="shared" si="2"/>
        <v>1</v>
      </c>
      <c r="E3765" s="294"/>
      <c r="F3765" s="295" t="str">
        <f>IFERROR(__xludf.DUMMYFUNCTION("IF(B3765="""","""",IFERROR(VLOOKUP(TO_TEXT(B3765),PEDIDOS!D:I,6,0),IFERROR(VLOOKUP(B3765*1,PEDIDOS!D:I,6,0),"" "")))")," ")</f>
        <v> </v>
      </c>
      <c r="G3765" s="303" t="s">
        <v>23603</v>
      </c>
      <c r="H3765" s="304"/>
    </row>
    <row r="3766">
      <c r="A3766" s="302" t="s">
        <v>22732</v>
      </c>
      <c r="B3766" s="291" t="s">
        <v>23607</v>
      </c>
      <c r="C3766" s="292" t="s">
        <v>48</v>
      </c>
      <c r="D3766" s="293">
        <f t="shared" si="2"/>
        <v>1</v>
      </c>
      <c r="E3766" s="294"/>
      <c r="F3766" s="295" t="str">
        <f>IFERROR(__xludf.DUMMYFUNCTION("IF(B3766="""","""",IFERROR(VLOOKUP(TO_TEXT(B3766),PEDIDOS!D:I,6,0),IFERROR(VLOOKUP(B3766*1,PEDIDOS!D:I,6,0),"" "")))")," ")</f>
        <v> </v>
      </c>
      <c r="G3766" s="303" t="s">
        <v>23603</v>
      </c>
      <c r="H3766" s="304"/>
    </row>
    <row r="3767">
      <c r="A3767" s="302" t="s">
        <v>3441</v>
      </c>
      <c r="B3767" s="291" t="s">
        <v>20707</v>
      </c>
      <c r="C3767" s="292" t="s">
        <v>48</v>
      </c>
      <c r="D3767" s="293">
        <f t="shared" si="2"/>
        <v>1</v>
      </c>
      <c r="E3767" s="294" t="s">
        <v>23608</v>
      </c>
      <c r="F3767" s="295" t="str">
        <f>IFERROR(__xludf.DUMMYFUNCTION("IF(B3767="""","""",IFERROR(VLOOKUP(TO_TEXT(B3767),PEDIDOS!D:I,6,0),IFERROR(VLOOKUP(B3767*1,PEDIDOS!D:I,6,0),"" "")))"),"ENTREGUE")</f>
        <v>ENTREGUE</v>
      </c>
      <c r="G3767" s="307"/>
      <c r="H3767" s="304"/>
    </row>
    <row r="3768">
      <c r="A3768" s="302" t="s">
        <v>3441</v>
      </c>
      <c r="B3768" s="291" t="s">
        <v>20572</v>
      </c>
      <c r="C3768" s="292" t="s">
        <v>48</v>
      </c>
      <c r="D3768" s="293">
        <f t="shared" si="2"/>
        <v>1</v>
      </c>
      <c r="E3768" s="294" t="s">
        <v>23608</v>
      </c>
      <c r="F3768" s="295" t="str">
        <f>IFERROR(__xludf.DUMMYFUNCTION("IF(B3768="""","""",IFERROR(VLOOKUP(TO_TEXT(B3768),PEDIDOS!D:I,6,0),IFERROR(VLOOKUP(B3768*1,PEDIDOS!D:I,6,0),"" "")))"),"ENTREGUE")</f>
        <v>ENTREGUE</v>
      </c>
      <c r="G3768" s="307"/>
      <c r="H3768" s="304"/>
    </row>
    <row r="3769">
      <c r="A3769" s="302" t="s">
        <v>3441</v>
      </c>
      <c r="B3769" s="291" t="s">
        <v>20716</v>
      </c>
      <c r="C3769" s="292" t="s">
        <v>48</v>
      </c>
      <c r="D3769" s="293">
        <f t="shared" si="2"/>
        <v>1</v>
      </c>
      <c r="E3769" s="294" t="s">
        <v>23608</v>
      </c>
      <c r="F3769" s="295" t="str">
        <f>IFERROR(__xludf.DUMMYFUNCTION("IF(B3769="""","""",IFERROR(VLOOKUP(TO_TEXT(B3769),PEDIDOS!D:I,6,0),IFERROR(VLOOKUP(B3769*1,PEDIDOS!D:I,6,0),"" "")))"),"ENTREGUE")</f>
        <v>ENTREGUE</v>
      </c>
      <c r="G3769" s="307"/>
      <c r="H3769" s="304"/>
    </row>
    <row r="3770">
      <c r="A3770" s="302" t="s">
        <v>3441</v>
      </c>
      <c r="B3770" s="291" t="s">
        <v>20729</v>
      </c>
      <c r="C3770" s="292" t="s">
        <v>48</v>
      </c>
      <c r="D3770" s="293">
        <f t="shared" si="2"/>
        <v>1</v>
      </c>
      <c r="E3770" s="294" t="s">
        <v>23608</v>
      </c>
      <c r="F3770" s="295" t="str">
        <f>IFERROR(__xludf.DUMMYFUNCTION("IF(B3770="""","""",IFERROR(VLOOKUP(TO_TEXT(B3770),PEDIDOS!D:I,6,0),IFERROR(VLOOKUP(B3770*1,PEDIDOS!D:I,6,0),"" "")))"),"ENTREGUE")</f>
        <v>ENTREGUE</v>
      </c>
      <c r="G3770" s="307"/>
      <c r="H3770" s="304"/>
    </row>
    <row r="3771">
      <c r="A3771" s="302" t="s">
        <v>3441</v>
      </c>
      <c r="B3771" s="291" t="s">
        <v>20712</v>
      </c>
      <c r="C3771" s="292" t="s">
        <v>48</v>
      </c>
      <c r="D3771" s="293">
        <f t="shared" si="2"/>
        <v>1</v>
      </c>
      <c r="E3771" s="294" t="s">
        <v>23608</v>
      </c>
      <c r="F3771" s="295" t="str">
        <f>IFERROR(__xludf.DUMMYFUNCTION("IF(B3771="""","""",IFERROR(VLOOKUP(TO_TEXT(B3771),PEDIDOS!D:I,6,0),IFERROR(VLOOKUP(B3771*1,PEDIDOS!D:I,6,0),"" "")))"),"ENTREGUE")</f>
        <v>ENTREGUE</v>
      </c>
      <c r="G3771" s="307"/>
      <c r="H3771" s="304"/>
    </row>
    <row r="3772">
      <c r="A3772" s="302" t="s">
        <v>3441</v>
      </c>
      <c r="B3772" s="291" t="s">
        <v>20417</v>
      </c>
      <c r="C3772" s="292" t="s">
        <v>48</v>
      </c>
      <c r="D3772" s="293">
        <f t="shared" si="2"/>
        <v>1</v>
      </c>
      <c r="E3772" s="294" t="s">
        <v>23608</v>
      </c>
      <c r="F3772" s="295" t="str">
        <f>IFERROR(__xludf.DUMMYFUNCTION("IF(B3772="""","""",IFERROR(VLOOKUP(TO_TEXT(B3772),PEDIDOS!D:I,6,0),IFERROR(VLOOKUP(B3772*1,PEDIDOS!D:I,6,0),"" "")))"),"ENTREGUE")</f>
        <v>ENTREGUE</v>
      </c>
      <c r="G3772" s="307"/>
      <c r="H3772" s="304"/>
    </row>
    <row r="3773">
      <c r="A3773" s="302" t="s">
        <v>3441</v>
      </c>
      <c r="B3773" s="291" t="s">
        <v>20564</v>
      </c>
      <c r="C3773" s="292" t="s">
        <v>48</v>
      </c>
      <c r="D3773" s="293">
        <f t="shared" si="2"/>
        <v>1</v>
      </c>
      <c r="E3773" s="294" t="s">
        <v>23608</v>
      </c>
      <c r="F3773" s="295" t="str">
        <f>IFERROR(__xludf.DUMMYFUNCTION("IF(B3773="""","""",IFERROR(VLOOKUP(TO_TEXT(B3773),PEDIDOS!D:I,6,0),IFERROR(VLOOKUP(B3773*1,PEDIDOS!D:I,6,0),"" "")))"),"ENTREGUE")</f>
        <v>ENTREGUE</v>
      </c>
      <c r="G3773" s="307"/>
      <c r="H3773" s="304"/>
    </row>
    <row r="3774">
      <c r="A3774" s="302" t="s">
        <v>3441</v>
      </c>
      <c r="B3774" s="291" t="s">
        <v>20568</v>
      </c>
      <c r="C3774" s="292" t="s">
        <v>48</v>
      </c>
      <c r="D3774" s="293">
        <f t="shared" si="2"/>
        <v>1</v>
      </c>
      <c r="E3774" s="294" t="s">
        <v>23608</v>
      </c>
      <c r="F3774" s="295" t="str">
        <f>IFERROR(__xludf.DUMMYFUNCTION("IF(B3774="""","""",IFERROR(VLOOKUP(TO_TEXT(B3774),PEDIDOS!D:I,6,0),IFERROR(VLOOKUP(B3774*1,PEDIDOS!D:I,6,0),"" "")))"),"ENTREGUE")</f>
        <v>ENTREGUE</v>
      </c>
      <c r="G3774" s="307"/>
      <c r="H3774" s="304"/>
    </row>
    <row r="3775">
      <c r="A3775" s="302" t="s">
        <v>3441</v>
      </c>
      <c r="B3775" s="291" t="s">
        <v>20802</v>
      </c>
      <c r="C3775" s="292" t="s">
        <v>48</v>
      </c>
      <c r="D3775" s="293">
        <f t="shared" si="2"/>
        <v>1</v>
      </c>
      <c r="E3775" s="294" t="s">
        <v>23608</v>
      </c>
      <c r="F3775" s="295" t="str">
        <f>IFERROR(__xludf.DUMMYFUNCTION("IF(B3775="""","""",IFERROR(VLOOKUP(TO_TEXT(B3775),PEDIDOS!D:I,6,0),IFERROR(VLOOKUP(B3775*1,PEDIDOS!D:I,6,0),"" "")))"),"ENTREGUE")</f>
        <v>ENTREGUE</v>
      </c>
      <c r="G3775" s="307"/>
      <c r="H3775" s="304"/>
    </row>
    <row r="3776">
      <c r="A3776" s="302" t="s">
        <v>3441</v>
      </c>
      <c r="B3776" s="291" t="s">
        <v>20770</v>
      </c>
      <c r="C3776" s="292" t="s">
        <v>48</v>
      </c>
      <c r="D3776" s="293">
        <f t="shared" si="2"/>
        <v>1</v>
      </c>
      <c r="E3776" s="294" t="s">
        <v>23608</v>
      </c>
      <c r="F3776" s="295" t="str">
        <f>IFERROR(__xludf.DUMMYFUNCTION("IF(B3776="""","""",IFERROR(VLOOKUP(TO_TEXT(B3776),PEDIDOS!D:I,6,0),IFERROR(VLOOKUP(B3776*1,PEDIDOS!D:I,6,0),"" "")))"),"ENTREGUE")</f>
        <v>ENTREGUE</v>
      </c>
      <c r="G3776" s="307"/>
      <c r="H3776" s="304"/>
    </row>
    <row r="3777">
      <c r="A3777" s="302" t="s">
        <v>3441</v>
      </c>
      <c r="B3777" s="291" t="s">
        <v>20703</v>
      </c>
      <c r="C3777" s="292" t="s">
        <v>48</v>
      </c>
      <c r="D3777" s="293">
        <f t="shared" si="2"/>
        <v>1</v>
      </c>
      <c r="E3777" s="294" t="s">
        <v>23608</v>
      </c>
      <c r="F3777" s="295" t="str">
        <f>IFERROR(__xludf.DUMMYFUNCTION("IF(B3777="""","""",IFERROR(VLOOKUP(TO_TEXT(B3777),PEDIDOS!D:I,6,0),IFERROR(VLOOKUP(B3777*1,PEDIDOS!D:I,6,0),"" "")))"),"ENTREGUE")</f>
        <v>ENTREGUE</v>
      </c>
      <c r="G3777" s="307"/>
      <c r="H3777" s="304"/>
    </row>
    <row r="3778">
      <c r="A3778" s="302" t="s">
        <v>3441</v>
      </c>
      <c r="B3778" s="291" t="s">
        <v>20693</v>
      </c>
      <c r="C3778" s="292" t="s">
        <v>48</v>
      </c>
      <c r="D3778" s="293">
        <f t="shared" si="2"/>
        <v>1</v>
      </c>
      <c r="E3778" s="294" t="s">
        <v>23608</v>
      </c>
      <c r="F3778" s="295" t="str">
        <f>IFERROR(__xludf.DUMMYFUNCTION("IF(B3778="""","""",IFERROR(VLOOKUP(TO_TEXT(B3778),PEDIDOS!D:I,6,0),IFERROR(VLOOKUP(B3778*1,PEDIDOS!D:I,6,0),"" "")))"),"ENTREGUE")</f>
        <v>ENTREGUE</v>
      </c>
      <c r="G3778" s="307"/>
      <c r="H3778" s="304"/>
    </row>
    <row r="3779">
      <c r="A3779" s="302" t="s">
        <v>3441</v>
      </c>
      <c r="B3779" s="291" t="s">
        <v>20922</v>
      </c>
      <c r="C3779" s="292" t="s">
        <v>48</v>
      </c>
      <c r="D3779" s="293">
        <f t="shared" si="2"/>
        <v>1</v>
      </c>
      <c r="E3779" s="294" t="s">
        <v>23608</v>
      </c>
      <c r="F3779" s="295" t="str">
        <f>IFERROR(__xludf.DUMMYFUNCTION("IF(B3779="""","""",IFERROR(VLOOKUP(TO_TEXT(B3779),PEDIDOS!D:I,6,0),IFERROR(VLOOKUP(B3779*1,PEDIDOS!D:I,6,0),"" "")))"),"ENTREGUE")</f>
        <v>ENTREGUE</v>
      </c>
      <c r="G3779" s="307"/>
      <c r="H3779" s="304"/>
    </row>
    <row r="3780">
      <c r="A3780" s="302" t="s">
        <v>3441</v>
      </c>
      <c r="B3780" s="291" t="s">
        <v>20831</v>
      </c>
      <c r="C3780" s="292" t="s">
        <v>48</v>
      </c>
      <c r="D3780" s="293">
        <f t="shared" si="2"/>
        <v>1</v>
      </c>
      <c r="E3780" s="294" t="s">
        <v>23608</v>
      </c>
      <c r="F3780" s="295" t="str">
        <f>IFERROR(__xludf.DUMMYFUNCTION("IF(B3780="""","""",IFERROR(VLOOKUP(TO_TEXT(B3780),PEDIDOS!D:I,6,0),IFERROR(VLOOKUP(B3780*1,PEDIDOS!D:I,6,0),"" "")))"),"ENTREGUE")</f>
        <v>ENTREGUE</v>
      </c>
      <c r="G3780" s="307"/>
      <c r="H3780" s="304"/>
    </row>
    <row r="3781">
      <c r="A3781" s="302" t="s">
        <v>3441</v>
      </c>
      <c r="B3781" s="291" t="s">
        <v>20757</v>
      </c>
      <c r="C3781" s="292" t="s">
        <v>48</v>
      </c>
      <c r="D3781" s="293">
        <f t="shared" si="2"/>
        <v>1</v>
      </c>
      <c r="E3781" s="294" t="s">
        <v>23608</v>
      </c>
      <c r="F3781" s="295" t="str">
        <f>IFERROR(__xludf.DUMMYFUNCTION("IF(B3781="""","""",IFERROR(VLOOKUP(TO_TEXT(B3781),PEDIDOS!D:I,6,0),IFERROR(VLOOKUP(B3781*1,PEDIDOS!D:I,6,0),"" "")))"),"ENTREGUE")</f>
        <v>ENTREGUE</v>
      </c>
      <c r="G3781" s="307"/>
      <c r="H3781" s="304"/>
    </row>
    <row r="3782">
      <c r="A3782" s="302" t="s">
        <v>3441</v>
      </c>
      <c r="B3782" s="291" t="s">
        <v>20898</v>
      </c>
      <c r="C3782" s="292" t="s">
        <v>48</v>
      </c>
      <c r="D3782" s="293">
        <f t="shared" si="2"/>
        <v>1</v>
      </c>
      <c r="E3782" s="294" t="s">
        <v>23608</v>
      </c>
      <c r="F3782" s="295" t="str">
        <f>IFERROR(__xludf.DUMMYFUNCTION("IF(B3782="""","""",IFERROR(VLOOKUP(TO_TEXT(B3782),PEDIDOS!D:I,6,0),IFERROR(VLOOKUP(B3782*1,PEDIDOS!D:I,6,0),"" "")))"),"ENTREGUE")</f>
        <v>ENTREGUE</v>
      </c>
      <c r="G3782" s="307"/>
      <c r="H3782" s="304"/>
    </row>
    <row r="3783">
      <c r="A3783" s="302" t="s">
        <v>3441</v>
      </c>
      <c r="B3783" s="291" t="s">
        <v>20960</v>
      </c>
      <c r="C3783" s="292" t="s">
        <v>48</v>
      </c>
      <c r="D3783" s="293">
        <f t="shared" si="2"/>
        <v>1</v>
      </c>
      <c r="E3783" s="294" t="s">
        <v>23608</v>
      </c>
      <c r="F3783" s="295" t="str">
        <f>IFERROR(__xludf.DUMMYFUNCTION("IF(B3783="""","""",IFERROR(VLOOKUP(TO_TEXT(B3783),PEDIDOS!D:I,6,0),IFERROR(VLOOKUP(B3783*1,PEDIDOS!D:I,6,0),"" "")))"),"ENTREGUE")</f>
        <v>ENTREGUE</v>
      </c>
      <c r="G3783" s="307"/>
      <c r="H3783" s="304"/>
    </row>
    <row r="3784">
      <c r="A3784" s="302" t="s">
        <v>3441</v>
      </c>
      <c r="B3784" s="291" t="s">
        <v>20766</v>
      </c>
      <c r="C3784" s="292" t="s">
        <v>48</v>
      </c>
      <c r="D3784" s="293">
        <f t="shared" si="2"/>
        <v>1</v>
      </c>
      <c r="E3784" s="294" t="s">
        <v>23608</v>
      </c>
      <c r="F3784" s="295" t="str">
        <f>IFERROR(__xludf.DUMMYFUNCTION("IF(B3784="""","""",IFERROR(VLOOKUP(TO_TEXT(B3784),PEDIDOS!D:I,6,0),IFERROR(VLOOKUP(B3784*1,PEDIDOS!D:I,6,0),"" "")))"),"ENTREGUE")</f>
        <v>ENTREGUE</v>
      </c>
      <c r="G3784" s="307"/>
      <c r="H3784" s="304"/>
    </row>
    <row r="3785">
      <c r="A3785" s="302" t="s">
        <v>3441</v>
      </c>
      <c r="B3785" s="291" t="s">
        <v>20883</v>
      </c>
      <c r="C3785" s="292" t="s">
        <v>48</v>
      </c>
      <c r="D3785" s="293">
        <f t="shared" si="2"/>
        <v>1</v>
      </c>
      <c r="E3785" s="294" t="s">
        <v>23608</v>
      </c>
      <c r="F3785" s="295" t="str">
        <f>IFERROR(__xludf.DUMMYFUNCTION("IF(B3785="""","""",IFERROR(VLOOKUP(TO_TEXT(B3785),PEDIDOS!D:I,6,0),IFERROR(VLOOKUP(B3785*1,PEDIDOS!D:I,6,0),"" "")))"),"ENTREGUE")</f>
        <v>ENTREGUE</v>
      </c>
      <c r="G3785" s="307"/>
      <c r="H3785" s="304"/>
    </row>
    <row r="3786">
      <c r="A3786" s="302" t="s">
        <v>3441</v>
      </c>
      <c r="B3786" s="291" t="s">
        <v>20559</v>
      </c>
      <c r="C3786" s="292" t="s">
        <v>48</v>
      </c>
      <c r="D3786" s="293">
        <f t="shared" si="2"/>
        <v>1</v>
      </c>
      <c r="E3786" s="294" t="s">
        <v>23608</v>
      </c>
      <c r="F3786" s="295" t="str">
        <f>IFERROR(__xludf.DUMMYFUNCTION("IF(B3786="""","""",IFERROR(VLOOKUP(TO_TEXT(B3786),PEDIDOS!D:I,6,0),IFERROR(VLOOKUP(B3786*1,PEDIDOS!D:I,6,0),"" "")))"),"ENTREGUE")</f>
        <v>ENTREGUE</v>
      </c>
      <c r="G3786" s="307"/>
      <c r="H3786" s="304"/>
    </row>
    <row r="3787">
      <c r="A3787" s="302" t="s">
        <v>85</v>
      </c>
      <c r="B3787" s="291" t="s">
        <v>23609</v>
      </c>
      <c r="C3787" s="292" t="s">
        <v>48</v>
      </c>
      <c r="D3787" s="293">
        <f t="shared" si="2"/>
        <v>0</v>
      </c>
      <c r="E3787" s="294" t="s">
        <v>23608</v>
      </c>
      <c r="F3787" s="295" t="str">
        <f>IFERROR(__xludf.DUMMYFUNCTION("IF(B3787="""","""",IFERROR(VLOOKUP(TO_TEXT(B3787),PEDIDOS!D:I,6,0),IFERROR(VLOOKUP(B3787*1,PEDIDOS!D:I,6,0),"" "")))")," ")</f>
        <v> </v>
      </c>
      <c r="G3787" s="307"/>
      <c r="H3787" s="304"/>
    </row>
    <row r="3788">
      <c r="A3788" s="302" t="s">
        <v>85</v>
      </c>
      <c r="B3788" s="291" t="s">
        <v>23610</v>
      </c>
      <c r="C3788" s="292" t="s">
        <v>48</v>
      </c>
      <c r="D3788" s="293">
        <f t="shared" si="2"/>
        <v>0</v>
      </c>
      <c r="E3788" s="294" t="s">
        <v>23608</v>
      </c>
      <c r="F3788" s="295" t="str">
        <f>IFERROR(__xludf.DUMMYFUNCTION("IF(B3788="""","""",IFERROR(VLOOKUP(TO_TEXT(B3788),PEDIDOS!D:I,6,0),IFERROR(VLOOKUP(B3788*1,PEDIDOS!D:I,6,0),"" "")))")," ")</f>
        <v> </v>
      </c>
      <c r="G3788" s="307"/>
      <c r="H3788" s="304"/>
    </row>
    <row r="3789">
      <c r="A3789" s="302" t="s">
        <v>85</v>
      </c>
      <c r="B3789" s="291" t="s">
        <v>23611</v>
      </c>
      <c r="C3789" s="292" t="s">
        <v>48</v>
      </c>
      <c r="D3789" s="293">
        <f t="shared" si="2"/>
        <v>0</v>
      </c>
      <c r="E3789" s="294" t="s">
        <v>23608</v>
      </c>
      <c r="F3789" s="295" t="str">
        <f>IFERROR(__xludf.DUMMYFUNCTION("IF(B3789="""","""",IFERROR(VLOOKUP(TO_TEXT(B3789),PEDIDOS!D:I,6,0),IFERROR(VLOOKUP(B3789*1,PEDIDOS!D:I,6,0),"" "")))")," ")</f>
        <v> </v>
      </c>
      <c r="G3789" s="307"/>
      <c r="H3789" s="304"/>
    </row>
    <row r="3790">
      <c r="A3790" s="302" t="s">
        <v>85</v>
      </c>
      <c r="B3790" s="291" t="s">
        <v>23612</v>
      </c>
      <c r="C3790" s="292" t="s">
        <v>48</v>
      </c>
      <c r="D3790" s="293">
        <f t="shared" si="2"/>
        <v>0</v>
      </c>
      <c r="E3790" s="294" t="s">
        <v>23608</v>
      </c>
      <c r="F3790" s="295" t="str">
        <f>IFERROR(__xludf.DUMMYFUNCTION("IF(B3790="""","""",IFERROR(VLOOKUP(TO_TEXT(B3790),PEDIDOS!D:I,6,0),IFERROR(VLOOKUP(B3790*1,PEDIDOS!D:I,6,0),"" "")))")," ")</f>
        <v> </v>
      </c>
      <c r="G3790" s="307"/>
      <c r="H3790" s="304"/>
    </row>
    <row r="3791">
      <c r="A3791" s="302" t="s">
        <v>85</v>
      </c>
      <c r="B3791" s="291" t="s">
        <v>23613</v>
      </c>
      <c r="C3791" s="292" t="s">
        <v>48</v>
      </c>
      <c r="D3791" s="293">
        <f t="shared" si="2"/>
        <v>0</v>
      </c>
      <c r="E3791" s="294" t="s">
        <v>23608</v>
      </c>
      <c r="F3791" s="295" t="str">
        <f>IFERROR(__xludf.DUMMYFUNCTION("IF(B3791="""","""",IFERROR(VLOOKUP(TO_TEXT(B3791),PEDIDOS!D:I,6,0),IFERROR(VLOOKUP(B3791*1,PEDIDOS!D:I,6,0),"" "")))")," ")</f>
        <v> </v>
      </c>
      <c r="G3791" s="307"/>
      <c r="H3791" s="304"/>
    </row>
    <row r="3792">
      <c r="A3792" s="302" t="s">
        <v>85</v>
      </c>
      <c r="B3792" s="291" t="s">
        <v>23614</v>
      </c>
      <c r="C3792" s="292" t="s">
        <v>48</v>
      </c>
      <c r="D3792" s="293">
        <f t="shared" si="2"/>
        <v>0</v>
      </c>
      <c r="E3792" s="294" t="s">
        <v>23608</v>
      </c>
      <c r="F3792" s="295" t="str">
        <f>IFERROR(__xludf.DUMMYFUNCTION("IF(B3792="""","""",IFERROR(VLOOKUP(TO_TEXT(B3792),PEDIDOS!D:I,6,0),IFERROR(VLOOKUP(B3792*1,PEDIDOS!D:I,6,0),"" "")))")," ")</f>
        <v> </v>
      </c>
      <c r="G3792" s="307"/>
      <c r="H3792" s="304"/>
    </row>
    <row r="3793">
      <c r="A3793" s="302" t="s">
        <v>85</v>
      </c>
      <c r="B3793" s="291" t="s">
        <v>23615</v>
      </c>
      <c r="C3793" s="292" t="s">
        <v>48</v>
      </c>
      <c r="D3793" s="293">
        <f t="shared" si="2"/>
        <v>0</v>
      </c>
      <c r="E3793" s="294" t="s">
        <v>23608</v>
      </c>
      <c r="F3793" s="295" t="str">
        <f>IFERROR(__xludf.DUMMYFUNCTION("IF(B3793="""","""",IFERROR(VLOOKUP(TO_TEXT(B3793),PEDIDOS!D:I,6,0),IFERROR(VLOOKUP(B3793*1,PEDIDOS!D:I,6,0),"" "")))")," ")</f>
        <v> </v>
      </c>
      <c r="G3793" s="307"/>
      <c r="H3793" s="304"/>
    </row>
    <row r="3794">
      <c r="A3794" s="302" t="s">
        <v>85</v>
      </c>
      <c r="B3794" s="291" t="s">
        <v>23616</v>
      </c>
      <c r="C3794" s="292" t="s">
        <v>48</v>
      </c>
      <c r="D3794" s="293">
        <f t="shared" si="2"/>
        <v>0</v>
      </c>
      <c r="E3794" s="294" t="s">
        <v>23608</v>
      </c>
      <c r="F3794" s="295" t="str">
        <f>IFERROR(__xludf.DUMMYFUNCTION("IF(B3794="""","""",IFERROR(VLOOKUP(TO_TEXT(B3794),PEDIDOS!D:I,6,0),IFERROR(VLOOKUP(B3794*1,PEDIDOS!D:I,6,0),"" "")))")," ")</f>
        <v> </v>
      </c>
      <c r="G3794" s="307"/>
      <c r="H3794" s="304"/>
    </row>
    <row r="3795">
      <c r="A3795" s="302" t="s">
        <v>85</v>
      </c>
      <c r="B3795" s="291" t="s">
        <v>23617</v>
      </c>
      <c r="C3795" s="292" t="s">
        <v>48</v>
      </c>
      <c r="D3795" s="293">
        <f t="shared" si="2"/>
        <v>0</v>
      </c>
      <c r="E3795" s="294" t="s">
        <v>23608</v>
      </c>
      <c r="F3795" s="295" t="str">
        <f>IFERROR(__xludf.DUMMYFUNCTION("IF(B3795="""","""",IFERROR(VLOOKUP(TO_TEXT(B3795),PEDIDOS!D:I,6,0),IFERROR(VLOOKUP(B3795*1,PEDIDOS!D:I,6,0),"" "")))")," ")</f>
        <v> </v>
      </c>
      <c r="G3795" s="307"/>
      <c r="H3795" s="304"/>
    </row>
    <row r="3796">
      <c r="A3796" s="302" t="s">
        <v>85</v>
      </c>
      <c r="B3796" s="291" t="s">
        <v>23618</v>
      </c>
      <c r="C3796" s="292" t="s">
        <v>48</v>
      </c>
      <c r="D3796" s="293">
        <f t="shared" si="2"/>
        <v>0</v>
      </c>
      <c r="E3796" s="294" t="s">
        <v>23608</v>
      </c>
      <c r="F3796" s="295" t="str">
        <f>IFERROR(__xludf.DUMMYFUNCTION("IF(B3796="""","""",IFERROR(VLOOKUP(TO_TEXT(B3796),PEDIDOS!D:I,6,0),IFERROR(VLOOKUP(B3796*1,PEDIDOS!D:I,6,0),"" "")))")," ")</f>
        <v> </v>
      </c>
      <c r="G3796" s="307"/>
      <c r="H3796" s="304"/>
    </row>
    <row r="3797">
      <c r="A3797" s="302" t="s">
        <v>85</v>
      </c>
      <c r="B3797" s="291" t="s">
        <v>23619</v>
      </c>
      <c r="C3797" s="292" t="s">
        <v>48</v>
      </c>
      <c r="D3797" s="293">
        <f t="shared" si="2"/>
        <v>0</v>
      </c>
      <c r="E3797" s="294" t="s">
        <v>23608</v>
      </c>
      <c r="F3797" s="295" t="str">
        <f>IFERROR(__xludf.DUMMYFUNCTION("IF(B3797="""","""",IFERROR(VLOOKUP(TO_TEXT(B3797),PEDIDOS!D:I,6,0),IFERROR(VLOOKUP(B3797*1,PEDIDOS!D:I,6,0),"" "")))")," ")</f>
        <v> </v>
      </c>
      <c r="G3797" s="307"/>
      <c r="H3797" s="304"/>
    </row>
    <row r="3798">
      <c r="A3798" s="302" t="s">
        <v>85</v>
      </c>
      <c r="B3798" s="291" t="s">
        <v>23620</v>
      </c>
      <c r="C3798" s="292" t="s">
        <v>48</v>
      </c>
      <c r="D3798" s="293">
        <f t="shared" si="2"/>
        <v>0</v>
      </c>
      <c r="E3798" s="294" t="s">
        <v>23608</v>
      </c>
      <c r="F3798" s="295" t="str">
        <f>IFERROR(__xludf.DUMMYFUNCTION("IF(B3798="""","""",IFERROR(VLOOKUP(TO_TEXT(B3798),PEDIDOS!D:I,6,0),IFERROR(VLOOKUP(B3798*1,PEDIDOS!D:I,6,0),"" "")))")," ")</f>
        <v> </v>
      </c>
      <c r="G3798" s="307"/>
      <c r="H3798" s="304"/>
    </row>
    <row r="3799">
      <c r="A3799" s="302" t="s">
        <v>85</v>
      </c>
      <c r="B3799" s="291" t="s">
        <v>23621</v>
      </c>
      <c r="C3799" s="292" t="s">
        <v>48</v>
      </c>
      <c r="D3799" s="293">
        <f t="shared" si="2"/>
        <v>0</v>
      </c>
      <c r="E3799" s="294" t="s">
        <v>23608</v>
      </c>
      <c r="F3799" s="295" t="str">
        <f>IFERROR(__xludf.DUMMYFUNCTION("IF(B3799="""","""",IFERROR(VLOOKUP(TO_TEXT(B3799),PEDIDOS!D:I,6,0),IFERROR(VLOOKUP(B3799*1,PEDIDOS!D:I,6,0),"" "")))")," ")</f>
        <v> </v>
      </c>
      <c r="G3799" s="307"/>
      <c r="H3799" s="304"/>
    </row>
    <row r="3800">
      <c r="A3800" s="302" t="s">
        <v>85</v>
      </c>
      <c r="B3800" s="291" t="s">
        <v>23622</v>
      </c>
      <c r="C3800" s="292" t="s">
        <v>48</v>
      </c>
      <c r="D3800" s="293">
        <f t="shared" si="2"/>
        <v>0</v>
      </c>
      <c r="E3800" s="294" t="s">
        <v>23608</v>
      </c>
      <c r="F3800" s="295" t="str">
        <f>IFERROR(__xludf.DUMMYFUNCTION("IF(B3800="""","""",IFERROR(VLOOKUP(TO_TEXT(B3800),PEDIDOS!D:I,6,0),IFERROR(VLOOKUP(B3800*1,PEDIDOS!D:I,6,0),"" "")))")," ")</f>
        <v> </v>
      </c>
      <c r="G3800" s="307"/>
      <c r="H3800" s="304"/>
    </row>
    <row r="3801">
      <c r="A3801" s="302" t="s">
        <v>85</v>
      </c>
      <c r="B3801" s="291" t="s">
        <v>23623</v>
      </c>
      <c r="C3801" s="292" t="s">
        <v>48</v>
      </c>
      <c r="D3801" s="293">
        <f t="shared" si="2"/>
        <v>0</v>
      </c>
      <c r="E3801" s="294" t="s">
        <v>23608</v>
      </c>
      <c r="F3801" s="295" t="str">
        <f>IFERROR(__xludf.DUMMYFUNCTION("IF(B3801="""","""",IFERROR(VLOOKUP(TO_TEXT(B3801),PEDIDOS!D:I,6,0),IFERROR(VLOOKUP(B3801*1,PEDIDOS!D:I,6,0),"" "")))")," ")</f>
        <v> </v>
      </c>
      <c r="G3801" s="307"/>
      <c r="H3801" s="304"/>
    </row>
    <row r="3802">
      <c r="A3802" s="302" t="s">
        <v>85</v>
      </c>
      <c r="B3802" s="291" t="s">
        <v>23624</v>
      </c>
      <c r="C3802" s="292" t="s">
        <v>48</v>
      </c>
      <c r="D3802" s="293">
        <f t="shared" si="2"/>
        <v>0</v>
      </c>
      <c r="E3802" s="294" t="s">
        <v>23608</v>
      </c>
      <c r="F3802" s="295" t="str">
        <f>IFERROR(__xludf.DUMMYFUNCTION("IF(B3802="""","""",IFERROR(VLOOKUP(TO_TEXT(B3802),PEDIDOS!D:I,6,0),IFERROR(VLOOKUP(B3802*1,PEDIDOS!D:I,6,0),"" "")))")," ")</f>
        <v> </v>
      </c>
      <c r="G3802" s="307"/>
      <c r="H3802" s="304"/>
    </row>
    <row r="3803">
      <c r="A3803" s="302" t="s">
        <v>85</v>
      </c>
      <c r="B3803" s="291" t="s">
        <v>23625</v>
      </c>
      <c r="C3803" s="292" t="s">
        <v>48</v>
      </c>
      <c r="D3803" s="293">
        <f t="shared" si="2"/>
        <v>0</v>
      </c>
      <c r="E3803" s="294" t="s">
        <v>23608</v>
      </c>
      <c r="F3803" s="295" t="str">
        <f>IFERROR(__xludf.DUMMYFUNCTION("IF(B3803="""","""",IFERROR(VLOOKUP(TO_TEXT(B3803),PEDIDOS!D:I,6,0),IFERROR(VLOOKUP(B3803*1,PEDIDOS!D:I,6,0),"" "")))")," ")</f>
        <v> </v>
      </c>
      <c r="G3803" s="307"/>
      <c r="H3803" s="304"/>
    </row>
    <row r="3804">
      <c r="A3804" s="302" t="s">
        <v>85</v>
      </c>
      <c r="B3804" s="291" t="s">
        <v>23626</v>
      </c>
      <c r="C3804" s="292" t="s">
        <v>48</v>
      </c>
      <c r="D3804" s="293">
        <f t="shared" si="2"/>
        <v>0</v>
      </c>
      <c r="E3804" s="294" t="s">
        <v>23608</v>
      </c>
      <c r="F3804" s="295" t="str">
        <f>IFERROR(__xludf.DUMMYFUNCTION("IF(B3804="""","""",IFERROR(VLOOKUP(TO_TEXT(B3804),PEDIDOS!D:I,6,0),IFERROR(VLOOKUP(B3804*1,PEDIDOS!D:I,6,0),"" "")))")," ")</f>
        <v> </v>
      </c>
      <c r="G3804" s="307"/>
      <c r="H3804" s="304"/>
    </row>
    <row r="3805">
      <c r="A3805" s="302" t="s">
        <v>85</v>
      </c>
      <c r="B3805" s="291" t="s">
        <v>23627</v>
      </c>
      <c r="C3805" s="292" t="s">
        <v>48</v>
      </c>
      <c r="D3805" s="293">
        <f t="shared" si="2"/>
        <v>0</v>
      </c>
      <c r="E3805" s="294" t="s">
        <v>23608</v>
      </c>
      <c r="F3805" s="295" t="str">
        <f>IFERROR(__xludf.DUMMYFUNCTION("IF(B3805="""","""",IFERROR(VLOOKUP(TO_TEXT(B3805),PEDIDOS!D:I,6,0),IFERROR(VLOOKUP(B3805*1,PEDIDOS!D:I,6,0),"" "")))")," ")</f>
        <v> </v>
      </c>
      <c r="G3805" s="307"/>
      <c r="H3805" s="304"/>
    </row>
    <row r="3806">
      <c r="A3806" s="302" t="s">
        <v>85</v>
      </c>
      <c r="B3806" s="291" t="s">
        <v>23628</v>
      </c>
      <c r="C3806" s="292" t="s">
        <v>48</v>
      </c>
      <c r="D3806" s="293">
        <f t="shared" si="2"/>
        <v>0</v>
      </c>
      <c r="E3806" s="294" t="s">
        <v>23608</v>
      </c>
      <c r="F3806" s="295" t="str">
        <f>IFERROR(__xludf.DUMMYFUNCTION("IF(B3806="""","""",IFERROR(VLOOKUP(TO_TEXT(B3806),PEDIDOS!D:I,6,0),IFERROR(VLOOKUP(B3806*1,PEDIDOS!D:I,6,0),"" "")))")," ")</f>
        <v> </v>
      </c>
      <c r="G3806" s="307"/>
      <c r="H3806" s="304"/>
    </row>
    <row r="3807">
      <c r="A3807" s="302" t="s">
        <v>85</v>
      </c>
      <c r="B3807" s="291" t="s">
        <v>23629</v>
      </c>
      <c r="C3807" s="292" t="s">
        <v>48</v>
      </c>
      <c r="D3807" s="293">
        <f t="shared" si="2"/>
        <v>0</v>
      </c>
      <c r="E3807" s="294" t="s">
        <v>23608</v>
      </c>
      <c r="F3807" s="295" t="str">
        <f>IFERROR(__xludf.DUMMYFUNCTION("IF(B3807="""","""",IFERROR(VLOOKUP(TO_TEXT(B3807),PEDIDOS!D:I,6,0),IFERROR(VLOOKUP(B3807*1,PEDIDOS!D:I,6,0),"" "")))")," ")</f>
        <v> </v>
      </c>
      <c r="G3807" s="307"/>
      <c r="H3807" s="304"/>
    </row>
    <row r="3808">
      <c r="A3808" s="302" t="s">
        <v>85</v>
      </c>
      <c r="B3808" s="291" t="s">
        <v>23630</v>
      </c>
      <c r="C3808" s="292" t="s">
        <v>48</v>
      </c>
      <c r="D3808" s="293">
        <f t="shared" si="2"/>
        <v>0</v>
      </c>
      <c r="E3808" s="294" t="s">
        <v>23608</v>
      </c>
      <c r="F3808" s="295" t="str">
        <f>IFERROR(__xludf.DUMMYFUNCTION("IF(B3808="""","""",IFERROR(VLOOKUP(TO_TEXT(B3808),PEDIDOS!D:I,6,0),IFERROR(VLOOKUP(B3808*1,PEDIDOS!D:I,6,0),"" "")))")," ")</f>
        <v> </v>
      </c>
      <c r="G3808" s="307"/>
      <c r="H3808" s="304"/>
    </row>
    <row r="3809">
      <c r="A3809" s="302" t="s">
        <v>85</v>
      </c>
      <c r="B3809" s="291" t="s">
        <v>23631</v>
      </c>
      <c r="C3809" s="292" t="s">
        <v>48</v>
      </c>
      <c r="D3809" s="293">
        <f t="shared" si="2"/>
        <v>0</v>
      </c>
      <c r="E3809" s="294" t="s">
        <v>23608</v>
      </c>
      <c r="F3809" s="295" t="str">
        <f>IFERROR(__xludf.DUMMYFUNCTION("IF(B3809="""","""",IFERROR(VLOOKUP(TO_TEXT(B3809),PEDIDOS!D:I,6,0),IFERROR(VLOOKUP(B3809*1,PEDIDOS!D:I,6,0),"" "")))")," ")</f>
        <v> </v>
      </c>
      <c r="G3809" s="307"/>
      <c r="H3809" s="304"/>
    </row>
    <row r="3810">
      <c r="A3810" s="302" t="s">
        <v>85</v>
      </c>
      <c r="B3810" s="291" t="s">
        <v>23632</v>
      </c>
      <c r="C3810" s="292" t="s">
        <v>48</v>
      </c>
      <c r="D3810" s="293">
        <f t="shared" si="2"/>
        <v>0</v>
      </c>
      <c r="E3810" s="294" t="s">
        <v>23608</v>
      </c>
      <c r="F3810" s="295" t="str">
        <f>IFERROR(__xludf.DUMMYFUNCTION("IF(B3810="""","""",IFERROR(VLOOKUP(TO_TEXT(B3810),PEDIDOS!D:I,6,0),IFERROR(VLOOKUP(B3810*1,PEDIDOS!D:I,6,0),"" "")))")," ")</f>
        <v> </v>
      </c>
      <c r="G3810" s="307"/>
      <c r="H3810" s="304"/>
    </row>
    <row r="3811">
      <c r="A3811" s="302" t="s">
        <v>85</v>
      </c>
      <c r="B3811" s="291" t="s">
        <v>23633</v>
      </c>
      <c r="C3811" s="292" t="s">
        <v>48</v>
      </c>
      <c r="D3811" s="293">
        <f t="shared" si="2"/>
        <v>0</v>
      </c>
      <c r="E3811" s="294" t="s">
        <v>23608</v>
      </c>
      <c r="F3811" s="295" t="str">
        <f>IFERROR(__xludf.DUMMYFUNCTION("IF(B3811="""","""",IFERROR(VLOOKUP(TO_TEXT(B3811),PEDIDOS!D:I,6,0),IFERROR(VLOOKUP(B3811*1,PEDIDOS!D:I,6,0),"" "")))")," ")</f>
        <v> </v>
      </c>
      <c r="G3811" s="307"/>
      <c r="H3811" s="304"/>
    </row>
    <row r="3812">
      <c r="A3812" s="302" t="s">
        <v>85</v>
      </c>
      <c r="B3812" s="291" t="s">
        <v>23634</v>
      </c>
      <c r="C3812" s="292" t="s">
        <v>48</v>
      </c>
      <c r="D3812" s="293">
        <f t="shared" si="2"/>
        <v>0</v>
      </c>
      <c r="E3812" s="294" t="s">
        <v>23608</v>
      </c>
      <c r="F3812" s="295" t="str">
        <f>IFERROR(__xludf.DUMMYFUNCTION("IF(B3812="""","""",IFERROR(VLOOKUP(TO_TEXT(B3812),PEDIDOS!D:I,6,0),IFERROR(VLOOKUP(B3812*1,PEDIDOS!D:I,6,0),"" "")))")," ")</f>
        <v> </v>
      </c>
      <c r="G3812" s="307"/>
      <c r="H3812" s="304"/>
    </row>
    <row r="3813">
      <c r="A3813" s="302" t="s">
        <v>85</v>
      </c>
      <c r="B3813" s="291" t="s">
        <v>23635</v>
      </c>
      <c r="C3813" s="292" t="s">
        <v>48</v>
      </c>
      <c r="D3813" s="293">
        <f t="shared" si="2"/>
        <v>0</v>
      </c>
      <c r="E3813" s="294" t="s">
        <v>23608</v>
      </c>
      <c r="F3813" s="295" t="str">
        <f>IFERROR(__xludf.DUMMYFUNCTION("IF(B3813="""","""",IFERROR(VLOOKUP(TO_TEXT(B3813),PEDIDOS!D:I,6,0),IFERROR(VLOOKUP(B3813*1,PEDIDOS!D:I,6,0),"" "")))")," ")</f>
        <v> </v>
      </c>
      <c r="G3813" s="307"/>
      <c r="H3813" s="304"/>
    </row>
    <row r="3814">
      <c r="A3814" s="302" t="s">
        <v>85</v>
      </c>
      <c r="B3814" s="291" t="s">
        <v>23636</v>
      </c>
      <c r="C3814" s="292" t="s">
        <v>48</v>
      </c>
      <c r="D3814" s="293">
        <f t="shared" si="2"/>
        <v>0</v>
      </c>
      <c r="E3814" s="294" t="s">
        <v>23608</v>
      </c>
      <c r="F3814" s="295" t="str">
        <f>IFERROR(__xludf.DUMMYFUNCTION("IF(B3814="""","""",IFERROR(VLOOKUP(TO_TEXT(B3814),PEDIDOS!D:I,6,0),IFERROR(VLOOKUP(B3814*1,PEDIDOS!D:I,6,0),"" "")))")," ")</f>
        <v> </v>
      </c>
      <c r="G3814" s="307"/>
      <c r="H3814" s="304"/>
    </row>
    <row r="3815">
      <c r="A3815" s="302" t="s">
        <v>85</v>
      </c>
      <c r="B3815" s="291" t="s">
        <v>23637</v>
      </c>
      <c r="C3815" s="292" t="s">
        <v>48</v>
      </c>
      <c r="D3815" s="293">
        <f t="shared" si="2"/>
        <v>0</v>
      </c>
      <c r="E3815" s="294" t="s">
        <v>23608</v>
      </c>
      <c r="F3815" s="295" t="str">
        <f>IFERROR(__xludf.DUMMYFUNCTION("IF(B3815="""","""",IFERROR(VLOOKUP(TO_TEXT(B3815),PEDIDOS!D:I,6,0),IFERROR(VLOOKUP(B3815*1,PEDIDOS!D:I,6,0),"" "")))")," ")</f>
        <v> </v>
      </c>
      <c r="G3815" s="307"/>
      <c r="H3815" s="304"/>
    </row>
    <row r="3816">
      <c r="A3816" s="302" t="s">
        <v>85</v>
      </c>
      <c r="B3816" s="291" t="s">
        <v>23638</v>
      </c>
      <c r="C3816" s="292" t="s">
        <v>48</v>
      </c>
      <c r="D3816" s="293">
        <f t="shared" si="2"/>
        <v>0</v>
      </c>
      <c r="E3816" s="294" t="s">
        <v>23608</v>
      </c>
      <c r="F3816" s="295" t="str">
        <f>IFERROR(__xludf.DUMMYFUNCTION("IF(B3816="""","""",IFERROR(VLOOKUP(TO_TEXT(B3816),PEDIDOS!D:I,6,0),IFERROR(VLOOKUP(B3816*1,PEDIDOS!D:I,6,0),"" "")))")," ")</f>
        <v> </v>
      </c>
      <c r="G3816" s="307"/>
      <c r="H3816" s="304"/>
    </row>
    <row r="3817">
      <c r="A3817" s="302" t="s">
        <v>85</v>
      </c>
      <c r="B3817" s="291" t="s">
        <v>23639</v>
      </c>
      <c r="C3817" s="292" t="s">
        <v>48</v>
      </c>
      <c r="D3817" s="293">
        <f t="shared" si="2"/>
        <v>0</v>
      </c>
      <c r="E3817" s="294" t="s">
        <v>23608</v>
      </c>
      <c r="F3817" s="295" t="str">
        <f>IFERROR(__xludf.DUMMYFUNCTION("IF(B3817="""","""",IFERROR(VLOOKUP(TO_TEXT(B3817),PEDIDOS!D:I,6,0),IFERROR(VLOOKUP(B3817*1,PEDIDOS!D:I,6,0),"" "")))")," ")</f>
        <v> </v>
      </c>
      <c r="G3817" s="307"/>
      <c r="H3817" s="304"/>
    </row>
    <row r="3818">
      <c r="A3818" s="302" t="s">
        <v>85</v>
      </c>
      <c r="B3818" s="291" t="s">
        <v>23640</v>
      </c>
      <c r="C3818" s="292" t="s">
        <v>48</v>
      </c>
      <c r="D3818" s="293">
        <f t="shared" si="2"/>
        <v>0</v>
      </c>
      <c r="E3818" s="294" t="s">
        <v>23608</v>
      </c>
      <c r="F3818" s="295" t="str">
        <f>IFERROR(__xludf.DUMMYFUNCTION("IF(B3818="""","""",IFERROR(VLOOKUP(TO_TEXT(B3818),PEDIDOS!D:I,6,0),IFERROR(VLOOKUP(B3818*1,PEDIDOS!D:I,6,0),"" "")))")," ")</f>
        <v> </v>
      </c>
      <c r="G3818" s="307"/>
      <c r="H3818" s="304"/>
    </row>
    <row r="3819">
      <c r="A3819" s="302" t="s">
        <v>85</v>
      </c>
      <c r="B3819" s="291" t="s">
        <v>23641</v>
      </c>
      <c r="C3819" s="292" t="s">
        <v>48</v>
      </c>
      <c r="D3819" s="293">
        <f t="shared" si="2"/>
        <v>0</v>
      </c>
      <c r="E3819" s="294" t="s">
        <v>23608</v>
      </c>
      <c r="F3819" s="295" t="str">
        <f>IFERROR(__xludf.DUMMYFUNCTION("IF(B3819="""","""",IFERROR(VLOOKUP(TO_TEXT(B3819),PEDIDOS!D:I,6,0),IFERROR(VLOOKUP(B3819*1,PEDIDOS!D:I,6,0),"" "")))")," ")</f>
        <v> </v>
      </c>
      <c r="G3819" s="307"/>
      <c r="H3819" s="304"/>
    </row>
    <row r="3820">
      <c r="A3820" s="302" t="s">
        <v>85</v>
      </c>
      <c r="B3820" s="291" t="s">
        <v>23642</v>
      </c>
      <c r="C3820" s="292" t="s">
        <v>48</v>
      </c>
      <c r="D3820" s="293">
        <f t="shared" si="2"/>
        <v>0</v>
      </c>
      <c r="E3820" s="294" t="s">
        <v>23608</v>
      </c>
      <c r="F3820" s="295" t="str">
        <f>IFERROR(__xludf.DUMMYFUNCTION("IF(B3820="""","""",IFERROR(VLOOKUP(TO_TEXT(B3820),PEDIDOS!D:I,6,0),IFERROR(VLOOKUP(B3820*1,PEDIDOS!D:I,6,0),"" "")))")," ")</f>
        <v> </v>
      </c>
      <c r="G3820" s="307"/>
      <c r="H3820" s="304"/>
    </row>
    <row r="3821">
      <c r="A3821" s="302" t="s">
        <v>85</v>
      </c>
      <c r="B3821" s="291" t="s">
        <v>23643</v>
      </c>
      <c r="C3821" s="292" t="s">
        <v>48</v>
      </c>
      <c r="D3821" s="293">
        <f t="shared" si="2"/>
        <v>0</v>
      </c>
      <c r="E3821" s="294" t="s">
        <v>23608</v>
      </c>
      <c r="F3821" s="295" t="str">
        <f>IFERROR(__xludf.DUMMYFUNCTION("IF(B3821="""","""",IFERROR(VLOOKUP(TO_TEXT(B3821),PEDIDOS!D:I,6,0),IFERROR(VLOOKUP(B3821*1,PEDIDOS!D:I,6,0),"" "")))")," ")</f>
        <v> </v>
      </c>
      <c r="G3821" s="307"/>
      <c r="H3821" s="304"/>
    </row>
    <row r="3822">
      <c r="A3822" s="302" t="s">
        <v>85</v>
      </c>
      <c r="B3822" s="291" t="s">
        <v>23644</v>
      </c>
      <c r="C3822" s="292" t="s">
        <v>48</v>
      </c>
      <c r="D3822" s="293">
        <f t="shared" si="2"/>
        <v>0</v>
      </c>
      <c r="E3822" s="294" t="s">
        <v>23608</v>
      </c>
      <c r="F3822" s="295" t="str">
        <f>IFERROR(__xludf.DUMMYFUNCTION("IF(B3822="""","""",IFERROR(VLOOKUP(TO_TEXT(B3822),PEDIDOS!D:I,6,0),IFERROR(VLOOKUP(B3822*1,PEDIDOS!D:I,6,0),"" "")))")," ")</f>
        <v> </v>
      </c>
      <c r="G3822" s="307"/>
      <c r="H3822" s="304"/>
    </row>
    <row r="3823">
      <c r="A3823" s="302" t="s">
        <v>85</v>
      </c>
      <c r="B3823" s="291" t="s">
        <v>23645</v>
      </c>
      <c r="C3823" s="292" t="s">
        <v>48</v>
      </c>
      <c r="D3823" s="293">
        <f t="shared" si="2"/>
        <v>0</v>
      </c>
      <c r="E3823" s="294" t="s">
        <v>23608</v>
      </c>
      <c r="F3823" s="295" t="str">
        <f>IFERROR(__xludf.DUMMYFUNCTION("IF(B3823="""","""",IFERROR(VLOOKUP(TO_TEXT(B3823),PEDIDOS!D:I,6,0),IFERROR(VLOOKUP(B3823*1,PEDIDOS!D:I,6,0),"" "")))")," ")</f>
        <v> </v>
      </c>
      <c r="G3823" s="307"/>
      <c r="H3823" s="304"/>
    </row>
    <row r="3824">
      <c r="A3824" s="302" t="s">
        <v>85</v>
      </c>
      <c r="B3824" s="291" t="s">
        <v>23646</v>
      </c>
      <c r="C3824" s="292" t="s">
        <v>48</v>
      </c>
      <c r="D3824" s="293">
        <f t="shared" si="2"/>
        <v>0</v>
      </c>
      <c r="E3824" s="294" t="s">
        <v>23608</v>
      </c>
      <c r="F3824" s="295" t="str">
        <f>IFERROR(__xludf.DUMMYFUNCTION("IF(B3824="""","""",IFERROR(VLOOKUP(TO_TEXT(B3824),PEDIDOS!D:I,6,0),IFERROR(VLOOKUP(B3824*1,PEDIDOS!D:I,6,0),"" "")))")," ")</f>
        <v> </v>
      </c>
      <c r="G3824" s="307"/>
      <c r="H3824" s="304"/>
    </row>
    <row r="3825">
      <c r="A3825" s="302" t="s">
        <v>85</v>
      </c>
      <c r="B3825" s="291" t="s">
        <v>23647</v>
      </c>
      <c r="C3825" s="292" t="s">
        <v>48</v>
      </c>
      <c r="D3825" s="293">
        <f t="shared" si="2"/>
        <v>0</v>
      </c>
      <c r="E3825" s="294" t="s">
        <v>23608</v>
      </c>
      <c r="F3825" s="295" t="str">
        <f>IFERROR(__xludf.DUMMYFUNCTION("IF(B3825="""","""",IFERROR(VLOOKUP(TO_TEXT(B3825),PEDIDOS!D:I,6,0),IFERROR(VLOOKUP(B3825*1,PEDIDOS!D:I,6,0),"" "")))")," ")</f>
        <v> </v>
      </c>
      <c r="G3825" s="307"/>
      <c r="H3825" s="304"/>
    </row>
    <row r="3826">
      <c r="A3826" s="302" t="s">
        <v>85</v>
      </c>
      <c r="B3826" s="291" t="s">
        <v>23648</v>
      </c>
      <c r="C3826" s="292" t="s">
        <v>48</v>
      </c>
      <c r="D3826" s="293">
        <f t="shared" si="2"/>
        <v>0</v>
      </c>
      <c r="E3826" s="294" t="s">
        <v>23608</v>
      </c>
      <c r="F3826" s="295" t="str">
        <f>IFERROR(__xludf.DUMMYFUNCTION("IF(B3826="""","""",IFERROR(VLOOKUP(TO_TEXT(B3826),PEDIDOS!D:I,6,0),IFERROR(VLOOKUP(B3826*1,PEDIDOS!D:I,6,0),"" "")))")," ")</f>
        <v> </v>
      </c>
      <c r="G3826" s="307"/>
      <c r="H3826" s="304"/>
    </row>
    <row r="3827">
      <c r="A3827" s="302" t="s">
        <v>85</v>
      </c>
      <c r="B3827" s="291" t="s">
        <v>23649</v>
      </c>
      <c r="C3827" s="292" t="s">
        <v>48</v>
      </c>
      <c r="D3827" s="293">
        <f t="shared" si="2"/>
        <v>0</v>
      </c>
      <c r="E3827" s="294" t="s">
        <v>23608</v>
      </c>
      <c r="F3827" s="295" t="str">
        <f>IFERROR(__xludf.DUMMYFUNCTION("IF(B3827="""","""",IFERROR(VLOOKUP(TO_TEXT(B3827),PEDIDOS!D:I,6,0),IFERROR(VLOOKUP(B3827*1,PEDIDOS!D:I,6,0),"" "")))")," ")</f>
        <v> </v>
      </c>
      <c r="G3827" s="307"/>
      <c r="H3827" s="304"/>
    </row>
    <row r="3828">
      <c r="A3828" s="302" t="s">
        <v>85</v>
      </c>
      <c r="B3828" s="291" t="s">
        <v>23650</v>
      </c>
      <c r="C3828" s="292" t="s">
        <v>48</v>
      </c>
      <c r="D3828" s="293">
        <f t="shared" si="2"/>
        <v>0</v>
      </c>
      <c r="E3828" s="294" t="s">
        <v>23608</v>
      </c>
      <c r="F3828" s="295" t="str">
        <f>IFERROR(__xludf.DUMMYFUNCTION("IF(B3828="""","""",IFERROR(VLOOKUP(TO_TEXT(B3828),PEDIDOS!D:I,6,0),IFERROR(VLOOKUP(B3828*1,PEDIDOS!D:I,6,0),"" "")))")," ")</f>
        <v> </v>
      </c>
      <c r="G3828" s="307"/>
      <c r="H3828" s="304"/>
    </row>
    <row r="3829">
      <c r="A3829" s="302" t="s">
        <v>85</v>
      </c>
      <c r="B3829" s="291" t="s">
        <v>23651</v>
      </c>
      <c r="C3829" s="292" t="s">
        <v>48</v>
      </c>
      <c r="D3829" s="293">
        <f t="shared" si="2"/>
        <v>0</v>
      </c>
      <c r="E3829" s="294" t="s">
        <v>23608</v>
      </c>
      <c r="F3829" s="295" t="str">
        <f>IFERROR(__xludf.DUMMYFUNCTION("IF(B3829="""","""",IFERROR(VLOOKUP(TO_TEXT(B3829),PEDIDOS!D:I,6,0),IFERROR(VLOOKUP(B3829*1,PEDIDOS!D:I,6,0),"" "")))")," ")</f>
        <v> </v>
      </c>
      <c r="G3829" s="307"/>
      <c r="H3829" s="304"/>
    </row>
    <row r="3830">
      <c r="A3830" s="302" t="s">
        <v>85</v>
      </c>
      <c r="B3830" s="291" t="s">
        <v>23652</v>
      </c>
      <c r="C3830" s="292" t="s">
        <v>48</v>
      </c>
      <c r="D3830" s="293">
        <f t="shared" si="2"/>
        <v>0</v>
      </c>
      <c r="E3830" s="294" t="s">
        <v>23608</v>
      </c>
      <c r="F3830" s="295" t="str">
        <f>IFERROR(__xludf.DUMMYFUNCTION("IF(B3830="""","""",IFERROR(VLOOKUP(TO_TEXT(B3830),PEDIDOS!D:I,6,0),IFERROR(VLOOKUP(B3830*1,PEDIDOS!D:I,6,0),"" "")))")," ")</f>
        <v> </v>
      </c>
      <c r="G3830" s="307"/>
      <c r="H3830" s="304"/>
    </row>
    <row r="3831">
      <c r="A3831" s="302" t="s">
        <v>85</v>
      </c>
      <c r="B3831" s="291" t="s">
        <v>23653</v>
      </c>
      <c r="C3831" s="292" t="s">
        <v>48</v>
      </c>
      <c r="D3831" s="293">
        <f t="shared" si="2"/>
        <v>0</v>
      </c>
      <c r="E3831" s="294" t="s">
        <v>23608</v>
      </c>
      <c r="F3831" s="295" t="str">
        <f>IFERROR(__xludf.DUMMYFUNCTION("IF(B3831="""","""",IFERROR(VLOOKUP(TO_TEXT(B3831),PEDIDOS!D:I,6,0),IFERROR(VLOOKUP(B3831*1,PEDIDOS!D:I,6,0),"" "")))")," ")</f>
        <v> </v>
      </c>
      <c r="G3831" s="307"/>
      <c r="H3831" s="304"/>
    </row>
    <row r="3832">
      <c r="A3832" s="302" t="s">
        <v>85</v>
      </c>
      <c r="B3832" s="291" t="s">
        <v>23654</v>
      </c>
      <c r="C3832" s="292" t="s">
        <v>48</v>
      </c>
      <c r="D3832" s="293">
        <f t="shared" si="2"/>
        <v>0</v>
      </c>
      <c r="E3832" s="294" t="s">
        <v>23608</v>
      </c>
      <c r="F3832" s="295" t="str">
        <f>IFERROR(__xludf.DUMMYFUNCTION("IF(B3832="""","""",IFERROR(VLOOKUP(TO_TEXT(B3832),PEDIDOS!D:I,6,0),IFERROR(VLOOKUP(B3832*1,PEDIDOS!D:I,6,0),"" "")))")," ")</f>
        <v> </v>
      </c>
      <c r="G3832" s="307"/>
      <c r="H3832" s="304"/>
    </row>
    <row r="3833">
      <c r="A3833" s="302" t="s">
        <v>85</v>
      </c>
      <c r="B3833" s="291" t="s">
        <v>23655</v>
      </c>
      <c r="C3833" s="292" t="s">
        <v>48</v>
      </c>
      <c r="D3833" s="293">
        <f t="shared" si="2"/>
        <v>0</v>
      </c>
      <c r="E3833" s="294" t="s">
        <v>23608</v>
      </c>
      <c r="F3833" s="295" t="str">
        <f>IFERROR(__xludf.DUMMYFUNCTION("IF(B3833="""","""",IFERROR(VLOOKUP(TO_TEXT(B3833),PEDIDOS!D:I,6,0),IFERROR(VLOOKUP(B3833*1,PEDIDOS!D:I,6,0),"" "")))")," ")</f>
        <v> </v>
      </c>
      <c r="G3833" s="307"/>
      <c r="H3833" s="304"/>
    </row>
    <row r="3834">
      <c r="A3834" s="302" t="s">
        <v>85</v>
      </c>
      <c r="B3834" s="291" t="s">
        <v>23656</v>
      </c>
      <c r="C3834" s="292" t="s">
        <v>48</v>
      </c>
      <c r="D3834" s="293">
        <f t="shared" si="2"/>
        <v>0</v>
      </c>
      <c r="E3834" s="294" t="s">
        <v>23608</v>
      </c>
      <c r="F3834" s="295" t="str">
        <f>IFERROR(__xludf.DUMMYFUNCTION("IF(B3834="""","""",IFERROR(VLOOKUP(TO_TEXT(B3834),PEDIDOS!D:I,6,0),IFERROR(VLOOKUP(B3834*1,PEDIDOS!D:I,6,0),"" "")))")," ")</f>
        <v> </v>
      </c>
      <c r="G3834" s="307"/>
      <c r="H3834" s="304"/>
    </row>
    <row r="3835">
      <c r="A3835" s="302" t="s">
        <v>85</v>
      </c>
      <c r="B3835" s="291" t="s">
        <v>23657</v>
      </c>
      <c r="C3835" s="292" t="s">
        <v>48</v>
      </c>
      <c r="D3835" s="293">
        <f t="shared" si="2"/>
        <v>0</v>
      </c>
      <c r="E3835" s="294" t="s">
        <v>23608</v>
      </c>
      <c r="F3835" s="295" t="str">
        <f>IFERROR(__xludf.DUMMYFUNCTION("IF(B3835="""","""",IFERROR(VLOOKUP(TO_TEXT(B3835),PEDIDOS!D:I,6,0),IFERROR(VLOOKUP(B3835*1,PEDIDOS!D:I,6,0),"" "")))")," ")</f>
        <v> </v>
      </c>
      <c r="G3835" s="307"/>
      <c r="H3835" s="304"/>
    </row>
    <row r="3836">
      <c r="A3836" s="302" t="s">
        <v>85</v>
      </c>
      <c r="B3836" s="291" t="s">
        <v>23658</v>
      </c>
      <c r="C3836" s="292" t="s">
        <v>48</v>
      </c>
      <c r="D3836" s="293">
        <f t="shared" si="2"/>
        <v>0</v>
      </c>
      <c r="E3836" s="294" t="s">
        <v>23608</v>
      </c>
      <c r="F3836" s="295" t="str">
        <f>IFERROR(__xludf.DUMMYFUNCTION("IF(B3836="""","""",IFERROR(VLOOKUP(TO_TEXT(B3836),PEDIDOS!D:I,6,0),IFERROR(VLOOKUP(B3836*1,PEDIDOS!D:I,6,0),"" "")))")," ")</f>
        <v> </v>
      </c>
      <c r="G3836" s="307"/>
      <c r="H3836" s="304"/>
    </row>
    <row r="3837">
      <c r="A3837" s="302" t="s">
        <v>85</v>
      </c>
      <c r="B3837" s="291" t="s">
        <v>23659</v>
      </c>
      <c r="C3837" s="292" t="s">
        <v>48</v>
      </c>
      <c r="D3837" s="293">
        <f t="shared" si="2"/>
        <v>0</v>
      </c>
      <c r="E3837" s="294" t="s">
        <v>23608</v>
      </c>
      <c r="F3837" s="295" t="str">
        <f>IFERROR(__xludf.DUMMYFUNCTION("IF(B3837="""","""",IFERROR(VLOOKUP(TO_TEXT(B3837),PEDIDOS!D:I,6,0),IFERROR(VLOOKUP(B3837*1,PEDIDOS!D:I,6,0),"" "")))")," ")</f>
        <v> </v>
      </c>
      <c r="G3837" s="307"/>
      <c r="H3837" s="304"/>
    </row>
    <row r="3838">
      <c r="A3838" s="302" t="s">
        <v>85</v>
      </c>
      <c r="B3838" s="291" t="s">
        <v>23660</v>
      </c>
      <c r="C3838" s="292" t="s">
        <v>48</v>
      </c>
      <c r="D3838" s="293">
        <f t="shared" si="2"/>
        <v>0</v>
      </c>
      <c r="E3838" s="294" t="s">
        <v>23608</v>
      </c>
      <c r="F3838" s="295" t="str">
        <f>IFERROR(__xludf.DUMMYFUNCTION("IF(B3838="""","""",IFERROR(VLOOKUP(TO_TEXT(B3838),PEDIDOS!D:I,6,0),IFERROR(VLOOKUP(B3838*1,PEDIDOS!D:I,6,0),"" "")))")," ")</f>
        <v> </v>
      </c>
      <c r="G3838" s="307"/>
      <c r="H3838" s="304"/>
    </row>
    <row r="3839">
      <c r="A3839" s="302" t="s">
        <v>85</v>
      </c>
      <c r="B3839" s="291" t="s">
        <v>23661</v>
      </c>
      <c r="C3839" s="292" t="s">
        <v>48</v>
      </c>
      <c r="D3839" s="293">
        <f t="shared" si="2"/>
        <v>0</v>
      </c>
      <c r="E3839" s="294" t="s">
        <v>23608</v>
      </c>
      <c r="F3839" s="295" t="str">
        <f>IFERROR(__xludf.DUMMYFUNCTION("IF(B3839="""","""",IFERROR(VLOOKUP(TO_TEXT(B3839),PEDIDOS!D:I,6,0),IFERROR(VLOOKUP(B3839*1,PEDIDOS!D:I,6,0),"" "")))")," ")</f>
        <v> </v>
      </c>
      <c r="G3839" s="307"/>
      <c r="H3839" s="304"/>
    </row>
    <row r="3840">
      <c r="A3840" s="302" t="s">
        <v>85</v>
      </c>
      <c r="B3840" s="291" t="s">
        <v>23662</v>
      </c>
      <c r="C3840" s="292" t="s">
        <v>48</v>
      </c>
      <c r="D3840" s="293">
        <f t="shared" si="2"/>
        <v>0</v>
      </c>
      <c r="E3840" s="294" t="s">
        <v>23608</v>
      </c>
      <c r="F3840" s="295" t="str">
        <f>IFERROR(__xludf.DUMMYFUNCTION("IF(B3840="""","""",IFERROR(VLOOKUP(TO_TEXT(B3840),PEDIDOS!D:I,6,0),IFERROR(VLOOKUP(B3840*1,PEDIDOS!D:I,6,0),"" "")))")," ")</f>
        <v> </v>
      </c>
      <c r="G3840" s="307"/>
      <c r="H3840" s="304"/>
    </row>
    <row r="3841">
      <c r="A3841" s="302" t="s">
        <v>85</v>
      </c>
      <c r="B3841" s="291" t="s">
        <v>23663</v>
      </c>
      <c r="C3841" s="292" t="s">
        <v>48</v>
      </c>
      <c r="D3841" s="293">
        <f t="shared" si="2"/>
        <v>0</v>
      </c>
      <c r="E3841" s="294" t="s">
        <v>23608</v>
      </c>
      <c r="F3841" s="295" t="str">
        <f>IFERROR(__xludf.DUMMYFUNCTION("IF(B3841="""","""",IFERROR(VLOOKUP(TO_TEXT(B3841),PEDIDOS!D:I,6,0),IFERROR(VLOOKUP(B3841*1,PEDIDOS!D:I,6,0),"" "")))")," ")</f>
        <v> </v>
      </c>
      <c r="G3841" s="307"/>
      <c r="H3841" s="304"/>
    </row>
    <row r="3842">
      <c r="A3842" s="302" t="s">
        <v>85</v>
      </c>
      <c r="B3842" s="291" t="s">
        <v>23664</v>
      </c>
      <c r="C3842" s="292" t="s">
        <v>48</v>
      </c>
      <c r="D3842" s="293">
        <f t="shared" si="2"/>
        <v>0</v>
      </c>
      <c r="E3842" s="294" t="s">
        <v>23608</v>
      </c>
      <c r="F3842" s="295" t="str">
        <f>IFERROR(__xludf.DUMMYFUNCTION("IF(B3842="""","""",IFERROR(VLOOKUP(TO_TEXT(B3842),PEDIDOS!D:I,6,0),IFERROR(VLOOKUP(B3842*1,PEDIDOS!D:I,6,0),"" "")))")," ")</f>
        <v> </v>
      </c>
      <c r="G3842" s="307"/>
      <c r="H3842" s="304"/>
    </row>
    <row r="3843">
      <c r="A3843" s="302" t="s">
        <v>85</v>
      </c>
      <c r="B3843" s="291" t="s">
        <v>23665</v>
      </c>
      <c r="C3843" s="292" t="s">
        <v>48</v>
      </c>
      <c r="D3843" s="293">
        <f t="shared" si="2"/>
        <v>0</v>
      </c>
      <c r="E3843" s="294" t="s">
        <v>23608</v>
      </c>
      <c r="F3843" s="295" t="str">
        <f>IFERROR(__xludf.DUMMYFUNCTION("IF(B3843="""","""",IFERROR(VLOOKUP(TO_TEXT(B3843),PEDIDOS!D:I,6,0),IFERROR(VLOOKUP(B3843*1,PEDIDOS!D:I,6,0),"" "")))")," ")</f>
        <v> </v>
      </c>
      <c r="G3843" s="307"/>
      <c r="H3843" s="304"/>
    </row>
    <row r="3844">
      <c r="A3844" s="302" t="s">
        <v>85</v>
      </c>
      <c r="B3844" s="291" t="s">
        <v>23666</v>
      </c>
      <c r="C3844" s="292" t="s">
        <v>48</v>
      </c>
      <c r="D3844" s="293">
        <f t="shared" si="2"/>
        <v>0</v>
      </c>
      <c r="E3844" s="294" t="s">
        <v>23608</v>
      </c>
      <c r="F3844" s="295" t="str">
        <f>IFERROR(__xludf.DUMMYFUNCTION("IF(B3844="""","""",IFERROR(VLOOKUP(TO_TEXT(B3844),PEDIDOS!D:I,6,0),IFERROR(VLOOKUP(B3844*1,PEDIDOS!D:I,6,0),"" "")))")," ")</f>
        <v> </v>
      </c>
      <c r="G3844" s="307"/>
      <c r="H3844" s="304"/>
    </row>
    <row r="3845">
      <c r="A3845" s="302" t="s">
        <v>85</v>
      </c>
      <c r="B3845" s="291" t="s">
        <v>23667</v>
      </c>
      <c r="C3845" s="292" t="s">
        <v>48</v>
      </c>
      <c r="D3845" s="293">
        <f t="shared" si="2"/>
        <v>0</v>
      </c>
      <c r="E3845" s="294" t="s">
        <v>23608</v>
      </c>
      <c r="F3845" s="295" t="str">
        <f>IFERROR(__xludf.DUMMYFUNCTION("IF(B3845="""","""",IFERROR(VLOOKUP(TO_TEXT(B3845),PEDIDOS!D:I,6,0),IFERROR(VLOOKUP(B3845*1,PEDIDOS!D:I,6,0),"" "")))")," ")</f>
        <v> </v>
      </c>
      <c r="G3845" s="307"/>
      <c r="H3845" s="304"/>
    </row>
    <row r="3846">
      <c r="A3846" s="302" t="s">
        <v>85</v>
      </c>
      <c r="B3846" s="291" t="s">
        <v>23668</v>
      </c>
      <c r="C3846" s="292" t="s">
        <v>48</v>
      </c>
      <c r="D3846" s="293">
        <f t="shared" si="2"/>
        <v>0</v>
      </c>
      <c r="E3846" s="294" t="s">
        <v>23608</v>
      </c>
      <c r="F3846" s="295" t="str">
        <f>IFERROR(__xludf.DUMMYFUNCTION("IF(B3846="""","""",IFERROR(VLOOKUP(TO_TEXT(B3846),PEDIDOS!D:I,6,0),IFERROR(VLOOKUP(B3846*1,PEDIDOS!D:I,6,0),"" "")))")," ")</f>
        <v> </v>
      </c>
      <c r="G3846" s="307"/>
      <c r="H3846" s="304"/>
    </row>
    <row r="3847">
      <c r="A3847" s="302" t="s">
        <v>85</v>
      </c>
      <c r="B3847" s="291" t="s">
        <v>23669</v>
      </c>
      <c r="C3847" s="292" t="s">
        <v>48</v>
      </c>
      <c r="D3847" s="293">
        <f t="shared" si="2"/>
        <v>0</v>
      </c>
      <c r="E3847" s="294" t="s">
        <v>23608</v>
      </c>
      <c r="F3847" s="295" t="str">
        <f>IFERROR(__xludf.DUMMYFUNCTION("IF(B3847="""","""",IFERROR(VLOOKUP(TO_TEXT(B3847),PEDIDOS!D:I,6,0),IFERROR(VLOOKUP(B3847*1,PEDIDOS!D:I,6,0),"" "")))")," ")</f>
        <v> </v>
      </c>
      <c r="G3847" s="307"/>
      <c r="H3847" s="304"/>
    </row>
    <row r="3848">
      <c r="A3848" s="302" t="s">
        <v>85</v>
      </c>
      <c r="B3848" s="291" t="s">
        <v>23670</v>
      </c>
      <c r="C3848" s="292" t="s">
        <v>48</v>
      </c>
      <c r="D3848" s="293">
        <f t="shared" si="2"/>
        <v>0</v>
      </c>
      <c r="E3848" s="294" t="s">
        <v>23608</v>
      </c>
      <c r="F3848" s="295" t="str">
        <f>IFERROR(__xludf.DUMMYFUNCTION("IF(B3848="""","""",IFERROR(VLOOKUP(TO_TEXT(B3848),PEDIDOS!D:I,6,0),IFERROR(VLOOKUP(B3848*1,PEDIDOS!D:I,6,0),"" "")))")," ")</f>
        <v> </v>
      </c>
      <c r="G3848" s="307"/>
      <c r="H3848" s="304"/>
    </row>
    <row r="3849">
      <c r="A3849" s="302" t="s">
        <v>85</v>
      </c>
      <c r="B3849" s="291" t="s">
        <v>23671</v>
      </c>
      <c r="C3849" s="292" t="s">
        <v>48</v>
      </c>
      <c r="D3849" s="293">
        <f t="shared" si="2"/>
        <v>0</v>
      </c>
      <c r="E3849" s="294" t="s">
        <v>23608</v>
      </c>
      <c r="F3849" s="295" t="str">
        <f>IFERROR(__xludf.DUMMYFUNCTION("IF(B3849="""","""",IFERROR(VLOOKUP(TO_TEXT(B3849),PEDIDOS!D:I,6,0),IFERROR(VLOOKUP(B3849*1,PEDIDOS!D:I,6,0),"" "")))")," ")</f>
        <v> </v>
      </c>
      <c r="G3849" s="307"/>
      <c r="H3849" s="304"/>
    </row>
    <row r="3850">
      <c r="A3850" s="302" t="s">
        <v>91</v>
      </c>
      <c r="B3850" s="291" t="s">
        <v>20812</v>
      </c>
      <c r="C3850" s="292" t="s">
        <v>48</v>
      </c>
      <c r="D3850" s="293">
        <f t="shared" si="2"/>
        <v>1</v>
      </c>
      <c r="E3850" s="294" t="s">
        <v>23608</v>
      </c>
      <c r="F3850" s="295" t="str">
        <f>IFERROR(__xludf.DUMMYFUNCTION("IF(B3850="""","""",IFERROR(VLOOKUP(TO_TEXT(B3850),PEDIDOS!D:I,6,0),IFERROR(VLOOKUP(B3850*1,PEDIDOS!D:I,6,0),"" "")))"),"ENTREGUE")</f>
        <v>ENTREGUE</v>
      </c>
      <c r="G3850" s="307"/>
      <c r="H3850" s="304"/>
    </row>
    <row r="3851">
      <c r="A3851" s="302" t="s">
        <v>91</v>
      </c>
      <c r="B3851" s="291" t="s">
        <v>20836</v>
      </c>
      <c r="C3851" s="292" t="s">
        <v>48</v>
      </c>
      <c r="D3851" s="293">
        <f t="shared" si="2"/>
        <v>1</v>
      </c>
      <c r="E3851" s="294" t="s">
        <v>23608</v>
      </c>
      <c r="F3851" s="295" t="str">
        <f>IFERROR(__xludf.DUMMYFUNCTION("IF(B3851="""","""",IFERROR(VLOOKUP(TO_TEXT(B3851),PEDIDOS!D:I,6,0),IFERROR(VLOOKUP(B3851*1,PEDIDOS!D:I,6,0),"" "")))"),"ENTREGUE")</f>
        <v>ENTREGUE</v>
      </c>
      <c r="G3851" s="307"/>
      <c r="H3851" s="304"/>
    </row>
    <row r="3852">
      <c r="A3852" s="302" t="s">
        <v>91</v>
      </c>
      <c r="B3852" s="291" t="s">
        <v>20889</v>
      </c>
      <c r="C3852" s="292" t="s">
        <v>48</v>
      </c>
      <c r="D3852" s="293">
        <f t="shared" si="2"/>
        <v>1</v>
      </c>
      <c r="E3852" s="294" t="s">
        <v>23608</v>
      </c>
      <c r="F3852" s="295" t="str">
        <f>IFERROR(__xludf.DUMMYFUNCTION("IF(B3852="""","""",IFERROR(VLOOKUP(TO_TEXT(B3852),PEDIDOS!D:I,6,0),IFERROR(VLOOKUP(B3852*1,PEDIDOS!D:I,6,0),"" "")))"),"ENTREGUE")</f>
        <v>ENTREGUE</v>
      </c>
      <c r="G3852" s="307"/>
      <c r="H3852" s="304"/>
    </row>
    <row r="3853">
      <c r="A3853" s="302" t="s">
        <v>91</v>
      </c>
      <c r="B3853" s="291" t="s">
        <v>20939</v>
      </c>
      <c r="C3853" s="292" t="s">
        <v>48</v>
      </c>
      <c r="D3853" s="293">
        <f t="shared" si="2"/>
        <v>1</v>
      </c>
      <c r="E3853" s="294" t="s">
        <v>23608</v>
      </c>
      <c r="F3853" s="295" t="str">
        <f>IFERROR(__xludf.DUMMYFUNCTION("IF(B3853="""","""",IFERROR(VLOOKUP(TO_TEXT(B3853),PEDIDOS!D:I,6,0),IFERROR(VLOOKUP(B3853*1,PEDIDOS!D:I,6,0),"" "")))"),"ENTREGUE")</f>
        <v>ENTREGUE</v>
      </c>
      <c r="G3853" s="307"/>
      <c r="H3853" s="304"/>
    </row>
    <row r="3854">
      <c r="A3854" s="302" t="s">
        <v>91</v>
      </c>
      <c r="B3854" s="291" t="s">
        <v>23672</v>
      </c>
      <c r="C3854" s="292" t="s">
        <v>48</v>
      </c>
      <c r="D3854" s="293">
        <f t="shared" si="2"/>
        <v>0</v>
      </c>
      <c r="E3854" s="294" t="s">
        <v>23608</v>
      </c>
      <c r="F3854" s="295" t="str">
        <f>IFERROR(__xludf.DUMMYFUNCTION("IF(B3854="""","""",IFERROR(VLOOKUP(TO_TEXT(B3854),PEDIDOS!D:I,6,0),IFERROR(VLOOKUP(B3854*1,PEDIDOS!D:I,6,0),"" "")))")," ")</f>
        <v> </v>
      </c>
      <c r="G3854" s="307"/>
      <c r="H3854" s="304"/>
    </row>
    <row r="3855">
      <c r="A3855" s="302" t="s">
        <v>91</v>
      </c>
      <c r="B3855" s="291" t="s">
        <v>20873</v>
      </c>
      <c r="C3855" s="292" t="s">
        <v>48</v>
      </c>
      <c r="D3855" s="293">
        <f t="shared" si="2"/>
        <v>1</v>
      </c>
      <c r="E3855" s="294" t="s">
        <v>23608</v>
      </c>
      <c r="F3855" s="295" t="str">
        <f>IFERROR(__xludf.DUMMYFUNCTION("IF(B3855="""","""",IFERROR(VLOOKUP(TO_TEXT(B3855),PEDIDOS!D:I,6,0),IFERROR(VLOOKUP(B3855*1,PEDIDOS!D:I,6,0),"" "")))"),"ENTREGUE")</f>
        <v>ENTREGUE</v>
      </c>
      <c r="G3855" s="307"/>
      <c r="H3855" s="304"/>
    </row>
    <row r="3856">
      <c r="A3856" s="302" t="s">
        <v>91</v>
      </c>
      <c r="B3856" s="291" t="s">
        <v>20977</v>
      </c>
      <c r="C3856" s="292" t="s">
        <v>48</v>
      </c>
      <c r="D3856" s="293">
        <f t="shared" si="2"/>
        <v>1</v>
      </c>
      <c r="E3856" s="294" t="s">
        <v>23608</v>
      </c>
      <c r="F3856" s="295" t="str">
        <f>IFERROR(__xludf.DUMMYFUNCTION("IF(B3856="""","""",IFERROR(VLOOKUP(TO_TEXT(B3856),PEDIDOS!D:I,6,0),IFERROR(VLOOKUP(B3856*1,PEDIDOS!D:I,6,0),"" "")))"),"ENTREGUE")</f>
        <v>ENTREGUE</v>
      </c>
      <c r="G3856" s="307"/>
      <c r="H3856" s="304"/>
    </row>
    <row r="3857">
      <c r="A3857" s="302" t="s">
        <v>91</v>
      </c>
      <c r="B3857" s="291" t="s">
        <v>20982</v>
      </c>
      <c r="C3857" s="292" t="s">
        <v>48</v>
      </c>
      <c r="D3857" s="293">
        <f t="shared" si="2"/>
        <v>1</v>
      </c>
      <c r="E3857" s="294" t="s">
        <v>23608</v>
      </c>
      <c r="F3857" s="295" t="str">
        <f>IFERROR(__xludf.DUMMYFUNCTION("IF(B3857="""","""",IFERROR(VLOOKUP(TO_TEXT(B3857),PEDIDOS!D:I,6,0),IFERROR(VLOOKUP(B3857*1,PEDIDOS!D:I,6,0),"" "")))"),"ENTREGUE")</f>
        <v>ENTREGUE</v>
      </c>
      <c r="G3857" s="307"/>
      <c r="H3857" s="304"/>
    </row>
    <row r="3858">
      <c r="A3858" s="302" t="s">
        <v>91</v>
      </c>
      <c r="B3858" s="291" t="s">
        <v>21148</v>
      </c>
      <c r="C3858" s="292" t="s">
        <v>48</v>
      </c>
      <c r="D3858" s="293">
        <f t="shared" si="2"/>
        <v>1</v>
      </c>
      <c r="E3858" s="294" t="s">
        <v>23608</v>
      </c>
      <c r="F3858" s="295" t="str">
        <f>IFERROR(__xludf.DUMMYFUNCTION("IF(B3858="""","""",IFERROR(VLOOKUP(TO_TEXT(B3858),PEDIDOS!D:I,6,0),IFERROR(VLOOKUP(B3858*1,PEDIDOS!D:I,6,0),"" "")))"),"ENTREGUE")</f>
        <v>ENTREGUE</v>
      </c>
      <c r="G3858" s="307"/>
      <c r="H3858" s="304"/>
    </row>
    <row r="3859">
      <c r="A3859" s="302" t="s">
        <v>91</v>
      </c>
      <c r="B3859" s="291" t="s">
        <v>21143</v>
      </c>
      <c r="C3859" s="292" t="s">
        <v>48</v>
      </c>
      <c r="D3859" s="293">
        <f t="shared" si="2"/>
        <v>1</v>
      </c>
      <c r="E3859" s="294" t="s">
        <v>23608</v>
      </c>
      <c r="F3859" s="295" t="str">
        <f>IFERROR(__xludf.DUMMYFUNCTION("IF(B3859="""","""",IFERROR(VLOOKUP(TO_TEXT(B3859),PEDIDOS!D:I,6,0),IFERROR(VLOOKUP(B3859*1,PEDIDOS!D:I,6,0),"" "")))"),"ENTREGUE")</f>
        <v>ENTREGUE</v>
      </c>
      <c r="G3859" s="307"/>
      <c r="H3859" s="304"/>
    </row>
    <row r="3860">
      <c r="A3860" s="302" t="s">
        <v>91</v>
      </c>
      <c r="B3860" s="291" t="s">
        <v>20916</v>
      </c>
      <c r="C3860" s="292" t="s">
        <v>48</v>
      </c>
      <c r="D3860" s="293">
        <f t="shared" si="2"/>
        <v>1</v>
      </c>
      <c r="E3860" s="294" t="s">
        <v>23608</v>
      </c>
      <c r="F3860" s="295" t="str">
        <f>IFERROR(__xludf.DUMMYFUNCTION("IF(B3860="""","""",IFERROR(VLOOKUP(TO_TEXT(B3860),PEDIDOS!D:I,6,0),IFERROR(VLOOKUP(B3860*1,PEDIDOS!D:I,6,0),"" "")))"),"ENTREGUE")</f>
        <v>ENTREGUE</v>
      </c>
      <c r="G3860" s="307"/>
      <c r="H3860" s="304"/>
    </row>
    <row r="3861">
      <c r="A3861" s="302" t="s">
        <v>91</v>
      </c>
      <c r="B3861" s="291" t="s">
        <v>21081</v>
      </c>
      <c r="C3861" s="292" t="s">
        <v>48</v>
      </c>
      <c r="D3861" s="293">
        <f t="shared" si="2"/>
        <v>1</v>
      </c>
      <c r="E3861" s="294" t="s">
        <v>23608</v>
      </c>
      <c r="F3861" s="295" t="str">
        <f>IFERROR(__xludf.DUMMYFUNCTION("IF(B3861="""","""",IFERROR(VLOOKUP(TO_TEXT(B3861),PEDIDOS!D:I,6,0),IFERROR(VLOOKUP(B3861*1,PEDIDOS!D:I,6,0),"" "")))"),"ENTREGUE")</f>
        <v>ENTREGUE</v>
      </c>
      <c r="G3861" s="307"/>
      <c r="H3861" s="304"/>
    </row>
    <row r="3862">
      <c r="A3862" s="302" t="s">
        <v>91</v>
      </c>
      <c r="B3862" s="291" t="s">
        <v>20049</v>
      </c>
      <c r="C3862" s="292" t="s">
        <v>48</v>
      </c>
      <c r="D3862" s="293">
        <f t="shared" si="2"/>
        <v>1</v>
      </c>
      <c r="E3862" s="294" t="s">
        <v>23608</v>
      </c>
      <c r="F3862" s="295" t="str">
        <f>IFERROR(__xludf.DUMMYFUNCTION("IF(B3862="""","""",IFERROR(VLOOKUP(TO_TEXT(B3862),PEDIDOS!D:I,6,0),IFERROR(VLOOKUP(B3862*1,PEDIDOS!D:I,6,0),"" "")))"),"ENTREGUE")</f>
        <v>ENTREGUE</v>
      </c>
      <c r="G3862" s="307"/>
      <c r="H3862" s="304"/>
    </row>
    <row r="3863">
      <c r="A3863" s="302" t="s">
        <v>91</v>
      </c>
      <c r="B3863" s="291" t="s">
        <v>20053</v>
      </c>
      <c r="C3863" s="292" t="s">
        <v>48</v>
      </c>
      <c r="D3863" s="293">
        <f t="shared" si="2"/>
        <v>1</v>
      </c>
      <c r="E3863" s="294" t="s">
        <v>23608</v>
      </c>
      <c r="F3863" s="295" t="str">
        <f>IFERROR(__xludf.DUMMYFUNCTION("IF(B3863="""","""",IFERROR(VLOOKUP(TO_TEXT(B3863),PEDIDOS!D:I,6,0),IFERROR(VLOOKUP(B3863*1,PEDIDOS!D:I,6,0),"" "")))"),"ENTREGUE")</f>
        <v>ENTREGUE</v>
      </c>
      <c r="G3863" s="307"/>
      <c r="H3863" s="304"/>
    </row>
    <row r="3864">
      <c r="A3864" s="302" t="s">
        <v>91</v>
      </c>
      <c r="B3864" s="291" t="s">
        <v>20784</v>
      </c>
      <c r="C3864" s="292" t="s">
        <v>48</v>
      </c>
      <c r="D3864" s="293">
        <f t="shared" si="2"/>
        <v>1</v>
      </c>
      <c r="E3864" s="294" t="s">
        <v>23608</v>
      </c>
      <c r="F3864" s="295" t="str">
        <f>IFERROR(__xludf.DUMMYFUNCTION("IF(B3864="""","""",IFERROR(VLOOKUP(TO_TEXT(B3864),PEDIDOS!D:I,6,0),IFERROR(VLOOKUP(B3864*1,PEDIDOS!D:I,6,0),"" "")))"),"ENTREGUE")</f>
        <v>ENTREGUE</v>
      </c>
      <c r="G3864" s="307"/>
      <c r="H3864" s="304"/>
    </row>
    <row r="3865">
      <c r="A3865" s="302" t="s">
        <v>91</v>
      </c>
      <c r="B3865" s="291" t="s">
        <v>21228</v>
      </c>
      <c r="C3865" s="292" t="s">
        <v>48</v>
      </c>
      <c r="D3865" s="293">
        <f t="shared" si="2"/>
        <v>1</v>
      </c>
      <c r="E3865" s="294" t="s">
        <v>23608</v>
      </c>
      <c r="F3865" s="295" t="str">
        <f>IFERROR(__xludf.DUMMYFUNCTION("IF(B3865="""","""",IFERROR(VLOOKUP(TO_TEXT(B3865),PEDIDOS!D:I,6,0),IFERROR(VLOOKUP(B3865*1,PEDIDOS!D:I,6,0),"" "")))"),"ENTREGUE")</f>
        <v>ENTREGUE</v>
      </c>
      <c r="G3865" s="307"/>
      <c r="H3865" s="304"/>
    </row>
    <row r="3866">
      <c r="A3866" s="302" t="s">
        <v>91</v>
      </c>
      <c r="B3866" s="291" t="s">
        <v>20007</v>
      </c>
      <c r="C3866" s="292" t="s">
        <v>48</v>
      </c>
      <c r="D3866" s="293">
        <f t="shared" si="2"/>
        <v>1</v>
      </c>
      <c r="E3866" s="294" t="s">
        <v>23608</v>
      </c>
      <c r="F3866" s="295" t="str">
        <f>IFERROR(__xludf.DUMMYFUNCTION("IF(B3866="""","""",IFERROR(VLOOKUP(TO_TEXT(B3866),PEDIDOS!D:I,6,0),IFERROR(VLOOKUP(B3866*1,PEDIDOS!D:I,6,0),"" "")))"),"ENTREGUE")</f>
        <v>ENTREGUE</v>
      </c>
      <c r="G3866" s="307"/>
      <c r="H3866" s="304"/>
    </row>
    <row r="3867">
      <c r="A3867" s="302" t="s">
        <v>91</v>
      </c>
      <c r="B3867" s="291" t="s">
        <v>21330</v>
      </c>
      <c r="C3867" s="292" t="s">
        <v>48</v>
      </c>
      <c r="D3867" s="293">
        <f t="shared" si="2"/>
        <v>1</v>
      </c>
      <c r="E3867" s="294" t="s">
        <v>23608</v>
      </c>
      <c r="F3867" s="295" t="str">
        <f>IFERROR(__xludf.DUMMYFUNCTION("IF(B3867="""","""",IFERROR(VLOOKUP(TO_TEXT(B3867),PEDIDOS!D:I,6,0),IFERROR(VLOOKUP(B3867*1,PEDIDOS!D:I,6,0),"" "")))"),"ENTREGUE")</f>
        <v>ENTREGUE</v>
      </c>
      <c r="G3867" s="307"/>
      <c r="H3867" s="304"/>
    </row>
    <row r="3868">
      <c r="A3868" s="302" t="s">
        <v>91</v>
      </c>
      <c r="B3868" s="291" t="s">
        <v>21341</v>
      </c>
      <c r="C3868" s="292" t="s">
        <v>48</v>
      </c>
      <c r="D3868" s="293">
        <f t="shared" si="2"/>
        <v>1</v>
      </c>
      <c r="E3868" s="294" t="s">
        <v>23608</v>
      </c>
      <c r="F3868" s="295" t="str">
        <f>IFERROR(__xludf.DUMMYFUNCTION("IF(B3868="""","""",IFERROR(VLOOKUP(TO_TEXT(B3868),PEDIDOS!D:I,6,0),IFERROR(VLOOKUP(B3868*1,PEDIDOS!D:I,6,0),"" "")))"),"ENTREGUE")</f>
        <v>ENTREGUE</v>
      </c>
      <c r="G3868" s="307"/>
      <c r="H3868" s="304"/>
    </row>
    <row r="3869">
      <c r="A3869" s="302" t="s">
        <v>91</v>
      </c>
      <c r="B3869" s="291" t="s">
        <v>21157</v>
      </c>
      <c r="C3869" s="292" t="s">
        <v>48</v>
      </c>
      <c r="D3869" s="293">
        <f t="shared" si="2"/>
        <v>1</v>
      </c>
      <c r="E3869" s="294" t="s">
        <v>23608</v>
      </c>
      <c r="F3869" s="295" t="str">
        <f>IFERROR(__xludf.DUMMYFUNCTION("IF(B3869="""","""",IFERROR(VLOOKUP(TO_TEXT(B3869),PEDIDOS!D:I,6,0),IFERROR(VLOOKUP(B3869*1,PEDIDOS!D:I,6,0),"" "")))"),"ENTREGUE")</f>
        <v>ENTREGUE</v>
      </c>
      <c r="G3869" s="307"/>
      <c r="H3869" s="304"/>
    </row>
    <row r="3870">
      <c r="A3870" s="302" t="s">
        <v>91</v>
      </c>
      <c r="B3870" s="291" t="s">
        <v>21430</v>
      </c>
      <c r="C3870" s="292" t="s">
        <v>48</v>
      </c>
      <c r="D3870" s="293">
        <f t="shared" si="2"/>
        <v>1</v>
      </c>
      <c r="E3870" s="294" t="s">
        <v>23608</v>
      </c>
      <c r="F3870" s="295" t="str">
        <f>IFERROR(__xludf.DUMMYFUNCTION("IF(B3870="""","""",IFERROR(VLOOKUP(TO_TEXT(B3870),PEDIDOS!D:I,6,0),IFERROR(VLOOKUP(B3870*1,PEDIDOS!D:I,6,0),"" "")))"),"ENTREGUE")</f>
        <v>ENTREGUE</v>
      </c>
      <c r="G3870" s="307"/>
      <c r="H3870" s="304"/>
    </row>
    <row r="3871">
      <c r="A3871" s="302" t="s">
        <v>91</v>
      </c>
      <c r="B3871" s="291" t="s">
        <v>21439</v>
      </c>
      <c r="C3871" s="292" t="s">
        <v>48</v>
      </c>
      <c r="D3871" s="293">
        <f t="shared" si="2"/>
        <v>1</v>
      </c>
      <c r="E3871" s="294" t="s">
        <v>23608</v>
      </c>
      <c r="F3871" s="295" t="str">
        <f>IFERROR(__xludf.DUMMYFUNCTION("IF(B3871="""","""",IFERROR(VLOOKUP(TO_TEXT(B3871),PEDIDOS!D:I,6,0),IFERROR(VLOOKUP(B3871*1,PEDIDOS!D:I,6,0),"" "")))"),"ENTREGUE")</f>
        <v>ENTREGUE</v>
      </c>
      <c r="G3871" s="307"/>
      <c r="H3871" s="304"/>
    </row>
    <row r="3872">
      <c r="A3872" s="302" t="s">
        <v>91</v>
      </c>
      <c r="B3872" s="291" t="s">
        <v>21390</v>
      </c>
      <c r="C3872" s="292" t="s">
        <v>48</v>
      </c>
      <c r="D3872" s="293">
        <f t="shared" si="2"/>
        <v>1</v>
      </c>
      <c r="E3872" s="294" t="s">
        <v>23608</v>
      </c>
      <c r="F3872" s="295" t="str">
        <f>IFERROR(__xludf.DUMMYFUNCTION("IF(B3872="""","""",IFERROR(VLOOKUP(TO_TEXT(B3872),PEDIDOS!D:I,6,0),IFERROR(VLOOKUP(B3872*1,PEDIDOS!D:I,6,0),"" "")))"),"ENTREGUE")</f>
        <v>ENTREGUE</v>
      </c>
      <c r="G3872" s="307"/>
      <c r="H3872" s="304"/>
    </row>
    <row r="3873">
      <c r="A3873" s="302" t="s">
        <v>91</v>
      </c>
      <c r="B3873" s="291" t="s">
        <v>21394</v>
      </c>
      <c r="C3873" s="292" t="s">
        <v>48</v>
      </c>
      <c r="D3873" s="293">
        <f t="shared" si="2"/>
        <v>1</v>
      </c>
      <c r="E3873" s="294" t="s">
        <v>23608</v>
      </c>
      <c r="F3873" s="295" t="str">
        <f>IFERROR(__xludf.DUMMYFUNCTION("IF(B3873="""","""",IFERROR(VLOOKUP(TO_TEXT(B3873),PEDIDOS!D:I,6,0),IFERROR(VLOOKUP(B3873*1,PEDIDOS!D:I,6,0),"" "")))"),"ENTREGUE")</f>
        <v>ENTREGUE</v>
      </c>
      <c r="G3873" s="307"/>
      <c r="H3873" s="304"/>
    </row>
    <row r="3874">
      <c r="A3874" s="302" t="s">
        <v>91</v>
      </c>
      <c r="B3874" s="291" t="s">
        <v>21354</v>
      </c>
      <c r="C3874" s="292" t="s">
        <v>48</v>
      </c>
      <c r="D3874" s="293">
        <f t="shared" si="2"/>
        <v>1</v>
      </c>
      <c r="E3874" s="294" t="s">
        <v>23608</v>
      </c>
      <c r="F3874" s="295" t="str">
        <f>IFERROR(__xludf.DUMMYFUNCTION("IF(B3874="""","""",IFERROR(VLOOKUP(TO_TEXT(B3874),PEDIDOS!D:I,6,0),IFERROR(VLOOKUP(B3874*1,PEDIDOS!D:I,6,0),"" "")))"),"ENTREGUE")</f>
        <v>ENTREGUE</v>
      </c>
      <c r="G3874" s="307"/>
      <c r="H3874" s="304"/>
    </row>
    <row r="3875">
      <c r="A3875" s="302" t="s">
        <v>91</v>
      </c>
      <c r="B3875" s="291" t="s">
        <v>21478</v>
      </c>
      <c r="C3875" s="292" t="s">
        <v>48</v>
      </c>
      <c r="D3875" s="293">
        <f t="shared" si="2"/>
        <v>1</v>
      </c>
      <c r="E3875" s="294" t="s">
        <v>23608</v>
      </c>
      <c r="F3875" s="295" t="str">
        <f>IFERROR(__xludf.DUMMYFUNCTION("IF(B3875="""","""",IFERROR(VLOOKUP(TO_TEXT(B3875),PEDIDOS!D:I,6,0),IFERROR(VLOOKUP(B3875*1,PEDIDOS!D:I,6,0),"" "")))"),"ENTREGUE")</f>
        <v>ENTREGUE</v>
      </c>
      <c r="G3875" s="307"/>
      <c r="H3875" s="304"/>
    </row>
    <row r="3876">
      <c r="A3876" s="302" t="s">
        <v>91</v>
      </c>
      <c r="B3876" s="291" t="s">
        <v>21483</v>
      </c>
      <c r="C3876" s="292" t="s">
        <v>48</v>
      </c>
      <c r="D3876" s="293">
        <f t="shared" si="2"/>
        <v>1</v>
      </c>
      <c r="E3876" s="294" t="s">
        <v>23608</v>
      </c>
      <c r="F3876" s="295" t="str">
        <f>IFERROR(__xludf.DUMMYFUNCTION("IF(B3876="""","""",IFERROR(VLOOKUP(TO_TEXT(B3876),PEDIDOS!D:I,6,0),IFERROR(VLOOKUP(B3876*1,PEDIDOS!D:I,6,0),"" "")))"),"ENTREGUE")</f>
        <v>ENTREGUE</v>
      </c>
      <c r="G3876" s="307"/>
      <c r="H3876" s="304"/>
    </row>
    <row r="3877">
      <c r="A3877" s="302" t="s">
        <v>91</v>
      </c>
      <c r="B3877" s="291" t="s">
        <v>21410</v>
      </c>
      <c r="C3877" s="292" t="s">
        <v>48</v>
      </c>
      <c r="D3877" s="293">
        <f t="shared" si="2"/>
        <v>1</v>
      </c>
      <c r="E3877" s="294" t="s">
        <v>23608</v>
      </c>
      <c r="F3877" s="295" t="str">
        <f>IFERROR(__xludf.DUMMYFUNCTION("IF(B3877="""","""",IFERROR(VLOOKUP(TO_TEXT(B3877),PEDIDOS!D:I,6,0),IFERROR(VLOOKUP(B3877*1,PEDIDOS!D:I,6,0),"" "")))"),"ENTREGUE")</f>
        <v>ENTREGUE</v>
      </c>
      <c r="G3877" s="307"/>
      <c r="H3877" s="304"/>
    </row>
    <row r="3878">
      <c r="A3878" s="302" t="s">
        <v>91</v>
      </c>
      <c r="B3878" s="291" t="s">
        <v>21557</v>
      </c>
      <c r="C3878" s="292" t="s">
        <v>48</v>
      </c>
      <c r="D3878" s="293">
        <f t="shared" si="2"/>
        <v>1</v>
      </c>
      <c r="E3878" s="294" t="s">
        <v>23608</v>
      </c>
      <c r="F3878" s="295" t="str">
        <f>IFERROR(__xludf.DUMMYFUNCTION("IF(B3878="""","""",IFERROR(VLOOKUP(TO_TEXT(B3878),PEDIDOS!D:I,6,0),IFERROR(VLOOKUP(B3878*1,PEDIDOS!D:I,6,0),"" "")))"),"ENTREGUE")</f>
        <v>ENTREGUE</v>
      </c>
      <c r="G3878" s="307"/>
      <c r="H3878" s="304"/>
    </row>
    <row r="3879">
      <c r="A3879" s="302" t="s">
        <v>91</v>
      </c>
      <c r="B3879" s="291" t="s">
        <v>21614</v>
      </c>
      <c r="C3879" s="292" t="s">
        <v>48</v>
      </c>
      <c r="D3879" s="293">
        <f t="shared" si="2"/>
        <v>1</v>
      </c>
      <c r="E3879" s="294" t="s">
        <v>23608</v>
      </c>
      <c r="F3879" s="295" t="str">
        <f>IFERROR(__xludf.DUMMYFUNCTION("IF(B3879="""","""",IFERROR(VLOOKUP(TO_TEXT(B3879),PEDIDOS!D:I,6,0),IFERROR(VLOOKUP(B3879*1,PEDIDOS!D:I,6,0),"" "")))"),"ENTREGUE")</f>
        <v>ENTREGUE</v>
      </c>
      <c r="G3879" s="307"/>
      <c r="H3879" s="304"/>
    </row>
    <row r="3880">
      <c r="A3880" s="302" t="s">
        <v>91</v>
      </c>
      <c r="B3880" s="291" t="s">
        <v>21639</v>
      </c>
      <c r="C3880" s="292" t="s">
        <v>48</v>
      </c>
      <c r="D3880" s="293">
        <f t="shared" si="2"/>
        <v>1</v>
      </c>
      <c r="E3880" s="294" t="s">
        <v>23608</v>
      </c>
      <c r="F3880" s="295" t="str">
        <f>IFERROR(__xludf.DUMMYFUNCTION("IF(B3880="""","""",IFERROR(VLOOKUP(TO_TEXT(B3880),PEDIDOS!D:I,6,0),IFERROR(VLOOKUP(B3880*1,PEDIDOS!D:I,6,0),"" "")))"),"ENTREGUE")</f>
        <v>ENTREGUE</v>
      </c>
      <c r="G3880" s="307"/>
      <c r="H3880" s="304"/>
    </row>
    <row r="3881">
      <c r="A3881" s="302" t="s">
        <v>91</v>
      </c>
      <c r="B3881" s="291" t="s">
        <v>21610</v>
      </c>
      <c r="C3881" s="292" t="s">
        <v>48</v>
      </c>
      <c r="D3881" s="293">
        <f t="shared" si="2"/>
        <v>1</v>
      </c>
      <c r="E3881" s="294" t="s">
        <v>23608</v>
      </c>
      <c r="F3881" s="295" t="str">
        <f>IFERROR(__xludf.DUMMYFUNCTION("IF(B3881="""","""",IFERROR(VLOOKUP(TO_TEXT(B3881),PEDIDOS!D:I,6,0),IFERROR(VLOOKUP(B3881*1,PEDIDOS!D:I,6,0),"" "")))"),"ENTREGUE")</f>
        <v>ENTREGUE</v>
      </c>
      <c r="G3881" s="307"/>
      <c r="H3881" s="304"/>
    </row>
    <row r="3882">
      <c r="A3882" s="302" t="s">
        <v>91</v>
      </c>
      <c r="B3882" s="291" t="s">
        <v>21631</v>
      </c>
      <c r="C3882" s="292" t="s">
        <v>48</v>
      </c>
      <c r="D3882" s="293">
        <f t="shared" si="2"/>
        <v>1</v>
      </c>
      <c r="E3882" s="294" t="s">
        <v>23608</v>
      </c>
      <c r="F3882" s="295" t="str">
        <f>IFERROR(__xludf.DUMMYFUNCTION("IF(B3882="""","""",IFERROR(VLOOKUP(TO_TEXT(B3882),PEDIDOS!D:I,6,0),IFERROR(VLOOKUP(B3882*1,PEDIDOS!D:I,6,0),"" "")))"),"ENTREGUE")</f>
        <v>ENTREGUE</v>
      </c>
      <c r="G3882" s="307"/>
      <c r="H3882" s="304"/>
    </row>
    <row r="3883">
      <c r="A3883" s="302" t="s">
        <v>91</v>
      </c>
      <c r="B3883" s="291" t="s">
        <v>22054</v>
      </c>
      <c r="C3883" s="292" t="s">
        <v>48</v>
      </c>
      <c r="D3883" s="293">
        <f t="shared" si="2"/>
        <v>1</v>
      </c>
      <c r="E3883" s="294" t="s">
        <v>23608</v>
      </c>
      <c r="F3883" s="295" t="str">
        <f>IFERROR(__xludf.DUMMYFUNCTION("IF(B3883="""","""",IFERROR(VLOOKUP(TO_TEXT(B3883),PEDIDOS!D:I,6,0),IFERROR(VLOOKUP(B3883*1,PEDIDOS!D:I,6,0),"" "")))"),"ENTREGUE")</f>
        <v>ENTREGUE</v>
      </c>
      <c r="G3883" s="307"/>
      <c r="H3883" s="304"/>
    </row>
    <row r="3884">
      <c r="A3884" s="302" t="s">
        <v>91</v>
      </c>
      <c r="B3884" s="291" t="s">
        <v>21782</v>
      </c>
      <c r="C3884" s="292" t="s">
        <v>48</v>
      </c>
      <c r="D3884" s="293">
        <f t="shared" si="2"/>
        <v>1</v>
      </c>
      <c r="E3884" s="294" t="s">
        <v>23608</v>
      </c>
      <c r="F3884" s="295" t="str">
        <f>IFERROR(__xludf.DUMMYFUNCTION("IF(B3884="""","""",IFERROR(VLOOKUP(TO_TEXT(B3884),PEDIDOS!D:I,6,0),IFERROR(VLOOKUP(B3884*1,PEDIDOS!D:I,6,0),"" "")))"),"ENTREGUE")</f>
        <v>ENTREGUE</v>
      </c>
      <c r="G3884" s="307"/>
      <c r="H3884" s="304"/>
    </row>
    <row r="3885">
      <c r="A3885" s="302" t="s">
        <v>91</v>
      </c>
      <c r="B3885" s="291" t="s">
        <v>21786</v>
      </c>
      <c r="C3885" s="292" t="s">
        <v>48</v>
      </c>
      <c r="D3885" s="293">
        <f t="shared" si="2"/>
        <v>1</v>
      </c>
      <c r="E3885" s="294" t="s">
        <v>23608</v>
      </c>
      <c r="F3885" s="295" t="str">
        <f>IFERROR(__xludf.DUMMYFUNCTION("IF(B3885="""","""",IFERROR(VLOOKUP(TO_TEXT(B3885),PEDIDOS!D:I,6,0),IFERROR(VLOOKUP(B3885*1,PEDIDOS!D:I,6,0),"" "")))"),"ENTREGUE")</f>
        <v>ENTREGUE</v>
      </c>
      <c r="G3885" s="307"/>
      <c r="H3885" s="304"/>
    </row>
    <row r="3886">
      <c r="A3886" s="302" t="s">
        <v>91</v>
      </c>
      <c r="B3886" s="291" t="s">
        <v>21654</v>
      </c>
      <c r="C3886" s="292" t="s">
        <v>48</v>
      </c>
      <c r="D3886" s="293">
        <f t="shared" si="2"/>
        <v>1</v>
      </c>
      <c r="E3886" s="294" t="s">
        <v>23608</v>
      </c>
      <c r="F3886" s="295" t="str">
        <f>IFERROR(__xludf.DUMMYFUNCTION("IF(B3886="""","""",IFERROR(VLOOKUP(TO_TEXT(B3886),PEDIDOS!D:I,6,0),IFERROR(VLOOKUP(B3886*1,PEDIDOS!D:I,6,0),"" "")))"),"ENTREGUE")</f>
        <v>ENTREGUE</v>
      </c>
      <c r="G3886" s="307"/>
      <c r="H3886" s="304"/>
    </row>
    <row r="3887">
      <c r="A3887" s="302" t="s">
        <v>91</v>
      </c>
      <c r="B3887" s="291" t="s">
        <v>21778</v>
      </c>
      <c r="C3887" s="292" t="s">
        <v>48</v>
      </c>
      <c r="D3887" s="293">
        <f t="shared" si="2"/>
        <v>1</v>
      </c>
      <c r="E3887" s="294" t="s">
        <v>23608</v>
      </c>
      <c r="F3887" s="295" t="str">
        <f>IFERROR(__xludf.DUMMYFUNCTION("IF(B3887="""","""",IFERROR(VLOOKUP(TO_TEXT(B3887),PEDIDOS!D:I,6,0),IFERROR(VLOOKUP(B3887*1,PEDIDOS!D:I,6,0),"" "")))"),"FINALIZADO")</f>
        <v>FINALIZADO</v>
      </c>
      <c r="G3887" s="307"/>
      <c r="H3887" s="304"/>
    </row>
    <row r="3888">
      <c r="A3888" s="302" t="s">
        <v>91</v>
      </c>
      <c r="B3888" s="291" t="s">
        <v>21774</v>
      </c>
      <c r="C3888" s="292" t="s">
        <v>48</v>
      </c>
      <c r="D3888" s="293">
        <f t="shared" si="2"/>
        <v>1</v>
      </c>
      <c r="E3888" s="294" t="s">
        <v>23608</v>
      </c>
      <c r="F3888" s="295" t="str">
        <f>IFERROR(__xludf.DUMMYFUNCTION("IF(B3888="""","""",IFERROR(VLOOKUP(TO_TEXT(B3888),PEDIDOS!D:I,6,0),IFERROR(VLOOKUP(B3888*1,PEDIDOS!D:I,6,0),"" "")))"),"FINALIZADO")</f>
        <v>FINALIZADO</v>
      </c>
      <c r="G3888" s="307"/>
      <c r="H3888" s="304"/>
    </row>
    <row r="3889">
      <c r="A3889" s="302" t="s">
        <v>91</v>
      </c>
      <c r="B3889" s="291" t="s">
        <v>21770</v>
      </c>
      <c r="C3889" s="292" t="s">
        <v>48</v>
      </c>
      <c r="D3889" s="293">
        <f t="shared" si="2"/>
        <v>1</v>
      </c>
      <c r="E3889" s="294" t="s">
        <v>23608</v>
      </c>
      <c r="F3889" s="295" t="str">
        <f>IFERROR(__xludf.DUMMYFUNCTION("IF(B3889="""","""",IFERROR(VLOOKUP(TO_TEXT(B3889),PEDIDOS!D:I,6,0),IFERROR(VLOOKUP(B3889*1,PEDIDOS!D:I,6,0),"" "")))"),"FINALIZADO")</f>
        <v>FINALIZADO</v>
      </c>
      <c r="G3889" s="307"/>
      <c r="H3889" s="304"/>
    </row>
    <row r="3890">
      <c r="A3890" s="302" t="s">
        <v>91</v>
      </c>
      <c r="B3890" s="291" t="s">
        <v>21890</v>
      </c>
      <c r="C3890" s="292" t="s">
        <v>48</v>
      </c>
      <c r="D3890" s="293">
        <f t="shared" si="2"/>
        <v>1</v>
      </c>
      <c r="E3890" s="294" t="s">
        <v>23608</v>
      </c>
      <c r="F3890" s="295" t="str">
        <f>IFERROR(__xludf.DUMMYFUNCTION("IF(B3890="""","""",IFERROR(VLOOKUP(TO_TEXT(B3890),PEDIDOS!D:I,6,0),IFERROR(VLOOKUP(B3890*1,PEDIDOS!D:I,6,0),"" "")))"),"ENTREGUE")</f>
        <v>ENTREGUE</v>
      </c>
      <c r="G3890" s="307"/>
      <c r="H3890" s="304"/>
    </row>
    <row r="3891">
      <c r="A3891" s="302" t="s">
        <v>91</v>
      </c>
      <c r="B3891" s="291" t="s">
        <v>22077</v>
      </c>
      <c r="C3891" s="292" t="s">
        <v>48</v>
      </c>
      <c r="D3891" s="293">
        <f t="shared" si="2"/>
        <v>1</v>
      </c>
      <c r="E3891" s="294" t="s">
        <v>23608</v>
      </c>
      <c r="F3891" s="295" t="str">
        <f>IFERROR(__xludf.DUMMYFUNCTION("IF(B3891="""","""",IFERROR(VLOOKUP(TO_TEXT(B3891),PEDIDOS!D:I,6,0),IFERROR(VLOOKUP(B3891*1,PEDIDOS!D:I,6,0),"" "")))"),"ENTREGUE")</f>
        <v>ENTREGUE</v>
      </c>
      <c r="G3891" s="307"/>
      <c r="H3891" s="304"/>
    </row>
    <row r="3892">
      <c r="A3892" s="302" t="s">
        <v>91</v>
      </c>
      <c r="B3892" s="291" t="s">
        <v>21871</v>
      </c>
      <c r="C3892" s="292" t="s">
        <v>48</v>
      </c>
      <c r="D3892" s="293">
        <f t="shared" si="2"/>
        <v>1</v>
      </c>
      <c r="E3892" s="294" t="s">
        <v>23608</v>
      </c>
      <c r="F3892" s="295" t="str">
        <f>IFERROR(__xludf.DUMMYFUNCTION("IF(B3892="""","""",IFERROR(VLOOKUP(TO_TEXT(B3892),PEDIDOS!D:I,6,0),IFERROR(VLOOKUP(B3892*1,PEDIDOS!D:I,6,0),"" "")))"),"ENTREGUE")</f>
        <v>ENTREGUE</v>
      </c>
      <c r="G3892" s="307"/>
      <c r="H3892" s="304"/>
    </row>
    <row r="3893">
      <c r="A3893" s="302" t="s">
        <v>91</v>
      </c>
      <c r="B3893" s="291" t="s">
        <v>22167</v>
      </c>
      <c r="C3893" s="292" t="s">
        <v>48</v>
      </c>
      <c r="D3893" s="293">
        <f t="shared" si="2"/>
        <v>1</v>
      </c>
      <c r="E3893" s="294" t="s">
        <v>23608</v>
      </c>
      <c r="F3893" s="295" t="str">
        <f>IFERROR(__xludf.DUMMYFUNCTION("IF(B3893="""","""",IFERROR(VLOOKUP(TO_TEXT(B3893),PEDIDOS!D:I,6,0),IFERROR(VLOOKUP(B3893*1,PEDIDOS!D:I,6,0),"" "")))"),"ENTREGUE")</f>
        <v>ENTREGUE</v>
      </c>
      <c r="G3893" s="307"/>
      <c r="H3893" s="304"/>
    </row>
    <row r="3894">
      <c r="A3894" s="302" t="s">
        <v>91</v>
      </c>
      <c r="B3894" s="291" t="s">
        <v>22159</v>
      </c>
      <c r="C3894" s="292" t="s">
        <v>48</v>
      </c>
      <c r="D3894" s="293">
        <f t="shared" si="2"/>
        <v>1</v>
      </c>
      <c r="E3894" s="294" t="s">
        <v>23608</v>
      </c>
      <c r="F3894" s="295" t="str">
        <f>IFERROR(__xludf.DUMMYFUNCTION("IF(B3894="""","""",IFERROR(VLOOKUP(TO_TEXT(B3894),PEDIDOS!D:I,6,0),IFERROR(VLOOKUP(B3894*1,PEDIDOS!D:I,6,0),"" "")))"),"ENTREGUE")</f>
        <v>ENTREGUE</v>
      </c>
      <c r="G3894" s="307"/>
      <c r="H3894" s="304"/>
    </row>
    <row r="3895">
      <c r="A3895" s="302" t="s">
        <v>91</v>
      </c>
      <c r="B3895" s="291" t="s">
        <v>22308</v>
      </c>
      <c r="C3895" s="292" t="s">
        <v>48</v>
      </c>
      <c r="D3895" s="293">
        <f t="shared" si="2"/>
        <v>1</v>
      </c>
      <c r="E3895" s="294" t="s">
        <v>23608</v>
      </c>
      <c r="F3895" s="295" t="str">
        <f>IFERROR(__xludf.DUMMYFUNCTION("IF(B3895="""","""",IFERROR(VLOOKUP(TO_TEXT(B3895),PEDIDOS!D:I,6,0),IFERROR(VLOOKUP(B3895*1,PEDIDOS!D:I,6,0),"" "")))"),"ENTREGUE")</f>
        <v>ENTREGUE</v>
      </c>
      <c r="G3895" s="307"/>
      <c r="H3895" s="304"/>
    </row>
    <row r="3896">
      <c r="A3896" s="302" t="s">
        <v>91</v>
      </c>
      <c r="B3896" s="291" t="s">
        <v>22192</v>
      </c>
      <c r="C3896" s="292" t="s">
        <v>48</v>
      </c>
      <c r="D3896" s="293">
        <f t="shared" si="2"/>
        <v>1</v>
      </c>
      <c r="E3896" s="294" t="s">
        <v>23608</v>
      </c>
      <c r="F3896" s="295" t="str">
        <f>IFERROR(__xludf.DUMMYFUNCTION("IF(B3896="""","""",IFERROR(VLOOKUP(TO_TEXT(B3896),PEDIDOS!D:I,6,0),IFERROR(VLOOKUP(B3896*1,PEDIDOS!D:I,6,0),"" "")))"),"ENTREGUE")</f>
        <v>ENTREGUE</v>
      </c>
      <c r="G3896" s="307"/>
      <c r="H3896" s="304"/>
    </row>
    <row r="3897">
      <c r="A3897" s="302" t="s">
        <v>91</v>
      </c>
      <c r="B3897" s="291" t="s">
        <v>21665</v>
      </c>
      <c r="C3897" s="292" t="s">
        <v>48</v>
      </c>
      <c r="D3897" s="293">
        <f t="shared" si="2"/>
        <v>1</v>
      </c>
      <c r="E3897" s="294" t="s">
        <v>23608</v>
      </c>
      <c r="F3897" s="295" t="str">
        <f>IFERROR(__xludf.DUMMYFUNCTION("IF(B3897="""","""",IFERROR(VLOOKUP(TO_TEXT(B3897),PEDIDOS!D:I,6,0),IFERROR(VLOOKUP(B3897*1,PEDIDOS!D:I,6,0),"" "")))"),"ENTREGUE")</f>
        <v>ENTREGUE</v>
      </c>
      <c r="G3897" s="307"/>
      <c r="H3897" s="304"/>
    </row>
    <row r="3898">
      <c r="A3898" s="302" t="s">
        <v>91</v>
      </c>
      <c r="B3898" s="291" t="s">
        <v>22086</v>
      </c>
      <c r="C3898" s="292" t="s">
        <v>48</v>
      </c>
      <c r="D3898" s="293">
        <f t="shared" si="2"/>
        <v>1</v>
      </c>
      <c r="E3898" s="294" t="s">
        <v>23608</v>
      </c>
      <c r="F3898" s="295" t="str">
        <f>IFERROR(__xludf.DUMMYFUNCTION("IF(B3898="""","""",IFERROR(VLOOKUP(TO_TEXT(B3898),PEDIDOS!D:I,6,0),IFERROR(VLOOKUP(B3898*1,PEDIDOS!D:I,6,0),"" "")))"),"ENTREGUE")</f>
        <v>ENTREGUE</v>
      </c>
      <c r="G3898" s="307"/>
      <c r="H3898" s="304"/>
    </row>
    <row r="3899">
      <c r="A3899" s="302" t="s">
        <v>91</v>
      </c>
      <c r="B3899" s="291" t="s">
        <v>22232</v>
      </c>
      <c r="C3899" s="292" t="s">
        <v>48</v>
      </c>
      <c r="D3899" s="293">
        <f t="shared" si="2"/>
        <v>1</v>
      </c>
      <c r="E3899" s="294" t="s">
        <v>23608</v>
      </c>
      <c r="F3899" s="295" t="str">
        <f>IFERROR(__xludf.DUMMYFUNCTION("IF(B3899="""","""",IFERROR(VLOOKUP(TO_TEXT(B3899),PEDIDOS!D:I,6,0),IFERROR(VLOOKUP(B3899*1,PEDIDOS!D:I,6,0),"" "")))"),"ENTREGUE")</f>
        <v>ENTREGUE</v>
      </c>
      <c r="G3899" s="307"/>
      <c r="H3899" s="304"/>
    </row>
    <row r="3900">
      <c r="A3900" s="302" t="s">
        <v>91</v>
      </c>
      <c r="B3900" s="291" t="s">
        <v>21981</v>
      </c>
      <c r="C3900" s="292" t="s">
        <v>48</v>
      </c>
      <c r="D3900" s="293">
        <f t="shared" si="2"/>
        <v>1</v>
      </c>
      <c r="E3900" s="294" t="s">
        <v>23608</v>
      </c>
      <c r="F3900" s="295" t="str">
        <f>IFERROR(__xludf.DUMMYFUNCTION("IF(B3900="""","""",IFERROR(VLOOKUP(TO_TEXT(B3900),PEDIDOS!D:I,6,0),IFERROR(VLOOKUP(B3900*1,PEDIDOS!D:I,6,0),"" "")))"),"ENTREGUE")</f>
        <v>ENTREGUE</v>
      </c>
      <c r="G3900" s="307"/>
      <c r="H3900" s="304"/>
    </row>
    <row r="3901">
      <c r="A3901" s="302" t="s">
        <v>91</v>
      </c>
      <c r="B3901" s="291" t="s">
        <v>21460</v>
      </c>
      <c r="C3901" s="292" t="s">
        <v>48</v>
      </c>
      <c r="D3901" s="293">
        <f t="shared" si="2"/>
        <v>1</v>
      </c>
      <c r="E3901" s="294" t="s">
        <v>23608</v>
      </c>
      <c r="F3901" s="295" t="str">
        <f>IFERROR(__xludf.DUMMYFUNCTION("IF(B3901="""","""",IFERROR(VLOOKUP(TO_TEXT(B3901),PEDIDOS!D:I,6,0),IFERROR(VLOOKUP(B3901*1,PEDIDOS!D:I,6,0),"" "")))"),"ENTREGUE")</f>
        <v>ENTREGUE</v>
      </c>
      <c r="G3901" s="307"/>
      <c r="H3901" s="304"/>
    </row>
    <row r="3902">
      <c r="A3902" s="302" t="s">
        <v>91</v>
      </c>
      <c r="B3902" s="291" t="s">
        <v>10257</v>
      </c>
      <c r="C3902" s="292" t="s">
        <v>48</v>
      </c>
      <c r="D3902" s="293">
        <f t="shared" si="2"/>
        <v>1</v>
      </c>
      <c r="E3902" s="294" t="s">
        <v>23608</v>
      </c>
      <c r="F3902" s="295" t="str">
        <f>IFERROR(__xludf.DUMMYFUNCTION("IF(B3902="""","""",IFERROR(VLOOKUP(TO_TEXT(B3902),PEDIDOS!D:I,6,0),IFERROR(VLOOKUP(B3902*1,PEDIDOS!D:I,6,0),"" "")))"),"ENTREGUE")</f>
        <v>ENTREGUE</v>
      </c>
      <c r="G3902" s="307"/>
      <c r="H3902" s="304"/>
    </row>
    <row r="3903">
      <c r="A3903" s="302" t="s">
        <v>91</v>
      </c>
      <c r="B3903" s="291" t="s">
        <v>22280</v>
      </c>
      <c r="C3903" s="292" t="s">
        <v>48</v>
      </c>
      <c r="D3903" s="293">
        <f t="shared" si="2"/>
        <v>1</v>
      </c>
      <c r="E3903" s="294" t="s">
        <v>23608</v>
      </c>
      <c r="F3903" s="295" t="str">
        <f>IFERROR(__xludf.DUMMYFUNCTION("IF(B3903="""","""",IFERROR(VLOOKUP(TO_TEXT(B3903),PEDIDOS!D:I,6,0),IFERROR(VLOOKUP(B3903*1,PEDIDOS!D:I,6,0),"" "")))"),"ENTREGUE")</f>
        <v>ENTREGUE</v>
      </c>
      <c r="G3903" s="307"/>
      <c r="H3903" s="304"/>
    </row>
    <row r="3904">
      <c r="A3904" s="302" t="s">
        <v>91</v>
      </c>
      <c r="B3904" s="291" t="s">
        <v>22276</v>
      </c>
      <c r="C3904" s="292" t="s">
        <v>48</v>
      </c>
      <c r="D3904" s="293">
        <f t="shared" si="2"/>
        <v>1</v>
      </c>
      <c r="E3904" s="294" t="s">
        <v>23608</v>
      </c>
      <c r="F3904" s="295" t="str">
        <f>IFERROR(__xludf.DUMMYFUNCTION("IF(B3904="""","""",IFERROR(VLOOKUP(TO_TEXT(B3904),PEDIDOS!D:I,6,0),IFERROR(VLOOKUP(B3904*1,PEDIDOS!D:I,6,0),"" "")))"),"ENTREGUE")</f>
        <v>ENTREGUE</v>
      </c>
      <c r="G3904" s="307"/>
      <c r="H3904" s="304"/>
    </row>
    <row r="3905">
      <c r="A3905" s="302" t="s">
        <v>91</v>
      </c>
      <c r="B3905" s="291" t="s">
        <v>21728</v>
      </c>
      <c r="C3905" s="292" t="s">
        <v>48</v>
      </c>
      <c r="D3905" s="293">
        <f t="shared" si="2"/>
        <v>1</v>
      </c>
      <c r="E3905" s="294" t="s">
        <v>23608</v>
      </c>
      <c r="F3905" s="295" t="str">
        <f>IFERROR(__xludf.DUMMYFUNCTION("IF(B3905="""","""",IFERROR(VLOOKUP(TO_TEXT(B3905),PEDIDOS!D:I,6,0),IFERROR(VLOOKUP(B3905*1,PEDIDOS!D:I,6,0),"" "")))"),"ENTREGUE")</f>
        <v>ENTREGUE</v>
      </c>
      <c r="G3905" s="307"/>
      <c r="H3905" s="304"/>
    </row>
    <row r="3906">
      <c r="A3906" s="302" t="s">
        <v>91</v>
      </c>
      <c r="B3906" s="291" t="s">
        <v>22573</v>
      </c>
      <c r="C3906" s="292" t="s">
        <v>48</v>
      </c>
      <c r="D3906" s="293">
        <f t="shared" si="2"/>
        <v>1</v>
      </c>
      <c r="E3906" s="294" t="s">
        <v>23608</v>
      </c>
      <c r="F3906" s="295" t="str">
        <f>IFERROR(__xludf.DUMMYFUNCTION("IF(B3906="""","""",IFERROR(VLOOKUP(TO_TEXT(B3906),PEDIDOS!D:I,6,0),IFERROR(VLOOKUP(B3906*1,PEDIDOS!D:I,6,0),"" "")))"),"ENTREGUE")</f>
        <v>ENTREGUE</v>
      </c>
      <c r="G3906" s="307"/>
      <c r="H3906" s="304"/>
    </row>
    <row r="3907">
      <c r="A3907" s="302" t="s">
        <v>91</v>
      </c>
      <c r="B3907" s="291" t="s">
        <v>22565</v>
      </c>
      <c r="C3907" s="292" t="s">
        <v>48</v>
      </c>
      <c r="D3907" s="293">
        <f t="shared" si="2"/>
        <v>1</v>
      </c>
      <c r="E3907" s="294" t="s">
        <v>23608</v>
      </c>
      <c r="F3907" s="295" t="str">
        <f>IFERROR(__xludf.DUMMYFUNCTION("IF(B3907="""","""",IFERROR(VLOOKUP(TO_TEXT(B3907),PEDIDOS!D:I,6,0),IFERROR(VLOOKUP(B3907*1,PEDIDOS!D:I,6,0),"" "")))"),"ENTREGUE")</f>
        <v>ENTREGUE</v>
      </c>
      <c r="G3907" s="307"/>
      <c r="H3907" s="304"/>
    </row>
    <row r="3908">
      <c r="A3908" s="302" t="s">
        <v>91</v>
      </c>
      <c r="B3908" s="291" t="s">
        <v>22569</v>
      </c>
      <c r="C3908" s="292" t="s">
        <v>48</v>
      </c>
      <c r="D3908" s="293">
        <f t="shared" si="2"/>
        <v>1</v>
      </c>
      <c r="E3908" s="294" t="s">
        <v>23608</v>
      </c>
      <c r="F3908" s="295" t="str">
        <f>IFERROR(__xludf.DUMMYFUNCTION("IF(B3908="""","""",IFERROR(VLOOKUP(TO_TEXT(B3908),PEDIDOS!D:I,6,0),IFERROR(VLOOKUP(B3908*1,PEDIDOS!D:I,6,0),"" "")))"),"ENTREGUE")</f>
        <v>ENTREGUE</v>
      </c>
      <c r="G3908" s="307"/>
      <c r="H3908" s="304"/>
    </row>
    <row r="3909">
      <c r="A3909" s="302" t="s">
        <v>91</v>
      </c>
      <c r="B3909" s="291" t="s">
        <v>22559</v>
      </c>
      <c r="C3909" s="292" t="s">
        <v>48</v>
      </c>
      <c r="D3909" s="293">
        <f t="shared" si="2"/>
        <v>1</v>
      </c>
      <c r="E3909" s="294" t="s">
        <v>23608</v>
      </c>
      <c r="F3909" s="295" t="str">
        <f>IFERROR(__xludf.DUMMYFUNCTION("IF(B3909="""","""",IFERROR(VLOOKUP(TO_TEXT(B3909),PEDIDOS!D:I,6,0),IFERROR(VLOOKUP(B3909*1,PEDIDOS!D:I,6,0),"" "")))"),"ENTREGUE")</f>
        <v>ENTREGUE</v>
      </c>
      <c r="G3909" s="307"/>
      <c r="H3909" s="304"/>
    </row>
    <row r="3910">
      <c r="A3910" s="302" t="s">
        <v>91</v>
      </c>
      <c r="B3910" s="291" t="s">
        <v>22535</v>
      </c>
      <c r="C3910" s="292" t="s">
        <v>48</v>
      </c>
      <c r="D3910" s="293">
        <f t="shared" si="2"/>
        <v>1</v>
      </c>
      <c r="E3910" s="294" t="s">
        <v>23608</v>
      </c>
      <c r="F3910" s="295" t="str">
        <f>IFERROR(__xludf.DUMMYFUNCTION("IF(B3910="""","""",IFERROR(VLOOKUP(TO_TEXT(B3910),PEDIDOS!D:I,6,0),IFERROR(VLOOKUP(B3910*1,PEDIDOS!D:I,6,0),"" "")))"),"ENTREGUE")</f>
        <v>ENTREGUE</v>
      </c>
      <c r="G3910" s="307"/>
      <c r="H3910" s="304"/>
    </row>
    <row r="3911">
      <c r="A3911" s="302" t="s">
        <v>91</v>
      </c>
      <c r="B3911" s="291" t="s">
        <v>22582</v>
      </c>
      <c r="C3911" s="292" t="s">
        <v>48</v>
      </c>
      <c r="D3911" s="293">
        <f t="shared" si="2"/>
        <v>1</v>
      </c>
      <c r="E3911" s="294" t="s">
        <v>23608</v>
      </c>
      <c r="F3911" s="295" t="str">
        <f>IFERROR(__xludf.DUMMYFUNCTION("IF(B3911="""","""",IFERROR(VLOOKUP(TO_TEXT(B3911),PEDIDOS!D:I,6,0),IFERROR(VLOOKUP(B3911*1,PEDIDOS!D:I,6,0),"" "")))"),"ENTREGUE")</f>
        <v>ENTREGUE</v>
      </c>
      <c r="G3911" s="307"/>
      <c r="H3911" s="304"/>
    </row>
    <row r="3912">
      <c r="A3912" s="302" t="s">
        <v>91</v>
      </c>
      <c r="B3912" s="291" t="s">
        <v>22314</v>
      </c>
      <c r="C3912" s="292" t="s">
        <v>48</v>
      </c>
      <c r="D3912" s="293">
        <f t="shared" si="2"/>
        <v>1</v>
      </c>
      <c r="E3912" s="294" t="s">
        <v>23608</v>
      </c>
      <c r="F3912" s="295" t="str">
        <f>IFERROR(__xludf.DUMMYFUNCTION("IF(B3912="""","""",IFERROR(VLOOKUP(TO_TEXT(B3912),PEDIDOS!D:I,6,0),IFERROR(VLOOKUP(B3912*1,PEDIDOS!D:I,6,0),"" "")))"),"ENTREGUE")</f>
        <v>ENTREGUE</v>
      </c>
      <c r="G3912" s="307"/>
      <c r="H3912" s="304"/>
    </row>
    <row r="3913">
      <c r="A3913" s="302" t="s">
        <v>91</v>
      </c>
      <c r="B3913" s="291" t="s">
        <v>22415</v>
      </c>
      <c r="C3913" s="292" t="s">
        <v>48</v>
      </c>
      <c r="D3913" s="293">
        <f t="shared" si="2"/>
        <v>1</v>
      </c>
      <c r="E3913" s="294" t="s">
        <v>23608</v>
      </c>
      <c r="F3913" s="295" t="str">
        <f>IFERROR(__xludf.DUMMYFUNCTION("IF(B3913="""","""",IFERROR(VLOOKUP(TO_TEXT(B3913),PEDIDOS!D:I,6,0),IFERROR(VLOOKUP(B3913*1,PEDIDOS!D:I,6,0),"" "")))"),"ENTREGUE")</f>
        <v>ENTREGUE</v>
      </c>
      <c r="G3913" s="307"/>
      <c r="H3913" s="304"/>
    </row>
    <row r="3914">
      <c r="A3914" s="302" t="s">
        <v>91</v>
      </c>
      <c r="B3914" s="291" t="s">
        <v>22411</v>
      </c>
      <c r="C3914" s="292" t="s">
        <v>48</v>
      </c>
      <c r="D3914" s="293">
        <f t="shared" si="2"/>
        <v>1</v>
      </c>
      <c r="E3914" s="294" t="s">
        <v>23608</v>
      </c>
      <c r="F3914" s="295" t="str">
        <f>IFERROR(__xludf.DUMMYFUNCTION("IF(B3914="""","""",IFERROR(VLOOKUP(TO_TEXT(B3914),PEDIDOS!D:I,6,0),IFERROR(VLOOKUP(B3914*1,PEDIDOS!D:I,6,0),"" "")))"),"ENTREGUE")</f>
        <v>ENTREGUE</v>
      </c>
      <c r="G3914" s="307"/>
      <c r="H3914" s="304"/>
    </row>
    <row r="3915">
      <c r="A3915" s="302" t="s">
        <v>91</v>
      </c>
      <c r="B3915" s="291" t="s">
        <v>22621</v>
      </c>
      <c r="C3915" s="292" t="s">
        <v>48</v>
      </c>
      <c r="D3915" s="293">
        <f t="shared" si="2"/>
        <v>1</v>
      </c>
      <c r="E3915" s="294" t="s">
        <v>23608</v>
      </c>
      <c r="F3915" s="295" t="str">
        <f>IFERROR(__xludf.DUMMYFUNCTION("IF(B3915="""","""",IFERROR(VLOOKUP(TO_TEXT(B3915),PEDIDOS!D:I,6,0),IFERROR(VLOOKUP(B3915*1,PEDIDOS!D:I,6,0),"" "")))"),"ENTREGUE")</f>
        <v>ENTREGUE</v>
      </c>
      <c r="G3915" s="307"/>
      <c r="H3915" s="304"/>
    </row>
    <row r="3916">
      <c r="A3916" s="302" t="s">
        <v>112</v>
      </c>
      <c r="B3916" s="291" t="s">
        <v>20340</v>
      </c>
      <c r="C3916" s="292" t="s">
        <v>48</v>
      </c>
      <c r="D3916" s="293">
        <f t="shared" si="2"/>
        <v>1</v>
      </c>
      <c r="E3916" s="294" t="s">
        <v>23608</v>
      </c>
      <c r="F3916" s="295" t="str">
        <f>IFERROR(__xludf.DUMMYFUNCTION("IF(B3916="""","""",IFERROR(VLOOKUP(TO_TEXT(B3916),PEDIDOS!D:I,6,0),IFERROR(VLOOKUP(B3916*1,PEDIDOS!D:I,6,0),"" "")))"),"ENTREGUE")</f>
        <v>ENTREGUE</v>
      </c>
      <c r="G3916" s="307"/>
      <c r="H3916" s="304"/>
    </row>
    <row r="3917">
      <c r="A3917" s="302" t="s">
        <v>112</v>
      </c>
      <c r="B3917" s="291" t="s">
        <v>20422</v>
      </c>
      <c r="C3917" s="292" t="s">
        <v>48</v>
      </c>
      <c r="D3917" s="293">
        <f t="shared" si="2"/>
        <v>1</v>
      </c>
      <c r="E3917" s="294" t="s">
        <v>23608</v>
      </c>
      <c r="F3917" s="295" t="str">
        <f>IFERROR(__xludf.DUMMYFUNCTION("IF(B3917="""","""",IFERROR(VLOOKUP(TO_TEXT(B3917),PEDIDOS!D:I,6,0),IFERROR(VLOOKUP(B3917*1,PEDIDOS!D:I,6,0),"" "")))"),"ENTREGUE")</f>
        <v>ENTREGUE</v>
      </c>
      <c r="G3917" s="307"/>
      <c r="H3917" s="304"/>
    </row>
    <row r="3918">
      <c r="A3918" s="302" t="s">
        <v>112</v>
      </c>
      <c r="B3918" s="291" t="s">
        <v>20724</v>
      </c>
      <c r="C3918" s="292" t="s">
        <v>48</v>
      </c>
      <c r="D3918" s="293">
        <f t="shared" si="2"/>
        <v>1</v>
      </c>
      <c r="E3918" s="294" t="s">
        <v>23608</v>
      </c>
      <c r="F3918" s="295" t="str">
        <f>IFERROR(__xludf.DUMMYFUNCTION("IF(B3918="""","""",IFERROR(VLOOKUP(TO_TEXT(B3918),PEDIDOS!D:I,6,0),IFERROR(VLOOKUP(B3918*1,PEDIDOS!D:I,6,0),"" "")))"),"ENTREGUE")</f>
        <v>ENTREGUE</v>
      </c>
      <c r="G3918" s="307"/>
      <c r="H3918" s="304"/>
    </row>
    <row r="3919">
      <c r="A3919" s="302" t="s">
        <v>112</v>
      </c>
      <c r="B3919" s="291" t="s">
        <v>20683</v>
      </c>
      <c r="C3919" s="292" t="s">
        <v>48</v>
      </c>
      <c r="D3919" s="293">
        <f t="shared" si="2"/>
        <v>1</v>
      </c>
      <c r="E3919" s="294" t="s">
        <v>23608</v>
      </c>
      <c r="F3919" s="295" t="str">
        <f>IFERROR(__xludf.DUMMYFUNCTION("IF(B3919="""","""",IFERROR(VLOOKUP(TO_TEXT(B3919),PEDIDOS!D:I,6,0),IFERROR(VLOOKUP(B3919*1,PEDIDOS!D:I,6,0),"" "")))"),"ENTREGUE")</f>
        <v>ENTREGUE</v>
      </c>
      <c r="G3919" s="307"/>
      <c r="H3919" s="304"/>
    </row>
    <row r="3920">
      <c r="A3920" s="302" t="s">
        <v>112</v>
      </c>
      <c r="B3920" s="291" t="s">
        <v>20761</v>
      </c>
      <c r="C3920" s="292" t="s">
        <v>48</v>
      </c>
      <c r="D3920" s="293">
        <f t="shared" si="2"/>
        <v>1</v>
      </c>
      <c r="E3920" s="294" t="s">
        <v>23608</v>
      </c>
      <c r="F3920" s="295" t="str">
        <f>IFERROR(__xludf.DUMMYFUNCTION("IF(B3920="""","""",IFERROR(VLOOKUP(TO_TEXT(B3920),PEDIDOS!D:I,6,0),IFERROR(VLOOKUP(B3920*1,PEDIDOS!D:I,6,0),"" "")))"),"ENTREGUE")</f>
        <v>ENTREGUE</v>
      </c>
      <c r="G3920" s="307"/>
      <c r="H3920" s="304"/>
    </row>
    <row r="3921">
      <c r="A3921" s="302" t="s">
        <v>112</v>
      </c>
      <c r="B3921" s="291" t="s">
        <v>20476</v>
      </c>
      <c r="C3921" s="292" t="s">
        <v>48</v>
      </c>
      <c r="D3921" s="293">
        <f t="shared" si="2"/>
        <v>1</v>
      </c>
      <c r="E3921" s="294" t="s">
        <v>23608</v>
      </c>
      <c r="F3921" s="295" t="str">
        <f>IFERROR(__xludf.DUMMYFUNCTION("IF(B3921="""","""",IFERROR(VLOOKUP(TO_TEXT(B3921),PEDIDOS!D:I,6,0),IFERROR(VLOOKUP(B3921*1,PEDIDOS!D:I,6,0),"" "")))"),"ENTREGUE")</f>
        <v>ENTREGUE</v>
      </c>
      <c r="G3921" s="307"/>
      <c r="H3921" s="304"/>
    </row>
    <row r="3922">
      <c r="A3922" s="302" t="s">
        <v>112</v>
      </c>
      <c r="B3922" s="291" t="s">
        <v>20479</v>
      </c>
      <c r="C3922" s="292" t="s">
        <v>48</v>
      </c>
      <c r="D3922" s="293">
        <f t="shared" si="2"/>
        <v>1</v>
      </c>
      <c r="E3922" s="294" t="s">
        <v>23608</v>
      </c>
      <c r="F3922" s="295" t="str">
        <f>IFERROR(__xludf.DUMMYFUNCTION("IF(B3922="""","""",IFERROR(VLOOKUP(TO_TEXT(B3922),PEDIDOS!D:I,6,0),IFERROR(VLOOKUP(B3922*1,PEDIDOS!D:I,6,0),"" "")))"),"ENTREGUE")</f>
        <v>ENTREGUE</v>
      </c>
      <c r="G3922" s="307"/>
      <c r="H3922" s="304"/>
    </row>
    <row r="3923">
      <c r="A3923" s="302" t="s">
        <v>112</v>
      </c>
      <c r="B3923" s="291" t="s">
        <v>20907</v>
      </c>
      <c r="C3923" s="292" t="s">
        <v>48</v>
      </c>
      <c r="D3923" s="293">
        <f t="shared" si="2"/>
        <v>1</v>
      </c>
      <c r="E3923" s="294" t="s">
        <v>23608</v>
      </c>
      <c r="F3923" s="295" t="str">
        <f>IFERROR(__xludf.DUMMYFUNCTION("IF(B3923="""","""",IFERROR(VLOOKUP(TO_TEXT(B3923),PEDIDOS!D:I,6,0),IFERROR(VLOOKUP(B3923*1,PEDIDOS!D:I,6,0),"" "")))"),"ENTREGUE")</f>
        <v>ENTREGUE</v>
      </c>
      <c r="G3923" s="307"/>
      <c r="H3923" s="304"/>
    </row>
    <row r="3924">
      <c r="A3924" s="302" t="s">
        <v>112</v>
      </c>
      <c r="B3924" s="291" t="s">
        <v>20878</v>
      </c>
      <c r="C3924" s="292" t="s">
        <v>48</v>
      </c>
      <c r="D3924" s="293">
        <f t="shared" si="2"/>
        <v>1</v>
      </c>
      <c r="E3924" s="294" t="s">
        <v>23608</v>
      </c>
      <c r="F3924" s="295" t="str">
        <f>IFERROR(__xludf.DUMMYFUNCTION("IF(B3924="""","""",IFERROR(VLOOKUP(TO_TEXT(B3924),PEDIDOS!D:I,6,0),IFERROR(VLOOKUP(B3924*1,PEDIDOS!D:I,6,0),"" "")))"),"ENTREGUE")</f>
        <v>ENTREGUE</v>
      </c>
      <c r="G3924" s="307"/>
      <c r="H3924" s="304"/>
    </row>
    <row r="3925">
      <c r="A3925" s="302" t="s">
        <v>112</v>
      </c>
      <c r="B3925" s="291" t="s">
        <v>20955</v>
      </c>
      <c r="C3925" s="292" t="s">
        <v>48</v>
      </c>
      <c r="D3925" s="293">
        <f t="shared" si="2"/>
        <v>1</v>
      </c>
      <c r="E3925" s="294" t="s">
        <v>23608</v>
      </c>
      <c r="F3925" s="295" t="str">
        <f>IFERROR(__xludf.DUMMYFUNCTION("IF(B3925="""","""",IFERROR(VLOOKUP(TO_TEXT(B3925),PEDIDOS!D:I,6,0),IFERROR(VLOOKUP(B3925*1,PEDIDOS!D:I,6,0),"" "")))"),"ENTREGUE")</f>
        <v>ENTREGUE</v>
      </c>
      <c r="G3925" s="307"/>
      <c r="H3925" s="304"/>
    </row>
    <row r="3926">
      <c r="A3926" s="302" t="s">
        <v>47</v>
      </c>
      <c r="B3926" s="291" t="s">
        <v>20751</v>
      </c>
      <c r="C3926" s="292" t="s">
        <v>48</v>
      </c>
      <c r="D3926" s="293">
        <f t="shared" si="2"/>
        <v>1</v>
      </c>
      <c r="E3926" s="294" t="s">
        <v>23608</v>
      </c>
      <c r="F3926" s="295" t="str">
        <f>IFERROR(__xludf.DUMMYFUNCTION("IF(B3926="""","""",IFERROR(VLOOKUP(TO_TEXT(B3926),PEDIDOS!D:I,6,0),IFERROR(VLOOKUP(B3926*1,PEDIDOS!D:I,6,0),"" "")))"),"ENTREGUE")</f>
        <v>ENTREGUE</v>
      </c>
      <c r="G3926" s="307"/>
      <c r="H3926" s="304"/>
    </row>
    <row r="3927">
      <c r="A3927" s="302" t="s">
        <v>47</v>
      </c>
      <c r="B3927" s="291" t="s">
        <v>21269</v>
      </c>
      <c r="C3927" s="292" t="s">
        <v>48</v>
      </c>
      <c r="D3927" s="293">
        <f t="shared" si="2"/>
        <v>1</v>
      </c>
      <c r="E3927" s="294" t="s">
        <v>23608</v>
      </c>
      <c r="F3927" s="295" t="str">
        <f>IFERROR(__xludf.DUMMYFUNCTION("IF(B3927="""","""",IFERROR(VLOOKUP(TO_TEXT(B3927),PEDIDOS!D:I,6,0),IFERROR(VLOOKUP(B3927*1,PEDIDOS!D:I,6,0),"" "")))"),"ENTREGUE")</f>
        <v>ENTREGUE</v>
      </c>
      <c r="G3927" s="307"/>
      <c r="H3927" s="304"/>
    </row>
    <row r="3928">
      <c r="A3928" s="302" t="s">
        <v>47</v>
      </c>
      <c r="B3928" s="291" t="s">
        <v>21273</v>
      </c>
      <c r="C3928" s="292" t="s">
        <v>48</v>
      </c>
      <c r="D3928" s="293">
        <f t="shared" si="2"/>
        <v>1</v>
      </c>
      <c r="E3928" s="294" t="s">
        <v>23608</v>
      </c>
      <c r="F3928" s="295" t="str">
        <f>IFERROR(__xludf.DUMMYFUNCTION("IF(B3928="""","""",IFERROR(VLOOKUP(TO_TEXT(B3928),PEDIDOS!D:I,6,0),IFERROR(VLOOKUP(B3928*1,PEDIDOS!D:I,6,0),"" "")))"),"ENTREGUE")</f>
        <v>ENTREGUE</v>
      </c>
      <c r="G3928" s="307"/>
      <c r="H3928" s="304"/>
    </row>
    <row r="3929">
      <c r="A3929" s="302" t="s">
        <v>47</v>
      </c>
      <c r="B3929" s="291" t="s">
        <v>21322</v>
      </c>
      <c r="C3929" s="292" t="s">
        <v>48</v>
      </c>
      <c r="D3929" s="293">
        <f t="shared" si="2"/>
        <v>1</v>
      </c>
      <c r="E3929" s="294" t="s">
        <v>23608</v>
      </c>
      <c r="F3929" s="295" t="str">
        <f>IFERROR(__xludf.DUMMYFUNCTION("IF(B3929="""","""",IFERROR(VLOOKUP(TO_TEXT(B3929),PEDIDOS!D:I,6,0),IFERROR(VLOOKUP(B3929*1,PEDIDOS!D:I,6,0),"" "")))"),"ENTREGUE")</f>
        <v>ENTREGUE</v>
      </c>
      <c r="G3929" s="307"/>
      <c r="H3929" s="304"/>
    </row>
    <row r="3930">
      <c r="A3930" s="302" t="s">
        <v>47</v>
      </c>
      <c r="B3930" s="291" t="s">
        <v>21326</v>
      </c>
      <c r="C3930" s="292" t="s">
        <v>48</v>
      </c>
      <c r="D3930" s="293">
        <f t="shared" si="2"/>
        <v>1</v>
      </c>
      <c r="E3930" s="294" t="s">
        <v>23608</v>
      </c>
      <c r="F3930" s="295" t="str">
        <f>IFERROR(__xludf.DUMMYFUNCTION("IF(B3930="""","""",IFERROR(VLOOKUP(TO_TEXT(B3930),PEDIDOS!D:I,6,0),IFERROR(VLOOKUP(B3930*1,PEDIDOS!D:I,6,0),"" "")))"),"ENTREGUE")</f>
        <v>ENTREGUE</v>
      </c>
      <c r="G3930" s="307"/>
      <c r="H3930" s="304"/>
    </row>
    <row r="3931">
      <c r="A3931" s="302" t="s">
        <v>47</v>
      </c>
      <c r="B3931" s="291" t="s">
        <v>21593</v>
      </c>
      <c r="C3931" s="292" t="s">
        <v>48</v>
      </c>
      <c r="D3931" s="293">
        <f t="shared" si="2"/>
        <v>1</v>
      </c>
      <c r="E3931" s="294" t="s">
        <v>23608</v>
      </c>
      <c r="F3931" s="295" t="str">
        <f>IFERROR(__xludf.DUMMYFUNCTION("IF(B3931="""","""",IFERROR(VLOOKUP(TO_TEXT(B3931),PEDIDOS!D:I,6,0),IFERROR(VLOOKUP(B3931*1,PEDIDOS!D:I,6,0),"" "")))"),"ENTREGUE")</f>
        <v>ENTREGUE</v>
      </c>
      <c r="G3931" s="307"/>
      <c r="H3931" s="304"/>
    </row>
    <row r="3932">
      <c r="A3932" s="302" t="s">
        <v>47</v>
      </c>
      <c r="B3932" s="291" t="s">
        <v>21469</v>
      </c>
      <c r="C3932" s="292" t="s">
        <v>48</v>
      </c>
      <c r="D3932" s="293">
        <f t="shared" si="2"/>
        <v>1</v>
      </c>
      <c r="E3932" s="294" t="s">
        <v>23608</v>
      </c>
      <c r="F3932" s="295" t="str">
        <f>IFERROR(__xludf.DUMMYFUNCTION("IF(B3932="""","""",IFERROR(VLOOKUP(TO_TEXT(B3932),PEDIDOS!D:I,6,0),IFERROR(VLOOKUP(B3932*1,PEDIDOS!D:I,6,0),"" "")))"),"ENTREGUE")</f>
        <v>ENTREGUE</v>
      </c>
      <c r="G3932" s="307"/>
      <c r="H3932" s="304"/>
    </row>
    <row r="3933">
      <c r="A3933" s="302" t="s">
        <v>47</v>
      </c>
      <c r="B3933" s="291" t="s">
        <v>21474</v>
      </c>
      <c r="C3933" s="292" t="s">
        <v>48</v>
      </c>
      <c r="D3933" s="293">
        <f t="shared" si="2"/>
        <v>1</v>
      </c>
      <c r="E3933" s="294" t="s">
        <v>23608</v>
      </c>
      <c r="F3933" s="295" t="str">
        <f>IFERROR(__xludf.DUMMYFUNCTION("IF(B3933="""","""",IFERROR(VLOOKUP(TO_TEXT(B3933),PEDIDOS!D:I,6,0),IFERROR(VLOOKUP(B3933*1,PEDIDOS!D:I,6,0),"" "")))"),"ENTREGUE")</f>
        <v>ENTREGUE</v>
      </c>
      <c r="G3933" s="307"/>
      <c r="H3933" s="304"/>
    </row>
    <row r="3934">
      <c r="A3934" s="302" t="s">
        <v>47</v>
      </c>
      <c r="B3934" s="291" t="s">
        <v>21350</v>
      </c>
      <c r="C3934" s="292" t="s">
        <v>48</v>
      </c>
      <c r="D3934" s="293">
        <f t="shared" si="2"/>
        <v>1</v>
      </c>
      <c r="E3934" s="294" t="s">
        <v>23608</v>
      </c>
      <c r="F3934" s="295" t="str">
        <f>IFERROR(__xludf.DUMMYFUNCTION("IF(B3934="""","""",IFERROR(VLOOKUP(TO_TEXT(B3934),PEDIDOS!D:I,6,0),IFERROR(VLOOKUP(B3934*1,PEDIDOS!D:I,6,0),"" "")))"),"ENTREGUE")</f>
        <v>ENTREGUE</v>
      </c>
      <c r="G3934" s="307"/>
      <c r="H3934" s="304"/>
    </row>
    <row r="3935">
      <c r="A3935" s="302" t="s">
        <v>47</v>
      </c>
      <c r="B3935" s="291" t="s">
        <v>21345</v>
      </c>
      <c r="C3935" s="292" t="s">
        <v>48</v>
      </c>
      <c r="D3935" s="293">
        <f t="shared" si="2"/>
        <v>1</v>
      </c>
      <c r="E3935" s="294" t="s">
        <v>23608</v>
      </c>
      <c r="F3935" s="295" t="str">
        <f>IFERROR(__xludf.DUMMYFUNCTION("IF(B3935="""","""",IFERROR(VLOOKUP(TO_TEXT(B3935),PEDIDOS!D:I,6,0),IFERROR(VLOOKUP(B3935*1,PEDIDOS!D:I,6,0),"" "")))"),"ENTREGUE")</f>
        <v>ENTREGUE</v>
      </c>
      <c r="G3935" s="307"/>
      <c r="H3935" s="304"/>
    </row>
    <row r="3936">
      <c r="A3936" s="302" t="s">
        <v>47</v>
      </c>
      <c r="B3936" s="291" t="s">
        <v>21689</v>
      </c>
      <c r="C3936" s="292" t="s">
        <v>48</v>
      </c>
      <c r="D3936" s="293">
        <f t="shared" si="2"/>
        <v>1</v>
      </c>
      <c r="E3936" s="294" t="s">
        <v>23608</v>
      </c>
      <c r="F3936" s="295" t="str">
        <f>IFERROR(__xludf.DUMMYFUNCTION("IF(B3936="""","""",IFERROR(VLOOKUP(TO_TEXT(B3936),PEDIDOS!D:I,6,0),IFERROR(VLOOKUP(B3936*1,PEDIDOS!D:I,6,0),"" "")))"),"ENTREGUE")</f>
        <v>ENTREGUE</v>
      </c>
      <c r="G3936" s="307"/>
      <c r="H3936" s="304"/>
    </row>
    <row r="3937">
      <c r="A3937" s="302" t="s">
        <v>47</v>
      </c>
      <c r="B3937" s="291" t="s">
        <v>21921</v>
      </c>
      <c r="C3937" s="292" t="s">
        <v>48</v>
      </c>
      <c r="D3937" s="293">
        <f t="shared" si="2"/>
        <v>1</v>
      </c>
      <c r="E3937" s="294" t="s">
        <v>23608</v>
      </c>
      <c r="F3937" s="295" t="str">
        <f>IFERROR(__xludf.DUMMYFUNCTION("IF(B3937="""","""",IFERROR(VLOOKUP(TO_TEXT(B3937),PEDIDOS!D:I,6,0),IFERROR(VLOOKUP(B3937*1,PEDIDOS!D:I,6,0),"" "")))"),"ENTREGUE")</f>
        <v>ENTREGUE</v>
      </c>
      <c r="G3937" s="307"/>
      <c r="H3937" s="304"/>
    </row>
    <row r="3938">
      <c r="A3938" s="302" t="s">
        <v>47</v>
      </c>
      <c r="B3938" s="291" t="s">
        <v>22013</v>
      </c>
      <c r="C3938" s="292" t="s">
        <v>48</v>
      </c>
      <c r="D3938" s="293">
        <f t="shared" si="2"/>
        <v>1</v>
      </c>
      <c r="E3938" s="294" t="s">
        <v>23608</v>
      </c>
      <c r="F3938" s="295" t="str">
        <f>IFERROR(__xludf.DUMMYFUNCTION("IF(B3938="""","""",IFERROR(VLOOKUP(TO_TEXT(B3938),PEDIDOS!D:I,6,0),IFERROR(VLOOKUP(B3938*1,PEDIDOS!D:I,6,0),"" "")))"),"ENTREGUE")</f>
        <v>ENTREGUE</v>
      </c>
      <c r="G3938" s="307"/>
      <c r="H3938" s="304"/>
    </row>
    <row r="3939">
      <c r="A3939" s="302" t="s">
        <v>47</v>
      </c>
      <c r="B3939" s="291" t="s">
        <v>22009</v>
      </c>
      <c r="C3939" s="292" t="s">
        <v>48</v>
      </c>
      <c r="D3939" s="293">
        <f t="shared" si="2"/>
        <v>1</v>
      </c>
      <c r="E3939" s="294" t="s">
        <v>23608</v>
      </c>
      <c r="F3939" s="295" t="str">
        <f>IFERROR(__xludf.DUMMYFUNCTION("IF(B3939="""","""",IFERROR(VLOOKUP(TO_TEXT(B3939),PEDIDOS!D:I,6,0),IFERROR(VLOOKUP(B3939*1,PEDIDOS!D:I,6,0),"" "")))"),"ENTREGUE")</f>
        <v>ENTREGUE</v>
      </c>
      <c r="G3939" s="307"/>
      <c r="H3939" s="304"/>
    </row>
    <row r="3940">
      <c r="A3940" s="302" t="s">
        <v>47</v>
      </c>
      <c r="B3940" s="291" t="s">
        <v>22004</v>
      </c>
      <c r="C3940" s="292" t="s">
        <v>48</v>
      </c>
      <c r="D3940" s="293">
        <f t="shared" si="2"/>
        <v>1</v>
      </c>
      <c r="E3940" s="294" t="s">
        <v>23608</v>
      </c>
      <c r="F3940" s="295" t="str">
        <f>IFERROR(__xludf.DUMMYFUNCTION("IF(B3940="""","""",IFERROR(VLOOKUP(TO_TEXT(B3940),PEDIDOS!D:I,6,0),IFERROR(VLOOKUP(B3940*1,PEDIDOS!D:I,6,0),"" "")))"),"ENTREGUE")</f>
        <v>ENTREGUE</v>
      </c>
      <c r="G3940" s="307"/>
      <c r="H3940" s="304"/>
    </row>
    <row r="3941">
      <c r="A3941" s="302" t="s">
        <v>47</v>
      </c>
      <c r="B3941" s="291" t="s">
        <v>22034</v>
      </c>
      <c r="C3941" s="292" t="s">
        <v>48</v>
      </c>
      <c r="D3941" s="293">
        <f t="shared" si="2"/>
        <v>1</v>
      </c>
      <c r="E3941" s="294" t="s">
        <v>23608</v>
      </c>
      <c r="F3941" s="295" t="str">
        <f>IFERROR(__xludf.DUMMYFUNCTION("IF(B3941="""","""",IFERROR(VLOOKUP(TO_TEXT(B3941),PEDIDOS!D:I,6,0),IFERROR(VLOOKUP(B3941*1,PEDIDOS!D:I,6,0),"" "")))"),"ENTREGUE")</f>
        <v>ENTREGUE</v>
      </c>
      <c r="G3941" s="307"/>
      <c r="H3941" s="304"/>
    </row>
    <row r="3942">
      <c r="A3942" s="302" t="s">
        <v>47</v>
      </c>
      <c r="B3942" s="291" t="s">
        <v>22068</v>
      </c>
      <c r="C3942" s="292" t="s">
        <v>48</v>
      </c>
      <c r="D3942" s="293">
        <f t="shared" si="2"/>
        <v>1</v>
      </c>
      <c r="E3942" s="294" t="s">
        <v>23608</v>
      </c>
      <c r="F3942" s="295" t="str">
        <f>IFERROR(__xludf.DUMMYFUNCTION("IF(B3942="""","""",IFERROR(VLOOKUP(TO_TEXT(B3942),PEDIDOS!D:I,6,0),IFERROR(VLOOKUP(B3942*1,PEDIDOS!D:I,6,0),"" "")))"),"ENTREGUE")</f>
        <v>ENTREGUE</v>
      </c>
      <c r="G3942" s="307"/>
      <c r="H3942" s="304"/>
    </row>
    <row r="3943">
      <c r="A3943" s="302" t="s">
        <v>47</v>
      </c>
      <c r="B3943" s="291" t="s">
        <v>22344</v>
      </c>
      <c r="C3943" s="292" t="s">
        <v>48</v>
      </c>
      <c r="D3943" s="293">
        <f t="shared" si="2"/>
        <v>1</v>
      </c>
      <c r="E3943" s="294" t="s">
        <v>23608</v>
      </c>
      <c r="F3943" s="295" t="str">
        <f>IFERROR(__xludf.DUMMYFUNCTION("IF(B3943="""","""",IFERROR(VLOOKUP(TO_TEXT(B3943),PEDIDOS!D:I,6,0),IFERROR(VLOOKUP(B3943*1,PEDIDOS!D:I,6,0),"" "")))"),"ENTREGUE")</f>
        <v>ENTREGUE</v>
      </c>
      <c r="G3943" s="307"/>
      <c r="H3943" s="304"/>
    </row>
    <row r="3944">
      <c r="A3944" s="302" t="s">
        <v>47</v>
      </c>
      <c r="B3944" s="291" t="s">
        <v>22224</v>
      </c>
      <c r="C3944" s="292" t="s">
        <v>48</v>
      </c>
      <c r="D3944" s="293">
        <f t="shared" si="2"/>
        <v>1</v>
      </c>
      <c r="E3944" s="294" t="s">
        <v>23608</v>
      </c>
      <c r="F3944" s="295" t="str">
        <f>IFERROR(__xludf.DUMMYFUNCTION("IF(B3944="""","""",IFERROR(VLOOKUP(TO_TEXT(B3944),PEDIDOS!D:I,6,0),IFERROR(VLOOKUP(B3944*1,PEDIDOS!D:I,6,0),"" "")))"),"ENTREGUE")</f>
        <v>ENTREGUE</v>
      </c>
      <c r="G3944" s="307"/>
      <c r="H3944" s="304"/>
    </row>
    <row r="3945">
      <c r="A3945" s="302" t="s">
        <v>47</v>
      </c>
      <c r="B3945" s="291" t="s">
        <v>22201</v>
      </c>
      <c r="C3945" s="292" t="s">
        <v>48</v>
      </c>
      <c r="D3945" s="293">
        <f t="shared" si="2"/>
        <v>1</v>
      </c>
      <c r="E3945" s="294" t="s">
        <v>23608</v>
      </c>
      <c r="F3945" s="295" t="str">
        <f>IFERROR(__xludf.DUMMYFUNCTION("IF(B3945="""","""",IFERROR(VLOOKUP(TO_TEXT(B3945),PEDIDOS!D:I,6,0),IFERROR(VLOOKUP(B3945*1,PEDIDOS!D:I,6,0),"" "")))"),"ENTREGUE")</f>
        <v>ENTREGUE</v>
      </c>
      <c r="G3945" s="307"/>
      <c r="H3945" s="304"/>
    </row>
    <row r="3946">
      <c r="A3946" s="302" t="s">
        <v>3395</v>
      </c>
      <c r="B3946" s="291" t="s">
        <v>19349</v>
      </c>
      <c r="C3946" s="292" t="s">
        <v>48</v>
      </c>
      <c r="D3946" s="293">
        <f t="shared" si="2"/>
        <v>1</v>
      </c>
      <c r="E3946" s="294" t="s">
        <v>23673</v>
      </c>
      <c r="F3946" s="295" t="str">
        <f>IFERROR(__xludf.DUMMYFUNCTION("IF(B3946="""","""",IFERROR(VLOOKUP(TO_TEXT(B3946),PEDIDOS!D:I,6,0),IFERROR(VLOOKUP(B3946*1,PEDIDOS!D:I,6,0),"" "")))"),"ENTREGUE")</f>
        <v>ENTREGUE</v>
      </c>
      <c r="G3946" s="307"/>
      <c r="H3946" s="304"/>
    </row>
    <row r="3947">
      <c r="A3947" s="302" t="s">
        <v>3395</v>
      </c>
      <c r="B3947" s="291" t="s">
        <v>19253</v>
      </c>
      <c r="C3947" s="292" t="s">
        <v>48</v>
      </c>
      <c r="D3947" s="293">
        <f t="shared" si="2"/>
        <v>1</v>
      </c>
      <c r="E3947" s="294" t="s">
        <v>23673</v>
      </c>
      <c r="F3947" s="295" t="str">
        <f>IFERROR(__xludf.DUMMYFUNCTION("IF(B3947="""","""",IFERROR(VLOOKUP(TO_TEXT(B3947),PEDIDOS!D:I,6,0),IFERROR(VLOOKUP(B3947*1,PEDIDOS!D:I,6,0),"" "")))"),"ENTREGUE")</f>
        <v>ENTREGUE</v>
      </c>
      <c r="G3947" s="307"/>
      <c r="H3947" s="304"/>
    </row>
    <row r="3948">
      <c r="A3948" s="302" t="s">
        <v>3395</v>
      </c>
      <c r="B3948" s="291" t="s">
        <v>19420</v>
      </c>
      <c r="C3948" s="292" t="s">
        <v>48</v>
      </c>
      <c r="D3948" s="293">
        <f t="shared" si="2"/>
        <v>1</v>
      </c>
      <c r="E3948" s="294" t="s">
        <v>23673</v>
      </c>
      <c r="F3948" s="295" t="str">
        <f>IFERROR(__xludf.DUMMYFUNCTION("IF(B3948="""","""",IFERROR(VLOOKUP(TO_TEXT(B3948),PEDIDOS!D:I,6,0),IFERROR(VLOOKUP(B3948*1,PEDIDOS!D:I,6,0),"" "")))"),"ENTREGUE")</f>
        <v>ENTREGUE</v>
      </c>
      <c r="G3948" s="307"/>
      <c r="H3948" s="304"/>
    </row>
    <row r="3949">
      <c r="A3949" s="302" t="s">
        <v>3395</v>
      </c>
      <c r="B3949" s="291" t="s">
        <v>20039</v>
      </c>
      <c r="C3949" s="292" t="s">
        <v>48</v>
      </c>
      <c r="D3949" s="293">
        <f t="shared" si="2"/>
        <v>1</v>
      </c>
      <c r="E3949" s="294" t="s">
        <v>23673</v>
      </c>
      <c r="F3949" s="295" t="str">
        <f>IFERROR(__xludf.DUMMYFUNCTION("IF(B3949="""","""",IFERROR(VLOOKUP(TO_TEXT(B3949),PEDIDOS!D:I,6,0),IFERROR(VLOOKUP(B3949*1,PEDIDOS!D:I,6,0),"" "")))"),"ENTREGUE")</f>
        <v>ENTREGUE</v>
      </c>
      <c r="G3949" s="307"/>
      <c r="H3949" s="304"/>
    </row>
    <row r="3950">
      <c r="A3950" s="302" t="s">
        <v>3395</v>
      </c>
      <c r="B3950" s="291" t="s">
        <v>19552</v>
      </c>
      <c r="C3950" s="292" t="s">
        <v>48</v>
      </c>
      <c r="D3950" s="293">
        <f t="shared" si="2"/>
        <v>1</v>
      </c>
      <c r="E3950" s="294" t="s">
        <v>23673</v>
      </c>
      <c r="F3950" s="295" t="str">
        <f>IFERROR(__xludf.DUMMYFUNCTION("IF(B3950="""","""",IFERROR(VLOOKUP(TO_TEXT(B3950),PEDIDOS!D:I,6,0),IFERROR(VLOOKUP(B3950*1,PEDIDOS!D:I,6,0),"" "")))"),"ENTREGUE")</f>
        <v>ENTREGUE</v>
      </c>
      <c r="G3950" s="307"/>
      <c r="H3950" s="304"/>
    </row>
    <row r="3951">
      <c r="A3951" s="302" t="s">
        <v>3395</v>
      </c>
      <c r="B3951" s="291" t="s">
        <v>19557</v>
      </c>
      <c r="C3951" s="292" t="s">
        <v>48</v>
      </c>
      <c r="D3951" s="293">
        <f t="shared" si="2"/>
        <v>1</v>
      </c>
      <c r="E3951" s="294" t="s">
        <v>23673</v>
      </c>
      <c r="F3951" s="295" t="str">
        <f>IFERROR(__xludf.DUMMYFUNCTION("IF(B3951="""","""",IFERROR(VLOOKUP(TO_TEXT(B3951),PEDIDOS!D:I,6,0),IFERROR(VLOOKUP(B3951*1,PEDIDOS!D:I,6,0),"" "")))"),"ENTREGUE")</f>
        <v>ENTREGUE</v>
      </c>
      <c r="G3951" s="307"/>
      <c r="H3951" s="304"/>
    </row>
    <row r="3952">
      <c r="A3952" s="302" t="s">
        <v>3395</v>
      </c>
      <c r="B3952" s="291" t="s">
        <v>19561</v>
      </c>
      <c r="C3952" s="292" t="s">
        <v>48</v>
      </c>
      <c r="D3952" s="293">
        <f t="shared" si="2"/>
        <v>1</v>
      </c>
      <c r="E3952" s="294" t="s">
        <v>23673</v>
      </c>
      <c r="F3952" s="295" t="str">
        <f>IFERROR(__xludf.DUMMYFUNCTION("IF(B3952="""","""",IFERROR(VLOOKUP(TO_TEXT(B3952),PEDIDOS!D:I,6,0),IFERROR(VLOOKUP(B3952*1,PEDIDOS!D:I,6,0),"" "")))"),"ENTREGUE")</f>
        <v>ENTREGUE</v>
      </c>
      <c r="G3952" s="307"/>
      <c r="H3952" s="304"/>
    </row>
    <row r="3953">
      <c r="A3953" s="302" t="s">
        <v>3395</v>
      </c>
      <c r="B3953" s="291" t="s">
        <v>19565</v>
      </c>
      <c r="C3953" s="292" t="s">
        <v>48</v>
      </c>
      <c r="D3953" s="293">
        <f t="shared" si="2"/>
        <v>1</v>
      </c>
      <c r="E3953" s="294" t="s">
        <v>23673</v>
      </c>
      <c r="F3953" s="295" t="str">
        <f>IFERROR(__xludf.DUMMYFUNCTION("IF(B3953="""","""",IFERROR(VLOOKUP(TO_TEXT(B3953),PEDIDOS!D:I,6,0),IFERROR(VLOOKUP(B3953*1,PEDIDOS!D:I,6,0),"" "")))"),"ENTREGUE")</f>
        <v>ENTREGUE</v>
      </c>
      <c r="G3953" s="307"/>
      <c r="H3953" s="304"/>
    </row>
    <row r="3954">
      <c r="A3954" s="302" t="s">
        <v>3395</v>
      </c>
      <c r="B3954" s="291" t="s">
        <v>21990</v>
      </c>
      <c r="C3954" s="292" t="s">
        <v>48</v>
      </c>
      <c r="D3954" s="293">
        <f t="shared" si="2"/>
        <v>1</v>
      </c>
      <c r="E3954" s="294" t="s">
        <v>23673</v>
      </c>
      <c r="F3954" s="295" t="str">
        <f>IFERROR(__xludf.DUMMYFUNCTION("IF(B3954="""","""",IFERROR(VLOOKUP(TO_TEXT(B3954),PEDIDOS!D:I,6,0),IFERROR(VLOOKUP(B3954*1,PEDIDOS!D:I,6,0),"" "")))"),"ENTREGUE")</f>
        <v>ENTREGUE</v>
      </c>
      <c r="G3954" s="307"/>
      <c r="H3954" s="304"/>
    </row>
    <row r="3955">
      <c r="A3955" s="302" t="s">
        <v>3395</v>
      </c>
      <c r="B3955" s="291" t="s">
        <v>19547</v>
      </c>
      <c r="C3955" s="292" t="s">
        <v>48</v>
      </c>
      <c r="D3955" s="293">
        <f t="shared" si="2"/>
        <v>1</v>
      </c>
      <c r="E3955" s="294" t="s">
        <v>23673</v>
      </c>
      <c r="F3955" s="295" t="str">
        <f>IFERROR(__xludf.DUMMYFUNCTION("IF(B3955="""","""",IFERROR(VLOOKUP(TO_TEXT(B3955),PEDIDOS!D:I,6,0),IFERROR(VLOOKUP(B3955*1,PEDIDOS!D:I,6,0),"" "")))"),"ENTREGUE")</f>
        <v>ENTREGUE</v>
      </c>
      <c r="G3955" s="307"/>
      <c r="H3955" s="304"/>
    </row>
    <row r="3956">
      <c r="A3956" s="302" t="s">
        <v>3395</v>
      </c>
      <c r="B3956" s="291" t="s">
        <v>20633</v>
      </c>
      <c r="C3956" s="292" t="s">
        <v>48</v>
      </c>
      <c r="D3956" s="293">
        <f t="shared" si="2"/>
        <v>1</v>
      </c>
      <c r="E3956" s="294" t="s">
        <v>23673</v>
      </c>
      <c r="F3956" s="295" t="str">
        <f>IFERROR(__xludf.DUMMYFUNCTION("IF(B3956="""","""",IFERROR(VLOOKUP(TO_TEXT(B3956),PEDIDOS!D:I,6,0),IFERROR(VLOOKUP(B3956*1,PEDIDOS!D:I,6,0),"" "")))"),"ENTREGUE")</f>
        <v>ENTREGUE</v>
      </c>
      <c r="G3956" s="307"/>
      <c r="H3956" s="304"/>
    </row>
    <row r="3957">
      <c r="A3957" s="302" t="s">
        <v>3395</v>
      </c>
      <c r="B3957" s="291" t="s">
        <v>21112</v>
      </c>
      <c r="C3957" s="292" t="s">
        <v>48</v>
      </c>
      <c r="D3957" s="293">
        <f t="shared" si="2"/>
        <v>1</v>
      </c>
      <c r="E3957" s="294" t="s">
        <v>23673</v>
      </c>
      <c r="F3957" s="295" t="str">
        <f>IFERROR(__xludf.DUMMYFUNCTION("IF(B3957="""","""",IFERROR(VLOOKUP(TO_TEXT(B3957),PEDIDOS!D:I,6,0),IFERROR(VLOOKUP(B3957*1,PEDIDOS!D:I,6,0),"" "")))"),"ENTREGUE")</f>
        <v>ENTREGUE</v>
      </c>
      <c r="G3957" s="307"/>
      <c r="H3957" s="304"/>
    </row>
    <row r="3958">
      <c r="A3958" s="302" t="s">
        <v>3395</v>
      </c>
      <c r="B3958" s="291" t="s">
        <v>19248</v>
      </c>
      <c r="C3958" s="292" t="s">
        <v>48</v>
      </c>
      <c r="D3958" s="293">
        <f t="shared" si="2"/>
        <v>1</v>
      </c>
      <c r="E3958" s="294" t="s">
        <v>23673</v>
      </c>
      <c r="F3958" s="295" t="str">
        <f>IFERROR(__xludf.DUMMYFUNCTION("IF(B3958="""","""",IFERROR(VLOOKUP(TO_TEXT(B3958),PEDIDOS!D:I,6,0),IFERROR(VLOOKUP(B3958*1,PEDIDOS!D:I,6,0),"" "")))"),"ENTREGUE")</f>
        <v>ENTREGUE</v>
      </c>
      <c r="G3958" s="307"/>
      <c r="H3958" s="304"/>
    </row>
    <row r="3959">
      <c r="A3959" s="302" t="s">
        <v>3395</v>
      </c>
      <c r="B3959" s="291" t="s">
        <v>21995</v>
      </c>
      <c r="C3959" s="292" t="s">
        <v>48</v>
      </c>
      <c r="D3959" s="293">
        <f t="shared" si="2"/>
        <v>1</v>
      </c>
      <c r="E3959" s="294" t="s">
        <v>23673</v>
      </c>
      <c r="F3959" s="295" t="str">
        <f>IFERROR(__xludf.DUMMYFUNCTION("IF(B3959="""","""",IFERROR(VLOOKUP(TO_TEXT(B3959),PEDIDOS!D:I,6,0),IFERROR(VLOOKUP(B3959*1,PEDIDOS!D:I,6,0),"" "")))"),"ENTREGUE")</f>
        <v>ENTREGUE</v>
      </c>
      <c r="G3959" s="307"/>
      <c r="H3959" s="304"/>
    </row>
    <row r="3960">
      <c r="A3960" s="302" t="s">
        <v>3441</v>
      </c>
      <c r="B3960" s="291" t="s">
        <v>21085</v>
      </c>
      <c r="C3960" s="292" t="s">
        <v>48</v>
      </c>
      <c r="D3960" s="293">
        <f t="shared" si="2"/>
        <v>1</v>
      </c>
      <c r="E3960" s="294" t="s">
        <v>23673</v>
      </c>
      <c r="F3960" s="295" t="str">
        <f>IFERROR(__xludf.DUMMYFUNCTION("IF(B3960="""","""",IFERROR(VLOOKUP(TO_TEXT(B3960),PEDIDOS!D:I,6,0),IFERROR(VLOOKUP(B3960*1,PEDIDOS!D:I,6,0),"" "")))"),"ENTREGUE")</f>
        <v>ENTREGUE</v>
      </c>
      <c r="G3960" s="307"/>
      <c r="H3960" s="304"/>
    </row>
    <row r="3961">
      <c r="A3961" s="302" t="s">
        <v>3441</v>
      </c>
      <c r="B3961" s="291" t="s">
        <v>21176</v>
      </c>
      <c r="C3961" s="292" t="s">
        <v>48</v>
      </c>
      <c r="D3961" s="293">
        <f t="shared" si="2"/>
        <v>1</v>
      </c>
      <c r="E3961" s="294" t="s">
        <v>23673</v>
      </c>
      <c r="F3961" s="295" t="str">
        <f>IFERROR(__xludf.DUMMYFUNCTION("IF(B3961="""","""",IFERROR(VLOOKUP(TO_TEXT(B3961),PEDIDOS!D:I,6,0),IFERROR(VLOOKUP(B3961*1,PEDIDOS!D:I,6,0),"" "")))"),"ENTREGUE")</f>
        <v>ENTREGUE</v>
      </c>
      <c r="G3961" s="307"/>
      <c r="H3961" s="304"/>
    </row>
    <row r="3962">
      <c r="A3962" s="302" t="s">
        <v>3441</v>
      </c>
      <c r="B3962" s="291" t="s">
        <v>21194</v>
      </c>
      <c r="C3962" s="292" t="s">
        <v>48</v>
      </c>
      <c r="D3962" s="293">
        <f t="shared" si="2"/>
        <v>1</v>
      </c>
      <c r="E3962" s="294" t="s">
        <v>23673</v>
      </c>
      <c r="F3962" s="295" t="str">
        <f>IFERROR(__xludf.DUMMYFUNCTION("IF(B3962="""","""",IFERROR(VLOOKUP(TO_TEXT(B3962),PEDIDOS!D:I,6,0),IFERROR(VLOOKUP(B3962*1,PEDIDOS!D:I,6,0),"" "")))"),"ENTREGUE")</f>
        <v>ENTREGUE</v>
      </c>
      <c r="G3962" s="307"/>
      <c r="H3962" s="304"/>
    </row>
    <row r="3963">
      <c r="A3963" s="302" t="s">
        <v>3441</v>
      </c>
      <c r="B3963" s="291" t="s">
        <v>21314</v>
      </c>
      <c r="C3963" s="292" t="s">
        <v>48</v>
      </c>
      <c r="D3963" s="293">
        <f t="shared" si="2"/>
        <v>1</v>
      </c>
      <c r="E3963" s="294" t="s">
        <v>23673</v>
      </c>
      <c r="F3963" s="295" t="str">
        <f>IFERROR(__xludf.DUMMYFUNCTION("IF(B3963="""","""",IFERROR(VLOOKUP(TO_TEXT(B3963),PEDIDOS!D:I,6,0),IFERROR(VLOOKUP(B3963*1,PEDIDOS!D:I,6,0),"" "")))"),"ENTREGUE")</f>
        <v>ENTREGUE</v>
      </c>
      <c r="G3963" s="307"/>
      <c r="H3963" s="304"/>
    </row>
    <row r="3964">
      <c r="A3964" s="302" t="s">
        <v>3441</v>
      </c>
      <c r="B3964" s="291" t="s">
        <v>21382</v>
      </c>
      <c r="C3964" s="292" t="s">
        <v>48</v>
      </c>
      <c r="D3964" s="293">
        <f t="shared" si="2"/>
        <v>1</v>
      </c>
      <c r="E3964" s="294" t="s">
        <v>23673</v>
      </c>
      <c r="F3964" s="295" t="str">
        <f>IFERROR(__xludf.DUMMYFUNCTION("IF(B3964="""","""",IFERROR(VLOOKUP(TO_TEXT(B3964),PEDIDOS!D:I,6,0),IFERROR(VLOOKUP(B3964*1,PEDIDOS!D:I,6,0),"" "")))"),"ENTREGUE")</f>
        <v>ENTREGUE</v>
      </c>
      <c r="G3964" s="307"/>
      <c r="H3964" s="304"/>
    </row>
    <row r="3965">
      <c r="A3965" s="302" t="s">
        <v>3441</v>
      </c>
      <c r="B3965" s="291" t="s">
        <v>21260</v>
      </c>
      <c r="C3965" s="292" t="s">
        <v>48</v>
      </c>
      <c r="D3965" s="293">
        <f t="shared" si="2"/>
        <v>1</v>
      </c>
      <c r="E3965" s="294" t="s">
        <v>23673</v>
      </c>
      <c r="F3965" s="295" t="str">
        <f>IFERROR(__xludf.DUMMYFUNCTION("IF(B3965="""","""",IFERROR(VLOOKUP(TO_TEXT(B3965),PEDIDOS!D:I,6,0),IFERROR(VLOOKUP(B3965*1,PEDIDOS!D:I,6,0),"" "")))"),"ENTREGUE")</f>
        <v>ENTREGUE</v>
      </c>
      <c r="G3965" s="307"/>
      <c r="H3965" s="304"/>
    </row>
    <row r="3966">
      <c r="A3966" s="302" t="s">
        <v>3441</v>
      </c>
      <c r="B3966" s="291" t="s">
        <v>21223</v>
      </c>
      <c r="C3966" s="292" t="s">
        <v>48</v>
      </c>
      <c r="D3966" s="293">
        <f t="shared" si="2"/>
        <v>1</v>
      </c>
      <c r="E3966" s="294" t="s">
        <v>23673</v>
      </c>
      <c r="F3966" s="295" t="str">
        <f>IFERROR(__xludf.DUMMYFUNCTION("IF(B3966="""","""",IFERROR(VLOOKUP(TO_TEXT(B3966),PEDIDOS!D:I,6,0),IFERROR(VLOOKUP(B3966*1,PEDIDOS!D:I,6,0),"" "")))"),"ENTREGUE")</f>
        <v>ENTREGUE</v>
      </c>
      <c r="G3966" s="307"/>
      <c r="H3966" s="304"/>
    </row>
    <row r="3967">
      <c r="A3967" s="302" t="s">
        <v>3441</v>
      </c>
      <c r="B3967" s="291" t="s">
        <v>21069</v>
      </c>
      <c r="C3967" s="292" t="s">
        <v>48</v>
      </c>
      <c r="D3967" s="293">
        <f t="shared" si="2"/>
        <v>1</v>
      </c>
      <c r="E3967" s="294" t="s">
        <v>23673</v>
      </c>
      <c r="F3967" s="295" t="str">
        <f>IFERROR(__xludf.DUMMYFUNCTION("IF(B3967="""","""",IFERROR(VLOOKUP(TO_TEXT(B3967),PEDIDOS!D:I,6,0),IFERROR(VLOOKUP(B3967*1,PEDIDOS!D:I,6,0),"" "")))"),"ENTREGUE")</f>
        <v>ENTREGUE</v>
      </c>
      <c r="G3967" s="307"/>
      <c r="H3967" s="304"/>
    </row>
    <row r="3968">
      <c r="A3968" s="302" t="s">
        <v>3441</v>
      </c>
      <c r="B3968" s="291" t="s">
        <v>21376</v>
      </c>
      <c r="C3968" s="292" t="s">
        <v>48</v>
      </c>
      <c r="D3968" s="293">
        <f t="shared" si="2"/>
        <v>1</v>
      </c>
      <c r="E3968" s="294" t="s">
        <v>23673</v>
      </c>
      <c r="F3968" s="295" t="str">
        <f>IFERROR(__xludf.DUMMYFUNCTION("IF(B3968="""","""",IFERROR(VLOOKUP(TO_TEXT(B3968),PEDIDOS!D:I,6,0),IFERROR(VLOOKUP(B3968*1,PEDIDOS!D:I,6,0),"" "")))"),"ENTREGUE")</f>
        <v>ENTREGUE</v>
      </c>
      <c r="G3968" s="307"/>
      <c r="H3968" s="304"/>
    </row>
    <row r="3969">
      <c r="A3969" s="302" t="s">
        <v>3441</v>
      </c>
      <c r="B3969" s="291" t="s">
        <v>21371</v>
      </c>
      <c r="C3969" s="292" t="s">
        <v>48</v>
      </c>
      <c r="D3969" s="293">
        <f t="shared" si="2"/>
        <v>1</v>
      </c>
      <c r="E3969" s="294" t="s">
        <v>23673</v>
      </c>
      <c r="F3969" s="295" t="str">
        <f>IFERROR(__xludf.DUMMYFUNCTION("IF(B3969="""","""",IFERROR(VLOOKUP(TO_TEXT(B3969),PEDIDOS!D:I,6,0),IFERROR(VLOOKUP(B3969*1,PEDIDOS!D:I,6,0),"" "")))"),"ENTREGUE")</f>
        <v>ENTREGUE</v>
      </c>
      <c r="G3969" s="307"/>
      <c r="H3969" s="304"/>
    </row>
    <row r="3970">
      <c r="A3970" s="302" t="s">
        <v>3441</v>
      </c>
      <c r="B3970" s="291" t="s">
        <v>23674</v>
      </c>
      <c r="C3970" s="292" t="s">
        <v>48</v>
      </c>
      <c r="D3970" s="293">
        <f t="shared" si="2"/>
        <v>1</v>
      </c>
      <c r="E3970" s="294" t="s">
        <v>23673</v>
      </c>
      <c r="F3970" s="295" t="str">
        <f>IFERROR(__xludf.DUMMYFUNCTION("IF(B3970="""","""",IFERROR(VLOOKUP(TO_TEXT(B3970),PEDIDOS!D:I,6,0),IFERROR(VLOOKUP(B3970*1,PEDIDOS!D:I,6,0),"" "")))")," ")</f>
        <v> </v>
      </c>
      <c r="G3970" s="307" t="s">
        <v>23675</v>
      </c>
      <c r="H3970" s="304"/>
    </row>
    <row r="3971">
      <c r="A3971" s="302" t="s">
        <v>3441</v>
      </c>
      <c r="B3971" s="291" t="s">
        <v>23676</v>
      </c>
      <c r="C3971" s="292" t="s">
        <v>48</v>
      </c>
      <c r="D3971" s="293">
        <f t="shared" si="2"/>
        <v>1</v>
      </c>
      <c r="E3971" s="294" t="s">
        <v>23673</v>
      </c>
      <c r="F3971" s="295" t="str">
        <f>IFERROR(__xludf.DUMMYFUNCTION("IF(B3971="""","""",IFERROR(VLOOKUP(TO_TEXT(B3971),PEDIDOS!D:I,6,0),IFERROR(VLOOKUP(B3971*1,PEDIDOS!D:I,6,0),"" "")))")," ")</f>
        <v> </v>
      </c>
      <c r="G3971" s="307" t="s">
        <v>23675</v>
      </c>
      <c r="H3971" s="304"/>
    </row>
    <row r="3972">
      <c r="A3972" s="302" t="s">
        <v>3441</v>
      </c>
      <c r="B3972" s="291" t="s">
        <v>23677</v>
      </c>
      <c r="C3972" s="292" t="s">
        <v>48</v>
      </c>
      <c r="D3972" s="293">
        <f t="shared" si="2"/>
        <v>1</v>
      </c>
      <c r="E3972" s="294" t="s">
        <v>23673</v>
      </c>
      <c r="F3972" s="295" t="str">
        <f>IFERROR(__xludf.DUMMYFUNCTION("IF(B3972="""","""",IFERROR(VLOOKUP(TO_TEXT(B3972),PEDIDOS!D:I,6,0),IFERROR(VLOOKUP(B3972*1,PEDIDOS!D:I,6,0),"" "")))")," ")</f>
        <v> </v>
      </c>
      <c r="G3972" s="307" t="s">
        <v>23675</v>
      </c>
      <c r="H3972" s="304"/>
    </row>
    <row r="3973">
      <c r="A3973" s="302" t="s">
        <v>3441</v>
      </c>
      <c r="B3973" s="291" t="s">
        <v>23678</v>
      </c>
      <c r="C3973" s="292" t="s">
        <v>48</v>
      </c>
      <c r="D3973" s="293">
        <f t="shared" si="2"/>
        <v>1</v>
      </c>
      <c r="E3973" s="294" t="s">
        <v>23673</v>
      </c>
      <c r="F3973" s="295" t="str">
        <f>IFERROR(__xludf.DUMMYFUNCTION("IF(B3973="""","""",IFERROR(VLOOKUP(TO_TEXT(B3973),PEDIDOS!D:I,6,0),IFERROR(VLOOKUP(B3973*1,PEDIDOS!D:I,6,0),"" "")))")," ")</f>
        <v> </v>
      </c>
      <c r="G3973" s="307" t="s">
        <v>23675</v>
      </c>
      <c r="H3973" s="304"/>
    </row>
    <row r="3974">
      <c r="A3974" s="302" t="s">
        <v>72</v>
      </c>
      <c r="B3974" s="291" t="s">
        <v>21318</v>
      </c>
      <c r="C3974" s="292" t="s">
        <v>48</v>
      </c>
      <c r="D3974" s="293">
        <f t="shared" si="2"/>
        <v>1</v>
      </c>
      <c r="E3974" s="294" t="s">
        <v>23673</v>
      </c>
      <c r="F3974" s="295" t="str">
        <f>IFERROR(__xludf.DUMMYFUNCTION("IF(B3974="""","""",IFERROR(VLOOKUP(TO_TEXT(B3974),PEDIDOS!D:I,6,0),IFERROR(VLOOKUP(B3974*1,PEDIDOS!D:I,6,0),"" "")))"),"ENTREGUE")</f>
        <v>ENTREGUE</v>
      </c>
      <c r="G3974" s="307"/>
      <c r="H3974" s="304"/>
    </row>
    <row r="3975">
      <c r="A3975" s="302" t="s">
        <v>72</v>
      </c>
      <c r="B3975" s="291" t="s">
        <v>21386</v>
      </c>
      <c r="C3975" s="292" t="s">
        <v>48</v>
      </c>
      <c r="D3975" s="293">
        <f t="shared" si="2"/>
        <v>1</v>
      </c>
      <c r="E3975" s="294" t="s">
        <v>23673</v>
      </c>
      <c r="F3975" s="295" t="str">
        <f>IFERROR(__xludf.DUMMYFUNCTION("IF(B3975="""","""",IFERROR(VLOOKUP(TO_TEXT(B3975),PEDIDOS!D:I,6,0),IFERROR(VLOOKUP(B3975*1,PEDIDOS!D:I,6,0),"" "")))"),"ENTREGUE")</f>
        <v>ENTREGUE</v>
      </c>
      <c r="G3975" s="307"/>
      <c r="H3975" s="304"/>
    </row>
    <row r="3976">
      <c r="A3976" s="302" t="s">
        <v>72</v>
      </c>
      <c r="B3976" s="291" t="s">
        <v>21426</v>
      </c>
      <c r="C3976" s="292" t="s">
        <v>48</v>
      </c>
      <c r="D3976" s="293">
        <f t="shared" si="2"/>
        <v>1</v>
      </c>
      <c r="E3976" s="294" t="s">
        <v>23673</v>
      </c>
      <c r="F3976" s="295" t="str">
        <f>IFERROR(__xludf.DUMMYFUNCTION("IF(B3976="""","""",IFERROR(VLOOKUP(TO_TEXT(B3976),PEDIDOS!D:I,6,0),IFERROR(VLOOKUP(B3976*1,PEDIDOS!D:I,6,0),"" "")))"),"ENTREGUE")</f>
        <v>ENTREGUE</v>
      </c>
      <c r="G3976" s="307"/>
      <c r="H3976" s="304"/>
    </row>
    <row r="3977">
      <c r="A3977" s="302" t="s">
        <v>72</v>
      </c>
      <c r="B3977" s="291" t="s">
        <v>21421</v>
      </c>
      <c r="C3977" s="292" t="s">
        <v>48</v>
      </c>
      <c r="D3977" s="293">
        <f t="shared" si="2"/>
        <v>1</v>
      </c>
      <c r="E3977" s="294" t="s">
        <v>23673</v>
      </c>
      <c r="F3977" s="295" t="str">
        <f>IFERROR(__xludf.DUMMYFUNCTION("IF(B3977="""","""",IFERROR(VLOOKUP(TO_TEXT(B3977),PEDIDOS!D:I,6,0),IFERROR(VLOOKUP(B3977*1,PEDIDOS!D:I,6,0),"" "")))"),"ENTREGUE")</f>
        <v>ENTREGUE</v>
      </c>
      <c r="G3977" s="307"/>
      <c r="H3977" s="304"/>
    </row>
    <row r="3978">
      <c r="A3978" s="302" t="s">
        <v>72</v>
      </c>
      <c r="B3978" s="291" t="s">
        <v>21060</v>
      </c>
      <c r="C3978" s="292" t="s">
        <v>48</v>
      </c>
      <c r="D3978" s="293">
        <f t="shared" si="2"/>
        <v>1</v>
      </c>
      <c r="E3978" s="294" t="s">
        <v>23673</v>
      </c>
      <c r="F3978" s="295" t="str">
        <f>IFERROR(__xludf.DUMMYFUNCTION("IF(B3978="""","""",IFERROR(VLOOKUP(TO_TEXT(B3978),PEDIDOS!D:I,6,0),IFERROR(VLOOKUP(B3978*1,PEDIDOS!D:I,6,0),"" "")))"),"ENTREGUE")</f>
        <v>ENTREGUE</v>
      </c>
      <c r="G3978" s="307"/>
      <c r="H3978" s="304"/>
    </row>
    <row r="3979">
      <c r="A3979" s="302" t="s">
        <v>72</v>
      </c>
      <c r="B3979" s="291" t="s">
        <v>21065</v>
      </c>
      <c r="C3979" s="292" t="s">
        <v>48</v>
      </c>
      <c r="D3979" s="293">
        <f t="shared" si="2"/>
        <v>1</v>
      </c>
      <c r="E3979" s="294" t="s">
        <v>23673</v>
      </c>
      <c r="F3979" s="295" t="str">
        <f>IFERROR(__xludf.DUMMYFUNCTION("IF(B3979="""","""",IFERROR(VLOOKUP(TO_TEXT(B3979),PEDIDOS!D:I,6,0),IFERROR(VLOOKUP(B3979*1,PEDIDOS!D:I,6,0),"" "")))"),"ENTREGUE")</f>
        <v>ENTREGUE</v>
      </c>
      <c r="G3979" s="307"/>
      <c r="H3979" s="304"/>
    </row>
    <row r="3980">
      <c r="A3980" s="302" t="s">
        <v>72</v>
      </c>
      <c r="B3980" s="291" t="s">
        <v>21766</v>
      </c>
      <c r="C3980" s="292" t="s">
        <v>48</v>
      </c>
      <c r="D3980" s="293">
        <f t="shared" si="2"/>
        <v>1</v>
      </c>
      <c r="E3980" s="294" t="s">
        <v>23673</v>
      </c>
      <c r="F3980" s="295" t="str">
        <f>IFERROR(__xludf.DUMMYFUNCTION("IF(B3980="""","""",IFERROR(VLOOKUP(TO_TEXT(B3980),PEDIDOS!D:I,6,0),IFERROR(VLOOKUP(B3980*1,PEDIDOS!D:I,6,0),"" "")))"),"FINALIZADO")</f>
        <v>FINALIZADO</v>
      </c>
      <c r="G3980" s="307"/>
      <c r="H3980" s="304"/>
    </row>
    <row r="3981">
      <c r="A3981" s="302" t="s">
        <v>72</v>
      </c>
      <c r="B3981" s="291" t="s">
        <v>22072</v>
      </c>
      <c r="C3981" s="292" t="s">
        <v>48</v>
      </c>
      <c r="D3981" s="293">
        <f t="shared" si="2"/>
        <v>1</v>
      </c>
      <c r="E3981" s="294" t="s">
        <v>23673</v>
      </c>
      <c r="F3981" s="295" t="str">
        <f>IFERROR(__xludf.DUMMYFUNCTION("IF(B3981="""","""",IFERROR(VLOOKUP(TO_TEXT(B3981),PEDIDOS!D:I,6,0),IFERROR(VLOOKUP(B3981*1,PEDIDOS!D:I,6,0),"" "")))"),"ENTREGUE")</f>
        <v>ENTREGUE</v>
      </c>
      <c r="G3981" s="307"/>
      <c r="H3981" s="304"/>
    </row>
    <row r="3982">
      <c r="A3982" s="302" t="s">
        <v>72</v>
      </c>
      <c r="B3982" s="291" t="s">
        <v>22378</v>
      </c>
      <c r="C3982" s="292" t="s">
        <v>48</v>
      </c>
      <c r="D3982" s="293">
        <f t="shared" si="2"/>
        <v>1</v>
      </c>
      <c r="E3982" s="294" t="s">
        <v>23673</v>
      </c>
      <c r="F3982" s="295" t="str">
        <f>IFERROR(__xludf.DUMMYFUNCTION("IF(B3982="""","""",IFERROR(VLOOKUP(TO_TEXT(B3982),PEDIDOS!D:I,6,0),IFERROR(VLOOKUP(B3982*1,PEDIDOS!D:I,6,0),"" "")))"),"ENTREGUE")</f>
        <v>ENTREGUE</v>
      </c>
      <c r="G3982" s="307"/>
      <c r="H3982" s="304"/>
    </row>
    <row r="3983">
      <c r="A3983" s="302" t="s">
        <v>72</v>
      </c>
      <c r="B3983" s="291" t="s">
        <v>22750</v>
      </c>
      <c r="C3983" s="292" t="s">
        <v>48</v>
      </c>
      <c r="D3983" s="293">
        <f t="shared" si="2"/>
        <v>1</v>
      </c>
      <c r="E3983" s="294" t="s">
        <v>23673</v>
      </c>
      <c r="F3983" s="295" t="str">
        <f>IFERROR(__xludf.DUMMYFUNCTION("IF(B3983="""","""",IFERROR(VLOOKUP(TO_TEXT(B3983),PEDIDOS!D:I,6,0),IFERROR(VLOOKUP(B3983*1,PEDIDOS!D:I,6,0),"" "")))"),"ENTREGUE")</f>
        <v>ENTREGUE</v>
      </c>
      <c r="G3983" s="307"/>
      <c r="H3983" s="304"/>
    </row>
    <row r="3984">
      <c r="A3984" s="302" t="s">
        <v>85</v>
      </c>
      <c r="B3984" s="291" t="s">
        <v>23679</v>
      </c>
      <c r="C3984" s="292" t="s">
        <v>48</v>
      </c>
      <c r="D3984" s="293">
        <f t="shared" si="2"/>
        <v>0</v>
      </c>
      <c r="E3984" s="294" t="s">
        <v>23673</v>
      </c>
      <c r="F3984" s="295" t="str">
        <f>IFERROR(__xludf.DUMMYFUNCTION("IF(B3984="""","""",IFERROR(VLOOKUP(TO_TEXT(B3984),PEDIDOS!D:I,6,0),IFERROR(VLOOKUP(B3984*1,PEDIDOS!D:I,6,0),"" "")))")," ")</f>
        <v> </v>
      </c>
      <c r="G3984" s="307"/>
      <c r="H3984" s="304"/>
    </row>
    <row r="3985">
      <c r="A3985" s="302" t="s">
        <v>85</v>
      </c>
      <c r="B3985" s="291" t="s">
        <v>23680</v>
      </c>
      <c r="C3985" s="292" t="s">
        <v>48</v>
      </c>
      <c r="D3985" s="293">
        <f t="shared" si="2"/>
        <v>0</v>
      </c>
      <c r="E3985" s="294" t="s">
        <v>23673</v>
      </c>
      <c r="F3985" s="295" t="str">
        <f>IFERROR(__xludf.DUMMYFUNCTION("IF(B3985="""","""",IFERROR(VLOOKUP(TO_TEXT(B3985),PEDIDOS!D:I,6,0),IFERROR(VLOOKUP(B3985*1,PEDIDOS!D:I,6,0),"" "")))")," ")</f>
        <v> </v>
      </c>
      <c r="G3985" s="307"/>
      <c r="H3985" s="304"/>
    </row>
    <row r="3986">
      <c r="A3986" s="302" t="s">
        <v>85</v>
      </c>
      <c r="B3986" s="291" t="s">
        <v>23681</v>
      </c>
      <c r="C3986" s="292" t="s">
        <v>48</v>
      </c>
      <c r="D3986" s="293">
        <f t="shared" si="2"/>
        <v>0</v>
      </c>
      <c r="E3986" s="294" t="s">
        <v>23673</v>
      </c>
      <c r="F3986" s="295" t="str">
        <f>IFERROR(__xludf.DUMMYFUNCTION("IF(B3986="""","""",IFERROR(VLOOKUP(TO_TEXT(B3986),PEDIDOS!D:I,6,0),IFERROR(VLOOKUP(B3986*1,PEDIDOS!D:I,6,0),"" "")))")," ")</f>
        <v> </v>
      </c>
      <c r="G3986" s="307"/>
      <c r="H3986" s="304"/>
    </row>
    <row r="3987">
      <c r="A3987" s="302" t="s">
        <v>85</v>
      </c>
      <c r="B3987" s="291" t="s">
        <v>21973</v>
      </c>
      <c r="C3987" s="292" t="s">
        <v>48</v>
      </c>
      <c r="D3987" s="293">
        <f t="shared" si="2"/>
        <v>1</v>
      </c>
      <c r="E3987" s="294" t="s">
        <v>23673</v>
      </c>
      <c r="F3987" s="295" t="str">
        <f>IFERROR(__xludf.DUMMYFUNCTION("IF(B3987="""","""",IFERROR(VLOOKUP(TO_TEXT(B3987),PEDIDOS!D:I,6,0),IFERROR(VLOOKUP(B3987*1,PEDIDOS!D:I,6,0),"" "")))"),"ENTREGUE")</f>
        <v>ENTREGUE</v>
      </c>
      <c r="G3987" s="307"/>
      <c r="H3987" s="304"/>
    </row>
    <row r="3988">
      <c r="A3988" s="302" t="s">
        <v>85</v>
      </c>
      <c r="B3988" s="291" t="s">
        <v>21977</v>
      </c>
      <c r="C3988" s="292" t="s">
        <v>48</v>
      </c>
      <c r="D3988" s="293">
        <f t="shared" si="2"/>
        <v>1</v>
      </c>
      <c r="E3988" s="294" t="s">
        <v>23673</v>
      </c>
      <c r="F3988" s="295" t="str">
        <f>IFERROR(__xludf.DUMMYFUNCTION("IF(B3988="""","""",IFERROR(VLOOKUP(TO_TEXT(B3988),PEDIDOS!D:I,6,0),IFERROR(VLOOKUP(B3988*1,PEDIDOS!D:I,6,0),"" "")))"),"ENTREGUE")</f>
        <v>ENTREGUE</v>
      </c>
      <c r="G3988" s="307"/>
      <c r="H3988" s="304"/>
    </row>
    <row r="3989">
      <c r="A3989" s="302" t="s">
        <v>85</v>
      </c>
      <c r="B3989" s="291" t="s">
        <v>22392</v>
      </c>
      <c r="C3989" s="292" t="s">
        <v>48</v>
      </c>
      <c r="D3989" s="293">
        <f t="shared" si="2"/>
        <v>1</v>
      </c>
      <c r="E3989" s="294" t="s">
        <v>23673</v>
      </c>
      <c r="F3989" s="295" t="str">
        <f>IFERROR(__xludf.DUMMYFUNCTION("IF(B3989="""","""",IFERROR(VLOOKUP(TO_TEXT(B3989),PEDIDOS!D:I,6,0),IFERROR(VLOOKUP(B3989*1,PEDIDOS!D:I,6,0),"" "")))"),"ENTREGUE")</f>
        <v>ENTREGUE</v>
      </c>
      <c r="G3989" s="307"/>
      <c r="H3989" s="304"/>
    </row>
    <row r="3990">
      <c r="A3990" s="302" t="s">
        <v>85</v>
      </c>
      <c r="B3990" s="291" t="s">
        <v>22443</v>
      </c>
      <c r="C3990" s="292" t="s">
        <v>48</v>
      </c>
      <c r="D3990" s="293">
        <f t="shared" si="2"/>
        <v>1</v>
      </c>
      <c r="E3990" s="294" t="s">
        <v>23673</v>
      </c>
      <c r="F3990" s="295" t="str">
        <f>IFERROR(__xludf.DUMMYFUNCTION("IF(B3990="""","""",IFERROR(VLOOKUP(TO_TEXT(B3990),PEDIDOS!D:I,6,0),IFERROR(VLOOKUP(B3990*1,PEDIDOS!D:I,6,0),"" "")))"),"ENTREGUE")</f>
        <v>ENTREGUE</v>
      </c>
      <c r="G3990" s="307"/>
      <c r="H3990" s="304"/>
    </row>
    <row r="3991">
      <c r="A3991" s="302" t="s">
        <v>85</v>
      </c>
      <c r="B3991" s="291" t="s">
        <v>21724</v>
      </c>
      <c r="C3991" s="292" t="s">
        <v>48</v>
      </c>
      <c r="D3991" s="293">
        <f t="shared" si="2"/>
        <v>1</v>
      </c>
      <c r="E3991" s="294" t="s">
        <v>23673</v>
      </c>
      <c r="F3991" s="295" t="str">
        <f>IFERROR(__xludf.DUMMYFUNCTION("IF(B3991="""","""",IFERROR(VLOOKUP(TO_TEXT(B3991),PEDIDOS!D:I,6,0),IFERROR(VLOOKUP(B3991*1,PEDIDOS!D:I,6,0),"" "")))"),"ENTREGUE")</f>
        <v>ENTREGUE</v>
      </c>
      <c r="G3991" s="307"/>
      <c r="H3991" s="304"/>
    </row>
    <row r="3992">
      <c r="A3992" s="302" t="s">
        <v>85</v>
      </c>
      <c r="B3992" s="291" t="s">
        <v>21720</v>
      </c>
      <c r="C3992" s="292" t="s">
        <v>48</v>
      </c>
      <c r="D3992" s="293">
        <f t="shared" si="2"/>
        <v>1</v>
      </c>
      <c r="E3992" s="294" t="s">
        <v>23673</v>
      </c>
      <c r="F3992" s="295" t="str">
        <f>IFERROR(__xludf.DUMMYFUNCTION("IF(B3992="""","""",IFERROR(VLOOKUP(TO_TEXT(B3992),PEDIDOS!D:I,6,0),IFERROR(VLOOKUP(B3992*1,PEDIDOS!D:I,6,0),"" "")))"),"ENTREGUE")</f>
        <v>ENTREGUE</v>
      </c>
      <c r="G3992" s="307"/>
      <c r="H3992" s="304"/>
    </row>
    <row r="3993">
      <c r="A3993" s="302" t="s">
        <v>85</v>
      </c>
      <c r="B3993" s="291" t="s">
        <v>22422</v>
      </c>
      <c r="C3993" s="292" t="s">
        <v>48</v>
      </c>
      <c r="D3993" s="293">
        <f t="shared" si="2"/>
        <v>1</v>
      </c>
      <c r="E3993" s="294" t="s">
        <v>23673</v>
      </c>
      <c r="F3993" s="295" t="str">
        <f>IFERROR(__xludf.DUMMYFUNCTION("IF(B3993="""","""",IFERROR(VLOOKUP(TO_TEXT(B3993),PEDIDOS!D:I,6,0),IFERROR(VLOOKUP(B3993*1,PEDIDOS!D:I,6,0),"" "")))"),"ENTREGUE")</f>
        <v>ENTREGUE</v>
      </c>
      <c r="G3993" s="307"/>
      <c r="H3993" s="304"/>
    </row>
    <row r="3994">
      <c r="A3994" s="302" t="s">
        <v>85</v>
      </c>
      <c r="B3994" s="291" t="s">
        <v>22323</v>
      </c>
      <c r="C3994" s="292" t="s">
        <v>48</v>
      </c>
      <c r="D3994" s="293">
        <f t="shared" si="2"/>
        <v>1</v>
      </c>
      <c r="E3994" s="294" t="s">
        <v>23673</v>
      </c>
      <c r="F3994" s="295" t="str">
        <f>IFERROR(__xludf.DUMMYFUNCTION("IF(B3994="""","""",IFERROR(VLOOKUP(TO_TEXT(B3994),PEDIDOS!D:I,6,0),IFERROR(VLOOKUP(B3994*1,PEDIDOS!D:I,6,0),"" "")))"),"ENTREGUE")</f>
        <v>ENTREGUE</v>
      </c>
      <c r="G3994" s="307"/>
      <c r="H3994" s="304"/>
    </row>
    <row r="3995">
      <c r="A3995" s="302" t="s">
        <v>85</v>
      </c>
      <c r="B3995" s="291" t="s">
        <v>21814</v>
      </c>
      <c r="C3995" s="292" t="s">
        <v>48</v>
      </c>
      <c r="D3995" s="293">
        <f t="shared" si="2"/>
        <v>1</v>
      </c>
      <c r="E3995" s="294" t="s">
        <v>23673</v>
      </c>
      <c r="F3995" s="295" t="str">
        <f>IFERROR(__xludf.DUMMYFUNCTION("IF(B3995="""","""",IFERROR(VLOOKUP(TO_TEXT(B3995),PEDIDOS!D:I,6,0),IFERROR(VLOOKUP(B3995*1,PEDIDOS!D:I,6,0),"" "")))"),"ENTREGUE")</f>
        <v>ENTREGUE</v>
      </c>
      <c r="G3995" s="307"/>
      <c r="H3995" s="304"/>
    </row>
    <row r="3996">
      <c r="A3996" s="302" t="s">
        <v>85</v>
      </c>
      <c r="B3996" s="291" t="s">
        <v>22669</v>
      </c>
      <c r="C3996" s="292" t="s">
        <v>48</v>
      </c>
      <c r="D3996" s="293">
        <f t="shared" si="2"/>
        <v>1</v>
      </c>
      <c r="E3996" s="294" t="s">
        <v>23673</v>
      </c>
      <c r="F3996" s="295" t="str">
        <f>IFERROR(__xludf.DUMMYFUNCTION("IF(B3996="""","""",IFERROR(VLOOKUP(TO_TEXT(B3996),PEDIDOS!D:I,6,0),IFERROR(VLOOKUP(B3996*1,PEDIDOS!D:I,6,0),"" "")))"),"ENTREGUE")</f>
        <v>ENTREGUE</v>
      </c>
      <c r="G3996" s="307"/>
      <c r="H3996" s="304"/>
    </row>
    <row r="3997">
      <c r="A3997" s="302" t="s">
        <v>85</v>
      </c>
      <c r="B3997" s="291" t="s">
        <v>21809</v>
      </c>
      <c r="C3997" s="292" t="s">
        <v>48</v>
      </c>
      <c r="D3997" s="293">
        <f t="shared" si="2"/>
        <v>1</v>
      </c>
      <c r="E3997" s="294" t="s">
        <v>23673</v>
      </c>
      <c r="F3997" s="295" t="str">
        <f>IFERROR(__xludf.DUMMYFUNCTION("IF(B3997="""","""",IFERROR(VLOOKUP(TO_TEXT(B3997),PEDIDOS!D:I,6,0),IFERROR(VLOOKUP(B3997*1,PEDIDOS!D:I,6,0),"" "")))"),"ENTREGUE")</f>
        <v>ENTREGUE</v>
      </c>
      <c r="G3997" s="307"/>
      <c r="H3997" s="304"/>
    </row>
    <row r="3998">
      <c r="A3998" s="302" t="s">
        <v>85</v>
      </c>
      <c r="B3998" s="291" t="s">
        <v>22664</v>
      </c>
      <c r="C3998" s="292" t="s">
        <v>48</v>
      </c>
      <c r="D3998" s="293">
        <f t="shared" si="2"/>
        <v>1</v>
      </c>
      <c r="E3998" s="294" t="s">
        <v>23673</v>
      </c>
      <c r="F3998" s="295" t="str">
        <f>IFERROR(__xludf.DUMMYFUNCTION("IF(B3998="""","""",IFERROR(VLOOKUP(TO_TEXT(B3998),PEDIDOS!D:I,6,0),IFERROR(VLOOKUP(B3998*1,PEDIDOS!D:I,6,0),"" "")))"),"ENTREGUE")</f>
        <v>ENTREGUE</v>
      </c>
      <c r="G3998" s="307"/>
      <c r="H3998" s="304"/>
    </row>
    <row r="3999">
      <c r="A3999" s="302" t="s">
        <v>85</v>
      </c>
      <c r="B3999" s="291" t="s">
        <v>22701</v>
      </c>
      <c r="C3999" s="292" t="s">
        <v>48</v>
      </c>
      <c r="D3999" s="293">
        <f t="shared" si="2"/>
        <v>1</v>
      </c>
      <c r="E3999" s="294" t="s">
        <v>23673</v>
      </c>
      <c r="F3999" s="295" t="str">
        <f>IFERROR(__xludf.DUMMYFUNCTION("IF(B3999="""","""",IFERROR(VLOOKUP(TO_TEXT(B3999),PEDIDOS!D:I,6,0),IFERROR(VLOOKUP(B3999*1,PEDIDOS!D:I,6,0),"" "")))"),"ENTREGUE")</f>
        <v>ENTREGUE</v>
      </c>
      <c r="G3999" s="307"/>
      <c r="H3999" s="304"/>
    </row>
    <row r="4000">
      <c r="A4000" s="302" t="s">
        <v>85</v>
      </c>
      <c r="B4000" s="291" t="s">
        <v>22717</v>
      </c>
      <c r="C4000" s="292" t="s">
        <v>48</v>
      </c>
      <c r="D4000" s="293">
        <f t="shared" si="2"/>
        <v>1</v>
      </c>
      <c r="E4000" s="294" t="s">
        <v>23673</v>
      </c>
      <c r="F4000" s="295" t="str">
        <f>IFERROR(__xludf.DUMMYFUNCTION("IF(B4000="""","""",IFERROR(VLOOKUP(TO_TEXT(B4000),PEDIDOS!D:I,6,0),IFERROR(VLOOKUP(B4000*1,PEDIDOS!D:I,6,0),"" "")))"),"ENTREGUE")</f>
        <v>ENTREGUE</v>
      </c>
      <c r="G4000" s="307"/>
      <c r="H4000" s="304"/>
    </row>
    <row r="4001">
      <c r="A4001" s="302" t="s">
        <v>85</v>
      </c>
      <c r="B4001" s="291" t="s">
        <v>20327</v>
      </c>
      <c r="C4001" s="292" t="s">
        <v>48</v>
      </c>
      <c r="D4001" s="293">
        <f t="shared" si="2"/>
        <v>1</v>
      </c>
      <c r="E4001" s="294" t="s">
        <v>23673</v>
      </c>
      <c r="F4001" s="295" t="str">
        <f>IFERROR(__xludf.DUMMYFUNCTION("IF(B4001="""","""",IFERROR(VLOOKUP(TO_TEXT(B4001),PEDIDOS!D:I,6,0),IFERROR(VLOOKUP(B4001*1,PEDIDOS!D:I,6,0),"" "")))"),"ENTREGUE")</f>
        <v>ENTREGUE</v>
      </c>
      <c r="G4001" s="307"/>
      <c r="H4001" s="304"/>
    </row>
    <row r="4002">
      <c r="A4002" s="302" t="s">
        <v>85</v>
      </c>
      <c r="B4002" s="291" t="s">
        <v>22820</v>
      </c>
      <c r="C4002" s="292" t="s">
        <v>48</v>
      </c>
      <c r="D4002" s="293">
        <f t="shared" si="2"/>
        <v>1</v>
      </c>
      <c r="E4002" s="294" t="s">
        <v>23673</v>
      </c>
      <c r="F4002" s="295" t="str">
        <f>IFERROR(__xludf.DUMMYFUNCTION("IF(B4002="""","""",IFERROR(VLOOKUP(TO_TEXT(B4002),PEDIDOS!D:I,6,0),IFERROR(VLOOKUP(B4002*1,PEDIDOS!D:I,6,0),"" "")))"),"ENTREGUE")</f>
        <v>ENTREGUE</v>
      </c>
      <c r="G4002" s="307"/>
      <c r="H4002" s="304"/>
    </row>
    <row r="4003">
      <c r="A4003" s="302" t="s">
        <v>85</v>
      </c>
      <c r="B4003" s="291" t="s">
        <v>21943</v>
      </c>
      <c r="C4003" s="292" t="s">
        <v>48</v>
      </c>
      <c r="D4003" s="293">
        <f t="shared" si="2"/>
        <v>1</v>
      </c>
      <c r="E4003" s="294" t="s">
        <v>23673</v>
      </c>
      <c r="F4003" s="295" t="str">
        <f>IFERROR(__xludf.DUMMYFUNCTION("IF(B4003="""","""",IFERROR(VLOOKUP(TO_TEXT(B4003),PEDIDOS!D:I,6,0),IFERROR(VLOOKUP(B4003*1,PEDIDOS!D:I,6,0),"" "")))"),"ENTREGUE")</f>
        <v>ENTREGUE</v>
      </c>
      <c r="G4003" s="307"/>
      <c r="H4003" s="304"/>
    </row>
    <row r="4004">
      <c r="A4004" s="302" t="s">
        <v>85</v>
      </c>
      <c r="B4004" s="291" t="s">
        <v>22187</v>
      </c>
      <c r="C4004" s="292" t="s">
        <v>48</v>
      </c>
      <c r="D4004" s="293">
        <f t="shared" si="2"/>
        <v>1</v>
      </c>
      <c r="E4004" s="294" t="s">
        <v>23673</v>
      </c>
      <c r="F4004" s="295" t="str">
        <f>IFERROR(__xludf.DUMMYFUNCTION("IF(B4004="""","""",IFERROR(VLOOKUP(TO_TEXT(B4004),PEDIDOS!D:I,6,0),IFERROR(VLOOKUP(B4004*1,PEDIDOS!D:I,6,0),"" "")))"),"ENTREGUE")</f>
        <v>ENTREGUE</v>
      </c>
      <c r="G4004" s="307"/>
      <c r="H4004" s="304"/>
    </row>
    <row r="4005">
      <c r="A4005" s="302" t="s">
        <v>85</v>
      </c>
      <c r="B4005" s="291" t="s">
        <v>22869</v>
      </c>
      <c r="C4005" s="292" t="s">
        <v>48</v>
      </c>
      <c r="D4005" s="293">
        <f t="shared" si="2"/>
        <v>1</v>
      </c>
      <c r="E4005" s="294" t="s">
        <v>23673</v>
      </c>
      <c r="F4005" s="295" t="str">
        <f>IFERROR(__xludf.DUMMYFUNCTION("IF(B4005="""","""",IFERROR(VLOOKUP(TO_TEXT(B4005),PEDIDOS!D:I,6,0),IFERROR(VLOOKUP(B4005*1,PEDIDOS!D:I,6,0),"" "")))"),"FINALIZADO")</f>
        <v>FINALIZADO</v>
      </c>
      <c r="G4005" s="307"/>
      <c r="H4005" s="304"/>
    </row>
    <row r="4006">
      <c r="A4006" s="302" t="s">
        <v>85</v>
      </c>
      <c r="B4006" s="291" t="s">
        <v>22918</v>
      </c>
      <c r="C4006" s="292" t="s">
        <v>48</v>
      </c>
      <c r="D4006" s="293">
        <f t="shared" si="2"/>
        <v>1</v>
      </c>
      <c r="E4006" s="294" t="s">
        <v>23673</v>
      </c>
      <c r="F4006" s="295" t="str">
        <f>IFERROR(__xludf.DUMMYFUNCTION("IF(B4006="""","""",IFERROR(VLOOKUP(TO_TEXT(B4006),PEDIDOS!D:I,6,0),IFERROR(VLOOKUP(B4006*1,PEDIDOS!D:I,6,0),"" "")))"),"ENTREGUE")</f>
        <v>ENTREGUE</v>
      </c>
      <c r="G4006" s="307"/>
      <c r="H4006" s="304"/>
    </row>
    <row r="4007">
      <c r="A4007" s="302" t="s">
        <v>85</v>
      </c>
      <c r="B4007" s="291" t="s">
        <v>23682</v>
      </c>
      <c r="C4007" s="292" t="s">
        <v>48</v>
      </c>
      <c r="D4007" s="293">
        <f t="shared" si="2"/>
        <v>0</v>
      </c>
      <c r="E4007" s="294" t="s">
        <v>23673</v>
      </c>
      <c r="F4007" s="295" t="str">
        <f>IFERROR(__xludf.DUMMYFUNCTION("IF(B4007="""","""",IFERROR(VLOOKUP(TO_TEXT(B4007),PEDIDOS!D:I,6,0),IFERROR(VLOOKUP(B4007*1,PEDIDOS!D:I,6,0),"" "")))")," ")</f>
        <v> </v>
      </c>
      <c r="G4007" s="307"/>
      <c r="H4007" s="304"/>
    </row>
    <row r="4008">
      <c r="A4008" s="302" t="s">
        <v>85</v>
      </c>
      <c r="B4008" s="291" t="s">
        <v>23683</v>
      </c>
      <c r="C4008" s="292" t="s">
        <v>48</v>
      </c>
      <c r="D4008" s="293">
        <f t="shared" si="2"/>
        <v>0</v>
      </c>
      <c r="E4008" s="294" t="s">
        <v>23673</v>
      </c>
      <c r="F4008" s="295" t="str">
        <f>IFERROR(__xludf.DUMMYFUNCTION("IF(B4008="""","""",IFERROR(VLOOKUP(TO_TEXT(B4008),PEDIDOS!D:I,6,0),IFERROR(VLOOKUP(B4008*1,PEDIDOS!D:I,6,0),"" "")))")," ")</f>
        <v> </v>
      </c>
      <c r="G4008" s="307"/>
      <c r="H4008" s="304"/>
    </row>
    <row r="4009">
      <c r="A4009" s="302" t="s">
        <v>85</v>
      </c>
      <c r="B4009" s="291" t="s">
        <v>23684</v>
      </c>
      <c r="C4009" s="292" t="s">
        <v>48</v>
      </c>
      <c r="D4009" s="293">
        <f t="shared" si="2"/>
        <v>0</v>
      </c>
      <c r="E4009" s="294" t="s">
        <v>23673</v>
      </c>
      <c r="F4009" s="295" t="str">
        <f>IFERROR(__xludf.DUMMYFUNCTION("IF(B4009="""","""",IFERROR(VLOOKUP(TO_TEXT(B4009),PEDIDOS!D:I,6,0),IFERROR(VLOOKUP(B4009*1,PEDIDOS!D:I,6,0),"" "")))")," ")</f>
        <v> </v>
      </c>
      <c r="G4009" s="307"/>
      <c r="H4009" s="304"/>
    </row>
    <row r="4010">
      <c r="A4010" s="302" t="s">
        <v>85</v>
      </c>
      <c r="B4010" s="291" t="s">
        <v>23685</v>
      </c>
      <c r="C4010" s="292" t="s">
        <v>48</v>
      </c>
      <c r="D4010" s="293">
        <f t="shared" si="2"/>
        <v>0</v>
      </c>
      <c r="E4010" s="294" t="s">
        <v>23673</v>
      </c>
      <c r="F4010" s="295" t="str">
        <f>IFERROR(__xludf.DUMMYFUNCTION("IF(B4010="""","""",IFERROR(VLOOKUP(TO_TEXT(B4010),PEDIDOS!D:I,6,0),IFERROR(VLOOKUP(B4010*1,PEDIDOS!D:I,6,0),"" "")))")," ")</f>
        <v> </v>
      </c>
      <c r="G4010" s="307"/>
      <c r="H4010" s="304"/>
    </row>
    <row r="4011">
      <c r="A4011" s="302" t="s">
        <v>85</v>
      </c>
      <c r="B4011" s="291" t="s">
        <v>23686</v>
      </c>
      <c r="C4011" s="292" t="s">
        <v>48</v>
      </c>
      <c r="D4011" s="293">
        <f t="shared" si="2"/>
        <v>0</v>
      </c>
      <c r="E4011" s="294" t="s">
        <v>23673</v>
      </c>
      <c r="F4011" s="295" t="str">
        <f>IFERROR(__xludf.DUMMYFUNCTION("IF(B4011="""","""",IFERROR(VLOOKUP(TO_TEXT(B4011),PEDIDOS!D:I,6,0),IFERROR(VLOOKUP(B4011*1,PEDIDOS!D:I,6,0),"" "")))")," ")</f>
        <v> </v>
      </c>
      <c r="G4011" s="307"/>
      <c r="H4011" s="304"/>
    </row>
    <row r="4012">
      <c r="A4012" s="302" t="s">
        <v>85</v>
      </c>
      <c r="B4012" s="291" t="s">
        <v>23687</v>
      </c>
      <c r="C4012" s="292" t="s">
        <v>48</v>
      </c>
      <c r="D4012" s="293">
        <f t="shared" si="2"/>
        <v>0</v>
      </c>
      <c r="E4012" s="294" t="s">
        <v>23673</v>
      </c>
      <c r="F4012" s="295" t="str">
        <f>IFERROR(__xludf.DUMMYFUNCTION("IF(B4012="""","""",IFERROR(VLOOKUP(TO_TEXT(B4012),PEDIDOS!D:I,6,0),IFERROR(VLOOKUP(B4012*1,PEDIDOS!D:I,6,0),"" "")))")," ")</f>
        <v> </v>
      </c>
      <c r="G4012" s="307"/>
      <c r="H4012" s="304"/>
    </row>
    <row r="4013">
      <c r="A4013" s="302" t="s">
        <v>85</v>
      </c>
      <c r="B4013" s="291" t="s">
        <v>23688</v>
      </c>
      <c r="C4013" s="292" t="s">
        <v>48</v>
      </c>
      <c r="D4013" s="293">
        <f t="shared" si="2"/>
        <v>0</v>
      </c>
      <c r="E4013" s="294" t="s">
        <v>23673</v>
      </c>
      <c r="F4013" s="295" t="str">
        <f>IFERROR(__xludf.DUMMYFUNCTION("IF(B4013="""","""",IFERROR(VLOOKUP(TO_TEXT(B4013),PEDIDOS!D:I,6,0),IFERROR(VLOOKUP(B4013*1,PEDIDOS!D:I,6,0),"" "")))")," ")</f>
        <v> </v>
      </c>
      <c r="G4013" s="307"/>
      <c r="H4013" s="304"/>
    </row>
    <row r="4014">
      <c r="A4014" s="302" t="s">
        <v>85</v>
      </c>
      <c r="B4014" s="291" t="s">
        <v>23689</v>
      </c>
      <c r="C4014" s="292" t="s">
        <v>48</v>
      </c>
      <c r="D4014" s="293">
        <f t="shared" si="2"/>
        <v>0</v>
      </c>
      <c r="E4014" s="294" t="s">
        <v>23673</v>
      </c>
      <c r="F4014" s="295" t="str">
        <f>IFERROR(__xludf.DUMMYFUNCTION("IF(B4014="""","""",IFERROR(VLOOKUP(TO_TEXT(B4014),PEDIDOS!D:I,6,0),IFERROR(VLOOKUP(B4014*1,PEDIDOS!D:I,6,0),"" "")))")," ")</f>
        <v> </v>
      </c>
      <c r="G4014" s="307"/>
      <c r="H4014" s="304"/>
    </row>
    <row r="4015">
      <c r="A4015" s="302" t="s">
        <v>85</v>
      </c>
      <c r="B4015" s="291" t="s">
        <v>23690</v>
      </c>
      <c r="C4015" s="292" t="s">
        <v>48</v>
      </c>
      <c r="D4015" s="293">
        <f t="shared" si="2"/>
        <v>0</v>
      </c>
      <c r="E4015" s="294" t="s">
        <v>23673</v>
      </c>
      <c r="F4015" s="295" t="str">
        <f>IFERROR(__xludf.DUMMYFUNCTION("IF(B4015="""","""",IFERROR(VLOOKUP(TO_TEXT(B4015),PEDIDOS!D:I,6,0),IFERROR(VLOOKUP(B4015*1,PEDIDOS!D:I,6,0),"" "")))")," ")</f>
        <v> </v>
      </c>
      <c r="G4015" s="307"/>
      <c r="H4015" s="304"/>
    </row>
    <row r="4016">
      <c r="A4016" s="302" t="s">
        <v>85</v>
      </c>
      <c r="B4016" s="291" t="s">
        <v>23691</v>
      </c>
      <c r="C4016" s="292" t="s">
        <v>48</v>
      </c>
      <c r="D4016" s="293">
        <f t="shared" si="2"/>
        <v>0</v>
      </c>
      <c r="E4016" s="294" t="s">
        <v>23673</v>
      </c>
      <c r="F4016" s="295" t="str">
        <f>IFERROR(__xludf.DUMMYFUNCTION("IF(B4016="""","""",IFERROR(VLOOKUP(TO_TEXT(B4016),PEDIDOS!D:I,6,0),IFERROR(VLOOKUP(B4016*1,PEDIDOS!D:I,6,0),"" "")))")," ")</f>
        <v> </v>
      </c>
      <c r="G4016" s="307"/>
      <c r="H4016" s="304"/>
    </row>
    <row r="4017">
      <c r="A4017" s="302" t="s">
        <v>85</v>
      </c>
      <c r="B4017" s="291" t="s">
        <v>23692</v>
      </c>
      <c r="C4017" s="292" t="s">
        <v>48</v>
      </c>
      <c r="D4017" s="293">
        <f t="shared" si="2"/>
        <v>0</v>
      </c>
      <c r="E4017" s="294" t="s">
        <v>23673</v>
      </c>
      <c r="F4017" s="295" t="str">
        <f>IFERROR(__xludf.DUMMYFUNCTION("IF(B4017="""","""",IFERROR(VLOOKUP(TO_TEXT(B4017),PEDIDOS!D:I,6,0),IFERROR(VLOOKUP(B4017*1,PEDIDOS!D:I,6,0),"" "")))")," ")</f>
        <v> </v>
      </c>
      <c r="G4017" s="307"/>
      <c r="H4017" s="304"/>
    </row>
    <row r="4018">
      <c r="A4018" s="302" t="s">
        <v>85</v>
      </c>
      <c r="B4018" s="291" t="s">
        <v>23693</v>
      </c>
      <c r="C4018" s="292" t="s">
        <v>48</v>
      </c>
      <c r="D4018" s="293">
        <f t="shared" si="2"/>
        <v>0</v>
      </c>
      <c r="E4018" s="294" t="s">
        <v>23673</v>
      </c>
      <c r="F4018" s="295" t="str">
        <f>IFERROR(__xludf.DUMMYFUNCTION("IF(B4018="""","""",IFERROR(VLOOKUP(TO_TEXT(B4018),PEDIDOS!D:I,6,0),IFERROR(VLOOKUP(B4018*1,PEDIDOS!D:I,6,0),"" "")))")," ")</f>
        <v> </v>
      </c>
      <c r="G4018" s="307"/>
      <c r="H4018" s="304"/>
    </row>
    <row r="4019">
      <c r="A4019" s="302" t="s">
        <v>91</v>
      </c>
      <c r="B4019" s="291" t="s">
        <v>22647</v>
      </c>
      <c r="C4019" s="292" t="s">
        <v>48</v>
      </c>
      <c r="D4019" s="293">
        <f t="shared" si="2"/>
        <v>1</v>
      </c>
      <c r="E4019" s="294" t="s">
        <v>23673</v>
      </c>
      <c r="F4019" s="295" t="str">
        <f>IFERROR(__xludf.DUMMYFUNCTION("IF(B4019="""","""",IFERROR(VLOOKUP(TO_TEXT(B4019),PEDIDOS!D:I,6,0),IFERROR(VLOOKUP(B4019*1,PEDIDOS!D:I,6,0),"" "")))"),"ENTREGUE")</f>
        <v>ENTREGUE</v>
      </c>
      <c r="G4019" s="307"/>
      <c r="H4019" s="304"/>
    </row>
    <row r="4020">
      <c r="A4020" s="302" t="s">
        <v>91</v>
      </c>
      <c r="B4020" s="291" t="s">
        <v>22630</v>
      </c>
      <c r="C4020" s="292" t="s">
        <v>48</v>
      </c>
      <c r="D4020" s="293">
        <f t="shared" si="2"/>
        <v>1</v>
      </c>
      <c r="E4020" s="294" t="s">
        <v>23673</v>
      </c>
      <c r="F4020" s="295" t="str">
        <f>IFERROR(__xludf.DUMMYFUNCTION("IF(B4020="""","""",IFERROR(VLOOKUP(TO_TEXT(B4020),PEDIDOS!D:I,6,0),IFERROR(VLOOKUP(B4020*1,PEDIDOS!D:I,6,0),"" "")))"),"ENTREGUE")</f>
        <v>ENTREGUE</v>
      </c>
      <c r="G4020" s="307"/>
      <c r="H4020" s="304"/>
    </row>
    <row r="4021">
      <c r="A4021" s="302" t="s">
        <v>91</v>
      </c>
      <c r="B4021" s="291" t="s">
        <v>22106</v>
      </c>
      <c r="C4021" s="292" t="s">
        <v>48</v>
      </c>
      <c r="D4021" s="293">
        <f t="shared" si="2"/>
        <v>1</v>
      </c>
      <c r="E4021" s="294" t="s">
        <v>23673</v>
      </c>
      <c r="F4021" s="295" t="str">
        <f>IFERROR(__xludf.DUMMYFUNCTION("IF(B4021="""","""",IFERROR(VLOOKUP(TO_TEXT(B4021),PEDIDOS!D:I,6,0),IFERROR(VLOOKUP(B4021*1,PEDIDOS!D:I,6,0),"" "")))"),"ENTREGUE")</f>
        <v>ENTREGUE</v>
      </c>
      <c r="G4021" s="307"/>
      <c r="H4021" s="304"/>
    </row>
    <row r="4022">
      <c r="A4022" s="302" t="s">
        <v>91</v>
      </c>
      <c r="B4022" s="291" t="s">
        <v>22694</v>
      </c>
      <c r="C4022" s="292" t="s">
        <v>48</v>
      </c>
      <c r="D4022" s="293">
        <f t="shared" si="2"/>
        <v>1</v>
      </c>
      <c r="E4022" s="294" t="s">
        <v>23673</v>
      </c>
      <c r="F4022" s="295" t="str">
        <f>IFERROR(__xludf.DUMMYFUNCTION("IF(B4022="""","""",IFERROR(VLOOKUP(TO_TEXT(B4022),PEDIDOS!D:I,6,0),IFERROR(VLOOKUP(B4022*1,PEDIDOS!D:I,6,0),"" "")))"),"ENTREGUE")</f>
        <v>ENTREGUE</v>
      </c>
      <c r="G4022" s="307"/>
      <c r="H4022" s="304"/>
    </row>
    <row r="4023">
      <c r="A4023" s="302" t="s">
        <v>91</v>
      </c>
      <c r="B4023" s="291" t="s">
        <v>22686</v>
      </c>
      <c r="C4023" s="292" t="s">
        <v>48</v>
      </c>
      <c r="D4023" s="293">
        <f t="shared" si="2"/>
        <v>1</v>
      </c>
      <c r="E4023" s="294" t="s">
        <v>23673</v>
      </c>
      <c r="F4023" s="295" t="str">
        <f>IFERROR(__xludf.DUMMYFUNCTION("IF(B4023="""","""",IFERROR(VLOOKUP(TO_TEXT(B4023),PEDIDOS!D:I,6,0),IFERROR(VLOOKUP(B4023*1,PEDIDOS!D:I,6,0),"" "")))"),"ENTREGUE")</f>
        <v>ENTREGUE</v>
      </c>
      <c r="G4023" s="307"/>
      <c r="H4023" s="304"/>
    </row>
    <row r="4024">
      <c r="A4024" s="302" t="s">
        <v>91</v>
      </c>
      <c r="B4024" s="291" t="s">
        <v>22653</v>
      </c>
      <c r="C4024" s="292" t="s">
        <v>48</v>
      </c>
      <c r="D4024" s="293">
        <f t="shared" si="2"/>
        <v>1</v>
      </c>
      <c r="E4024" s="294" t="s">
        <v>23673</v>
      </c>
      <c r="F4024" s="295" t="str">
        <f>IFERROR(__xludf.DUMMYFUNCTION("IF(B4024="""","""",IFERROR(VLOOKUP(TO_TEXT(B4024),PEDIDOS!D:I,6,0),IFERROR(VLOOKUP(B4024*1,PEDIDOS!D:I,6,0),"" "")))"),"ENTREGUE")</f>
        <v>ENTREGUE</v>
      </c>
      <c r="G4024" s="307"/>
      <c r="H4024" s="304"/>
    </row>
    <row r="4025">
      <c r="A4025" s="302" t="s">
        <v>91</v>
      </c>
      <c r="B4025" s="291" t="s">
        <v>22219</v>
      </c>
      <c r="C4025" s="292" t="s">
        <v>48</v>
      </c>
      <c r="D4025" s="293">
        <f t="shared" si="2"/>
        <v>1</v>
      </c>
      <c r="E4025" s="294" t="s">
        <v>23673</v>
      </c>
      <c r="F4025" s="295" t="str">
        <f>IFERROR(__xludf.DUMMYFUNCTION("IF(B4025="""","""",IFERROR(VLOOKUP(TO_TEXT(B4025),PEDIDOS!D:I,6,0),IFERROR(VLOOKUP(B4025*1,PEDIDOS!D:I,6,0),"" "")))"),"ENTREGUE")</f>
        <v>ENTREGUE</v>
      </c>
      <c r="G4025" s="307"/>
      <c r="H4025" s="304"/>
    </row>
    <row r="4026">
      <c r="A4026" s="302" t="s">
        <v>91</v>
      </c>
      <c r="B4026" s="291" t="s">
        <v>22614</v>
      </c>
      <c r="C4026" s="292" t="s">
        <v>48</v>
      </c>
      <c r="D4026" s="293">
        <f t="shared" si="2"/>
        <v>1</v>
      </c>
      <c r="E4026" s="294" t="s">
        <v>23673</v>
      </c>
      <c r="F4026" s="295" t="str">
        <f>IFERROR(__xludf.DUMMYFUNCTION("IF(B4026="""","""",IFERROR(VLOOKUP(TO_TEXT(B4026),PEDIDOS!D:I,6,0),IFERROR(VLOOKUP(B4026*1,PEDIDOS!D:I,6,0),"" "")))"),"ENTREGUE")</f>
        <v>ENTREGUE</v>
      </c>
      <c r="G4026" s="307"/>
      <c r="H4026" s="304"/>
    </row>
    <row r="4027">
      <c r="A4027" s="302" t="s">
        <v>91</v>
      </c>
      <c r="B4027" s="291" t="s">
        <v>22450</v>
      </c>
      <c r="C4027" s="292" t="s">
        <v>48</v>
      </c>
      <c r="D4027" s="293">
        <f t="shared" si="2"/>
        <v>1</v>
      </c>
      <c r="E4027" s="294" t="s">
        <v>23673</v>
      </c>
      <c r="F4027" s="295" t="str">
        <f>IFERROR(__xludf.DUMMYFUNCTION("IF(B4027="""","""",IFERROR(VLOOKUP(TO_TEXT(B4027),PEDIDOS!D:I,6,0),IFERROR(VLOOKUP(B4027*1,PEDIDOS!D:I,6,0),"" "")))"),"ENTREGUE")</f>
        <v>ENTREGUE</v>
      </c>
      <c r="G4027" s="307"/>
      <c r="H4027" s="304"/>
    </row>
    <row r="4028">
      <c r="A4028" s="302" t="s">
        <v>91</v>
      </c>
      <c r="B4028" s="291" t="s">
        <v>22744</v>
      </c>
      <c r="C4028" s="292" t="s">
        <v>48</v>
      </c>
      <c r="D4028" s="293">
        <f t="shared" si="2"/>
        <v>1</v>
      </c>
      <c r="E4028" s="294" t="s">
        <v>23673</v>
      </c>
      <c r="F4028" s="295" t="str">
        <f>IFERROR(__xludf.DUMMYFUNCTION("IF(B4028="""","""",IFERROR(VLOOKUP(TO_TEXT(B4028),PEDIDOS!D:I,6,0),IFERROR(VLOOKUP(B4028*1,PEDIDOS!D:I,6,0),"" "")))"),"ENTREGUE")</f>
        <v>ENTREGUE</v>
      </c>
      <c r="G4028" s="307"/>
      <c r="H4028" s="304"/>
    </row>
    <row r="4029">
      <c r="A4029" s="302" t="s">
        <v>91</v>
      </c>
      <c r="B4029" s="291" t="s">
        <v>22825</v>
      </c>
      <c r="C4029" s="292" t="s">
        <v>48</v>
      </c>
      <c r="D4029" s="293">
        <f t="shared" si="2"/>
        <v>1</v>
      </c>
      <c r="E4029" s="294" t="s">
        <v>23673</v>
      </c>
      <c r="F4029" s="295" t="str">
        <f>IFERROR(__xludf.DUMMYFUNCTION("IF(B4029="""","""",IFERROR(VLOOKUP(TO_TEXT(B4029),PEDIDOS!D:I,6,0),IFERROR(VLOOKUP(B4029*1,PEDIDOS!D:I,6,0),"" "")))"),"ENTREGUE")</f>
        <v>ENTREGUE</v>
      </c>
      <c r="G4029" s="307"/>
      <c r="H4029" s="304"/>
    </row>
    <row r="4030">
      <c r="A4030" s="302" t="s">
        <v>91</v>
      </c>
      <c r="B4030" s="291" t="s">
        <v>22874</v>
      </c>
      <c r="C4030" s="292" t="s">
        <v>48</v>
      </c>
      <c r="D4030" s="293">
        <f t="shared" si="2"/>
        <v>1</v>
      </c>
      <c r="E4030" s="294" t="s">
        <v>23673</v>
      </c>
      <c r="F4030" s="295" t="str">
        <f>IFERROR(__xludf.DUMMYFUNCTION("IF(B4030="""","""",IFERROR(VLOOKUP(TO_TEXT(B4030),PEDIDOS!D:I,6,0),IFERROR(VLOOKUP(B4030*1,PEDIDOS!D:I,6,0),"" "")))"),"ENTREGUE")</f>
        <v>ENTREGUE</v>
      </c>
      <c r="G4030" s="307"/>
      <c r="H4030" s="304"/>
    </row>
    <row r="4031">
      <c r="A4031" s="302" t="s">
        <v>91</v>
      </c>
      <c r="B4031" s="291" t="s">
        <v>22829</v>
      </c>
      <c r="C4031" s="292" t="s">
        <v>48</v>
      </c>
      <c r="D4031" s="293">
        <f t="shared" si="2"/>
        <v>1</v>
      </c>
      <c r="E4031" s="294" t="s">
        <v>23673</v>
      </c>
      <c r="F4031" s="295" t="str">
        <f>IFERROR(__xludf.DUMMYFUNCTION("IF(B4031="""","""",IFERROR(VLOOKUP(TO_TEXT(B4031),PEDIDOS!D:I,6,0),IFERROR(VLOOKUP(B4031*1,PEDIDOS!D:I,6,0),"" "")))"),"ENTREGUE")</f>
        <v>ENTREGUE</v>
      </c>
      <c r="G4031" s="307"/>
      <c r="H4031" s="304"/>
    </row>
    <row r="4032">
      <c r="A4032" s="302" t="s">
        <v>91</v>
      </c>
      <c r="B4032" s="291" t="s">
        <v>22929</v>
      </c>
      <c r="C4032" s="292" t="s">
        <v>48</v>
      </c>
      <c r="D4032" s="293">
        <f t="shared" si="2"/>
        <v>1</v>
      </c>
      <c r="E4032" s="294" t="s">
        <v>23673</v>
      </c>
      <c r="F4032" s="295" t="str">
        <f>IFERROR(__xludf.DUMMYFUNCTION("IF(B4032="""","""",IFERROR(VLOOKUP(TO_TEXT(B4032),PEDIDOS!D:I,6,0),IFERROR(VLOOKUP(B4032*1,PEDIDOS!D:I,6,0),"" "")))"),"ENTREGUE")</f>
        <v>ENTREGUE</v>
      </c>
      <c r="G4032" s="307"/>
      <c r="H4032" s="304"/>
    </row>
    <row r="4033">
      <c r="A4033" s="302" t="s">
        <v>91</v>
      </c>
      <c r="B4033" s="291" t="s">
        <v>22957</v>
      </c>
      <c r="C4033" s="292" t="s">
        <v>48</v>
      </c>
      <c r="D4033" s="293">
        <f t="shared" si="2"/>
        <v>1</v>
      </c>
      <c r="E4033" s="294" t="s">
        <v>23673</v>
      </c>
      <c r="F4033" s="295" t="str">
        <f>IFERROR(__xludf.DUMMYFUNCTION("IF(B4033="""","""",IFERROR(VLOOKUP(TO_TEXT(B4033),PEDIDOS!D:I,6,0),IFERROR(VLOOKUP(B4033*1,PEDIDOS!D:I,6,0),"" "")))"),"ENTREGUE")</f>
        <v>ENTREGUE</v>
      </c>
      <c r="G4033" s="307"/>
      <c r="H4033" s="304"/>
    </row>
    <row r="4034">
      <c r="A4034" s="302" t="s">
        <v>91</v>
      </c>
      <c r="B4034" s="291" t="s">
        <v>22963</v>
      </c>
      <c r="C4034" s="292" t="s">
        <v>48</v>
      </c>
      <c r="D4034" s="293">
        <f t="shared" si="2"/>
        <v>1</v>
      </c>
      <c r="E4034" s="294" t="s">
        <v>23673</v>
      </c>
      <c r="F4034" s="295" t="str">
        <f>IFERROR(__xludf.DUMMYFUNCTION("IF(B4034="""","""",IFERROR(VLOOKUP(TO_TEXT(B4034),PEDIDOS!D:I,6,0),IFERROR(VLOOKUP(B4034*1,PEDIDOS!D:I,6,0),"" "")))"),"FINALIZADO")</f>
        <v>FINALIZADO</v>
      </c>
      <c r="G4034" s="307"/>
      <c r="H4034" s="304"/>
    </row>
    <row r="4035">
      <c r="A4035" s="302" t="s">
        <v>91</v>
      </c>
      <c r="B4035" s="291" t="s">
        <v>22971</v>
      </c>
      <c r="C4035" s="292" t="s">
        <v>48</v>
      </c>
      <c r="D4035" s="293">
        <f t="shared" si="2"/>
        <v>1</v>
      </c>
      <c r="E4035" s="294" t="s">
        <v>23673</v>
      </c>
      <c r="F4035" s="295" t="str">
        <f>IFERROR(__xludf.DUMMYFUNCTION("IF(B4035="""","""",IFERROR(VLOOKUP(TO_TEXT(B4035),PEDIDOS!D:I,6,0),IFERROR(VLOOKUP(B4035*1,PEDIDOS!D:I,6,0),"" "")))"),"ENTREGUE")</f>
        <v>ENTREGUE</v>
      </c>
      <c r="G4035" s="307"/>
      <c r="H4035" s="304"/>
    </row>
    <row r="4036">
      <c r="A4036" s="302" t="s">
        <v>91</v>
      </c>
      <c r="B4036" s="291" t="s">
        <v>23694</v>
      </c>
      <c r="C4036" s="292" t="s">
        <v>48</v>
      </c>
      <c r="D4036" s="293">
        <f t="shared" si="2"/>
        <v>0</v>
      </c>
      <c r="E4036" s="294" t="s">
        <v>23673</v>
      </c>
      <c r="F4036" s="295" t="str">
        <f>IFERROR(__xludf.DUMMYFUNCTION("IF(B4036="""","""",IFERROR(VLOOKUP(TO_TEXT(B4036),PEDIDOS!D:I,6,0),IFERROR(VLOOKUP(B4036*1,PEDIDOS!D:I,6,0),"" "")))")," ")</f>
        <v> </v>
      </c>
      <c r="G4036" s="307"/>
      <c r="H4036" s="304"/>
    </row>
    <row r="4037">
      <c r="A4037" s="302" t="s">
        <v>91</v>
      </c>
      <c r="B4037" s="291" t="s">
        <v>23695</v>
      </c>
      <c r="C4037" s="292" t="s">
        <v>48</v>
      </c>
      <c r="D4037" s="293">
        <f t="shared" si="2"/>
        <v>0</v>
      </c>
      <c r="E4037" s="294" t="s">
        <v>23673</v>
      </c>
      <c r="F4037" s="295" t="str">
        <f>IFERROR(__xludf.DUMMYFUNCTION("IF(B4037="""","""",IFERROR(VLOOKUP(TO_TEXT(B4037),PEDIDOS!D:I,6,0),IFERROR(VLOOKUP(B4037*1,PEDIDOS!D:I,6,0),"" "")))")," ")</f>
        <v> </v>
      </c>
      <c r="G4037" s="307"/>
      <c r="H4037" s="304"/>
    </row>
    <row r="4038">
      <c r="A4038" s="302" t="s">
        <v>91</v>
      </c>
      <c r="B4038" s="291" t="s">
        <v>23696</v>
      </c>
      <c r="C4038" s="292" t="s">
        <v>48</v>
      </c>
      <c r="D4038" s="293">
        <f t="shared" si="2"/>
        <v>0</v>
      </c>
      <c r="E4038" s="294" t="s">
        <v>23673</v>
      </c>
      <c r="F4038" s="295" t="str">
        <f>IFERROR(__xludf.DUMMYFUNCTION("IF(B4038="""","""",IFERROR(VLOOKUP(TO_TEXT(B4038),PEDIDOS!D:I,6,0),IFERROR(VLOOKUP(B4038*1,PEDIDOS!D:I,6,0),"" "")))")," ")</f>
        <v> </v>
      </c>
      <c r="G4038" s="307"/>
      <c r="H4038" s="304"/>
    </row>
    <row r="4039">
      <c r="A4039" s="302" t="s">
        <v>91</v>
      </c>
      <c r="B4039" s="291" t="s">
        <v>23697</v>
      </c>
      <c r="C4039" s="292" t="s">
        <v>48</v>
      </c>
      <c r="D4039" s="293">
        <f t="shared" si="2"/>
        <v>0</v>
      </c>
      <c r="E4039" s="294" t="s">
        <v>23673</v>
      </c>
      <c r="F4039" s="295" t="str">
        <f>IFERROR(__xludf.DUMMYFUNCTION("IF(B4039="""","""",IFERROR(VLOOKUP(TO_TEXT(B4039),PEDIDOS!D:I,6,0),IFERROR(VLOOKUP(B4039*1,PEDIDOS!D:I,6,0),"" "")))")," ")</f>
        <v> </v>
      </c>
      <c r="G4039" s="307"/>
      <c r="H4039" s="304"/>
    </row>
    <row r="4040">
      <c r="A4040" s="302" t="s">
        <v>91</v>
      </c>
      <c r="B4040" s="291" t="s">
        <v>23698</v>
      </c>
      <c r="C4040" s="292" t="s">
        <v>48</v>
      </c>
      <c r="D4040" s="293">
        <f t="shared" si="2"/>
        <v>0</v>
      </c>
      <c r="E4040" s="294" t="s">
        <v>23673</v>
      </c>
      <c r="F4040" s="295" t="str">
        <f>IFERROR(__xludf.DUMMYFUNCTION("IF(B4040="""","""",IFERROR(VLOOKUP(TO_TEXT(B4040),PEDIDOS!D:I,6,0),IFERROR(VLOOKUP(B4040*1,PEDIDOS!D:I,6,0),"" "")))")," ")</f>
        <v> </v>
      </c>
      <c r="G4040" s="307"/>
      <c r="H4040" s="304"/>
    </row>
    <row r="4041">
      <c r="A4041" s="302" t="s">
        <v>91</v>
      </c>
      <c r="B4041" s="291" t="s">
        <v>23699</v>
      </c>
      <c r="C4041" s="292" t="s">
        <v>48</v>
      </c>
      <c r="D4041" s="293">
        <f t="shared" si="2"/>
        <v>0</v>
      </c>
      <c r="E4041" s="294" t="s">
        <v>23673</v>
      </c>
      <c r="F4041" s="295" t="str">
        <f>IFERROR(__xludf.DUMMYFUNCTION("IF(B4041="""","""",IFERROR(VLOOKUP(TO_TEXT(B4041),PEDIDOS!D:I,6,0),IFERROR(VLOOKUP(B4041*1,PEDIDOS!D:I,6,0),"" "")))")," ")</f>
        <v> </v>
      </c>
      <c r="G4041" s="307"/>
      <c r="H4041" s="304"/>
    </row>
    <row r="4042">
      <c r="A4042" s="302" t="s">
        <v>91</v>
      </c>
      <c r="B4042" s="291" t="s">
        <v>23700</v>
      </c>
      <c r="C4042" s="292" t="s">
        <v>48</v>
      </c>
      <c r="D4042" s="293">
        <f t="shared" si="2"/>
        <v>0</v>
      </c>
      <c r="E4042" s="294" t="s">
        <v>23673</v>
      </c>
      <c r="F4042" s="295" t="str">
        <f>IFERROR(__xludf.DUMMYFUNCTION("IF(B4042="""","""",IFERROR(VLOOKUP(TO_TEXT(B4042),PEDIDOS!D:I,6,0),IFERROR(VLOOKUP(B4042*1,PEDIDOS!D:I,6,0),"" "")))")," ")</f>
        <v> </v>
      </c>
      <c r="G4042" s="307"/>
      <c r="H4042" s="304"/>
    </row>
    <row r="4043">
      <c r="A4043" s="302" t="s">
        <v>91</v>
      </c>
      <c r="B4043" s="291" t="s">
        <v>23701</v>
      </c>
      <c r="C4043" s="292" t="s">
        <v>48</v>
      </c>
      <c r="D4043" s="293">
        <f t="shared" si="2"/>
        <v>0</v>
      </c>
      <c r="E4043" s="294" t="s">
        <v>23673</v>
      </c>
      <c r="F4043" s="295" t="str">
        <f>IFERROR(__xludf.DUMMYFUNCTION("IF(B4043="""","""",IFERROR(VLOOKUP(TO_TEXT(B4043),PEDIDOS!D:I,6,0),IFERROR(VLOOKUP(B4043*1,PEDIDOS!D:I,6,0),"" "")))")," ")</f>
        <v> </v>
      </c>
      <c r="G4043" s="307"/>
      <c r="H4043" s="304"/>
    </row>
    <row r="4044">
      <c r="A4044" s="302" t="s">
        <v>91</v>
      </c>
      <c r="B4044" s="291" t="s">
        <v>23702</v>
      </c>
      <c r="C4044" s="292" t="s">
        <v>48</v>
      </c>
      <c r="D4044" s="293">
        <f t="shared" si="2"/>
        <v>0</v>
      </c>
      <c r="E4044" s="294" t="s">
        <v>23673</v>
      </c>
      <c r="F4044" s="295" t="str">
        <f>IFERROR(__xludf.DUMMYFUNCTION("IF(B4044="""","""",IFERROR(VLOOKUP(TO_TEXT(B4044),PEDIDOS!D:I,6,0),IFERROR(VLOOKUP(B4044*1,PEDIDOS!D:I,6,0),"" "")))")," ")</f>
        <v> </v>
      </c>
      <c r="G4044" s="307"/>
      <c r="H4044" s="304"/>
    </row>
    <row r="4045">
      <c r="A4045" s="302" t="s">
        <v>91</v>
      </c>
      <c r="B4045" s="291" t="s">
        <v>23703</v>
      </c>
      <c r="C4045" s="292" t="s">
        <v>48</v>
      </c>
      <c r="D4045" s="293">
        <f t="shared" si="2"/>
        <v>0</v>
      </c>
      <c r="E4045" s="294" t="s">
        <v>23673</v>
      </c>
      <c r="F4045" s="295" t="str">
        <f>IFERROR(__xludf.DUMMYFUNCTION("IF(B4045="""","""",IFERROR(VLOOKUP(TO_TEXT(B4045),PEDIDOS!D:I,6,0),IFERROR(VLOOKUP(B4045*1,PEDIDOS!D:I,6,0),"" "")))")," ")</f>
        <v> </v>
      </c>
      <c r="G4045" s="307"/>
      <c r="H4045" s="304"/>
    </row>
    <row r="4046">
      <c r="A4046" s="302" t="s">
        <v>91</v>
      </c>
      <c r="B4046" s="291" t="s">
        <v>23704</v>
      </c>
      <c r="C4046" s="292" t="s">
        <v>48</v>
      </c>
      <c r="D4046" s="293">
        <f t="shared" si="2"/>
        <v>0</v>
      </c>
      <c r="E4046" s="294" t="s">
        <v>23673</v>
      </c>
      <c r="F4046" s="295" t="str">
        <f>IFERROR(__xludf.DUMMYFUNCTION("IF(B4046="""","""",IFERROR(VLOOKUP(TO_TEXT(B4046),PEDIDOS!D:I,6,0),IFERROR(VLOOKUP(B4046*1,PEDIDOS!D:I,6,0),"" "")))")," ")</f>
        <v> </v>
      </c>
      <c r="G4046" s="307"/>
      <c r="H4046" s="304"/>
    </row>
    <row r="4047">
      <c r="A4047" s="302" t="s">
        <v>91</v>
      </c>
      <c r="B4047" s="291" t="s">
        <v>23705</v>
      </c>
      <c r="C4047" s="292" t="s">
        <v>48</v>
      </c>
      <c r="D4047" s="293">
        <f t="shared" si="2"/>
        <v>0</v>
      </c>
      <c r="E4047" s="294" t="s">
        <v>23673</v>
      </c>
      <c r="F4047" s="295" t="str">
        <f>IFERROR(__xludf.DUMMYFUNCTION("IF(B4047="""","""",IFERROR(VLOOKUP(TO_TEXT(B4047),PEDIDOS!D:I,6,0),IFERROR(VLOOKUP(B4047*1,PEDIDOS!D:I,6,0),"" "")))")," ")</f>
        <v> </v>
      </c>
      <c r="G4047" s="307"/>
      <c r="H4047" s="304"/>
    </row>
    <row r="4048">
      <c r="A4048" s="302" t="s">
        <v>91</v>
      </c>
      <c r="B4048" s="291" t="s">
        <v>23706</v>
      </c>
      <c r="C4048" s="292" t="s">
        <v>48</v>
      </c>
      <c r="D4048" s="293">
        <f t="shared" si="2"/>
        <v>0</v>
      </c>
      <c r="E4048" s="294" t="s">
        <v>23673</v>
      </c>
      <c r="F4048" s="295" t="str">
        <f>IFERROR(__xludf.DUMMYFUNCTION("IF(B4048="""","""",IFERROR(VLOOKUP(TO_TEXT(B4048),PEDIDOS!D:I,6,0),IFERROR(VLOOKUP(B4048*1,PEDIDOS!D:I,6,0),"" "")))")," ")</f>
        <v> </v>
      </c>
      <c r="G4048" s="307"/>
      <c r="H4048" s="304"/>
    </row>
    <row r="4049">
      <c r="A4049" s="302" t="s">
        <v>91</v>
      </c>
      <c r="B4049" s="291" t="s">
        <v>23707</v>
      </c>
      <c r="C4049" s="292" t="s">
        <v>48</v>
      </c>
      <c r="D4049" s="293">
        <f t="shared" si="2"/>
        <v>0</v>
      </c>
      <c r="E4049" s="294" t="s">
        <v>23673</v>
      </c>
      <c r="F4049" s="295" t="str">
        <f>IFERROR(__xludf.DUMMYFUNCTION("IF(B4049="""","""",IFERROR(VLOOKUP(TO_TEXT(B4049),PEDIDOS!D:I,6,0),IFERROR(VLOOKUP(B4049*1,PEDIDOS!D:I,6,0),"" "")))")," ")</f>
        <v> </v>
      </c>
      <c r="G4049" s="307"/>
      <c r="H4049" s="304"/>
    </row>
    <row r="4050">
      <c r="A4050" s="302" t="s">
        <v>91</v>
      </c>
      <c r="B4050" s="291" t="s">
        <v>23708</v>
      </c>
      <c r="C4050" s="292" t="s">
        <v>48</v>
      </c>
      <c r="D4050" s="293">
        <f t="shared" si="2"/>
        <v>0</v>
      </c>
      <c r="E4050" s="294" t="s">
        <v>23673</v>
      </c>
      <c r="F4050" s="295" t="str">
        <f>IFERROR(__xludf.DUMMYFUNCTION("IF(B4050="""","""",IFERROR(VLOOKUP(TO_TEXT(B4050),PEDIDOS!D:I,6,0),IFERROR(VLOOKUP(B4050*1,PEDIDOS!D:I,6,0),"" "")))")," ")</f>
        <v> </v>
      </c>
      <c r="G4050" s="307"/>
      <c r="H4050" s="304"/>
    </row>
    <row r="4051">
      <c r="A4051" s="302" t="s">
        <v>91</v>
      </c>
      <c r="B4051" s="291" t="s">
        <v>23709</v>
      </c>
      <c r="C4051" s="292" t="s">
        <v>48</v>
      </c>
      <c r="D4051" s="293">
        <f t="shared" si="2"/>
        <v>0</v>
      </c>
      <c r="E4051" s="294" t="s">
        <v>23673</v>
      </c>
      <c r="F4051" s="295" t="str">
        <f>IFERROR(__xludf.DUMMYFUNCTION("IF(B4051="""","""",IFERROR(VLOOKUP(TO_TEXT(B4051),PEDIDOS!D:I,6,0),IFERROR(VLOOKUP(B4051*1,PEDIDOS!D:I,6,0),"" "")))")," ")</f>
        <v> </v>
      </c>
      <c r="G4051" s="307"/>
      <c r="H4051" s="304"/>
    </row>
    <row r="4052">
      <c r="A4052" s="302" t="s">
        <v>91</v>
      </c>
      <c r="B4052" s="291" t="s">
        <v>23710</v>
      </c>
      <c r="C4052" s="292" t="s">
        <v>48</v>
      </c>
      <c r="D4052" s="293">
        <f t="shared" si="2"/>
        <v>0</v>
      </c>
      <c r="E4052" s="294" t="s">
        <v>23673</v>
      </c>
      <c r="F4052" s="295" t="str">
        <f>IFERROR(__xludf.DUMMYFUNCTION("IF(B4052="""","""",IFERROR(VLOOKUP(TO_TEXT(B4052),PEDIDOS!D:I,6,0),IFERROR(VLOOKUP(B4052*1,PEDIDOS!D:I,6,0),"" "")))")," ")</f>
        <v> </v>
      </c>
      <c r="G4052" s="307"/>
      <c r="H4052" s="304"/>
    </row>
    <row r="4053">
      <c r="A4053" s="302" t="s">
        <v>91</v>
      </c>
      <c r="B4053" s="291" t="s">
        <v>23711</v>
      </c>
      <c r="C4053" s="292" t="s">
        <v>48</v>
      </c>
      <c r="D4053" s="293">
        <f t="shared" si="2"/>
        <v>0</v>
      </c>
      <c r="E4053" s="294" t="s">
        <v>23673</v>
      </c>
      <c r="F4053" s="295" t="str">
        <f>IFERROR(__xludf.DUMMYFUNCTION("IF(B4053="""","""",IFERROR(VLOOKUP(TO_TEXT(B4053),PEDIDOS!D:I,6,0),IFERROR(VLOOKUP(B4053*1,PEDIDOS!D:I,6,0),"" "")))")," ")</f>
        <v> </v>
      </c>
      <c r="G4053" s="307"/>
      <c r="H4053" s="304"/>
    </row>
    <row r="4054">
      <c r="A4054" s="302" t="s">
        <v>91</v>
      </c>
      <c r="B4054" s="291" t="s">
        <v>23712</v>
      </c>
      <c r="C4054" s="292" t="s">
        <v>48</v>
      </c>
      <c r="D4054" s="293">
        <f t="shared" si="2"/>
        <v>0</v>
      </c>
      <c r="E4054" s="294" t="s">
        <v>23673</v>
      </c>
      <c r="F4054" s="295" t="str">
        <f>IFERROR(__xludf.DUMMYFUNCTION("IF(B4054="""","""",IFERROR(VLOOKUP(TO_TEXT(B4054),PEDIDOS!D:I,6,0),IFERROR(VLOOKUP(B4054*1,PEDIDOS!D:I,6,0),"" "")))")," ")</f>
        <v> </v>
      </c>
      <c r="G4054" s="307"/>
      <c r="H4054" s="304"/>
    </row>
    <row r="4055">
      <c r="A4055" s="302" t="s">
        <v>91</v>
      </c>
      <c r="B4055" s="291" t="s">
        <v>23713</v>
      </c>
      <c r="C4055" s="292" t="s">
        <v>48</v>
      </c>
      <c r="D4055" s="293">
        <f t="shared" si="2"/>
        <v>0</v>
      </c>
      <c r="E4055" s="294" t="s">
        <v>23673</v>
      </c>
      <c r="F4055" s="295" t="str">
        <f>IFERROR(__xludf.DUMMYFUNCTION("IF(B4055="""","""",IFERROR(VLOOKUP(TO_TEXT(B4055),PEDIDOS!D:I,6,0),IFERROR(VLOOKUP(B4055*1,PEDIDOS!D:I,6,0),"" "")))")," ")</f>
        <v> </v>
      </c>
      <c r="G4055" s="307"/>
      <c r="H4055" s="304"/>
    </row>
    <row r="4056">
      <c r="A4056" s="302" t="s">
        <v>91</v>
      </c>
      <c r="B4056" s="291" t="s">
        <v>23714</v>
      </c>
      <c r="C4056" s="292" t="s">
        <v>48</v>
      </c>
      <c r="D4056" s="293">
        <f t="shared" si="2"/>
        <v>0</v>
      </c>
      <c r="E4056" s="294" t="s">
        <v>23673</v>
      </c>
      <c r="F4056" s="295" t="str">
        <f>IFERROR(__xludf.DUMMYFUNCTION("IF(B4056="""","""",IFERROR(VLOOKUP(TO_TEXT(B4056),PEDIDOS!D:I,6,0),IFERROR(VLOOKUP(B4056*1,PEDIDOS!D:I,6,0),"" "")))")," ")</f>
        <v> </v>
      </c>
      <c r="G4056" s="307"/>
      <c r="H4056" s="304"/>
    </row>
    <row r="4057">
      <c r="A4057" s="302" t="s">
        <v>91</v>
      </c>
      <c r="B4057" s="291" t="s">
        <v>23715</v>
      </c>
      <c r="C4057" s="292" t="s">
        <v>48</v>
      </c>
      <c r="D4057" s="293">
        <f t="shared" si="2"/>
        <v>0</v>
      </c>
      <c r="E4057" s="294" t="s">
        <v>23673</v>
      </c>
      <c r="F4057" s="295" t="str">
        <f>IFERROR(__xludf.DUMMYFUNCTION("IF(B4057="""","""",IFERROR(VLOOKUP(TO_TEXT(B4057),PEDIDOS!D:I,6,0),IFERROR(VLOOKUP(B4057*1,PEDIDOS!D:I,6,0),"" "")))")," ")</f>
        <v> </v>
      </c>
      <c r="G4057" s="307"/>
      <c r="H4057" s="304"/>
    </row>
    <row r="4058">
      <c r="A4058" s="302" t="s">
        <v>91</v>
      </c>
      <c r="B4058" s="291" t="s">
        <v>23716</v>
      </c>
      <c r="C4058" s="292" t="s">
        <v>48</v>
      </c>
      <c r="D4058" s="293">
        <f t="shared" si="2"/>
        <v>0</v>
      </c>
      <c r="E4058" s="294" t="s">
        <v>23673</v>
      </c>
      <c r="F4058" s="295" t="str">
        <f>IFERROR(__xludf.DUMMYFUNCTION("IF(B4058="""","""",IFERROR(VLOOKUP(TO_TEXT(B4058),PEDIDOS!D:I,6,0),IFERROR(VLOOKUP(B4058*1,PEDIDOS!D:I,6,0),"" "")))")," ")</f>
        <v> </v>
      </c>
      <c r="G4058" s="307"/>
      <c r="H4058" s="304"/>
    </row>
    <row r="4059">
      <c r="A4059" s="302" t="s">
        <v>91</v>
      </c>
      <c r="B4059" s="291" t="s">
        <v>23717</v>
      </c>
      <c r="C4059" s="292" t="s">
        <v>48</v>
      </c>
      <c r="D4059" s="293">
        <f t="shared" si="2"/>
        <v>0</v>
      </c>
      <c r="E4059" s="294" t="s">
        <v>23673</v>
      </c>
      <c r="F4059" s="295" t="str">
        <f>IFERROR(__xludf.DUMMYFUNCTION("IF(B4059="""","""",IFERROR(VLOOKUP(TO_TEXT(B4059),PEDIDOS!D:I,6,0),IFERROR(VLOOKUP(B4059*1,PEDIDOS!D:I,6,0),"" "")))")," ")</f>
        <v> </v>
      </c>
      <c r="G4059" s="307"/>
      <c r="H4059" s="304"/>
    </row>
    <row r="4060">
      <c r="A4060" s="302" t="s">
        <v>91</v>
      </c>
      <c r="B4060" s="291" t="s">
        <v>23718</v>
      </c>
      <c r="C4060" s="292" t="s">
        <v>48</v>
      </c>
      <c r="D4060" s="293">
        <f t="shared" si="2"/>
        <v>0</v>
      </c>
      <c r="E4060" s="294" t="s">
        <v>23673</v>
      </c>
      <c r="F4060" s="295" t="str">
        <f>IFERROR(__xludf.DUMMYFUNCTION("IF(B4060="""","""",IFERROR(VLOOKUP(TO_TEXT(B4060),PEDIDOS!D:I,6,0),IFERROR(VLOOKUP(B4060*1,PEDIDOS!D:I,6,0),"" "")))")," ")</f>
        <v> </v>
      </c>
      <c r="G4060" s="307"/>
      <c r="H4060" s="304"/>
    </row>
    <row r="4061">
      <c r="A4061" s="302" t="s">
        <v>91</v>
      </c>
      <c r="B4061" s="291" t="s">
        <v>23719</v>
      </c>
      <c r="C4061" s="292" t="s">
        <v>48</v>
      </c>
      <c r="D4061" s="293">
        <f t="shared" si="2"/>
        <v>0</v>
      </c>
      <c r="E4061" s="294" t="s">
        <v>23673</v>
      </c>
      <c r="F4061" s="295" t="str">
        <f>IFERROR(__xludf.DUMMYFUNCTION("IF(B4061="""","""",IFERROR(VLOOKUP(TO_TEXT(B4061),PEDIDOS!D:I,6,0),IFERROR(VLOOKUP(B4061*1,PEDIDOS!D:I,6,0),"" "")))")," ")</f>
        <v> </v>
      </c>
      <c r="G4061" s="307"/>
      <c r="H4061" s="304"/>
    </row>
    <row r="4062">
      <c r="A4062" s="302" t="s">
        <v>91</v>
      </c>
      <c r="B4062" s="291" t="s">
        <v>23720</v>
      </c>
      <c r="C4062" s="292" t="s">
        <v>48</v>
      </c>
      <c r="D4062" s="293">
        <f t="shared" si="2"/>
        <v>0</v>
      </c>
      <c r="E4062" s="294" t="s">
        <v>23673</v>
      </c>
      <c r="F4062" s="295" t="str">
        <f>IFERROR(__xludf.DUMMYFUNCTION("IF(B4062="""","""",IFERROR(VLOOKUP(TO_TEXT(B4062),PEDIDOS!D:I,6,0),IFERROR(VLOOKUP(B4062*1,PEDIDOS!D:I,6,0),"" "")))")," ")</f>
        <v> </v>
      </c>
      <c r="G4062" s="307"/>
      <c r="H4062" s="304"/>
    </row>
    <row r="4063">
      <c r="A4063" s="302" t="s">
        <v>91</v>
      </c>
      <c r="B4063" s="291" t="s">
        <v>23721</v>
      </c>
      <c r="C4063" s="292" t="s">
        <v>48</v>
      </c>
      <c r="D4063" s="293">
        <f t="shared" si="2"/>
        <v>0</v>
      </c>
      <c r="E4063" s="294" t="s">
        <v>23673</v>
      </c>
      <c r="F4063" s="295" t="str">
        <f>IFERROR(__xludf.DUMMYFUNCTION("IF(B4063="""","""",IFERROR(VLOOKUP(TO_TEXT(B4063),PEDIDOS!D:I,6,0),IFERROR(VLOOKUP(B4063*1,PEDIDOS!D:I,6,0),"" "")))")," ")</f>
        <v> </v>
      </c>
      <c r="G4063" s="307"/>
      <c r="H4063" s="304"/>
    </row>
    <row r="4064">
      <c r="A4064" s="302" t="s">
        <v>91</v>
      </c>
      <c r="B4064" s="291" t="s">
        <v>23722</v>
      </c>
      <c r="C4064" s="292" t="s">
        <v>48</v>
      </c>
      <c r="D4064" s="293">
        <f t="shared" si="2"/>
        <v>0</v>
      </c>
      <c r="E4064" s="294" t="s">
        <v>23673</v>
      </c>
      <c r="F4064" s="295" t="str">
        <f>IFERROR(__xludf.DUMMYFUNCTION("IF(B4064="""","""",IFERROR(VLOOKUP(TO_TEXT(B4064),PEDIDOS!D:I,6,0),IFERROR(VLOOKUP(B4064*1,PEDIDOS!D:I,6,0),"" "")))")," ")</f>
        <v> </v>
      </c>
      <c r="G4064" s="307"/>
      <c r="H4064" s="304"/>
    </row>
    <row r="4065">
      <c r="A4065" s="302" t="s">
        <v>91</v>
      </c>
      <c r="B4065" s="291" t="s">
        <v>23723</v>
      </c>
      <c r="C4065" s="292" t="s">
        <v>48</v>
      </c>
      <c r="D4065" s="293">
        <f t="shared" si="2"/>
        <v>0</v>
      </c>
      <c r="E4065" s="294" t="s">
        <v>23673</v>
      </c>
      <c r="F4065" s="295" t="str">
        <f>IFERROR(__xludf.DUMMYFUNCTION("IF(B4065="""","""",IFERROR(VLOOKUP(TO_TEXT(B4065),PEDIDOS!D:I,6,0),IFERROR(VLOOKUP(B4065*1,PEDIDOS!D:I,6,0),"" "")))")," ")</f>
        <v> </v>
      </c>
      <c r="G4065" s="307"/>
      <c r="H4065" s="304"/>
    </row>
    <row r="4066">
      <c r="A4066" s="302" t="s">
        <v>91</v>
      </c>
      <c r="B4066" s="291" t="s">
        <v>23724</v>
      </c>
      <c r="C4066" s="292" t="s">
        <v>48</v>
      </c>
      <c r="D4066" s="293">
        <f t="shared" si="2"/>
        <v>0</v>
      </c>
      <c r="E4066" s="294" t="s">
        <v>23673</v>
      </c>
      <c r="F4066" s="295" t="str">
        <f>IFERROR(__xludf.DUMMYFUNCTION("IF(B4066="""","""",IFERROR(VLOOKUP(TO_TEXT(B4066),PEDIDOS!D:I,6,0),IFERROR(VLOOKUP(B4066*1,PEDIDOS!D:I,6,0),"" "")))")," ")</f>
        <v> </v>
      </c>
      <c r="G4066" s="307"/>
      <c r="H4066" s="304"/>
    </row>
    <row r="4067">
      <c r="A4067" s="302" t="s">
        <v>91</v>
      </c>
      <c r="B4067" s="291" t="s">
        <v>23725</v>
      </c>
      <c r="C4067" s="292" t="s">
        <v>48</v>
      </c>
      <c r="D4067" s="293">
        <f t="shared" si="2"/>
        <v>0</v>
      </c>
      <c r="E4067" s="294" t="s">
        <v>23673</v>
      </c>
      <c r="F4067" s="295" t="str">
        <f>IFERROR(__xludf.DUMMYFUNCTION("IF(B4067="""","""",IFERROR(VLOOKUP(TO_TEXT(B4067),PEDIDOS!D:I,6,0),IFERROR(VLOOKUP(B4067*1,PEDIDOS!D:I,6,0),"" "")))")," ")</f>
        <v> </v>
      </c>
      <c r="G4067" s="307"/>
      <c r="H4067" s="304"/>
    </row>
    <row r="4068">
      <c r="A4068" s="302" t="s">
        <v>91</v>
      </c>
      <c r="B4068" s="291" t="s">
        <v>23726</v>
      </c>
      <c r="C4068" s="292" t="s">
        <v>48</v>
      </c>
      <c r="D4068" s="293">
        <f t="shared" si="2"/>
        <v>0</v>
      </c>
      <c r="E4068" s="294" t="s">
        <v>23673</v>
      </c>
      <c r="F4068" s="295" t="str">
        <f>IFERROR(__xludf.DUMMYFUNCTION("IF(B4068="""","""",IFERROR(VLOOKUP(TO_TEXT(B4068),PEDIDOS!D:I,6,0),IFERROR(VLOOKUP(B4068*1,PEDIDOS!D:I,6,0),"" "")))")," ")</f>
        <v> </v>
      </c>
      <c r="G4068" s="307"/>
      <c r="H4068" s="304"/>
    </row>
    <row r="4069">
      <c r="A4069" s="302" t="s">
        <v>91</v>
      </c>
      <c r="B4069" s="291" t="s">
        <v>23727</v>
      </c>
      <c r="C4069" s="292" t="s">
        <v>48</v>
      </c>
      <c r="D4069" s="293">
        <f t="shared" si="2"/>
        <v>0</v>
      </c>
      <c r="E4069" s="294" t="s">
        <v>23673</v>
      </c>
      <c r="F4069" s="295" t="str">
        <f>IFERROR(__xludf.DUMMYFUNCTION("IF(B4069="""","""",IFERROR(VLOOKUP(TO_TEXT(B4069),PEDIDOS!D:I,6,0),IFERROR(VLOOKUP(B4069*1,PEDIDOS!D:I,6,0),"" "")))")," ")</f>
        <v> </v>
      </c>
      <c r="G4069" s="307"/>
      <c r="H4069" s="304"/>
    </row>
    <row r="4070">
      <c r="A4070" s="302" t="s">
        <v>91</v>
      </c>
      <c r="B4070" s="291" t="s">
        <v>23728</v>
      </c>
      <c r="C4070" s="292" t="s">
        <v>48</v>
      </c>
      <c r="D4070" s="293">
        <f t="shared" si="2"/>
        <v>0</v>
      </c>
      <c r="E4070" s="294" t="s">
        <v>23673</v>
      </c>
      <c r="F4070" s="295" t="str">
        <f>IFERROR(__xludf.DUMMYFUNCTION("IF(B4070="""","""",IFERROR(VLOOKUP(TO_TEXT(B4070),PEDIDOS!D:I,6,0),IFERROR(VLOOKUP(B4070*1,PEDIDOS!D:I,6,0),"" "")))")," ")</f>
        <v> </v>
      </c>
      <c r="G4070" s="307"/>
      <c r="H4070" s="304"/>
    </row>
    <row r="4071">
      <c r="A4071" s="302" t="s">
        <v>91</v>
      </c>
      <c r="B4071" s="291" t="s">
        <v>23729</v>
      </c>
      <c r="C4071" s="292" t="s">
        <v>48</v>
      </c>
      <c r="D4071" s="293">
        <f t="shared" si="2"/>
        <v>0</v>
      </c>
      <c r="E4071" s="294" t="s">
        <v>23673</v>
      </c>
      <c r="F4071" s="295" t="str">
        <f>IFERROR(__xludf.DUMMYFUNCTION("IF(B4071="""","""",IFERROR(VLOOKUP(TO_TEXT(B4071),PEDIDOS!D:I,6,0),IFERROR(VLOOKUP(B4071*1,PEDIDOS!D:I,6,0),"" "")))")," ")</f>
        <v> </v>
      </c>
      <c r="G4071" s="307"/>
      <c r="H4071" s="304"/>
    </row>
    <row r="4072">
      <c r="A4072" s="302" t="s">
        <v>91</v>
      </c>
      <c r="B4072" s="291" t="s">
        <v>23730</v>
      </c>
      <c r="C4072" s="292" t="s">
        <v>48</v>
      </c>
      <c r="D4072" s="293">
        <f t="shared" si="2"/>
        <v>0</v>
      </c>
      <c r="E4072" s="294" t="s">
        <v>23673</v>
      </c>
      <c r="F4072" s="295" t="str">
        <f>IFERROR(__xludf.DUMMYFUNCTION("IF(B4072="""","""",IFERROR(VLOOKUP(TO_TEXT(B4072),PEDIDOS!D:I,6,0),IFERROR(VLOOKUP(B4072*1,PEDIDOS!D:I,6,0),"" "")))")," ")</f>
        <v> </v>
      </c>
      <c r="G4072" s="307"/>
      <c r="H4072" s="304"/>
    </row>
    <row r="4073">
      <c r="A4073" s="302" t="s">
        <v>91</v>
      </c>
      <c r="B4073" s="291" t="s">
        <v>23731</v>
      </c>
      <c r="C4073" s="292" t="s">
        <v>48</v>
      </c>
      <c r="D4073" s="293">
        <f t="shared" si="2"/>
        <v>0</v>
      </c>
      <c r="E4073" s="294" t="s">
        <v>23673</v>
      </c>
      <c r="F4073" s="295" t="str">
        <f>IFERROR(__xludf.DUMMYFUNCTION("IF(B4073="""","""",IFERROR(VLOOKUP(TO_TEXT(B4073),PEDIDOS!D:I,6,0),IFERROR(VLOOKUP(B4073*1,PEDIDOS!D:I,6,0),"" "")))")," ")</f>
        <v> </v>
      </c>
      <c r="G4073" s="307"/>
      <c r="H4073" s="304"/>
    </row>
    <row r="4074">
      <c r="A4074" s="302" t="s">
        <v>91</v>
      </c>
      <c r="B4074" s="291" t="s">
        <v>23732</v>
      </c>
      <c r="C4074" s="292" t="s">
        <v>48</v>
      </c>
      <c r="D4074" s="293">
        <f t="shared" si="2"/>
        <v>0</v>
      </c>
      <c r="E4074" s="294" t="s">
        <v>23673</v>
      </c>
      <c r="F4074" s="295" t="str">
        <f>IFERROR(__xludf.DUMMYFUNCTION("IF(B4074="""","""",IFERROR(VLOOKUP(TO_TEXT(B4074),PEDIDOS!D:I,6,0),IFERROR(VLOOKUP(B4074*1,PEDIDOS!D:I,6,0),"" "")))")," ")</f>
        <v> </v>
      </c>
      <c r="G4074" s="307"/>
      <c r="H4074" s="304"/>
    </row>
    <row r="4075">
      <c r="A4075" s="302" t="s">
        <v>91</v>
      </c>
      <c r="B4075" s="291" t="s">
        <v>23733</v>
      </c>
      <c r="C4075" s="292" t="s">
        <v>48</v>
      </c>
      <c r="D4075" s="293">
        <f t="shared" si="2"/>
        <v>0</v>
      </c>
      <c r="E4075" s="294" t="s">
        <v>23673</v>
      </c>
      <c r="F4075" s="295" t="str">
        <f>IFERROR(__xludf.DUMMYFUNCTION("IF(B4075="""","""",IFERROR(VLOOKUP(TO_TEXT(B4075),PEDIDOS!D:I,6,0),IFERROR(VLOOKUP(B4075*1,PEDIDOS!D:I,6,0),"" "")))")," ")</f>
        <v> </v>
      </c>
      <c r="G4075" s="307"/>
      <c r="H4075" s="304"/>
    </row>
    <row r="4076">
      <c r="A4076" s="302" t="s">
        <v>91</v>
      </c>
      <c r="B4076" s="291" t="s">
        <v>23734</v>
      </c>
      <c r="C4076" s="292" t="s">
        <v>48</v>
      </c>
      <c r="D4076" s="293">
        <f t="shared" si="2"/>
        <v>0</v>
      </c>
      <c r="E4076" s="294" t="s">
        <v>23673</v>
      </c>
      <c r="F4076" s="295" t="str">
        <f>IFERROR(__xludf.DUMMYFUNCTION("IF(B4076="""","""",IFERROR(VLOOKUP(TO_TEXT(B4076),PEDIDOS!D:I,6,0),IFERROR(VLOOKUP(B4076*1,PEDIDOS!D:I,6,0),"" "")))")," ")</f>
        <v> </v>
      </c>
      <c r="G4076" s="307"/>
      <c r="H4076" s="304"/>
    </row>
    <row r="4077">
      <c r="A4077" s="302" t="s">
        <v>91</v>
      </c>
      <c r="B4077" s="291" t="s">
        <v>23735</v>
      </c>
      <c r="C4077" s="292" t="s">
        <v>48</v>
      </c>
      <c r="D4077" s="293">
        <f t="shared" si="2"/>
        <v>0</v>
      </c>
      <c r="E4077" s="294" t="s">
        <v>23673</v>
      </c>
      <c r="F4077" s="295" t="str">
        <f>IFERROR(__xludf.DUMMYFUNCTION("IF(B4077="""","""",IFERROR(VLOOKUP(TO_TEXT(B4077),PEDIDOS!D:I,6,0),IFERROR(VLOOKUP(B4077*1,PEDIDOS!D:I,6,0),"" "")))")," ")</f>
        <v> </v>
      </c>
      <c r="G4077" s="307"/>
      <c r="H4077" s="304"/>
    </row>
    <row r="4078">
      <c r="A4078" s="302" t="s">
        <v>91</v>
      </c>
      <c r="B4078" s="291" t="s">
        <v>23736</v>
      </c>
      <c r="C4078" s="292" t="s">
        <v>48</v>
      </c>
      <c r="D4078" s="293">
        <f t="shared" si="2"/>
        <v>0</v>
      </c>
      <c r="E4078" s="294" t="s">
        <v>23673</v>
      </c>
      <c r="F4078" s="295" t="str">
        <f>IFERROR(__xludf.DUMMYFUNCTION("IF(B4078="""","""",IFERROR(VLOOKUP(TO_TEXT(B4078),PEDIDOS!D:I,6,0),IFERROR(VLOOKUP(B4078*1,PEDIDOS!D:I,6,0),"" "")))")," ")</f>
        <v> </v>
      </c>
      <c r="G4078" s="307"/>
      <c r="H4078" s="304"/>
    </row>
    <row r="4079">
      <c r="A4079" s="302" t="s">
        <v>112</v>
      </c>
      <c r="B4079" s="291" t="s">
        <v>20964</v>
      </c>
      <c r="C4079" s="292" t="s">
        <v>48</v>
      </c>
      <c r="D4079" s="293">
        <f t="shared" si="2"/>
        <v>1</v>
      </c>
      <c r="E4079" s="294" t="s">
        <v>23673</v>
      </c>
      <c r="F4079" s="295" t="str">
        <f>IFERROR(__xludf.DUMMYFUNCTION("IF(B4079="""","""",IFERROR(VLOOKUP(TO_TEXT(B4079),PEDIDOS!D:I,6,0),IFERROR(VLOOKUP(B4079*1,PEDIDOS!D:I,6,0),"" "")))"),"ENTREGUE")</f>
        <v>ENTREGUE</v>
      </c>
      <c r="G4079" s="307"/>
      <c r="H4079" s="304"/>
    </row>
    <row r="4080">
      <c r="A4080" s="302" t="s">
        <v>112</v>
      </c>
      <c r="B4080" s="291" t="s">
        <v>22081</v>
      </c>
      <c r="C4080" s="292" t="s">
        <v>48</v>
      </c>
      <c r="D4080" s="293">
        <f t="shared" si="2"/>
        <v>1</v>
      </c>
      <c r="E4080" s="294" t="s">
        <v>23673</v>
      </c>
      <c r="F4080" s="295" t="str">
        <f>IFERROR(__xludf.DUMMYFUNCTION("IF(B4080="""","""",IFERROR(VLOOKUP(TO_TEXT(B4080),PEDIDOS!D:I,6,0),IFERROR(VLOOKUP(B4080*1,PEDIDOS!D:I,6,0),"" "")))"),"ENTREGUE")</f>
        <v>ENTREGUE</v>
      </c>
      <c r="G4080" s="307"/>
      <c r="H4080" s="304"/>
    </row>
    <row r="4081">
      <c r="A4081" s="302" t="s">
        <v>112</v>
      </c>
      <c r="B4081" s="291" t="s">
        <v>22214</v>
      </c>
      <c r="C4081" s="292" t="s">
        <v>48</v>
      </c>
      <c r="D4081" s="293">
        <f t="shared" si="2"/>
        <v>1</v>
      </c>
      <c r="E4081" s="294" t="s">
        <v>23673</v>
      </c>
      <c r="F4081" s="295" t="str">
        <f>IFERROR(__xludf.DUMMYFUNCTION("IF(B4081="""","""",IFERROR(VLOOKUP(TO_TEXT(B4081),PEDIDOS!D:I,6,0),IFERROR(VLOOKUP(B4081*1,PEDIDOS!D:I,6,0),"" "")))"),"ENTREGUE")</f>
        <v>ENTREGUE</v>
      </c>
      <c r="G4081" s="307"/>
      <c r="H4081" s="304"/>
    </row>
    <row r="4082">
      <c r="A4082" s="302" t="s">
        <v>112</v>
      </c>
      <c r="B4082" s="291" t="s">
        <v>21495</v>
      </c>
      <c r="C4082" s="292" t="s">
        <v>48</v>
      </c>
      <c r="D4082" s="293">
        <f t="shared" si="2"/>
        <v>1</v>
      </c>
      <c r="E4082" s="294" t="s">
        <v>23673</v>
      </c>
      <c r="F4082" s="295" t="str">
        <f>IFERROR(__xludf.DUMMYFUNCTION("IF(B4082="""","""",IFERROR(VLOOKUP(TO_TEXT(B4082),PEDIDOS!D:I,6,0),IFERROR(VLOOKUP(B4082*1,PEDIDOS!D:I,6,0),"" "")))"),"ENTREGUE")</f>
        <v>ENTREGUE</v>
      </c>
      <c r="G4082" s="307"/>
      <c r="H4082" s="304"/>
    </row>
    <row r="4083">
      <c r="A4083" s="302" t="s">
        <v>112</v>
      </c>
      <c r="B4083" s="291" t="s">
        <v>22116</v>
      </c>
      <c r="C4083" s="292" t="s">
        <v>48</v>
      </c>
      <c r="D4083" s="293">
        <f t="shared" si="2"/>
        <v>1</v>
      </c>
      <c r="E4083" s="294" t="s">
        <v>23673</v>
      </c>
      <c r="F4083" s="295" t="str">
        <f>IFERROR(__xludf.DUMMYFUNCTION("IF(B4083="""","""",IFERROR(VLOOKUP(TO_TEXT(B4083),PEDIDOS!D:I,6,0),IFERROR(VLOOKUP(B4083*1,PEDIDOS!D:I,6,0),"" "")))"),"ENTREGUE")</f>
        <v>ENTREGUE</v>
      </c>
      <c r="G4083" s="307"/>
      <c r="H4083" s="304"/>
    </row>
    <row r="4084">
      <c r="A4084" s="302" t="s">
        <v>112</v>
      </c>
      <c r="B4084" s="291" t="s">
        <v>21752</v>
      </c>
      <c r="C4084" s="292" t="s">
        <v>48</v>
      </c>
      <c r="D4084" s="293">
        <f t="shared" si="2"/>
        <v>1</v>
      </c>
      <c r="E4084" s="294" t="s">
        <v>23673</v>
      </c>
      <c r="F4084" s="295" t="str">
        <f>IFERROR(__xludf.DUMMYFUNCTION("IF(B4084="""","""",IFERROR(VLOOKUP(TO_TEXT(B4084),PEDIDOS!D:I,6,0),IFERROR(VLOOKUP(B4084*1,PEDIDOS!D:I,6,0),"" "")))"),"ENTREGUE")</f>
        <v>ENTREGUE</v>
      </c>
      <c r="G4084" s="307"/>
      <c r="H4084" s="304"/>
    </row>
    <row r="4085">
      <c r="A4085" s="302" t="s">
        <v>112</v>
      </c>
      <c r="B4085" s="291" t="s">
        <v>22140</v>
      </c>
      <c r="C4085" s="292" t="s">
        <v>48</v>
      </c>
      <c r="D4085" s="293">
        <f t="shared" si="2"/>
        <v>1</v>
      </c>
      <c r="E4085" s="294" t="s">
        <v>23673</v>
      </c>
      <c r="F4085" s="295" t="str">
        <f>IFERROR(__xludf.DUMMYFUNCTION("IF(B4085="""","""",IFERROR(VLOOKUP(TO_TEXT(B4085),PEDIDOS!D:I,6,0),IFERROR(VLOOKUP(B4085*1,PEDIDOS!D:I,6,0),"" "")))"),"ENTREGUE")</f>
        <v>ENTREGUE</v>
      </c>
      <c r="G4085" s="307"/>
      <c r="H4085" s="304"/>
    </row>
    <row r="4086">
      <c r="A4086" s="302" t="s">
        <v>112</v>
      </c>
      <c r="B4086" s="291" t="s">
        <v>22120</v>
      </c>
      <c r="C4086" s="292" t="s">
        <v>48</v>
      </c>
      <c r="D4086" s="293">
        <f t="shared" si="2"/>
        <v>1</v>
      </c>
      <c r="E4086" s="294" t="s">
        <v>23673</v>
      </c>
      <c r="F4086" s="295" t="str">
        <f>IFERROR(__xludf.DUMMYFUNCTION("IF(B4086="""","""",IFERROR(VLOOKUP(TO_TEXT(B4086),PEDIDOS!D:I,6,0),IFERROR(VLOOKUP(B4086*1,PEDIDOS!D:I,6,0),"" "")))"),"ENTREGUE")</f>
        <v>ENTREGUE</v>
      </c>
      <c r="G4086" s="307"/>
      <c r="H4086" s="304"/>
    </row>
    <row r="4087">
      <c r="A4087" s="302" t="s">
        <v>112</v>
      </c>
      <c r="B4087" s="291" t="s">
        <v>22111</v>
      </c>
      <c r="C4087" s="292" t="s">
        <v>48</v>
      </c>
      <c r="D4087" s="293">
        <f t="shared" si="2"/>
        <v>1</v>
      </c>
      <c r="E4087" s="294" t="s">
        <v>23673</v>
      </c>
      <c r="F4087" s="295" t="str">
        <f>IFERROR(__xludf.DUMMYFUNCTION("IF(B4087="""","""",IFERROR(VLOOKUP(TO_TEXT(B4087),PEDIDOS!D:I,6,0),IFERROR(VLOOKUP(B4087*1,PEDIDOS!D:I,6,0),"" "")))"),"ENTREGUE")</f>
        <v>ENTREGUE</v>
      </c>
      <c r="G4087" s="307"/>
      <c r="H4087" s="304"/>
    </row>
    <row r="4088">
      <c r="A4088" s="302" t="s">
        <v>112</v>
      </c>
      <c r="B4088" s="291" t="s">
        <v>21880</v>
      </c>
      <c r="C4088" s="292" t="s">
        <v>48</v>
      </c>
      <c r="D4088" s="293">
        <f t="shared" si="2"/>
        <v>1</v>
      </c>
      <c r="E4088" s="294" t="s">
        <v>23673</v>
      </c>
      <c r="F4088" s="295" t="str">
        <f>IFERROR(__xludf.DUMMYFUNCTION("IF(B4088="""","""",IFERROR(VLOOKUP(TO_TEXT(B4088),PEDIDOS!D:I,6,0),IFERROR(VLOOKUP(B4088*1,PEDIDOS!D:I,6,0),"" "")))"),"ENTREGUE")</f>
        <v>ENTREGUE</v>
      </c>
      <c r="G4088" s="307"/>
      <c r="H4088" s="304"/>
    </row>
    <row r="4089">
      <c r="A4089" s="302" t="s">
        <v>112</v>
      </c>
      <c r="B4089" s="291" t="s">
        <v>21434</v>
      </c>
      <c r="C4089" s="292" t="s">
        <v>48</v>
      </c>
      <c r="D4089" s="293">
        <f t="shared" si="2"/>
        <v>1</v>
      </c>
      <c r="E4089" s="294" t="s">
        <v>23673</v>
      </c>
      <c r="F4089" s="295" t="str">
        <f>IFERROR(__xludf.DUMMYFUNCTION("IF(B4089="""","""",IFERROR(VLOOKUP(TO_TEXT(B4089),PEDIDOS!D:I,6,0),IFERROR(VLOOKUP(B4089*1,PEDIDOS!D:I,6,0),"" "")))"),"ENTREGUE")</f>
        <v>ENTREGUE</v>
      </c>
      <c r="G4089" s="307"/>
      <c r="H4089" s="304"/>
    </row>
    <row r="4090">
      <c r="A4090" s="302" t="s">
        <v>112</v>
      </c>
      <c r="B4090" s="291" t="s">
        <v>22431</v>
      </c>
      <c r="C4090" s="292" t="s">
        <v>48</v>
      </c>
      <c r="D4090" s="293">
        <f t="shared" si="2"/>
        <v>1</v>
      </c>
      <c r="E4090" s="294" t="s">
        <v>23673</v>
      </c>
      <c r="F4090" s="295" t="str">
        <f>IFERROR(__xludf.DUMMYFUNCTION("IF(B4090="""","""",IFERROR(VLOOKUP(TO_TEXT(B4090),PEDIDOS!D:I,6,0),IFERROR(VLOOKUP(B4090*1,PEDIDOS!D:I,6,0),"" "")))"),"ENTREGUE")</f>
        <v>ENTREGUE</v>
      </c>
      <c r="G4090" s="307"/>
      <c r="H4090" s="304"/>
    </row>
    <row r="4091">
      <c r="A4091" s="302" t="s">
        <v>112</v>
      </c>
      <c r="B4091" s="291" t="s">
        <v>21277</v>
      </c>
      <c r="C4091" s="292" t="s">
        <v>48</v>
      </c>
      <c r="D4091" s="293">
        <f t="shared" si="2"/>
        <v>1</v>
      </c>
      <c r="E4091" s="294" t="s">
        <v>23673</v>
      </c>
      <c r="F4091" s="295" t="str">
        <f>IFERROR(__xludf.DUMMYFUNCTION("IF(B4091="""","""",IFERROR(VLOOKUP(TO_TEXT(B4091),PEDIDOS!D:I,6,0),IFERROR(VLOOKUP(B4091*1,PEDIDOS!D:I,6,0),"" "")))"),"ENTREGUE")</f>
        <v>ENTREGUE</v>
      </c>
      <c r="G4091" s="307"/>
      <c r="H4091" s="304"/>
    </row>
    <row r="4092">
      <c r="A4092" s="302" t="s">
        <v>112</v>
      </c>
      <c r="B4092" s="291" t="s">
        <v>21855</v>
      </c>
      <c r="C4092" s="292" t="s">
        <v>48</v>
      </c>
      <c r="D4092" s="293">
        <f t="shared" si="2"/>
        <v>1</v>
      </c>
      <c r="E4092" s="294" t="s">
        <v>23673</v>
      </c>
      <c r="F4092" s="295" t="str">
        <f>IFERROR(__xludf.DUMMYFUNCTION("IF(B4092="""","""",IFERROR(VLOOKUP(TO_TEXT(B4092),PEDIDOS!D:I,6,0),IFERROR(VLOOKUP(B4092*1,PEDIDOS!D:I,6,0),"" "")))"),"ENTREGUE")</f>
        <v>ENTREGUE</v>
      </c>
      <c r="G4092" s="307"/>
      <c r="H4092" s="304"/>
    </row>
    <row r="4093">
      <c r="A4093" s="302" t="s">
        <v>47</v>
      </c>
      <c r="B4093" s="291" t="s">
        <v>22205</v>
      </c>
      <c r="C4093" s="292" t="s">
        <v>48</v>
      </c>
      <c r="D4093" s="293">
        <f t="shared" si="2"/>
        <v>1</v>
      </c>
      <c r="E4093" s="294" t="s">
        <v>23673</v>
      </c>
      <c r="F4093" s="295" t="str">
        <f>IFERROR(__xludf.DUMMYFUNCTION("IF(B4093="""","""",IFERROR(VLOOKUP(TO_TEXT(B4093),PEDIDOS!D:I,6,0),IFERROR(VLOOKUP(B4093*1,PEDIDOS!D:I,6,0),"" "")))"),"ENTREGUE")</f>
        <v>ENTREGUE</v>
      </c>
      <c r="G4093" s="307"/>
      <c r="H4093" s="304"/>
    </row>
    <row r="4094">
      <c r="A4094" s="302" t="s">
        <v>47</v>
      </c>
      <c r="B4094" s="291" t="s">
        <v>22100</v>
      </c>
      <c r="C4094" s="292" t="s">
        <v>48</v>
      </c>
      <c r="D4094" s="293">
        <f t="shared" si="2"/>
        <v>1</v>
      </c>
      <c r="E4094" s="294" t="s">
        <v>23673</v>
      </c>
      <c r="F4094" s="295" t="str">
        <f>IFERROR(__xludf.DUMMYFUNCTION("IF(B4094="""","""",IFERROR(VLOOKUP(TO_TEXT(B4094),PEDIDOS!D:I,6,0),IFERROR(VLOOKUP(B4094*1,PEDIDOS!D:I,6,0),"" "")))"),"ENTREGUE")</f>
        <v>ENTREGUE</v>
      </c>
      <c r="G4094" s="307"/>
      <c r="H4094" s="304"/>
    </row>
    <row r="4095">
      <c r="A4095" s="302" t="s">
        <v>47</v>
      </c>
      <c r="B4095" s="291" t="s">
        <v>22155</v>
      </c>
      <c r="C4095" s="292" t="s">
        <v>48</v>
      </c>
      <c r="D4095" s="293">
        <f t="shared" si="2"/>
        <v>1</v>
      </c>
      <c r="E4095" s="294" t="s">
        <v>23673</v>
      </c>
      <c r="F4095" s="295" t="str">
        <f>IFERROR(__xludf.DUMMYFUNCTION("IF(B4095="""","""",IFERROR(VLOOKUP(TO_TEXT(B4095),PEDIDOS!D:I,6,0),IFERROR(VLOOKUP(B4095*1,PEDIDOS!D:I,6,0),"" "")))"),"ENTREGUE")</f>
        <v>ENTREGUE</v>
      </c>
      <c r="G4095" s="307"/>
      <c r="H4095" s="304"/>
    </row>
    <row r="4096">
      <c r="A4096" s="302" t="s">
        <v>47</v>
      </c>
      <c r="B4096" s="291" t="s">
        <v>22370</v>
      </c>
      <c r="C4096" s="292" t="s">
        <v>48</v>
      </c>
      <c r="D4096" s="293">
        <f t="shared" si="2"/>
        <v>1</v>
      </c>
      <c r="E4096" s="294" t="s">
        <v>23673</v>
      </c>
      <c r="F4096" s="295" t="str">
        <f>IFERROR(__xludf.DUMMYFUNCTION("IF(B4096="""","""",IFERROR(VLOOKUP(TO_TEXT(B4096),PEDIDOS!D:I,6,0),IFERROR(VLOOKUP(B4096*1,PEDIDOS!D:I,6,0),"" "")))"),"ENTREGUE")</f>
        <v>ENTREGUE</v>
      </c>
      <c r="G4096" s="307"/>
      <c r="H4096" s="304"/>
    </row>
    <row r="4097">
      <c r="A4097" s="302" t="s">
        <v>47</v>
      </c>
      <c r="B4097" s="291" t="s">
        <v>22039</v>
      </c>
      <c r="C4097" s="292" t="s">
        <v>48</v>
      </c>
      <c r="D4097" s="293">
        <f t="shared" si="2"/>
        <v>1</v>
      </c>
      <c r="E4097" s="294" t="s">
        <v>23673</v>
      </c>
      <c r="F4097" s="295" t="str">
        <f>IFERROR(__xludf.DUMMYFUNCTION("IF(B4097="""","""",IFERROR(VLOOKUP(TO_TEXT(B4097),PEDIDOS!D:I,6,0),IFERROR(VLOOKUP(B4097*1,PEDIDOS!D:I,6,0),"" "")))"),"ENTREGUE")</f>
        <v>ENTREGUE</v>
      </c>
      <c r="G4097" s="307"/>
      <c r="H4097" s="304"/>
    </row>
    <row r="4098">
      <c r="A4098" s="302" t="s">
        <v>47</v>
      </c>
      <c r="B4098" s="291" t="s">
        <v>22284</v>
      </c>
      <c r="C4098" s="292" t="s">
        <v>48</v>
      </c>
      <c r="D4098" s="293">
        <f t="shared" si="2"/>
        <v>1</v>
      </c>
      <c r="E4098" s="294" t="s">
        <v>23673</v>
      </c>
      <c r="F4098" s="295" t="str">
        <f>IFERROR(__xludf.DUMMYFUNCTION("IF(B4098="""","""",IFERROR(VLOOKUP(TO_TEXT(B4098),PEDIDOS!D:I,6,0),IFERROR(VLOOKUP(B4098*1,PEDIDOS!D:I,6,0),"" "")))"),"ENTREGUE")</f>
        <v>ENTREGUE</v>
      </c>
      <c r="G4098" s="307"/>
      <c r="H4098" s="304"/>
    </row>
    <row r="4099">
      <c r="A4099" s="302" t="s">
        <v>47</v>
      </c>
      <c r="B4099" s="291" t="s">
        <v>14590</v>
      </c>
      <c r="C4099" s="292" t="s">
        <v>48</v>
      </c>
      <c r="D4099" s="293">
        <f t="shared" si="2"/>
        <v>1</v>
      </c>
      <c r="E4099" s="294" t="s">
        <v>23673</v>
      </c>
      <c r="F4099" s="295" t="str">
        <f>IFERROR(__xludf.DUMMYFUNCTION("IF(B4099="""","""",IFERROR(VLOOKUP(TO_TEXT(B4099),PEDIDOS!D:I,6,0),IFERROR(VLOOKUP(B4099*1,PEDIDOS!D:I,6,0),"" "")))"),"ENTREGUE")</f>
        <v>ENTREGUE</v>
      </c>
      <c r="G4099" s="307"/>
      <c r="H4099" s="304"/>
    </row>
    <row r="4100">
      <c r="A4100" s="302" t="s">
        <v>47</v>
      </c>
      <c r="B4100" s="291" t="s">
        <v>14594</v>
      </c>
      <c r="C4100" s="292" t="s">
        <v>48</v>
      </c>
      <c r="D4100" s="293">
        <f t="shared" si="2"/>
        <v>1</v>
      </c>
      <c r="E4100" s="294" t="s">
        <v>23673</v>
      </c>
      <c r="F4100" s="295" t="str">
        <f>IFERROR(__xludf.DUMMYFUNCTION("IF(B4100="""","""",IFERROR(VLOOKUP(TO_TEXT(B4100),PEDIDOS!D:I,6,0),IFERROR(VLOOKUP(B4100*1,PEDIDOS!D:I,6,0),"" "")))"),"ENTREGUE")</f>
        <v>ENTREGUE</v>
      </c>
      <c r="G4100" s="307"/>
      <c r="H4100" s="304"/>
    </row>
    <row r="4101">
      <c r="A4101" s="302" t="s">
        <v>47</v>
      </c>
      <c r="B4101" s="291" t="s">
        <v>22634</v>
      </c>
      <c r="C4101" s="292" t="s">
        <v>48</v>
      </c>
      <c r="D4101" s="293">
        <f t="shared" si="2"/>
        <v>1</v>
      </c>
      <c r="E4101" s="294" t="s">
        <v>23673</v>
      </c>
      <c r="F4101" s="295" t="str">
        <f>IFERROR(__xludf.DUMMYFUNCTION("IF(B4101="""","""",IFERROR(VLOOKUP(TO_TEXT(B4101),PEDIDOS!D:I,6,0),IFERROR(VLOOKUP(B4101*1,PEDIDOS!D:I,6,0),"" "")))"),"ENTREGUE")</f>
        <v>ENTREGUE</v>
      </c>
      <c r="G4101" s="307"/>
      <c r="H4101" s="304"/>
    </row>
    <row r="4102">
      <c r="A4102" s="302" t="s">
        <v>47</v>
      </c>
      <c r="B4102" s="291" t="s">
        <v>22639</v>
      </c>
      <c r="C4102" s="292" t="s">
        <v>48</v>
      </c>
      <c r="D4102" s="293">
        <f t="shared" si="2"/>
        <v>1</v>
      </c>
      <c r="E4102" s="294" t="s">
        <v>23673</v>
      </c>
      <c r="F4102" s="295" t="str">
        <f>IFERROR(__xludf.DUMMYFUNCTION("IF(B4102="""","""",IFERROR(VLOOKUP(TO_TEXT(B4102),PEDIDOS!D:I,6,0),IFERROR(VLOOKUP(B4102*1,PEDIDOS!D:I,6,0),"" "")))"),"ENTREGUE")</f>
        <v>ENTREGUE</v>
      </c>
      <c r="G4102" s="307"/>
      <c r="H4102" s="304"/>
    </row>
    <row r="4103">
      <c r="A4103" s="302" t="s">
        <v>47</v>
      </c>
      <c r="B4103" s="291" t="s">
        <v>22643</v>
      </c>
      <c r="C4103" s="292" t="s">
        <v>48</v>
      </c>
      <c r="D4103" s="293">
        <f t="shared" si="2"/>
        <v>1</v>
      </c>
      <c r="E4103" s="294" t="s">
        <v>23673</v>
      </c>
      <c r="F4103" s="295" t="str">
        <f>IFERROR(__xludf.DUMMYFUNCTION("IF(B4103="""","""",IFERROR(VLOOKUP(TO_TEXT(B4103),PEDIDOS!D:I,6,0),IFERROR(VLOOKUP(B4103*1,PEDIDOS!D:I,6,0),"" "")))"),"ENTREGUE")</f>
        <v>ENTREGUE</v>
      </c>
      <c r="G4103" s="307"/>
      <c r="H4103" s="304"/>
    </row>
    <row r="4104">
      <c r="A4104" s="302" t="s">
        <v>47</v>
      </c>
      <c r="B4104" s="291" t="s">
        <v>22675</v>
      </c>
      <c r="C4104" s="292" t="s">
        <v>48</v>
      </c>
      <c r="D4104" s="293">
        <f t="shared" si="2"/>
        <v>1</v>
      </c>
      <c r="E4104" s="294" t="s">
        <v>23673</v>
      </c>
      <c r="F4104" s="295" t="str">
        <f>IFERROR(__xludf.DUMMYFUNCTION("IF(B4104="""","""",IFERROR(VLOOKUP(TO_TEXT(B4104),PEDIDOS!D:I,6,0),IFERROR(VLOOKUP(B4104*1,PEDIDOS!D:I,6,0),"" "")))"),"ENTREGUE")</f>
        <v>ENTREGUE</v>
      </c>
      <c r="G4104" s="307"/>
      <c r="H4104" s="304"/>
    </row>
    <row r="4105">
      <c r="A4105" s="302" t="s">
        <v>47</v>
      </c>
      <c r="B4105" s="291" t="s">
        <v>22754</v>
      </c>
      <c r="C4105" s="292" t="s">
        <v>48</v>
      </c>
      <c r="D4105" s="293">
        <f t="shared" si="2"/>
        <v>1</v>
      </c>
      <c r="E4105" s="294" t="s">
        <v>23673</v>
      </c>
      <c r="F4105" s="295" t="str">
        <f>IFERROR(__xludf.DUMMYFUNCTION("IF(B4105="""","""",IFERROR(VLOOKUP(TO_TEXT(B4105),PEDIDOS!D:I,6,0),IFERROR(VLOOKUP(B4105*1,PEDIDOS!D:I,6,0),"" "")))"),"ENTREGUE")</f>
        <v>ENTREGUE</v>
      </c>
      <c r="G4105" s="307"/>
      <c r="H4105" s="304"/>
    </row>
    <row r="4106">
      <c r="A4106" s="302" t="s">
        <v>47</v>
      </c>
      <c r="B4106" s="291" t="s">
        <v>22833</v>
      </c>
      <c r="C4106" s="292" t="s">
        <v>48</v>
      </c>
      <c r="D4106" s="293">
        <f t="shared" si="2"/>
        <v>1</v>
      </c>
      <c r="E4106" s="294" t="s">
        <v>23673</v>
      </c>
      <c r="F4106" s="295" t="str">
        <f>IFERROR(__xludf.DUMMYFUNCTION("IF(B4106="""","""",IFERROR(VLOOKUP(TO_TEXT(B4106),PEDIDOS!D:I,6,0),IFERROR(VLOOKUP(B4106*1,PEDIDOS!D:I,6,0),"" "")))"),"ENTREGUE")</f>
        <v>ENTREGUE</v>
      </c>
      <c r="G4106" s="307"/>
      <c r="H4106" s="304"/>
    </row>
    <row r="4107">
      <c r="A4107" s="302" t="s">
        <v>47</v>
      </c>
      <c r="B4107" s="291" t="s">
        <v>22706</v>
      </c>
      <c r="C4107" s="292" t="s">
        <v>48</v>
      </c>
      <c r="D4107" s="293">
        <f t="shared" si="2"/>
        <v>1</v>
      </c>
      <c r="E4107" s="294" t="s">
        <v>23673</v>
      </c>
      <c r="F4107" s="295" t="str">
        <f>IFERROR(__xludf.DUMMYFUNCTION("IF(B4107="""","""",IFERROR(VLOOKUP(TO_TEXT(B4107),PEDIDOS!D:I,6,0),IFERROR(VLOOKUP(B4107*1,PEDIDOS!D:I,6,0),"" "")))"),"ENTREGUE")</f>
        <v>ENTREGUE</v>
      </c>
      <c r="G4107" s="307"/>
      <c r="H4107" s="304"/>
    </row>
    <row r="4108">
      <c r="A4108" s="302" t="s">
        <v>47</v>
      </c>
      <c r="B4108" s="291" t="s">
        <v>22896</v>
      </c>
      <c r="C4108" s="292" t="s">
        <v>48</v>
      </c>
      <c r="D4108" s="293">
        <f t="shared" si="2"/>
        <v>1</v>
      </c>
      <c r="E4108" s="294" t="s">
        <v>23673</v>
      </c>
      <c r="F4108" s="295" t="str">
        <f>IFERROR(__xludf.DUMMYFUNCTION("IF(B4108="""","""",IFERROR(VLOOKUP(TO_TEXT(B4108),PEDIDOS!D:I,6,0),IFERROR(VLOOKUP(B4108*1,PEDIDOS!D:I,6,0),"" "")))"),"ENTREGUE")</f>
        <v>ENTREGUE</v>
      </c>
      <c r="G4108" s="307"/>
      <c r="H4108" s="304"/>
    </row>
    <row r="4109">
      <c r="A4109" s="302" t="s">
        <v>47</v>
      </c>
      <c r="B4109" s="291" t="s">
        <v>23737</v>
      </c>
      <c r="C4109" s="292" t="s">
        <v>48</v>
      </c>
      <c r="D4109" s="293">
        <f t="shared" si="2"/>
        <v>0</v>
      </c>
      <c r="E4109" s="294" t="s">
        <v>23673</v>
      </c>
      <c r="F4109" s="295" t="str">
        <f>IFERROR(__xludf.DUMMYFUNCTION("IF(B4109="""","""",IFERROR(VLOOKUP(TO_TEXT(B4109),PEDIDOS!D:I,6,0),IFERROR(VLOOKUP(B4109*1,PEDIDOS!D:I,6,0),"" "")))")," ")</f>
        <v> </v>
      </c>
      <c r="G4109" s="307"/>
      <c r="H4109" s="304"/>
    </row>
    <row r="4110">
      <c r="A4110" s="302" t="s">
        <v>47</v>
      </c>
      <c r="B4110" s="291" t="s">
        <v>23738</v>
      </c>
      <c r="C4110" s="292" t="s">
        <v>48</v>
      </c>
      <c r="D4110" s="293">
        <f t="shared" si="2"/>
        <v>0</v>
      </c>
      <c r="E4110" s="294" t="s">
        <v>23673</v>
      </c>
      <c r="F4110" s="295" t="str">
        <f>IFERROR(__xludf.DUMMYFUNCTION("IF(B4110="""","""",IFERROR(VLOOKUP(TO_TEXT(B4110),PEDIDOS!D:I,6,0),IFERROR(VLOOKUP(B4110*1,PEDIDOS!D:I,6,0),"" "")))")," ")</f>
        <v> </v>
      </c>
      <c r="G4110" s="307"/>
      <c r="H4110" s="304"/>
    </row>
    <row r="4111">
      <c r="A4111" s="302" t="s">
        <v>47</v>
      </c>
      <c r="B4111" s="291" t="s">
        <v>23739</v>
      </c>
      <c r="C4111" s="292" t="s">
        <v>48</v>
      </c>
      <c r="D4111" s="293">
        <f t="shared" si="2"/>
        <v>0</v>
      </c>
      <c r="E4111" s="294" t="s">
        <v>23673</v>
      </c>
      <c r="F4111" s="295" t="str">
        <f>IFERROR(__xludf.DUMMYFUNCTION("IF(B4111="""","""",IFERROR(VLOOKUP(TO_TEXT(B4111),PEDIDOS!D:I,6,0),IFERROR(VLOOKUP(B4111*1,PEDIDOS!D:I,6,0),"" "")))")," ")</f>
        <v> </v>
      </c>
      <c r="G4111" s="307"/>
      <c r="H4111" s="304"/>
    </row>
    <row r="4112">
      <c r="A4112" s="302" t="s">
        <v>47</v>
      </c>
      <c r="B4112" s="291" t="s">
        <v>23740</v>
      </c>
      <c r="C4112" s="292" t="s">
        <v>48</v>
      </c>
      <c r="D4112" s="293">
        <f t="shared" si="2"/>
        <v>0</v>
      </c>
      <c r="E4112" s="294" t="s">
        <v>23673</v>
      </c>
      <c r="F4112" s="295" t="str">
        <f>IFERROR(__xludf.DUMMYFUNCTION("IF(B4112="""","""",IFERROR(VLOOKUP(TO_TEXT(B4112),PEDIDOS!D:I,6,0),IFERROR(VLOOKUP(B4112*1,PEDIDOS!D:I,6,0),"" "")))")," ")</f>
        <v> </v>
      </c>
      <c r="G4112" s="307"/>
      <c r="H4112" s="304"/>
    </row>
    <row r="4113">
      <c r="A4113" s="302" t="s">
        <v>4430</v>
      </c>
      <c r="B4113" s="291" t="s">
        <v>23741</v>
      </c>
      <c r="C4113" s="292" t="s">
        <v>48</v>
      </c>
      <c r="D4113" s="293">
        <f t="shared" si="2"/>
        <v>1</v>
      </c>
      <c r="E4113" s="294" t="s">
        <v>23673</v>
      </c>
      <c r="F4113" s="295" t="str">
        <f>IFERROR(__xludf.DUMMYFUNCTION("IF(B4113="""","""",IFERROR(VLOOKUP(TO_TEXT(B4113),PEDIDOS!D:I,6,0),IFERROR(VLOOKUP(B4113*1,PEDIDOS!D:I,6,0),"" "")))")," ")</f>
        <v> </v>
      </c>
      <c r="G4113" s="307" t="s">
        <v>23742</v>
      </c>
      <c r="H4113" s="304"/>
    </row>
    <row r="4114">
      <c r="A4114" s="302" t="s">
        <v>4430</v>
      </c>
      <c r="B4114" s="291" t="s">
        <v>23743</v>
      </c>
      <c r="C4114" s="292" t="s">
        <v>48</v>
      </c>
      <c r="D4114" s="293">
        <f t="shared" si="2"/>
        <v>1</v>
      </c>
      <c r="E4114" s="294" t="s">
        <v>23673</v>
      </c>
      <c r="F4114" s="295" t="str">
        <f>IFERROR(__xludf.DUMMYFUNCTION("IF(B4114="""","""",IFERROR(VLOOKUP(TO_TEXT(B4114),PEDIDOS!D:I,6,0),IFERROR(VLOOKUP(B4114*1,PEDIDOS!D:I,6,0),"" "")))")," ")</f>
        <v> </v>
      </c>
      <c r="G4114" s="307" t="s">
        <v>23334</v>
      </c>
      <c r="H4114" s="304"/>
    </row>
    <row r="4115">
      <c r="A4115" s="302" t="s">
        <v>4430</v>
      </c>
      <c r="B4115" s="291" t="s">
        <v>23744</v>
      </c>
      <c r="C4115" s="292" t="s">
        <v>48</v>
      </c>
      <c r="D4115" s="293">
        <f t="shared" si="2"/>
        <v>1</v>
      </c>
      <c r="E4115" s="294" t="s">
        <v>23673</v>
      </c>
      <c r="F4115" s="295" t="str">
        <f>IFERROR(__xludf.DUMMYFUNCTION("IF(B4115="""","""",IFERROR(VLOOKUP(TO_TEXT(B4115),PEDIDOS!D:I,6,0),IFERROR(VLOOKUP(B4115*1,PEDIDOS!D:I,6,0),"" "")))")," ")</f>
        <v> </v>
      </c>
      <c r="G4115" s="307" t="s">
        <v>23334</v>
      </c>
      <c r="H4115" s="304"/>
    </row>
    <row r="4116">
      <c r="A4116" s="302" t="s">
        <v>4430</v>
      </c>
      <c r="B4116" s="291" t="s">
        <v>19443</v>
      </c>
      <c r="C4116" s="292" t="s">
        <v>48</v>
      </c>
      <c r="D4116" s="293">
        <f t="shared" si="2"/>
        <v>1</v>
      </c>
      <c r="E4116" s="294" t="s">
        <v>23673</v>
      </c>
      <c r="F4116" s="295" t="str">
        <f>IFERROR(__xludf.DUMMYFUNCTION("IF(B4116="""","""",IFERROR(VLOOKUP(TO_TEXT(B4116),PEDIDOS!D:I,6,0),IFERROR(VLOOKUP(B4116*1,PEDIDOS!D:I,6,0),"" "")))"),"ENTREGUE")</f>
        <v>ENTREGUE</v>
      </c>
      <c r="G4116" s="307"/>
      <c r="H4116" s="304"/>
    </row>
    <row r="4117">
      <c r="A4117" s="302" t="s">
        <v>4430</v>
      </c>
      <c r="B4117" s="291" t="s">
        <v>23745</v>
      </c>
      <c r="C4117" s="292" t="s">
        <v>48</v>
      </c>
      <c r="D4117" s="293">
        <f t="shared" si="2"/>
        <v>1</v>
      </c>
      <c r="E4117" s="294" t="s">
        <v>23673</v>
      </c>
      <c r="F4117" s="295" t="str">
        <f>IFERROR(__xludf.DUMMYFUNCTION("IF(B4117="""","""",IFERROR(VLOOKUP(TO_TEXT(B4117),PEDIDOS!D:I,6,0),IFERROR(VLOOKUP(B4117*1,PEDIDOS!D:I,6,0),"" "")))")," ")</f>
        <v> </v>
      </c>
      <c r="G4117" s="307" t="s">
        <v>23334</v>
      </c>
      <c r="H4117" s="304"/>
    </row>
    <row r="4118">
      <c r="A4118" s="302" t="s">
        <v>4430</v>
      </c>
      <c r="B4118" s="291" t="s">
        <v>21757</v>
      </c>
      <c r="C4118" s="292" t="s">
        <v>48</v>
      </c>
      <c r="D4118" s="293">
        <f t="shared" si="2"/>
        <v>1</v>
      </c>
      <c r="E4118" s="294" t="s">
        <v>23673</v>
      </c>
      <c r="F4118" s="295" t="str">
        <f>IFERROR(__xludf.DUMMYFUNCTION("IF(B4118="""","""",IFERROR(VLOOKUP(TO_TEXT(B4118),PEDIDOS!D:I,6,0),IFERROR(VLOOKUP(B4118*1,PEDIDOS!D:I,6,0),"" "")))"),"FINALIZADO")</f>
        <v>FINALIZADO</v>
      </c>
      <c r="G4118" s="307"/>
      <c r="H4118" s="304"/>
    </row>
    <row r="4119">
      <c r="A4119" s="302" t="s">
        <v>4430</v>
      </c>
      <c r="B4119" s="291" t="s">
        <v>21762</v>
      </c>
      <c r="C4119" s="292" t="s">
        <v>48</v>
      </c>
      <c r="D4119" s="293">
        <f t="shared" si="2"/>
        <v>1</v>
      </c>
      <c r="E4119" s="294" t="s">
        <v>23673</v>
      </c>
      <c r="F4119" s="295" t="str">
        <f>IFERROR(__xludf.DUMMYFUNCTION("IF(B4119="""","""",IFERROR(VLOOKUP(TO_TEXT(B4119),PEDIDOS!D:I,6,0),IFERROR(VLOOKUP(B4119*1,PEDIDOS!D:I,6,0),"" "")))"),"FINALIZADO")</f>
        <v>FINALIZADO</v>
      </c>
      <c r="G4119" s="307"/>
      <c r="H4119" s="304"/>
    </row>
    <row r="4120">
      <c r="A4120" s="302" t="s">
        <v>4430</v>
      </c>
      <c r="B4120" s="291" t="s">
        <v>22294</v>
      </c>
      <c r="C4120" s="292" t="s">
        <v>48</v>
      </c>
      <c r="D4120" s="293">
        <f t="shared" si="2"/>
        <v>1</v>
      </c>
      <c r="E4120" s="294" t="s">
        <v>23673</v>
      </c>
      <c r="F4120" s="295" t="str">
        <f>IFERROR(__xludf.DUMMYFUNCTION("IF(B4120="""","""",IFERROR(VLOOKUP(TO_TEXT(B4120),PEDIDOS!D:I,6,0),IFERROR(VLOOKUP(B4120*1,PEDIDOS!D:I,6,0),"" "")))"),"ENTREGUE")</f>
        <v>ENTREGUE</v>
      </c>
      <c r="G4120" s="307"/>
      <c r="H4120" s="304"/>
    </row>
    <row r="4121">
      <c r="A4121" s="302" t="s">
        <v>4430</v>
      </c>
      <c r="B4121" s="291" t="s">
        <v>23746</v>
      </c>
      <c r="C4121" s="292" t="s">
        <v>48</v>
      </c>
      <c r="D4121" s="293">
        <f t="shared" si="2"/>
        <v>1</v>
      </c>
      <c r="E4121" s="294" t="s">
        <v>23673</v>
      </c>
      <c r="F4121" s="295" t="str">
        <f>IFERROR(__xludf.DUMMYFUNCTION("IF(B4121="""","""",IFERROR(VLOOKUP(TO_TEXT(B4121),PEDIDOS!D:I,6,0),IFERROR(VLOOKUP(B4121*1,PEDIDOS!D:I,6,0),"" "")))")," ")</f>
        <v> </v>
      </c>
      <c r="G4121" s="307" t="s">
        <v>23742</v>
      </c>
      <c r="H4121" s="304"/>
    </row>
    <row r="4122">
      <c r="A4122" s="302" t="s">
        <v>4430</v>
      </c>
      <c r="B4122" s="291" t="s">
        <v>23747</v>
      </c>
      <c r="C4122" s="292" t="s">
        <v>48</v>
      </c>
      <c r="D4122" s="293">
        <f t="shared" si="2"/>
        <v>1</v>
      </c>
      <c r="E4122" s="294" t="s">
        <v>23673</v>
      </c>
      <c r="F4122" s="295" t="str">
        <f>IFERROR(__xludf.DUMMYFUNCTION("IF(B4122="""","""",IFERROR(VLOOKUP(TO_TEXT(B4122),PEDIDOS!D:I,6,0),IFERROR(VLOOKUP(B4122*1,PEDIDOS!D:I,6,0),"" "")))")," ")</f>
        <v> </v>
      </c>
      <c r="G4122" s="305" t="s">
        <v>23518</v>
      </c>
      <c r="H4122" s="304"/>
    </row>
    <row r="4123">
      <c r="A4123" s="302" t="s">
        <v>18072</v>
      </c>
      <c r="B4123" s="291" t="s">
        <v>23748</v>
      </c>
      <c r="C4123" s="292" t="s">
        <v>23749</v>
      </c>
      <c r="D4123" s="293">
        <f t="shared" si="2"/>
        <v>0</v>
      </c>
      <c r="E4123" s="294"/>
      <c r="F4123" s="295" t="str">
        <f>IFERROR(__xludf.DUMMYFUNCTION("IF(B4123="""","""",IFERROR(VLOOKUP(TO_TEXT(B4123),PEDIDOS!D:I,6,0),IFERROR(VLOOKUP(B4123*1,PEDIDOS!D:I,6,0),"" "")))")," ")</f>
        <v> </v>
      </c>
      <c r="G4123" s="307"/>
      <c r="H4123" s="304"/>
    </row>
    <row r="4124">
      <c r="A4124" s="302" t="s">
        <v>18072</v>
      </c>
      <c r="B4124" s="291" t="s">
        <v>23750</v>
      </c>
      <c r="C4124" s="292" t="s">
        <v>23749</v>
      </c>
      <c r="D4124" s="293">
        <f t="shared" si="2"/>
        <v>0</v>
      </c>
      <c r="E4124" s="294"/>
      <c r="F4124" s="295" t="str">
        <f>IFERROR(__xludf.DUMMYFUNCTION("IF(B4124="""","""",IFERROR(VLOOKUP(TO_TEXT(B4124),PEDIDOS!D:I,6,0),IFERROR(VLOOKUP(B4124*1,PEDIDOS!D:I,6,0),"" "")))")," ")</f>
        <v> </v>
      </c>
      <c r="G4124" s="307"/>
      <c r="H4124" s="304"/>
    </row>
    <row r="4125">
      <c r="A4125" s="302" t="s">
        <v>18072</v>
      </c>
      <c r="B4125" s="291" t="s">
        <v>23751</v>
      </c>
      <c r="C4125" s="292" t="s">
        <v>23749</v>
      </c>
      <c r="D4125" s="293">
        <f t="shared" si="2"/>
        <v>0</v>
      </c>
      <c r="E4125" s="294"/>
      <c r="F4125" s="295" t="str">
        <f>IFERROR(__xludf.DUMMYFUNCTION("IF(B4125="""","""",IFERROR(VLOOKUP(TO_TEXT(B4125),PEDIDOS!D:I,6,0),IFERROR(VLOOKUP(B4125*1,PEDIDOS!D:I,6,0),"" "")))")," ")</f>
        <v> </v>
      </c>
      <c r="G4125" s="307"/>
      <c r="H4125" s="304"/>
    </row>
    <row r="4126">
      <c r="A4126" s="302" t="s">
        <v>18072</v>
      </c>
      <c r="B4126" s="291" t="s">
        <v>23752</v>
      </c>
      <c r="C4126" s="292" t="s">
        <v>23749</v>
      </c>
      <c r="D4126" s="293">
        <f t="shared" si="2"/>
        <v>0</v>
      </c>
      <c r="E4126" s="294"/>
      <c r="F4126" s="295" t="str">
        <f>IFERROR(__xludf.DUMMYFUNCTION("IF(B4126="""","""",IFERROR(VLOOKUP(TO_TEXT(B4126),PEDIDOS!D:I,6,0),IFERROR(VLOOKUP(B4126*1,PEDIDOS!D:I,6,0),"" "")))")," ")</f>
        <v> </v>
      </c>
      <c r="G4126" s="307"/>
      <c r="H4126" s="304"/>
    </row>
    <row r="4127">
      <c r="A4127" s="302" t="s">
        <v>18072</v>
      </c>
      <c r="B4127" s="291" t="s">
        <v>23753</v>
      </c>
      <c r="C4127" s="292" t="s">
        <v>23749</v>
      </c>
      <c r="D4127" s="293">
        <f t="shared" si="2"/>
        <v>0</v>
      </c>
      <c r="E4127" s="294"/>
      <c r="F4127" s="295" t="str">
        <f>IFERROR(__xludf.DUMMYFUNCTION("IF(B4127="""","""",IFERROR(VLOOKUP(TO_TEXT(B4127),PEDIDOS!D:I,6,0),IFERROR(VLOOKUP(B4127*1,PEDIDOS!D:I,6,0),"" "")))")," ")</f>
        <v> </v>
      </c>
      <c r="G4127" s="307"/>
      <c r="H4127" s="304"/>
    </row>
    <row r="4128">
      <c r="A4128" s="302" t="s">
        <v>18072</v>
      </c>
      <c r="B4128" s="291" t="s">
        <v>23754</v>
      </c>
      <c r="C4128" s="292" t="s">
        <v>23749</v>
      </c>
      <c r="D4128" s="293">
        <f t="shared" si="2"/>
        <v>0</v>
      </c>
      <c r="E4128" s="294"/>
      <c r="F4128" s="295" t="str">
        <f>IFERROR(__xludf.DUMMYFUNCTION("IF(B4128="""","""",IFERROR(VLOOKUP(TO_TEXT(B4128),PEDIDOS!D:I,6,0),IFERROR(VLOOKUP(B4128*1,PEDIDOS!D:I,6,0),"" "")))")," ")</f>
        <v> </v>
      </c>
      <c r="G4128" s="307"/>
      <c r="H4128" s="304"/>
    </row>
    <row r="4129">
      <c r="A4129" s="302" t="s">
        <v>18072</v>
      </c>
      <c r="B4129" s="291" t="s">
        <v>23755</v>
      </c>
      <c r="C4129" s="292" t="s">
        <v>23749</v>
      </c>
      <c r="D4129" s="293">
        <f t="shared" si="2"/>
        <v>0</v>
      </c>
      <c r="E4129" s="294"/>
      <c r="F4129" s="295" t="str">
        <f>IFERROR(__xludf.DUMMYFUNCTION("IF(B4129="""","""",IFERROR(VLOOKUP(TO_TEXT(B4129),PEDIDOS!D:I,6,0),IFERROR(VLOOKUP(B4129*1,PEDIDOS!D:I,6,0),"" "")))")," ")</f>
        <v> </v>
      </c>
      <c r="G4129" s="307"/>
      <c r="H4129" s="304"/>
    </row>
    <row r="4130">
      <c r="A4130" s="302" t="s">
        <v>18072</v>
      </c>
      <c r="B4130" s="291" t="s">
        <v>20259</v>
      </c>
      <c r="C4130" s="292" t="s">
        <v>23749</v>
      </c>
      <c r="D4130" s="293">
        <f t="shared" si="2"/>
        <v>1</v>
      </c>
      <c r="E4130" s="294"/>
      <c r="F4130" s="295" t="str">
        <f>IFERROR(__xludf.DUMMYFUNCTION("IF(B4130="""","""",IFERROR(VLOOKUP(TO_TEXT(B4130),PEDIDOS!D:I,6,0),IFERROR(VLOOKUP(B4130*1,PEDIDOS!D:I,6,0),"" "")))"),"ENTREGUE")</f>
        <v>ENTREGUE</v>
      </c>
      <c r="G4130" s="307"/>
      <c r="H4130" s="304"/>
    </row>
    <row r="4131">
      <c r="A4131" s="302" t="s">
        <v>18072</v>
      </c>
      <c r="B4131" s="291" t="s">
        <v>19525</v>
      </c>
      <c r="C4131" s="292" t="s">
        <v>23749</v>
      </c>
      <c r="D4131" s="293">
        <f t="shared" si="2"/>
        <v>1</v>
      </c>
      <c r="E4131" s="294"/>
      <c r="F4131" s="295" t="str">
        <f>IFERROR(__xludf.DUMMYFUNCTION("IF(B4131="""","""",IFERROR(VLOOKUP(TO_TEXT(B4131),PEDIDOS!D:I,6,0),IFERROR(VLOOKUP(B4131*1,PEDIDOS!D:I,6,0),"" "")))"),"ENTREGUE")</f>
        <v>ENTREGUE</v>
      </c>
      <c r="G4131" s="307"/>
      <c r="H4131" s="304"/>
    </row>
    <row r="4132">
      <c r="A4132" s="302" t="s">
        <v>18072</v>
      </c>
      <c r="B4132" s="291" t="s">
        <v>23756</v>
      </c>
      <c r="C4132" s="292" t="s">
        <v>23749</v>
      </c>
      <c r="D4132" s="293">
        <f t="shared" si="2"/>
        <v>0</v>
      </c>
      <c r="E4132" s="294"/>
      <c r="F4132" s="295" t="str">
        <f>IFERROR(__xludf.DUMMYFUNCTION("IF(B4132="""","""",IFERROR(VLOOKUP(TO_TEXT(B4132),PEDIDOS!D:I,6,0),IFERROR(VLOOKUP(B4132*1,PEDIDOS!D:I,6,0),"" "")))")," ")</f>
        <v> </v>
      </c>
      <c r="G4132" s="307"/>
      <c r="H4132" s="304"/>
    </row>
    <row r="4133">
      <c r="A4133" s="302" t="s">
        <v>18072</v>
      </c>
      <c r="B4133" s="291" t="s">
        <v>23757</v>
      </c>
      <c r="C4133" s="292" t="s">
        <v>23749</v>
      </c>
      <c r="D4133" s="293">
        <f t="shared" si="2"/>
        <v>0</v>
      </c>
      <c r="E4133" s="294"/>
      <c r="F4133" s="295" t="str">
        <f>IFERROR(__xludf.DUMMYFUNCTION("IF(B4133="""","""",IFERROR(VLOOKUP(TO_TEXT(B4133),PEDIDOS!D:I,6,0),IFERROR(VLOOKUP(B4133*1,PEDIDOS!D:I,6,0),"" "")))")," ")</f>
        <v> </v>
      </c>
      <c r="G4133" s="307"/>
      <c r="H4133" s="304"/>
    </row>
    <row r="4134">
      <c r="A4134" s="302" t="s">
        <v>18072</v>
      </c>
      <c r="B4134" s="291" t="s">
        <v>23758</v>
      </c>
      <c r="C4134" s="292" t="s">
        <v>23749</v>
      </c>
      <c r="D4134" s="293">
        <f t="shared" si="2"/>
        <v>0</v>
      </c>
      <c r="E4134" s="294"/>
      <c r="F4134" s="295" t="str">
        <f>IFERROR(__xludf.DUMMYFUNCTION("IF(B4134="""","""",IFERROR(VLOOKUP(TO_TEXT(B4134),PEDIDOS!D:I,6,0),IFERROR(VLOOKUP(B4134*1,PEDIDOS!D:I,6,0),"" "")))")," ")</f>
        <v> </v>
      </c>
      <c r="G4134" s="307"/>
      <c r="H4134" s="304"/>
    </row>
    <row r="4135">
      <c r="A4135" s="302" t="s">
        <v>18072</v>
      </c>
      <c r="B4135" s="291" t="s">
        <v>23759</v>
      </c>
      <c r="C4135" s="292" t="s">
        <v>23749</v>
      </c>
      <c r="D4135" s="293">
        <f t="shared" si="2"/>
        <v>0</v>
      </c>
      <c r="E4135" s="294"/>
      <c r="F4135" s="295" t="str">
        <f>IFERROR(__xludf.DUMMYFUNCTION("IF(B4135="""","""",IFERROR(VLOOKUP(TO_TEXT(B4135),PEDIDOS!D:I,6,0),IFERROR(VLOOKUP(B4135*1,PEDIDOS!D:I,6,0),"" "")))")," ")</f>
        <v> </v>
      </c>
      <c r="G4135" s="307"/>
      <c r="H4135" s="304"/>
    </row>
    <row r="4136">
      <c r="A4136" s="302" t="s">
        <v>18072</v>
      </c>
      <c r="B4136" s="291" t="s">
        <v>23760</v>
      </c>
      <c r="C4136" s="292" t="s">
        <v>23749</v>
      </c>
      <c r="D4136" s="293">
        <f t="shared" si="2"/>
        <v>0</v>
      </c>
      <c r="E4136" s="294"/>
      <c r="F4136" s="295" t="str">
        <f>IFERROR(__xludf.DUMMYFUNCTION("IF(B4136="""","""",IFERROR(VLOOKUP(TO_TEXT(B4136),PEDIDOS!D:I,6,0),IFERROR(VLOOKUP(B4136*1,PEDIDOS!D:I,6,0),"" "")))")," ")</f>
        <v> </v>
      </c>
      <c r="G4136" s="307"/>
      <c r="H4136" s="304"/>
    </row>
    <row r="4137">
      <c r="A4137" s="302" t="s">
        <v>18072</v>
      </c>
      <c r="B4137" s="291" t="s">
        <v>23761</v>
      </c>
      <c r="C4137" s="292" t="s">
        <v>23749</v>
      </c>
      <c r="D4137" s="293">
        <f t="shared" si="2"/>
        <v>0</v>
      </c>
      <c r="E4137" s="294"/>
      <c r="F4137" s="295" t="str">
        <f>IFERROR(__xludf.DUMMYFUNCTION("IF(B4137="""","""",IFERROR(VLOOKUP(TO_TEXT(B4137),PEDIDOS!D:I,6,0),IFERROR(VLOOKUP(B4137*1,PEDIDOS!D:I,6,0),"" "")))")," ")</f>
        <v> </v>
      </c>
      <c r="G4137" s="307"/>
      <c r="H4137" s="304"/>
    </row>
    <row r="4138">
      <c r="A4138" s="302" t="s">
        <v>18072</v>
      </c>
      <c r="B4138" s="291" t="s">
        <v>23762</v>
      </c>
      <c r="C4138" s="292" t="s">
        <v>23749</v>
      </c>
      <c r="D4138" s="293">
        <f t="shared" si="2"/>
        <v>0</v>
      </c>
      <c r="E4138" s="294"/>
      <c r="F4138" s="295" t="str">
        <f>IFERROR(__xludf.DUMMYFUNCTION("IF(B4138="""","""",IFERROR(VLOOKUP(TO_TEXT(B4138),PEDIDOS!D:I,6,0),IFERROR(VLOOKUP(B4138*1,PEDIDOS!D:I,6,0),"" "")))")," ")</f>
        <v> </v>
      </c>
      <c r="G4138" s="307"/>
      <c r="H4138" s="304"/>
    </row>
    <row r="4139">
      <c r="A4139" s="302" t="s">
        <v>18072</v>
      </c>
      <c r="B4139" s="291" t="s">
        <v>23763</v>
      </c>
      <c r="C4139" s="292" t="s">
        <v>23749</v>
      </c>
      <c r="D4139" s="293">
        <f t="shared" si="2"/>
        <v>0</v>
      </c>
      <c r="E4139" s="294"/>
      <c r="F4139" s="295" t="str">
        <f>IFERROR(__xludf.DUMMYFUNCTION("IF(B4139="""","""",IFERROR(VLOOKUP(TO_TEXT(B4139),PEDIDOS!D:I,6,0),IFERROR(VLOOKUP(B4139*1,PEDIDOS!D:I,6,0),"" "")))")," ")</f>
        <v> </v>
      </c>
      <c r="G4139" s="307"/>
      <c r="H4139" s="304"/>
    </row>
    <row r="4140">
      <c r="A4140" s="302" t="s">
        <v>18072</v>
      </c>
      <c r="B4140" s="291" t="s">
        <v>23764</v>
      </c>
      <c r="C4140" s="292" t="s">
        <v>23749</v>
      </c>
      <c r="D4140" s="293">
        <f t="shared" si="2"/>
        <v>0</v>
      </c>
      <c r="E4140" s="294"/>
      <c r="F4140" s="295" t="str">
        <f>IFERROR(__xludf.DUMMYFUNCTION("IF(B4140="""","""",IFERROR(VLOOKUP(TO_TEXT(B4140),PEDIDOS!D:I,6,0),IFERROR(VLOOKUP(B4140*1,PEDIDOS!D:I,6,0),"" "")))")," ")</f>
        <v> </v>
      </c>
      <c r="G4140" s="307"/>
      <c r="H4140" s="304"/>
    </row>
    <row r="4141">
      <c r="A4141" s="302" t="s">
        <v>18072</v>
      </c>
      <c r="B4141" s="291" t="s">
        <v>19533</v>
      </c>
      <c r="C4141" s="292" t="s">
        <v>23749</v>
      </c>
      <c r="D4141" s="293">
        <f t="shared" si="2"/>
        <v>1</v>
      </c>
      <c r="E4141" s="294"/>
      <c r="F4141" s="295" t="str">
        <f>IFERROR(__xludf.DUMMYFUNCTION("IF(B4141="""","""",IFERROR(VLOOKUP(TO_TEXT(B4141),PEDIDOS!D:I,6,0),IFERROR(VLOOKUP(B4141*1,PEDIDOS!D:I,6,0),"" "")))"),"ENTREGUE")</f>
        <v>ENTREGUE</v>
      </c>
      <c r="G4141" s="307"/>
      <c r="H4141" s="304"/>
    </row>
    <row r="4142">
      <c r="A4142" s="302" t="s">
        <v>18072</v>
      </c>
      <c r="B4142" s="291" t="s">
        <v>23765</v>
      </c>
      <c r="C4142" s="292" t="s">
        <v>23749</v>
      </c>
      <c r="D4142" s="293">
        <f t="shared" si="2"/>
        <v>0</v>
      </c>
      <c r="E4142" s="294"/>
      <c r="F4142" s="295" t="str">
        <f>IFERROR(__xludf.DUMMYFUNCTION("IF(B4142="""","""",IFERROR(VLOOKUP(TO_TEXT(B4142),PEDIDOS!D:I,6,0),IFERROR(VLOOKUP(B4142*1,PEDIDOS!D:I,6,0),"" "")))")," ")</f>
        <v> </v>
      </c>
      <c r="G4142" s="307"/>
      <c r="H4142" s="304"/>
    </row>
    <row r="4143">
      <c r="A4143" s="302" t="s">
        <v>18072</v>
      </c>
      <c r="B4143" s="291" t="s">
        <v>23766</v>
      </c>
      <c r="C4143" s="292" t="s">
        <v>23749</v>
      </c>
      <c r="D4143" s="293">
        <f t="shared" si="2"/>
        <v>0</v>
      </c>
      <c r="E4143" s="294"/>
      <c r="F4143" s="295" t="str">
        <f>IFERROR(__xludf.DUMMYFUNCTION("IF(B4143="""","""",IFERROR(VLOOKUP(TO_TEXT(B4143),PEDIDOS!D:I,6,0),IFERROR(VLOOKUP(B4143*1,PEDIDOS!D:I,6,0),"" "")))")," ")</f>
        <v> </v>
      </c>
      <c r="G4143" s="307"/>
      <c r="H4143" s="304"/>
    </row>
    <row r="4144">
      <c r="A4144" s="302" t="s">
        <v>18072</v>
      </c>
      <c r="B4144" s="291" t="s">
        <v>23767</v>
      </c>
      <c r="C4144" s="292" t="s">
        <v>23749</v>
      </c>
      <c r="D4144" s="293">
        <f t="shared" si="2"/>
        <v>0</v>
      </c>
      <c r="E4144" s="294"/>
      <c r="F4144" s="295" t="str">
        <f>IFERROR(__xludf.DUMMYFUNCTION("IF(B4144="""","""",IFERROR(VLOOKUP(TO_TEXT(B4144),PEDIDOS!D:I,6,0),IFERROR(VLOOKUP(B4144*1,PEDIDOS!D:I,6,0),"" "")))")," ")</f>
        <v> </v>
      </c>
      <c r="G4144" s="307"/>
      <c r="H4144" s="304"/>
    </row>
    <row r="4145">
      <c r="A4145" s="302" t="s">
        <v>18072</v>
      </c>
      <c r="B4145" s="291" t="s">
        <v>23768</v>
      </c>
      <c r="C4145" s="292" t="s">
        <v>23749</v>
      </c>
      <c r="D4145" s="293">
        <f t="shared" si="2"/>
        <v>0</v>
      </c>
      <c r="E4145" s="294"/>
      <c r="F4145" s="295" t="str">
        <f>IFERROR(__xludf.DUMMYFUNCTION("IF(B4145="""","""",IFERROR(VLOOKUP(TO_TEXT(B4145),PEDIDOS!D:I,6,0),IFERROR(VLOOKUP(B4145*1,PEDIDOS!D:I,6,0),"" "")))")," ")</f>
        <v> </v>
      </c>
      <c r="G4145" s="307"/>
      <c r="H4145" s="304"/>
    </row>
    <row r="4146">
      <c r="A4146" s="302" t="s">
        <v>18072</v>
      </c>
      <c r="B4146" s="291" t="s">
        <v>18071</v>
      </c>
      <c r="C4146" s="292" t="s">
        <v>23749</v>
      </c>
      <c r="D4146" s="293">
        <f t="shared" si="2"/>
        <v>1</v>
      </c>
      <c r="E4146" s="294"/>
      <c r="F4146" s="295" t="str">
        <f>IFERROR(__xludf.DUMMYFUNCTION("IF(B4146="""","""",IFERROR(VLOOKUP(TO_TEXT(B4146),PEDIDOS!D:I,6,0),IFERROR(VLOOKUP(B4146*1,PEDIDOS!D:I,6,0),"" "")))"),"ENTREGUE")</f>
        <v>ENTREGUE</v>
      </c>
      <c r="G4146" s="307"/>
      <c r="H4146" s="304"/>
    </row>
    <row r="4147">
      <c r="A4147" s="302" t="s">
        <v>18072</v>
      </c>
      <c r="B4147" s="291" t="s">
        <v>23769</v>
      </c>
      <c r="C4147" s="292" t="s">
        <v>23749</v>
      </c>
      <c r="D4147" s="293">
        <f t="shared" si="2"/>
        <v>0</v>
      </c>
      <c r="E4147" s="294"/>
      <c r="F4147" s="295" t="str">
        <f>IFERROR(__xludf.DUMMYFUNCTION("IF(B4147="""","""",IFERROR(VLOOKUP(TO_TEXT(B4147),PEDIDOS!D:I,6,0),IFERROR(VLOOKUP(B4147*1,PEDIDOS!D:I,6,0),"" "")))")," ")</f>
        <v> </v>
      </c>
      <c r="G4147" s="307"/>
      <c r="H4147" s="304"/>
    </row>
    <row r="4148">
      <c r="A4148" s="302" t="s">
        <v>18072</v>
      </c>
      <c r="B4148" s="291" t="s">
        <v>23770</v>
      </c>
      <c r="C4148" s="292" t="s">
        <v>23749</v>
      </c>
      <c r="D4148" s="293">
        <f t="shared" si="2"/>
        <v>0</v>
      </c>
      <c r="E4148" s="294"/>
      <c r="F4148" s="295" t="str">
        <f>IFERROR(__xludf.DUMMYFUNCTION("IF(B4148="""","""",IFERROR(VLOOKUP(TO_TEXT(B4148),PEDIDOS!D:I,6,0),IFERROR(VLOOKUP(B4148*1,PEDIDOS!D:I,6,0),"" "")))")," ")</f>
        <v> </v>
      </c>
      <c r="G4148" s="307"/>
      <c r="H4148" s="304"/>
    </row>
    <row r="4149">
      <c r="A4149" s="302" t="s">
        <v>18072</v>
      </c>
      <c r="B4149" s="291" t="s">
        <v>23771</v>
      </c>
      <c r="C4149" s="292" t="s">
        <v>23749</v>
      </c>
      <c r="D4149" s="293">
        <f t="shared" si="2"/>
        <v>0</v>
      </c>
      <c r="E4149" s="294"/>
      <c r="F4149" s="295" t="str">
        <f>IFERROR(__xludf.DUMMYFUNCTION("IF(B4149="""","""",IFERROR(VLOOKUP(TO_TEXT(B4149),PEDIDOS!D:I,6,0),IFERROR(VLOOKUP(B4149*1,PEDIDOS!D:I,6,0),"" "")))")," ")</f>
        <v> </v>
      </c>
      <c r="G4149" s="307"/>
      <c r="H4149" s="304"/>
    </row>
    <row r="4150">
      <c r="A4150" s="302" t="s">
        <v>18072</v>
      </c>
      <c r="B4150" s="291" t="s">
        <v>23772</v>
      </c>
      <c r="C4150" s="292" t="s">
        <v>23749</v>
      </c>
      <c r="D4150" s="293">
        <f t="shared" si="2"/>
        <v>0</v>
      </c>
      <c r="E4150" s="294"/>
      <c r="F4150" s="295" t="str">
        <f>IFERROR(__xludf.DUMMYFUNCTION("IF(B4150="""","""",IFERROR(VLOOKUP(TO_TEXT(B4150),PEDIDOS!D:I,6,0),IFERROR(VLOOKUP(B4150*1,PEDIDOS!D:I,6,0),"" "")))")," ")</f>
        <v> </v>
      </c>
      <c r="G4150" s="307"/>
      <c r="H4150" s="304"/>
    </row>
    <row r="4151">
      <c r="A4151" s="302" t="s">
        <v>18072</v>
      </c>
      <c r="B4151" s="291" t="s">
        <v>19529</v>
      </c>
      <c r="C4151" s="292" t="s">
        <v>23749</v>
      </c>
      <c r="D4151" s="293">
        <f t="shared" si="2"/>
        <v>1</v>
      </c>
      <c r="E4151" s="294"/>
      <c r="F4151" s="295" t="str">
        <f>IFERROR(__xludf.DUMMYFUNCTION("IF(B4151="""","""",IFERROR(VLOOKUP(TO_TEXT(B4151),PEDIDOS!D:I,6,0),IFERROR(VLOOKUP(B4151*1,PEDIDOS!D:I,6,0),"" "")))"),"ENTREGUE")</f>
        <v>ENTREGUE</v>
      </c>
      <c r="G4151" s="307"/>
      <c r="H4151" s="304"/>
    </row>
    <row r="4152">
      <c r="A4152" s="302" t="s">
        <v>18072</v>
      </c>
      <c r="B4152" s="291" t="s">
        <v>23773</v>
      </c>
      <c r="C4152" s="292" t="s">
        <v>23749</v>
      </c>
      <c r="D4152" s="293">
        <f t="shared" si="2"/>
        <v>0</v>
      </c>
      <c r="E4152" s="294"/>
      <c r="F4152" s="295" t="str">
        <f>IFERROR(__xludf.DUMMYFUNCTION("IF(B4152="""","""",IFERROR(VLOOKUP(TO_TEXT(B4152),PEDIDOS!D:I,6,0),IFERROR(VLOOKUP(B4152*1,PEDIDOS!D:I,6,0),"" "")))")," ")</f>
        <v> </v>
      </c>
      <c r="G4152" s="307"/>
      <c r="H4152" s="304"/>
    </row>
    <row r="4153">
      <c r="A4153" s="302" t="s">
        <v>18072</v>
      </c>
      <c r="B4153" s="291" t="s">
        <v>23774</v>
      </c>
      <c r="C4153" s="292" t="s">
        <v>23749</v>
      </c>
      <c r="D4153" s="293">
        <f t="shared" si="2"/>
        <v>0</v>
      </c>
      <c r="E4153" s="294"/>
      <c r="F4153" s="295" t="str">
        <f>IFERROR(__xludf.DUMMYFUNCTION("IF(B4153="""","""",IFERROR(VLOOKUP(TO_TEXT(B4153),PEDIDOS!D:I,6,0),IFERROR(VLOOKUP(B4153*1,PEDIDOS!D:I,6,0),"" "")))")," ")</f>
        <v> </v>
      </c>
      <c r="G4153" s="307"/>
      <c r="H4153" s="304"/>
    </row>
    <row r="4154">
      <c r="A4154" s="302" t="s">
        <v>18072</v>
      </c>
      <c r="B4154" s="291" t="s">
        <v>23775</v>
      </c>
      <c r="C4154" s="292" t="s">
        <v>23749</v>
      </c>
      <c r="D4154" s="293">
        <f t="shared" si="2"/>
        <v>0</v>
      </c>
      <c r="E4154" s="294"/>
      <c r="F4154" s="295" t="str">
        <f>IFERROR(__xludf.DUMMYFUNCTION("IF(B4154="""","""",IFERROR(VLOOKUP(TO_TEXT(B4154),PEDIDOS!D:I,6,0),IFERROR(VLOOKUP(B4154*1,PEDIDOS!D:I,6,0),"" "")))")," ")</f>
        <v> </v>
      </c>
      <c r="G4154" s="307"/>
      <c r="H4154" s="304"/>
    </row>
    <row r="4155">
      <c r="A4155" s="302" t="s">
        <v>18072</v>
      </c>
      <c r="B4155" s="291" t="s">
        <v>23776</v>
      </c>
      <c r="C4155" s="292" t="s">
        <v>23749</v>
      </c>
      <c r="D4155" s="293">
        <f t="shared" si="2"/>
        <v>0</v>
      </c>
      <c r="E4155" s="294"/>
      <c r="F4155" s="295" t="str">
        <f>IFERROR(__xludf.DUMMYFUNCTION("IF(B4155="""","""",IFERROR(VLOOKUP(TO_TEXT(B4155),PEDIDOS!D:I,6,0),IFERROR(VLOOKUP(B4155*1,PEDIDOS!D:I,6,0),"" "")))")," ")</f>
        <v> </v>
      </c>
      <c r="G4155" s="307"/>
      <c r="H4155" s="304"/>
    </row>
    <row r="4156">
      <c r="A4156" s="302" t="s">
        <v>18072</v>
      </c>
      <c r="B4156" s="291" t="s">
        <v>23777</v>
      </c>
      <c r="C4156" s="292" t="s">
        <v>23749</v>
      </c>
      <c r="D4156" s="293">
        <f t="shared" si="2"/>
        <v>0</v>
      </c>
      <c r="E4156" s="294"/>
      <c r="F4156" s="295" t="str">
        <f>IFERROR(__xludf.DUMMYFUNCTION("IF(B4156="""","""",IFERROR(VLOOKUP(TO_TEXT(B4156),PEDIDOS!D:I,6,0),IFERROR(VLOOKUP(B4156*1,PEDIDOS!D:I,6,0),"" "")))")," ")</f>
        <v> </v>
      </c>
      <c r="G4156" s="307"/>
      <c r="H4156" s="304"/>
    </row>
    <row r="4157">
      <c r="A4157" s="302" t="s">
        <v>18072</v>
      </c>
      <c r="B4157" s="291" t="s">
        <v>23778</v>
      </c>
      <c r="C4157" s="292" t="s">
        <v>23749</v>
      </c>
      <c r="D4157" s="293">
        <f t="shared" si="2"/>
        <v>0</v>
      </c>
      <c r="E4157" s="294"/>
      <c r="F4157" s="295" t="str">
        <f>IFERROR(__xludf.DUMMYFUNCTION("IF(B4157="""","""",IFERROR(VLOOKUP(TO_TEXT(B4157),PEDIDOS!D:I,6,0),IFERROR(VLOOKUP(B4157*1,PEDIDOS!D:I,6,0),"" "")))")," ")</f>
        <v> </v>
      </c>
      <c r="G4157" s="307"/>
      <c r="H4157" s="304"/>
    </row>
    <row r="4158">
      <c r="A4158" s="302" t="s">
        <v>18072</v>
      </c>
      <c r="B4158" s="291" t="s">
        <v>23779</v>
      </c>
      <c r="C4158" s="292" t="s">
        <v>23749</v>
      </c>
      <c r="D4158" s="293">
        <f t="shared" si="2"/>
        <v>0</v>
      </c>
      <c r="E4158" s="294"/>
      <c r="F4158" s="295" t="str">
        <f>IFERROR(__xludf.DUMMYFUNCTION("IF(B4158="""","""",IFERROR(VLOOKUP(TO_TEXT(B4158),PEDIDOS!D:I,6,0),IFERROR(VLOOKUP(B4158*1,PEDIDOS!D:I,6,0),"" "")))")," ")</f>
        <v> </v>
      </c>
      <c r="G4158" s="307"/>
      <c r="H4158" s="304"/>
    </row>
    <row r="4159">
      <c r="A4159" s="302" t="s">
        <v>18072</v>
      </c>
      <c r="B4159" s="291" t="s">
        <v>23780</v>
      </c>
      <c r="C4159" s="292" t="s">
        <v>23749</v>
      </c>
      <c r="D4159" s="293">
        <f t="shared" si="2"/>
        <v>0</v>
      </c>
      <c r="E4159" s="294"/>
      <c r="F4159" s="295" t="str">
        <f>IFERROR(__xludf.DUMMYFUNCTION("IF(B4159="""","""",IFERROR(VLOOKUP(TO_TEXT(B4159),PEDIDOS!D:I,6,0),IFERROR(VLOOKUP(B4159*1,PEDIDOS!D:I,6,0),"" "")))")," ")</f>
        <v> </v>
      </c>
      <c r="G4159" s="307"/>
      <c r="H4159" s="304"/>
    </row>
    <row r="4160">
      <c r="A4160" s="302" t="s">
        <v>18072</v>
      </c>
      <c r="B4160" s="291" t="s">
        <v>23781</v>
      </c>
      <c r="C4160" s="292" t="s">
        <v>23749</v>
      </c>
      <c r="D4160" s="293">
        <f t="shared" si="2"/>
        <v>0</v>
      </c>
      <c r="E4160" s="294"/>
      <c r="F4160" s="295" t="str">
        <f>IFERROR(__xludf.DUMMYFUNCTION("IF(B4160="""","""",IFERROR(VLOOKUP(TO_TEXT(B4160),PEDIDOS!D:I,6,0),IFERROR(VLOOKUP(B4160*1,PEDIDOS!D:I,6,0),"" "")))")," ")</f>
        <v> </v>
      </c>
      <c r="G4160" s="307"/>
      <c r="H4160" s="304"/>
    </row>
    <row r="4161">
      <c r="A4161" s="302" t="s">
        <v>18072</v>
      </c>
      <c r="B4161" s="291" t="s">
        <v>23782</v>
      </c>
      <c r="C4161" s="292" t="s">
        <v>23749</v>
      </c>
      <c r="D4161" s="293">
        <f t="shared" si="2"/>
        <v>0</v>
      </c>
      <c r="E4161" s="294"/>
      <c r="F4161" s="295" t="str">
        <f>IFERROR(__xludf.DUMMYFUNCTION("IF(B4161="""","""",IFERROR(VLOOKUP(TO_TEXT(B4161),PEDIDOS!D:I,6,0),IFERROR(VLOOKUP(B4161*1,PEDIDOS!D:I,6,0),"" "")))")," ")</f>
        <v> </v>
      </c>
      <c r="G4161" s="307"/>
      <c r="H4161" s="304"/>
    </row>
    <row r="4162">
      <c r="A4162" s="302" t="s">
        <v>18072</v>
      </c>
      <c r="B4162" s="291" t="s">
        <v>23783</v>
      </c>
      <c r="C4162" s="292" t="s">
        <v>23749</v>
      </c>
      <c r="D4162" s="293">
        <f t="shared" si="2"/>
        <v>0</v>
      </c>
      <c r="E4162" s="294"/>
      <c r="F4162" s="295" t="str">
        <f>IFERROR(__xludf.DUMMYFUNCTION("IF(B4162="""","""",IFERROR(VLOOKUP(TO_TEXT(B4162),PEDIDOS!D:I,6,0),IFERROR(VLOOKUP(B4162*1,PEDIDOS!D:I,6,0),"" "")))")," ")</f>
        <v> </v>
      </c>
      <c r="G4162" s="307"/>
      <c r="H4162" s="304"/>
    </row>
    <row r="4163">
      <c r="A4163" s="302" t="s">
        <v>18072</v>
      </c>
      <c r="B4163" s="291" t="s">
        <v>23784</v>
      </c>
      <c r="C4163" s="292" t="s">
        <v>23749</v>
      </c>
      <c r="D4163" s="293">
        <f t="shared" si="2"/>
        <v>0</v>
      </c>
      <c r="E4163" s="294"/>
      <c r="F4163" s="295" t="str">
        <f>IFERROR(__xludf.DUMMYFUNCTION("IF(B4163="""","""",IFERROR(VLOOKUP(TO_TEXT(B4163),PEDIDOS!D:I,6,0),IFERROR(VLOOKUP(B4163*1,PEDIDOS!D:I,6,0),"" "")))")," ")</f>
        <v> </v>
      </c>
      <c r="G4163" s="307"/>
      <c r="H4163" s="304"/>
    </row>
    <row r="4164">
      <c r="A4164" s="302" t="s">
        <v>18072</v>
      </c>
      <c r="B4164" s="291" t="s">
        <v>23785</v>
      </c>
      <c r="C4164" s="292" t="s">
        <v>23749</v>
      </c>
      <c r="D4164" s="293">
        <f t="shared" si="2"/>
        <v>0</v>
      </c>
      <c r="E4164" s="294"/>
      <c r="F4164" s="295" t="str">
        <f>IFERROR(__xludf.DUMMYFUNCTION("IF(B4164="""","""",IFERROR(VLOOKUP(TO_TEXT(B4164),PEDIDOS!D:I,6,0),IFERROR(VLOOKUP(B4164*1,PEDIDOS!D:I,6,0),"" "")))")," ")</f>
        <v> </v>
      </c>
      <c r="G4164" s="307"/>
      <c r="H4164" s="304"/>
    </row>
    <row r="4165">
      <c r="A4165" s="302" t="s">
        <v>18072</v>
      </c>
      <c r="B4165" s="291" t="s">
        <v>23786</v>
      </c>
      <c r="C4165" s="292" t="s">
        <v>23749</v>
      </c>
      <c r="D4165" s="293">
        <f t="shared" si="2"/>
        <v>0</v>
      </c>
      <c r="E4165" s="294"/>
      <c r="F4165" s="295" t="str">
        <f>IFERROR(__xludf.DUMMYFUNCTION("IF(B4165="""","""",IFERROR(VLOOKUP(TO_TEXT(B4165),PEDIDOS!D:I,6,0),IFERROR(VLOOKUP(B4165*1,PEDIDOS!D:I,6,0),"" "")))")," ")</f>
        <v> </v>
      </c>
      <c r="G4165" s="307"/>
      <c r="H4165" s="304"/>
    </row>
    <row r="4166">
      <c r="A4166" s="302" t="s">
        <v>18072</v>
      </c>
      <c r="B4166" s="291" t="s">
        <v>23787</v>
      </c>
      <c r="C4166" s="292" t="s">
        <v>23749</v>
      </c>
      <c r="D4166" s="293">
        <f t="shared" si="2"/>
        <v>0</v>
      </c>
      <c r="E4166" s="294"/>
      <c r="F4166" s="295" t="str">
        <f>IFERROR(__xludf.DUMMYFUNCTION("IF(B4166="""","""",IFERROR(VLOOKUP(TO_TEXT(B4166),PEDIDOS!D:I,6,0),IFERROR(VLOOKUP(B4166*1,PEDIDOS!D:I,6,0),"" "")))")," ")</f>
        <v> </v>
      </c>
      <c r="G4166" s="307"/>
      <c r="H4166" s="304"/>
    </row>
    <row r="4167">
      <c r="A4167" s="302" t="s">
        <v>18072</v>
      </c>
      <c r="B4167" s="291" t="s">
        <v>23788</v>
      </c>
      <c r="C4167" s="292" t="s">
        <v>23749</v>
      </c>
      <c r="D4167" s="293">
        <f t="shared" si="2"/>
        <v>0</v>
      </c>
      <c r="E4167" s="294"/>
      <c r="F4167" s="295" t="str">
        <f>IFERROR(__xludf.DUMMYFUNCTION("IF(B4167="""","""",IFERROR(VLOOKUP(TO_TEXT(B4167),PEDIDOS!D:I,6,0),IFERROR(VLOOKUP(B4167*1,PEDIDOS!D:I,6,0),"" "")))")," ")</f>
        <v> </v>
      </c>
      <c r="G4167" s="307"/>
      <c r="H4167" s="304"/>
    </row>
    <row r="4168">
      <c r="A4168" s="302" t="s">
        <v>18072</v>
      </c>
      <c r="B4168" s="291" t="s">
        <v>19520</v>
      </c>
      <c r="C4168" s="292" t="s">
        <v>23749</v>
      </c>
      <c r="D4168" s="293">
        <f t="shared" si="2"/>
        <v>1</v>
      </c>
      <c r="E4168" s="294"/>
      <c r="F4168" s="295" t="str">
        <f>IFERROR(__xludf.DUMMYFUNCTION("IF(B4168="""","""",IFERROR(VLOOKUP(TO_TEXT(B4168),PEDIDOS!D:I,6,0),IFERROR(VLOOKUP(B4168*1,PEDIDOS!D:I,6,0),"" "")))"),"ENTREGUE")</f>
        <v>ENTREGUE</v>
      </c>
      <c r="G4168" s="307"/>
      <c r="H4168" s="304"/>
    </row>
    <row r="4169">
      <c r="A4169" s="302" t="s">
        <v>18072</v>
      </c>
      <c r="B4169" s="291" t="s">
        <v>23789</v>
      </c>
      <c r="C4169" s="292" t="s">
        <v>23749</v>
      </c>
      <c r="D4169" s="293">
        <f t="shared" si="2"/>
        <v>0</v>
      </c>
      <c r="E4169" s="294"/>
      <c r="F4169" s="295" t="str">
        <f>IFERROR(__xludf.DUMMYFUNCTION("IF(B4169="""","""",IFERROR(VLOOKUP(TO_TEXT(B4169),PEDIDOS!D:I,6,0),IFERROR(VLOOKUP(B4169*1,PEDIDOS!D:I,6,0),"" "")))")," ")</f>
        <v> </v>
      </c>
      <c r="G4169" s="307"/>
      <c r="H4169" s="304"/>
    </row>
    <row r="4170">
      <c r="A4170" s="302" t="s">
        <v>18072</v>
      </c>
      <c r="B4170" s="291" t="s">
        <v>23790</v>
      </c>
      <c r="C4170" s="292" t="s">
        <v>23749</v>
      </c>
      <c r="D4170" s="293">
        <f t="shared" si="2"/>
        <v>0</v>
      </c>
      <c r="E4170" s="294"/>
      <c r="F4170" s="295" t="str">
        <f>IFERROR(__xludf.DUMMYFUNCTION("IF(B4170="""","""",IFERROR(VLOOKUP(TO_TEXT(B4170),PEDIDOS!D:I,6,0),IFERROR(VLOOKUP(B4170*1,PEDIDOS!D:I,6,0),"" "")))")," ")</f>
        <v> </v>
      </c>
      <c r="G4170" s="307"/>
      <c r="H4170" s="304"/>
    </row>
    <row r="4171">
      <c r="A4171" s="302" t="s">
        <v>18072</v>
      </c>
      <c r="B4171" s="291" t="s">
        <v>22811</v>
      </c>
      <c r="C4171" s="292" t="s">
        <v>23749</v>
      </c>
      <c r="D4171" s="293">
        <f t="shared" si="2"/>
        <v>1</v>
      </c>
      <c r="E4171" s="294"/>
      <c r="F4171" s="295" t="str">
        <f>IFERROR(__xludf.DUMMYFUNCTION("IF(B4171="""","""",IFERROR(VLOOKUP(TO_TEXT(B4171),PEDIDOS!D:I,6,0),IFERROR(VLOOKUP(B4171*1,PEDIDOS!D:I,6,0),"" "")))"),"ENTREGUE")</f>
        <v>ENTREGUE</v>
      </c>
      <c r="G4171" s="307"/>
      <c r="H4171" s="304"/>
    </row>
    <row r="4172">
      <c r="A4172" s="302" t="s">
        <v>18072</v>
      </c>
      <c r="B4172" s="291" t="s">
        <v>23791</v>
      </c>
      <c r="C4172" s="292" t="s">
        <v>23749</v>
      </c>
      <c r="D4172" s="293">
        <f t="shared" si="2"/>
        <v>0</v>
      </c>
      <c r="E4172" s="294"/>
      <c r="F4172" s="295" t="str">
        <f>IFERROR(__xludf.DUMMYFUNCTION("IF(B4172="""","""",IFERROR(VLOOKUP(TO_TEXT(B4172),PEDIDOS!D:I,6,0),IFERROR(VLOOKUP(B4172*1,PEDIDOS!D:I,6,0),"" "")))")," ")</f>
        <v> </v>
      </c>
      <c r="G4172" s="307"/>
      <c r="H4172" s="304"/>
    </row>
    <row r="4173">
      <c r="A4173" s="302" t="s">
        <v>85</v>
      </c>
      <c r="B4173" s="291" t="s">
        <v>20990</v>
      </c>
      <c r="C4173" s="292" t="s">
        <v>23792</v>
      </c>
      <c r="D4173" s="293">
        <f t="shared" si="2"/>
        <v>1</v>
      </c>
      <c r="E4173" s="294"/>
      <c r="F4173" s="295"/>
      <c r="G4173" s="307"/>
      <c r="H4173" s="304"/>
    </row>
    <row r="4174">
      <c r="A4174" s="302" t="s">
        <v>3395</v>
      </c>
      <c r="B4174" s="291" t="s">
        <v>19150</v>
      </c>
      <c r="C4174" s="292" t="s">
        <v>23792</v>
      </c>
      <c r="D4174" s="293">
        <f t="shared" si="2"/>
        <v>1</v>
      </c>
      <c r="E4174" s="294"/>
      <c r="F4174" s="295" t="str">
        <f>IFERROR(__xludf.DUMMYFUNCTION("IF(B4174="""","""",IFERROR(VLOOKUP(TO_TEXT(B4174),PEDIDOS!D:I,6,0),IFERROR(VLOOKUP(B4174*1,PEDIDOS!D:I,6,0),"" "")))"),"ENTREGUE")</f>
        <v>ENTREGUE</v>
      </c>
      <c r="G4174" s="307"/>
      <c r="H4174" s="304"/>
    </row>
    <row r="4175">
      <c r="A4175" s="302" t="s">
        <v>3395</v>
      </c>
      <c r="B4175" s="291" t="s">
        <v>20298</v>
      </c>
      <c r="C4175" s="292" t="s">
        <v>48</v>
      </c>
      <c r="D4175" s="293">
        <f t="shared" si="2"/>
        <v>1</v>
      </c>
      <c r="E4175" s="294" t="s">
        <v>23793</v>
      </c>
      <c r="F4175" s="295" t="str">
        <f>IFERROR(__xludf.DUMMYFUNCTION("IF(B4175="""","""",IFERROR(VLOOKUP(TO_TEXT(B4175),PEDIDOS!D:I,6,0),IFERROR(VLOOKUP(B4175*1,PEDIDOS!D:I,6,0),"" "")))"),"ENTREGUE")</f>
        <v>ENTREGUE</v>
      </c>
      <c r="G4175" s="307"/>
      <c r="H4175" s="304"/>
    </row>
    <row r="4176">
      <c r="A4176" s="302" t="s">
        <v>3395</v>
      </c>
      <c r="B4176" s="291" t="s">
        <v>20442</v>
      </c>
      <c r="C4176" s="292" t="s">
        <v>48</v>
      </c>
      <c r="D4176" s="293">
        <f t="shared" si="2"/>
        <v>1</v>
      </c>
      <c r="E4176" s="294" t="s">
        <v>23793</v>
      </c>
      <c r="F4176" s="295" t="str">
        <f>IFERROR(__xludf.DUMMYFUNCTION("IF(B4176="""","""",IFERROR(VLOOKUP(TO_TEXT(B4176),PEDIDOS!D:I,6,0),IFERROR(VLOOKUP(B4176*1,PEDIDOS!D:I,6,0),"" "")))"),"ENTREGUE")</f>
        <v>ENTREGUE</v>
      </c>
      <c r="G4176" s="307"/>
      <c r="H4176" s="304"/>
    </row>
    <row r="4177">
      <c r="A4177" s="302" t="s">
        <v>3395</v>
      </c>
      <c r="B4177" s="291" t="s">
        <v>20451</v>
      </c>
      <c r="C4177" s="292" t="s">
        <v>48</v>
      </c>
      <c r="D4177" s="293">
        <f t="shared" si="2"/>
        <v>1</v>
      </c>
      <c r="E4177" s="294" t="s">
        <v>23793</v>
      </c>
      <c r="F4177" s="295" t="str">
        <f>IFERROR(__xludf.DUMMYFUNCTION("IF(B4177="""","""",IFERROR(VLOOKUP(TO_TEXT(B4177),PEDIDOS!D:I,6,0),IFERROR(VLOOKUP(B4177*1,PEDIDOS!D:I,6,0),"" "")))"),"ENTREGUE")</f>
        <v>ENTREGUE</v>
      </c>
      <c r="G4177" s="307"/>
      <c r="H4177" s="304"/>
    </row>
    <row r="4178">
      <c r="A4178" s="302" t="s">
        <v>3395</v>
      </c>
      <c r="B4178" s="291" t="s">
        <v>19666</v>
      </c>
      <c r="C4178" s="292" t="s">
        <v>48</v>
      </c>
      <c r="D4178" s="293">
        <f t="shared" si="2"/>
        <v>1</v>
      </c>
      <c r="E4178" s="294" t="s">
        <v>23793</v>
      </c>
      <c r="F4178" s="295" t="str">
        <f>IFERROR(__xludf.DUMMYFUNCTION("IF(B4178="""","""",IFERROR(VLOOKUP(TO_TEXT(B4178),PEDIDOS!D:I,6,0),IFERROR(VLOOKUP(B4178*1,PEDIDOS!D:I,6,0),"" "")))"),"ENTREGUE")</f>
        <v>ENTREGUE</v>
      </c>
      <c r="G4178" s="307"/>
      <c r="H4178" s="304"/>
    </row>
    <row r="4179">
      <c r="A4179" s="302" t="s">
        <v>3395</v>
      </c>
      <c r="B4179" s="291" t="s">
        <v>20303</v>
      </c>
      <c r="C4179" s="292" t="s">
        <v>48</v>
      </c>
      <c r="D4179" s="293">
        <f t="shared" si="2"/>
        <v>1</v>
      </c>
      <c r="E4179" s="294" t="s">
        <v>23793</v>
      </c>
      <c r="F4179" s="295" t="str">
        <f>IFERROR(__xludf.DUMMYFUNCTION("IF(B4179="""","""",IFERROR(VLOOKUP(TO_TEXT(B4179),PEDIDOS!D:I,6,0),IFERROR(VLOOKUP(B4179*1,PEDIDOS!D:I,6,0),"" "")))"),"ENTREGUE")</f>
        <v>ENTREGUE</v>
      </c>
      <c r="G4179" s="307"/>
      <c r="H4179" s="304"/>
    </row>
    <row r="4180">
      <c r="A4180" s="302" t="s">
        <v>3395</v>
      </c>
      <c r="B4180" s="291" t="s">
        <v>20447</v>
      </c>
      <c r="C4180" s="292" t="s">
        <v>48</v>
      </c>
      <c r="D4180" s="293">
        <f t="shared" si="2"/>
        <v>1</v>
      </c>
      <c r="E4180" s="294" t="s">
        <v>23793</v>
      </c>
      <c r="F4180" s="295" t="str">
        <f>IFERROR(__xludf.DUMMYFUNCTION("IF(B4180="""","""",IFERROR(VLOOKUP(TO_TEXT(B4180),PEDIDOS!D:I,6,0),IFERROR(VLOOKUP(B4180*1,PEDIDOS!D:I,6,0),"" "")))"),"ENTREGUE")</f>
        <v>ENTREGUE</v>
      </c>
      <c r="G4180" s="307"/>
      <c r="H4180" s="304"/>
    </row>
    <row r="4181">
      <c r="A4181" s="302" t="s">
        <v>3395</v>
      </c>
      <c r="B4181" s="291" t="s">
        <v>20827</v>
      </c>
      <c r="C4181" s="292" t="s">
        <v>48</v>
      </c>
      <c r="D4181" s="293">
        <f t="shared" si="2"/>
        <v>1</v>
      </c>
      <c r="E4181" s="294" t="s">
        <v>23793</v>
      </c>
      <c r="F4181" s="295" t="str">
        <f>IFERROR(__xludf.DUMMYFUNCTION("IF(B4181="""","""",IFERROR(VLOOKUP(TO_TEXT(B4181),PEDIDOS!D:I,6,0),IFERROR(VLOOKUP(B4181*1,PEDIDOS!D:I,6,0),"" "")))"),"ENTREGUE")</f>
        <v>ENTREGUE</v>
      </c>
      <c r="G4181" s="307"/>
      <c r="H4181" s="304"/>
    </row>
    <row r="4182">
      <c r="A4182" s="302" t="s">
        <v>3395</v>
      </c>
      <c r="B4182" s="291" t="s">
        <v>21256</v>
      </c>
      <c r="C4182" s="292" t="s">
        <v>48</v>
      </c>
      <c r="D4182" s="293">
        <f t="shared" si="2"/>
        <v>1</v>
      </c>
      <c r="E4182" s="294" t="s">
        <v>23793</v>
      </c>
      <c r="F4182" s="295" t="str">
        <f>IFERROR(__xludf.DUMMYFUNCTION("IF(B4182="""","""",IFERROR(VLOOKUP(TO_TEXT(B4182),PEDIDOS!D:I,6,0),IFERROR(VLOOKUP(B4182*1,PEDIDOS!D:I,6,0),"" "")))"),"ENTREGUE")</f>
        <v>ENTREGUE</v>
      </c>
      <c r="G4182" s="307"/>
      <c r="H4182" s="304"/>
    </row>
    <row r="4183">
      <c r="A4183" s="302" t="s">
        <v>3395</v>
      </c>
      <c r="B4183" s="291" t="s">
        <v>21302</v>
      </c>
      <c r="C4183" s="292" t="s">
        <v>48</v>
      </c>
      <c r="D4183" s="293">
        <f t="shared" si="2"/>
        <v>1</v>
      </c>
      <c r="E4183" s="294" t="s">
        <v>23793</v>
      </c>
      <c r="F4183" s="295" t="str">
        <f>IFERROR(__xludf.DUMMYFUNCTION("IF(B4183="""","""",IFERROR(VLOOKUP(TO_TEXT(B4183),PEDIDOS!D:I,6,0),IFERROR(VLOOKUP(B4183*1,PEDIDOS!D:I,6,0),"" "")))"),"ENTREGUE")</f>
        <v>ENTREGUE</v>
      </c>
      <c r="G4183" s="307"/>
      <c r="H4183" s="304"/>
    </row>
    <row r="4184">
      <c r="A4184" s="302" t="s">
        <v>3395</v>
      </c>
      <c r="B4184" s="291" t="s">
        <v>20698</v>
      </c>
      <c r="C4184" s="292" t="s">
        <v>48</v>
      </c>
      <c r="D4184" s="293">
        <f t="shared" si="2"/>
        <v>1</v>
      </c>
      <c r="E4184" s="294" t="s">
        <v>23793</v>
      </c>
      <c r="F4184" s="295" t="str">
        <f>IFERROR(__xludf.DUMMYFUNCTION("IF(B4184="""","""",IFERROR(VLOOKUP(TO_TEXT(B4184),PEDIDOS!D:I,6,0),IFERROR(VLOOKUP(B4184*1,PEDIDOS!D:I,6,0),"" "")))"),"ENTREGUE")</f>
        <v>ENTREGUE</v>
      </c>
      <c r="G4184" s="307"/>
      <c r="H4184" s="304"/>
    </row>
    <row r="4185">
      <c r="A4185" s="302" t="s">
        <v>3395</v>
      </c>
      <c r="B4185" s="291" t="s">
        <v>21251</v>
      </c>
      <c r="C4185" s="292" t="s">
        <v>48</v>
      </c>
      <c r="D4185" s="293">
        <f t="shared" si="2"/>
        <v>1</v>
      </c>
      <c r="E4185" s="294" t="s">
        <v>23793</v>
      </c>
      <c r="F4185" s="295" t="str">
        <f>IFERROR(__xludf.DUMMYFUNCTION("IF(B4185="""","""",IFERROR(VLOOKUP(TO_TEXT(B4185),PEDIDOS!D:I,6,0),IFERROR(VLOOKUP(B4185*1,PEDIDOS!D:I,6,0),"" "")))"),"ENTREGUE")</f>
        <v>ENTREGUE</v>
      </c>
      <c r="G4185" s="307"/>
      <c r="H4185" s="304"/>
    </row>
    <row r="4186">
      <c r="A4186" s="302" t="s">
        <v>3395</v>
      </c>
      <c r="B4186" s="291" t="s">
        <v>20678</v>
      </c>
      <c r="C4186" s="292" t="s">
        <v>48</v>
      </c>
      <c r="D4186" s="293">
        <f t="shared" si="2"/>
        <v>1</v>
      </c>
      <c r="E4186" s="294" t="s">
        <v>23793</v>
      </c>
      <c r="F4186" s="295" t="str">
        <f>IFERROR(__xludf.DUMMYFUNCTION("IF(B4186="""","""",IFERROR(VLOOKUP(TO_TEXT(B4186),PEDIDOS!D:I,6,0),IFERROR(VLOOKUP(B4186*1,PEDIDOS!D:I,6,0),"" "")))"),"ENTREGUE")</f>
        <v>ENTREGUE</v>
      </c>
      <c r="G4186" s="307"/>
      <c r="H4186" s="304"/>
    </row>
    <row r="4187">
      <c r="A4187" s="302" t="s">
        <v>3395</v>
      </c>
      <c r="B4187" s="291" t="s">
        <v>22926</v>
      </c>
      <c r="C4187" s="292" t="s">
        <v>48</v>
      </c>
      <c r="D4187" s="293">
        <f t="shared" si="2"/>
        <v>1</v>
      </c>
      <c r="E4187" s="294" t="s">
        <v>23793</v>
      </c>
      <c r="F4187" s="295" t="str">
        <f>IFERROR(__xludf.DUMMYFUNCTION("IF(B4187="""","""",IFERROR(VLOOKUP(TO_TEXT(B4187),PEDIDOS!D:I,6,0),IFERROR(VLOOKUP(B4187*1,PEDIDOS!D:I,6,0),"" "")))"),"ENTREGUE")</f>
        <v>ENTREGUE</v>
      </c>
      <c r="G4187" s="307"/>
      <c r="H4187" s="304"/>
    </row>
    <row r="4188">
      <c r="A4188" s="302" t="s">
        <v>3395</v>
      </c>
      <c r="B4188" s="291" t="s">
        <v>22922</v>
      </c>
      <c r="C4188" s="292" t="s">
        <v>48</v>
      </c>
      <c r="D4188" s="293">
        <f t="shared" si="2"/>
        <v>1</v>
      </c>
      <c r="E4188" s="294" t="s">
        <v>23793</v>
      </c>
      <c r="F4188" s="295" t="str">
        <f>IFERROR(__xludf.DUMMYFUNCTION("IF(B4188="""","""",IFERROR(VLOOKUP(TO_TEXT(B4188),PEDIDOS!D:I,6,0),IFERROR(VLOOKUP(B4188*1,PEDIDOS!D:I,6,0),"" "")))"),"ENTREGUE")</f>
        <v>ENTREGUE</v>
      </c>
      <c r="G4188" s="307"/>
      <c r="H4188" s="304"/>
    </row>
    <row r="4189">
      <c r="A4189" s="302" t="s">
        <v>3395</v>
      </c>
      <c r="B4189" s="291" t="s">
        <v>21860</v>
      </c>
      <c r="C4189" s="292" t="s">
        <v>48</v>
      </c>
      <c r="D4189" s="293">
        <f t="shared" si="2"/>
        <v>1</v>
      </c>
      <c r="E4189" s="294" t="s">
        <v>23793</v>
      </c>
      <c r="F4189" s="295" t="str">
        <f>IFERROR(__xludf.DUMMYFUNCTION("IF(B4189="""","""",IFERROR(VLOOKUP(TO_TEXT(B4189),PEDIDOS!D:I,6,0),IFERROR(VLOOKUP(B4189*1,PEDIDOS!D:I,6,0),"" "")))"),"ENTREGUE")</f>
        <v>ENTREGUE</v>
      </c>
      <c r="G4189" s="307"/>
      <c r="H4189" s="304"/>
    </row>
    <row r="4190">
      <c r="A4190" s="302" t="s">
        <v>3395</v>
      </c>
      <c r="B4190" s="291" t="s">
        <v>21800</v>
      </c>
      <c r="C4190" s="292" t="s">
        <v>48</v>
      </c>
      <c r="D4190" s="293">
        <f t="shared" si="2"/>
        <v>1</v>
      </c>
      <c r="E4190" s="294" t="s">
        <v>23793</v>
      </c>
      <c r="F4190" s="295" t="str">
        <f>IFERROR(__xludf.DUMMYFUNCTION("IF(B4190="""","""",IFERROR(VLOOKUP(TO_TEXT(B4190),PEDIDOS!D:I,6,0),IFERROR(VLOOKUP(B4190*1,PEDIDOS!D:I,6,0),"" "")))"),"ENTREGUE")</f>
        <v>ENTREGUE</v>
      </c>
      <c r="G4190" s="307"/>
      <c r="H4190" s="304"/>
    </row>
    <row r="4191">
      <c r="A4191" s="302" t="s">
        <v>3395</v>
      </c>
      <c r="B4191" s="291" t="s">
        <v>21805</v>
      </c>
      <c r="C4191" s="292" t="s">
        <v>48</v>
      </c>
      <c r="D4191" s="293">
        <f t="shared" si="2"/>
        <v>1</v>
      </c>
      <c r="E4191" s="294" t="s">
        <v>23793</v>
      </c>
      <c r="F4191" s="295" t="str">
        <f>IFERROR(__xludf.DUMMYFUNCTION("IF(B4191="""","""",IFERROR(VLOOKUP(TO_TEXT(B4191),PEDIDOS!D:I,6,0),IFERROR(VLOOKUP(B4191*1,PEDIDOS!D:I,6,0),"" "")))"),"ENTREGUE")</f>
        <v>ENTREGUE</v>
      </c>
      <c r="G4191" s="307"/>
      <c r="H4191" s="304"/>
    </row>
    <row r="4192">
      <c r="A4192" s="302" t="s">
        <v>3395</v>
      </c>
      <c r="B4192" s="291" t="s">
        <v>21293</v>
      </c>
      <c r="C4192" s="292" t="s">
        <v>48</v>
      </c>
      <c r="D4192" s="293">
        <f t="shared" si="2"/>
        <v>1</v>
      </c>
      <c r="E4192" s="294" t="s">
        <v>23793</v>
      </c>
      <c r="F4192" s="295" t="str">
        <f>IFERROR(__xludf.DUMMYFUNCTION("IF(B4192="""","""",IFERROR(VLOOKUP(TO_TEXT(B4192),PEDIDOS!D:I,6,0),IFERROR(VLOOKUP(B4192*1,PEDIDOS!D:I,6,0),"" "")))"),"ENTREGUE")</f>
        <v>ENTREGUE</v>
      </c>
      <c r="G4192" s="307"/>
      <c r="H4192" s="304"/>
    </row>
    <row r="4193">
      <c r="A4193" s="302" t="s">
        <v>3395</v>
      </c>
      <c r="B4193" s="291" t="s">
        <v>21584</v>
      </c>
      <c r="C4193" s="292" t="s">
        <v>48</v>
      </c>
      <c r="D4193" s="293">
        <f t="shared" si="2"/>
        <v>1</v>
      </c>
      <c r="E4193" s="294" t="s">
        <v>23793</v>
      </c>
      <c r="F4193" s="295" t="str">
        <f>IFERROR(__xludf.DUMMYFUNCTION("IF(B4193="""","""",IFERROR(VLOOKUP(TO_TEXT(B4193),PEDIDOS!D:I,6,0),IFERROR(VLOOKUP(B4193*1,PEDIDOS!D:I,6,0),"" "")))"),"ENTREGUE")</f>
        <v>ENTREGUE</v>
      </c>
      <c r="G4193" s="307"/>
      <c r="H4193" s="304"/>
    </row>
    <row r="4194">
      <c r="A4194" s="302" t="s">
        <v>3395</v>
      </c>
      <c r="B4194" s="291" t="s">
        <v>21103</v>
      </c>
      <c r="C4194" s="292" t="s">
        <v>48</v>
      </c>
      <c r="D4194" s="293">
        <f t="shared" si="2"/>
        <v>1</v>
      </c>
      <c r="E4194" s="294" t="s">
        <v>23793</v>
      </c>
      <c r="F4194" s="295" t="str">
        <f>IFERROR(__xludf.DUMMYFUNCTION("IF(B4194="""","""",IFERROR(VLOOKUP(TO_TEXT(B4194),PEDIDOS!D:I,6,0),IFERROR(VLOOKUP(B4194*1,PEDIDOS!D:I,6,0),"" "")))"),"ENTREGUE")</f>
        <v>ENTREGUE</v>
      </c>
      <c r="G4194" s="307"/>
      <c r="H4194" s="304"/>
    </row>
    <row r="4195">
      <c r="A4195" s="302" t="s">
        <v>3395</v>
      </c>
      <c r="B4195" s="291" t="s">
        <v>20533</v>
      </c>
      <c r="C4195" s="292" t="s">
        <v>48</v>
      </c>
      <c r="D4195" s="293">
        <f t="shared" si="2"/>
        <v>1</v>
      </c>
      <c r="E4195" s="294" t="s">
        <v>23793</v>
      </c>
      <c r="F4195" s="295" t="str">
        <f>IFERROR(__xludf.DUMMYFUNCTION("IF(B4195="""","""",IFERROR(VLOOKUP(TO_TEXT(B4195),PEDIDOS!D:I,6,0),IFERROR(VLOOKUP(B4195*1,PEDIDOS!D:I,6,0),"" "")))"),"ENTREGUE")</f>
        <v>ENTREGUE</v>
      </c>
      <c r="G4195" s="307"/>
      <c r="H4195" s="304"/>
    </row>
    <row r="4196">
      <c r="A4196" s="302" t="s">
        <v>3395</v>
      </c>
      <c r="B4196" s="291" t="s">
        <v>20527</v>
      </c>
      <c r="C4196" s="292" t="s">
        <v>48</v>
      </c>
      <c r="D4196" s="293">
        <f t="shared" si="2"/>
        <v>1</v>
      </c>
      <c r="E4196" s="294" t="s">
        <v>23793</v>
      </c>
      <c r="F4196" s="295" t="str">
        <f>IFERROR(__xludf.DUMMYFUNCTION("IF(B4196="""","""",IFERROR(VLOOKUP(TO_TEXT(B4196),PEDIDOS!D:I,6,0),IFERROR(VLOOKUP(B4196*1,PEDIDOS!D:I,6,0),"" "")))"),"ENTREGUE")</f>
        <v>ENTREGUE</v>
      </c>
      <c r="G4196" s="307"/>
      <c r="H4196" s="304"/>
    </row>
    <row r="4197">
      <c r="A4197" s="302" t="s">
        <v>3395</v>
      </c>
      <c r="B4197" s="291" t="s">
        <v>21098</v>
      </c>
      <c r="C4197" s="292" t="s">
        <v>48</v>
      </c>
      <c r="D4197" s="293">
        <f t="shared" si="2"/>
        <v>1</v>
      </c>
      <c r="E4197" s="294" t="s">
        <v>23793</v>
      </c>
      <c r="F4197" s="295" t="str">
        <f>IFERROR(__xludf.DUMMYFUNCTION("IF(B4197="""","""",IFERROR(VLOOKUP(TO_TEXT(B4197),PEDIDOS!D:I,6,0),IFERROR(VLOOKUP(B4197*1,PEDIDOS!D:I,6,0),"" "")))"),"ENTREGUE")</f>
        <v>ENTREGUE</v>
      </c>
      <c r="G4197" s="307"/>
      <c r="H4197" s="304"/>
    </row>
    <row r="4198">
      <c r="A4198" s="302" t="s">
        <v>3395</v>
      </c>
      <c r="B4198" s="291" t="s">
        <v>21589</v>
      </c>
      <c r="C4198" s="292" t="s">
        <v>48</v>
      </c>
      <c r="D4198" s="293">
        <f t="shared" si="2"/>
        <v>1</v>
      </c>
      <c r="E4198" s="294" t="s">
        <v>23793</v>
      </c>
      <c r="F4198" s="295" t="str">
        <f>IFERROR(__xludf.DUMMYFUNCTION("IF(B4198="""","""",IFERROR(VLOOKUP(TO_TEXT(B4198),PEDIDOS!D:I,6,0),IFERROR(VLOOKUP(B4198*1,PEDIDOS!D:I,6,0),"" "")))"),"ENTREGUE")</f>
        <v>ENTREGUE</v>
      </c>
      <c r="G4198" s="307"/>
      <c r="H4198" s="304"/>
    </row>
    <row r="4199">
      <c r="A4199" s="302" t="s">
        <v>3395</v>
      </c>
      <c r="B4199" s="291" t="s">
        <v>20537</v>
      </c>
      <c r="C4199" s="292" t="s">
        <v>48</v>
      </c>
      <c r="D4199" s="293">
        <f t="shared" si="2"/>
        <v>1</v>
      </c>
      <c r="E4199" s="294" t="s">
        <v>23793</v>
      </c>
      <c r="F4199" s="295" t="str">
        <f>IFERROR(__xludf.DUMMYFUNCTION("IF(B4199="""","""",IFERROR(VLOOKUP(TO_TEXT(B4199),PEDIDOS!D:I,6,0),IFERROR(VLOOKUP(B4199*1,PEDIDOS!D:I,6,0),"" "")))"),"ENTREGUE")</f>
        <v>ENTREGUE</v>
      </c>
      <c r="G4199" s="307"/>
      <c r="H4199" s="304"/>
    </row>
    <row r="4200">
      <c r="A4200" s="302" t="s">
        <v>3395</v>
      </c>
      <c r="B4200" s="291" t="s">
        <v>20545</v>
      </c>
      <c r="C4200" s="292" t="s">
        <v>48</v>
      </c>
      <c r="D4200" s="293">
        <f t="shared" si="2"/>
        <v>1</v>
      </c>
      <c r="E4200" s="294" t="s">
        <v>23793</v>
      </c>
      <c r="F4200" s="295" t="str">
        <f>IFERROR(__xludf.DUMMYFUNCTION("IF(B4200="""","""",IFERROR(VLOOKUP(TO_TEXT(B4200),PEDIDOS!D:I,6,0),IFERROR(VLOOKUP(B4200*1,PEDIDOS!D:I,6,0),"" "")))"),"ENTREGUE")</f>
        <v>ENTREGUE</v>
      </c>
      <c r="G4200" s="307"/>
      <c r="H4200" s="304"/>
    </row>
    <row r="4201">
      <c r="A4201" s="302" t="s">
        <v>3395</v>
      </c>
      <c r="B4201" s="291" t="s">
        <v>23794</v>
      </c>
      <c r="C4201" s="292" t="s">
        <v>48</v>
      </c>
      <c r="D4201" s="293">
        <f t="shared" si="2"/>
        <v>0</v>
      </c>
      <c r="E4201" s="294" t="s">
        <v>23793</v>
      </c>
      <c r="F4201" s="295" t="str">
        <f>IFERROR(__xludf.DUMMYFUNCTION("IF(B4201="""","""",IFERROR(VLOOKUP(TO_TEXT(B4201),PEDIDOS!D:I,6,0),IFERROR(VLOOKUP(B4201*1,PEDIDOS!D:I,6,0),"" "")))")," ")</f>
        <v> </v>
      </c>
      <c r="G4201" s="307"/>
      <c r="H4201" s="304"/>
    </row>
    <row r="4202">
      <c r="A4202" s="302" t="s">
        <v>3395</v>
      </c>
      <c r="B4202" s="291" t="s">
        <v>20541</v>
      </c>
      <c r="C4202" s="292" t="s">
        <v>48</v>
      </c>
      <c r="D4202" s="293">
        <f t="shared" si="2"/>
        <v>1</v>
      </c>
      <c r="E4202" s="294" t="s">
        <v>23793</v>
      </c>
      <c r="F4202" s="295" t="str">
        <f>IFERROR(__xludf.DUMMYFUNCTION("IF(B4202="""","""",IFERROR(VLOOKUP(TO_TEXT(B4202),PEDIDOS!D:I,6,0),IFERROR(VLOOKUP(B4202*1,PEDIDOS!D:I,6,0),"" "")))"),"ENTREGUE")</f>
        <v>ENTREGUE</v>
      </c>
      <c r="G4202" s="307"/>
      <c r="H4202" s="304"/>
    </row>
    <row r="4203">
      <c r="A4203" s="302" t="s">
        <v>3395</v>
      </c>
      <c r="B4203" s="291" t="s">
        <v>23795</v>
      </c>
      <c r="C4203" s="292" t="s">
        <v>48</v>
      </c>
      <c r="D4203" s="293">
        <f t="shared" si="2"/>
        <v>1</v>
      </c>
      <c r="E4203" s="294" t="s">
        <v>23793</v>
      </c>
      <c r="F4203" s="295" t="str">
        <f>IFERROR(__xludf.DUMMYFUNCTION("IF(B4203="""","""",IFERROR(VLOOKUP(TO_TEXT(B4203),PEDIDOS!D:I,6,0),IFERROR(VLOOKUP(B4203*1,PEDIDOS!D:I,6,0),"" "")))")," ")</f>
        <v> </v>
      </c>
      <c r="G4203" s="307" t="s">
        <v>23518</v>
      </c>
      <c r="H4203" s="304"/>
    </row>
    <row r="4204">
      <c r="A4204" s="302" t="s">
        <v>3395</v>
      </c>
      <c r="B4204" s="291" t="s">
        <v>23796</v>
      </c>
      <c r="C4204" s="292" t="s">
        <v>48</v>
      </c>
      <c r="D4204" s="293">
        <f t="shared" si="2"/>
        <v>1</v>
      </c>
      <c r="E4204" s="294" t="s">
        <v>23793</v>
      </c>
      <c r="F4204" s="295" t="str">
        <f>IFERROR(__xludf.DUMMYFUNCTION("IF(B4204="""","""",IFERROR(VLOOKUP(TO_TEXT(B4204),PEDIDOS!D:I,6,0),IFERROR(VLOOKUP(B4204*1,PEDIDOS!D:I,6,0),"" "")))")," ")</f>
        <v> </v>
      </c>
      <c r="G4204" s="307" t="s">
        <v>23518</v>
      </c>
      <c r="H4204" s="304"/>
    </row>
    <row r="4205">
      <c r="A4205" s="302" t="s">
        <v>72</v>
      </c>
      <c r="B4205" s="291" t="s">
        <v>20660</v>
      </c>
      <c r="C4205" s="292" t="s">
        <v>48</v>
      </c>
      <c r="D4205" s="293">
        <f t="shared" si="2"/>
        <v>1</v>
      </c>
      <c r="E4205" s="294" t="s">
        <v>23793</v>
      </c>
      <c r="F4205" s="295" t="str">
        <f>IFERROR(__xludf.DUMMYFUNCTION("IF(B4205="""","""",IFERROR(VLOOKUP(TO_TEXT(B4205),PEDIDOS!D:I,6,0),IFERROR(VLOOKUP(B4205*1,PEDIDOS!D:I,6,0),"" "")))"),"ENTREGUE")</f>
        <v>ENTREGUE</v>
      </c>
      <c r="G4205" s="307"/>
      <c r="H4205" s="304"/>
    </row>
    <row r="4206">
      <c r="A4206" s="302" t="s">
        <v>72</v>
      </c>
      <c r="B4206" s="291" t="s">
        <v>23797</v>
      </c>
      <c r="C4206" s="292" t="s">
        <v>48</v>
      </c>
      <c r="D4206" s="293">
        <f t="shared" si="2"/>
        <v>0</v>
      </c>
      <c r="E4206" s="294" t="s">
        <v>23793</v>
      </c>
      <c r="F4206" s="295" t="str">
        <f>IFERROR(__xludf.DUMMYFUNCTION("IF(B4206="""","""",IFERROR(VLOOKUP(TO_TEXT(B4206),PEDIDOS!D:I,6,0),IFERROR(VLOOKUP(B4206*1,PEDIDOS!D:I,6,0),"" "")))")," ")</f>
        <v> </v>
      </c>
      <c r="G4206" s="307"/>
      <c r="H4206" s="304"/>
    </row>
    <row r="4207">
      <c r="A4207" s="302" t="s">
        <v>72</v>
      </c>
      <c r="B4207" s="291" t="s">
        <v>23798</v>
      </c>
      <c r="C4207" s="292" t="s">
        <v>48</v>
      </c>
      <c r="D4207" s="293">
        <f t="shared" si="2"/>
        <v>0</v>
      </c>
      <c r="E4207" s="294" t="s">
        <v>23793</v>
      </c>
      <c r="F4207" s="295" t="str">
        <f>IFERROR(__xludf.DUMMYFUNCTION("IF(B4207="""","""",IFERROR(VLOOKUP(TO_TEXT(B4207),PEDIDOS!D:I,6,0),IFERROR(VLOOKUP(B4207*1,PEDIDOS!D:I,6,0),"" "")))")," ")</f>
        <v> </v>
      </c>
      <c r="G4207" s="307"/>
      <c r="H4207" s="304"/>
    </row>
    <row r="4208">
      <c r="A4208" s="302" t="s">
        <v>72</v>
      </c>
      <c r="B4208" s="291" t="s">
        <v>23799</v>
      </c>
      <c r="C4208" s="292" t="s">
        <v>48</v>
      </c>
      <c r="D4208" s="293">
        <f t="shared" si="2"/>
        <v>0</v>
      </c>
      <c r="E4208" s="294" t="s">
        <v>23793</v>
      </c>
      <c r="F4208" s="295" t="str">
        <f>IFERROR(__xludf.DUMMYFUNCTION("IF(B4208="""","""",IFERROR(VLOOKUP(TO_TEXT(B4208),PEDIDOS!D:I,6,0),IFERROR(VLOOKUP(B4208*1,PEDIDOS!D:I,6,0),"" "")))")," ")</f>
        <v> </v>
      </c>
      <c r="G4208" s="307"/>
      <c r="H4208" s="304"/>
    </row>
    <row r="4209">
      <c r="A4209" s="302" t="s">
        <v>72</v>
      </c>
      <c r="B4209" s="291" t="s">
        <v>23800</v>
      </c>
      <c r="C4209" s="292" t="s">
        <v>48</v>
      </c>
      <c r="D4209" s="293">
        <f t="shared" si="2"/>
        <v>0</v>
      </c>
      <c r="E4209" s="294" t="s">
        <v>23793</v>
      </c>
      <c r="F4209" s="295" t="str">
        <f>IFERROR(__xludf.DUMMYFUNCTION("IF(B4209="""","""",IFERROR(VLOOKUP(TO_TEXT(B4209),PEDIDOS!D:I,6,0),IFERROR(VLOOKUP(B4209*1,PEDIDOS!D:I,6,0),"" "")))")," ")</f>
        <v> </v>
      </c>
      <c r="G4209" s="307"/>
      <c r="H4209" s="304"/>
    </row>
    <row r="4210">
      <c r="A4210" s="302" t="s">
        <v>72</v>
      </c>
      <c r="B4210" s="291" t="s">
        <v>23801</v>
      </c>
      <c r="C4210" s="292" t="s">
        <v>48</v>
      </c>
      <c r="D4210" s="293">
        <f t="shared" si="2"/>
        <v>0</v>
      </c>
      <c r="E4210" s="294" t="s">
        <v>23793</v>
      </c>
      <c r="F4210" s="295" t="str">
        <f>IFERROR(__xludf.DUMMYFUNCTION("IF(B4210="""","""",IFERROR(VLOOKUP(TO_TEXT(B4210),PEDIDOS!D:I,6,0),IFERROR(VLOOKUP(B4210*1,PEDIDOS!D:I,6,0),"" "")))")," ")</f>
        <v> </v>
      </c>
      <c r="G4210" s="307"/>
      <c r="H4210" s="304"/>
    </row>
    <row r="4211">
      <c r="A4211" s="302" t="s">
        <v>72</v>
      </c>
      <c r="B4211" s="291" t="s">
        <v>23802</v>
      </c>
      <c r="C4211" s="292" t="s">
        <v>48</v>
      </c>
      <c r="D4211" s="293">
        <f t="shared" si="2"/>
        <v>0</v>
      </c>
      <c r="E4211" s="294" t="s">
        <v>23793</v>
      </c>
      <c r="F4211" s="295" t="str">
        <f>IFERROR(__xludf.DUMMYFUNCTION("IF(B4211="""","""",IFERROR(VLOOKUP(TO_TEXT(B4211),PEDIDOS!D:I,6,0),IFERROR(VLOOKUP(B4211*1,PEDIDOS!D:I,6,0),"" "")))")," ")</f>
        <v> </v>
      </c>
      <c r="G4211" s="307"/>
      <c r="H4211" s="304"/>
    </row>
    <row r="4212">
      <c r="A4212" s="302" t="s">
        <v>72</v>
      </c>
      <c r="B4212" s="291" t="s">
        <v>23803</v>
      </c>
      <c r="C4212" s="292" t="s">
        <v>48</v>
      </c>
      <c r="D4212" s="293">
        <f t="shared" si="2"/>
        <v>0</v>
      </c>
      <c r="E4212" s="294" t="s">
        <v>23793</v>
      </c>
      <c r="F4212" s="295" t="str">
        <f>IFERROR(__xludf.DUMMYFUNCTION("IF(B4212="""","""",IFERROR(VLOOKUP(TO_TEXT(B4212),PEDIDOS!D:I,6,0),IFERROR(VLOOKUP(B4212*1,PEDIDOS!D:I,6,0),"" "")))")," ")</f>
        <v> </v>
      </c>
      <c r="G4212" s="307"/>
      <c r="H4212" s="304"/>
    </row>
    <row r="4213">
      <c r="A4213" s="302" t="s">
        <v>72</v>
      </c>
      <c r="B4213" s="291" t="s">
        <v>23804</v>
      </c>
      <c r="C4213" s="292" t="s">
        <v>48</v>
      </c>
      <c r="D4213" s="293">
        <f t="shared" si="2"/>
        <v>0</v>
      </c>
      <c r="E4213" s="294" t="s">
        <v>23793</v>
      </c>
      <c r="F4213" s="295" t="str">
        <f>IFERROR(__xludf.DUMMYFUNCTION("IF(B4213="""","""",IFERROR(VLOOKUP(TO_TEXT(B4213),PEDIDOS!D:I,6,0),IFERROR(VLOOKUP(B4213*1,PEDIDOS!D:I,6,0),"" "")))")," ")</f>
        <v> </v>
      </c>
      <c r="G4213" s="307"/>
      <c r="H4213" s="304"/>
    </row>
    <row r="4214">
      <c r="A4214" s="302" t="s">
        <v>72</v>
      </c>
      <c r="B4214" s="291" t="s">
        <v>23805</v>
      </c>
      <c r="C4214" s="292" t="s">
        <v>48</v>
      </c>
      <c r="D4214" s="293">
        <f t="shared" si="2"/>
        <v>0</v>
      </c>
      <c r="E4214" s="294" t="s">
        <v>23793</v>
      </c>
      <c r="F4214" s="295" t="str">
        <f>IFERROR(__xludf.DUMMYFUNCTION("IF(B4214="""","""",IFERROR(VLOOKUP(TO_TEXT(B4214),PEDIDOS!D:I,6,0),IFERROR(VLOOKUP(B4214*1,PEDIDOS!D:I,6,0),"" "")))")," ")</f>
        <v> </v>
      </c>
      <c r="G4214" s="307"/>
      <c r="H4214" s="304"/>
    </row>
    <row r="4215">
      <c r="A4215" s="302" t="s">
        <v>72</v>
      </c>
      <c r="B4215" s="291" t="s">
        <v>23806</v>
      </c>
      <c r="C4215" s="292" t="s">
        <v>48</v>
      </c>
      <c r="D4215" s="293">
        <f t="shared" si="2"/>
        <v>0</v>
      </c>
      <c r="E4215" s="294" t="s">
        <v>23793</v>
      </c>
      <c r="F4215" s="295" t="str">
        <f>IFERROR(__xludf.DUMMYFUNCTION("IF(B4215="""","""",IFERROR(VLOOKUP(TO_TEXT(B4215),PEDIDOS!D:I,6,0),IFERROR(VLOOKUP(B4215*1,PEDIDOS!D:I,6,0),"" "")))")," ")</f>
        <v> </v>
      </c>
      <c r="G4215" s="307"/>
      <c r="H4215" s="304"/>
    </row>
    <row r="4216">
      <c r="A4216" s="302" t="s">
        <v>72</v>
      </c>
      <c r="B4216" s="291" t="s">
        <v>23807</v>
      </c>
      <c r="C4216" s="292" t="s">
        <v>48</v>
      </c>
      <c r="D4216" s="293">
        <f t="shared" si="2"/>
        <v>0</v>
      </c>
      <c r="E4216" s="294" t="s">
        <v>23793</v>
      </c>
      <c r="F4216" s="295" t="str">
        <f>IFERROR(__xludf.DUMMYFUNCTION("IF(B4216="""","""",IFERROR(VLOOKUP(TO_TEXT(B4216),PEDIDOS!D:I,6,0),IFERROR(VLOOKUP(B4216*1,PEDIDOS!D:I,6,0),"" "")))")," ")</f>
        <v> </v>
      </c>
      <c r="G4216" s="307"/>
      <c r="H4216" s="304"/>
    </row>
    <row r="4217">
      <c r="A4217" s="302" t="s">
        <v>72</v>
      </c>
      <c r="B4217" s="291" t="s">
        <v>23808</v>
      </c>
      <c r="C4217" s="292" t="s">
        <v>48</v>
      </c>
      <c r="D4217" s="293">
        <f t="shared" si="2"/>
        <v>0</v>
      </c>
      <c r="E4217" s="294" t="s">
        <v>23793</v>
      </c>
      <c r="F4217" s="295" t="str">
        <f>IFERROR(__xludf.DUMMYFUNCTION("IF(B4217="""","""",IFERROR(VLOOKUP(TO_TEXT(B4217),PEDIDOS!D:I,6,0),IFERROR(VLOOKUP(B4217*1,PEDIDOS!D:I,6,0),"" "")))")," ")</f>
        <v> </v>
      </c>
      <c r="G4217" s="307"/>
      <c r="H4217" s="304"/>
    </row>
    <row r="4218">
      <c r="A4218" s="302" t="s">
        <v>72</v>
      </c>
      <c r="B4218" s="291" t="s">
        <v>23809</v>
      </c>
      <c r="C4218" s="292" t="s">
        <v>48</v>
      </c>
      <c r="D4218" s="293">
        <f t="shared" si="2"/>
        <v>0</v>
      </c>
      <c r="E4218" s="294" t="s">
        <v>23793</v>
      </c>
      <c r="F4218" s="295" t="str">
        <f>IFERROR(__xludf.DUMMYFUNCTION("IF(B4218="""","""",IFERROR(VLOOKUP(TO_TEXT(B4218),PEDIDOS!D:I,6,0),IFERROR(VLOOKUP(B4218*1,PEDIDOS!D:I,6,0),"" "")))")," ")</f>
        <v> </v>
      </c>
      <c r="G4218" s="307"/>
      <c r="H4218" s="304"/>
    </row>
    <row r="4219">
      <c r="A4219" s="302" t="s">
        <v>72</v>
      </c>
      <c r="B4219" s="291" t="s">
        <v>23810</v>
      </c>
      <c r="C4219" s="292" t="s">
        <v>48</v>
      </c>
      <c r="D4219" s="293">
        <f t="shared" si="2"/>
        <v>0</v>
      </c>
      <c r="E4219" s="294" t="s">
        <v>23793</v>
      </c>
      <c r="F4219" s="295" t="str">
        <f>IFERROR(__xludf.DUMMYFUNCTION("IF(B4219="""","""",IFERROR(VLOOKUP(TO_TEXT(B4219),PEDIDOS!D:I,6,0),IFERROR(VLOOKUP(B4219*1,PEDIDOS!D:I,6,0),"" "")))")," ")</f>
        <v> </v>
      </c>
      <c r="G4219" s="307"/>
      <c r="H4219" s="304"/>
    </row>
    <row r="4220">
      <c r="A4220" s="302" t="s">
        <v>72</v>
      </c>
      <c r="B4220" s="291" t="s">
        <v>23811</v>
      </c>
      <c r="C4220" s="292" t="s">
        <v>48</v>
      </c>
      <c r="D4220" s="293">
        <f t="shared" si="2"/>
        <v>0</v>
      </c>
      <c r="E4220" s="294" t="s">
        <v>23793</v>
      </c>
      <c r="F4220" s="295" t="str">
        <f>IFERROR(__xludf.DUMMYFUNCTION("IF(B4220="""","""",IFERROR(VLOOKUP(TO_TEXT(B4220),PEDIDOS!D:I,6,0),IFERROR(VLOOKUP(B4220*1,PEDIDOS!D:I,6,0),"" "")))")," ")</f>
        <v> </v>
      </c>
      <c r="G4220" s="307"/>
      <c r="H4220" s="304"/>
    </row>
    <row r="4221">
      <c r="A4221" s="302" t="s">
        <v>72</v>
      </c>
      <c r="B4221" s="291" t="s">
        <v>23812</v>
      </c>
      <c r="C4221" s="292" t="s">
        <v>48</v>
      </c>
      <c r="D4221" s="293">
        <f t="shared" si="2"/>
        <v>0</v>
      </c>
      <c r="E4221" s="294" t="s">
        <v>23793</v>
      </c>
      <c r="F4221" s="295" t="str">
        <f>IFERROR(__xludf.DUMMYFUNCTION("IF(B4221="""","""",IFERROR(VLOOKUP(TO_TEXT(B4221),PEDIDOS!D:I,6,0),IFERROR(VLOOKUP(B4221*1,PEDIDOS!D:I,6,0),"" "")))")," ")</f>
        <v> </v>
      </c>
      <c r="G4221" s="307"/>
      <c r="H4221" s="304"/>
    </row>
    <row r="4222">
      <c r="A4222" s="302" t="s">
        <v>72</v>
      </c>
      <c r="B4222" s="291" t="s">
        <v>23813</v>
      </c>
      <c r="C4222" s="292" t="s">
        <v>48</v>
      </c>
      <c r="D4222" s="293">
        <f t="shared" si="2"/>
        <v>0</v>
      </c>
      <c r="E4222" s="294" t="s">
        <v>23793</v>
      </c>
      <c r="F4222" s="295" t="str">
        <f>IFERROR(__xludf.DUMMYFUNCTION("IF(B4222="""","""",IFERROR(VLOOKUP(TO_TEXT(B4222),PEDIDOS!D:I,6,0),IFERROR(VLOOKUP(B4222*1,PEDIDOS!D:I,6,0),"" "")))")," ")</f>
        <v> </v>
      </c>
      <c r="G4222" s="307"/>
      <c r="H4222" s="304"/>
    </row>
    <row r="4223">
      <c r="A4223" s="302" t="s">
        <v>72</v>
      </c>
      <c r="B4223" s="291" t="s">
        <v>23814</v>
      </c>
      <c r="C4223" s="292" t="s">
        <v>48</v>
      </c>
      <c r="D4223" s="293">
        <f t="shared" si="2"/>
        <v>0</v>
      </c>
      <c r="E4223" s="294" t="s">
        <v>23793</v>
      </c>
      <c r="F4223" s="295" t="str">
        <f>IFERROR(__xludf.DUMMYFUNCTION("IF(B4223="""","""",IFERROR(VLOOKUP(TO_TEXT(B4223),PEDIDOS!D:I,6,0),IFERROR(VLOOKUP(B4223*1,PEDIDOS!D:I,6,0),"" "")))")," ")</f>
        <v> </v>
      </c>
      <c r="G4223" s="307"/>
      <c r="H4223" s="304"/>
    </row>
    <row r="4224">
      <c r="A4224" s="302" t="s">
        <v>72</v>
      </c>
      <c r="B4224" s="291" t="s">
        <v>23815</v>
      </c>
      <c r="C4224" s="292" t="s">
        <v>48</v>
      </c>
      <c r="D4224" s="293">
        <f t="shared" si="2"/>
        <v>0</v>
      </c>
      <c r="E4224" s="294" t="s">
        <v>23793</v>
      </c>
      <c r="F4224" s="295" t="str">
        <f>IFERROR(__xludf.DUMMYFUNCTION("IF(B4224="""","""",IFERROR(VLOOKUP(TO_TEXT(B4224),PEDIDOS!D:I,6,0),IFERROR(VLOOKUP(B4224*1,PEDIDOS!D:I,6,0),"" "")))")," ")</f>
        <v> </v>
      </c>
      <c r="G4224" s="307"/>
      <c r="H4224" s="304"/>
    </row>
    <row r="4225">
      <c r="A4225" s="302" t="s">
        <v>72</v>
      </c>
      <c r="B4225" s="291" t="s">
        <v>23816</v>
      </c>
      <c r="C4225" s="292" t="s">
        <v>48</v>
      </c>
      <c r="D4225" s="293">
        <f t="shared" si="2"/>
        <v>0</v>
      </c>
      <c r="E4225" s="294" t="s">
        <v>23793</v>
      </c>
      <c r="F4225" s="295" t="str">
        <f>IFERROR(__xludf.DUMMYFUNCTION("IF(B4225="""","""",IFERROR(VLOOKUP(TO_TEXT(B4225),PEDIDOS!D:I,6,0),IFERROR(VLOOKUP(B4225*1,PEDIDOS!D:I,6,0),"" "")))")," ")</f>
        <v> </v>
      </c>
      <c r="G4225" s="307"/>
      <c r="H4225" s="304"/>
    </row>
    <row r="4226">
      <c r="A4226" s="302" t="s">
        <v>72</v>
      </c>
      <c r="B4226" s="291" t="s">
        <v>23817</v>
      </c>
      <c r="C4226" s="292" t="s">
        <v>48</v>
      </c>
      <c r="D4226" s="293">
        <f t="shared" si="2"/>
        <v>0</v>
      </c>
      <c r="E4226" s="294" t="s">
        <v>23793</v>
      </c>
      <c r="F4226" s="295" t="str">
        <f>IFERROR(__xludf.DUMMYFUNCTION("IF(B4226="""","""",IFERROR(VLOOKUP(TO_TEXT(B4226),PEDIDOS!D:I,6,0),IFERROR(VLOOKUP(B4226*1,PEDIDOS!D:I,6,0),"" "")))")," ")</f>
        <v> </v>
      </c>
      <c r="G4226" s="307"/>
      <c r="H4226" s="304"/>
    </row>
    <row r="4227">
      <c r="A4227" s="302" t="s">
        <v>72</v>
      </c>
      <c r="B4227" s="291" t="s">
        <v>23818</v>
      </c>
      <c r="C4227" s="292" t="s">
        <v>48</v>
      </c>
      <c r="D4227" s="293">
        <f t="shared" si="2"/>
        <v>0</v>
      </c>
      <c r="E4227" s="294" t="s">
        <v>23793</v>
      </c>
      <c r="F4227" s="295" t="str">
        <f>IFERROR(__xludf.DUMMYFUNCTION("IF(B4227="""","""",IFERROR(VLOOKUP(TO_TEXT(B4227),PEDIDOS!D:I,6,0),IFERROR(VLOOKUP(B4227*1,PEDIDOS!D:I,6,0),"" "")))")," ")</f>
        <v> </v>
      </c>
      <c r="G4227" s="307"/>
      <c r="H4227" s="304"/>
    </row>
    <row r="4228">
      <c r="A4228" s="302" t="s">
        <v>72</v>
      </c>
      <c r="B4228" s="291" t="s">
        <v>23819</v>
      </c>
      <c r="C4228" s="292" t="s">
        <v>48</v>
      </c>
      <c r="D4228" s="293">
        <f t="shared" si="2"/>
        <v>0</v>
      </c>
      <c r="E4228" s="294" t="s">
        <v>23793</v>
      </c>
      <c r="F4228" s="295" t="str">
        <f>IFERROR(__xludf.DUMMYFUNCTION("IF(B4228="""","""",IFERROR(VLOOKUP(TO_TEXT(B4228),PEDIDOS!D:I,6,0),IFERROR(VLOOKUP(B4228*1,PEDIDOS!D:I,6,0),"" "")))")," ")</f>
        <v> </v>
      </c>
      <c r="G4228" s="307"/>
      <c r="H4228" s="304"/>
    </row>
    <row r="4229">
      <c r="A4229" s="302" t="s">
        <v>72</v>
      </c>
      <c r="B4229" s="291" t="s">
        <v>23820</v>
      </c>
      <c r="C4229" s="292" t="s">
        <v>48</v>
      </c>
      <c r="D4229" s="293">
        <f t="shared" si="2"/>
        <v>0</v>
      </c>
      <c r="E4229" s="294" t="s">
        <v>23793</v>
      </c>
      <c r="F4229" s="295" t="str">
        <f>IFERROR(__xludf.DUMMYFUNCTION("IF(B4229="""","""",IFERROR(VLOOKUP(TO_TEXT(B4229),PEDIDOS!D:I,6,0),IFERROR(VLOOKUP(B4229*1,PEDIDOS!D:I,6,0),"" "")))")," ")</f>
        <v> </v>
      </c>
      <c r="G4229" s="307"/>
      <c r="H4229" s="304"/>
    </row>
    <row r="4230">
      <c r="A4230" s="302" t="s">
        <v>72</v>
      </c>
      <c r="B4230" s="291" t="s">
        <v>23821</v>
      </c>
      <c r="C4230" s="292" t="s">
        <v>48</v>
      </c>
      <c r="D4230" s="293">
        <f t="shared" si="2"/>
        <v>0</v>
      </c>
      <c r="E4230" s="294" t="s">
        <v>23793</v>
      </c>
      <c r="F4230" s="295" t="str">
        <f>IFERROR(__xludf.DUMMYFUNCTION("IF(B4230="""","""",IFERROR(VLOOKUP(TO_TEXT(B4230),PEDIDOS!D:I,6,0),IFERROR(VLOOKUP(B4230*1,PEDIDOS!D:I,6,0),"" "")))")," ")</f>
        <v> </v>
      </c>
      <c r="G4230" s="307"/>
      <c r="H4230" s="304"/>
    </row>
    <row r="4231">
      <c r="A4231" s="302" t="s">
        <v>72</v>
      </c>
      <c r="B4231" s="291" t="s">
        <v>23822</v>
      </c>
      <c r="C4231" s="292" t="s">
        <v>48</v>
      </c>
      <c r="D4231" s="293">
        <f t="shared" si="2"/>
        <v>0</v>
      </c>
      <c r="E4231" s="294" t="s">
        <v>23793</v>
      </c>
      <c r="F4231" s="295" t="str">
        <f>IFERROR(__xludf.DUMMYFUNCTION("IF(B4231="""","""",IFERROR(VLOOKUP(TO_TEXT(B4231),PEDIDOS!D:I,6,0),IFERROR(VLOOKUP(B4231*1,PEDIDOS!D:I,6,0),"" "")))")," ")</f>
        <v> </v>
      </c>
      <c r="G4231" s="307"/>
      <c r="H4231" s="304"/>
    </row>
    <row r="4232">
      <c r="A4232" s="302" t="s">
        <v>72</v>
      </c>
      <c r="B4232" s="291" t="s">
        <v>23823</v>
      </c>
      <c r="C4232" s="292" t="s">
        <v>48</v>
      </c>
      <c r="D4232" s="293">
        <f t="shared" si="2"/>
        <v>0</v>
      </c>
      <c r="E4232" s="294" t="s">
        <v>23793</v>
      </c>
      <c r="F4232" s="295" t="str">
        <f>IFERROR(__xludf.DUMMYFUNCTION("IF(B4232="""","""",IFERROR(VLOOKUP(TO_TEXT(B4232),PEDIDOS!D:I,6,0),IFERROR(VLOOKUP(B4232*1,PEDIDOS!D:I,6,0),"" "")))")," ")</f>
        <v> </v>
      </c>
      <c r="G4232" s="307"/>
      <c r="H4232" s="304"/>
    </row>
    <row r="4233">
      <c r="A4233" s="302" t="s">
        <v>72</v>
      </c>
      <c r="B4233" s="291" t="s">
        <v>23824</v>
      </c>
      <c r="C4233" s="292" t="s">
        <v>48</v>
      </c>
      <c r="D4233" s="293">
        <f t="shared" si="2"/>
        <v>1</v>
      </c>
      <c r="E4233" s="294" t="s">
        <v>23793</v>
      </c>
      <c r="F4233" s="295" t="str">
        <f>IFERROR(__xludf.DUMMYFUNCTION("IF(B4233="""","""",IFERROR(VLOOKUP(TO_TEXT(B4233),PEDIDOS!D:I,6,0),IFERROR(VLOOKUP(B4233*1,PEDIDOS!D:I,6,0),"" "")))")," ")</f>
        <v> </v>
      </c>
      <c r="G4233" s="307" t="s">
        <v>23518</v>
      </c>
      <c r="H4233" s="304"/>
    </row>
    <row r="4234">
      <c r="A4234" s="302" t="s">
        <v>72</v>
      </c>
      <c r="B4234" s="291" t="s">
        <v>23825</v>
      </c>
      <c r="C4234" s="292" t="s">
        <v>48</v>
      </c>
      <c r="D4234" s="293">
        <f t="shared" si="2"/>
        <v>1</v>
      </c>
      <c r="E4234" s="294" t="s">
        <v>23793</v>
      </c>
      <c r="F4234" s="295" t="str">
        <f>IFERROR(__xludf.DUMMYFUNCTION("IF(B4234="""","""",IFERROR(VLOOKUP(TO_TEXT(B4234),PEDIDOS!D:I,6,0),IFERROR(VLOOKUP(B4234*1,PEDIDOS!D:I,6,0),"" "")))")," ")</f>
        <v> </v>
      </c>
      <c r="G4234" s="307" t="s">
        <v>23518</v>
      </c>
      <c r="H4234" s="304"/>
    </row>
    <row r="4235">
      <c r="A4235" s="302" t="s">
        <v>85</v>
      </c>
      <c r="B4235" s="291" t="s">
        <v>23826</v>
      </c>
      <c r="C4235" s="292" t="s">
        <v>48</v>
      </c>
      <c r="D4235" s="293">
        <f t="shared" si="2"/>
        <v>0</v>
      </c>
      <c r="E4235" s="294" t="s">
        <v>23793</v>
      </c>
      <c r="F4235" s="295" t="str">
        <f>IFERROR(__xludf.DUMMYFUNCTION("IF(B4235="""","""",IFERROR(VLOOKUP(TO_TEXT(B4235),PEDIDOS!D:I,6,0),IFERROR(VLOOKUP(B4235*1,PEDIDOS!D:I,6,0),"" "")))")," ")</f>
        <v> </v>
      </c>
      <c r="G4235" s="307"/>
      <c r="H4235" s="304"/>
    </row>
    <row r="4236">
      <c r="A4236" s="302" t="s">
        <v>85</v>
      </c>
      <c r="B4236" s="291" t="s">
        <v>23827</v>
      </c>
      <c r="C4236" s="292" t="s">
        <v>48</v>
      </c>
      <c r="D4236" s="293">
        <f t="shared" si="2"/>
        <v>0</v>
      </c>
      <c r="E4236" s="294" t="s">
        <v>23793</v>
      </c>
      <c r="F4236" s="295" t="str">
        <f>IFERROR(__xludf.DUMMYFUNCTION("IF(B4236="""","""",IFERROR(VLOOKUP(TO_TEXT(B4236),PEDIDOS!D:I,6,0),IFERROR(VLOOKUP(B4236*1,PEDIDOS!D:I,6,0),"" "")))")," ")</f>
        <v> </v>
      </c>
      <c r="G4236" s="307"/>
      <c r="H4236" s="304"/>
    </row>
    <row r="4237">
      <c r="A4237" s="302" t="s">
        <v>85</v>
      </c>
      <c r="B4237" s="291" t="s">
        <v>23828</v>
      </c>
      <c r="C4237" s="292" t="s">
        <v>48</v>
      </c>
      <c r="D4237" s="293">
        <f t="shared" si="2"/>
        <v>0</v>
      </c>
      <c r="E4237" s="294" t="s">
        <v>23793</v>
      </c>
      <c r="F4237" s="295" t="str">
        <f>IFERROR(__xludf.DUMMYFUNCTION("IF(B4237="""","""",IFERROR(VLOOKUP(TO_TEXT(B4237),PEDIDOS!D:I,6,0),IFERROR(VLOOKUP(B4237*1,PEDIDOS!D:I,6,0),"" "")))")," ")</f>
        <v> </v>
      </c>
      <c r="G4237" s="307"/>
      <c r="H4237" s="304"/>
    </row>
    <row r="4238">
      <c r="A4238" s="302" t="s">
        <v>85</v>
      </c>
      <c r="B4238" s="291" t="s">
        <v>23829</v>
      </c>
      <c r="C4238" s="292" t="s">
        <v>48</v>
      </c>
      <c r="D4238" s="293">
        <f t="shared" si="2"/>
        <v>0</v>
      </c>
      <c r="E4238" s="294" t="s">
        <v>23793</v>
      </c>
      <c r="F4238" s="295" t="str">
        <f>IFERROR(__xludf.DUMMYFUNCTION("IF(B4238="""","""",IFERROR(VLOOKUP(TO_TEXT(B4238),PEDIDOS!D:I,6,0),IFERROR(VLOOKUP(B4238*1,PEDIDOS!D:I,6,0),"" "")))")," ")</f>
        <v> </v>
      </c>
      <c r="G4238" s="307"/>
      <c r="H4238" s="304"/>
    </row>
    <row r="4239">
      <c r="A4239" s="302" t="s">
        <v>85</v>
      </c>
      <c r="B4239" s="291" t="s">
        <v>23830</v>
      </c>
      <c r="C4239" s="292" t="s">
        <v>48</v>
      </c>
      <c r="D4239" s="293">
        <f t="shared" si="2"/>
        <v>0</v>
      </c>
      <c r="E4239" s="294" t="s">
        <v>23793</v>
      </c>
      <c r="F4239" s="295" t="str">
        <f>IFERROR(__xludf.DUMMYFUNCTION("IF(B4239="""","""",IFERROR(VLOOKUP(TO_TEXT(B4239),PEDIDOS!D:I,6,0),IFERROR(VLOOKUP(B4239*1,PEDIDOS!D:I,6,0),"" "")))")," ")</f>
        <v> </v>
      </c>
      <c r="G4239" s="307"/>
      <c r="H4239" s="304"/>
    </row>
    <row r="4240">
      <c r="A4240" s="302" t="s">
        <v>85</v>
      </c>
      <c r="B4240" s="291" t="s">
        <v>23831</v>
      </c>
      <c r="C4240" s="292" t="s">
        <v>48</v>
      </c>
      <c r="D4240" s="293">
        <f t="shared" si="2"/>
        <v>0</v>
      </c>
      <c r="E4240" s="294" t="s">
        <v>23793</v>
      </c>
      <c r="F4240" s="295" t="str">
        <f>IFERROR(__xludf.DUMMYFUNCTION("IF(B4240="""","""",IFERROR(VLOOKUP(TO_TEXT(B4240),PEDIDOS!D:I,6,0),IFERROR(VLOOKUP(B4240*1,PEDIDOS!D:I,6,0),"" "")))")," ")</f>
        <v> </v>
      </c>
      <c r="G4240" s="307"/>
      <c r="H4240" s="304"/>
    </row>
    <row r="4241">
      <c r="A4241" s="302" t="s">
        <v>85</v>
      </c>
      <c r="B4241" s="291" t="s">
        <v>23832</v>
      </c>
      <c r="C4241" s="292" t="s">
        <v>48</v>
      </c>
      <c r="D4241" s="293">
        <f t="shared" si="2"/>
        <v>0</v>
      </c>
      <c r="E4241" s="294" t="s">
        <v>23793</v>
      </c>
      <c r="F4241" s="295" t="str">
        <f>IFERROR(__xludf.DUMMYFUNCTION("IF(B4241="""","""",IFERROR(VLOOKUP(TO_TEXT(B4241),PEDIDOS!D:I,6,0),IFERROR(VLOOKUP(B4241*1,PEDIDOS!D:I,6,0),"" "")))")," ")</f>
        <v> </v>
      </c>
      <c r="G4241" s="307"/>
      <c r="H4241" s="304"/>
    </row>
    <row r="4242">
      <c r="A4242" s="302" t="s">
        <v>85</v>
      </c>
      <c r="B4242" s="291" t="s">
        <v>23833</v>
      </c>
      <c r="C4242" s="292" t="s">
        <v>48</v>
      </c>
      <c r="D4242" s="293">
        <f t="shared" si="2"/>
        <v>0</v>
      </c>
      <c r="E4242" s="294" t="s">
        <v>23793</v>
      </c>
      <c r="F4242" s="295" t="str">
        <f>IFERROR(__xludf.DUMMYFUNCTION("IF(B4242="""","""",IFERROR(VLOOKUP(TO_TEXT(B4242),PEDIDOS!D:I,6,0),IFERROR(VLOOKUP(B4242*1,PEDIDOS!D:I,6,0),"" "")))")," ")</f>
        <v> </v>
      </c>
      <c r="G4242" s="307"/>
      <c r="H4242" s="304"/>
    </row>
    <row r="4243">
      <c r="A4243" s="302" t="s">
        <v>85</v>
      </c>
      <c r="B4243" s="291" t="s">
        <v>23834</v>
      </c>
      <c r="C4243" s="292" t="s">
        <v>48</v>
      </c>
      <c r="D4243" s="293">
        <f t="shared" si="2"/>
        <v>0</v>
      </c>
      <c r="E4243" s="294" t="s">
        <v>23793</v>
      </c>
      <c r="F4243" s="295" t="str">
        <f>IFERROR(__xludf.DUMMYFUNCTION("IF(B4243="""","""",IFERROR(VLOOKUP(TO_TEXT(B4243),PEDIDOS!D:I,6,0),IFERROR(VLOOKUP(B4243*1,PEDIDOS!D:I,6,0),"" "")))")," ")</f>
        <v> </v>
      </c>
      <c r="G4243" s="307"/>
      <c r="H4243" s="304"/>
    </row>
    <row r="4244">
      <c r="A4244" s="302" t="s">
        <v>85</v>
      </c>
      <c r="B4244" s="291" t="s">
        <v>23835</v>
      </c>
      <c r="C4244" s="292" t="s">
        <v>48</v>
      </c>
      <c r="D4244" s="293">
        <f t="shared" si="2"/>
        <v>0</v>
      </c>
      <c r="E4244" s="294" t="s">
        <v>23793</v>
      </c>
      <c r="F4244" s="295" t="str">
        <f>IFERROR(__xludf.DUMMYFUNCTION("IF(B4244="""","""",IFERROR(VLOOKUP(TO_TEXT(B4244),PEDIDOS!D:I,6,0),IFERROR(VLOOKUP(B4244*1,PEDIDOS!D:I,6,0),"" "")))")," ")</f>
        <v> </v>
      </c>
      <c r="G4244" s="307"/>
      <c r="H4244" s="304"/>
    </row>
    <row r="4245">
      <c r="A4245" s="302" t="s">
        <v>85</v>
      </c>
      <c r="B4245" s="291" t="s">
        <v>23836</v>
      </c>
      <c r="C4245" s="292" t="s">
        <v>48</v>
      </c>
      <c r="D4245" s="293">
        <f t="shared" si="2"/>
        <v>0</v>
      </c>
      <c r="E4245" s="294" t="s">
        <v>23793</v>
      </c>
      <c r="F4245" s="295" t="str">
        <f>IFERROR(__xludf.DUMMYFUNCTION("IF(B4245="""","""",IFERROR(VLOOKUP(TO_TEXT(B4245),PEDIDOS!D:I,6,0),IFERROR(VLOOKUP(B4245*1,PEDIDOS!D:I,6,0),"" "")))")," ")</f>
        <v> </v>
      </c>
      <c r="G4245" s="307"/>
      <c r="H4245" s="304"/>
    </row>
    <row r="4246">
      <c r="A4246" s="302" t="s">
        <v>85</v>
      </c>
      <c r="B4246" s="291" t="s">
        <v>23837</v>
      </c>
      <c r="C4246" s="292" t="s">
        <v>48</v>
      </c>
      <c r="D4246" s="293">
        <f t="shared" si="2"/>
        <v>0</v>
      </c>
      <c r="E4246" s="294" t="s">
        <v>23793</v>
      </c>
      <c r="F4246" s="295" t="str">
        <f>IFERROR(__xludf.DUMMYFUNCTION("IF(B4246="""","""",IFERROR(VLOOKUP(TO_TEXT(B4246),PEDIDOS!D:I,6,0),IFERROR(VLOOKUP(B4246*1,PEDIDOS!D:I,6,0),"" "")))")," ")</f>
        <v> </v>
      </c>
      <c r="G4246" s="307"/>
      <c r="H4246" s="304"/>
    </row>
    <row r="4247">
      <c r="A4247" s="302" t="s">
        <v>85</v>
      </c>
      <c r="B4247" s="291" t="s">
        <v>23838</v>
      </c>
      <c r="C4247" s="292" t="s">
        <v>48</v>
      </c>
      <c r="D4247" s="293">
        <f t="shared" si="2"/>
        <v>0</v>
      </c>
      <c r="E4247" s="294" t="s">
        <v>23793</v>
      </c>
      <c r="F4247" s="295" t="str">
        <f>IFERROR(__xludf.DUMMYFUNCTION("IF(B4247="""","""",IFERROR(VLOOKUP(TO_TEXT(B4247),PEDIDOS!D:I,6,0),IFERROR(VLOOKUP(B4247*1,PEDIDOS!D:I,6,0),"" "")))")," ")</f>
        <v> </v>
      </c>
      <c r="G4247" s="307"/>
      <c r="H4247" s="304"/>
    </row>
    <row r="4248">
      <c r="A4248" s="302" t="s">
        <v>85</v>
      </c>
      <c r="B4248" s="291" t="s">
        <v>23839</v>
      </c>
      <c r="C4248" s="292" t="s">
        <v>48</v>
      </c>
      <c r="D4248" s="293">
        <f t="shared" si="2"/>
        <v>0</v>
      </c>
      <c r="E4248" s="294" t="s">
        <v>23793</v>
      </c>
      <c r="F4248" s="295" t="str">
        <f>IFERROR(__xludf.DUMMYFUNCTION("IF(B4248="""","""",IFERROR(VLOOKUP(TO_TEXT(B4248),PEDIDOS!D:I,6,0),IFERROR(VLOOKUP(B4248*1,PEDIDOS!D:I,6,0),"" "")))")," ")</f>
        <v> </v>
      </c>
      <c r="G4248" s="307"/>
      <c r="H4248" s="304"/>
    </row>
    <row r="4249">
      <c r="A4249" s="302" t="s">
        <v>85</v>
      </c>
      <c r="B4249" s="291" t="s">
        <v>23840</v>
      </c>
      <c r="C4249" s="292" t="s">
        <v>48</v>
      </c>
      <c r="D4249" s="293">
        <f t="shared" si="2"/>
        <v>0</v>
      </c>
      <c r="E4249" s="294" t="s">
        <v>23793</v>
      </c>
      <c r="F4249" s="295" t="str">
        <f>IFERROR(__xludf.DUMMYFUNCTION("IF(B4249="""","""",IFERROR(VLOOKUP(TO_TEXT(B4249),PEDIDOS!D:I,6,0),IFERROR(VLOOKUP(B4249*1,PEDIDOS!D:I,6,0),"" "")))")," ")</f>
        <v> </v>
      </c>
      <c r="G4249" s="307"/>
      <c r="H4249" s="304"/>
    </row>
    <row r="4250">
      <c r="A4250" s="302" t="s">
        <v>85</v>
      </c>
      <c r="B4250" s="291" t="s">
        <v>23841</v>
      </c>
      <c r="C4250" s="292" t="s">
        <v>48</v>
      </c>
      <c r="D4250" s="293">
        <f t="shared" si="2"/>
        <v>0</v>
      </c>
      <c r="E4250" s="294" t="s">
        <v>23793</v>
      </c>
      <c r="F4250" s="295" t="str">
        <f>IFERROR(__xludf.DUMMYFUNCTION("IF(B4250="""","""",IFERROR(VLOOKUP(TO_TEXT(B4250),PEDIDOS!D:I,6,0),IFERROR(VLOOKUP(B4250*1,PEDIDOS!D:I,6,0),"" "")))")," ")</f>
        <v> </v>
      </c>
      <c r="G4250" s="307"/>
      <c r="H4250" s="304"/>
    </row>
    <row r="4251">
      <c r="A4251" s="302" t="s">
        <v>85</v>
      </c>
      <c r="B4251" s="291" t="s">
        <v>23842</v>
      </c>
      <c r="C4251" s="292" t="s">
        <v>48</v>
      </c>
      <c r="D4251" s="293">
        <f t="shared" si="2"/>
        <v>0</v>
      </c>
      <c r="E4251" s="294" t="s">
        <v>23793</v>
      </c>
      <c r="F4251" s="295" t="str">
        <f>IFERROR(__xludf.DUMMYFUNCTION("IF(B4251="""","""",IFERROR(VLOOKUP(TO_TEXT(B4251),PEDIDOS!D:I,6,0),IFERROR(VLOOKUP(B4251*1,PEDIDOS!D:I,6,0),"" "")))")," ")</f>
        <v> </v>
      </c>
      <c r="G4251" s="307"/>
      <c r="H4251" s="304"/>
    </row>
    <row r="4252">
      <c r="A4252" s="302" t="s">
        <v>85</v>
      </c>
      <c r="B4252" s="291" t="s">
        <v>23843</v>
      </c>
      <c r="C4252" s="292" t="s">
        <v>48</v>
      </c>
      <c r="D4252" s="293">
        <f t="shared" si="2"/>
        <v>0</v>
      </c>
      <c r="E4252" s="294" t="s">
        <v>23793</v>
      </c>
      <c r="F4252" s="295" t="str">
        <f>IFERROR(__xludf.DUMMYFUNCTION("IF(B4252="""","""",IFERROR(VLOOKUP(TO_TEXT(B4252),PEDIDOS!D:I,6,0),IFERROR(VLOOKUP(B4252*1,PEDIDOS!D:I,6,0),"" "")))")," ")</f>
        <v> </v>
      </c>
      <c r="G4252" s="307"/>
      <c r="H4252" s="304"/>
    </row>
    <row r="4253">
      <c r="A4253" s="302" t="s">
        <v>91</v>
      </c>
      <c r="B4253" s="291" t="s">
        <v>23844</v>
      </c>
      <c r="C4253" s="292" t="s">
        <v>48</v>
      </c>
      <c r="D4253" s="293">
        <f t="shared" si="2"/>
        <v>0</v>
      </c>
      <c r="E4253" s="294" t="s">
        <v>23793</v>
      </c>
      <c r="F4253" s="295" t="str">
        <f>IFERROR(__xludf.DUMMYFUNCTION("IF(B4253="""","""",IFERROR(VLOOKUP(TO_TEXT(B4253),PEDIDOS!D:I,6,0),IFERROR(VLOOKUP(B4253*1,PEDIDOS!D:I,6,0),"" "")))")," ")</f>
        <v> </v>
      </c>
      <c r="G4253" s="307"/>
      <c r="H4253" s="304"/>
    </row>
    <row r="4254">
      <c r="A4254" s="302" t="s">
        <v>91</v>
      </c>
      <c r="B4254" s="291" t="s">
        <v>23845</v>
      </c>
      <c r="C4254" s="292" t="s">
        <v>48</v>
      </c>
      <c r="D4254" s="293">
        <f t="shared" si="2"/>
        <v>0</v>
      </c>
      <c r="E4254" s="294" t="s">
        <v>23793</v>
      </c>
      <c r="F4254" s="295" t="str">
        <f>IFERROR(__xludf.DUMMYFUNCTION("IF(B4254="""","""",IFERROR(VLOOKUP(TO_TEXT(B4254),PEDIDOS!D:I,6,0),IFERROR(VLOOKUP(B4254*1,PEDIDOS!D:I,6,0),"" "")))")," ")</f>
        <v> </v>
      </c>
      <c r="G4254" s="307"/>
      <c r="H4254" s="304"/>
    </row>
    <row r="4255">
      <c r="A4255" s="302" t="s">
        <v>91</v>
      </c>
      <c r="B4255" s="291" t="s">
        <v>23846</v>
      </c>
      <c r="C4255" s="292" t="s">
        <v>48</v>
      </c>
      <c r="D4255" s="293">
        <f t="shared" si="2"/>
        <v>0</v>
      </c>
      <c r="E4255" s="294" t="s">
        <v>23793</v>
      </c>
      <c r="F4255" s="295" t="str">
        <f>IFERROR(__xludf.DUMMYFUNCTION("IF(B4255="""","""",IFERROR(VLOOKUP(TO_TEXT(B4255),PEDIDOS!D:I,6,0),IFERROR(VLOOKUP(B4255*1,PEDIDOS!D:I,6,0),"" "")))")," ")</f>
        <v> </v>
      </c>
      <c r="G4255" s="307"/>
      <c r="H4255" s="304"/>
    </row>
    <row r="4256">
      <c r="A4256" s="302" t="s">
        <v>91</v>
      </c>
      <c r="B4256" s="291" t="s">
        <v>23847</v>
      </c>
      <c r="C4256" s="292" t="s">
        <v>48</v>
      </c>
      <c r="D4256" s="293">
        <f t="shared" si="2"/>
        <v>0</v>
      </c>
      <c r="E4256" s="294" t="s">
        <v>23793</v>
      </c>
      <c r="F4256" s="295" t="str">
        <f>IFERROR(__xludf.DUMMYFUNCTION("IF(B4256="""","""",IFERROR(VLOOKUP(TO_TEXT(B4256),PEDIDOS!D:I,6,0),IFERROR(VLOOKUP(B4256*1,PEDIDOS!D:I,6,0),"" "")))")," ")</f>
        <v> </v>
      </c>
      <c r="G4256" s="307"/>
      <c r="H4256" s="304"/>
    </row>
    <row r="4257">
      <c r="A4257" s="302" t="s">
        <v>91</v>
      </c>
      <c r="B4257" s="291" t="s">
        <v>23848</v>
      </c>
      <c r="C4257" s="292" t="s">
        <v>48</v>
      </c>
      <c r="D4257" s="293">
        <f t="shared" si="2"/>
        <v>0</v>
      </c>
      <c r="E4257" s="294" t="s">
        <v>23793</v>
      </c>
      <c r="F4257" s="295" t="str">
        <f>IFERROR(__xludf.DUMMYFUNCTION("IF(B4257="""","""",IFERROR(VLOOKUP(TO_TEXT(B4257),PEDIDOS!D:I,6,0),IFERROR(VLOOKUP(B4257*1,PEDIDOS!D:I,6,0),"" "")))")," ")</f>
        <v> </v>
      </c>
      <c r="G4257" s="307"/>
      <c r="H4257" s="304"/>
    </row>
    <row r="4258">
      <c r="A4258" s="302" t="s">
        <v>91</v>
      </c>
      <c r="B4258" s="291" t="s">
        <v>23849</v>
      </c>
      <c r="C4258" s="292" t="s">
        <v>48</v>
      </c>
      <c r="D4258" s="293">
        <f t="shared" si="2"/>
        <v>0</v>
      </c>
      <c r="E4258" s="294" t="s">
        <v>23793</v>
      </c>
      <c r="F4258" s="295" t="str">
        <f>IFERROR(__xludf.DUMMYFUNCTION("IF(B4258="""","""",IFERROR(VLOOKUP(TO_TEXT(B4258),PEDIDOS!D:I,6,0),IFERROR(VLOOKUP(B4258*1,PEDIDOS!D:I,6,0),"" "")))")," ")</f>
        <v> </v>
      </c>
      <c r="G4258" s="307"/>
      <c r="H4258" s="304"/>
    </row>
    <row r="4259">
      <c r="A4259" s="302" t="s">
        <v>91</v>
      </c>
      <c r="B4259" s="291" t="s">
        <v>23850</v>
      </c>
      <c r="C4259" s="292" t="s">
        <v>48</v>
      </c>
      <c r="D4259" s="293">
        <f t="shared" si="2"/>
        <v>0</v>
      </c>
      <c r="E4259" s="294" t="s">
        <v>23793</v>
      </c>
      <c r="F4259" s="295" t="str">
        <f>IFERROR(__xludf.DUMMYFUNCTION("IF(B4259="""","""",IFERROR(VLOOKUP(TO_TEXT(B4259),PEDIDOS!D:I,6,0),IFERROR(VLOOKUP(B4259*1,PEDIDOS!D:I,6,0),"" "")))")," ")</f>
        <v> </v>
      </c>
      <c r="G4259" s="307"/>
      <c r="H4259" s="304"/>
    </row>
    <row r="4260">
      <c r="A4260" s="302" t="s">
        <v>91</v>
      </c>
      <c r="B4260" s="291" t="s">
        <v>23851</v>
      </c>
      <c r="C4260" s="292" t="s">
        <v>48</v>
      </c>
      <c r="D4260" s="293">
        <f t="shared" si="2"/>
        <v>0</v>
      </c>
      <c r="E4260" s="294" t="s">
        <v>23793</v>
      </c>
      <c r="F4260" s="295" t="str">
        <f>IFERROR(__xludf.DUMMYFUNCTION("IF(B4260="""","""",IFERROR(VLOOKUP(TO_TEXT(B4260),PEDIDOS!D:I,6,0),IFERROR(VLOOKUP(B4260*1,PEDIDOS!D:I,6,0),"" "")))")," ")</f>
        <v> </v>
      </c>
      <c r="G4260" s="307"/>
      <c r="H4260" s="304"/>
    </row>
    <row r="4261">
      <c r="A4261" s="302" t="s">
        <v>91</v>
      </c>
      <c r="B4261" s="291" t="s">
        <v>23852</v>
      </c>
      <c r="C4261" s="292" t="s">
        <v>48</v>
      </c>
      <c r="D4261" s="293">
        <f t="shared" si="2"/>
        <v>0</v>
      </c>
      <c r="E4261" s="294" t="s">
        <v>23793</v>
      </c>
      <c r="F4261" s="295" t="str">
        <f>IFERROR(__xludf.DUMMYFUNCTION("IF(B4261="""","""",IFERROR(VLOOKUP(TO_TEXT(B4261),PEDIDOS!D:I,6,0),IFERROR(VLOOKUP(B4261*1,PEDIDOS!D:I,6,0),"" "")))")," ")</f>
        <v> </v>
      </c>
      <c r="G4261" s="307"/>
      <c r="H4261" s="304"/>
    </row>
    <row r="4262">
      <c r="A4262" s="302" t="s">
        <v>91</v>
      </c>
      <c r="B4262" s="291" t="s">
        <v>23853</v>
      </c>
      <c r="C4262" s="292" t="s">
        <v>48</v>
      </c>
      <c r="D4262" s="293">
        <f t="shared" si="2"/>
        <v>0</v>
      </c>
      <c r="E4262" s="294" t="s">
        <v>23793</v>
      </c>
      <c r="F4262" s="295" t="str">
        <f>IFERROR(__xludf.DUMMYFUNCTION("IF(B4262="""","""",IFERROR(VLOOKUP(TO_TEXT(B4262),PEDIDOS!D:I,6,0),IFERROR(VLOOKUP(B4262*1,PEDIDOS!D:I,6,0),"" "")))")," ")</f>
        <v> </v>
      </c>
      <c r="G4262" s="307"/>
      <c r="H4262" s="304"/>
    </row>
    <row r="4263">
      <c r="A4263" s="302" t="s">
        <v>91</v>
      </c>
      <c r="B4263" s="291" t="s">
        <v>23854</v>
      </c>
      <c r="C4263" s="292" t="s">
        <v>48</v>
      </c>
      <c r="D4263" s="293">
        <f t="shared" si="2"/>
        <v>0</v>
      </c>
      <c r="E4263" s="294" t="s">
        <v>23793</v>
      </c>
      <c r="F4263" s="295" t="str">
        <f>IFERROR(__xludf.DUMMYFUNCTION("IF(B4263="""","""",IFERROR(VLOOKUP(TO_TEXT(B4263),PEDIDOS!D:I,6,0),IFERROR(VLOOKUP(B4263*1,PEDIDOS!D:I,6,0),"" "")))")," ")</f>
        <v> </v>
      </c>
      <c r="G4263" s="307"/>
      <c r="H4263" s="304"/>
    </row>
    <row r="4264">
      <c r="A4264" s="302" t="s">
        <v>91</v>
      </c>
      <c r="B4264" s="291" t="s">
        <v>23855</v>
      </c>
      <c r="C4264" s="292" t="s">
        <v>48</v>
      </c>
      <c r="D4264" s="293">
        <f t="shared" si="2"/>
        <v>0</v>
      </c>
      <c r="E4264" s="294" t="s">
        <v>23793</v>
      </c>
      <c r="F4264" s="295" t="str">
        <f>IFERROR(__xludf.DUMMYFUNCTION("IF(B4264="""","""",IFERROR(VLOOKUP(TO_TEXT(B4264),PEDIDOS!D:I,6,0),IFERROR(VLOOKUP(B4264*1,PEDIDOS!D:I,6,0),"" "")))")," ")</f>
        <v> </v>
      </c>
      <c r="G4264" s="307"/>
      <c r="H4264" s="304"/>
    </row>
    <row r="4265">
      <c r="A4265" s="302" t="s">
        <v>91</v>
      </c>
      <c r="B4265" s="291" t="s">
        <v>23856</v>
      </c>
      <c r="C4265" s="292" t="s">
        <v>48</v>
      </c>
      <c r="D4265" s="293">
        <f t="shared" si="2"/>
        <v>0</v>
      </c>
      <c r="E4265" s="294" t="s">
        <v>23793</v>
      </c>
      <c r="F4265" s="295" t="str">
        <f>IFERROR(__xludf.DUMMYFUNCTION("IF(B4265="""","""",IFERROR(VLOOKUP(TO_TEXT(B4265),PEDIDOS!D:I,6,0),IFERROR(VLOOKUP(B4265*1,PEDIDOS!D:I,6,0),"" "")))")," ")</f>
        <v> </v>
      </c>
      <c r="G4265" s="307"/>
      <c r="H4265" s="304"/>
    </row>
    <row r="4266">
      <c r="A4266" s="302" t="s">
        <v>91</v>
      </c>
      <c r="B4266" s="291" t="s">
        <v>23857</v>
      </c>
      <c r="C4266" s="292" t="s">
        <v>48</v>
      </c>
      <c r="D4266" s="293">
        <f t="shared" si="2"/>
        <v>0</v>
      </c>
      <c r="E4266" s="294" t="s">
        <v>23793</v>
      </c>
      <c r="F4266" s="295" t="str">
        <f>IFERROR(__xludf.DUMMYFUNCTION("IF(B4266="""","""",IFERROR(VLOOKUP(TO_TEXT(B4266),PEDIDOS!D:I,6,0),IFERROR(VLOOKUP(B4266*1,PEDIDOS!D:I,6,0),"" "")))")," ")</f>
        <v> </v>
      </c>
      <c r="G4266" s="307"/>
      <c r="H4266" s="304"/>
    </row>
    <row r="4267">
      <c r="A4267" s="302" t="s">
        <v>91</v>
      </c>
      <c r="B4267" s="291" t="s">
        <v>23858</v>
      </c>
      <c r="C4267" s="292" t="s">
        <v>48</v>
      </c>
      <c r="D4267" s="293">
        <f t="shared" si="2"/>
        <v>0</v>
      </c>
      <c r="E4267" s="294" t="s">
        <v>23793</v>
      </c>
      <c r="F4267" s="295" t="str">
        <f>IFERROR(__xludf.DUMMYFUNCTION("IF(B4267="""","""",IFERROR(VLOOKUP(TO_TEXT(B4267),PEDIDOS!D:I,6,0),IFERROR(VLOOKUP(B4267*1,PEDIDOS!D:I,6,0),"" "")))")," ")</f>
        <v> </v>
      </c>
      <c r="G4267" s="307"/>
      <c r="H4267" s="304"/>
    </row>
    <row r="4268">
      <c r="A4268" s="302" t="s">
        <v>91</v>
      </c>
      <c r="B4268" s="291" t="s">
        <v>23859</v>
      </c>
      <c r="C4268" s="292" t="s">
        <v>48</v>
      </c>
      <c r="D4268" s="293">
        <f t="shared" si="2"/>
        <v>0</v>
      </c>
      <c r="E4268" s="294" t="s">
        <v>23793</v>
      </c>
      <c r="F4268" s="295" t="str">
        <f>IFERROR(__xludf.DUMMYFUNCTION("IF(B4268="""","""",IFERROR(VLOOKUP(TO_TEXT(B4268),PEDIDOS!D:I,6,0),IFERROR(VLOOKUP(B4268*1,PEDIDOS!D:I,6,0),"" "")))")," ")</f>
        <v> </v>
      </c>
      <c r="G4268" s="307"/>
      <c r="H4268" s="304"/>
    </row>
    <row r="4269">
      <c r="A4269" s="302" t="s">
        <v>91</v>
      </c>
      <c r="B4269" s="291" t="s">
        <v>23860</v>
      </c>
      <c r="C4269" s="292" t="s">
        <v>48</v>
      </c>
      <c r="D4269" s="293">
        <f t="shared" si="2"/>
        <v>0</v>
      </c>
      <c r="E4269" s="294" t="s">
        <v>23793</v>
      </c>
      <c r="F4269" s="295" t="str">
        <f>IFERROR(__xludf.DUMMYFUNCTION("IF(B4269="""","""",IFERROR(VLOOKUP(TO_TEXT(B4269),PEDIDOS!D:I,6,0),IFERROR(VLOOKUP(B4269*1,PEDIDOS!D:I,6,0),"" "")))")," ")</f>
        <v> </v>
      </c>
      <c r="G4269" s="307"/>
      <c r="H4269" s="304"/>
    </row>
    <row r="4270">
      <c r="A4270" s="302" t="s">
        <v>91</v>
      </c>
      <c r="B4270" s="291" t="s">
        <v>23861</v>
      </c>
      <c r="C4270" s="292" t="s">
        <v>48</v>
      </c>
      <c r="D4270" s="293">
        <f t="shared" si="2"/>
        <v>0</v>
      </c>
      <c r="E4270" s="294" t="s">
        <v>23793</v>
      </c>
      <c r="F4270" s="295" t="str">
        <f>IFERROR(__xludf.DUMMYFUNCTION("IF(B4270="""","""",IFERROR(VLOOKUP(TO_TEXT(B4270),PEDIDOS!D:I,6,0),IFERROR(VLOOKUP(B4270*1,PEDIDOS!D:I,6,0),"" "")))")," ")</f>
        <v> </v>
      </c>
      <c r="G4270" s="307"/>
      <c r="H4270" s="304"/>
    </row>
    <row r="4271">
      <c r="A4271" s="302" t="s">
        <v>91</v>
      </c>
      <c r="B4271" s="291" t="s">
        <v>23862</v>
      </c>
      <c r="C4271" s="292" t="s">
        <v>48</v>
      </c>
      <c r="D4271" s="293">
        <f t="shared" si="2"/>
        <v>0</v>
      </c>
      <c r="E4271" s="294" t="s">
        <v>23793</v>
      </c>
      <c r="F4271" s="295" t="str">
        <f>IFERROR(__xludf.DUMMYFUNCTION("IF(B4271="""","""",IFERROR(VLOOKUP(TO_TEXT(B4271),PEDIDOS!D:I,6,0),IFERROR(VLOOKUP(B4271*1,PEDIDOS!D:I,6,0),"" "")))")," ")</f>
        <v> </v>
      </c>
      <c r="G4271" s="307"/>
      <c r="H4271" s="304"/>
    </row>
    <row r="4272">
      <c r="A4272" s="302" t="s">
        <v>91</v>
      </c>
      <c r="B4272" s="291" t="s">
        <v>23863</v>
      </c>
      <c r="C4272" s="292" t="s">
        <v>48</v>
      </c>
      <c r="D4272" s="293">
        <f t="shared" si="2"/>
        <v>0</v>
      </c>
      <c r="E4272" s="294" t="s">
        <v>23793</v>
      </c>
      <c r="F4272" s="295" t="str">
        <f>IFERROR(__xludf.DUMMYFUNCTION("IF(B4272="""","""",IFERROR(VLOOKUP(TO_TEXT(B4272),PEDIDOS!D:I,6,0),IFERROR(VLOOKUP(B4272*1,PEDIDOS!D:I,6,0),"" "")))")," ")</f>
        <v> </v>
      </c>
      <c r="G4272" s="307"/>
      <c r="H4272" s="304"/>
    </row>
    <row r="4273">
      <c r="A4273" s="302" t="s">
        <v>91</v>
      </c>
      <c r="B4273" s="291" t="s">
        <v>23864</v>
      </c>
      <c r="C4273" s="292" t="s">
        <v>48</v>
      </c>
      <c r="D4273" s="293">
        <f t="shared" si="2"/>
        <v>0</v>
      </c>
      <c r="E4273" s="294" t="s">
        <v>23793</v>
      </c>
      <c r="F4273" s="295" t="str">
        <f>IFERROR(__xludf.DUMMYFUNCTION("IF(B4273="""","""",IFERROR(VLOOKUP(TO_TEXT(B4273),PEDIDOS!D:I,6,0),IFERROR(VLOOKUP(B4273*1,PEDIDOS!D:I,6,0),"" "")))")," ")</f>
        <v> </v>
      </c>
      <c r="G4273" s="307"/>
      <c r="H4273" s="304"/>
    </row>
    <row r="4274">
      <c r="A4274" s="302" t="s">
        <v>91</v>
      </c>
      <c r="B4274" s="291" t="s">
        <v>23865</v>
      </c>
      <c r="C4274" s="292" t="s">
        <v>48</v>
      </c>
      <c r="D4274" s="293">
        <f t="shared" si="2"/>
        <v>0</v>
      </c>
      <c r="E4274" s="294" t="s">
        <v>23793</v>
      </c>
      <c r="F4274" s="295" t="str">
        <f>IFERROR(__xludf.DUMMYFUNCTION("IF(B4274="""","""",IFERROR(VLOOKUP(TO_TEXT(B4274),PEDIDOS!D:I,6,0),IFERROR(VLOOKUP(B4274*1,PEDIDOS!D:I,6,0),"" "")))")," ")</f>
        <v> </v>
      </c>
      <c r="G4274" s="307"/>
      <c r="H4274" s="304"/>
    </row>
    <row r="4275">
      <c r="A4275" s="302" t="s">
        <v>91</v>
      </c>
      <c r="B4275" s="291" t="s">
        <v>23866</v>
      </c>
      <c r="C4275" s="292" t="s">
        <v>48</v>
      </c>
      <c r="D4275" s="293">
        <f t="shared" si="2"/>
        <v>0</v>
      </c>
      <c r="E4275" s="294" t="s">
        <v>23793</v>
      </c>
      <c r="F4275" s="295" t="str">
        <f>IFERROR(__xludf.DUMMYFUNCTION("IF(B4275="""","""",IFERROR(VLOOKUP(TO_TEXT(B4275),PEDIDOS!D:I,6,0),IFERROR(VLOOKUP(B4275*1,PEDIDOS!D:I,6,0),"" "")))")," ")</f>
        <v> </v>
      </c>
      <c r="G4275" s="307"/>
      <c r="H4275" s="304"/>
    </row>
    <row r="4276">
      <c r="A4276" s="302" t="s">
        <v>91</v>
      </c>
      <c r="B4276" s="291" t="s">
        <v>23867</v>
      </c>
      <c r="C4276" s="292" t="s">
        <v>48</v>
      </c>
      <c r="D4276" s="293">
        <f t="shared" si="2"/>
        <v>0</v>
      </c>
      <c r="E4276" s="294" t="s">
        <v>23793</v>
      </c>
      <c r="F4276" s="295" t="str">
        <f>IFERROR(__xludf.DUMMYFUNCTION("IF(B4276="""","""",IFERROR(VLOOKUP(TO_TEXT(B4276),PEDIDOS!D:I,6,0),IFERROR(VLOOKUP(B4276*1,PEDIDOS!D:I,6,0),"" "")))")," ")</f>
        <v> </v>
      </c>
      <c r="G4276" s="307"/>
      <c r="H4276" s="304"/>
    </row>
    <row r="4277">
      <c r="A4277" s="302" t="s">
        <v>91</v>
      </c>
      <c r="B4277" s="291" t="s">
        <v>23868</v>
      </c>
      <c r="C4277" s="292" t="s">
        <v>48</v>
      </c>
      <c r="D4277" s="293">
        <f t="shared" si="2"/>
        <v>0</v>
      </c>
      <c r="E4277" s="294" t="s">
        <v>23793</v>
      </c>
      <c r="F4277" s="295" t="str">
        <f>IFERROR(__xludf.DUMMYFUNCTION("IF(B4277="""","""",IFERROR(VLOOKUP(TO_TEXT(B4277),PEDIDOS!D:I,6,0),IFERROR(VLOOKUP(B4277*1,PEDIDOS!D:I,6,0),"" "")))")," ")</f>
        <v> </v>
      </c>
      <c r="G4277" s="307"/>
      <c r="H4277" s="304"/>
    </row>
    <row r="4278">
      <c r="A4278" s="302" t="s">
        <v>91</v>
      </c>
      <c r="B4278" s="291" t="s">
        <v>23869</v>
      </c>
      <c r="C4278" s="292" t="s">
        <v>48</v>
      </c>
      <c r="D4278" s="293">
        <f t="shared" si="2"/>
        <v>0</v>
      </c>
      <c r="E4278" s="294" t="s">
        <v>23793</v>
      </c>
      <c r="F4278" s="295" t="str">
        <f>IFERROR(__xludf.DUMMYFUNCTION("IF(B4278="""","""",IFERROR(VLOOKUP(TO_TEXT(B4278),PEDIDOS!D:I,6,0),IFERROR(VLOOKUP(B4278*1,PEDIDOS!D:I,6,0),"" "")))")," ")</f>
        <v> </v>
      </c>
      <c r="G4278" s="307"/>
      <c r="H4278" s="304"/>
    </row>
    <row r="4279">
      <c r="A4279" s="302" t="s">
        <v>91</v>
      </c>
      <c r="B4279" s="291" t="s">
        <v>23870</v>
      </c>
      <c r="C4279" s="292" t="s">
        <v>48</v>
      </c>
      <c r="D4279" s="293">
        <f t="shared" si="2"/>
        <v>0</v>
      </c>
      <c r="E4279" s="294" t="s">
        <v>23793</v>
      </c>
      <c r="F4279" s="295" t="str">
        <f>IFERROR(__xludf.DUMMYFUNCTION("IF(B4279="""","""",IFERROR(VLOOKUP(TO_TEXT(B4279),PEDIDOS!D:I,6,0),IFERROR(VLOOKUP(B4279*1,PEDIDOS!D:I,6,0),"" "")))")," ")</f>
        <v> </v>
      </c>
      <c r="G4279" s="307"/>
      <c r="H4279" s="304"/>
    </row>
    <row r="4280">
      <c r="A4280" s="302" t="s">
        <v>91</v>
      </c>
      <c r="B4280" s="291" t="s">
        <v>23871</v>
      </c>
      <c r="C4280" s="292" t="s">
        <v>48</v>
      </c>
      <c r="D4280" s="293">
        <f t="shared" si="2"/>
        <v>0</v>
      </c>
      <c r="E4280" s="294" t="s">
        <v>23793</v>
      </c>
      <c r="F4280" s="295" t="str">
        <f>IFERROR(__xludf.DUMMYFUNCTION("IF(B4280="""","""",IFERROR(VLOOKUP(TO_TEXT(B4280),PEDIDOS!D:I,6,0),IFERROR(VLOOKUP(B4280*1,PEDIDOS!D:I,6,0),"" "")))")," ")</f>
        <v> </v>
      </c>
      <c r="G4280" s="307"/>
      <c r="H4280" s="304"/>
    </row>
    <row r="4281">
      <c r="A4281" s="302" t="s">
        <v>91</v>
      </c>
      <c r="B4281" s="291" t="s">
        <v>23872</v>
      </c>
      <c r="C4281" s="292" t="s">
        <v>48</v>
      </c>
      <c r="D4281" s="293">
        <f t="shared" si="2"/>
        <v>0</v>
      </c>
      <c r="E4281" s="294" t="s">
        <v>23793</v>
      </c>
      <c r="F4281" s="295" t="str">
        <f>IFERROR(__xludf.DUMMYFUNCTION("IF(B4281="""","""",IFERROR(VLOOKUP(TO_TEXT(B4281),PEDIDOS!D:I,6,0),IFERROR(VLOOKUP(B4281*1,PEDIDOS!D:I,6,0),"" "")))")," ")</f>
        <v> </v>
      </c>
      <c r="G4281" s="307"/>
      <c r="H4281" s="304"/>
    </row>
    <row r="4282">
      <c r="A4282" s="302" t="s">
        <v>91</v>
      </c>
      <c r="B4282" s="291" t="s">
        <v>23873</v>
      </c>
      <c r="C4282" s="292" t="s">
        <v>48</v>
      </c>
      <c r="D4282" s="293">
        <f t="shared" si="2"/>
        <v>0</v>
      </c>
      <c r="E4282" s="294" t="s">
        <v>23793</v>
      </c>
      <c r="F4282" s="295" t="str">
        <f>IFERROR(__xludf.DUMMYFUNCTION("IF(B4282="""","""",IFERROR(VLOOKUP(TO_TEXT(B4282),PEDIDOS!D:I,6,0),IFERROR(VLOOKUP(B4282*1,PEDIDOS!D:I,6,0),"" "")))")," ")</f>
        <v> </v>
      </c>
      <c r="G4282" s="307"/>
      <c r="H4282" s="304"/>
    </row>
    <row r="4283">
      <c r="A4283" s="302" t="s">
        <v>91</v>
      </c>
      <c r="B4283" s="291" t="s">
        <v>23874</v>
      </c>
      <c r="C4283" s="292" t="s">
        <v>48</v>
      </c>
      <c r="D4283" s="293">
        <f t="shared" si="2"/>
        <v>0</v>
      </c>
      <c r="E4283" s="294" t="s">
        <v>23793</v>
      </c>
      <c r="F4283" s="295" t="str">
        <f>IFERROR(__xludf.DUMMYFUNCTION("IF(B4283="""","""",IFERROR(VLOOKUP(TO_TEXT(B4283),PEDIDOS!D:I,6,0),IFERROR(VLOOKUP(B4283*1,PEDIDOS!D:I,6,0),"" "")))")," ")</f>
        <v> </v>
      </c>
      <c r="G4283" s="307"/>
      <c r="H4283" s="304"/>
    </row>
    <row r="4284">
      <c r="A4284" s="302" t="s">
        <v>91</v>
      </c>
      <c r="B4284" s="291" t="s">
        <v>23875</v>
      </c>
      <c r="C4284" s="292" t="s">
        <v>48</v>
      </c>
      <c r="D4284" s="293">
        <f t="shared" si="2"/>
        <v>0</v>
      </c>
      <c r="E4284" s="294" t="s">
        <v>23793</v>
      </c>
      <c r="F4284" s="295" t="str">
        <f>IFERROR(__xludf.DUMMYFUNCTION("IF(B4284="""","""",IFERROR(VLOOKUP(TO_TEXT(B4284),PEDIDOS!D:I,6,0),IFERROR(VLOOKUP(B4284*1,PEDIDOS!D:I,6,0),"" "")))")," ")</f>
        <v> </v>
      </c>
      <c r="G4284" s="307"/>
      <c r="H4284" s="304"/>
    </row>
    <row r="4285">
      <c r="A4285" s="302" t="s">
        <v>91</v>
      </c>
      <c r="B4285" s="291" t="s">
        <v>23876</v>
      </c>
      <c r="C4285" s="292" t="s">
        <v>48</v>
      </c>
      <c r="D4285" s="293">
        <f t="shared" si="2"/>
        <v>0</v>
      </c>
      <c r="E4285" s="294" t="s">
        <v>23793</v>
      </c>
      <c r="F4285" s="295" t="str">
        <f>IFERROR(__xludf.DUMMYFUNCTION("IF(B4285="""","""",IFERROR(VLOOKUP(TO_TEXT(B4285),PEDIDOS!D:I,6,0),IFERROR(VLOOKUP(B4285*1,PEDIDOS!D:I,6,0),"" "")))")," ")</f>
        <v> </v>
      </c>
      <c r="G4285" s="307"/>
      <c r="H4285" s="304"/>
    </row>
    <row r="4286">
      <c r="A4286" s="302" t="s">
        <v>91</v>
      </c>
      <c r="B4286" s="291" t="s">
        <v>23877</v>
      </c>
      <c r="C4286" s="292" t="s">
        <v>48</v>
      </c>
      <c r="D4286" s="293">
        <f t="shared" si="2"/>
        <v>0</v>
      </c>
      <c r="E4286" s="294" t="s">
        <v>23793</v>
      </c>
      <c r="F4286" s="295" t="str">
        <f>IFERROR(__xludf.DUMMYFUNCTION("IF(B4286="""","""",IFERROR(VLOOKUP(TO_TEXT(B4286),PEDIDOS!D:I,6,0),IFERROR(VLOOKUP(B4286*1,PEDIDOS!D:I,6,0),"" "")))")," ")</f>
        <v> </v>
      </c>
      <c r="G4286" s="307"/>
      <c r="H4286" s="304"/>
    </row>
    <row r="4287">
      <c r="A4287" s="302" t="s">
        <v>91</v>
      </c>
      <c r="B4287" s="291" t="s">
        <v>23878</v>
      </c>
      <c r="C4287" s="292" t="s">
        <v>48</v>
      </c>
      <c r="D4287" s="293">
        <f t="shared" si="2"/>
        <v>0</v>
      </c>
      <c r="E4287" s="294" t="s">
        <v>23793</v>
      </c>
      <c r="F4287" s="295" t="str">
        <f>IFERROR(__xludf.DUMMYFUNCTION("IF(B4287="""","""",IFERROR(VLOOKUP(TO_TEXT(B4287),PEDIDOS!D:I,6,0),IFERROR(VLOOKUP(B4287*1,PEDIDOS!D:I,6,0),"" "")))")," ")</f>
        <v> </v>
      </c>
      <c r="G4287" s="307"/>
      <c r="H4287" s="304"/>
    </row>
    <row r="4288">
      <c r="A4288" s="302" t="s">
        <v>91</v>
      </c>
      <c r="B4288" s="291" t="s">
        <v>23879</v>
      </c>
      <c r="C4288" s="292" t="s">
        <v>48</v>
      </c>
      <c r="D4288" s="293">
        <f t="shared" si="2"/>
        <v>0</v>
      </c>
      <c r="E4288" s="294" t="s">
        <v>23793</v>
      </c>
      <c r="F4288" s="295" t="str">
        <f>IFERROR(__xludf.DUMMYFUNCTION("IF(B4288="""","""",IFERROR(VLOOKUP(TO_TEXT(B4288),PEDIDOS!D:I,6,0),IFERROR(VLOOKUP(B4288*1,PEDIDOS!D:I,6,0),"" "")))")," ")</f>
        <v> </v>
      </c>
      <c r="G4288" s="307"/>
      <c r="H4288" s="304"/>
    </row>
    <row r="4289">
      <c r="A4289" s="302" t="s">
        <v>91</v>
      </c>
      <c r="B4289" s="291" t="s">
        <v>23880</v>
      </c>
      <c r="C4289" s="292" t="s">
        <v>48</v>
      </c>
      <c r="D4289" s="293">
        <f t="shared" si="2"/>
        <v>0</v>
      </c>
      <c r="E4289" s="294" t="s">
        <v>23793</v>
      </c>
      <c r="F4289" s="295" t="str">
        <f>IFERROR(__xludf.DUMMYFUNCTION("IF(B4289="""","""",IFERROR(VLOOKUP(TO_TEXT(B4289),PEDIDOS!D:I,6,0),IFERROR(VLOOKUP(B4289*1,PEDIDOS!D:I,6,0),"" "")))")," ")</f>
        <v> </v>
      </c>
      <c r="G4289" s="307"/>
      <c r="H4289" s="304"/>
    </row>
    <row r="4290">
      <c r="A4290" s="302" t="s">
        <v>91</v>
      </c>
      <c r="B4290" s="291" t="s">
        <v>23881</v>
      </c>
      <c r="C4290" s="292" t="s">
        <v>48</v>
      </c>
      <c r="D4290" s="293">
        <f t="shared" si="2"/>
        <v>0</v>
      </c>
      <c r="E4290" s="294" t="s">
        <v>23793</v>
      </c>
      <c r="F4290" s="295" t="str">
        <f>IFERROR(__xludf.DUMMYFUNCTION("IF(B4290="""","""",IFERROR(VLOOKUP(TO_TEXT(B4290),PEDIDOS!D:I,6,0),IFERROR(VLOOKUP(B4290*1,PEDIDOS!D:I,6,0),"" "")))")," ")</f>
        <v> </v>
      </c>
      <c r="G4290" s="307"/>
      <c r="H4290" s="304"/>
    </row>
    <row r="4291">
      <c r="A4291" s="302" t="s">
        <v>91</v>
      </c>
      <c r="B4291" s="291" t="s">
        <v>23882</v>
      </c>
      <c r="C4291" s="292" t="s">
        <v>48</v>
      </c>
      <c r="D4291" s="293">
        <f t="shared" si="2"/>
        <v>0</v>
      </c>
      <c r="E4291" s="294" t="s">
        <v>23793</v>
      </c>
      <c r="F4291" s="295" t="str">
        <f>IFERROR(__xludf.DUMMYFUNCTION("IF(B4291="""","""",IFERROR(VLOOKUP(TO_TEXT(B4291),PEDIDOS!D:I,6,0),IFERROR(VLOOKUP(B4291*1,PEDIDOS!D:I,6,0),"" "")))")," ")</f>
        <v> </v>
      </c>
      <c r="G4291" s="307"/>
      <c r="H4291" s="304"/>
    </row>
    <row r="4292">
      <c r="A4292" s="302" t="s">
        <v>91</v>
      </c>
      <c r="B4292" s="291" t="s">
        <v>23883</v>
      </c>
      <c r="C4292" s="292" t="s">
        <v>48</v>
      </c>
      <c r="D4292" s="293">
        <f t="shared" si="2"/>
        <v>0</v>
      </c>
      <c r="E4292" s="294" t="s">
        <v>23793</v>
      </c>
      <c r="F4292" s="295" t="str">
        <f>IFERROR(__xludf.DUMMYFUNCTION("IF(B4292="""","""",IFERROR(VLOOKUP(TO_TEXT(B4292),PEDIDOS!D:I,6,0),IFERROR(VLOOKUP(B4292*1,PEDIDOS!D:I,6,0),"" "")))")," ")</f>
        <v> </v>
      </c>
      <c r="G4292" s="307"/>
      <c r="H4292" s="304"/>
    </row>
    <row r="4293">
      <c r="A4293" s="302" t="s">
        <v>112</v>
      </c>
      <c r="B4293" s="291" t="s">
        <v>21925</v>
      </c>
      <c r="C4293" s="292" t="s">
        <v>48</v>
      </c>
      <c r="D4293" s="293">
        <f t="shared" si="2"/>
        <v>1</v>
      </c>
      <c r="E4293" s="294" t="s">
        <v>23793</v>
      </c>
      <c r="F4293" s="295" t="str">
        <f>IFERROR(__xludf.DUMMYFUNCTION("IF(B4293="""","""",IFERROR(VLOOKUP(TO_TEXT(B4293),PEDIDOS!D:I,6,0),IFERROR(VLOOKUP(B4293*1,PEDIDOS!D:I,6,0),"" "")))"),"ENTREGUE")</f>
        <v>ENTREGUE</v>
      </c>
      <c r="G4293" s="307"/>
      <c r="H4293" s="304"/>
    </row>
    <row r="4294">
      <c r="A4294" s="302" t="s">
        <v>112</v>
      </c>
      <c r="B4294" s="291" t="s">
        <v>21931</v>
      </c>
      <c r="C4294" s="292" t="s">
        <v>48</v>
      </c>
      <c r="D4294" s="293">
        <f t="shared" si="2"/>
        <v>1</v>
      </c>
      <c r="E4294" s="294" t="s">
        <v>23793</v>
      </c>
      <c r="F4294" s="295" t="str">
        <f>IFERROR(__xludf.DUMMYFUNCTION("IF(B4294="""","""",IFERROR(VLOOKUP(TO_TEXT(B4294),PEDIDOS!D:I,6,0),IFERROR(VLOOKUP(B4294*1,PEDIDOS!D:I,6,0),"" "")))"),"ENTREGUE")</f>
        <v>ENTREGUE</v>
      </c>
      <c r="G4294" s="307"/>
      <c r="H4294" s="304"/>
    </row>
    <row r="4295">
      <c r="A4295" s="302" t="s">
        <v>112</v>
      </c>
      <c r="B4295" s="291" t="s">
        <v>21939</v>
      </c>
      <c r="C4295" s="292" t="s">
        <v>48</v>
      </c>
      <c r="D4295" s="293">
        <f t="shared" si="2"/>
        <v>1</v>
      </c>
      <c r="E4295" s="294" t="s">
        <v>23793</v>
      </c>
      <c r="F4295" s="295" t="str">
        <f>IFERROR(__xludf.DUMMYFUNCTION("IF(B4295="""","""",IFERROR(VLOOKUP(TO_TEXT(B4295),PEDIDOS!D:I,6,0),IFERROR(VLOOKUP(B4295*1,PEDIDOS!D:I,6,0),"" "")))"),"ENTREGUE")</f>
        <v>ENTREGUE</v>
      </c>
      <c r="G4295" s="307"/>
      <c r="H4295" s="304"/>
    </row>
    <row r="4296">
      <c r="A4296" s="302" t="s">
        <v>112</v>
      </c>
      <c r="B4296" s="291" t="s">
        <v>21935</v>
      </c>
      <c r="C4296" s="292" t="s">
        <v>48</v>
      </c>
      <c r="D4296" s="293">
        <f t="shared" si="2"/>
        <v>1</v>
      </c>
      <c r="E4296" s="294" t="s">
        <v>23793</v>
      </c>
      <c r="F4296" s="295" t="str">
        <f>IFERROR(__xludf.DUMMYFUNCTION("IF(B4296="""","""",IFERROR(VLOOKUP(TO_TEXT(B4296),PEDIDOS!D:I,6,0),IFERROR(VLOOKUP(B4296*1,PEDIDOS!D:I,6,0),"" "")))"),"ENTREGUE")</f>
        <v>ENTREGUE</v>
      </c>
      <c r="G4296" s="307"/>
      <c r="H4296" s="304"/>
    </row>
    <row r="4297">
      <c r="A4297" s="302" t="s">
        <v>112</v>
      </c>
      <c r="B4297" s="291" t="s">
        <v>22396</v>
      </c>
      <c r="C4297" s="292" t="s">
        <v>48</v>
      </c>
      <c r="D4297" s="293">
        <f t="shared" si="2"/>
        <v>1</v>
      </c>
      <c r="E4297" s="294" t="s">
        <v>23793</v>
      </c>
      <c r="F4297" s="295" t="str">
        <f>IFERROR(__xludf.DUMMYFUNCTION("IF(B4297="""","""",IFERROR(VLOOKUP(TO_TEXT(B4297),PEDIDOS!D:I,6,0),IFERROR(VLOOKUP(B4297*1,PEDIDOS!D:I,6,0),"" "")))"),"ENTREGUE")</f>
        <v>ENTREGUE</v>
      </c>
      <c r="G4297" s="307"/>
      <c r="H4297" s="304"/>
    </row>
    <row r="4298">
      <c r="A4298" s="302" t="s">
        <v>112</v>
      </c>
      <c r="B4298" s="291" t="s">
        <v>22135</v>
      </c>
      <c r="C4298" s="292" t="s">
        <v>48</v>
      </c>
      <c r="D4298" s="293">
        <f t="shared" si="2"/>
        <v>1</v>
      </c>
      <c r="E4298" s="294" t="s">
        <v>23793</v>
      </c>
      <c r="F4298" s="295" t="str">
        <f>IFERROR(__xludf.DUMMYFUNCTION("IF(B4298="""","""",IFERROR(VLOOKUP(TO_TEXT(B4298),PEDIDOS!D:I,6,0),IFERROR(VLOOKUP(B4298*1,PEDIDOS!D:I,6,0),"" "")))"),"ENTREGUE")</f>
        <v>ENTREGUE</v>
      </c>
      <c r="G4298" s="307"/>
      <c r="H4298" s="304"/>
    </row>
    <row r="4299">
      <c r="A4299" s="302" t="s">
        <v>112</v>
      </c>
      <c r="B4299" s="291" t="s">
        <v>22130</v>
      </c>
      <c r="C4299" s="292" t="s">
        <v>48</v>
      </c>
      <c r="D4299" s="293">
        <f t="shared" si="2"/>
        <v>1</v>
      </c>
      <c r="E4299" s="294" t="s">
        <v>23793</v>
      </c>
      <c r="F4299" s="295" t="str">
        <f>IFERROR(__xludf.DUMMYFUNCTION("IF(B4299="""","""",IFERROR(VLOOKUP(TO_TEXT(B4299),PEDIDOS!D:I,6,0),IFERROR(VLOOKUP(B4299*1,PEDIDOS!D:I,6,0),"" "")))"),"ENTREGUE")</f>
        <v>ENTREGUE</v>
      </c>
      <c r="G4299" s="307"/>
      <c r="H4299" s="304"/>
    </row>
    <row r="4300">
      <c r="A4300" s="302" t="s">
        <v>112</v>
      </c>
      <c r="B4300" s="291" t="s">
        <v>22125</v>
      </c>
      <c r="C4300" s="292" t="s">
        <v>48</v>
      </c>
      <c r="D4300" s="293">
        <f t="shared" si="2"/>
        <v>1</v>
      </c>
      <c r="E4300" s="294" t="s">
        <v>23793</v>
      </c>
      <c r="F4300" s="295" t="str">
        <f>IFERROR(__xludf.DUMMYFUNCTION("IF(B4300="""","""",IFERROR(VLOOKUP(TO_TEXT(B4300),PEDIDOS!D:I,6,0),IFERROR(VLOOKUP(B4300*1,PEDIDOS!D:I,6,0),"" "")))"),"ENTREGUE")</f>
        <v>ENTREGUE</v>
      </c>
      <c r="G4300" s="307"/>
      <c r="H4300" s="304"/>
    </row>
    <row r="4301">
      <c r="A4301" s="302" t="s">
        <v>112</v>
      </c>
      <c r="B4301" s="291" t="s">
        <v>22029</v>
      </c>
      <c r="C4301" s="292" t="s">
        <v>48</v>
      </c>
      <c r="D4301" s="293">
        <f t="shared" si="2"/>
        <v>1</v>
      </c>
      <c r="E4301" s="294" t="s">
        <v>23793</v>
      </c>
      <c r="F4301" s="295" t="str">
        <f>IFERROR(__xludf.DUMMYFUNCTION("IF(B4301="""","""",IFERROR(VLOOKUP(TO_TEXT(B4301),PEDIDOS!D:I,6,0),IFERROR(VLOOKUP(B4301*1,PEDIDOS!D:I,6,0),"" "")))"),"ENTREGUE")</f>
        <v>ENTREGUE</v>
      </c>
      <c r="G4301" s="307"/>
      <c r="H4301" s="304"/>
    </row>
    <row r="4302">
      <c r="A4302" s="302" t="s">
        <v>112</v>
      </c>
      <c r="B4302" s="291" t="s">
        <v>22768</v>
      </c>
      <c r="C4302" s="292" t="s">
        <v>48</v>
      </c>
      <c r="D4302" s="293">
        <f t="shared" si="2"/>
        <v>1</v>
      </c>
      <c r="E4302" s="294" t="s">
        <v>23793</v>
      </c>
      <c r="F4302" s="295" t="str">
        <f>IFERROR(__xludf.DUMMYFUNCTION("IF(B4302="""","""",IFERROR(VLOOKUP(TO_TEXT(B4302),PEDIDOS!D:I,6,0),IFERROR(VLOOKUP(B4302*1,PEDIDOS!D:I,6,0),"" "")))"),"ENTREGUE")</f>
        <v>ENTREGUE</v>
      </c>
      <c r="G4302" s="307"/>
      <c r="H4302" s="304"/>
    </row>
    <row r="4303">
      <c r="A4303" s="302" t="s">
        <v>112</v>
      </c>
      <c r="B4303" s="291" t="s">
        <v>22303</v>
      </c>
      <c r="C4303" s="292" t="s">
        <v>48</v>
      </c>
      <c r="D4303" s="293">
        <f t="shared" si="2"/>
        <v>1</v>
      </c>
      <c r="E4303" s="294" t="s">
        <v>23793</v>
      </c>
      <c r="F4303" s="295" t="str">
        <f>IFERROR(__xludf.DUMMYFUNCTION("IF(B4303="""","""",IFERROR(VLOOKUP(TO_TEXT(B4303),PEDIDOS!D:I,6,0),IFERROR(VLOOKUP(B4303*1,PEDIDOS!D:I,6,0),"" "")))"),"ENTREGUE")</f>
        <v>ENTREGUE</v>
      </c>
      <c r="G4303" s="307"/>
      <c r="H4303" s="304"/>
    </row>
    <row r="4304">
      <c r="A4304" s="302" t="s">
        <v>112</v>
      </c>
      <c r="B4304" s="291" t="s">
        <v>22401</v>
      </c>
      <c r="C4304" s="292" t="s">
        <v>48</v>
      </c>
      <c r="D4304" s="293">
        <f t="shared" si="2"/>
        <v>1</v>
      </c>
      <c r="E4304" s="294" t="s">
        <v>23793</v>
      </c>
      <c r="F4304" s="295" t="str">
        <f>IFERROR(__xludf.DUMMYFUNCTION("IF(B4304="""","""",IFERROR(VLOOKUP(TO_TEXT(B4304),PEDIDOS!D:I,6,0),IFERROR(VLOOKUP(B4304*1,PEDIDOS!D:I,6,0),"" "")))"),"FINALIZADO")</f>
        <v>FINALIZADO</v>
      </c>
      <c r="G4304" s="307"/>
      <c r="H4304" s="304"/>
    </row>
    <row r="4305">
      <c r="A4305" s="302" t="s">
        <v>112</v>
      </c>
      <c r="B4305" s="291" t="s">
        <v>22146</v>
      </c>
      <c r="C4305" s="292" t="s">
        <v>48</v>
      </c>
      <c r="D4305" s="293">
        <f t="shared" si="2"/>
        <v>1</v>
      </c>
      <c r="E4305" s="294" t="s">
        <v>23793</v>
      </c>
      <c r="F4305" s="295" t="str">
        <f>IFERROR(__xludf.DUMMYFUNCTION("IF(B4305="""","""",IFERROR(VLOOKUP(TO_TEXT(B4305),PEDIDOS!D:I,6,0),IFERROR(VLOOKUP(B4305*1,PEDIDOS!D:I,6,0),"" "")))"),"ENTREGUE")</f>
        <v>ENTREGUE</v>
      </c>
      <c r="G4305" s="307"/>
      <c r="H4305" s="304"/>
    </row>
    <row r="4306">
      <c r="A4306" s="302" t="s">
        <v>112</v>
      </c>
      <c r="B4306" s="291" t="s">
        <v>23884</v>
      </c>
      <c r="C4306" s="292" t="s">
        <v>48</v>
      </c>
      <c r="D4306" s="293">
        <f t="shared" si="2"/>
        <v>0</v>
      </c>
      <c r="E4306" s="294" t="s">
        <v>23793</v>
      </c>
      <c r="F4306" s="295" t="str">
        <f>IFERROR(__xludf.DUMMYFUNCTION("IF(B4306="""","""",IFERROR(VLOOKUP(TO_TEXT(B4306),PEDIDOS!D:I,6,0),IFERROR(VLOOKUP(B4306*1,PEDIDOS!D:I,6,0),"" "")))")," ")</f>
        <v> </v>
      </c>
      <c r="G4306" s="307"/>
      <c r="H4306" s="304"/>
    </row>
    <row r="4307">
      <c r="A4307" s="302" t="s">
        <v>112</v>
      </c>
      <c r="B4307" s="291" t="s">
        <v>23885</v>
      </c>
      <c r="C4307" s="292" t="s">
        <v>48</v>
      </c>
      <c r="D4307" s="293">
        <f t="shared" si="2"/>
        <v>0</v>
      </c>
      <c r="E4307" s="294" t="s">
        <v>23793</v>
      </c>
      <c r="F4307" s="295" t="str">
        <f>IFERROR(__xludf.DUMMYFUNCTION("IF(B4307="""","""",IFERROR(VLOOKUP(TO_TEXT(B4307),PEDIDOS!D:I,6,0),IFERROR(VLOOKUP(B4307*1,PEDIDOS!D:I,6,0),"" "")))")," ")</f>
        <v> </v>
      </c>
      <c r="G4307" s="307"/>
      <c r="H4307" s="304"/>
    </row>
    <row r="4308">
      <c r="A4308" s="302" t="s">
        <v>112</v>
      </c>
      <c r="B4308" s="291" t="s">
        <v>23886</v>
      </c>
      <c r="C4308" s="292" t="s">
        <v>48</v>
      </c>
      <c r="D4308" s="293">
        <f t="shared" si="2"/>
        <v>0</v>
      </c>
      <c r="E4308" s="294" t="s">
        <v>23793</v>
      </c>
      <c r="F4308" s="295" t="str">
        <f>IFERROR(__xludf.DUMMYFUNCTION("IF(B4308="""","""",IFERROR(VLOOKUP(TO_TEXT(B4308),PEDIDOS!D:I,6,0),IFERROR(VLOOKUP(B4308*1,PEDIDOS!D:I,6,0),"" "")))")," ")</f>
        <v> </v>
      </c>
      <c r="G4308" s="307"/>
      <c r="H4308" s="304"/>
    </row>
    <row r="4309">
      <c r="A4309" s="302" t="s">
        <v>112</v>
      </c>
      <c r="B4309" s="291" t="s">
        <v>23887</v>
      </c>
      <c r="C4309" s="292" t="s">
        <v>48</v>
      </c>
      <c r="D4309" s="293">
        <f t="shared" si="2"/>
        <v>0</v>
      </c>
      <c r="E4309" s="294" t="s">
        <v>23793</v>
      </c>
      <c r="F4309" s="295" t="str">
        <f>IFERROR(__xludf.DUMMYFUNCTION("IF(B4309="""","""",IFERROR(VLOOKUP(TO_TEXT(B4309),PEDIDOS!D:I,6,0),IFERROR(VLOOKUP(B4309*1,PEDIDOS!D:I,6,0),"" "")))")," ")</f>
        <v> </v>
      </c>
      <c r="G4309" s="307"/>
      <c r="H4309" s="304"/>
    </row>
    <row r="4310">
      <c r="A4310" s="302" t="s">
        <v>112</v>
      </c>
      <c r="B4310" s="291" t="s">
        <v>23888</v>
      </c>
      <c r="C4310" s="292" t="s">
        <v>48</v>
      </c>
      <c r="D4310" s="293">
        <f t="shared" si="2"/>
        <v>0</v>
      </c>
      <c r="E4310" s="294" t="s">
        <v>23793</v>
      </c>
      <c r="F4310" s="295" t="str">
        <f>IFERROR(__xludf.DUMMYFUNCTION("IF(B4310="""","""",IFERROR(VLOOKUP(TO_TEXT(B4310),PEDIDOS!D:I,6,0),IFERROR(VLOOKUP(B4310*1,PEDIDOS!D:I,6,0),"" "")))")," ")</f>
        <v> </v>
      </c>
      <c r="G4310" s="307"/>
      <c r="H4310" s="304"/>
    </row>
    <row r="4311">
      <c r="A4311" s="302" t="s">
        <v>112</v>
      </c>
      <c r="B4311" s="291" t="s">
        <v>23889</v>
      </c>
      <c r="C4311" s="292" t="s">
        <v>48</v>
      </c>
      <c r="D4311" s="293">
        <f t="shared" si="2"/>
        <v>0</v>
      </c>
      <c r="E4311" s="294" t="s">
        <v>23793</v>
      </c>
      <c r="F4311" s="295" t="str">
        <f>IFERROR(__xludf.DUMMYFUNCTION("IF(B4311="""","""",IFERROR(VLOOKUP(TO_TEXT(B4311),PEDIDOS!D:I,6,0),IFERROR(VLOOKUP(B4311*1,PEDIDOS!D:I,6,0),"" "")))")," ")</f>
        <v> </v>
      </c>
      <c r="G4311" s="307"/>
      <c r="H4311" s="304"/>
    </row>
    <row r="4312">
      <c r="A4312" s="302" t="s">
        <v>112</v>
      </c>
      <c r="B4312" s="291" t="s">
        <v>23890</v>
      </c>
      <c r="C4312" s="292" t="s">
        <v>48</v>
      </c>
      <c r="D4312" s="293">
        <f t="shared" si="2"/>
        <v>0</v>
      </c>
      <c r="E4312" s="294" t="s">
        <v>23793</v>
      </c>
      <c r="F4312" s="295" t="str">
        <f>IFERROR(__xludf.DUMMYFUNCTION("IF(B4312="""","""",IFERROR(VLOOKUP(TO_TEXT(B4312),PEDIDOS!D:I,6,0),IFERROR(VLOOKUP(B4312*1,PEDIDOS!D:I,6,0),"" "")))")," ")</f>
        <v> </v>
      </c>
      <c r="G4312" s="307"/>
      <c r="H4312" s="304"/>
    </row>
    <row r="4313">
      <c r="A4313" s="302" t="s">
        <v>112</v>
      </c>
      <c r="B4313" s="291" t="s">
        <v>23891</v>
      </c>
      <c r="C4313" s="292" t="s">
        <v>48</v>
      </c>
      <c r="D4313" s="293">
        <f t="shared" si="2"/>
        <v>0</v>
      </c>
      <c r="E4313" s="294" t="s">
        <v>23793</v>
      </c>
      <c r="F4313" s="295" t="str">
        <f>IFERROR(__xludf.DUMMYFUNCTION("IF(B4313="""","""",IFERROR(VLOOKUP(TO_TEXT(B4313),PEDIDOS!D:I,6,0),IFERROR(VLOOKUP(B4313*1,PEDIDOS!D:I,6,0),"" "")))")," ")</f>
        <v> </v>
      </c>
      <c r="G4313" s="307"/>
      <c r="H4313" s="304"/>
    </row>
    <row r="4314">
      <c r="A4314" s="302" t="s">
        <v>112</v>
      </c>
      <c r="B4314" s="291" t="s">
        <v>23892</v>
      </c>
      <c r="C4314" s="292" t="s">
        <v>48</v>
      </c>
      <c r="D4314" s="293">
        <f t="shared" si="2"/>
        <v>0</v>
      </c>
      <c r="E4314" s="294" t="s">
        <v>23793</v>
      </c>
      <c r="F4314" s="295" t="str">
        <f>IFERROR(__xludf.DUMMYFUNCTION("IF(B4314="""","""",IFERROR(VLOOKUP(TO_TEXT(B4314),PEDIDOS!D:I,6,0),IFERROR(VLOOKUP(B4314*1,PEDIDOS!D:I,6,0),"" "")))")," ")</f>
        <v> </v>
      </c>
      <c r="G4314" s="307"/>
      <c r="H4314" s="304"/>
    </row>
    <row r="4315">
      <c r="A4315" s="302" t="s">
        <v>112</v>
      </c>
      <c r="B4315" s="291" t="s">
        <v>23893</v>
      </c>
      <c r="C4315" s="292" t="s">
        <v>48</v>
      </c>
      <c r="D4315" s="293">
        <f t="shared" si="2"/>
        <v>0</v>
      </c>
      <c r="E4315" s="294" t="s">
        <v>23793</v>
      </c>
      <c r="F4315" s="295" t="str">
        <f>IFERROR(__xludf.DUMMYFUNCTION("IF(B4315="""","""",IFERROR(VLOOKUP(TO_TEXT(B4315),PEDIDOS!D:I,6,0),IFERROR(VLOOKUP(B4315*1,PEDIDOS!D:I,6,0),"" "")))")," ")</f>
        <v> </v>
      </c>
      <c r="G4315" s="307"/>
      <c r="H4315" s="304"/>
    </row>
    <row r="4316">
      <c r="A4316" s="302" t="s">
        <v>112</v>
      </c>
      <c r="B4316" s="291" t="s">
        <v>23894</v>
      </c>
      <c r="C4316" s="292" t="s">
        <v>48</v>
      </c>
      <c r="D4316" s="293">
        <f t="shared" si="2"/>
        <v>1</v>
      </c>
      <c r="E4316" s="294" t="s">
        <v>23793</v>
      </c>
      <c r="F4316" s="295" t="str">
        <f>IFERROR(__xludf.DUMMYFUNCTION("IF(B4316="""","""",IFERROR(VLOOKUP(TO_TEXT(B4316),PEDIDOS!D:I,6,0),IFERROR(VLOOKUP(B4316*1,PEDIDOS!D:I,6,0),"" "")))")," ")</f>
        <v> </v>
      </c>
      <c r="G4316" s="307" t="s">
        <v>23518</v>
      </c>
      <c r="H4316" s="304"/>
    </row>
    <row r="4317">
      <c r="A4317" s="302" t="s">
        <v>112</v>
      </c>
      <c r="B4317" s="291" t="s">
        <v>23895</v>
      </c>
      <c r="C4317" s="292" t="s">
        <v>48</v>
      </c>
      <c r="D4317" s="293">
        <f t="shared" si="2"/>
        <v>1</v>
      </c>
      <c r="E4317" s="294" t="s">
        <v>23793</v>
      </c>
      <c r="F4317" s="295" t="str">
        <f>IFERROR(__xludf.DUMMYFUNCTION("IF(B4317="""","""",IFERROR(VLOOKUP(TO_TEXT(B4317),PEDIDOS!D:I,6,0),IFERROR(VLOOKUP(B4317*1,PEDIDOS!D:I,6,0),"" "")))")," ")</f>
        <v> </v>
      </c>
      <c r="G4317" s="307" t="s">
        <v>23518</v>
      </c>
      <c r="H4317" s="304"/>
    </row>
    <row r="4318">
      <c r="A4318" s="302" t="s">
        <v>47</v>
      </c>
      <c r="B4318" s="291" t="s">
        <v>23896</v>
      </c>
      <c r="C4318" s="292" t="s">
        <v>48</v>
      </c>
      <c r="D4318" s="293">
        <f t="shared" si="2"/>
        <v>0</v>
      </c>
      <c r="E4318" s="294" t="s">
        <v>23793</v>
      </c>
      <c r="F4318" s="295" t="str">
        <f>IFERROR(__xludf.DUMMYFUNCTION("IF(B4318="""","""",IFERROR(VLOOKUP(TO_TEXT(B4318),PEDIDOS!D:I,6,0),IFERROR(VLOOKUP(B4318*1,PEDIDOS!D:I,6,0),"" "")))")," ")</f>
        <v> </v>
      </c>
      <c r="G4318" s="307"/>
      <c r="H4318" s="304"/>
    </row>
    <row r="4319">
      <c r="A4319" s="302" t="s">
        <v>47</v>
      </c>
      <c r="B4319" s="291" t="s">
        <v>23897</v>
      </c>
      <c r="C4319" s="292" t="s">
        <v>48</v>
      </c>
      <c r="D4319" s="293">
        <f t="shared" si="2"/>
        <v>0</v>
      </c>
      <c r="E4319" s="294" t="s">
        <v>23793</v>
      </c>
      <c r="F4319" s="295" t="str">
        <f>IFERROR(__xludf.DUMMYFUNCTION("IF(B4319="""","""",IFERROR(VLOOKUP(TO_TEXT(B4319),PEDIDOS!D:I,6,0),IFERROR(VLOOKUP(B4319*1,PEDIDOS!D:I,6,0),"" "")))")," ")</f>
        <v> </v>
      </c>
      <c r="G4319" s="307"/>
      <c r="H4319" s="304"/>
    </row>
    <row r="4320">
      <c r="A4320" s="302" t="s">
        <v>47</v>
      </c>
      <c r="B4320" s="291" t="s">
        <v>23898</v>
      </c>
      <c r="C4320" s="292" t="s">
        <v>48</v>
      </c>
      <c r="D4320" s="293">
        <f t="shared" si="2"/>
        <v>0</v>
      </c>
      <c r="E4320" s="294" t="s">
        <v>23793</v>
      </c>
      <c r="F4320" s="295" t="str">
        <f>IFERROR(__xludf.DUMMYFUNCTION("IF(B4320="""","""",IFERROR(VLOOKUP(TO_TEXT(B4320),PEDIDOS!D:I,6,0),IFERROR(VLOOKUP(B4320*1,PEDIDOS!D:I,6,0),"" "")))")," ")</f>
        <v> </v>
      </c>
      <c r="G4320" s="307"/>
      <c r="H4320" s="304"/>
    </row>
    <row r="4321">
      <c r="A4321" s="302" t="s">
        <v>47</v>
      </c>
      <c r="B4321" s="291" t="s">
        <v>23899</v>
      </c>
      <c r="C4321" s="292" t="s">
        <v>48</v>
      </c>
      <c r="D4321" s="293">
        <f t="shared" si="2"/>
        <v>0</v>
      </c>
      <c r="E4321" s="294" t="s">
        <v>23793</v>
      </c>
      <c r="F4321" s="295" t="str">
        <f>IFERROR(__xludf.DUMMYFUNCTION("IF(B4321="""","""",IFERROR(VLOOKUP(TO_TEXT(B4321),PEDIDOS!D:I,6,0),IFERROR(VLOOKUP(B4321*1,PEDIDOS!D:I,6,0),"" "")))")," ")</f>
        <v> </v>
      </c>
      <c r="G4321" s="307"/>
      <c r="H4321" s="304"/>
    </row>
    <row r="4322">
      <c r="A4322" s="302" t="s">
        <v>47</v>
      </c>
      <c r="B4322" s="291" t="s">
        <v>23900</v>
      </c>
      <c r="C4322" s="292" t="s">
        <v>48</v>
      </c>
      <c r="D4322" s="293">
        <f t="shared" si="2"/>
        <v>0</v>
      </c>
      <c r="E4322" s="294" t="s">
        <v>23793</v>
      </c>
      <c r="F4322" s="295" t="str">
        <f>IFERROR(__xludf.DUMMYFUNCTION("IF(B4322="""","""",IFERROR(VLOOKUP(TO_TEXT(B4322),PEDIDOS!D:I,6,0),IFERROR(VLOOKUP(B4322*1,PEDIDOS!D:I,6,0),"" "")))")," ")</f>
        <v> </v>
      </c>
      <c r="G4322" s="307"/>
      <c r="H4322" s="304"/>
    </row>
    <row r="4323">
      <c r="A4323" s="302" t="s">
        <v>47</v>
      </c>
      <c r="B4323" s="291" t="s">
        <v>23901</v>
      </c>
      <c r="C4323" s="292" t="s">
        <v>48</v>
      </c>
      <c r="D4323" s="293">
        <f t="shared" si="2"/>
        <v>0</v>
      </c>
      <c r="E4323" s="294" t="s">
        <v>23793</v>
      </c>
      <c r="F4323" s="295" t="str">
        <f>IFERROR(__xludf.DUMMYFUNCTION("IF(B4323="""","""",IFERROR(VLOOKUP(TO_TEXT(B4323),PEDIDOS!D:I,6,0),IFERROR(VLOOKUP(B4323*1,PEDIDOS!D:I,6,0),"" "")))")," ")</f>
        <v> </v>
      </c>
      <c r="G4323" s="307"/>
      <c r="H4323" s="304"/>
    </row>
    <row r="4324">
      <c r="A4324" s="302" t="s">
        <v>47</v>
      </c>
      <c r="B4324" s="291" t="s">
        <v>23902</v>
      </c>
      <c r="C4324" s="292" t="s">
        <v>48</v>
      </c>
      <c r="D4324" s="293">
        <f t="shared" si="2"/>
        <v>0</v>
      </c>
      <c r="E4324" s="294" t="s">
        <v>23793</v>
      </c>
      <c r="F4324" s="295" t="str">
        <f>IFERROR(__xludf.DUMMYFUNCTION("IF(B4324="""","""",IFERROR(VLOOKUP(TO_TEXT(B4324),PEDIDOS!D:I,6,0),IFERROR(VLOOKUP(B4324*1,PEDIDOS!D:I,6,0),"" "")))")," ")</f>
        <v> </v>
      </c>
      <c r="G4324" s="307"/>
      <c r="H4324" s="304"/>
    </row>
    <row r="4325">
      <c r="A4325" s="302" t="s">
        <v>47</v>
      </c>
      <c r="B4325" s="291" t="s">
        <v>23903</v>
      </c>
      <c r="C4325" s="292" t="s">
        <v>48</v>
      </c>
      <c r="D4325" s="293">
        <f t="shared" si="2"/>
        <v>0</v>
      </c>
      <c r="E4325" s="294" t="s">
        <v>23793</v>
      </c>
      <c r="F4325" s="295" t="str">
        <f>IFERROR(__xludf.DUMMYFUNCTION("IF(B4325="""","""",IFERROR(VLOOKUP(TO_TEXT(B4325),PEDIDOS!D:I,6,0),IFERROR(VLOOKUP(B4325*1,PEDIDOS!D:I,6,0),"" "")))")," ")</f>
        <v> </v>
      </c>
      <c r="G4325" s="307"/>
      <c r="H4325" s="304"/>
    </row>
    <row r="4326">
      <c r="A4326" s="302" t="s">
        <v>47</v>
      </c>
      <c r="B4326" s="291" t="s">
        <v>23904</v>
      </c>
      <c r="C4326" s="292" t="s">
        <v>48</v>
      </c>
      <c r="D4326" s="293">
        <f t="shared" si="2"/>
        <v>0</v>
      </c>
      <c r="E4326" s="294" t="s">
        <v>23793</v>
      </c>
      <c r="F4326" s="295" t="str">
        <f>IFERROR(__xludf.DUMMYFUNCTION("IF(B4326="""","""",IFERROR(VLOOKUP(TO_TEXT(B4326),PEDIDOS!D:I,6,0),IFERROR(VLOOKUP(B4326*1,PEDIDOS!D:I,6,0),"" "")))")," ")</f>
        <v> </v>
      </c>
      <c r="G4326" s="307"/>
      <c r="H4326" s="304"/>
    </row>
    <row r="4327">
      <c r="A4327" s="302" t="s">
        <v>47</v>
      </c>
      <c r="B4327" s="291" t="s">
        <v>23905</v>
      </c>
      <c r="C4327" s="292" t="s">
        <v>48</v>
      </c>
      <c r="D4327" s="293">
        <f t="shared" si="2"/>
        <v>0</v>
      </c>
      <c r="E4327" s="294" t="s">
        <v>23793</v>
      </c>
      <c r="F4327" s="295" t="str">
        <f>IFERROR(__xludf.DUMMYFUNCTION("IF(B4327="""","""",IFERROR(VLOOKUP(TO_TEXT(B4327),PEDIDOS!D:I,6,0),IFERROR(VLOOKUP(B4327*1,PEDIDOS!D:I,6,0),"" "")))")," ")</f>
        <v> </v>
      </c>
      <c r="G4327" s="307"/>
      <c r="H4327" s="304"/>
    </row>
    <row r="4328">
      <c r="A4328" s="302" t="s">
        <v>47</v>
      </c>
      <c r="B4328" s="291" t="s">
        <v>23906</v>
      </c>
      <c r="C4328" s="292" t="s">
        <v>48</v>
      </c>
      <c r="D4328" s="293">
        <f t="shared" si="2"/>
        <v>0</v>
      </c>
      <c r="E4328" s="294" t="s">
        <v>23793</v>
      </c>
      <c r="F4328" s="295" t="str">
        <f>IFERROR(__xludf.DUMMYFUNCTION("IF(B4328="""","""",IFERROR(VLOOKUP(TO_TEXT(B4328),PEDIDOS!D:I,6,0),IFERROR(VLOOKUP(B4328*1,PEDIDOS!D:I,6,0),"" "")))")," ")</f>
        <v> </v>
      </c>
      <c r="G4328" s="307"/>
      <c r="H4328" s="304"/>
    </row>
    <row r="4329">
      <c r="A4329" s="302" t="s">
        <v>47</v>
      </c>
      <c r="B4329" s="291" t="s">
        <v>23907</v>
      </c>
      <c r="C4329" s="292" t="s">
        <v>48</v>
      </c>
      <c r="D4329" s="293">
        <f t="shared" si="2"/>
        <v>0</v>
      </c>
      <c r="E4329" s="294" t="s">
        <v>23793</v>
      </c>
      <c r="F4329" s="295" t="str">
        <f>IFERROR(__xludf.DUMMYFUNCTION("IF(B4329="""","""",IFERROR(VLOOKUP(TO_TEXT(B4329),PEDIDOS!D:I,6,0),IFERROR(VLOOKUP(B4329*1,PEDIDOS!D:I,6,0),"" "")))")," ")</f>
        <v> </v>
      </c>
      <c r="G4329" s="307"/>
      <c r="H4329" s="304"/>
    </row>
    <row r="4330">
      <c r="A4330" s="302" t="s">
        <v>47</v>
      </c>
      <c r="B4330" s="291" t="s">
        <v>23908</v>
      </c>
      <c r="C4330" s="292" t="s">
        <v>48</v>
      </c>
      <c r="D4330" s="293">
        <f t="shared" si="2"/>
        <v>0</v>
      </c>
      <c r="E4330" s="294" t="s">
        <v>23793</v>
      </c>
      <c r="F4330" s="295" t="str">
        <f>IFERROR(__xludf.DUMMYFUNCTION("IF(B4330="""","""",IFERROR(VLOOKUP(TO_TEXT(B4330),PEDIDOS!D:I,6,0),IFERROR(VLOOKUP(B4330*1,PEDIDOS!D:I,6,0),"" "")))")," ")</f>
        <v> </v>
      </c>
      <c r="G4330" s="307"/>
      <c r="H4330" s="304"/>
    </row>
    <row r="4331">
      <c r="A4331" s="302" t="s">
        <v>47</v>
      </c>
      <c r="B4331" s="291" t="s">
        <v>23909</v>
      </c>
      <c r="C4331" s="292" t="s">
        <v>48</v>
      </c>
      <c r="D4331" s="293">
        <f t="shared" si="2"/>
        <v>0</v>
      </c>
      <c r="E4331" s="294" t="s">
        <v>23793</v>
      </c>
      <c r="F4331" s="295" t="str">
        <f>IFERROR(__xludf.DUMMYFUNCTION("IF(B4331="""","""",IFERROR(VLOOKUP(TO_TEXT(B4331),PEDIDOS!D:I,6,0),IFERROR(VLOOKUP(B4331*1,PEDIDOS!D:I,6,0),"" "")))")," ")</f>
        <v> </v>
      </c>
      <c r="G4331" s="307"/>
      <c r="H4331" s="304"/>
    </row>
    <row r="4332">
      <c r="A4332" s="302" t="s">
        <v>47</v>
      </c>
      <c r="B4332" s="291" t="s">
        <v>23910</v>
      </c>
      <c r="C4332" s="292" t="s">
        <v>48</v>
      </c>
      <c r="D4332" s="293">
        <f t="shared" si="2"/>
        <v>0</v>
      </c>
      <c r="E4332" s="294" t="s">
        <v>23793</v>
      </c>
      <c r="F4332" s="295" t="str">
        <f>IFERROR(__xludf.DUMMYFUNCTION("IF(B4332="""","""",IFERROR(VLOOKUP(TO_TEXT(B4332),PEDIDOS!D:I,6,0),IFERROR(VLOOKUP(B4332*1,PEDIDOS!D:I,6,0),"" "")))")," ")</f>
        <v> </v>
      </c>
      <c r="G4332" s="307"/>
      <c r="H4332" s="304"/>
    </row>
    <row r="4333">
      <c r="A4333" s="302" t="s">
        <v>47</v>
      </c>
      <c r="B4333" s="291" t="s">
        <v>23911</v>
      </c>
      <c r="C4333" s="292" t="s">
        <v>48</v>
      </c>
      <c r="D4333" s="293">
        <f t="shared" si="2"/>
        <v>0</v>
      </c>
      <c r="E4333" s="294" t="s">
        <v>23793</v>
      </c>
      <c r="F4333" s="295" t="str">
        <f>IFERROR(__xludf.DUMMYFUNCTION("IF(B4333="""","""",IFERROR(VLOOKUP(TO_TEXT(B4333),PEDIDOS!D:I,6,0),IFERROR(VLOOKUP(B4333*1,PEDIDOS!D:I,6,0),"" "")))")," ")</f>
        <v> </v>
      </c>
      <c r="G4333" s="307"/>
      <c r="H4333" s="304"/>
    </row>
    <row r="4334">
      <c r="A4334" s="302" t="s">
        <v>47</v>
      </c>
      <c r="B4334" s="291" t="s">
        <v>23912</v>
      </c>
      <c r="C4334" s="292" t="s">
        <v>48</v>
      </c>
      <c r="D4334" s="293">
        <f t="shared" si="2"/>
        <v>0</v>
      </c>
      <c r="E4334" s="294" t="s">
        <v>23793</v>
      </c>
      <c r="F4334" s="295" t="str">
        <f>IFERROR(__xludf.DUMMYFUNCTION("IF(B4334="""","""",IFERROR(VLOOKUP(TO_TEXT(B4334),PEDIDOS!D:I,6,0),IFERROR(VLOOKUP(B4334*1,PEDIDOS!D:I,6,0),"" "")))")," ")</f>
        <v> </v>
      </c>
      <c r="G4334" s="307"/>
      <c r="H4334" s="304"/>
    </row>
    <row r="4335">
      <c r="A4335" s="302" t="s">
        <v>47</v>
      </c>
      <c r="B4335" s="291" t="s">
        <v>23913</v>
      </c>
      <c r="C4335" s="292" t="s">
        <v>48</v>
      </c>
      <c r="D4335" s="293">
        <f t="shared" si="2"/>
        <v>0</v>
      </c>
      <c r="E4335" s="294" t="s">
        <v>23793</v>
      </c>
      <c r="F4335" s="295" t="str">
        <f>IFERROR(__xludf.DUMMYFUNCTION("IF(B4335="""","""",IFERROR(VLOOKUP(TO_TEXT(B4335),PEDIDOS!D:I,6,0),IFERROR(VLOOKUP(B4335*1,PEDIDOS!D:I,6,0),"" "")))")," ")</f>
        <v> </v>
      </c>
      <c r="G4335" s="307"/>
      <c r="H4335" s="304"/>
    </row>
    <row r="4336">
      <c r="A4336" s="302" t="s">
        <v>47</v>
      </c>
      <c r="B4336" s="291" t="s">
        <v>23914</v>
      </c>
      <c r="C4336" s="292" t="s">
        <v>48</v>
      </c>
      <c r="D4336" s="293">
        <f t="shared" si="2"/>
        <v>0</v>
      </c>
      <c r="E4336" s="294" t="s">
        <v>23793</v>
      </c>
      <c r="F4336" s="295" t="str">
        <f>IFERROR(__xludf.DUMMYFUNCTION("IF(B4336="""","""",IFERROR(VLOOKUP(TO_TEXT(B4336),PEDIDOS!D:I,6,0),IFERROR(VLOOKUP(B4336*1,PEDIDOS!D:I,6,0),"" "")))")," ")</f>
        <v> </v>
      </c>
      <c r="G4336" s="307"/>
      <c r="H4336" s="304"/>
    </row>
    <row r="4337">
      <c r="A4337" s="302" t="s">
        <v>47</v>
      </c>
      <c r="B4337" s="291" t="s">
        <v>23915</v>
      </c>
      <c r="C4337" s="292" t="s">
        <v>48</v>
      </c>
      <c r="D4337" s="293">
        <f t="shared" si="2"/>
        <v>0</v>
      </c>
      <c r="E4337" s="294" t="s">
        <v>23793</v>
      </c>
      <c r="F4337" s="295" t="str">
        <f>IFERROR(__xludf.DUMMYFUNCTION("IF(B4337="""","""",IFERROR(VLOOKUP(TO_TEXT(B4337),PEDIDOS!D:I,6,0),IFERROR(VLOOKUP(B4337*1,PEDIDOS!D:I,6,0),"" "")))")," ")</f>
        <v> </v>
      </c>
      <c r="G4337" s="307"/>
      <c r="H4337" s="304"/>
    </row>
    <row r="4338">
      <c r="A4338" s="302" t="s">
        <v>47</v>
      </c>
      <c r="B4338" s="291" t="s">
        <v>23916</v>
      </c>
      <c r="C4338" s="292" t="s">
        <v>48</v>
      </c>
      <c r="D4338" s="293">
        <f t="shared" si="2"/>
        <v>0</v>
      </c>
      <c r="E4338" s="294" t="s">
        <v>23793</v>
      </c>
      <c r="F4338" s="295" t="str">
        <f>IFERROR(__xludf.DUMMYFUNCTION("IF(B4338="""","""",IFERROR(VLOOKUP(TO_TEXT(B4338),PEDIDOS!D:I,6,0),IFERROR(VLOOKUP(B4338*1,PEDIDOS!D:I,6,0),"" "")))")," ")</f>
        <v> </v>
      </c>
      <c r="G4338" s="307"/>
      <c r="H4338" s="304"/>
    </row>
    <row r="4339">
      <c r="A4339" s="302" t="s">
        <v>47</v>
      </c>
      <c r="B4339" s="291" t="s">
        <v>23917</v>
      </c>
      <c r="C4339" s="292" t="s">
        <v>48</v>
      </c>
      <c r="D4339" s="293">
        <f t="shared" si="2"/>
        <v>0</v>
      </c>
      <c r="E4339" s="294" t="s">
        <v>23793</v>
      </c>
      <c r="F4339" s="295" t="str">
        <f>IFERROR(__xludf.DUMMYFUNCTION("IF(B4339="""","""",IFERROR(VLOOKUP(TO_TEXT(B4339),PEDIDOS!D:I,6,0),IFERROR(VLOOKUP(B4339*1,PEDIDOS!D:I,6,0),"" "")))")," ")</f>
        <v> </v>
      </c>
      <c r="G4339" s="307"/>
      <c r="H4339" s="304"/>
    </row>
    <row r="4340">
      <c r="A4340" s="302" t="s">
        <v>47</v>
      </c>
      <c r="B4340" s="291" t="s">
        <v>23918</v>
      </c>
      <c r="C4340" s="292" t="s">
        <v>48</v>
      </c>
      <c r="D4340" s="293">
        <f t="shared" si="2"/>
        <v>0</v>
      </c>
      <c r="E4340" s="294" t="s">
        <v>23793</v>
      </c>
      <c r="F4340" s="295" t="str">
        <f>IFERROR(__xludf.DUMMYFUNCTION("IF(B4340="""","""",IFERROR(VLOOKUP(TO_TEXT(B4340),PEDIDOS!D:I,6,0),IFERROR(VLOOKUP(B4340*1,PEDIDOS!D:I,6,0),"" "")))")," ")</f>
        <v> </v>
      </c>
      <c r="G4340" s="307"/>
      <c r="H4340" s="304"/>
    </row>
    <row r="4341">
      <c r="A4341" s="302" t="s">
        <v>47</v>
      </c>
      <c r="B4341" s="291" t="s">
        <v>23919</v>
      </c>
      <c r="C4341" s="292" t="s">
        <v>48</v>
      </c>
      <c r="D4341" s="293">
        <f t="shared" si="2"/>
        <v>0</v>
      </c>
      <c r="E4341" s="294" t="s">
        <v>23793</v>
      </c>
      <c r="F4341" s="295" t="str">
        <f>IFERROR(__xludf.DUMMYFUNCTION("IF(B4341="""","""",IFERROR(VLOOKUP(TO_TEXT(B4341),PEDIDOS!D:I,6,0),IFERROR(VLOOKUP(B4341*1,PEDIDOS!D:I,6,0),"" "")))")," ")</f>
        <v> </v>
      </c>
      <c r="G4341" s="307"/>
      <c r="H4341" s="304"/>
    </row>
    <row r="4342">
      <c r="A4342" s="302" t="s">
        <v>47</v>
      </c>
      <c r="B4342" s="291" t="s">
        <v>23920</v>
      </c>
      <c r="C4342" s="292" t="s">
        <v>48</v>
      </c>
      <c r="D4342" s="293">
        <f t="shared" si="2"/>
        <v>0</v>
      </c>
      <c r="E4342" s="294" t="s">
        <v>23793</v>
      </c>
      <c r="F4342" s="295" t="str">
        <f>IFERROR(__xludf.DUMMYFUNCTION("IF(B4342="""","""",IFERROR(VLOOKUP(TO_TEXT(B4342),PEDIDOS!D:I,6,0),IFERROR(VLOOKUP(B4342*1,PEDIDOS!D:I,6,0),"" "")))")," ")</f>
        <v> </v>
      </c>
      <c r="G4342" s="307"/>
      <c r="H4342" s="304"/>
    </row>
    <row r="4343">
      <c r="A4343" s="302" t="s">
        <v>47</v>
      </c>
      <c r="B4343" s="291" t="s">
        <v>23921</v>
      </c>
      <c r="C4343" s="292" t="s">
        <v>48</v>
      </c>
      <c r="D4343" s="293">
        <f t="shared" si="2"/>
        <v>0</v>
      </c>
      <c r="E4343" s="294" t="s">
        <v>23793</v>
      </c>
      <c r="F4343" s="295" t="str">
        <f>IFERROR(__xludf.DUMMYFUNCTION("IF(B4343="""","""",IFERROR(VLOOKUP(TO_TEXT(B4343),PEDIDOS!D:I,6,0),IFERROR(VLOOKUP(B4343*1,PEDIDOS!D:I,6,0),"" "")))")," ")</f>
        <v> </v>
      </c>
      <c r="G4343" s="307"/>
      <c r="H4343" s="304"/>
    </row>
    <row r="4344">
      <c r="A4344" s="302" t="s">
        <v>47</v>
      </c>
      <c r="B4344" s="291" t="s">
        <v>23922</v>
      </c>
      <c r="C4344" s="292" t="s">
        <v>48</v>
      </c>
      <c r="D4344" s="293">
        <f t="shared" si="2"/>
        <v>0</v>
      </c>
      <c r="E4344" s="294" t="s">
        <v>23793</v>
      </c>
      <c r="F4344" s="295" t="str">
        <f>IFERROR(__xludf.DUMMYFUNCTION("IF(B4344="""","""",IFERROR(VLOOKUP(TO_TEXT(B4344),PEDIDOS!D:I,6,0),IFERROR(VLOOKUP(B4344*1,PEDIDOS!D:I,6,0),"" "")))")," ")</f>
        <v> </v>
      </c>
      <c r="G4344" s="307"/>
      <c r="H4344" s="304"/>
    </row>
    <row r="4345">
      <c r="A4345" s="302" t="s">
        <v>47</v>
      </c>
      <c r="B4345" s="291" t="s">
        <v>23923</v>
      </c>
      <c r="C4345" s="292" t="s">
        <v>48</v>
      </c>
      <c r="D4345" s="293">
        <f t="shared" si="2"/>
        <v>0</v>
      </c>
      <c r="E4345" s="294" t="s">
        <v>23793</v>
      </c>
      <c r="F4345" s="295" t="str">
        <f>IFERROR(__xludf.DUMMYFUNCTION("IF(B4345="""","""",IFERROR(VLOOKUP(TO_TEXT(B4345),PEDIDOS!D:I,6,0),IFERROR(VLOOKUP(B4345*1,PEDIDOS!D:I,6,0),"" "")))")," ")</f>
        <v> </v>
      </c>
      <c r="G4345" s="307"/>
      <c r="H4345" s="304"/>
    </row>
    <row r="4346">
      <c r="A4346" s="302" t="s">
        <v>3395</v>
      </c>
      <c r="B4346" s="291" t="s">
        <v>23924</v>
      </c>
      <c r="C4346" s="292" t="s">
        <v>48</v>
      </c>
      <c r="D4346" s="293">
        <f t="shared" si="2"/>
        <v>1</v>
      </c>
      <c r="E4346" s="294" t="s">
        <v>23925</v>
      </c>
      <c r="F4346" s="295" t="str">
        <f>IFERROR(__xludf.DUMMYFUNCTION("IF(B4346="""","""",IFERROR(VLOOKUP(TO_TEXT(B4346),PEDIDOS!D:I,6,0),IFERROR(VLOOKUP(B4346*1,PEDIDOS!D:I,6,0),"" "")))")," ")</f>
        <v> </v>
      </c>
      <c r="G4346" s="307" t="s">
        <v>23926</v>
      </c>
      <c r="H4346" s="304"/>
    </row>
    <row r="4347">
      <c r="A4347" s="302" t="s">
        <v>3395</v>
      </c>
      <c r="B4347" s="291" t="s">
        <v>23927</v>
      </c>
      <c r="C4347" s="292" t="s">
        <v>48</v>
      </c>
      <c r="D4347" s="293">
        <f t="shared" si="2"/>
        <v>1</v>
      </c>
      <c r="E4347" s="294" t="s">
        <v>23925</v>
      </c>
      <c r="F4347" s="295" t="str">
        <f>IFERROR(__xludf.DUMMYFUNCTION("IF(B4347="""","""",IFERROR(VLOOKUP(TO_TEXT(B4347),PEDIDOS!D:I,6,0),IFERROR(VLOOKUP(B4347*1,PEDIDOS!D:I,6,0),"" "")))")," ")</f>
        <v> </v>
      </c>
      <c r="G4347" s="307" t="s">
        <v>23926</v>
      </c>
      <c r="H4347" s="304"/>
    </row>
    <row r="4348">
      <c r="A4348" s="302" t="s">
        <v>3395</v>
      </c>
      <c r="B4348" s="291" t="s">
        <v>23928</v>
      </c>
      <c r="C4348" s="292" t="s">
        <v>48</v>
      </c>
      <c r="D4348" s="293">
        <f t="shared" si="2"/>
        <v>1</v>
      </c>
      <c r="E4348" s="294" t="s">
        <v>23925</v>
      </c>
      <c r="F4348" s="295" t="str">
        <f>IFERROR(__xludf.DUMMYFUNCTION("IF(B4348="""","""",IFERROR(VLOOKUP(TO_TEXT(B4348),PEDIDOS!D:I,6,0),IFERROR(VLOOKUP(B4348*1,PEDIDOS!D:I,6,0),"" "")))")," ")</f>
        <v> </v>
      </c>
      <c r="G4348" s="307" t="s">
        <v>23926</v>
      </c>
      <c r="H4348" s="304"/>
    </row>
    <row r="4349">
      <c r="A4349" s="302" t="s">
        <v>3395</v>
      </c>
      <c r="B4349" s="291" t="s">
        <v>23929</v>
      </c>
      <c r="C4349" s="292" t="s">
        <v>48</v>
      </c>
      <c r="D4349" s="293">
        <f t="shared" si="2"/>
        <v>1</v>
      </c>
      <c r="E4349" s="294" t="s">
        <v>23925</v>
      </c>
      <c r="F4349" s="295" t="str">
        <f>IFERROR(__xludf.DUMMYFUNCTION("IF(B4349="""","""",IFERROR(VLOOKUP(TO_TEXT(B4349),PEDIDOS!D:I,6,0),IFERROR(VLOOKUP(B4349*1,PEDIDOS!D:I,6,0),"" "")))")," ")</f>
        <v> </v>
      </c>
      <c r="G4349" s="307" t="s">
        <v>23926</v>
      </c>
      <c r="H4349" s="304"/>
    </row>
    <row r="4350">
      <c r="A4350" s="302" t="s">
        <v>3395</v>
      </c>
      <c r="B4350" s="291" t="s">
        <v>23930</v>
      </c>
      <c r="C4350" s="292" t="s">
        <v>48</v>
      </c>
      <c r="D4350" s="293">
        <f t="shared" si="2"/>
        <v>1</v>
      </c>
      <c r="E4350" s="294" t="s">
        <v>23925</v>
      </c>
      <c r="F4350" s="295" t="str">
        <f>IFERROR(__xludf.DUMMYFUNCTION("IF(B4350="""","""",IFERROR(VLOOKUP(TO_TEXT(B4350),PEDIDOS!D:I,6,0),IFERROR(VLOOKUP(B4350*1,PEDIDOS!D:I,6,0),"" "")))")," ")</f>
        <v> </v>
      </c>
      <c r="G4350" s="307" t="s">
        <v>23926</v>
      </c>
      <c r="H4350" s="304"/>
    </row>
    <row r="4351">
      <c r="A4351" s="302" t="s">
        <v>3395</v>
      </c>
      <c r="B4351" s="291" t="s">
        <v>23931</v>
      </c>
      <c r="C4351" s="292" t="s">
        <v>48</v>
      </c>
      <c r="D4351" s="293">
        <f t="shared" si="2"/>
        <v>1</v>
      </c>
      <c r="E4351" s="294" t="s">
        <v>23925</v>
      </c>
      <c r="F4351" s="295" t="str">
        <f>IFERROR(__xludf.DUMMYFUNCTION("IF(B4351="""","""",IFERROR(VLOOKUP(TO_TEXT(B4351),PEDIDOS!D:I,6,0),IFERROR(VLOOKUP(B4351*1,PEDIDOS!D:I,6,0),"" "")))")," ")</f>
        <v> </v>
      </c>
      <c r="G4351" s="307" t="s">
        <v>23926</v>
      </c>
      <c r="H4351" s="304"/>
    </row>
    <row r="4352">
      <c r="A4352" s="302" t="s">
        <v>3395</v>
      </c>
      <c r="B4352" s="291" t="s">
        <v>23932</v>
      </c>
      <c r="C4352" s="292" t="s">
        <v>48</v>
      </c>
      <c r="D4352" s="293">
        <f t="shared" si="2"/>
        <v>1</v>
      </c>
      <c r="E4352" s="294" t="s">
        <v>23925</v>
      </c>
      <c r="F4352" s="295" t="str">
        <f>IFERROR(__xludf.DUMMYFUNCTION("IF(B4352="""","""",IFERROR(VLOOKUP(TO_TEXT(B4352),PEDIDOS!D:I,6,0),IFERROR(VLOOKUP(B4352*1,PEDIDOS!D:I,6,0),"" "")))")," ")</f>
        <v> </v>
      </c>
      <c r="G4352" s="307" t="s">
        <v>23926</v>
      </c>
      <c r="H4352" s="304"/>
    </row>
    <row r="4353">
      <c r="A4353" s="302" t="s">
        <v>3395</v>
      </c>
      <c r="B4353" s="291" t="s">
        <v>23933</v>
      </c>
      <c r="C4353" s="292" t="s">
        <v>48</v>
      </c>
      <c r="D4353" s="293">
        <f t="shared" si="2"/>
        <v>1</v>
      </c>
      <c r="E4353" s="294" t="s">
        <v>23925</v>
      </c>
      <c r="F4353" s="295" t="str">
        <f>IFERROR(__xludf.DUMMYFUNCTION("IF(B4353="""","""",IFERROR(VLOOKUP(TO_TEXT(B4353),PEDIDOS!D:I,6,0),IFERROR(VLOOKUP(B4353*1,PEDIDOS!D:I,6,0),"" "")))")," ")</f>
        <v> </v>
      </c>
      <c r="G4353" s="307" t="s">
        <v>23926</v>
      </c>
      <c r="H4353" s="304"/>
    </row>
    <row r="4354">
      <c r="A4354" s="302" t="s">
        <v>3395</v>
      </c>
      <c r="B4354" s="291" t="s">
        <v>23934</v>
      </c>
      <c r="C4354" s="292" t="s">
        <v>48</v>
      </c>
      <c r="D4354" s="293">
        <f t="shared" si="2"/>
        <v>1</v>
      </c>
      <c r="E4354" s="294" t="s">
        <v>23925</v>
      </c>
      <c r="F4354" s="295" t="str">
        <f>IFERROR(__xludf.DUMMYFUNCTION("IF(B4354="""","""",IFERROR(VLOOKUP(TO_TEXT(B4354),PEDIDOS!D:I,6,0),IFERROR(VLOOKUP(B4354*1,PEDIDOS!D:I,6,0),"" "")))")," ")</f>
        <v> </v>
      </c>
      <c r="G4354" s="307" t="s">
        <v>23926</v>
      </c>
      <c r="H4354" s="304"/>
    </row>
    <row r="4355">
      <c r="A4355" s="302" t="s">
        <v>3395</v>
      </c>
      <c r="B4355" s="291" t="s">
        <v>23935</v>
      </c>
      <c r="C4355" s="292" t="s">
        <v>48</v>
      </c>
      <c r="D4355" s="293">
        <f t="shared" si="2"/>
        <v>1</v>
      </c>
      <c r="E4355" s="294" t="s">
        <v>23925</v>
      </c>
      <c r="F4355" s="295" t="str">
        <f>IFERROR(__xludf.DUMMYFUNCTION("IF(B4355="""","""",IFERROR(VLOOKUP(TO_TEXT(B4355),PEDIDOS!D:I,6,0),IFERROR(VLOOKUP(B4355*1,PEDIDOS!D:I,6,0),"" "")))")," ")</f>
        <v> </v>
      </c>
      <c r="G4355" s="307" t="s">
        <v>23926</v>
      </c>
      <c r="H4355" s="304"/>
    </row>
    <row r="4356">
      <c r="A4356" s="302" t="s">
        <v>3441</v>
      </c>
      <c r="B4356" s="291" t="s">
        <v>23936</v>
      </c>
      <c r="C4356" s="292" t="s">
        <v>48</v>
      </c>
      <c r="D4356" s="293">
        <f t="shared" si="2"/>
        <v>1</v>
      </c>
      <c r="E4356" s="294" t="s">
        <v>23925</v>
      </c>
      <c r="F4356" s="295" t="str">
        <f>IFERROR(__xludf.DUMMYFUNCTION("IF(B4356="""","""",IFERROR(VLOOKUP(TO_TEXT(B4356),PEDIDOS!D:I,6,0),IFERROR(VLOOKUP(B4356*1,PEDIDOS!D:I,6,0),"" "")))")," ")</f>
        <v> </v>
      </c>
      <c r="G4356" s="307" t="s">
        <v>23926</v>
      </c>
      <c r="H4356" s="304"/>
    </row>
    <row r="4357">
      <c r="A4357" s="302" t="s">
        <v>3441</v>
      </c>
      <c r="B4357" s="291" t="s">
        <v>23937</v>
      </c>
      <c r="C4357" s="292" t="s">
        <v>48</v>
      </c>
      <c r="D4357" s="293">
        <f t="shared" si="2"/>
        <v>1</v>
      </c>
      <c r="E4357" s="294" t="s">
        <v>23925</v>
      </c>
      <c r="F4357" s="295" t="str">
        <f>IFERROR(__xludf.DUMMYFUNCTION("IF(B4357="""","""",IFERROR(VLOOKUP(TO_TEXT(B4357),PEDIDOS!D:I,6,0),IFERROR(VLOOKUP(B4357*1,PEDIDOS!D:I,6,0),"" "")))")," ")</f>
        <v> </v>
      </c>
      <c r="G4357" s="307" t="s">
        <v>23926</v>
      </c>
      <c r="H4357" s="304"/>
    </row>
    <row r="4358">
      <c r="A4358" s="302" t="s">
        <v>3441</v>
      </c>
      <c r="B4358" s="291" t="s">
        <v>23938</v>
      </c>
      <c r="C4358" s="292" t="s">
        <v>48</v>
      </c>
      <c r="D4358" s="293">
        <f t="shared" si="2"/>
        <v>1</v>
      </c>
      <c r="E4358" s="294" t="s">
        <v>23925</v>
      </c>
      <c r="F4358" s="295" t="str">
        <f>IFERROR(__xludf.DUMMYFUNCTION("IF(B4358="""","""",IFERROR(VLOOKUP(TO_TEXT(B4358),PEDIDOS!D:I,6,0),IFERROR(VLOOKUP(B4358*1,PEDIDOS!D:I,6,0),"" "")))")," ")</f>
        <v> </v>
      </c>
      <c r="G4358" s="307" t="s">
        <v>23926</v>
      </c>
      <c r="H4358" s="304"/>
    </row>
    <row r="4359">
      <c r="A4359" s="302" t="s">
        <v>3441</v>
      </c>
      <c r="B4359" s="291" t="s">
        <v>23939</v>
      </c>
      <c r="C4359" s="292" t="s">
        <v>48</v>
      </c>
      <c r="D4359" s="293">
        <f t="shared" si="2"/>
        <v>1</v>
      </c>
      <c r="E4359" s="294" t="s">
        <v>23925</v>
      </c>
      <c r="F4359" s="295" t="str">
        <f>IFERROR(__xludf.DUMMYFUNCTION("IF(B4359="""","""",IFERROR(VLOOKUP(TO_TEXT(B4359),PEDIDOS!D:I,6,0),IFERROR(VLOOKUP(B4359*1,PEDIDOS!D:I,6,0),"" "")))")," ")</f>
        <v> </v>
      </c>
      <c r="G4359" s="307" t="s">
        <v>23926</v>
      </c>
      <c r="H4359" s="304"/>
    </row>
    <row r="4360">
      <c r="A4360" s="302" t="s">
        <v>3441</v>
      </c>
      <c r="B4360" s="291" t="s">
        <v>23940</v>
      </c>
      <c r="C4360" s="292" t="s">
        <v>48</v>
      </c>
      <c r="D4360" s="293">
        <f t="shared" si="2"/>
        <v>1</v>
      </c>
      <c r="E4360" s="294" t="s">
        <v>23925</v>
      </c>
      <c r="F4360" s="295" t="str">
        <f>IFERROR(__xludf.DUMMYFUNCTION("IF(B4360="""","""",IFERROR(VLOOKUP(TO_TEXT(B4360),PEDIDOS!D:I,6,0),IFERROR(VLOOKUP(B4360*1,PEDIDOS!D:I,6,0),"" "")))")," ")</f>
        <v> </v>
      </c>
      <c r="G4360" s="307" t="s">
        <v>23926</v>
      </c>
      <c r="H4360" s="304"/>
    </row>
    <row r="4361">
      <c r="A4361" s="302" t="s">
        <v>3441</v>
      </c>
      <c r="B4361" s="291" t="s">
        <v>23941</v>
      </c>
      <c r="C4361" s="292" t="s">
        <v>48</v>
      </c>
      <c r="D4361" s="293">
        <f t="shared" si="2"/>
        <v>1</v>
      </c>
      <c r="E4361" s="294" t="s">
        <v>23925</v>
      </c>
      <c r="F4361" s="295" t="str">
        <f>IFERROR(__xludf.DUMMYFUNCTION("IF(B4361="""","""",IFERROR(VLOOKUP(TO_TEXT(B4361),PEDIDOS!D:I,6,0),IFERROR(VLOOKUP(B4361*1,PEDIDOS!D:I,6,0),"" "")))")," ")</f>
        <v> </v>
      </c>
      <c r="G4361" s="307" t="s">
        <v>23926</v>
      </c>
      <c r="H4361" s="304"/>
    </row>
    <row r="4362">
      <c r="A4362" s="302" t="s">
        <v>3441</v>
      </c>
      <c r="B4362" s="291" t="s">
        <v>23942</v>
      </c>
      <c r="C4362" s="292" t="s">
        <v>48</v>
      </c>
      <c r="D4362" s="293">
        <f t="shared" si="2"/>
        <v>1</v>
      </c>
      <c r="E4362" s="294" t="s">
        <v>23925</v>
      </c>
      <c r="F4362" s="295" t="str">
        <f>IFERROR(__xludf.DUMMYFUNCTION("IF(B4362="""","""",IFERROR(VLOOKUP(TO_TEXT(B4362),PEDIDOS!D:I,6,0),IFERROR(VLOOKUP(B4362*1,PEDIDOS!D:I,6,0),"" "")))")," ")</f>
        <v> </v>
      </c>
      <c r="G4362" s="307" t="s">
        <v>23926</v>
      </c>
      <c r="H4362" s="304"/>
    </row>
    <row r="4363">
      <c r="A4363" s="302" t="s">
        <v>3441</v>
      </c>
      <c r="B4363" s="291" t="s">
        <v>23943</v>
      </c>
      <c r="C4363" s="292" t="s">
        <v>48</v>
      </c>
      <c r="D4363" s="293">
        <f t="shared" si="2"/>
        <v>1</v>
      </c>
      <c r="E4363" s="294" t="s">
        <v>23925</v>
      </c>
      <c r="F4363" s="295" t="str">
        <f>IFERROR(__xludf.DUMMYFUNCTION("IF(B4363="""","""",IFERROR(VLOOKUP(TO_TEXT(B4363),PEDIDOS!D:I,6,0),IFERROR(VLOOKUP(B4363*1,PEDIDOS!D:I,6,0),"" "")))")," ")</f>
        <v> </v>
      </c>
      <c r="G4363" s="307" t="s">
        <v>23926</v>
      </c>
      <c r="H4363" s="304"/>
    </row>
    <row r="4364">
      <c r="A4364" s="302" t="s">
        <v>3441</v>
      </c>
      <c r="B4364" s="291" t="s">
        <v>23944</v>
      </c>
      <c r="C4364" s="292" t="s">
        <v>48</v>
      </c>
      <c r="D4364" s="293">
        <f t="shared" si="2"/>
        <v>1</v>
      </c>
      <c r="E4364" s="294" t="s">
        <v>23925</v>
      </c>
      <c r="F4364" s="295" t="str">
        <f>IFERROR(__xludf.DUMMYFUNCTION("IF(B4364="""","""",IFERROR(VLOOKUP(TO_TEXT(B4364),PEDIDOS!D:I,6,0),IFERROR(VLOOKUP(B4364*1,PEDIDOS!D:I,6,0),"" "")))")," ")</f>
        <v> </v>
      </c>
      <c r="G4364" s="307" t="s">
        <v>23926</v>
      </c>
      <c r="H4364" s="304"/>
    </row>
    <row r="4365">
      <c r="A4365" s="302" t="s">
        <v>3441</v>
      </c>
      <c r="B4365" s="291" t="s">
        <v>23945</v>
      </c>
      <c r="C4365" s="292" t="s">
        <v>48</v>
      </c>
      <c r="D4365" s="293">
        <f t="shared" si="2"/>
        <v>1</v>
      </c>
      <c r="E4365" s="294" t="s">
        <v>23925</v>
      </c>
      <c r="F4365" s="295" t="str">
        <f>IFERROR(__xludf.DUMMYFUNCTION("IF(B4365="""","""",IFERROR(VLOOKUP(TO_TEXT(B4365),PEDIDOS!D:I,6,0),IFERROR(VLOOKUP(B4365*1,PEDIDOS!D:I,6,0),"" "")))")," ")</f>
        <v> </v>
      </c>
      <c r="G4365" s="307" t="s">
        <v>23926</v>
      </c>
      <c r="H4365" s="304"/>
    </row>
    <row r="4366">
      <c r="A4366" s="302" t="s">
        <v>3441</v>
      </c>
      <c r="B4366" s="291" t="s">
        <v>23946</v>
      </c>
      <c r="C4366" s="292" t="s">
        <v>48</v>
      </c>
      <c r="D4366" s="293">
        <f t="shared" si="2"/>
        <v>1</v>
      </c>
      <c r="E4366" s="294" t="s">
        <v>23925</v>
      </c>
      <c r="F4366" s="295" t="str">
        <f>IFERROR(__xludf.DUMMYFUNCTION("IF(B4366="""","""",IFERROR(VLOOKUP(TO_TEXT(B4366),PEDIDOS!D:I,6,0),IFERROR(VLOOKUP(B4366*1,PEDIDOS!D:I,6,0),"" "")))")," ")</f>
        <v> </v>
      </c>
      <c r="G4366" s="307" t="s">
        <v>23926</v>
      </c>
      <c r="H4366" s="304"/>
    </row>
    <row r="4367">
      <c r="A4367" s="302" t="s">
        <v>3441</v>
      </c>
      <c r="B4367" s="291" t="s">
        <v>23947</v>
      </c>
      <c r="C4367" s="292" t="s">
        <v>48</v>
      </c>
      <c r="D4367" s="293">
        <f t="shared" si="2"/>
        <v>1</v>
      </c>
      <c r="E4367" s="294" t="s">
        <v>23925</v>
      </c>
      <c r="F4367" s="295" t="str">
        <f>IFERROR(__xludf.DUMMYFUNCTION("IF(B4367="""","""",IFERROR(VLOOKUP(TO_TEXT(B4367),PEDIDOS!D:I,6,0),IFERROR(VLOOKUP(B4367*1,PEDIDOS!D:I,6,0),"" "")))")," ")</f>
        <v> </v>
      </c>
      <c r="G4367" s="307" t="s">
        <v>23926</v>
      </c>
      <c r="H4367" s="304"/>
    </row>
    <row r="4368">
      <c r="A4368" s="302" t="s">
        <v>3441</v>
      </c>
      <c r="B4368" s="291" t="s">
        <v>23948</v>
      </c>
      <c r="C4368" s="292" t="s">
        <v>48</v>
      </c>
      <c r="D4368" s="293">
        <f t="shared" si="2"/>
        <v>1</v>
      </c>
      <c r="E4368" s="294" t="s">
        <v>23925</v>
      </c>
      <c r="F4368" s="295" t="str">
        <f>IFERROR(__xludf.DUMMYFUNCTION("IF(B4368="""","""",IFERROR(VLOOKUP(TO_TEXT(B4368),PEDIDOS!D:I,6,0),IFERROR(VLOOKUP(B4368*1,PEDIDOS!D:I,6,0),"" "")))")," ")</f>
        <v> </v>
      </c>
      <c r="G4368" s="307" t="s">
        <v>23926</v>
      </c>
      <c r="H4368" s="304"/>
    </row>
    <row r="4369">
      <c r="A4369" s="302" t="s">
        <v>3441</v>
      </c>
      <c r="B4369" s="291" t="s">
        <v>23949</v>
      </c>
      <c r="C4369" s="292" t="s">
        <v>48</v>
      </c>
      <c r="D4369" s="293">
        <f t="shared" si="2"/>
        <v>1</v>
      </c>
      <c r="E4369" s="294" t="s">
        <v>23925</v>
      </c>
      <c r="F4369" s="295" t="str">
        <f>IFERROR(__xludf.DUMMYFUNCTION("IF(B4369="""","""",IFERROR(VLOOKUP(TO_TEXT(B4369),PEDIDOS!D:I,6,0),IFERROR(VLOOKUP(B4369*1,PEDIDOS!D:I,6,0),"" "")))")," ")</f>
        <v> </v>
      </c>
      <c r="G4369" s="307" t="s">
        <v>23926</v>
      </c>
      <c r="H4369" s="304"/>
    </row>
    <row r="4370">
      <c r="A4370" s="302" t="s">
        <v>72</v>
      </c>
      <c r="B4370" s="291" t="s">
        <v>23950</v>
      </c>
      <c r="C4370" s="292" t="s">
        <v>48</v>
      </c>
      <c r="D4370" s="293">
        <f t="shared" si="2"/>
        <v>1</v>
      </c>
      <c r="E4370" s="294" t="s">
        <v>23925</v>
      </c>
      <c r="F4370" s="295" t="str">
        <f>IFERROR(__xludf.DUMMYFUNCTION("IF(B4370="""","""",IFERROR(VLOOKUP(TO_TEXT(B4370),PEDIDOS!D:I,6,0),IFERROR(VLOOKUP(B4370*1,PEDIDOS!D:I,6,0),"" "")))")," ")</f>
        <v> </v>
      </c>
      <c r="G4370" s="307" t="s">
        <v>23926</v>
      </c>
      <c r="H4370" s="304"/>
    </row>
    <row r="4371">
      <c r="A4371" s="302" t="s">
        <v>72</v>
      </c>
      <c r="B4371" s="291" t="s">
        <v>23951</v>
      </c>
      <c r="C4371" s="292" t="s">
        <v>48</v>
      </c>
      <c r="D4371" s="293">
        <f t="shared" si="2"/>
        <v>1</v>
      </c>
      <c r="E4371" s="294" t="s">
        <v>23925</v>
      </c>
      <c r="F4371" s="295" t="str">
        <f>IFERROR(__xludf.DUMMYFUNCTION("IF(B4371="""","""",IFERROR(VLOOKUP(TO_TEXT(B4371),PEDIDOS!D:I,6,0),IFERROR(VLOOKUP(B4371*1,PEDIDOS!D:I,6,0),"" "")))")," ")</f>
        <v> </v>
      </c>
      <c r="G4371" s="307" t="s">
        <v>23926</v>
      </c>
      <c r="H4371" s="304"/>
    </row>
    <row r="4372">
      <c r="A4372" s="302" t="s">
        <v>72</v>
      </c>
      <c r="B4372" s="291" t="s">
        <v>23952</v>
      </c>
      <c r="C4372" s="292" t="s">
        <v>48</v>
      </c>
      <c r="D4372" s="293">
        <f t="shared" si="2"/>
        <v>1</v>
      </c>
      <c r="E4372" s="294" t="s">
        <v>23925</v>
      </c>
      <c r="F4372" s="295" t="str">
        <f>IFERROR(__xludf.DUMMYFUNCTION("IF(B4372="""","""",IFERROR(VLOOKUP(TO_TEXT(B4372),PEDIDOS!D:I,6,0),IFERROR(VLOOKUP(B4372*1,PEDIDOS!D:I,6,0),"" "")))")," ")</f>
        <v> </v>
      </c>
      <c r="G4372" s="307" t="s">
        <v>23926</v>
      </c>
      <c r="H4372" s="304"/>
    </row>
    <row r="4373">
      <c r="A4373" s="302" t="s">
        <v>72</v>
      </c>
      <c r="B4373" s="291" t="s">
        <v>23953</v>
      </c>
      <c r="C4373" s="292" t="s">
        <v>48</v>
      </c>
      <c r="D4373" s="293">
        <f t="shared" si="2"/>
        <v>1</v>
      </c>
      <c r="E4373" s="294" t="s">
        <v>23925</v>
      </c>
      <c r="F4373" s="295" t="str">
        <f>IFERROR(__xludf.DUMMYFUNCTION("IF(B4373="""","""",IFERROR(VLOOKUP(TO_TEXT(B4373),PEDIDOS!D:I,6,0),IFERROR(VLOOKUP(B4373*1,PEDIDOS!D:I,6,0),"" "")))")," ")</f>
        <v> </v>
      </c>
      <c r="G4373" s="307" t="s">
        <v>23926</v>
      </c>
      <c r="H4373" s="304"/>
    </row>
    <row r="4374">
      <c r="A4374" s="302" t="s">
        <v>72</v>
      </c>
      <c r="B4374" s="291" t="s">
        <v>23954</v>
      </c>
      <c r="C4374" s="292" t="s">
        <v>48</v>
      </c>
      <c r="D4374" s="293">
        <f t="shared" si="2"/>
        <v>1</v>
      </c>
      <c r="E4374" s="294" t="s">
        <v>23925</v>
      </c>
      <c r="F4374" s="295" t="str">
        <f>IFERROR(__xludf.DUMMYFUNCTION("IF(B4374="""","""",IFERROR(VLOOKUP(TO_TEXT(B4374),PEDIDOS!D:I,6,0),IFERROR(VLOOKUP(B4374*1,PEDIDOS!D:I,6,0),"" "")))")," ")</f>
        <v> </v>
      </c>
      <c r="G4374" s="307" t="s">
        <v>23926</v>
      </c>
      <c r="H4374" s="304"/>
    </row>
    <row r="4375">
      <c r="A4375" s="302" t="s">
        <v>72</v>
      </c>
      <c r="B4375" s="291" t="s">
        <v>23955</v>
      </c>
      <c r="C4375" s="292" t="s">
        <v>48</v>
      </c>
      <c r="D4375" s="293">
        <f t="shared" si="2"/>
        <v>1</v>
      </c>
      <c r="E4375" s="294" t="s">
        <v>23925</v>
      </c>
      <c r="F4375" s="295" t="str">
        <f>IFERROR(__xludf.DUMMYFUNCTION("IF(B4375="""","""",IFERROR(VLOOKUP(TO_TEXT(B4375),PEDIDOS!D:I,6,0),IFERROR(VLOOKUP(B4375*1,PEDIDOS!D:I,6,0),"" "")))")," ")</f>
        <v> </v>
      </c>
      <c r="G4375" s="307" t="s">
        <v>23926</v>
      </c>
      <c r="H4375" s="304"/>
    </row>
    <row r="4376">
      <c r="A4376" s="302" t="s">
        <v>72</v>
      </c>
      <c r="B4376" s="291" t="s">
        <v>23956</v>
      </c>
      <c r="C4376" s="292" t="s">
        <v>48</v>
      </c>
      <c r="D4376" s="293">
        <f t="shared" si="2"/>
        <v>1</v>
      </c>
      <c r="E4376" s="294" t="s">
        <v>23925</v>
      </c>
      <c r="F4376" s="295" t="str">
        <f>IFERROR(__xludf.DUMMYFUNCTION("IF(B4376="""","""",IFERROR(VLOOKUP(TO_TEXT(B4376),PEDIDOS!D:I,6,0),IFERROR(VLOOKUP(B4376*1,PEDIDOS!D:I,6,0),"" "")))")," ")</f>
        <v> </v>
      </c>
      <c r="G4376" s="307" t="s">
        <v>23926</v>
      </c>
      <c r="H4376" s="304"/>
    </row>
    <row r="4377">
      <c r="A4377" s="302" t="s">
        <v>72</v>
      </c>
      <c r="B4377" s="291" t="s">
        <v>23957</v>
      </c>
      <c r="C4377" s="292" t="s">
        <v>48</v>
      </c>
      <c r="D4377" s="293">
        <f t="shared" si="2"/>
        <v>1</v>
      </c>
      <c r="E4377" s="294" t="s">
        <v>23925</v>
      </c>
      <c r="F4377" s="295" t="str">
        <f>IFERROR(__xludf.DUMMYFUNCTION("IF(B4377="""","""",IFERROR(VLOOKUP(TO_TEXT(B4377),PEDIDOS!D:I,6,0),IFERROR(VLOOKUP(B4377*1,PEDIDOS!D:I,6,0),"" "")))")," ")</f>
        <v> </v>
      </c>
      <c r="G4377" s="307" t="s">
        <v>23926</v>
      </c>
      <c r="H4377" s="304"/>
    </row>
    <row r="4378">
      <c r="A4378" s="302" t="s">
        <v>72</v>
      </c>
      <c r="B4378" s="291" t="s">
        <v>23958</v>
      </c>
      <c r="C4378" s="292" t="s">
        <v>48</v>
      </c>
      <c r="D4378" s="293">
        <f t="shared" si="2"/>
        <v>1</v>
      </c>
      <c r="E4378" s="294" t="s">
        <v>23925</v>
      </c>
      <c r="F4378" s="295" t="str">
        <f>IFERROR(__xludf.DUMMYFUNCTION("IF(B4378="""","""",IFERROR(VLOOKUP(TO_TEXT(B4378),PEDIDOS!D:I,6,0),IFERROR(VLOOKUP(B4378*1,PEDIDOS!D:I,6,0),"" "")))")," ")</f>
        <v> </v>
      </c>
      <c r="G4378" s="307" t="s">
        <v>23926</v>
      </c>
      <c r="H4378" s="304"/>
    </row>
    <row r="4379">
      <c r="A4379" s="302" t="s">
        <v>72</v>
      </c>
      <c r="B4379" s="291" t="s">
        <v>23959</v>
      </c>
      <c r="C4379" s="292" t="s">
        <v>48</v>
      </c>
      <c r="D4379" s="293">
        <f t="shared" si="2"/>
        <v>1</v>
      </c>
      <c r="E4379" s="294" t="s">
        <v>23925</v>
      </c>
      <c r="F4379" s="295" t="str">
        <f>IFERROR(__xludf.DUMMYFUNCTION("IF(B4379="""","""",IFERROR(VLOOKUP(TO_TEXT(B4379),PEDIDOS!D:I,6,0),IFERROR(VLOOKUP(B4379*1,PEDIDOS!D:I,6,0),"" "")))")," ")</f>
        <v> </v>
      </c>
      <c r="G4379" s="307" t="s">
        <v>23926</v>
      </c>
      <c r="H4379" s="304"/>
    </row>
    <row r="4380">
      <c r="A4380" s="302" t="s">
        <v>72</v>
      </c>
      <c r="B4380" s="291" t="s">
        <v>23960</v>
      </c>
      <c r="C4380" s="292" t="s">
        <v>48</v>
      </c>
      <c r="D4380" s="293">
        <f t="shared" si="2"/>
        <v>1</v>
      </c>
      <c r="E4380" s="294" t="s">
        <v>23925</v>
      </c>
      <c r="F4380" s="295" t="str">
        <f>IFERROR(__xludf.DUMMYFUNCTION("IF(B4380="""","""",IFERROR(VLOOKUP(TO_TEXT(B4380),PEDIDOS!D:I,6,0),IFERROR(VLOOKUP(B4380*1,PEDIDOS!D:I,6,0),"" "")))")," ")</f>
        <v> </v>
      </c>
      <c r="G4380" s="307" t="s">
        <v>23926</v>
      </c>
      <c r="H4380" s="304"/>
    </row>
    <row r="4381">
      <c r="A4381" s="302" t="s">
        <v>72</v>
      </c>
      <c r="B4381" s="291" t="s">
        <v>23961</v>
      </c>
      <c r="C4381" s="292" t="s">
        <v>48</v>
      </c>
      <c r="D4381" s="293">
        <f t="shared" si="2"/>
        <v>1</v>
      </c>
      <c r="E4381" s="294" t="s">
        <v>23925</v>
      </c>
      <c r="F4381" s="295" t="str">
        <f>IFERROR(__xludf.DUMMYFUNCTION("IF(B4381="""","""",IFERROR(VLOOKUP(TO_TEXT(B4381),PEDIDOS!D:I,6,0),IFERROR(VLOOKUP(B4381*1,PEDIDOS!D:I,6,0),"" "")))")," ")</f>
        <v> </v>
      </c>
      <c r="G4381" s="307" t="s">
        <v>23926</v>
      </c>
      <c r="H4381" s="304"/>
    </row>
    <row r="4382">
      <c r="A4382" s="302" t="s">
        <v>72</v>
      </c>
      <c r="B4382" s="291" t="s">
        <v>23962</v>
      </c>
      <c r="C4382" s="292" t="s">
        <v>48</v>
      </c>
      <c r="D4382" s="293">
        <f t="shared" si="2"/>
        <v>1</v>
      </c>
      <c r="E4382" s="294" t="s">
        <v>23925</v>
      </c>
      <c r="F4382" s="295" t="str">
        <f>IFERROR(__xludf.DUMMYFUNCTION("IF(B4382="""","""",IFERROR(VLOOKUP(TO_TEXT(B4382),PEDIDOS!D:I,6,0),IFERROR(VLOOKUP(B4382*1,PEDIDOS!D:I,6,0),"" "")))")," ")</f>
        <v> </v>
      </c>
      <c r="G4382" s="307" t="s">
        <v>23926</v>
      </c>
      <c r="H4382" s="304"/>
    </row>
    <row r="4383">
      <c r="A4383" s="302" t="s">
        <v>72</v>
      </c>
      <c r="B4383" s="291" t="s">
        <v>23963</v>
      </c>
      <c r="C4383" s="292" t="s">
        <v>48</v>
      </c>
      <c r="D4383" s="293">
        <f t="shared" si="2"/>
        <v>1</v>
      </c>
      <c r="E4383" s="294" t="s">
        <v>23925</v>
      </c>
      <c r="F4383" s="295" t="str">
        <f>IFERROR(__xludf.DUMMYFUNCTION("IF(B4383="""","""",IFERROR(VLOOKUP(TO_TEXT(B4383),PEDIDOS!D:I,6,0),IFERROR(VLOOKUP(B4383*1,PEDIDOS!D:I,6,0),"" "")))")," ")</f>
        <v> </v>
      </c>
      <c r="G4383" s="307" t="s">
        <v>23926</v>
      </c>
      <c r="H4383" s="304"/>
    </row>
    <row r="4384">
      <c r="A4384" s="302" t="s">
        <v>72</v>
      </c>
      <c r="B4384" s="291" t="s">
        <v>23964</v>
      </c>
      <c r="C4384" s="292" t="s">
        <v>48</v>
      </c>
      <c r="D4384" s="293">
        <f t="shared" si="2"/>
        <v>1</v>
      </c>
      <c r="E4384" s="294" t="s">
        <v>23925</v>
      </c>
      <c r="F4384" s="295" t="str">
        <f>IFERROR(__xludf.DUMMYFUNCTION("IF(B4384="""","""",IFERROR(VLOOKUP(TO_TEXT(B4384),PEDIDOS!D:I,6,0),IFERROR(VLOOKUP(B4384*1,PEDIDOS!D:I,6,0),"" "")))")," ")</f>
        <v> </v>
      </c>
      <c r="G4384" s="307" t="s">
        <v>23926</v>
      </c>
      <c r="H4384" s="304"/>
    </row>
    <row r="4385">
      <c r="A4385" s="302" t="s">
        <v>85</v>
      </c>
      <c r="B4385" s="291" t="s">
        <v>23965</v>
      </c>
      <c r="C4385" s="292" t="s">
        <v>48</v>
      </c>
      <c r="D4385" s="293">
        <f t="shared" si="2"/>
        <v>1</v>
      </c>
      <c r="E4385" s="294" t="s">
        <v>23925</v>
      </c>
      <c r="F4385" s="295" t="str">
        <f>IFERROR(__xludf.DUMMYFUNCTION("IF(B4385="""","""",IFERROR(VLOOKUP(TO_TEXT(B4385),PEDIDOS!D:I,6,0),IFERROR(VLOOKUP(B4385*1,PEDIDOS!D:I,6,0),"" "")))")," ")</f>
        <v> </v>
      </c>
      <c r="G4385" s="307" t="s">
        <v>23926</v>
      </c>
      <c r="H4385" s="304"/>
    </row>
    <row r="4386">
      <c r="A4386" s="302" t="s">
        <v>85</v>
      </c>
      <c r="B4386" s="291" t="s">
        <v>23966</v>
      </c>
      <c r="C4386" s="292" t="s">
        <v>48</v>
      </c>
      <c r="D4386" s="293">
        <f t="shared" si="2"/>
        <v>1</v>
      </c>
      <c r="E4386" s="294" t="s">
        <v>23925</v>
      </c>
      <c r="F4386" s="295" t="str">
        <f>IFERROR(__xludf.DUMMYFUNCTION("IF(B4386="""","""",IFERROR(VLOOKUP(TO_TEXT(B4386),PEDIDOS!D:I,6,0),IFERROR(VLOOKUP(B4386*1,PEDIDOS!D:I,6,0),"" "")))")," ")</f>
        <v> </v>
      </c>
      <c r="G4386" s="307" t="s">
        <v>23926</v>
      </c>
      <c r="H4386" s="304"/>
    </row>
    <row r="4387">
      <c r="A4387" s="302" t="s">
        <v>85</v>
      </c>
      <c r="B4387" s="291" t="s">
        <v>23967</v>
      </c>
      <c r="C4387" s="292" t="s">
        <v>48</v>
      </c>
      <c r="D4387" s="293">
        <f t="shared" si="2"/>
        <v>1</v>
      </c>
      <c r="E4387" s="294" t="s">
        <v>23925</v>
      </c>
      <c r="F4387" s="295" t="str">
        <f>IFERROR(__xludf.DUMMYFUNCTION("IF(B4387="""","""",IFERROR(VLOOKUP(TO_TEXT(B4387),PEDIDOS!D:I,6,0),IFERROR(VLOOKUP(B4387*1,PEDIDOS!D:I,6,0),"" "")))")," ")</f>
        <v> </v>
      </c>
      <c r="G4387" s="307" t="s">
        <v>23926</v>
      </c>
      <c r="H4387" s="304"/>
    </row>
    <row r="4388">
      <c r="A4388" s="302" t="s">
        <v>85</v>
      </c>
      <c r="B4388" s="291" t="s">
        <v>23968</v>
      </c>
      <c r="C4388" s="292" t="s">
        <v>48</v>
      </c>
      <c r="D4388" s="293">
        <f t="shared" si="2"/>
        <v>1</v>
      </c>
      <c r="E4388" s="294" t="s">
        <v>23925</v>
      </c>
      <c r="F4388" s="295" t="str">
        <f>IFERROR(__xludf.DUMMYFUNCTION("IF(B4388="""","""",IFERROR(VLOOKUP(TO_TEXT(B4388),PEDIDOS!D:I,6,0),IFERROR(VLOOKUP(B4388*1,PEDIDOS!D:I,6,0),"" "")))")," ")</f>
        <v> </v>
      </c>
      <c r="G4388" s="307" t="s">
        <v>23926</v>
      </c>
      <c r="H4388" s="304"/>
    </row>
    <row r="4389">
      <c r="A4389" s="302" t="s">
        <v>85</v>
      </c>
      <c r="B4389" s="291" t="s">
        <v>23969</v>
      </c>
      <c r="C4389" s="292" t="s">
        <v>48</v>
      </c>
      <c r="D4389" s="293">
        <f t="shared" si="2"/>
        <v>1</v>
      </c>
      <c r="E4389" s="294" t="s">
        <v>23925</v>
      </c>
      <c r="F4389" s="295" t="str">
        <f>IFERROR(__xludf.DUMMYFUNCTION("IF(B4389="""","""",IFERROR(VLOOKUP(TO_TEXT(B4389),PEDIDOS!D:I,6,0),IFERROR(VLOOKUP(B4389*1,PEDIDOS!D:I,6,0),"" "")))")," ")</f>
        <v> </v>
      </c>
      <c r="G4389" s="307" t="s">
        <v>23926</v>
      </c>
      <c r="H4389" s="304"/>
    </row>
    <row r="4390">
      <c r="A4390" s="302" t="s">
        <v>85</v>
      </c>
      <c r="B4390" s="291" t="s">
        <v>23970</v>
      </c>
      <c r="C4390" s="292" t="s">
        <v>48</v>
      </c>
      <c r="D4390" s="293">
        <f t="shared" si="2"/>
        <v>1</v>
      </c>
      <c r="E4390" s="294" t="s">
        <v>23925</v>
      </c>
      <c r="F4390" s="295" t="str">
        <f>IFERROR(__xludf.DUMMYFUNCTION("IF(B4390="""","""",IFERROR(VLOOKUP(TO_TEXT(B4390),PEDIDOS!D:I,6,0),IFERROR(VLOOKUP(B4390*1,PEDIDOS!D:I,6,0),"" "")))")," ")</f>
        <v> </v>
      </c>
      <c r="G4390" s="307" t="s">
        <v>23926</v>
      </c>
      <c r="H4390" s="304"/>
    </row>
    <row r="4391">
      <c r="A4391" s="302" t="s">
        <v>85</v>
      </c>
      <c r="B4391" s="291" t="s">
        <v>23971</v>
      </c>
      <c r="C4391" s="292" t="s">
        <v>48</v>
      </c>
      <c r="D4391" s="293">
        <f t="shared" si="2"/>
        <v>1</v>
      </c>
      <c r="E4391" s="294" t="s">
        <v>23925</v>
      </c>
      <c r="F4391" s="295" t="str">
        <f>IFERROR(__xludf.DUMMYFUNCTION("IF(B4391="""","""",IFERROR(VLOOKUP(TO_TEXT(B4391),PEDIDOS!D:I,6,0),IFERROR(VLOOKUP(B4391*1,PEDIDOS!D:I,6,0),"" "")))")," ")</f>
        <v> </v>
      </c>
      <c r="G4391" s="307" t="s">
        <v>23926</v>
      </c>
      <c r="H4391" s="304"/>
    </row>
    <row r="4392">
      <c r="A4392" s="302" t="s">
        <v>85</v>
      </c>
      <c r="B4392" s="291" t="s">
        <v>23972</v>
      </c>
      <c r="C4392" s="292" t="s">
        <v>48</v>
      </c>
      <c r="D4392" s="293">
        <f t="shared" si="2"/>
        <v>1</v>
      </c>
      <c r="E4392" s="294" t="s">
        <v>23925</v>
      </c>
      <c r="F4392" s="295" t="str">
        <f>IFERROR(__xludf.DUMMYFUNCTION("IF(B4392="""","""",IFERROR(VLOOKUP(TO_TEXT(B4392),PEDIDOS!D:I,6,0),IFERROR(VLOOKUP(B4392*1,PEDIDOS!D:I,6,0),"" "")))")," ")</f>
        <v> </v>
      </c>
      <c r="G4392" s="307" t="s">
        <v>23926</v>
      </c>
      <c r="H4392" s="304"/>
    </row>
    <row r="4393">
      <c r="A4393" s="302" t="s">
        <v>85</v>
      </c>
      <c r="B4393" s="291" t="s">
        <v>23973</v>
      </c>
      <c r="C4393" s="292" t="s">
        <v>48</v>
      </c>
      <c r="D4393" s="293">
        <f t="shared" si="2"/>
        <v>1</v>
      </c>
      <c r="E4393" s="294" t="s">
        <v>23925</v>
      </c>
      <c r="F4393" s="295" t="str">
        <f>IFERROR(__xludf.DUMMYFUNCTION("IF(B4393="""","""",IFERROR(VLOOKUP(TO_TEXT(B4393),PEDIDOS!D:I,6,0),IFERROR(VLOOKUP(B4393*1,PEDIDOS!D:I,6,0),"" "")))")," ")</f>
        <v> </v>
      </c>
      <c r="G4393" s="307" t="s">
        <v>23926</v>
      </c>
      <c r="H4393" s="304"/>
    </row>
    <row r="4394">
      <c r="A4394" s="302" t="s">
        <v>85</v>
      </c>
      <c r="B4394" s="291" t="s">
        <v>23974</v>
      </c>
      <c r="C4394" s="292" t="s">
        <v>48</v>
      </c>
      <c r="D4394" s="293">
        <f t="shared" si="2"/>
        <v>1</v>
      </c>
      <c r="E4394" s="294" t="s">
        <v>23925</v>
      </c>
      <c r="F4394" s="295" t="str">
        <f>IFERROR(__xludf.DUMMYFUNCTION("IF(B4394="""","""",IFERROR(VLOOKUP(TO_TEXT(B4394),PEDIDOS!D:I,6,0),IFERROR(VLOOKUP(B4394*1,PEDIDOS!D:I,6,0),"" "")))")," ")</f>
        <v> </v>
      </c>
      <c r="G4394" s="307" t="s">
        <v>23926</v>
      </c>
      <c r="H4394" s="304"/>
    </row>
    <row r="4395">
      <c r="A4395" s="302" t="s">
        <v>85</v>
      </c>
      <c r="B4395" s="291" t="s">
        <v>23975</v>
      </c>
      <c r="C4395" s="292" t="s">
        <v>48</v>
      </c>
      <c r="D4395" s="293">
        <f t="shared" si="2"/>
        <v>1</v>
      </c>
      <c r="E4395" s="294" t="s">
        <v>23925</v>
      </c>
      <c r="F4395" s="295" t="str">
        <f>IFERROR(__xludf.DUMMYFUNCTION("IF(B4395="""","""",IFERROR(VLOOKUP(TO_TEXT(B4395),PEDIDOS!D:I,6,0),IFERROR(VLOOKUP(B4395*1,PEDIDOS!D:I,6,0),"" "")))")," ")</f>
        <v> </v>
      </c>
      <c r="G4395" s="307" t="s">
        <v>23926</v>
      </c>
      <c r="H4395" s="304"/>
    </row>
    <row r="4396">
      <c r="A4396" s="302" t="s">
        <v>85</v>
      </c>
      <c r="B4396" s="291" t="s">
        <v>23976</v>
      </c>
      <c r="C4396" s="292" t="s">
        <v>48</v>
      </c>
      <c r="D4396" s="293">
        <f t="shared" si="2"/>
        <v>1</v>
      </c>
      <c r="E4396" s="294" t="s">
        <v>23925</v>
      </c>
      <c r="F4396" s="295" t="str">
        <f>IFERROR(__xludf.DUMMYFUNCTION("IF(B4396="""","""",IFERROR(VLOOKUP(TO_TEXT(B4396),PEDIDOS!D:I,6,0),IFERROR(VLOOKUP(B4396*1,PEDIDOS!D:I,6,0),"" "")))")," ")</f>
        <v> </v>
      </c>
      <c r="G4396" s="307" t="s">
        <v>23926</v>
      </c>
      <c r="H4396" s="304"/>
    </row>
    <row r="4397">
      <c r="A4397" s="302" t="s">
        <v>85</v>
      </c>
      <c r="B4397" s="291" t="s">
        <v>23977</v>
      </c>
      <c r="C4397" s="292" t="s">
        <v>48</v>
      </c>
      <c r="D4397" s="293">
        <f t="shared" si="2"/>
        <v>1</v>
      </c>
      <c r="E4397" s="294" t="s">
        <v>23925</v>
      </c>
      <c r="F4397" s="295" t="str">
        <f>IFERROR(__xludf.DUMMYFUNCTION("IF(B4397="""","""",IFERROR(VLOOKUP(TO_TEXT(B4397),PEDIDOS!D:I,6,0),IFERROR(VLOOKUP(B4397*1,PEDIDOS!D:I,6,0),"" "")))")," ")</f>
        <v> </v>
      </c>
      <c r="G4397" s="307" t="s">
        <v>23926</v>
      </c>
      <c r="H4397" s="304"/>
    </row>
    <row r="4398">
      <c r="A4398" s="302" t="s">
        <v>85</v>
      </c>
      <c r="B4398" s="291" t="s">
        <v>23978</v>
      </c>
      <c r="C4398" s="292" t="s">
        <v>48</v>
      </c>
      <c r="D4398" s="293">
        <f t="shared" si="2"/>
        <v>1</v>
      </c>
      <c r="E4398" s="294" t="s">
        <v>23925</v>
      </c>
      <c r="F4398" s="295" t="str">
        <f>IFERROR(__xludf.DUMMYFUNCTION("IF(B4398="""","""",IFERROR(VLOOKUP(TO_TEXT(B4398),PEDIDOS!D:I,6,0),IFERROR(VLOOKUP(B4398*1,PEDIDOS!D:I,6,0),"" "")))")," ")</f>
        <v> </v>
      </c>
      <c r="G4398" s="307" t="s">
        <v>23926</v>
      </c>
      <c r="H4398" s="304"/>
    </row>
    <row r="4399">
      <c r="A4399" s="302" t="s">
        <v>85</v>
      </c>
      <c r="B4399" s="291" t="s">
        <v>23979</v>
      </c>
      <c r="C4399" s="292" t="s">
        <v>48</v>
      </c>
      <c r="D4399" s="293">
        <f t="shared" si="2"/>
        <v>1</v>
      </c>
      <c r="E4399" s="294" t="s">
        <v>23925</v>
      </c>
      <c r="F4399" s="295" t="str">
        <f>IFERROR(__xludf.DUMMYFUNCTION("IF(B4399="""","""",IFERROR(VLOOKUP(TO_TEXT(B4399),PEDIDOS!D:I,6,0),IFERROR(VLOOKUP(B4399*1,PEDIDOS!D:I,6,0),"" "")))")," ")</f>
        <v> </v>
      </c>
      <c r="G4399" s="307" t="s">
        <v>23926</v>
      </c>
      <c r="H4399" s="304"/>
    </row>
    <row r="4400">
      <c r="A4400" s="302" t="s">
        <v>85</v>
      </c>
      <c r="B4400" s="291" t="s">
        <v>23980</v>
      </c>
      <c r="C4400" s="292" t="s">
        <v>48</v>
      </c>
      <c r="D4400" s="293">
        <f t="shared" si="2"/>
        <v>1</v>
      </c>
      <c r="E4400" s="294" t="s">
        <v>23925</v>
      </c>
      <c r="F4400" s="295" t="str">
        <f>IFERROR(__xludf.DUMMYFUNCTION("IF(B4400="""","""",IFERROR(VLOOKUP(TO_TEXT(B4400),PEDIDOS!D:I,6,0),IFERROR(VLOOKUP(B4400*1,PEDIDOS!D:I,6,0),"" "")))")," ")</f>
        <v> </v>
      </c>
      <c r="G4400" s="307" t="s">
        <v>23926</v>
      </c>
      <c r="H4400" s="304"/>
    </row>
    <row r="4401">
      <c r="A4401" s="302" t="s">
        <v>85</v>
      </c>
      <c r="B4401" s="291" t="s">
        <v>23981</v>
      </c>
      <c r="C4401" s="292" t="s">
        <v>48</v>
      </c>
      <c r="D4401" s="293">
        <f t="shared" si="2"/>
        <v>1</v>
      </c>
      <c r="E4401" s="294" t="s">
        <v>23925</v>
      </c>
      <c r="F4401" s="295" t="str">
        <f>IFERROR(__xludf.DUMMYFUNCTION("IF(B4401="""","""",IFERROR(VLOOKUP(TO_TEXT(B4401),PEDIDOS!D:I,6,0),IFERROR(VLOOKUP(B4401*1,PEDIDOS!D:I,6,0),"" "")))")," ")</f>
        <v> </v>
      </c>
      <c r="G4401" s="307" t="s">
        <v>23926</v>
      </c>
      <c r="H4401" s="304"/>
    </row>
    <row r="4402">
      <c r="A4402" s="302" t="s">
        <v>85</v>
      </c>
      <c r="B4402" s="291" t="s">
        <v>23982</v>
      </c>
      <c r="C4402" s="292" t="s">
        <v>48</v>
      </c>
      <c r="D4402" s="293">
        <f t="shared" si="2"/>
        <v>1</v>
      </c>
      <c r="E4402" s="294" t="s">
        <v>23925</v>
      </c>
      <c r="F4402" s="295" t="str">
        <f>IFERROR(__xludf.DUMMYFUNCTION("IF(B4402="""","""",IFERROR(VLOOKUP(TO_TEXT(B4402),PEDIDOS!D:I,6,0),IFERROR(VLOOKUP(B4402*1,PEDIDOS!D:I,6,0),"" "")))")," ")</f>
        <v> </v>
      </c>
      <c r="G4402" s="307" t="s">
        <v>23926</v>
      </c>
      <c r="H4402" s="304"/>
    </row>
    <row r="4403">
      <c r="A4403" s="302" t="s">
        <v>85</v>
      </c>
      <c r="B4403" s="291" t="s">
        <v>23983</v>
      </c>
      <c r="C4403" s="292" t="s">
        <v>48</v>
      </c>
      <c r="D4403" s="293">
        <f t="shared" si="2"/>
        <v>1</v>
      </c>
      <c r="E4403" s="294" t="s">
        <v>23925</v>
      </c>
      <c r="F4403" s="295" t="str">
        <f>IFERROR(__xludf.DUMMYFUNCTION("IF(B4403="""","""",IFERROR(VLOOKUP(TO_TEXT(B4403),PEDIDOS!D:I,6,0),IFERROR(VLOOKUP(B4403*1,PEDIDOS!D:I,6,0),"" "")))")," ")</f>
        <v> </v>
      </c>
      <c r="G4403" s="307" t="s">
        <v>23926</v>
      </c>
      <c r="H4403" s="304"/>
    </row>
    <row r="4404">
      <c r="A4404" s="302" t="s">
        <v>85</v>
      </c>
      <c r="B4404" s="291" t="s">
        <v>23984</v>
      </c>
      <c r="C4404" s="292" t="s">
        <v>48</v>
      </c>
      <c r="D4404" s="293">
        <f t="shared" si="2"/>
        <v>1</v>
      </c>
      <c r="E4404" s="294" t="s">
        <v>23925</v>
      </c>
      <c r="F4404" s="295" t="str">
        <f>IFERROR(__xludf.DUMMYFUNCTION("IF(B4404="""","""",IFERROR(VLOOKUP(TO_TEXT(B4404),PEDIDOS!D:I,6,0),IFERROR(VLOOKUP(B4404*1,PEDIDOS!D:I,6,0),"" "")))")," ")</f>
        <v> </v>
      </c>
      <c r="G4404" s="307" t="s">
        <v>23926</v>
      </c>
      <c r="H4404" s="304"/>
    </row>
    <row r="4405">
      <c r="A4405" s="302" t="s">
        <v>85</v>
      </c>
      <c r="B4405" s="291" t="s">
        <v>23985</v>
      </c>
      <c r="C4405" s="292" t="s">
        <v>48</v>
      </c>
      <c r="D4405" s="293">
        <f t="shared" si="2"/>
        <v>1</v>
      </c>
      <c r="E4405" s="294" t="s">
        <v>23925</v>
      </c>
      <c r="F4405" s="295" t="str">
        <f>IFERROR(__xludf.DUMMYFUNCTION("IF(B4405="""","""",IFERROR(VLOOKUP(TO_TEXT(B4405),PEDIDOS!D:I,6,0),IFERROR(VLOOKUP(B4405*1,PEDIDOS!D:I,6,0),"" "")))")," ")</f>
        <v> </v>
      </c>
      <c r="G4405" s="307" t="s">
        <v>23926</v>
      </c>
      <c r="H4405" s="304"/>
    </row>
    <row r="4406">
      <c r="A4406" s="302" t="s">
        <v>85</v>
      </c>
      <c r="B4406" s="291" t="s">
        <v>23986</v>
      </c>
      <c r="C4406" s="292" t="s">
        <v>48</v>
      </c>
      <c r="D4406" s="293">
        <f t="shared" si="2"/>
        <v>1</v>
      </c>
      <c r="E4406" s="294" t="s">
        <v>23925</v>
      </c>
      <c r="F4406" s="295" t="str">
        <f>IFERROR(__xludf.DUMMYFUNCTION("IF(B4406="""","""",IFERROR(VLOOKUP(TO_TEXT(B4406),PEDIDOS!D:I,6,0),IFERROR(VLOOKUP(B4406*1,PEDIDOS!D:I,6,0),"" "")))")," ")</f>
        <v> </v>
      </c>
      <c r="G4406" s="307" t="s">
        <v>23926</v>
      </c>
      <c r="H4406" s="304"/>
    </row>
    <row r="4407">
      <c r="A4407" s="302" t="s">
        <v>85</v>
      </c>
      <c r="B4407" s="291" t="s">
        <v>23987</v>
      </c>
      <c r="C4407" s="292" t="s">
        <v>48</v>
      </c>
      <c r="D4407" s="293">
        <f t="shared" si="2"/>
        <v>1</v>
      </c>
      <c r="E4407" s="294" t="s">
        <v>23925</v>
      </c>
      <c r="F4407" s="295" t="str">
        <f>IFERROR(__xludf.DUMMYFUNCTION("IF(B4407="""","""",IFERROR(VLOOKUP(TO_TEXT(B4407),PEDIDOS!D:I,6,0),IFERROR(VLOOKUP(B4407*1,PEDIDOS!D:I,6,0),"" "")))")," ")</f>
        <v> </v>
      </c>
      <c r="G4407" s="307" t="s">
        <v>23926</v>
      </c>
      <c r="H4407" s="304"/>
    </row>
    <row r="4408">
      <c r="A4408" s="302" t="s">
        <v>85</v>
      </c>
      <c r="B4408" s="291" t="s">
        <v>23988</v>
      </c>
      <c r="C4408" s="292" t="s">
        <v>48</v>
      </c>
      <c r="D4408" s="293">
        <f t="shared" si="2"/>
        <v>1</v>
      </c>
      <c r="E4408" s="294" t="s">
        <v>23925</v>
      </c>
      <c r="F4408" s="295" t="str">
        <f>IFERROR(__xludf.DUMMYFUNCTION("IF(B4408="""","""",IFERROR(VLOOKUP(TO_TEXT(B4408),PEDIDOS!D:I,6,0),IFERROR(VLOOKUP(B4408*1,PEDIDOS!D:I,6,0),"" "")))")," ")</f>
        <v> </v>
      </c>
      <c r="G4408" s="307" t="s">
        <v>23926</v>
      </c>
      <c r="H4408" s="304"/>
    </row>
    <row r="4409">
      <c r="A4409" s="302" t="s">
        <v>85</v>
      </c>
      <c r="B4409" s="291" t="s">
        <v>23989</v>
      </c>
      <c r="C4409" s="292" t="s">
        <v>48</v>
      </c>
      <c r="D4409" s="293">
        <f t="shared" si="2"/>
        <v>1</v>
      </c>
      <c r="E4409" s="294" t="s">
        <v>23925</v>
      </c>
      <c r="F4409" s="295" t="str">
        <f>IFERROR(__xludf.DUMMYFUNCTION("IF(B4409="""","""",IFERROR(VLOOKUP(TO_TEXT(B4409),PEDIDOS!D:I,6,0),IFERROR(VLOOKUP(B4409*1,PEDIDOS!D:I,6,0),"" "")))")," ")</f>
        <v> </v>
      </c>
      <c r="G4409" s="307" t="s">
        <v>23926</v>
      </c>
      <c r="H4409" s="304"/>
    </row>
    <row r="4410">
      <c r="A4410" s="302" t="s">
        <v>85</v>
      </c>
      <c r="B4410" s="291" t="s">
        <v>23990</v>
      </c>
      <c r="C4410" s="292" t="s">
        <v>48</v>
      </c>
      <c r="D4410" s="293">
        <f t="shared" si="2"/>
        <v>1</v>
      </c>
      <c r="E4410" s="294" t="s">
        <v>23925</v>
      </c>
      <c r="F4410" s="295" t="str">
        <f>IFERROR(__xludf.DUMMYFUNCTION("IF(B4410="""","""",IFERROR(VLOOKUP(TO_TEXT(B4410),PEDIDOS!D:I,6,0),IFERROR(VLOOKUP(B4410*1,PEDIDOS!D:I,6,0),"" "")))")," ")</f>
        <v> </v>
      </c>
      <c r="G4410" s="307" t="s">
        <v>23926</v>
      </c>
      <c r="H4410" s="304"/>
    </row>
    <row r="4411">
      <c r="A4411" s="302" t="s">
        <v>85</v>
      </c>
      <c r="B4411" s="291" t="s">
        <v>23991</v>
      </c>
      <c r="C4411" s="292" t="s">
        <v>48</v>
      </c>
      <c r="D4411" s="293">
        <f t="shared" si="2"/>
        <v>1</v>
      </c>
      <c r="E4411" s="294" t="s">
        <v>23925</v>
      </c>
      <c r="F4411" s="295" t="str">
        <f>IFERROR(__xludf.DUMMYFUNCTION("IF(B4411="""","""",IFERROR(VLOOKUP(TO_TEXT(B4411),PEDIDOS!D:I,6,0),IFERROR(VLOOKUP(B4411*1,PEDIDOS!D:I,6,0),"" "")))")," ")</f>
        <v> </v>
      </c>
      <c r="G4411" s="307" t="s">
        <v>23926</v>
      </c>
      <c r="H4411" s="304"/>
    </row>
    <row r="4412">
      <c r="A4412" s="302" t="s">
        <v>85</v>
      </c>
      <c r="B4412" s="291" t="s">
        <v>23992</v>
      </c>
      <c r="C4412" s="292" t="s">
        <v>48</v>
      </c>
      <c r="D4412" s="293">
        <f t="shared" si="2"/>
        <v>1</v>
      </c>
      <c r="E4412" s="294" t="s">
        <v>23925</v>
      </c>
      <c r="F4412" s="295" t="str">
        <f>IFERROR(__xludf.DUMMYFUNCTION("IF(B4412="""","""",IFERROR(VLOOKUP(TO_TEXT(B4412),PEDIDOS!D:I,6,0),IFERROR(VLOOKUP(B4412*1,PEDIDOS!D:I,6,0),"" "")))")," ")</f>
        <v> </v>
      </c>
      <c r="G4412" s="307" t="s">
        <v>23926</v>
      </c>
      <c r="H4412" s="304"/>
    </row>
    <row r="4413">
      <c r="A4413" s="302" t="s">
        <v>85</v>
      </c>
      <c r="B4413" s="291" t="s">
        <v>23993</v>
      </c>
      <c r="C4413" s="292" t="s">
        <v>48</v>
      </c>
      <c r="D4413" s="293">
        <f t="shared" si="2"/>
        <v>1</v>
      </c>
      <c r="E4413" s="294" t="s">
        <v>23925</v>
      </c>
      <c r="F4413" s="295" t="str">
        <f>IFERROR(__xludf.DUMMYFUNCTION("IF(B4413="""","""",IFERROR(VLOOKUP(TO_TEXT(B4413),PEDIDOS!D:I,6,0),IFERROR(VLOOKUP(B4413*1,PEDIDOS!D:I,6,0),"" "")))")," ")</f>
        <v> </v>
      </c>
      <c r="G4413" s="307" t="s">
        <v>23926</v>
      </c>
      <c r="H4413" s="304"/>
    </row>
    <row r="4414">
      <c r="A4414" s="302" t="s">
        <v>85</v>
      </c>
      <c r="B4414" s="291" t="s">
        <v>23994</v>
      </c>
      <c r="C4414" s="292" t="s">
        <v>48</v>
      </c>
      <c r="D4414" s="293">
        <f t="shared" si="2"/>
        <v>1</v>
      </c>
      <c r="E4414" s="294" t="s">
        <v>23925</v>
      </c>
      <c r="F4414" s="295" t="str">
        <f>IFERROR(__xludf.DUMMYFUNCTION("IF(B4414="""","""",IFERROR(VLOOKUP(TO_TEXT(B4414),PEDIDOS!D:I,6,0),IFERROR(VLOOKUP(B4414*1,PEDIDOS!D:I,6,0),"" "")))")," ")</f>
        <v> </v>
      </c>
      <c r="G4414" s="307" t="s">
        <v>23926</v>
      </c>
      <c r="H4414" s="304"/>
    </row>
    <row r="4415">
      <c r="A4415" s="302" t="s">
        <v>85</v>
      </c>
      <c r="B4415" s="291" t="s">
        <v>23995</v>
      </c>
      <c r="C4415" s="292" t="s">
        <v>48</v>
      </c>
      <c r="D4415" s="293">
        <f t="shared" si="2"/>
        <v>1</v>
      </c>
      <c r="E4415" s="294" t="s">
        <v>23925</v>
      </c>
      <c r="F4415" s="295" t="str">
        <f>IFERROR(__xludf.DUMMYFUNCTION("IF(B4415="""","""",IFERROR(VLOOKUP(TO_TEXT(B4415),PEDIDOS!D:I,6,0),IFERROR(VLOOKUP(B4415*1,PEDIDOS!D:I,6,0),"" "")))")," ")</f>
        <v> </v>
      </c>
      <c r="G4415" s="307" t="s">
        <v>23926</v>
      </c>
      <c r="H4415" s="304"/>
    </row>
    <row r="4416">
      <c r="A4416" s="302" t="s">
        <v>85</v>
      </c>
      <c r="B4416" s="291" t="s">
        <v>23996</v>
      </c>
      <c r="C4416" s="292" t="s">
        <v>48</v>
      </c>
      <c r="D4416" s="293">
        <f t="shared" si="2"/>
        <v>1</v>
      </c>
      <c r="E4416" s="294" t="s">
        <v>23925</v>
      </c>
      <c r="F4416" s="295" t="str">
        <f>IFERROR(__xludf.DUMMYFUNCTION("IF(B4416="""","""",IFERROR(VLOOKUP(TO_TEXT(B4416),PEDIDOS!D:I,6,0),IFERROR(VLOOKUP(B4416*1,PEDIDOS!D:I,6,0),"" "")))")," ")</f>
        <v> </v>
      </c>
      <c r="G4416" s="307" t="s">
        <v>23926</v>
      </c>
      <c r="H4416" s="304"/>
    </row>
    <row r="4417">
      <c r="A4417" s="302" t="s">
        <v>85</v>
      </c>
      <c r="B4417" s="291" t="s">
        <v>23997</v>
      </c>
      <c r="C4417" s="292" t="s">
        <v>48</v>
      </c>
      <c r="D4417" s="293">
        <f t="shared" si="2"/>
        <v>1</v>
      </c>
      <c r="E4417" s="294" t="s">
        <v>23925</v>
      </c>
      <c r="F4417" s="295" t="str">
        <f>IFERROR(__xludf.DUMMYFUNCTION("IF(B4417="""","""",IFERROR(VLOOKUP(TO_TEXT(B4417),PEDIDOS!D:I,6,0),IFERROR(VLOOKUP(B4417*1,PEDIDOS!D:I,6,0),"" "")))")," ")</f>
        <v> </v>
      </c>
      <c r="G4417" s="307" t="s">
        <v>23926</v>
      </c>
      <c r="H4417" s="304"/>
    </row>
    <row r="4418">
      <c r="A4418" s="302" t="s">
        <v>85</v>
      </c>
      <c r="B4418" s="291" t="s">
        <v>23998</v>
      </c>
      <c r="C4418" s="292" t="s">
        <v>48</v>
      </c>
      <c r="D4418" s="293">
        <f t="shared" si="2"/>
        <v>1</v>
      </c>
      <c r="E4418" s="294" t="s">
        <v>23925</v>
      </c>
      <c r="F4418" s="295" t="str">
        <f>IFERROR(__xludf.DUMMYFUNCTION("IF(B4418="""","""",IFERROR(VLOOKUP(TO_TEXT(B4418),PEDIDOS!D:I,6,0),IFERROR(VLOOKUP(B4418*1,PEDIDOS!D:I,6,0),"" "")))")," ")</f>
        <v> </v>
      </c>
      <c r="G4418" s="307" t="s">
        <v>23926</v>
      </c>
      <c r="H4418" s="304"/>
    </row>
    <row r="4419">
      <c r="A4419" s="302" t="s">
        <v>85</v>
      </c>
      <c r="B4419" s="291" t="s">
        <v>23999</v>
      </c>
      <c r="C4419" s="292" t="s">
        <v>48</v>
      </c>
      <c r="D4419" s="293">
        <f t="shared" si="2"/>
        <v>1</v>
      </c>
      <c r="E4419" s="294" t="s">
        <v>23925</v>
      </c>
      <c r="F4419" s="295" t="str">
        <f>IFERROR(__xludf.DUMMYFUNCTION("IF(B4419="""","""",IFERROR(VLOOKUP(TO_TEXT(B4419),PEDIDOS!D:I,6,0),IFERROR(VLOOKUP(B4419*1,PEDIDOS!D:I,6,0),"" "")))")," ")</f>
        <v> </v>
      </c>
      <c r="G4419" s="307" t="s">
        <v>23926</v>
      </c>
      <c r="H4419" s="304"/>
    </row>
    <row r="4420">
      <c r="A4420" s="302" t="s">
        <v>85</v>
      </c>
      <c r="B4420" s="291" t="s">
        <v>24000</v>
      </c>
      <c r="C4420" s="292" t="s">
        <v>48</v>
      </c>
      <c r="D4420" s="293">
        <f t="shared" si="2"/>
        <v>1</v>
      </c>
      <c r="E4420" s="294" t="s">
        <v>23925</v>
      </c>
      <c r="F4420" s="295" t="str">
        <f>IFERROR(__xludf.DUMMYFUNCTION("IF(B4420="""","""",IFERROR(VLOOKUP(TO_TEXT(B4420),PEDIDOS!D:I,6,0),IFERROR(VLOOKUP(B4420*1,PEDIDOS!D:I,6,0),"" "")))")," ")</f>
        <v> </v>
      </c>
      <c r="G4420" s="307" t="s">
        <v>23926</v>
      </c>
      <c r="H4420" s="304"/>
    </row>
    <row r="4421">
      <c r="A4421" s="302" t="s">
        <v>85</v>
      </c>
      <c r="B4421" s="291" t="s">
        <v>24001</v>
      </c>
      <c r="C4421" s="292" t="s">
        <v>48</v>
      </c>
      <c r="D4421" s="293">
        <f t="shared" si="2"/>
        <v>1</v>
      </c>
      <c r="E4421" s="294" t="s">
        <v>23925</v>
      </c>
      <c r="F4421" s="295" t="str">
        <f>IFERROR(__xludf.DUMMYFUNCTION("IF(B4421="""","""",IFERROR(VLOOKUP(TO_TEXT(B4421),PEDIDOS!D:I,6,0),IFERROR(VLOOKUP(B4421*1,PEDIDOS!D:I,6,0),"" "")))")," ")</f>
        <v> </v>
      </c>
      <c r="G4421" s="307" t="s">
        <v>23926</v>
      </c>
      <c r="H4421" s="304"/>
    </row>
    <row r="4422">
      <c r="A4422" s="302" t="s">
        <v>85</v>
      </c>
      <c r="B4422" s="291" t="s">
        <v>24002</v>
      </c>
      <c r="C4422" s="292" t="s">
        <v>48</v>
      </c>
      <c r="D4422" s="293">
        <f t="shared" si="2"/>
        <v>1</v>
      </c>
      <c r="E4422" s="294" t="s">
        <v>23925</v>
      </c>
      <c r="F4422" s="295" t="str">
        <f>IFERROR(__xludf.DUMMYFUNCTION("IF(B4422="""","""",IFERROR(VLOOKUP(TO_TEXT(B4422),PEDIDOS!D:I,6,0),IFERROR(VLOOKUP(B4422*1,PEDIDOS!D:I,6,0),"" "")))")," ")</f>
        <v> </v>
      </c>
      <c r="G4422" s="307" t="s">
        <v>23926</v>
      </c>
      <c r="H4422" s="304"/>
    </row>
    <row r="4423">
      <c r="A4423" s="302" t="s">
        <v>85</v>
      </c>
      <c r="B4423" s="291" t="s">
        <v>24003</v>
      </c>
      <c r="C4423" s="292" t="s">
        <v>48</v>
      </c>
      <c r="D4423" s="293">
        <f t="shared" si="2"/>
        <v>1</v>
      </c>
      <c r="E4423" s="294" t="s">
        <v>23925</v>
      </c>
      <c r="F4423" s="295" t="str">
        <f>IFERROR(__xludf.DUMMYFUNCTION("IF(B4423="""","""",IFERROR(VLOOKUP(TO_TEXT(B4423),PEDIDOS!D:I,6,0),IFERROR(VLOOKUP(B4423*1,PEDIDOS!D:I,6,0),"" "")))")," ")</f>
        <v> </v>
      </c>
      <c r="G4423" s="305" t="s">
        <v>23926</v>
      </c>
      <c r="H4423" s="304"/>
    </row>
    <row r="4424">
      <c r="A4424" s="302" t="s">
        <v>85</v>
      </c>
      <c r="B4424" s="291" t="s">
        <v>24004</v>
      </c>
      <c r="C4424" s="292" t="s">
        <v>48</v>
      </c>
      <c r="D4424" s="293">
        <f t="shared" si="2"/>
        <v>1</v>
      </c>
      <c r="E4424" s="294" t="s">
        <v>23925</v>
      </c>
      <c r="F4424" s="295" t="str">
        <f>IFERROR(__xludf.DUMMYFUNCTION("IF(B4424="""","""",IFERROR(VLOOKUP(TO_TEXT(B4424),PEDIDOS!D:I,6,0),IFERROR(VLOOKUP(B4424*1,PEDIDOS!D:I,6,0),"" "")))")," ")</f>
        <v> </v>
      </c>
      <c r="G4424" s="305" t="s">
        <v>23926</v>
      </c>
      <c r="H4424" s="304"/>
    </row>
    <row r="4425">
      <c r="A4425" s="302" t="s">
        <v>85</v>
      </c>
      <c r="B4425" s="291" t="s">
        <v>24005</v>
      </c>
      <c r="C4425" s="292" t="s">
        <v>48</v>
      </c>
      <c r="D4425" s="293">
        <f t="shared" si="2"/>
        <v>1</v>
      </c>
      <c r="E4425" s="294" t="s">
        <v>23925</v>
      </c>
      <c r="F4425" s="295" t="str">
        <f>IFERROR(__xludf.DUMMYFUNCTION("IF(B4425="""","""",IFERROR(VLOOKUP(TO_TEXT(B4425),PEDIDOS!D:I,6,0),IFERROR(VLOOKUP(B4425*1,PEDIDOS!D:I,6,0),"" "")))")," ")</f>
        <v> </v>
      </c>
      <c r="G4425" s="305" t="s">
        <v>23926</v>
      </c>
      <c r="H4425" s="304"/>
    </row>
    <row r="4426">
      <c r="A4426" s="302" t="s">
        <v>85</v>
      </c>
      <c r="B4426" s="291" t="s">
        <v>24006</v>
      </c>
      <c r="C4426" s="292" t="s">
        <v>48</v>
      </c>
      <c r="D4426" s="293">
        <f t="shared" si="2"/>
        <v>1</v>
      </c>
      <c r="E4426" s="294" t="s">
        <v>23925</v>
      </c>
      <c r="F4426" s="295" t="str">
        <f>IFERROR(__xludf.DUMMYFUNCTION("IF(B4426="""","""",IFERROR(VLOOKUP(TO_TEXT(B4426),PEDIDOS!D:I,6,0),IFERROR(VLOOKUP(B4426*1,PEDIDOS!D:I,6,0),"" "")))")," ")</f>
        <v> </v>
      </c>
      <c r="G4426" s="305" t="s">
        <v>23926</v>
      </c>
      <c r="H4426" s="304"/>
    </row>
    <row r="4427">
      <c r="A4427" s="302" t="s">
        <v>85</v>
      </c>
      <c r="B4427" s="291" t="s">
        <v>24007</v>
      </c>
      <c r="C4427" s="292" t="s">
        <v>48</v>
      </c>
      <c r="D4427" s="293">
        <f t="shared" si="2"/>
        <v>1</v>
      </c>
      <c r="E4427" s="294" t="s">
        <v>23925</v>
      </c>
      <c r="F4427" s="295" t="str">
        <f>IFERROR(__xludf.DUMMYFUNCTION("IF(B4427="""","""",IFERROR(VLOOKUP(TO_TEXT(B4427),PEDIDOS!D:I,6,0),IFERROR(VLOOKUP(B4427*1,PEDIDOS!D:I,6,0),"" "")))")," ")</f>
        <v> </v>
      </c>
      <c r="G4427" s="305" t="s">
        <v>23926</v>
      </c>
      <c r="H4427" s="304"/>
    </row>
    <row r="4428">
      <c r="A4428" s="302" t="s">
        <v>91</v>
      </c>
      <c r="B4428" s="291" t="s">
        <v>24008</v>
      </c>
      <c r="C4428" s="292" t="s">
        <v>48</v>
      </c>
      <c r="D4428" s="293">
        <f t="shared" si="2"/>
        <v>1</v>
      </c>
      <c r="E4428" s="294" t="s">
        <v>23925</v>
      </c>
      <c r="F4428" s="295" t="str">
        <f>IFERROR(__xludf.DUMMYFUNCTION("IF(B4428="""","""",IFERROR(VLOOKUP(TO_TEXT(B4428),PEDIDOS!D:I,6,0),IFERROR(VLOOKUP(B4428*1,PEDIDOS!D:I,6,0),"" "")))")," ")</f>
        <v> </v>
      </c>
      <c r="G4428" s="305" t="s">
        <v>23926</v>
      </c>
      <c r="H4428" s="304"/>
    </row>
    <row r="4429">
      <c r="A4429" s="302" t="s">
        <v>91</v>
      </c>
      <c r="B4429" s="291" t="s">
        <v>24009</v>
      </c>
      <c r="C4429" s="292" t="s">
        <v>48</v>
      </c>
      <c r="D4429" s="293">
        <f t="shared" si="2"/>
        <v>1</v>
      </c>
      <c r="E4429" s="294" t="s">
        <v>23925</v>
      </c>
      <c r="F4429" s="295" t="str">
        <f>IFERROR(__xludf.DUMMYFUNCTION("IF(B4429="""","""",IFERROR(VLOOKUP(TO_TEXT(B4429),PEDIDOS!D:I,6,0),IFERROR(VLOOKUP(B4429*1,PEDIDOS!D:I,6,0),"" "")))")," ")</f>
        <v> </v>
      </c>
      <c r="G4429" s="305" t="s">
        <v>23926</v>
      </c>
      <c r="H4429" s="304"/>
    </row>
    <row r="4430">
      <c r="A4430" s="302" t="s">
        <v>91</v>
      </c>
      <c r="B4430" s="291" t="s">
        <v>24010</v>
      </c>
      <c r="C4430" s="292" t="s">
        <v>48</v>
      </c>
      <c r="D4430" s="293">
        <f t="shared" si="2"/>
        <v>1</v>
      </c>
      <c r="E4430" s="294" t="s">
        <v>23925</v>
      </c>
      <c r="F4430" s="295" t="str">
        <f>IFERROR(__xludf.DUMMYFUNCTION("IF(B4430="""","""",IFERROR(VLOOKUP(TO_TEXT(B4430),PEDIDOS!D:I,6,0),IFERROR(VLOOKUP(B4430*1,PEDIDOS!D:I,6,0),"" "")))")," ")</f>
        <v> </v>
      </c>
      <c r="G4430" s="305" t="s">
        <v>23926</v>
      </c>
      <c r="H4430" s="304"/>
    </row>
    <row r="4431">
      <c r="A4431" s="302" t="s">
        <v>91</v>
      </c>
      <c r="B4431" s="291" t="s">
        <v>24011</v>
      </c>
      <c r="C4431" s="292" t="s">
        <v>48</v>
      </c>
      <c r="D4431" s="293">
        <f t="shared" si="2"/>
        <v>1</v>
      </c>
      <c r="E4431" s="294" t="s">
        <v>23925</v>
      </c>
      <c r="F4431" s="295" t="str">
        <f>IFERROR(__xludf.DUMMYFUNCTION("IF(B4431="""","""",IFERROR(VLOOKUP(TO_TEXT(B4431),PEDIDOS!D:I,6,0),IFERROR(VLOOKUP(B4431*1,PEDIDOS!D:I,6,0),"" "")))")," ")</f>
        <v> </v>
      </c>
      <c r="G4431" s="305" t="s">
        <v>23926</v>
      </c>
      <c r="H4431" s="304"/>
    </row>
    <row r="4432">
      <c r="A4432" s="302" t="s">
        <v>91</v>
      </c>
      <c r="B4432" s="291" t="s">
        <v>24012</v>
      </c>
      <c r="C4432" s="292" t="s">
        <v>48</v>
      </c>
      <c r="D4432" s="293">
        <f t="shared" si="2"/>
        <v>1</v>
      </c>
      <c r="E4432" s="294" t="s">
        <v>23925</v>
      </c>
      <c r="F4432" s="295" t="str">
        <f>IFERROR(__xludf.DUMMYFUNCTION("IF(B4432="""","""",IFERROR(VLOOKUP(TO_TEXT(B4432),PEDIDOS!D:I,6,0),IFERROR(VLOOKUP(B4432*1,PEDIDOS!D:I,6,0),"" "")))")," ")</f>
        <v> </v>
      </c>
      <c r="G4432" s="305" t="s">
        <v>23926</v>
      </c>
      <c r="H4432" s="304"/>
    </row>
    <row r="4433">
      <c r="A4433" s="302" t="s">
        <v>91</v>
      </c>
      <c r="B4433" s="291" t="s">
        <v>24013</v>
      </c>
      <c r="C4433" s="292" t="s">
        <v>48</v>
      </c>
      <c r="D4433" s="293">
        <f t="shared" si="2"/>
        <v>1</v>
      </c>
      <c r="E4433" s="294" t="s">
        <v>23925</v>
      </c>
      <c r="F4433" s="295" t="str">
        <f>IFERROR(__xludf.DUMMYFUNCTION("IF(B4433="""","""",IFERROR(VLOOKUP(TO_TEXT(B4433),PEDIDOS!D:I,6,0),IFERROR(VLOOKUP(B4433*1,PEDIDOS!D:I,6,0),"" "")))")," ")</f>
        <v> </v>
      </c>
      <c r="G4433" s="305" t="s">
        <v>23926</v>
      </c>
      <c r="H4433" s="304"/>
    </row>
    <row r="4434">
      <c r="A4434" s="302" t="s">
        <v>91</v>
      </c>
      <c r="B4434" s="291" t="s">
        <v>24014</v>
      </c>
      <c r="C4434" s="292" t="s">
        <v>48</v>
      </c>
      <c r="D4434" s="293">
        <f t="shared" si="2"/>
        <v>1</v>
      </c>
      <c r="E4434" s="294" t="s">
        <v>23925</v>
      </c>
      <c r="F4434" s="295" t="str">
        <f>IFERROR(__xludf.DUMMYFUNCTION("IF(B4434="""","""",IFERROR(VLOOKUP(TO_TEXT(B4434),PEDIDOS!D:I,6,0),IFERROR(VLOOKUP(B4434*1,PEDIDOS!D:I,6,0),"" "")))")," ")</f>
        <v> </v>
      </c>
      <c r="G4434" s="305" t="s">
        <v>23926</v>
      </c>
      <c r="H4434" s="304"/>
    </row>
    <row r="4435">
      <c r="A4435" s="302" t="s">
        <v>91</v>
      </c>
      <c r="B4435" s="291" t="s">
        <v>24015</v>
      </c>
      <c r="C4435" s="292" t="s">
        <v>48</v>
      </c>
      <c r="D4435" s="293">
        <f t="shared" si="2"/>
        <v>1</v>
      </c>
      <c r="E4435" s="294" t="s">
        <v>23925</v>
      </c>
      <c r="F4435" s="295" t="str">
        <f>IFERROR(__xludf.DUMMYFUNCTION("IF(B4435="""","""",IFERROR(VLOOKUP(TO_TEXT(B4435),PEDIDOS!D:I,6,0),IFERROR(VLOOKUP(B4435*1,PEDIDOS!D:I,6,0),"" "")))")," ")</f>
        <v> </v>
      </c>
      <c r="G4435" s="305" t="s">
        <v>23926</v>
      </c>
      <c r="H4435" s="304"/>
    </row>
    <row r="4436">
      <c r="A4436" s="302" t="s">
        <v>91</v>
      </c>
      <c r="B4436" s="291" t="s">
        <v>24016</v>
      </c>
      <c r="C4436" s="292" t="s">
        <v>48</v>
      </c>
      <c r="D4436" s="293">
        <f t="shared" si="2"/>
        <v>1</v>
      </c>
      <c r="E4436" s="294" t="s">
        <v>23925</v>
      </c>
      <c r="F4436" s="295" t="str">
        <f>IFERROR(__xludf.DUMMYFUNCTION("IF(B4436="""","""",IFERROR(VLOOKUP(TO_TEXT(B4436),PEDIDOS!D:I,6,0),IFERROR(VLOOKUP(B4436*1,PEDIDOS!D:I,6,0),"" "")))")," ")</f>
        <v> </v>
      </c>
      <c r="G4436" s="305" t="s">
        <v>23926</v>
      </c>
      <c r="H4436" s="304"/>
    </row>
    <row r="4437">
      <c r="A4437" s="302" t="s">
        <v>91</v>
      </c>
      <c r="B4437" s="291" t="s">
        <v>24017</v>
      </c>
      <c r="C4437" s="292" t="s">
        <v>48</v>
      </c>
      <c r="D4437" s="293">
        <f t="shared" si="2"/>
        <v>1</v>
      </c>
      <c r="E4437" s="294" t="s">
        <v>23925</v>
      </c>
      <c r="F4437" s="295" t="str">
        <f>IFERROR(__xludf.DUMMYFUNCTION("IF(B4437="""","""",IFERROR(VLOOKUP(TO_TEXT(B4437),PEDIDOS!D:I,6,0),IFERROR(VLOOKUP(B4437*1,PEDIDOS!D:I,6,0),"" "")))")," ")</f>
        <v> </v>
      </c>
      <c r="G4437" s="305" t="s">
        <v>23926</v>
      </c>
      <c r="H4437" s="304"/>
    </row>
    <row r="4438">
      <c r="A4438" s="302" t="s">
        <v>91</v>
      </c>
      <c r="B4438" s="291" t="s">
        <v>24018</v>
      </c>
      <c r="C4438" s="292" t="s">
        <v>48</v>
      </c>
      <c r="D4438" s="293">
        <f t="shared" si="2"/>
        <v>1</v>
      </c>
      <c r="E4438" s="294" t="s">
        <v>23925</v>
      </c>
      <c r="F4438" s="295" t="str">
        <f>IFERROR(__xludf.DUMMYFUNCTION("IF(B4438="""","""",IFERROR(VLOOKUP(TO_TEXT(B4438),PEDIDOS!D:I,6,0),IFERROR(VLOOKUP(B4438*1,PEDIDOS!D:I,6,0),"" "")))")," ")</f>
        <v> </v>
      </c>
      <c r="G4438" s="305" t="s">
        <v>23926</v>
      </c>
      <c r="H4438" s="304"/>
    </row>
    <row r="4439">
      <c r="A4439" s="302" t="s">
        <v>91</v>
      </c>
      <c r="B4439" s="291" t="s">
        <v>24019</v>
      </c>
      <c r="C4439" s="292" t="s">
        <v>48</v>
      </c>
      <c r="D4439" s="293">
        <f t="shared" si="2"/>
        <v>1</v>
      </c>
      <c r="E4439" s="294" t="s">
        <v>23925</v>
      </c>
      <c r="F4439" s="295" t="str">
        <f>IFERROR(__xludf.DUMMYFUNCTION("IF(B4439="""","""",IFERROR(VLOOKUP(TO_TEXT(B4439),PEDIDOS!D:I,6,0),IFERROR(VLOOKUP(B4439*1,PEDIDOS!D:I,6,0),"" "")))")," ")</f>
        <v> </v>
      </c>
      <c r="G4439" s="305" t="s">
        <v>23926</v>
      </c>
      <c r="H4439" s="304"/>
    </row>
    <row r="4440">
      <c r="A4440" s="302" t="s">
        <v>91</v>
      </c>
      <c r="B4440" s="291" t="s">
        <v>24020</v>
      </c>
      <c r="C4440" s="292" t="s">
        <v>48</v>
      </c>
      <c r="D4440" s="293">
        <f t="shared" si="2"/>
        <v>1</v>
      </c>
      <c r="E4440" s="294" t="s">
        <v>23925</v>
      </c>
      <c r="F4440" s="295" t="str">
        <f>IFERROR(__xludf.DUMMYFUNCTION("IF(B4440="""","""",IFERROR(VLOOKUP(TO_TEXT(B4440),PEDIDOS!D:I,6,0),IFERROR(VLOOKUP(B4440*1,PEDIDOS!D:I,6,0),"" "")))")," ")</f>
        <v> </v>
      </c>
      <c r="G4440" s="305" t="s">
        <v>23926</v>
      </c>
      <c r="H4440" s="304"/>
    </row>
    <row r="4441">
      <c r="A4441" s="302" t="s">
        <v>91</v>
      </c>
      <c r="B4441" s="291" t="s">
        <v>24021</v>
      </c>
      <c r="C4441" s="292" t="s">
        <v>48</v>
      </c>
      <c r="D4441" s="293">
        <f t="shared" si="2"/>
        <v>1</v>
      </c>
      <c r="E4441" s="294" t="s">
        <v>23925</v>
      </c>
      <c r="F4441" s="295" t="str">
        <f>IFERROR(__xludf.DUMMYFUNCTION("IF(B4441="""","""",IFERROR(VLOOKUP(TO_TEXT(B4441),PEDIDOS!D:I,6,0),IFERROR(VLOOKUP(B4441*1,PEDIDOS!D:I,6,0),"" "")))")," ")</f>
        <v> </v>
      </c>
      <c r="G4441" s="305" t="s">
        <v>23926</v>
      </c>
      <c r="H4441" s="304"/>
    </row>
    <row r="4442">
      <c r="A4442" s="302" t="s">
        <v>91</v>
      </c>
      <c r="B4442" s="291" t="s">
        <v>24022</v>
      </c>
      <c r="C4442" s="292" t="s">
        <v>48</v>
      </c>
      <c r="D4442" s="293">
        <f t="shared" si="2"/>
        <v>1</v>
      </c>
      <c r="E4442" s="294" t="s">
        <v>23925</v>
      </c>
      <c r="F4442" s="295" t="str">
        <f>IFERROR(__xludf.DUMMYFUNCTION("IF(B4442="""","""",IFERROR(VLOOKUP(TO_TEXT(B4442),PEDIDOS!D:I,6,0),IFERROR(VLOOKUP(B4442*1,PEDIDOS!D:I,6,0),"" "")))")," ")</f>
        <v> </v>
      </c>
      <c r="G4442" s="305" t="s">
        <v>23926</v>
      </c>
      <c r="H4442" s="304"/>
    </row>
    <row r="4443">
      <c r="A4443" s="302" t="s">
        <v>91</v>
      </c>
      <c r="B4443" s="291" t="s">
        <v>24023</v>
      </c>
      <c r="C4443" s="292" t="s">
        <v>48</v>
      </c>
      <c r="D4443" s="293">
        <f t="shared" si="2"/>
        <v>1</v>
      </c>
      <c r="E4443" s="294" t="s">
        <v>23925</v>
      </c>
      <c r="F4443" s="295" t="str">
        <f>IFERROR(__xludf.DUMMYFUNCTION("IF(B4443="""","""",IFERROR(VLOOKUP(TO_TEXT(B4443),PEDIDOS!D:I,6,0),IFERROR(VLOOKUP(B4443*1,PEDIDOS!D:I,6,0),"" "")))")," ")</f>
        <v> </v>
      </c>
      <c r="G4443" s="305" t="s">
        <v>23926</v>
      </c>
      <c r="H4443" s="304"/>
    </row>
    <row r="4444">
      <c r="A4444" s="302" t="s">
        <v>91</v>
      </c>
      <c r="B4444" s="291" t="s">
        <v>24024</v>
      </c>
      <c r="C4444" s="292" t="s">
        <v>48</v>
      </c>
      <c r="D4444" s="293">
        <f t="shared" si="2"/>
        <v>1</v>
      </c>
      <c r="E4444" s="294" t="s">
        <v>23925</v>
      </c>
      <c r="F4444" s="295" t="str">
        <f>IFERROR(__xludf.DUMMYFUNCTION("IF(B4444="""","""",IFERROR(VLOOKUP(TO_TEXT(B4444),PEDIDOS!D:I,6,0),IFERROR(VLOOKUP(B4444*1,PEDIDOS!D:I,6,0),"" "")))")," ")</f>
        <v> </v>
      </c>
      <c r="G4444" s="305" t="s">
        <v>23926</v>
      </c>
      <c r="H4444" s="304"/>
    </row>
    <row r="4445">
      <c r="A4445" s="302" t="s">
        <v>91</v>
      </c>
      <c r="B4445" s="291" t="s">
        <v>24025</v>
      </c>
      <c r="C4445" s="292" t="s">
        <v>48</v>
      </c>
      <c r="D4445" s="293">
        <f t="shared" si="2"/>
        <v>1</v>
      </c>
      <c r="E4445" s="294" t="s">
        <v>23925</v>
      </c>
      <c r="F4445" s="295" t="str">
        <f>IFERROR(__xludf.DUMMYFUNCTION("IF(B4445="""","""",IFERROR(VLOOKUP(TO_TEXT(B4445),PEDIDOS!D:I,6,0),IFERROR(VLOOKUP(B4445*1,PEDIDOS!D:I,6,0),"" "")))")," ")</f>
        <v> </v>
      </c>
      <c r="G4445" s="305" t="s">
        <v>23926</v>
      </c>
      <c r="H4445" s="304"/>
    </row>
    <row r="4446">
      <c r="A4446" s="302" t="s">
        <v>91</v>
      </c>
      <c r="B4446" s="291" t="s">
        <v>24026</v>
      </c>
      <c r="C4446" s="292" t="s">
        <v>48</v>
      </c>
      <c r="D4446" s="293">
        <f t="shared" si="2"/>
        <v>1</v>
      </c>
      <c r="E4446" s="294" t="s">
        <v>23925</v>
      </c>
      <c r="F4446" s="295" t="str">
        <f>IFERROR(__xludf.DUMMYFUNCTION("IF(B4446="""","""",IFERROR(VLOOKUP(TO_TEXT(B4446),PEDIDOS!D:I,6,0),IFERROR(VLOOKUP(B4446*1,PEDIDOS!D:I,6,0),"" "")))")," ")</f>
        <v> </v>
      </c>
      <c r="G4446" s="305" t="s">
        <v>23926</v>
      </c>
      <c r="H4446" s="304"/>
    </row>
    <row r="4447">
      <c r="A4447" s="302" t="s">
        <v>91</v>
      </c>
      <c r="B4447" s="291" t="s">
        <v>24027</v>
      </c>
      <c r="C4447" s="292" t="s">
        <v>48</v>
      </c>
      <c r="D4447" s="293">
        <f t="shared" si="2"/>
        <v>1</v>
      </c>
      <c r="E4447" s="294" t="s">
        <v>23925</v>
      </c>
      <c r="F4447" s="295" t="str">
        <f>IFERROR(__xludf.DUMMYFUNCTION("IF(B4447="""","""",IFERROR(VLOOKUP(TO_TEXT(B4447),PEDIDOS!D:I,6,0),IFERROR(VLOOKUP(B4447*1,PEDIDOS!D:I,6,0),"" "")))")," ")</f>
        <v> </v>
      </c>
      <c r="G4447" s="305" t="s">
        <v>23926</v>
      </c>
      <c r="H4447" s="304"/>
    </row>
    <row r="4448">
      <c r="A4448" s="302" t="s">
        <v>91</v>
      </c>
      <c r="B4448" s="291" t="s">
        <v>24028</v>
      </c>
      <c r="C4448" s="292" t="s">
        <v>48</v>
      </c>
      <c r="D4448" s="293">
        <f t="shared" si="2"/>
        <v>1</v>
      </c>
      <c r="E4448" s="294" t="s">
        <v>23925</v>
      </c>
      <c r="F4448" s="295" t="str">
        <f>IFERROR(__xludf.DUMMYFUNCTION("IF(B4448="""","""",IFERROR(VLOOKUP(TO_TEXT(B4448),PEDIDOS!D:I,6,0),IFERROR(VLOOKUP(B4448*1,PEDIDOS!D:I,6,0),"" "")))")," ")</f>
        <v> </v>
      </c>
      <c r="G4448" s="305" t="s">
        <v>23926</v>
      </c>
      <c r="H4448" s="304"/>
    </row>
    <row r="4449">
      <c r="A4449" s="302" t="s">
        <v>91</v>
      </c>
      <c r="B4449" s="291" t="s">
        <v>24029</v>
      </c>
      <c r="C4449" s="292" t="s">
        <v>48</v>
      </c>
      <c r="D4449" s="293">
        <f t="shared" si="2"/>
        <v>1</v>
      </c>
      <c r="E4449" s="294" t="s">
        <v>23925</v>
      </c>
      <c r="F4449" s="295" t="str">
        <f>IFERROR(__xludf.DUMMYFUNCTION("IF(B4449="""","""",IFERROR(VLOOKUP(TO_TEXT(B4449),PEDIDOS!D:I,6,0),IFERROR(VLOOKUP(B4449*1,PEDIDOS!D:I,6,0),"" "")))")," ")</f>
        <v> </v>
      </c>
      <c r="G4449" s="305" t="s">
        <v>23926</v>
      </c>
      <c r="H4449" s="304"/>
    </row>
    <row r="4450">
      <c r="A4450" s="302" t="s">
        <v>91</v>
      </c>
      <c r="B4450" s="291" t="s">
        <v>24030</v>
      </c>
      <c r="C4450" s="292" t="s">
        <v>48</v>
      </c>
      <c r="D4450" s="293">
        <f t="shared" si="2"/>
        <v>1</v>
      </c>
      <c r="E4450" s="294" t="s">
        <v>23925</v>
      </c>
      <c r="F4450" s="295" t="str">
        <f>IFERROR(__xludf.DUMMYFUNCTION("IF(B4450="""","""",IFERROR(VLOOKUP(TO_TEXT(B4450),PEDIDOS!D:I,6,0),IFERROR(VLOOKUP(B4450*1,PEDIDOS!D:I,6,0),"" "")))")," ")</f>
        <v> </v>
      </c>
      <c r="G4450" s="305" t="s">
        <v>23926</v>
      </c>
      <c r="H4450" s="304"/>
    </row>
    <row r="4451">
      <c r="A4451" s="302" t="s">
        <v>91</v>
      </c>
      <c r="B4451" s="291" t="s">
        <v>24031</v>
      </c>
      <c r="C4451" s="292" t="s">
        <v>48</v>
      </c>
      <c r="D4451" s="293">
        <f t="shared" si="2"/>
        <v>1</v>
      </c>
      <c r="E4451" s="294" t="s">
        <v>23925</v>
      </c>
      <c r="F4451" s="295" t="str">
        <f>IFERROR(__xludf.DUMMYFUNCTION("IF(B4451="""","""",IFERROR(VLOOKUP(TO_TEXT(B4451),PEDIDOS!D:I,6,0),IFERROR(VLOOKUP(B4451*1,PEDIDOS!D:I,6,0),"" "")))")," ")</f>
        <v> </v>
      </c>
      <c r="G4451" s="305" t="s">
        <v>23926</v>
      </c>
      <c r="H4451" s="304"/>
    </row>
    <row r="4452">
      <c r="A4452" s="302" t="s">
        <v>91</v>
      </c>
      <c r="B4452" s="291" t="s">
        <v>24032</v>
      </c>
      <c r="C4452" s="292" t="s">
        <v>48</v>
      </c>
      <c r="D4452" s="293">
        <f t="shared" si="2"/>
        <v>1</v>
      </c>
      <c r="E4452" s="294" t="s">
        <v>23925</v>
      </c>
      <c r="F4452" s="295" t="str">
        <f>IFERROR(__xludf.DUMMYFUNCTION("IF(B4452="""","""",IFERROR(VLOOKUP(TO_TEXT(B4452),PEDIDOS!D:I,6,0),IFERROR(VLOOKUP(B4452*1,PEDIDOS!D:I,6,0),"" "")))")," ")</f>
        <v> </v>
      </c>
      <c r="G4452" s="305" t="s">
        <v>23926</v>
      </c>
      <c r="H4452" s="304"/>
    </row>
    <row r="4453">
      <c r="A4453" s="302" t="s">
        <v>91</v>
      </c>
      <c r="B4453" s="291" t="s">
        <v>24033</v>
      </c>
      <c r="C4453" s="292" t="s">
        <v>48</v>
      </c>
      <c r="D4453" s="293">
        <f t="shared" si="2"/>
        <v>1</v>
      </c>
      <c r="E4453" s="294" t="s">
        <v>23925</v>
      </c>
      <c r="F4453" s="295" t="str">
        <f>IFERROR(__xludf.DUMMYFUNCTION("IF(B4453="""","""",IFERROR(VLOOKUP(TO_TEXT(B4453),PEDIDOS!D:I,6,0),IFERROR(VLOOKUP(B4453*1,PEDIDOS!D:I,6,0),"" "")))")," ")</f>
        <v> </v>
      </c>
      <c r="G4453" s="305" t="s">
        <v>23926</v>
      </c>
      <c r="H4453" s="304"/>
    </row>
    <row r="4454">
      <c r="A4454" s="302" t="s">
        <v>91</v>
      </c>
      <c r="B4454" s="291" t="s">
        <v>24034</v>
      </c>
      <c r="C4454" s="292" t="s">
        <v>48</v>
      </c>
      <c r="D4454" s="293">
        <f t="shared" si="2"/>
        <v>1</v>
      </c>
      <c r="E4454" s="294" t="s">
        <v>23925</v>
      </c>
      <c r="F4454" s="295" t="str">
        <f>IFERROR(__xludf.DUMMYFUNCTION("IF(B4454="""","""",IFERROR(VLOOKUP(TO_TEXT(B4454),PEDIDOS!D:I,6,0),IFERROR(VLOOKUP(B4454*1,PEDIDOS!D:I,6,0),"" "")))")," ")</f>
        <v> </v>
      </c>
      <c r="G4454" s="305" t="s">
        <v>23926</v>
      </c>
      <c r="H4454" s="304"/>
    </row>
    <row r="4455">
      <c r="A4455" s="302" t="s">
        <v>91</v>
      </c>
      <c r="B4455" s="291" t="s">
        <v>24035</v>
      </c>
      <c r="C4455" s="292" t="s">
        <v>48</v>
      </c>
      <c r="D4455" s="293">
        <f t="shared" si="2"/>
        <v>1</v>
      </c>
      <c r="E4455" s="294" t="s">
        <v>23925</v>
      </c>
      <c r="F4455" s="295" t="str">
        <f>IFERROR(__xludf.DUMMYFUNCTION("IF(B4455="""","""",IFERROR(VLOOKUP(TO_TEXT(B4455),PEDIDOS!D:I,6,0),IFERROR(VLOOKUP(B4455*1,PEDIDOS!D:I,6,0),"" "")))")," ")</f>
        <v> </v>
      </c>
      <c r="G4455" s="305" t="s">
        <v>23926</v>
      </c>
      <c r="H4455" s="304"/>
    </row>
    <row r="4456">
      <c r="A4456" s="302" t="s">
        <v>91</v>
      </c>
      <c r="B4456" s="291" t="s">
        <v>24036</v>
      </c>
      <c r="C4456" s="292" t="s">
        <v>48</v>
      </c>
      <c r="D4456" s="293">
        <f t="shared" si="2"/>
        <v>1</v>
      </c>
      <c r="E4456" s="294" t="s">
        <v>23925</v>
      </c>
      <c r="F4456" s="295" t="str">
        <f>IFERROR(__xludf.DUMMYFUNCTION("IF(B4456="""","""",IFERROR(VLOOKUP(TO_TEXT(B4456),PEDIDOS!D:I,6,0),IFERROR(VLOOKUP(B4456*1,PEDIDOS!D:I,6,0),"" "")))")," ")</f>
        <v> </v>
      </c>
      <c r="G4456" s="305" t="s">
        <v>23926</v>
      </c>
      <c r="H4456" s="304"/>
    </row>
    <row r="4457">
      <c r="A4457" s="302" t="s">
        <v>91</v>
      </c>
      <c r="B4457" s="291" t="s">
        <v>24037</v>
      </c>
      <c r="C4457" s="292" t="s">
        <v>48</v>
      </c>
      <c r="D4457" s="293">
        <f t="shared" si="2"/>
        <v>1</v>
      </c>
      <c r="E4457" s="294" t="s">
        <v>23925</v>
      </c>
      <c r="F4457" s="295" t="str">
        <f>IFERROR(__xludf.DUMMYFUNCTION("IF(B4457="""","""",IFERROR(VLOOKUP(TO_TEXT(B4457),PEDIDOS!D:I,6,0),IFERROR(VLOOKUP(B4457*1,PEDIDOS!D:I,6,0),"" "")))")," ")</f>
        <v> </v>
      </c>
      <c r="G4457" s="305" t="s">
        <v>23926</v>
      </c>
      <c r="H4457" s="304"/>
    </row>
    <row r="4458">
      <c r="A4458" s="302" t="s">
        <v>91</v>
      </c>
      <c r="B4458" s="291" t="s">
        <v>24038</v>
      </c>
      <c r="C4458" s="292" t="s">
        <v>48</v>
      </c>
      <c r="D4458" s="293">
        <f t="shared" si="2"/>
        <v>1</v>
      </c>
      <c r="E4458" s="294" t="s">
        <v>23925</v>
      </c>
      <c r="F4458" s="295" t="str">
        <f>IFERROR(__xludf.DUMMYFUNCTION("IF(B4458="""","""",IFERROR(VLOOKUP(TO_TEXT(B4458),PEDIDOS!D:I,6,0),IFERROR(VLOOKUP(B4458*1,PEDIDOS!D:I,6,0),"" "")))")," ")</f>
        <v> </v>
      </c>
      <c r="G4458" s="305" t="s">
        <v>23926</v>
      </c>
      <c r="H4458" s="304"/>
    </row>
    <row r="4459">
      <c r="A4459" s="302" t="s">
        <v>91</v>
      </c>
      <c r="B4459" s="291" t="s">
        <v>24039</v>
      </c>
      <c r="C4459" s="292" t="s">
        <v>48</v>
      </c>
      <c r="D4459" s="293">
        <f t="shared" si="2"/>
        <v>1</v>
      </c>
      <c r="E4459" s="294" t="s">
        <v>23925</v>
      </c>
      <c r="F4459" s="295" t="str">
        <f>IFERROR(__xludf.DUMMYFUNCTION("IF(B4459="""","""",IFERROR(VLOOKUP(TO_TEXT(B4459),PEDIDOS!D:I,6,0),IFERROR(VLOOKUP(B4459*1,PEDIDOS!D:I,6,0),"" "")))")," ")</f>
        <v> </v>
      </c>
      <c r="G4459" s="305" t="s">
        <v>23926</v>
      </c>
      <c r="H4459" s="304"/>
    </row>
    <row r="4460">
      <c r="A4460" s="302" t="s">
        <v>91</v>
      </c>
      <c r="B4460" s="291" t="s">
        <v>24040</v>
      </c>
      <c r="C4460" s="292" t="s">
        <v>48</v>
      </c>
      <c r="D4460" s="293">
        <f t="shared" si="2"/>
        <v>1</v>
      </c>
      <c r="E4460" s="294" t="s">
        <v>23925</v>
      </c>
      <c r="F4460" s="295" t="str">
        <f>IFERROR(__xludf.DUMMYFUNCTION("IF(B4460="""","""",IFERROR(VLOOKUP(TO_TEXT(B4460),PEDIDOS!D:I,6,0),IFERROR(VLOOKUP(B4460*1,PEDIDOS!D:I,6,0),"" "")))")," ")</f>
        <v> </v>
      </c>
      <c r="G4460" s="305" t="s">
        <v>23926</v>
      </c>
      <c r="H4460" s="304"/>
    </row>
    <row r="4461">
      <c r="A4461" s="302" t="s">
        <v>91</v>
      </c>
      <c r="B4461" s="291" t="s">
        <v>24041</v>
      </c>
      <c r="C4461" s="292" t="s">
        <v>48</v>
      </c>
      <c r="D4461" s="293">
        <f t="shared" si="2"/>
        <v>1</v>
      </c>
      <c r="E4461" s="294" t="s">
        <v>23925</v>
      </c>
      <c r="F4461" s="295" t="str">
        <f>IFERROR(__xludf.DUMMYFUNCTION("IF(B4461="""","""",IFERROR(VLOOKUP(TO_TEXT(B4461),PEDIDOS!D:I,6,0),IFERROR(VLOOKUP(B4461*1,PEDIDOS!D:I,6,0),"" "")))")," ")</f>
        <v> </v>
      </c>
      <c r="G4461" s="305" t="s">
        <v>23926</v>
      </c>
      <c r="H4461" s="304"/>
    </row>
    <row r="4462">
      <c r="A4462" s="302" t="s">
        <v>91</v>
      </c>
      <c r="B4462" s="291" t="s">
        <v>24042</v>
      </c>
      <c r="C4462" s="292" t="s">
        <v>48</v>
      </c>
      <c r="D4462" s="293">
        <f t="shared" si="2"/>
        <v>1</v>
      </c>
      <c r="E4462" s="294" t="s">
        <v>23925</v>
      </c>
      <c r="F4462" s="295" t="str">
        <f>IFERROR(__xludf.DUMMYFUNCTION("IF(B4462="""","""",IFERROR(VLOOKUP(TO_TEXT(B4462),PEDIDOS!D:I,6,0),IFERROR(VLOOKUP(B4462*1,PEDIDOS!D:I,6,0),"" "")))")," ")</f>
        <v> </v>
      </c>
      <c r="G4462" s="305" t="s">
        <v>23926</v>
      </c>
      <c r="H4462" s="304"/>
    </row>
    <row r="4463">
      <c r="A4463" s="302" t="s">
        <v>91</v>
      </c>
      <c r="B4463" s="291" t="s">
        <v>24043</v>
      </c>
      <c r="C4463" s="292" t="s">
        <v>48</v>
      </c>
      <c r="D4463" s="293">
        <f t="shared" si="2"/>
        <v>1</v>
      </c>
      <c r="E4463" s="294" t="s">
        <v>23925</v>
      </c>
      <c r="F4463" s="295" t="str">
        <f>IFERROR(__xludf.DUMMYFUNCTION("IF(B4463="""","""",IFERROR(VLOOKUP(TO_TEXT(B4463),PEDIDOS!D:I,6,0),IFERROR(VLOOKUP(B4463*1,PEDIDOS!D:I,6,0),"" "")))")," ")</f>
        <v> </v>
      </c>
      <c r="G4463" s="305" t="s">
        <v>23926</v>
      </c>
      <c r="H4463" s="304"/>
    </row>
    <row r="4464">
      <c r="A4464" s="302" t="s">
        <v>91</v>
      </c>
      <c r="B4464" s="291" t="s">
        <v>24044</v>
      </c>
      <c r="C4464" s="292" t="s">
        <v>48</v>
      </c>
      <c r="D4464" s="293">
        <f t="shared" si="2"/>
        <v>1</v>
      </c>
      <c r="E4464" s="294" t="s">
        <v>23925</v>
      </c>
      <c r="F4464" s="295" t="str">
        <f>IFERROR(__xludf.DUMMYFUNCTION("IF(B4464="""","""",IFERROR(VLOOKUP(TO_TEXT(B4464),PEDIDOS!D:I,6,0),IFERROR(VLOOKUP(B4464*1,PEDIDOS!D:I,6,0),"" "")))")," ")</f>
        <v> </v>
      </c>
      <c r="G4464" s="305" t="s">
        <v>23926</v>
      </c>
      <c r="H4464" s="304"/>
    </row>
    <row r="4465">
      <c r="A4465" s="302" t="s">
        <v>91</v>
      </c>
      <c r="B4465" s="291" t="s">
        <v>24045</v>
      </c>
      <c r="C4465" s="292" t="s">
        <v>48</v>
      </c>
      <c r="D4465" s="293">
        <f t="shared" si="2"/>
        <v>1</v>
      </c>
      <c r="E4465" s="294" t="s">
        <v>23925</v>
      </c>
      <c r="F4465" s="295" t="str">
        <f>IFERROR(__xludf.DUMMYFUNCTION("IF(B4465="""","""",IFERROR(VLOOKUP(TO_TEXT(B4465),PEDIDOS!D:I,6,0),IFERROR(VLOOKUP(B4465*1,PEDIDOS!D:I,6,0),"" "")))")," ")</f>
        <v> </v>
      </c>
      <c r="G4465" s="305" t="s">
        <v>23926</v>
      </c>
      <c r="H4465" s="304"/>
    </row>
    <row r="4466">
      <c r="A4466" s="302" t="s">
        <v>91</v>
      </c>
      <c r="B4466" s="291" t="s">
        <v>24046</v>
      </c>
      <c r="C4466" s="292" t="s">
        <v>48</v>
      </c>
      <c r="D4466" s="293">
        <f t="shared" si="2"/>
        <v>1</v>
      </c>
      <c r="E4466" s="294" t="s">
        <v>23925</v>
      </c>
      <c r="F4466" s="295" t="str">
        <f>IFERROR(__xludf.DUMMYFUNCTION("IF(B4466="""","""",IFERROR(VLOOKUP(TO_TEXT(B4466),PEDIDOS!D:I,6,0),IFERROR(VLOOKUP(B4466*1,PEDIDOS!D:I,6,0),"" "")))")," ")</f>
        <v> </v>
      </c>
      <c r="G4466" s="305" t="s">
        <v>23926</v>
      </c>
      <c r="H4466" s="304"/>
    </row>
    <row r="4467">
      <c r="A4467" s="302" t="s">
        <v>91</v>
      </c>
      <c r="B4467" s="291" t="s">
        <v>24047</v>
      </c>
      <c r="C4467" s="292" t="s">
        <v>48</v>
      </c>
      <c r="D4467" s="293">
        <f t="shared" si="2"/>
        <v>1</v>
      </c>
      <c r="E4467" s="294" t="s">
        <v>23925</v>
      </c>
      <c r="F4467" s="295" t="str">
        <f>IFERROR(__xludf.DUMMYFUNCTION("IF(B4467="""","""",IFERROR(VLOOKUP(TO_TEXT(B4467),PEDIDOS!D:I,6,0),IFERROR(VLOOKUP(B4467*1,PEDIDOS!D:I,6,0),"" "")))")," ")</f>
        <v> </v>
      </c>
      <c r="G4467" s="305" t="s">
        <v>23926</v>
      </c>
      <c r="H4467" s="304"/>
    </row>
    <row r="4468">
      <c r="A4468" s="302" t="s">
        <v>91</v>
      </c>
      <c r="B4468" s="291" t="s">
        <v>24048</v>
      </c>
      <c r="C4468" s="292" t="s">
        <v>48</v>
      </c>
      <c r="D4468" s="293">
        <f t="shared" si="2"/>
        <v>1</v>
      </c>
      <c r="E4468" s="294" t="s">
        <v>23925</v>
      </c>
      <c r="F4468" s="295" t="str">
        <f>IFERROR(__xludf.DUMMYFUNCTION("IF(B4468="""","""",IFERROR(VLOOKUP(TO_TEXT(B4468),PEDIDOS!D:I,6,0),IFERROR(VLOOKUP(B4468*1,PEDIDOS!D:I,6,0),"" "")))")," ")</f>
        <v> </v>
      </c>
      <c r="G4468" s="305" t="s">
        <v>23926</v>
      </c>
      <c r="H4468" s="304"/>
    </row>
    <row r="4469">
      <c r="A4469" s="302" t="s">
        <v>91</v>
      </c>
      <c r="B4469" s="291" t="s">
        <v>24049</v>
      </c>
      <c r="C4469" s="292" t="s">
        <v>48</v>
      </c>
      <c r="D4469" s="293">
        <f t="shared" si="2"/>
        <v>1</v>
      </c>
      <c r="E4469" s="294" t="s">
        <v>23925</v>
      </c>
      <c r="F4469" s="295" t="str">
        <f>IFERROR(__xludf.DUMMYFUNCTION("IF(B4469="""","""",IFERROR(VLOOKUP(TO_TEXT(B4469),PEDIDOS!D:I,6,0),IFERROR(VLOOKUP(B4469*1,PEDIDOS!D:I,6,0),"" "")))")," ")</f>
        <v> </v>
      </c>
      <c r="G4469" s="305" t="s">
        <v>23926</v>
      </c>
      <c r="H4469" s="304"/>
    </row>
    <row r="4470">
      <c r="A4470" s="302" t="s">
        <v>91</v>
      </c>
      <c r="B4470" s="291" t="s">
        <v>24050</v>
      </c>
      <c r="C4470" s="292" t="s">
        <v>48</v>
      </c>
      <c r="D4470" s="293">
        <f t="shared" si="2"/>
        <v>1</v>
      </c>
      <c r="E4470" s="294" t="s">
        <v>23925</v>
      </c>
      <c r="F4470" s="295" t="str">
        <f>IFERROR(__xludf.DUMMYFUNCTION("IF(B4470="""","""",IFERROR(VLOOKUP(TO_TEXT(B4470),PEDIDOS!D:I,6,0),IFERROR(VLOOKUP(B4470*1,PEDIDOS!D:I,6,0),"" "")))")," ")</f>
        <v> </v>
      </c>
      <c r="G4470" s="305" t="s">
        <v>23926</v>
      </c>
      <c r="H4470" s="304"/>
    </row>
    <row r="4471">
      <c r="A4471" s="302" t="s">
        <v>91</v>
      </c>
      <c r="B4471" s="291" t="s">
        <v>24051</v>
      </c>
      <c r="C4471" s="292" t="s">
        <v>48</v>
      </c>
      <c r="D4471" s="293">
        <f t="shared" si="2"/>
        <v>1</v>
      </c>
      <c r="E4471" s="294" t="s">
        <v>23925</v>
      </c>
      <c r="F4471" s="295" t="str">
        <f>IFERROR(__xludf.DUMMYFUNCTION("IF(B4471="""","""",IFERROR(VLOOKUP(TO_TEXT(B4471),PEDIDOS!D:I,6,0),IFERROR(VLOOKUP(B4471*1,PEDIDOS!D:I,6,0),"" "")))")," ")</f>
        <v> </v>
      </c>
      <c r="G4471" s="305" t="s">
        <v>23926</v>
      </c>
      <c r="H4471" s="304"/>
    </row>
    <row r="4472">
      <c r="A4472" s="302" t="s">
        <v>91</v>
      </c>
      <c r="B4472" s="291" t="s">
        <v>24052</v>
      </c>
      <c r="C4472" s="292" t="s">
        <v>48</v>
      </c>
      <c r="D4472" s="293">
        <f t="shared" si="2"/>
        <v>1</v>
      </c>
      <c r="E4472" s="294" t="s">
        <v>23925</v>
      </c>
      <c r="F4472" s="295" t="str">
        <f>IFERROR(__xludf.DUMMYFUNCTION("IF(B4472="""","""",IFERROR(VLOOKUP(TO_TEXT(B4472),PEDIDOS!D:I,6,0),IFERROR(VLOOKUP(B4472*1,PEDIDOS!D:I,6,0),"" "")))")," ")</f>
        <v> </v>
      </c>
      <c r="G4472" s="305" t="s">
        <v>23926</v>
      </c>
      <c r="H4472" s="304"/>
    </row>
    <row r="4473">
      <c r="A4473" s="302" t="s">
        <v>91</v>
      </c>
      <c r="B4473" s="291" t="s">
        <v>24053</v>
      </c>
      <c r="C4473" s="292" t="s">
        <v>48</v>
      </c>
      <c r="D4473" s="293">
        <f t="shared" si="2"/>
        <v>1</v>
      </c>
      <c r="E4473" s="294" t="s">
        <v>23925</v>
      </c>
      <c r="F4473" s="295" t="str">
        <f>IFERROR(__xludf.DUMMYFUNCTION("IF(B4473="""","""",IFERROR(VLOOKUP(TO_TEXT(B4473),PEDIDOS!D:I,6,0),IFERROR(VLOOKUP(B4473*1,PEDIDOS!D:I,6,0),"" "")))")," ")</f>
        <v> </v>
      </c>
      <c r="G4473" s="305" t="s">
        <v>23926</v>
      </c>
      <c r="H4473" s="304"/>
    </row>
    <row r="4474">
      <c r="A4474" s="302" t="s">
        <v>91</v>
      </c>
      <c r="B4474" s="291" t="s">
        <v>24054</v>
      </c>
      <c r="C4474" s="292" t="s">
        <v>48</v>
      </c>
      <c r="D4474" s="293">
        <f t="shared" si="2"/>
        <v>1</v>
      </c>
      <c r="E4474" s="294" t="s">
        <v>23925</v>
      </c>
      <c r="F4474" s="295" t="str">
        <f>IFERROR(__xludf.DUMMYFUNCTION("IF(B4474="""","""",IFERROR(VLOOKUP(TO_TEXT(B4474),PEDIDOS!D:I,6,0),IFERROR(VLOOKUP(B4474*1,PEDIDOS!D:I,6,0),"" "")))")," ")</f>
        <v> </v>
      </c>
      <c r="G4474" s="305" t="s">
        <v>23926</v>
      </c>
      <c r="H4474" s="304"/>
    </row>
    <row r="4475">
      <c r="A4475" s="302" t="s">
        <v>91</v>
      </c>
      <c r="B4475" s="291" t="s">
        <v>24055</v>
      </c>
      <c r="C4475" s="292" t="s">
        <v>48</v>
      </c>
      <c r="D4475" s="293">
        <f t="shared" si="2"/>
        <v>1</v>
      </c>
      <c r="E4475" s="294" t="s">
        <v>23925</v>
      </c>
      <c r="F4475" s="295" t="str">
        <f>IFERROR(__xludf.DUMMYFUNCTION("IF(B4475="""","""",IFERROR(VLOOKUP(TO_TEXT(B4475),PEDIDOS!D:I,6,0),IFERROR(VLOOKUP(B4475*1,PEDIDOS!D:I,6,0),"" "")))")," ")</f>
        <v> </v>
      </c>
      <c r="G4475" s="305" t="s">
        <v>23926</v>
      </c>
      <c r="H4475" s="304"/>
    </row>
    <row r="4476">
      <c r="A4476" s="302" t="s">
        <v>91</v>
      </c>
      <c r="B4476" s="291" t="s">
        <v>24056</v>
      </c>
      <c r="C4476" s="292" t="s">
        <v>48</v>
      </c>
      <c r="D4476" s="293">
        <f t="shared" si="2"/>
        <v>1</v>
      </c>
      <c r="E4476" s="294" t="s">
        <v>23925</v>
      </c>
      <c r="F4476" s="295" t="str">
        <f>IFERROR(__xludf.DUMMYFUNCTION("IF(B4476="""","""",IFERROR(VLOOKUP(TO_TEXT(B4476),PEDIDOS!D:I,6,0),IFERROR(VLOOKUP(B4476*1,PEDIDOS!D:I,6,0),"" "")))")," ")</f>
        <v> </v>
      </c>
      <c r="G4476" s="305" t="s">
        <v>23926</v>
      </c>
      <c r="H4476" s="304"/>
    </row>
    <row r="4477">
      <c r="A4477" s="302" t="s">
        <v>91</v>
      </c>
      <c r="B4477" s="291" t="s">
        <v>24057</v>
      </c>
      <c r="C4477" s="292" t="s">
        <v>48</v>
      </c>
      <c r="D4477" s="293">
        <f t="shared" si="2"/>
        <v>1</v>
      </c>
      <c r="E4477" s="294" t="s">
        <v>23925</v>
      </c>
      <c r="F4477" s="295" t="str">
        <f>IFERROR(__xludf.DUMMYFUNCTION("IF(B4477="""","""",IFERROR(VLOOKUP(TO_TEXT(B4477),PEDIDOS!D:I,6,0),IFERROR(VLOOKUP(B4477*1,PEDIDOS!D:I,6,0),"" "")))")," ")</f>
        <v> </v>
      </c>
      <c r="G4477" s="305" t="s">
        <v>23926</v>
      </c>
      <c r="H4477" s="304"/>
    </row>
    <row r="4478">
      <c r="A4478" s="302" t="s">
        <v>91</v>
      </c>
      <c r="B4478" s="291" t="s">
        <v>24058</v>
      </c>
      <c r="C4478" s="292" t="s">
        <v>48</v>
      </c>
      <c r="D4478" s="293">
        <f t="shared" si="2"/>
        <v>1</v>
      </c>
      <c r="E4478" s="294" t="s">
        <v>23925</v>
      </c>
      <c r="F4478" s="295" t="str">
        <f>IFERROR(__xludf.DUMMYFUNCTION("IF(B4478="""","""",IFERROR(VLOOKUP(TO_TEXT(B4478),PEDIDOS!D:I,6,0),IFERROR(VLOOKUP(B4478*1,PEDIDOS!D:I,6,0),"" "")))")," ")</f>
        <v> </v>
      </c>
      <c r="G4478" s="305" t="s">
        <v>23926</v>
      </c>
      <c r="H4478" s="304"/>
    </row>
    <row r="4479">
      <c r="A4479" s="302" t="s">
        <v>91</v>
      </c>
      <c r="B4479" s="291" t="s">
        <v>24059</v>
      </c>
      <c r="C4479" s="292" t="s">
        <v>48</v>
      </c>
      <c r="D4479" s="293">
        <f t="shared" si="2"/>
        <v>1</v>
      </c>
      <c r="E4479" s="294" t="s">
        <v>23925</v>
      </c>
      <c r="F4479" s="295" t="str">
        <f>IFERROR(__xludf.DUMMYFUNCTION("IF(B4479="""","""",IFERROR(VLOOKUP(TO_TEXT(B4479),PEDIDOS!D:I,6,0),IFERROR(VLOOKUP(B4479*1,PEDIDOS!D:I,6,0),"" "")))")," ")</f>
        <v> </v>
      </c>
      <c r="G4479" s="305" t="s">
        <v>23926</v>
      </c>
      <c r="H4479" s="304"/>
    </row>
    <row r="4480">
      <c r="A4480" s="302" t="s">
        <v>91</v>
      </c>
      <c r="B4480" s="291" t="s">
        <v>24060</v>
      </c>
      <c r="C4480" s="292" t="s">
        <v>48</v>
      </c>
      <c r="D4480" s="293">
        <f t="shared" si="2"/>
        <v>1</v>
      </c>
      <c r="E4480" s="294" t="s">
        <v>23925</v>
      </c>
      <c r="F4480" s="295" t="str">
        <f>IFERROR(__xludf.DUMMYFUNCTION("IF(B4480="""","""",IFERROR(VLOOKUP(TO_TEXT(B4480),PEDIDOS!D:I,6,0),IFERROR(VLOOKUP(B4480*1,PEDIDOS!D:I,6,0),"" "")))")," ")</f>
        <v> </v>
      </c>
      <c r="G4480" s="305" t="s">
        <v>23926</v>
      </c>
      <c r="H4480" s="304"/>
    </row>
    <row r="4481">
      <c r="A4481" s="302" t="s">
        <v>91</v>
      </c>
      <c r="B4481" s="291" t="s">
        <v>24061</v>
      </c>
      <c r="C4481" s="292" t="s">
        <v>48</v>
      </c>
      <c r="D4481" s="293">
        <f t="shared" si="2"/>
        <v>1</v>
      </c>
      <c r="E4481" s="294" t="s">
        <v>23925</v>
      </c>
      <c r="F4481" s="295" t="str">
        <f>IFERROR(__xludf.DUMMYFUNCTION("IF(B4481="""","""",IFERROR(VLOOKUP(TO_TEXT(B4481),PEDIDOS!D:I,6,0),IFERROR(VLOOKUP(B4481*1,PEDIDOS!D:I,6,0),"" "")))")," ")</f>
        <v> </v>
      </c>
      <c r="G4481" s="305" t="s">
        <v>23926</v>
      </c>
      <c r="H4481" s="304"/>
    </row>
    <row r="4482">
      <c r="A4482" s="302" t="s">
        <v>91</v>
      </c>
      <c r="B4482" s="291" t="s">
        <v>24062</v>
      </c>
      <c r="C4482" s="292" t="s">
        <v>48</v>
      </c>
      <c r="D4482" s="293">
        <f t="shared" si="2"/>
        <v>1</v>
      </c>
      <c r="E4482" s="294" t="s">
        <v>23925</v>
      </c>
      <c r="F4482" s="295" t="str">
        <f>IFERROR(__xludf.DUMMYFUNCTION("IF(B4482="""","""",IFERROR(VLOOKUP(TO_TEXT(B4482),PEDIDOS!D:I,6,0),IFERROR(VLOOKUP(B4482*1,PEDIDOS!D:I,6,0),"" "")))")," ")</f>
        <v> </v>
      </c>
      <c r="G4482" s="305" t="s">
        <v>23926</v>
      </c>
      <c r="H4482" s="304"/>
    </row>
    <row r="4483">
      <c r="A4483" s="302" t="s">
        <v>112</v>
      </c>
      <c r="B4483" s="291" t="s">
        <v>24063</v>
      </c>
      <c r="C4483" s="292" t="s">
        <v>48</v>
      </c>
      <c r="D4483" s="293">
        <f t="shared" si="2"/>
        <v>1</v>
      </c>
      <c r="E4483" s="294" t="s">
        <v>23925</v>
      </c>
      <c r="F4483" s="295" t="str">
        <f>IFERROR(__xludf.DUMMYFUNCTION("IF(B4483="""","""",IFERROR(VLOOKUP(TO_TEXT(B4483),PEDIDOS!D:I,6,0),IFERROR(VLOOKUP(B4483*1,PEDIDOS!D:I,6,0),"" "")))")," ")</f>
        <v> </v>
      </c>
      <c r="G4483" s="305" t="s">
        <v>23926</v>
      </c>
      <c r="H4483" s="304"/>
    </row>
    <row r="4484">
      <c r="A4484" s="302" t="s">
        <v>112</v>
      </c>
      <c r="B4484" s="291" t="s">
        <v>24064</v>
      </c>
      <c r="C4484" s="292" t="s">
        <v>48</v>
      </c>
      <c r="D4484" s="293">
        <f t="shared" si="2"/>
        <v>1</v>
      </c>
      <c r="E4484" s="294" t="s">
        <v>23925</v>
      </c>
      <c r="F4484" s="295" t="str">
        <f>IFERROR(__xludf.DUMMYFUNCTION("IF(B4484="""","""",IFERROR(VLOOKUP(TO_TEXT(B4484),PEDIDOS!D:I,6,0),IFERROR(VLOOKUP(B4484*1,PEDIDOS!D:I,6,0),"" "")))")," ")</f>
        <v> </v>
      </c>
      <c r="G4484" s="305" t="s">
        <v>23926</v>
      </c>
      <c r="H4484" s="304"/>
    </row>
    <row r="4485">
      <c r="A4485" s="302" t="s">
        <v>112</v>
      </c>
      <c r="B4485" s="291" t="s">
        <v>24065</v>
      </c>
      <c r="C4485" s="292" t="s">
        <v>48</v>
      </c>
      <c r="D4485" s="293">
        <f t="shared" si="2"/>
        <v>1</v>
      </c>
      <c r="E4485" s="294" t="s">
        <v>23925</v>
      </c>
      <c r="F4485" s="295" t="str">
        <f>IFERROR(__xludf.DUMMYFUNCTION("IF(B4485="""","""",IFERROR(VLOOKUP(TO_TEXT(B4485),PEDIDOS!D:I,6,0),IFERROR(VLOOKUP(B4485*1,PEDIDOS!D:I,6,0),"" "")))")," ")</f>
        <v> </v>
      </c>
      <c r="G4485" s="305" t="s">
        <v>23926</v>
      </c>
      <c r="H4485" s="304"/>
    </row>
    <row r="4486">
      <c r="A4486" s="302" t="s">
        <v>112</v>
      </c>
      <c r="B4486" s="291" t="s">
        <v>24066</v>
      </c>
      <c r="C4486" s="292" t="s">
        <v>48</v>
      </c>
      <c r="D4486" s="293">
        <f t="shared" si="2"/>
        <v>1</v>
      </c>
      <c r="E4486" s="294" t="s">
        <v>23925</v>
      </c>
      <c r="F4486" s="295" t="str">
        <f>IFERROR(__xludf.DUMMYFUNCTION("IF(B4486="""","""",IFERROR(VLOOKUP(TO_TEXT(B4486),PEDIDOS!D:I,6,0),IFERROR(VLOOKUP(B4486*1,PEDIDOS!D:I,6,0),"" "")))")," ")</f>
        <v> </v>
      </c>
      <c r="G4486" s="305" t="s">
        <v>23926</v>
      </c>
      <c r="H4486" s="304"/>
    </row>
    <row r="4487">
      <c r="A4487" s="302" t="s">
        <v>112</v>
      </c>
      <c r="B4487" s="291" t="s">
        <v>24067</v>
      </c>
      <c r="C4487" s="292" t="s">
        <v>48</v>
      </c>
      <c r="D4487" s="293">
        <f t="shared" si="2"/>
        <v>1</v>
      </c>
      <c r="E4487" s="294" t="s">
        <v>23925</v>
      </c>
      <c r="F4487" s="295" t="str">
        <f>IFERROR(__xludf.DUMMYFUNCTION("IF(B4487="""","""",IFERROR(VLOOKUP(TO_TEXT(B4487),PEDIDOS!D:I,6,0),IFERROR(VLOOKUP(B4487*1,PEDIDOS!D:I,6,0),"" "")))")," ")</f>
        <v> </v>
      </c>
      <c r="G4487" s="305" t="s">
        <v>23926</v>
      </c>
      <c r="H4487" s="304"/>
    </row>
    <row r="4488">
      <c r="A4488" s="302" t="s">
        <v>112</v>
      </c>
      <c r="B4488" s="291" t="s">
        <v>24068</v>
      </c>
      <c r="C4488" s="292" t="s">
        <v>48</v>
      </c>
      <c r="D4488" s="293">
        <f t="shared" si="2"/>
        <v>1</v>
      </c>
      <c r="E4488" s="294" t="s">
        <v>23925</v>
      </c>
      <c r="F4488" s="295" t="str">
        <f>IFERROR(__xludf.DUMMYFUNCTION("IF(B4488="""","""",IFERROR(VLOOKUP(TO_TEXT(B4488),PEDIDOS!D:I,6,0),IFERROR(VLOOKUP(B4488*1,PEDIDOS!D:I,6,0),"" "")))")," ")</f>
        <v> </v>
      </c>
      <c r="G4488" s="305" t="s">
        <v>23926</v>
      </c>
      <c r="H4488" s="304"/>
    </row>
    <row r="4489">
      <c r="A4489" s="302" t="s">
        <v>112</v>
      </c>
      <c r="B4489" s="291" t="s">
        <v>24069</v>
      </c>
      <c r="C4489" s="292" t="s">
        <v>48</v>
      </c>
      <c r="D4489" s="293">
        <f t="shared" si="2"/>
        <v>1</v>
      </c>
      <c r="E4489" s="294" t="s">
        <v>23925</v>
      </c>
      <c r="F4489" s="295" t="str">
        <f>IFERROR(__xludf.DUMMYFUNCTION("IF(B4489="""","""",IFERROR(VLOOKUP(TO_TEXT(B4489),PEDIDOS!D:I,6,0),IFERROR(VLOOKUP(B4489*1,PEDIDOS!D:I,6,0),"" "")))")," ")</f>
        <v> </v>
      </c>
      <c r="G4489" s="305" t="s">
        <v>23926</v>
      </c>
      <c r="H4489" s="304"/>
    </row>
    <row r="4490">
      <c r="A4490" s="302" t="s">
        <v>112</v>
      </c>
      <c r="B4490" s="291" t="s">
        <v>24070</v>
      </c>
      <c r="C4490" s="292" t="s">
        <v>48</v>
      </c>
      <c r="D4490" s="293">
        <f t="shared" si="2"/>
        <v>1</v>
      </c>
      <c r="E4490" s="294" t="s">
        <v>23925</v>
      </c>
      <c r="F4490" s="295" t="str">
        <f>IFERROR(__xludf.DUMMYFUNCTION("IF(B4490="""","""",IFERROR(VLOOKUP(TO_TEXT(B4490),PEDIDOS!D:I,6,0),IFERROR(VLOOKUP(B4490*1,PEDIDOS!D:I,6,0),"" "")))")," ")</f>
        <v> </v>
      </c>
      <c r="G4490" s="305" t="s">
        <v>23926</v>
      </c>
      <c r="H4490" s="304"/>
    </row>
    <row r="4491">
      <c r="A4491" s="302" t="s">
        <v>112</v>
      </c>
      <c r="B4491" s="291" t="s">
        <v>24071</v>
      </c>
      <c r="C4491" s="292" t="s">
        <v>48</v>
      </c>
      <c r="D4491" s="293">
        <f t="shared" si="2"/>
        <v>1</v>
      </c>
      <c r="E4491" s="294" t="s">
        <v>23925</v>
      </c>
      <c r="F4491" s="295" t="str">
        <f>IFERROR(__xludf.DUMMYFUNCTION("IF(B4491="""","""",IFERROR(VLOOKUP(TO_TEXT(B4491),PEDIDOS!D:I,6,0),IFERROR(VLOOKUP(B4491*1,PEDIDOS!D:I,6,0),"" "")))")," ")</f>
        <v> </v>
      </c>
      <c r="G4491" s="305" t="s">
        <v>23926</v>
      </c>
      <c r="H4491" s="304"/>
    </row>
    <row r="4492">
      <c r="A4492" s="302" t="s">
        <v>112</v>
      </c>
      <c r="B4492" s="291" t="s">
        <v>24072</v>
      </c>
      <c r="C4492" s="292" t="s">
        <v>48</v>
      </c>
      <c r="D4492" s="293">
        <f t="shared" si="2"/>
        <v>1</v>
      </c>
      <c r="E4492" s="294" t="s">
        <v>23925</v>
      </c>
      <c r="F4492" s="295" t="str">
        <f>IFERROR(__xludf.DUMMYFUNCTION("IF(B4492="""","""",IFERROR(VLOOKUP(TO_TEXT(B4492),PEDIDOS!D:I,6,0),IFERROR(VLOOKUP(B4492*1,PEDIDOS!D:I,6,0),"" "")))")," ")</f>
        <v> </v>
      </c>
      <c r="G4492" s="305" t="s">
        <v>23926</v>
      </c>
      <c r="H4492" s="304"/>
    </row>
    <row r="4493">
      <c r="A4493" s="302" t="s">
        <v>112</v>
      </c>
      <c r="B4493" s="291" t="s">
        <v>24073</v>
      </c>
      <c r="C4493" s="292" t="s">
        <v>48</v>
      </c>
      <c r="D4493" s="293">
        <f t="shared" si="2"/>
        <v>1</v>
      </c>
      <c r="E4493" s="294" t="s">
        <v>23925</v>
      </c>
      <c r="F4493" s="295" t="str">
        <f>IFERROR(__xludf.DUMMYFUNCTION("IF(B4493="""","""",IFERROR(VLOOKUP(TO_TEXT(B4493),PEDIDOS!D:I,6,0),IFERROR(VLOOKUP(B4493*1,PEDIDOS!D:I,6,0),"" "")))")," ")</f>
        <v> </v>
      </c>
      <c r="G4493" s="305" t="s">
        <v>23926</v>
      </c>
      <c r="H4493" s="304"/>
    </row>
    <row r="4494">
      <c r="A4494" s="302" t="s">
        <v>112</v>
      </c>
      <c r="B4494" s="291" t="s">
        <v>24074</v>
      </c>
      <c r="C4494" s="292" t="s">
        <v>48</v>
      </c>
      <c r="D4494" s="293">
        <f t="shared" si="2"/>
        <v>1</v>
      </c>
      <c r="E4494" s="294" t="s">
        <v>23925</v>
      </c>
      <c r="F4494" s="295" t="str">
        <f>IFERROR(__xludf.DUMMYFUNCTION("IF(B4494="""","""",IFERROR(VLOOKUP(TO_TEXT(B4494),PEDIDOS!D:I,6,0),IFERROR(VLOOKUP(B4494*1,PEDIDOS!D:I,6,0),"" "")))")," ")</f>
        <v> </v>
      </c>
      <c r="G4494" s="305" t="s">
        <v>23926</v>
      </c>
      <c r="H4494" s="304"/>
    </row>
    <row r="4495">
      <c r="A4495" s="302" t="s">
        <v>112</v>
      </c>
      <c r="B4495" s="291" t="s">
        <v>24075</v>
      </c>
      <c r="C4495" s="292" t="s">
        <v>48</v>
      </c>
      <c r="D4495" s="293">
        <f t="shared" si="2"/>
        <v>1</v>
      </c>
      <c r="E4495" s="294" t="s">
        <v>23925</v>
      </c>
      <c r="F4495" s="295" t="str">
        <f>IFERROR(__xludf.DUMMYFUNCTION("IF(B4495="""","""",IFERROR(VLOOKUP(TO_TEXT(B4495),PEDIDOS!D:I,6,0),IFERROR(VLOOKUP(B4495*1,PEDIDOS!D:I,6,0),"" "")))")," ")</f>
        <v> </v>
      </c>
      <c r="G4495" s="305" t="s">
        <v>23926</v>
      </c>
      <c r="H4495" s="304"/>
    </row>
    <row r="4496">
      <c r="A4496" s="302" t="s">
        <v>112</v>
      </c>
      <c r="B4496" s="291" t="s">
        <v>24076</v>
      </c>
      <c r="C4496" s="292" t="s">
        <v>48</v>
      </c>
      <c r="D4496" s="293">
        <f t="shared" si="2"/>
        <v>1</v>
      </c>
      <c r="E4496" s="294" t="s">
        <v>23925</v>
      </c>
      <c r="F4496" s="295" t="str">
        <f>IFERROR(__xludf.DUMMYFUNCTION("IF(B4496="""","""",IFERROR(VLOOKUP(TO_TEXT(B4496),PEDIDOS!D:I,6,0),IFERROR(VLOOKUP(B4496*1,PEDIDOS!D:I,6,0),"" "")))")," ")</f>
        <v> </v>
      </c>
      <c r="G4496" s="305" t="s">
        <v>23926</v>
      </c>
      <c r="H4496" s="304"/>
    </row>
    <row r="4497">
      <c r="A4497" s="302" t="s">
        <v>112</v>
      </c>
      <c r="B4497" s="291" t="s">
        <v>24077</v>
      </c>
      <c r="C4497" s="292" t="s">
        <v>48</v>
      </c>
      <c r="D4497" s="293">
        <f t="shared" si="2"/>
        <v>1</v>
      </c>
      <c r="E4497" s="294" t="s">
        <v>23925</v>
      </c>
      <c r="F4497" s="295" t="str">
        <f>IFERROR(__xludf.DUMMYFUNCTION("IF(B4497="""","""",IFERROR(VLOOKUP(TO_TEXT(B4497),PEDIDOS!D:I,6,0),IFERROR(VLOOKUP(B4497*1,PEDIDOS!D:I,6,0),"" "")))")," ")</f>
        <v> </v>
      </c>
      <c r="G4497" s="305" t="s">
        <v>23926</v>
      </c>
      <c r="H4497" s="304"/>
    </row>
    <row r="4498">
      <c r="A4498" s="302" t="s">
        <v>112</v>
      </c>
      <c r="B4498" s="291" t="s">
        <v>24078</v>
      </c>
      <c r="C4498" s="292" t="s">
        <v>48</v>
      </c>
      <c r="D4498" s="293">
        <f t="shared" si="2"/>
        <v>1</v>
      </c>
      <c r="E4498" s="294" t="s">
        <v>23925</v>
      </c>
      <c r="F4498" s="295" t="str">
        <f>IFERROR(__xludf.DUMMYFUNCTION("IF(B4498="""","""",IFERROR(VLOOKUP(TO_TEXT(B4498),PEDIDOS!D:I,6,0),IFERROR(VLOOKUP(B4498*1,PEDIDOS!D:I,6,0),"" "")))")," ")</f>
        <v> </v>
      </c>
      <c r="G4498" s="305" t="s">
        <v>23926</v>
      </c>
      <c r="H4498" s="304"/>
    </row>
    <row r="4499">
      <c r="A4499" s="302" t="s">
        <v>112</v>
      </c>
      <c r="B4499" s="291" t="s">
        <v>24079</v>
      </c>
      <c r="C4499" s="292" t="s">
        <v>48</v>
      </c>
      <c r="D4499" s="293">
        <f t="shared" si="2"/>
        <v>1</v>
      </c>
      <c r="E4499" s="294" t="s">
        <v>23925</v>
      </c>
      <c r="F4499" s="295" t="str">
        <f>IFERROR(__xludf.DUMMYFUNCTION("IF(B4499="""","""",IFERROR(VLOOKUP(TO_TEXT(B4499),PEDIDOS!D:I,6,0),IFERROR(VLOOKUP(B4499*1,PEDIDOS!D:I,6,0),"" "")))")," ")</f>
        <v> </v>
      </c>
      <c r="G4499" s="305" t="s">
        <v>23926</v>
      </c>
      <c r="H4499" s="304"/>
    </row>
    <row r="4500">
      <c r="A4500" s="302" t="s">
        <v>112</v>
      </c>
      <c r="B4500" s="291" t="s">
        <v>24080</v>
      </c>
      <c r="C4500" s="292" t="s">
        <v>48</v>
      </c>
      <c r="D4500" s="293">
        <f t="shared" si="2"/>
        <v>1</v>
      </c>
      <c r="E4500" s="294" t="s">
        <v>23925</v>
      </c>
      <c r="F4500" s="295" t="str">
        <f>IFERROR(__xludf.DUMMYFUNCTION("IF(B4500="""","""",IFERROR(VLOOKUP(TO_TEXT(B4500),PEDIDOS!D:I,6,0),IFERROR(VLOOKUP(B4500*1,PEDIDOS!D:I,6,0),"" "")))")," ")</f>
        <v> </v>
      </c>
      <c r="G4500" s="305" t="s">
        <v>23926</v>
      </c>
      <c r="H4500" s="304"/>
    </row>
    <row r="4501">
      <c r="A4501" s="302" t="s">
        <v>112</v>
      </c>
      <c r="B4501" s="291" t="s">
        <v>24081</v>
      </c>
      <c r="C4501" s="292" t="s">
        <v>48</v>
      </c>
      <c r="D4501" s="293">
        <f t="shared" si="2"/>
        <v>1</v>
      </c>
      <c r="E4501" s="294" t="s">
        <v>23925</v>
      </c>
      <c r="F4501" s="295" t="str">
        <f>IFERROR(__xludf.DUMMYFUNCTION("IF(B4501="""","""",IFERROR(VLOOKUP(TO_TEXT(B4501),PEDIDOS!D:I,6,0),IFERROR(VLOOKUP(B4501*1,PEDIDOS!D:I,6,0),"" "")))")," ")</f>
        <v> </v>
      </c>
      <c r="G4501" s="305" t="s">
        <v>23926</v>
      </c>
      <c r="H4501" s="304"/>
    </row>
    <row r="4502">
      <c r="A4502" s="302" t="s">
        <v>112</v>
      </c>
      <c r="B4502" s="291" t="s">
        <v>24082</v>
      </c>
      <c r="C4502" s="292" t="s">
        <v>48</v>
      </c>
      <c r="D4502" s="293">
        <f t="shared" si="2"/>
        <v>1</v>
      </c>
      <c r="E4502" s="294" t="s">
        <v>23925</v>
      </c>
      <c r="F4502" s="295" t="str">
        <f>IFERROR(__xludf.DUMMYFUNCTION("IF(B4502="""","""",IFERROR(VLOOKUP(TO_TEXT(B4502),PEDIDOS!D:I,6,0),IFERROR(VLOOKUP(B4502*1,PEDIDOS!D:I,6,0),"" "")))")," ")</f>
        <v> </v>
      </c>
      <c r="G4502" s="305" t="s">
        <v>23926</v>
      </c>
      <c r="H4502" s="304"/>
    </row>
    <row r="4503">
      <c r="A4503" s="302" t="s">
        <v>47</v>
      </c>
      <c r="B4503" s="291" t="s">
        <v>24083</v>
      </c>
      <c r="C4503" s="292" t="s">
        <v>48</v>
      </c>
      <c r="D4503" s="293">
        <f t="shared" si="2"/>
        <v>1</v>
      </c>
      <c r="E4503" s="294" t="s">
        <v>23925</v>
      </c>
      <c r="F4503" s="295" t="str">
        <f>IFERROR(__xludf.DUMMYFUNCTION("IF(B4503="""","""",IFERROR(VLOOKUP(TO_TEXT(B4503),PEDIDOS!D:I,6,0),IFERROR(VLOOKUP(B4503*1,PEDIDOS!D:I,6,0),"" "")))")," ")</f>
        <v> </v>
      </c>
      <c r="G4503" s="305" t="s">
        <v>23926</v>
      </c>
      <c r="H4503" s="304"/>
    </row>
    <row r="4504">
      <c r="A4504" s="302" t="s">
        <v>47</v>
      </c>
      <c r="B4504" s="291" t="s">
        <v>24084</v>
      </c>
      <c r="C4504" s="292" t="s">
        <v>48</v>
      </c>
      <c r="D4504" s="293">
        <f t="shared" si="2"/>
        <v>1</v>
      </c>
      <c r="E4504" s="294" t="s">
        <v>23925</v>
      </c>
      <c r="F4504" s="295" t="str">
        <f>IFERROR(__xludf.DUMMYFUNCTION("IF(B4504="""","""",IFERROR(VLOOKUP(TO_TEXT(B4504),PEDIDOS!D:I,6,0),IFERROR(VLOOKUP(B4504*1,PEDIDOS!D:I,6,0),"" "")))")," ")</f>
        <v> </v>
      </c>
      <c r="G4504" s="305" t="s">
        <v>23926</v>
      </c>
      <c r="H4504" s="304"/>
    </row>
    <row r="4505">
      <c r="A4505" s="302" t="s">
        <v>47</v>
      </c>
      <c r="B4505" s="291" t="s">
        <v>24085</v>
      </c>
      <c r="C4505" s="292" t="s">
        <v>48</v>
      </c>
      <c r="D4505" s="293">
        <f t="shared" si="2"/>
        <v>1</v>
      </c>
      <c r="E4505" s="294" t="s">
        <v>23925</v>
      </c>
      <c r="F4505" s="295" t="str">
        <f>IFERROR(__xludf.DUMMYFUNCTION("IF(B4505="""","""",IFERROR(VLOOKUP(TO_TEXT(B4505),PEDIDOS!D:I,6,0),IFERROR(VLOOKUP(B4505*1,PEDIDOS!D:I,6,0),"" "")))")," ")</f>
        <v> </v>
      </c>
      <c r="G4505" s="305" t="s">
        <v>23926</v>
      </c>
      <c r="H4505" s="304"/>
    </row>
    <row r="4506">
      <c r="A4506" s="302" t="s">
        <v>47</v>
      </c>
      <c r="B4506" s="291" t="s">
        <v>24086</v>
      </c>
      <c r="C4506" s="292" t="s">
        <v>48</v>
      </c>
      <c r="D4506" s="293">
        <f t="shared" si="2"/>
        <v>1</v>
      </c>
      <c r="E4506" s="294" t="s">
        <v>23925</v>
      </c>
      <c r="F4506" s="295" t="str">
        <f>IFERROR(__xludf.DUMMYFUNCTION("IF(B4506="""","""",IFERROR(VLOOKUP(TO_TEXT(B4506),PEDIDOS!D:I,6,0),IFERROR(VLOOKUP(B4506*1,PEDIDOS!D:I,6,0),"" "")))")," ")</f>
        <v> </v>
      </c>
      <c r="G4506" s="305" t="s">
        <v>23926</v>
      </c>
      <c r="H4506" s="304"/>
    </row>
    <row r="4507">
      <c r="A4507" s="302" t="s">
        <v>47</v>
      </c>
      <c r="B4507" s="291" t="s">
        <v>24087</v>
      </c>
      <c r="C4507" s="292" t="s">
        <v>48</v>
      </c>
      <c r="D4507" s="293">
        <f t="shared" si="2"/>
        <v>1</v>
      </c>
      <c r="E4507" s="294" t="s">
        <v>23925</v>
      </c>
      <c r="F4507" s="295" t="str">
        <f>IFERROR(__xludf.DUMMYFUNCTION("IF(B4507="""","""",IFERROR(VLOOKUP(TO_TEXT(B4507),PEDIDOS!D:I,6,0),IFERROR(VLOOKUP(B4507*1,PEDIDOS!D:I,6,0),"" "")))")," ")</f>
        <v> </v>
      </c>
      <c r="G4507" s="305" t="s">
        <v>23926</v>
      </c>
      <c r="H4507" s="304"/>
    </row>
    <row r="4508">
      <c r="A4508" s="302" t="s">
        <v>47</v>
      </c>
      <c r="B4508" s="291" t="s">
        <v>24088</v>
      </c>
      <c r="C4508" s="292" t="s">
        <v>48</v>
      </c>
      <c r="D4508" s="293">
        <f t="shared" si="2"/>
        <v>1</v>
      </c>
      <c r="E4508" s="294" t="s">
        <v>23925</v>
      </c>
      <c r="F4508" s="295" t="str">
        <f>IFERROR(__xludf.DUMMYFUNCTION("IF(B4508="""","""",IFERROR(VLOOKUP(TO_TEXT(B4508),PEDIDOS!D:I,6,0),IFERROR(VLOOKUP(B4508*1,PEDIDOS!D:I,6,0),"" "")))")," ")</f>
        <v> </v>
      </c>
      <c r="G4508" s="305" t="s">
        <v>23926</v>
      </c>
      <c r="H4508" s="304"/>
    </row>
    <row r="4509">
      <c r="A4509" s="302" t="s">
        <v>47</v>
      </c>
      <c r="B4509" s="291" t="s">
        <v>24089</v>
      </c>
      <c r="C4509" s="292" t="s">
        <v>48</v>
      </c>
      <c r="D4509" s="293">
        <f t="shared" si="2"/>
        <v>1</v>
      </c>
      <c r="E4509" s="294" t="s">
        <v>23925</v>
      </c>
      <c r="F4509" s="295" t="str">
        <f>IFERROR(__xludf.DUMMYFUNCTION("IF(B4509="""","""",IFERROR(VLOOKUP(TO_TEXT(B4509),PEDIDOS!D:I,6,0),IFERROR(VLOOKUP(B4509*1,PEDIDOS!D:I,6,0),"" "")))")," ")</f>
        <v> </v>
      </c>
      <c r="G4509" s="305" t="s">
        <v>23926</v>
      </c>
      <c r="H4509" s="304"/>
    </row>
    <row r="4510">
      <c r="A4510" s="302" t="s">
        <v>47</v>
      </c>
      <c r="B4510" s="291" t="s">
        <v>24090</v>
      </c>
      <c r="C4510" s="292" t="s">
        <v>48</v>
      </c>
      <c r="D4510" s="293">
        <f t="shared" si="2"/>
        <v>1</v>
      </c>
      <c r="E4510" s="294" t="s">
        <v>23925</v>
      </c>
      <c r="F4510" s="295" t="str">
        <f>IFERROR(__xludf.DUMMYFUNCTION("IF(B4510="""","""",IFERROR(VLOOKUP(TO_TEXT(B4510),PEDIDOS!D:I,6,0),IFERROR(VLOOKUP(B4510*1,PEDIDOS!D:I,6,0),"" "")))")," ")</f>
        <v> </v>
      </c>
      <c r="G4510" s="305" t="s">
        <v>23926</v>
      </c>
      <c r="H4510" s="304"/>
    </row>
    <row r="4511">
      <c r="A4511" s="302" t="s">
        <v>47</v>
      </c>
      <c r="B4511" s="291" t="s">
        <v>24091</v>
      </c>
      <c r="C4511" s="292" t="s">
        <v>48</v>
      </c>
      <c r="D4511" s="293">
        <f t="shared" si="2"/>
        <v>1</v>
      </c>
      <c r="E4511" s="294" t="s">
        <v>23925</v>
      </c>
      <c r="F4511" s="295" t="str">
        <f>IFERROR(__xludf.DUMMYFUNCTION("IF(B4511="""","""",IFERROR(VLOOKUP(TO_TEXT(B4511),PEDIDOS!D:I,6,0),IFERROR(VLOOKUP(B4511*1,PEDIDOS!D:I,6,0),"" "")))")," ")</f>
        <v> </v>
      </c>
      <c r="G4511" s="305" t="s">
        <v>23926</v>
      </c>
      <c r="H4511" s="304"/>
    </row>
    <row r="4512">
      <c r="A4512" s="302" t="s">
        <v>47</v>
      </c>
      <c r="B4512" s="291" t="s">
        <v>24092</v>
      </c>
      <c r="C4512" s="292" t="s">
        <v>48</v>
      </c>
      <c r="D4512" s="293">
        <f t="shared" si="2"/>
        <v>1</v>
      </c>
      <c r="E4512" s="294" t="s">
        <v>23925</v>
      </c>
      <c r="F4512" s="295" t="str">
        <f>IFERROR(__xludf.DUMMYFUNCTION("IF(B4512="""","""",IFERROR(VLOOKUP(TO_TEXT(B4512),PEDIDOS!D:I,6,0),IFERROR(VLOOKUP(B4512*1,PEDIDOS!D:I,6,0),"" "")))")," ")</f>
        <v> </v>
      </c>
      <c r="G4512" s="305" t="s">
        <v>23926</v>
      </c>
      <c r="H4512" s="304"/>
    </row>
    <row r="4513">
      <c r="A4513" s="302" t="s">
        <v>4430</v>
      </c>
      <c r="B4513" s="291" t="s">
        <v>24093</v>
      </c>
      <c r="C4513" s="292" t="s">
        <v>48</v>
      </c>
      <c r="D4513" s="293">
        <f t="shared" si="2"/>
        <v>1</v>
      </c>
      <c r="E4513" s="294" t="s">
        <v>23925</v>
      </c>
      <c r="F4513" s="295" t="str">
        <f>IFERROR(__xludf.DUMMYFUNCTION("IF(B4513="""","""",IFERROR(VLOOKUP(TO_TEXT(B4513),PEDIDOS!D:I,6,0),IFERROR(VLOOKUP(B4513*1,PEDIDOS!D:I,6,0),"" "")))")," ")</f>
        <v> </v>
      </c>
      <c r="G4513" s="305" t="s">
        <v>23926</v>
      </c>
      <c r="H4513" s="304"/>
    </row>
    <row r="4514">
      <c r="A4514" s="302" t="s">
        <v>4430</v>
      </c>
      <c r="B4514" s="291" t="s">
        <v>24094</v>
      </c>
      <c r="C4514" s="292" t="s">
        <v>48</v>
      </c>
      <c r="D4514" s="293">
        <f t="shared" si="2"/>
        <v>1</v>
      </c>
      <c r="E4514" s="294" t="s">
        <v>23925</v>
      </c>
      <c r="F4514" s="295" t="str">
        <f>IFERROR(__xludf.DUMMYFUNCTION("IF(B4514="""","""",IFERROR(VLOOKUP(TO_TEXT(B4514),PEDIDOS!D:I,6,0),IFERROR(VLOOKUP(B4514*1,PEDIDOS!D:I,6,0),"" "")))")," ")</f>
        <v> </v>
      </c>
      <c r="G4514" s="305" t="s">
        <v>23926</v>
      </c>
      <c r="H4514" s="304"/>
    </row>
    <row r="4515">
      <c r="A4515" s="302" t="s">
        <v>4430</v>
      </c>
      <c r="B4515" s="291" t="s">
        <v>24095</v>
      </c>
      <c r="C4515" s="292" t="s">
        <v>48</v>
      </c>
      <c r="D4515" s="293">
        <f t="shared" si="2"/>
        <v>1</v>
      </c>
      <c r="E4515" s="294" t="s">
        <v>23925</v>
      </c>
      <c r="F4515" s="295" t="str">
        <f>IFERROR(__xludf.DUMMYFUNCTION("IF(B4515="""","""",IFERROR(VLOOKUP(TO_TEXT(B4515),PEDIDOS!D:I,6,0),IFERROR(VLOOKUP(B4515*1,PEDIDOS!D:I,6,0),"" "")))")," ")</f>
        <v> </v>
      </c>
      <c r="G4515" s="305" t="s">
        <v>23926</v>
      </c>
      <c r="H4515" s="304"/>
    </row>
    <row r="4516">
      <c r="A4516" s="302" t="s">
        <v>4430</v>
      </c>
      <c r="B4516" s="291" t="s">
        <v>24096</v>
      </c>
      <c r="C4516" s="292" t="s">
        <v>48</v>
      </c>
      <c r="D4516" s="293">
        <f t="shared" si="2"/>
        <v>1</v>
      </c>
      <c r="E4516" s="294" t="s">
        <v>23925</v>
      </c>
      <c r="F4516" s="295" t="str">
        <f>IFERROR(__xludf.DUMMYFUNCTION("IF(B4516="""","""",IFERROR(VLOOKUP(TO_TEXT(B4516),PEDIDOS!D:I,6,0),IFERROR(VLOOKUP(B4516*1,PEDIDOS!D:I,6,0),"" "")))")," ")</f>
        <v> </v>
      </c>
      <c r="G4516" s="305" t="s">
        <v>23926</v>
      </c>
      <c r="H4516" s="304"/>
    </row>
    <row r="4517">
      <c r="A4517" s="302" t="s">
        <v>4430</v>
      </c>
      <c r="B4517" s="291" t="s">
        <v>24097</v>
      </c>
      <c r="C4517" s="292" t="s">
        <v>48</v>
      </c>
      <c r="D4517" s="293">
        <f t="shared" si="2"/>
        <v>1</v>
      </c>
      <c r="E4517" s="294" t="s">
        <v>23925</v>
      </c>
      <c r="F4517" s="295" t="str">
        <f>IFERROR(__xludf.DUMMYFUNCTION("IF(B4517="""","""",IFERROR(VLOOKUP(TO_TEXT(B4517),PEDIDOS!D:I,6,0),IFERROR(VLOOKUP(B4517*1,PEDIDOS!D:I,6,0),"" "")))")," ")</f>
        <v> </v>
      </c>
      <c r="G4517" s="305" t="s">
        <v>23926</v>
      </c>
      <c r="H4517" s="304"/>
    </row>
    <row r="4518">
      <c r="A4518" s="302" t="s">
        <v>4430</v>
      </c>
      <c r="B4518" s="291" t="s">
        <v>24098</v>
      </c>
      <c r="C4518" s="292" t="s">
        <v>48</v>
      </c>
      <c r="D4518" s="293">
        <f t="shared" si="2"/>
        <v>1</v>
      </c>
      <c r="E4518" s="294" t="s">
        <v>23925</v>
      </c>
      <c r="F4518" s="295" t="str">
        <f>IFERROR(__xludf.DUMMYFUNCTION("IF(B4518="""","""",IFERROR(VLOOKUP(TO_TEXT(B4518),PEDIDOS!D:I,6,0),IFERROR(VLOOKUP(B4518*1,PEDIDOS!D:I,6,0),"" "")))")," ")</f>
        <v> </v>
      </c>
      <c r="G4518" s="305" t="s">
        <v>23926</v>
      </c>
      <c r="H4518" s="304"/>
    </row>
    <row r="4519">
      <c r="A4519" s="302" t="s">
        <v>4430</v>
      </c>
      <c r="B4519" s="291" t="s">
        <v>24099</v>
      </c>
      <c r="C4519" s="292" t="s">
        <v>48</v>
      </c>
      <c r="D4519" s="293">
        <f t="shared" si="2"/>
        <v>1</v>
      </c>
      <c r="E4519" s="294" t="s">
        <v>23925</v>
      </c>
      <c r="F4519" s="295" t="str">
        <f>IFERROR(__xludf.DUMMYFUNCTION("IF(B4519="""","""",IFERROR(VLOOKUP(TO_TEXT(B4519),PEDIDOS!D:I,6,0),IFERROR(VLOOKUP(B4519*1,PEDIDOS!D:I,6,0),"" "")))")," ")</f>
        <v> </v>
      </c>
      <c r="G4519" s="305" t="s">
        <v>23926</v>
      </c>
      <c r="H4519" s="304"/>
    </row>
    <row r="4520">
      <c r="A4520" s="302" t="s">
        <v>4430</v>
      </c>
      <c r="B4520" s="291" t="s">
        <v>24100</v>
      </c>
      <c r="C4520" s="292" t="s">
        <v>48</v>
      </c>
      <c r="D4520" s="293">
        <f t="shared" si="2"/>
        <v>1</v>
      </c>
      <c r="E4520" s="294" t="s">
        <v>23925</v>
      </c>
      <c r="F4520" s="295" t="str">
        <f>IFERROR(__xludf.DUMMYFUNCTION("IF(B4520="""","""",IFERROR(VLOOKUP(TO_TEXT(B4520),PEDIDOS!D:I,6,0),IFERROR(VLOOKUP(B4520*1,PEDIDOS!D:I,6,0),"" "")))")," ")</f>
        <v> </v>
      </c>
      <c r="G4520" s="305" t="s">
        <v>23926</v>
      </c>
      <c r="H4520" s="304"/>
    </row>
    <row r="4521">
      <c r="A4521" s="302" t="s">
        <v>4430</v>
      </c>
      <c r="B4521" s="291" t="s">
        <v>24101</v>
      </c>
      <c r="C4521" s="292" t="s">
        <v>48</v>
      </c>
      <c r="D4521" s="293">
        <f t="shared" si="2"/>
        <v>1</v>
      </c>
      <c r="E4521" s="294" t="s">
        <v>23925</v>
      </c>
      <c r="F4521" s="295" t="str">
        <f>IFERROR(__xludf.DUMMYFUNCTION("IF(B4521="""","""",IFERROR(VLOOKUP(TO_TEXT(B4521),PEDIDOS!D:I,6,0),IFERROR(VLOOKUP(B4521*1,PEDIDOS!D:I,6,0),"" "")))")," ")</f>
        <v> </v>
      </c>
      <c r="G4521" s="305" t="s">
        <v>23926</v>
      </c>
      <c r="H4521" s="304"/>
    </row>
    <row r="4522">
      <c r="A4522" s="302" t="s">
        <v>4430</v>
      </c>
      <c r="B4522" s="291" t="s">
        <v>24102</v>
      </c>
      <c r="C4522" s="292" t="s">
        <v>48</v>
      </c>
      <c r="D4522" s="293">
        <f t="shared" si="2"/>
        <v>1</v>
      </c>
      <c r="E4522" s="294" t="s">
        <v>23925</v>
      </c>
      <c r="F4522" s="295" t="str">
        <f>IFERROR(__xludf.DUMMYFUNCTION("IF(B4522="""","""",IFERROR(VLOOKUP(TO_TEXT(B4522),PEDIDOS!D:I,6,0),IFERROR(VLOOKUP(B4522*1,PEDIDOS!D:I,6,0),"" "")))")," ")</f>
        <v> </v>
      </c>
      <c r="G4522" s="305" t="s">
        <v>23926</v>
      </c>
      <c r="H4522" s="304"/>
    </row>
    <row r="4523">
      <c r="A4523" s="302" t="s">
        <v>3395</v>
      </c>
      <c r="B4523" s="291" t="s">
        <v>24103</v>
      </c>
      <c r="C4523" s="292" t="s">
        <v>48</v>
      </c>
      <c r="D4523" s="293">
        <f t="shared" si="2"/>
        <v>1</v>
      </c>
      <c r="E4523" s="294" t="s">
        <v>24104</v>
      </c>
      <c r="F4523" s="295" t="str">
        <f>IFERROR(__xludf.DUMMYFUNCTION("IF(B4523="""","""",IFERROR(VLOOKUP(TO_TEXT(B4523),PEDIDOS!D:I,6,0),IFERROR(VLOOKUP(B4523*1,PEDIDOS!D:I,6,0),"" "")))")," ")</f>
        <v> </v>
      </c>
      <c r="G4523" s="305" t="s">
        <v>23926</v>
      </c>
      <c r="H4523" s="304"/>
    </row>
    <row r="4524">
      <c r="A4524" s="302" t="s">
        <v>3395</v>
      </c>
      <c r="B4524" s="291" t="s">
        <v>24105</v>
      </c>
      <c r="C4524" s="292" t="s">
        <v>48</v>
      </c>
      <c r="D4524" s="293">
        <f t="shared" si="2"/>
        <v>1</v>
      </c>
      <c r="E4524" s="294" t="s">
        <v>24104</v>
      </c>
      <c r="F4524" s="295" t="str">
        <f>IFERROR(__xludf.DUMMYFUNCTION("IF(B4524="""","""",IFERROR(VLOOKUP(TO_TEXT(B4524),PEDIDOS!D:I,6,0),IFERROR(VLOOKUP(B4524*1,PEDIDOS!D:I,6,0),"" "")))")," ")</f>
        <v> </v>
      </c>
      <c r="G4524" s="305" t="s">
        <v>23926</v>
      </c>
      <c r="H4524" s="304"/>
    </row>
    <row r="4525">
      <c r="A4525" s="302" t="s">
        <v>3395</v>
      </c>
      <c r="B4525" s="291" t="s">
        <v>24106</v>
      </c>
      <c r="C4525" s="292" t="s">
        <v>48</v>
      </c>
      <c r="D4525" s="293">
        <f t="shared" si="2"/>
        <v>1</v>
      </c>
      <c r="E4525" s="294" t="s">
        <v>24104</v>
      </c>
      <c r="F4525" s="295" t="str">
        <f>IFERROR(__xludf.DUMMYFUNCTION("IF(B4525="""","""",IFERROR(VLOOKUP(TO_TEXT(B4525),PEDIDOS!D:I,6,0),IFERROR(VLOOKUP(B4525*1,PEDIDOS!D:I,6,0),"" "")))")," ")</f>
        <v> </v>
      </c>
      <c r="G4525" s="305" t="s">
        <v>23926</v>
      </c>
      <c r="H4525" s="304"/>
    </row>
    <row r="4526">
      <c r="A4526" s="302" t="s">
        <v>3395</v>
      </c>
      <c r="B4526" s="291" t="s">
        <v>24107</v>
      </c>
      <c r="C4526" s="292" t="s">
        <v>48</v>
      </c>
      <c r="D4526" s="293">
        <f t="shared" si="2"/>
        <v>1</v>
      </c>
      <c r="E4526" s="294" t="s">
        <v>24104</v>
      </c>
      <c r="F4526" s="295" t="str">
        <f>IFERROR(__xludf.DUMMYFUNCTION("IF(B4526="""","""",IFERROR(VLOOKUP(TO_TEXT(B4526),PEDIDOS!D:I,6,0),IFERROR(VLOOKUP(B4526*1,PEDIDOS!D:I,6,0),"" "")))")," ")</f>
        <v> </v>
      </c>
      <c r="G4526" s="305" t="s">
        <v>23926</v>
      </c>
      <c r="H4526" s="304"/>
    </row>
    <row r="4527">
      <c r="A4527" s="302" t="s">
        <v>3395</v>
      </c>
      <c r="B4527" s="291" t="s">
        <v>24108</v>
      </c>
      <c r="C4527" s="292" t="s">
        <v>48</v>
      </c>
      <c r="D4527" s="293">
        <f t="shared" si="2"/>
        <v>1</v>
      </c>
      <c r="E4527" s="294" t="s">
        <v>24104</v>
      </c>
      <c r="F4527" s="295" t="str">
        <f>IFERROR(__xludf.DUMMYFUNCTION("IF(B4527="""","""",IFERROR(VLOOKUP(TO_TEXT(B4527),PEDIDOS!D:I,6,0),IFERROR(VLOOKUP(B4527*1,PEDIDOS!D:I,6,0),"" "")))")," ")</f>
        <v> </v>
      </c>
      <c r="G4527" s="305" t="s">
        <v>23926</v>
      </c>
      <c r="H4527" s="304"/>
    </row>
    <row r="4528">
      <c r="A4528" s="302" t="s">
        <v>3395</v>
      </c>
      <c r="B4528" s="291" t="s">
        <v>24109</v>
      </c>
      <c r="C4528" s="292" t="s">
        <v>48</v>
      </c>
      <c r="D4528" s="293">
        <f t="shared" si="2"/>
        <v>1</v>
      </c>
      <c r="E4528" s="294" t="s">
        <v>24104</v>
      </c>
      <c r="F4528" s="295" t="str">
        <f>IFERROR(__xludf.DUMMYFUNCTION("IF(B4528="""","""",IFERROR(VLOOKUP(TO_TEXT(B4528),PEDIDOS!D:I,6,0),IFERROR(VLOOKUP(B4528*1,PEDIDOS!D:I,6,0),"" "")))")," ")</f>
        <v> </v>
      </c>
      <c r="G4528" s="305" t="s">
        <v>23926</v>
      </c>
      <c r="H4528" s="304"/>
    </row>
    <row r="4529">
      <c r="A4529" s="302" t="s">
        <v>3395</v>
      </c>
      <c r="B4529" s="291" t="s">
        <v>24110</v>
      </c>
      <c r="C4529" s="292" t="s">
        <v>48</v>
      </c>
      <c r="D4529" s="293">
        <f t="shared" si="2"/>
        <v>1</v>
      </c>
      <c r="E4529" s="294" t="s">
        <v>24104</v>
      </c>
      <c r="F4529" s="295" t="str">
        <f>IFERROR(__xludf.DUMMYFUNCTION("IF(B4529="""","""",IFERROR(VLOOKUP(TO_TEXT(B4529),PEDIDOS!D:I,6,0),IFERROR(VLOOKUP(B4529*1,PEDIDOS!D:I,6,0),"" "")))")," ")</f>
        <v> </v>
      </c>
      <c r="G4529" s="305" t="s">
        <v>23926</v>
      </c>
      <c r="H4529" s="304"/>
    </row>
    <row r="4530">
      <c r="A4530" s="302" t="s">
        <v>3395</v>
      </c>
      <c r="B4530" s="291" t="s">
        <v>24111</v>
      </c>
      <c r="C4530" s="292" t="s">
        <v>48</v>
      </c>
      <c r="D4530" s="293">
        <f t="shared" si="2"/>
        <v>1</v>
      </c>
      <c r="E4530" s="294" t="s">
        <v>24104</v>
      </c>
      <c r="F4530" s="295" t="str">
        <f>IFERROR(__xludf.DUMMYFUNCTION("IF(B4530="""","""",IFERROR(VLOOKUP(TO_TEXT(B4530),PEDIDOS!D:I,6,0),IFERROR(VLOOKUP(B4530*1,PEDIDOS!D:I,6,0),"" "")))")," ")</f>
        <v> </v>
      </c>
      <c r="G4530" s="305" t="s">
        <v>23926</v>
      </c>
      <c r="H4530" s="304"/>
    </row>
    <row r="4531">
      <c r="A4531" s="302" t="s">
        <v>3395</v>
      </c>
      <c r="B4531" s="291" t="s">
        <v>24112</v>
      </c>
      <c r="C4531" s="292" t="s">
        <v>48</v>
      </c>
      <c r="D4531" s="293">
        <f t="shared" si="2"/>
        <v>1</v>
      </c>
      <c r="E4531" s="294" t="s">
        <v>24104</v>
      </c>
      <c r="F4531" s="295" t="str">
        <f>IFERROR(__xludf.DUMMYFUNCTION("IF(B4531="""","""",IFERROR(VLOOKUP(TO_TEXT(B4531),PEDIDOS!D:I,6,0),IFERROR(VLOOKUP(B4531*1,PEDIDOS!D:I,6,0),"" "")))")," ")</f>
        <v> </v>
      </c>
      <c r="G4531" s="305" t="s">
        <v>23926</v>
      </c>
      <c r="H4531" s="304"/>
    </row>
    <row r="4532">
      <c r="A4532" s="302" t="s">
        <v>3395</v>
      </c>
      <c r="B4532" s="291" t="s">
        <v>24113</v>
      </c>
      <c r="C4532" s="292" t="s">
        <v>48</v>
      </c>
      <c r="D4532" s="293">
        <f t="shared" si="2"/>
        <v>1</v>
      </c>
      <c r="E4532" s="294" t="s">
        <v>24104</v>
      </c>
      <c r="F4532" s="295" t="str">
        <f>IFERROR(__xludf.DUMMYFUNCTION("IF(B4532="""","""",IFERROR(VLOOKUP(TO_TEXT(B4532),PEDIDOS!D:I,6,0),IFERROR(VLOOKUP(B4532*1,PEDIDOS!D:I,6,0),"" "")))")," ")</f>
        <v> </v>
      </c>
      <c r="G4532" s="305" t="s">
        <v>23926</v>
      </c>
      <c r="H4532" s="304"/>
    </row>
    <row r="4533">
      <c r="A4533" s="302" t="s">
        <v>3395</v>
      </c>
      <c r="B4533" s="291" t="s">
        <v>24114</v>
      </c>
      <c r="C4533" s="292" t="s">
        <v>48</v>
      </c>
      <c r="D4533" s="293">
        <f t="shared" si="2"/>
        <v>1</v>
      </c>
      <c r="E4533" s="294" t="s">
        <v>24104</v>
      </c>
      <c r="F4533" s="295" t="str">
        <f>IFERROR(__xludf.DUMMYFUNCTION("IF(B4533="""","""",IFERROR(VLOOKUP(TO_TEXT(B4533),PEDIDOS!D:I,6,0),IFERROR(VLOOKUP(B4533*1,PEDIDOS!D:I,6,0),"" "")))")," ")</f>
        <v> </v>
      </c>
      <c r="G4533" s="305" t="s">
        <v>23926</v>
      </c>
      <c r="H4533" s="304"/>
    </row>
    <row r="4534">
      <c r="A4534" s="302" t="s">
        <v>3395</v>
      </c>
      <c r="B4534" s="291" t="s">
        <v>24115</v>
      </c>
      <c r="C4534" s="292" t="s">
        <v>48</v>
      </c>
      <c r="D4534" s="293">
        <f t="shared" si="2"/>
        <v>1</v>
      </c>
      <c r="E4534" s="294" t="s">
        <v>24104</v>
      </c>
      <c r="F4534" s="295" t="str">
        <f>IFERROR(__xludf.DUMMYFUNCTION("IF(B4534="""","""",IFERROR(VLOOKUP(TO_TEXT(B4534),PEDIDOS!D:I,6,0),IFERROR(VLOOKUP(B4534*1,PEDIDOS!D:I,6,0),"" "")))")," ")</f>
        <v> </v>
      </c>
      <c r="G4534" s="305" t="s">
        <v>23926</v>
      </c>
      <c r="H4534" s="304"/>
    </row>
    <row r="4535">
      <c r="A4535" s="302" t="s">
        <v>3395</v>
      </c>
      <c r="B4535" s="291" t="s">
        <v>24116</v>
      </c>
      <c r="C4535" s="292" t="s">
        <v>48</v>
      </c>
      <c r="D4535" s="293">
        <f t="shared" si="2"/>
        <v>1</v>
      </c>
      <c r="E4535" s="294" t="s">
        <v>24104</v>
      </c>
      <c r="F4535" s="295" t="str">
        <f>IFERROR(__xludf.DUMMYFUNCTION("IF(B4535="""","""",IFERROR(VLOOKUP(TO_TEXT(B4535),PEDIDOS!D:I,6,0),IFERROR(VLOOKUP(B4535*1,PEDIDOS!D:I,6,0),"" "")))")," ")</f>
        <v> </v>
      </c>
      <c r="G4535" s="305" t="s">
        <v>23926</v>
      </c>
      <c r="H4535" s="304"/>
    </row>
    <row r="4536">
      <c r="A4536" s="302" t="s">
        <v>3395</v>
      </c>
      <c r="B4536" s="291" t="s">
        <v>24117</v>
      </c>
      <c r="C4536" s="292" t="s">
        <v>48</v>
      </c>
      <c r="D4536" s="293">
        <f t="shared" si="2"/>
        <v>1</v>
      </c>
      <c r="E4536" s="294" t="s">
        <v>24104</v>
      </c>
      <c r="F4536" s="295" t="str">
        <f>IFERROR(__xludf.DUMMYFUNCTION("IF(B4536="""","""",IFERROR(VLOOKUP(TO_TEXT(B4536),PEDIDOS!D:I,6,0),IFERROR(VLOOKUP(B4536*1,PEDIDOS!D:I,6,0),"" "")))")," ")</f>
        <v> </v>
      </c>
      <c r="G4536" s="305" t="s">
        <v>23926</v>
      </c>
      <c r="H4536" s="304"/>
    </row>
    <row r="4537">
      <c r="A4537" s="302" t="s">
        <v>3395</v>
      </c>
      <c r="B4537" s="291" t="s">
        <v>24118</v>
      </c>
      <c r="C4537" s="292" t="s">
        <v>48</v>
      </c>
      <c r="D4537" s="293">
        <f t="shared" si="2"/>
        <v>1</v>
      </c>
      <c r="E4537" s="294" t="s">
        <v>24104</v>
      </c>
      <c r="F4537" s="295" t="str">
        <f>IFERROR(__xludf.DUMMYFUNCTION("IF(B4537="""","""",IFERROR(VLOOKUP(TO_TEXT(B4537),PEDIDOS!D:I,6,0),IFERROR(VLOOKUP(B4537*1,PEDIDOS!D:I,6,0),"" "")))")," ")</f>
        <v> </v>
      </c>
      <c r="G4537" s="305" t="s">
        <v>23926</v>
      </c>
      <c r="H4537" s="304"/>
    </row>
    <row r="4538">
      <c r="A4538" s="302" t="s">
        <v>3395</v>
      </c>
      <c r="B4538" s="291" t="s">
        <v>24119</v>
      </c>
      <c r="C4538" s="292" t="s">
        <v>48</v>
      </c>
      <c r="D4538" s="293">
        <f t="shared" si="2"/>
        <v>1</v>
      </c>
      <c r="E4538" s="294" t="s">
        <v>24104</v>
      </c>
      <c r="F4538" s="295" t="str">
        <f>IFERROR(__xludf.DUMMYFUNCTION("IF(B4538="""","""",IFERROR(VLOOKUP(TO_TEXT(B4538),PEDIDOS!D:I,6,0),IFERROR(VLOOKUP(B4538*1,PEDIDOS!D:I,6,0),"" "")))")," ")</f>
        <v> </v>
      </c>
      <c r="G4538" s="305" t="s">
        <v>23926</v>
      </c>
      <c r="H4538" s="304"/>
    </row>
    <row r="4539">
      <c r="A4539" s="302" t="s">
        <v>3395</v>
      </c>
      <c r="B4539" s="291" t="s">
        <v>24120</v>
      </c>
      <c r="C4539" s="292" t="s">
        <v>48</v>
      </c>
      <c r="D4539" s="293">
        <f t="shared" si="2"/>
        <v>1</v>
      </c>
      <c r="E4539" s="294" t="s">
        <v>24104</v>
      </c>
      <c r="F4539" s="295" t="str">
        <f>IFERROR(__xludf.DUMMYFUNCTION("IF(B4539="""","""",IFERROR(VLOOKUP(TO_TEXT(B4539),PEDIDOS!D:I,6,0),IFERROR(VLOOKUP(B4539*1,PEDIDOS!D:I,6,0),"" "")))")," ")</f>
        <v> </v>
      </c>
      <c r="G4539" s="305" t="s">
        <v>23926</v>
      </c>
      <c r="H4539" s="304"/>
    </row>
    <row r="4540">
      <c r="A4540" s="302" t="s">
        <v>3395</v>
      </c>
      <c r="B4540" s="291" t="s">
        <v>24121</v>
      </c>
      <c r="C4540" s="292" t="s">
        <v>48</v>
      </c>
      <c r="D4540" s="293">
        <f t="shared" si="2"/>
        <v>1</v>
      </c>
      <c r="E4540" s="294" t="s">
        <v>24104</v>
      </c>
      <c r="F4540" s="295" t="str">
        <f>IFERROR(__xludf.DUMMYFUNCTION("IF(B4540="""","""",IFERROR(VLOOKUP(TO_TEXT(B4540),PEDIDOS!D:I,6,0),IFERROR(VLOOKUP(B4540*1,PEDIDOS!D:I,6,0),"" "")))")," ")</f>
        <v> </v>
      </c>
      <c r="G4540" s="305" t="s">
        <v>23926</v>
      </c>
      <c r="H4540" s="304"/>
    </row>
    <row r="4541">
      <c r="A4541" s="302" t="s">
        <v>3441</v>
      </c>
      <c r="B4541" s="291" t="s">
        <v>24122</v>
      </c>
      <c r="C4541" s="292" t="s">
        <v>48</v>
      </c>
      <c r="D4541" s="293">
        <f t="shared" si="2"/>
        <v>1</v>
      </c>
      <c r="E4541" s="294" t="s">
        <v>24104</v>
      </c>
      <c r="F4541" s="295" t="str">
        <f>IFERROR(__xludf.DUMMYFUNCTION("IF(B4541="""","""",IFERROR(VLOOKUP(TO_TEXT(B4541),PEDIDOS!D:I,6,0),IFERROR(VLOOKUP(B4541*1,PEDIDOS!D:I,6,0),"" "")))")," ")</f>
        <v> </v>
      </c>
      <c r="G4541" s="305" t="s">
        <v>23926</v>
      </c>
      <c r="H4541" s="304"/>
    </row>
    <row r="4542">
      <c r="A4542" s="302" t="s">
        <v>3441</v>
      </c>
      <c r="B4542" s="291" t="s">
        <v>24123</v>
      </c>
      <c r="C4542" s="292" t="s">
        <v>48</v>
      </c>
      <c r="D4542" s="293">
        <f t="shared" si="2"/>
        <v>1</v>
      </c>
      <c r="E4542" s="294" t="s">
        <v>24104</v>
      </c>
      <c r="F4542" s="295" t="str">
        <f>IFERROR(__xludf.DUMMYFUNCTION("IF(B4542="""","""",IFERROR(VLOOKUP(TO_TEXT(B4542),PEDIDOS!D:I,6,0),IFERROR(VLOOKUP(B4542*1,PEDIDOS!D:I,6,0),"" "")))")," ")</f>
        <v> </v>
      </c>
      <c r="G4542" s="305" t="s">
        <v>23926</v>
      </c>
      <c r="H4542" s="304"/>
    </row>
    <row r="4543">
      <c r="A4543" s="302" t="s">
        <v>3441</v>
      </c>
      <c r="B4543" s="291" t="s">
        <v>24124</v>
      </c>
      <c r="C4543" s="292" t="s">
        <v>48</v>
      </c>
      <c r="D4543" s="293">
        <f t="shared" si="2"/>
        <v>1</v>
      </c>
      <c r="E4543" s="294" t="s">
        <v>24104</v>
      </c>
      <c r="F4543" s="295" t="str">
        <f>IFERROR(__xludf.DUMMYFUNCTION("IF(B4543="""","""",IFERROR(VLOOKUP(TO_TEXT(B4543),PEDIDOS!D:I,6,0),IFERROR(VLOOKUP(B4543*1,PEDIDOS!D:I,6,0),"" "")))")," ")</f>
        <v> </v>
      </c>
      <c r="G4543" s="305" t="s">
        <v>23926</v>
      </c>
      <c r="H4543" s="304"/>
    </row>
    <row r="4544">
      <c r="A4544" s="302" t="s">
        <v>3441</v>
      </c>
      <c r="B4544" s="291" t="s">
        <v>24125</v>
      </c>
      <c r="C4544" s="292" t="s">
        <v>48</v>
      </c>
      <c r="D4544" s="293">
        <f t="shared" si="2"/>
        <v>1</v>
      </c>
      <c r="E4544" s="294" t="s">
        <v>24104</v>
      </c>
      <c r="F4544" s="295" t="str">
        <f>IFERROR(__xludf.DUMMYFUNCTION("IF(B4544="""","""",IFERROR(VLOOKUP(TO_TEXT(B4544),PEDIDOS!D:I,6,0),IFERROR(VLOOKUP(B4544*1,PEDIDOS!D:I,6,0),"" "")))")," ")</f>
        <v> </v>
      </c>
      <c r="G4544" s="305" t="s">
        <v>23926</v>
      </c>
      <c r="H4544" s="304"/>
    </row>
    <row r="4545">
      <c r="A4545" s="302" t="s">
        <v>3441</v>
      </c>
      <c r="B4545" s="291" t="s">
        <v>24126</v>
      </c>
      <c r="C4545" s="292" t="s">
        <v>48</v>
      </c>
      <c r="D4545" s="293">
        <f t="shared" si="2"/>
        <v>1</v>
      </c>
      <c r="E4545" s="294" t="s">
        <v>24104</v>
      </c>
      <c r="F4545" s="295" t="str">
        <f>IFERROR(__xludf.DUMMYFUNCTION("IF(B4545="""","""",IFERROR(VLOOKUP(TO_TEXT(B4545),PEDIDOS!D:I,6,0),IFERROR(VLOOKUP(B4545*1,PEDIDOS!D:I,6,0),"" "")))")," ")</f>
        <v> </v>
      </c>
      <c r="G4545" s="305" t="s">
        <v>23926</v>
      </c>
      <c r="H4545" s="304"/>
    </row>
    <row r="4546">
      <c r="A4546" s="302" t="s">
        <v>3441</v>
      </c>
      <c r="B4546" s="291" t="s">
        <v>24127</v>
      </c>
      <c r="C4546" s="292" t="s">
        <v>48</v>
      </c>
      <c r="D4546" s="293">
        <f t="shared" si="2"/>
        <v>1</v>
      </c>
      <c r="E4546" s="294" t="s">
        <v>24104</v>
      </c>
      <c r="F4546" s="295" t="str">
        <f>IFERROR(__xludf.DUMMYFUNCTION("IF(B4546="""","""",IFERROR(VLOOKUP(TO_TEXT(B4546),PEDIDOS!D:I,6,0),IFERROR(VLOOKUP(B4546*1,PEDIDOS!D:I,6,0),"" "")))")," ")</f>
        <v> </v>
      </c>
      <c r="G4546" s="305" t="s">
        <v>23926</v>
      </c>
      <c r="H4546" s="304"/>
    </row>
    <row r="4547">
      <c r="A4547" s="302" t="s">
        <v>3441</v>
      </c>
      <c r="B4547" s="291" t="s">
        <v>24128</v>
      </c>
      <c r="C4547" s="292" t="s">
        <v>48</v>
      </c>
      <c r="D4547" s="293">
        <f t="shared" si="2"/>
        <v>1</v>
      </c>
      <c r="E4547" s="294" t="s">
        <v>24104</v>
      </c>
      <c r="F4547" s="295" t="str">
        <f>IFERROR(__xludf.DUMMYFUNCTION("IF(B4547="""","""",IFERROR(VLOOKUP(TO_TEXT(B4547),PEDIDOS!D:I,6,0),IFERROR(VLOOKUP(B4547*1,PEDIDOS!D:I,6,0),"" "")))")," ")</f>
        <v> </v>
      </c>
      <c r="G4547" s="305" t="s">
        <v>23926</v>
      </c>
      <c r="H4547" s="304"/>
    </row>
    <row r="4548">
      <c r="A4548" s="302" t="s">
        <v>3441</v>
      </c>
      <c r="B4548" s="291" t="s">
        <v>24129</v>
      </c>
      <c r="C4548" s="292" t="s">
        <v>48</v>
      </c>
      <c r="D4548" s="293">
        <f t="shared" si="2"/>
        <v>1</v>
      </c>
      <c r="E4548" s="294" t="s">
        <v>24104</v>
      </c>
      <c r="F4548" s="295" t="str">
        <f>IFERROR(__xludf.DUMMYFUNCTION("IF(B4548="""","""",IFERROR(VLOOKUP(TO_TEXT(B4548),PEDIDOS!D:I,6,0),IFERROR(VLOOKUP(B4548*1,PEDIDOS!D:I,6,0),"" "")))")," ")</f>
        <v> </v>
      </c>
      <c r="G4548" s="305" t="s">
        <v>23926</v>
      </c>
      <c r="H4548" s="304"/>
    </row>
    <row r="4549">
      <c r="A4549" s="302" t="s">
        <v>3441</v>
      </c>
      <c r="B4549" s="291" t="s">
        <v>24130</v>
      </c>
      <c r="C4549" s="292" t="s">
        <v>48</v>
      </c>
      <c r="D4549" s="293">
        <f t="shared" si="2"/>
        <v>1</v>
      </c>
      <c r="E4549" s="294" t="s">
        <v>24104</v>
      </c>
      <c r="F4549" s="295" t="str">
        <f>IFERROR(__xludf.DUMMYFUNCTION("IF(B4549="""","""",IFERROR(VLOOKUP(TO_TEXT(B4549),PEDIDOS!D:I,6,0),IFERROR(VLOOKUP(B4549*1,PEDIDOS!D:I,6,0),"" "")))")," ")</f>
        <v> </v>
      </c>
      <c r="G4549" s="305" t="s">
        <v>23926</v>
      </c>
      <c r="H4549" s="304"/>
    </row>
    <row r="4550">
      <c r="A4550" s="302" t="s">
        <v>3441</v>
      </c>
      <c r="B4550" s="291" t="s">
        <v>24131</v>
      </c>
      <c r="C4550" s="292" t="s">
        <v>48</v>
      </c>
      <c r="D4550" s="293">
        <f t="shared" si="2"/>
        <v>1</v>
      </c>
      <c r="E4550" s="294" t="s">
        <v>24104</v>
      </c>
      <c r="F4550" s="295" t="str">
        <f>IFERROR(__xludf.DUMMYFUNCTION("IF(B4550="""","""",IFERROR(VLOOKUP(TO_TEXT(B4550),PEDIDOS!D:I,6,0),IFERROR(VLOOKUP(B4550*1,PEDIDOS!D:I,6,0),"" "")))")," ")</f>
        <v> </v>
      </c>
      <c r="G4550" s="305" t="s">
        <v>23926</v>
      </c>
      <c r="H4550" s="304"/>
    </row>
    <row r="4551">
      <c r="A4551" s="302" t="s">
        <v>3441</v>
      </c>
      <c r="B4551" s="291" t="s">
        <v>24132</v>
      </c>
      <c r="C4551" s="292" t="s">
        <v>48</v>
      </c>
      <c r="D4551" s="293">
        <f t="shared" si="2"/>
        <v>1</v>
      </c>
      <c r="E4551" s="294" t="s">
        <v>24104</v>
      </c>
      <c r="F4551" s="295" t="str">
        <f>IFERROR(__xludf.DUMMYFUNCTION("IF(B4551="""","""",IFERROR(VLOOKUP(TO_TEXT(B4551),PEDIDOS!D:I,6,0),IFERROR(VLOOKUP(B4551*1,PEDIDOS!D:I,6,0),"" "")))")," ")</f>
        <v> </v>
      </c>
      <c r="G4551" s="305" t="s">
        <v>23926</v>
      </c>
      <c r="H4551" s="304"/>
    </row>
    <row r="4552">
      <c r="A4552" s="302" t="s">
        <v>3441</v>
      </c>
      <c r="B4552" s="291" t="s">
        <v>24133</v>
      </c>
      <c r="C4552" s="292" t="s">
        <v>48</v>
      </c>
      <c r="D4552" s="293">
        <f t="shared" si="2"/>
        <v>1</v>
      </c>
      <c r="E4552" s="294" t="s">
        <v>24104</v>
      </c>
      <c r="F4552" s="295" t="str">
        <f>IFERROR(__xludf.DUMMYFUNCTION("IF(B4552="""","""",IFERROR(VLOOKUP(TO_TEXT(B4552),PEDIDOS!D:I,6,0),IFERROR(VLOOKUP(B4552*1,PEDIDOS!D:I,6,0),"" "")))")," ")</f>
        <v> </v>
      </c>
      <c r="G4552" s="305" t="s">
        <v>23926</v>
      </c>
      <c r="H4552" s="304"/>
    </row>
    <row r="4553">
      <c r="A4553" s="302" t="s">
        <v>3441</v>
      </c>
      <c r="B4553" s="291" t="s">
        <v>24134</v>
      </c>
      <c r="C4553" s="292" t="s">
        <v>48</v>
      </c>
      <c r="D4553" s="293">
        <f t="shared" si="2"/>
        <v>1</v>
      </c>
      <c r="E4553" s="294" t="s">
        <v>24104</v>
      </c>
      <c r="F4553" s="295" t="str">
        <f>IFERROR(__xludf.DUMMYFUNCTION("IF(B4553="""","""",IFERROR(VLOOKUP(TO_TEXT(B4553),PEDIDOS!D:I,6,0),IFERROR(VLOOKUP(B4553*1,PEDIDOS!D:I,6,0),"" "")))")," ")</f>
        <v> </v>
      </c>
      <c r="G4553" s="305" t="s">
        <v>23926</v>
      </c>
      <c r="H4553" s="304"/>
    </row>
    <row r="4554">
      <c r="A4554" s="302" t="s">
        <v>3441</v>
      </c>
      <c r="B4554" s="291" t="s">
        <v>24135</v>
      </c>
      <c r="C4554" s="292" t="s">
        <v>48</v>
      </c>
      <c r="D4554" s="293">
        <f t="shared" si="2"/>
        <v>1</v>
      </c>
      <c r="E4554" s="294" t="s">
        <v>24104</v>
      </c>
      <c r="F4554" s="295" t="str">
        <f>IFERROR(__xludf.DUMMYFUNCTION("IF(B4554="""","""",IFERROR(VLOOKUP(TO_TEXT(B4554),PEDIDOS!D:I,6,0),IFERROR(VLOOKUP(B4554*1,PEDIDOS!D:I,6,0),"" "")))")," ")</f>
        <v> </v>
      </c>
      <c r="G4554" s="305" t="s">
        <v>23926</v>
      </c>
      <c r="H4554" s="304"/>
    </row>
    <row r="4555">
      <c r="A4555" s="302" t="s">
        <v>3441</v>
      </c>
      <c r="B4555" s="291" t="s">
        <v>24136</v>
      </c>
      <c r="C4555" s="292" t="s">
        <v>48</v>
      </c>
      <c r="D4555" s="293">
        <f t="shared" si="2"/>
        <v>1</v>
      </c>
      <c r="E4555" s="294" t="s">
        <v>24104</v>
      </c>
      <c r="F4555" s="295" t="str">
        <f>IFERROR(__xludf.DUMMYFUNCTION("IF(B4555="""","""",IFERROR(VLOOKUP(TO_TEXT(B4555),PEDIDOS!D:I,6,0),IFERROR(VLOOKUP(B4555*1,PEDIDOS!D:I,6,0),"" "")))")," ")</f>
        <v> </v>
      </c>
      <c r="G4555" s="305" t="s">
        <v>23926</v>
      </c>
      <c r="H4555" s="304"/>
    </row>
    <row r="4556">
      <c r="A4556" s="302" t="s">
        <v>3441</v>
      </c>
      <c r="B4556" s="291" t="s">
        <v>24137</v>
      </c>
      <c r="C4556" s="292" t="s">
        <v>48</v>
      </c>
      <c r="D4556" s="293">
        <f t="shared" si="2"/>
        <v>1</v>
      </c>
      <c r="E4556" s="294" t="s">
        <v>24104</v>
      </c>
      <c r="F4556" s="295" t="str">
        <f>IFERROR(__xludf.DUMMYFUNCTION("IF(B4556="""","""",IFERROR(VLOOKUP(TO_TEXT(B4556),PEDIDOS!D:I,6,0),IFERROR(VLOOKUP(B4556*1,PEDIDOS!D:I,6,0),"" "")))")," ")</f>
        <v> </v>
      </c>
      <c r="G4556" s="305" t="s">
        <v>23926</v>
      </c>
      <c r="H4556" s="304"/>
    </row>
    <row r="4557">
      <c r="A4557" s="302" t="s">
        <v>3441</v>
      </c>
      <c r="B4557" s="291" t="s">
        <v>24138</v>
      </c>
      <c r="C4557" s="292" t="s">
        <v>48</v>
      </c>
      <c r="D4557" s="293">
        <f t="shared" si="2"/>
        <v>1</v>
      </c>
      <c r="E4557" s="294" t="s">
        <v>24104</v>
      </c>
      <c r="F4557" s="295" t="str">
        <f>IFERROR(__xludf.DUMMYFUNCTION("IF(B4557="""","""",IFERROR(VLOOKUP(TO_TEXT(B4557),PEDIDOS!D:I,6,0),IFERROR(VLOOKUP(B4557*1,PEDIDOS!D:I,6,0),"" "")))")," ")</f>
        <v> </v>
      </c>
      <c r="G4557" s="305" t="s">
        <v>23926</v>
      </c>
      <c r="H4557" s="304"/>
    </row>
    <row r="4558">
      <c r="A4558" s="302" t="s">
        <v>3441</v>
      </c>
      <c r="B4558" s="291" t="s">
        <v>24139</v>
      </c>
      <c r="C4558" s="292" t="s">
        <v>48</v>
      </c>
      <c r="D4558" s="293">
        <f t="shared" si="2"/>
        <v>1</v>
      </c>
      <c r="E4558" s="294" t="s">
        <v>24104</v>
      </c>
      <c r="F4558" s="295" t="str">
        <f>IFERROR(__xludf.DUMMYFUNCTION("IF(B4558="""","""",IFERROR(VLOOKUP(TO_TEXT(B4558),PEDIDOS!D:I,6,0),IFERROR(VLOOKUP(B4558*1,PEDIDOS!D:I,6,0),"" "")))")," ")</f>
        <v> </v>
      </c>
      <c r="G4558" s="305" t="s">
        <v>23926</v>
      </c>
      <c r="H4558" s="304"/>
    </row>
    <row r="4559">
      <c r="A4559" s="302" t="s">
        <v>3441</v>
      </c>
      <c r="B4559" s="291" t="s">
        <v>24140</v>
      </c>
      <c r="C4559" s="292" t="s">
        <v>48</v>
      </c>
      <c r="D4559" s="293">
        <f t="shared" si="2"/>
        <v>1</v>
      </c>
      <c r="E4559" s="294" t="s">
        <v>24104</v>
      </c>
      <c r="F4559" s="295" t="str">
        <f>IFERROR(__xludf.DUMMYFUNCTION("IF(B4559="""","""",IFERROR(VLOOKUP(TO_TEXT(B4559),PEDIDOS!D:I,6,0),IFERROR(VLOOKUP(B4559*1,PEDIDOS!D:I,6,0),"" "")))")," ")</f>
        <v> </v>
      </c>
      <c r="G4559" s="305" t="s">
        <v>23926</v>
      </c>
      <c r="H4559" s="304"/>
    </row>
    <row r="4560">
      <c r="A4560" s="302" t="s">
        <v>3441</v>
      </c>
      <c r="B4560" s="291" t="s">
        <v>24141</v>
      </c>
      <c r="C4560" s="292" t="s">
        <v>48</v>
      </c>
      <c r="D4560" s="293">
        <f t="shared" si="2"/>
        <v>1</v>
      </c>
      <c r="E4560" s="294" t="s">
        <v>24104</v>
      </c>
      <c r="F4560" s="295" t="str">
        <f>IFERROR(__xludf.DUMMYFUNCTION("IF(B4560="""","""",IFERROR(VLOOKUP(TO_TEXT(B4560),PEDIDOS!D:I,6,0),IFERROR(VLOOKUP(B4560*1,PEDIDOS!D:I,6,0),"" "")))")," ")</f>
        <v> </v>
      </c>
      <c r="G4560" s="305" t="s">
        <v>23926</v>
      </c>
      <c r="H4560" s="304"/>
    </row>
    <row r="4561">
      <c r="A4561" s="302" t="s">
        <v>3441</v>
      </c>
      <c r="B4561" s="291" t="s">
        <v>24142</v>
      </c>
      <c r="C4561" s="292" t="s">
        <v>48</v>
      </c>
      <c r="D4561" s="293">
        <f t="shared" si="2"/>
        <v>1</v>
      </c>
      <c r="E4561" s="294" t="s">
        <v>24104</v>
      </c>
      <c r="F4561" s="295" t="str">
        <f>IFERROR(__xludf.DUMMYFUNCTION("IF(B4561="""","""",IFERROR(VLOOKUP(TO_TEXT(B4561),PEDIDOS!D:I,6,0),IFERROR(VLOOKUP(B4561*1,PEDIDOS!D:I,6,0),"" "")))")," ")</f>
        <v> </v>
      </c>
      <c r="G4561" s="305" t="s">
        <v>23926</v>
      </c>
      <c r="H4561" s="304"/>
    </row>
    <row r="4562">
      <c r="A4562" s="302" t="s">
        <v>3441</v>
      </c>
      <c r="B4562" s="291" t="s">
        <v>24143</v>
      </c>
      <c r="C4562" s="292" t="s">
        <v>48</v>
      </c>
      <c r="D4562" s="293">
        <f t="shared" si="2"/>
        <v>1</v>
      </c>
      <c r="E4562" s="294" t="s">
        <v>24104</v>
      </c>
      <c r="F4562" s="295" t="str">
        <f>IFERROR(__xludf.DUMMYFUNCTION("IF(B4562="""","""",IFERROR(VLOOKUP(TO_TEXT(B4562),PEDIDOS!D:I,6,0),IFERROR(VLOOKUP(B4562*1,PEDIDOS!D:I,6,0),"" "")))")," ")</f>
        <v> </v>
      </c>
      <c r="G4562" s="305" t="s">
        <v>23926</v>
      </c>
      <c r="H4562" s="304"/>
    </row>
    <row r="4563">
      <c r="A4563" s="302" t="s">
        <v>3441</v>
      </c>
      <c r="B4563" s="291" t="s">
        <v>24144</v>
      </c>
      <c r="C4563" s="292" t="s">
        <v>48</v>
      </c>
      <c r="D4563" s="293">
        <f t="shared" si="2"/>
        <v>1</v>
      </c>
      <c r="E4563" s="294" t="s">
        <v>24104</v>
      </c>
      <c r="F4563" s="295" t="str">
        <f>IFERROR(__xludf.DUMMYFUNCTION("IF(B4563="""","""",IFERROR(VLOOKUP(TO_TEXT(B4563),PEDIDOS!D:I,6,0),IFERROR(VLOOKUP(B4563*1,PEDIDOS!D:I,6,0),"" "")))")," ")</f>
        <v> </v>
      </c>
      <c r="G4563" s="305" t="s">
        <v>23926</v>
      </c>
      <c r="H4563" s="304"/>
    </row>
    <row r="4564">
      <c r="A4564" s="302" t="s">
        <v>3441</v>
      </c>
      <c r="B4564" s="291" t="s">
        <v>24145</v>
      </c>
      <c r="C4564" s="292" t="s">
        <v>48</v>
      </c>
      <c r="D4564" s="293">
        <f t="shared" si="2"/>
        <v>1</v>
      </c>
      <c r="E4564" s="294" t="s">
        <v>24104</v>
      </c>
      <c r="F4564" s="295" t="str">
        <f>IFERROR(__xludf.DUMMYFUNCTION("IF(B4564="""","""",IFERROR(VLOOKUP(TO_TEXT(B4564),PEDIDOS!D:I,6,0),IFERROR(VLOOKUP(B4564*1,PEDIDOS!D:I,6,0),"" "")))")," ")</f>
        <v> </v>
      </c>
      <c r="G4564" s="305" t="s">
        <v>23926</v>
      </c>
      <c r="H4564" s="304"/>
    </row>
    <row r="4565">
      <c r="A4565" s="302" t="s">
        <v>3441</v>
      </c>
      <c r="B4565" s="291" t="s">
        <v>24146</v>
      </c>
      <c r="C4565" s="292" t="s">
        <v>48</v>
      </c>
      <c r="D4565" s="293">
        <f t="shared" si="2"/>
        <v>1</v>
      </c>
      <c r="E4565" s="294" t="s">
        <v>24104</v>
      </c>
      <c r="F4565" s="295" t="str">
        <f>IFERROR(__xludf.DUMMYFUNCTION("IF(B4565="""","""",IFERROR(VLOOKUP(TO_TEXT(B4565),PEDIDOS!D:I,6,0),IFERROR(VLOOKUP(B4565*1,PEDIDOS!D:I,6,0),"" "")))")," ")</f>
        <v> </v>
      </c>
      <c r="G4565" s="305" t="s">
        <v>23926</v>
      </c>
      <c r="H4565" s="304"/>
    </row>
    <row r="4566">
      <c r="A4566" s="302" t="s">
        <v>72</v>
      </c>
      <c r="B4566" s="291" t="s">
        <v>24147</v>
      </c>
      <c r="C4566" s="292" t="s">
        <v>48</v>
      </c>
      <c r="D4566" s="293">
        <f t="shared" si="2"/>
        <v>1</v>
      </c>
      <c r="E4566" s="294" t="s">
        <v>24104</v>
      </c>
      <c r="F4566" s="295" t="str">
        <f>IFERROR(__xludf.DUMMYFUNCTION("IF(B4566="""","""",IFERROR(VLOOKUP(TO_TEXT(B4566),PEDIDOS!D:I,6,0),IFERROR(VLOOKUP(B4566*1,PEDIDOS!D:I,6,0),"" "")))")," ")</f>
        <v> </v>
      </c>
      <c r="G4566" s="305" t="s">
        <v>23926</v>
      </c>
      <c r="H4566" s="304"/>
    </row>
    <row r="4567">
      <c r="A4567" s="302" t="s">
        <v>72</v>
      </c>
      <c r="B4567" s="291" t="s">
        <v>24148</v>
      </c>
      <c r="C4567" s="292" t="s">
        <v>48</v>
      </c>
      <c r="D4567" s="293">
        <f t="shared" si="2"/>
        <v>1</v>
      </c>
      <c r="E4567" s="294" t="s">
        <v>24104</v>
      </c>
      <c r="F4567" s="295" t="str">
        <f>IFERROR(__xludf.DUMMYFUNCTION("IF(B4567="""","""",IFERROR(VLOOKUP(TO_TEXT(B4567),PEDIDOS!D:I,6,0),IFERROR(VLOOKUP(B4567*1,PEDIDOS!D:I,6,0),"" "")))")," ")</f>
        <v> </v>
      </c>
      <c r="G4567" s="305" t="s">
        <v>23926</v>
      </c>
      <c r="H4567" s="304"/>
    </row>
    <row r="4568">
      <c r="A4568" s="302" t="s">
        <v>72</v>
      </c>
      <c r="B4568" s="291" t="s">
        <v>24149</v>
      </c>
      <c r="C4568" s="292" t="s">
        <v>48</v>
      </c>
      <c r="D4568" s="293">
        <f t="shared" si="2"/>
        <v>1</v>
      </c>
      <c r="E4568" s="294" t="s">
        <v>24104</v>
      </c>
      <c r="F4568" s="295" t="str">
        <f>IFERROR(__xludf.DUMMYFUNCTION("IF(B4568="""","""",IFERROR(VLOOKUP(TO_TEXT(B4568),PEDIDOS!D:I,6,0),IFERROR(VLOOKUP(B4568*1,PEDIDOS!D:I,6,0),"" "")))")," ")</f>
        <v> </v>
      </c>
      <c r="G4568" s="305" t="s">
        <v>23926</v>
      </c>
      <c r="H4568" s="304"/>
    </row>
    <row r="4569">
      <c r="A4569" s="302" t="s">
        <v>72</v>
      </c>
      <c r="B4569" s="291" t="s">
        <v>24150</v>
      </c>
      <c r="C4569" s="292" t="s">
        <v>48</v>
      </c>
      <c r="D4569" s="293">
        <f t="shared" si="2"/>
        <v>1</v>
      </c>
      <c r="E4569" s="294" t="s">
        <v>24104</v>
      </c>
      <c r="F4569" s="295" t="str">
        <f>IFERROR(__xludf.DUMMYFUNCTION("IF(B4569="""","""",IFERROR(VLOOKUP(TO_TEXT(B4569),PEDIDOS!D:I,6,0),IFERROR(VLOOKUP(B4569*1,PEDIDOS!D:I,6,0),"" "")))")," ")</f>
        <v> </v>
      </c>
      <c r="G4569" s="305" t="s">
        <v>23926</v>
      </c>
      <c r="H4569" s="304"/>
    </row>
    <row r="4570">
      <c r="A4570" s="302" t="s">
        <v>72</v>
      </c>
      <c r="B4570" s="291" t="s">
        <v>24151</v>
      </c>
      <c r="C4570" s="292" t="s">
        <v>48</v>
      </c>
      <c r="D4570" s="293">
        <f t="shared" si="2"/>
        <v>1</v>
      </c>
      <c r="E4570" s="294" t="s">
        <v>24104</v>
      </c>
      <c r="F4570" s="295" t="str">
        <f>IFERROR(__xludf.DUMMYFUNCTION("IF(B4570="""","""",IFERROR(VLOOKUP(TO_TEXT(B4570),PEDIDOS!D:I,6,0),IFERROR(VLOOKUP(B4570*1,PEDIDOS!D:I,6,0),"" "")))")," ")</f>
        <v> </v>
      </c>
      <c r="G4570" s="305" t="s">
        <v>23926</v>
      </c>
      <c r="H4570" s="304"/>
    </row>
    <row r="4571">
      <c r="A4571" s="302" t="s">
        <v>72</v>
      </c>
      <c r="B4571" s="291" t="s">
        <v>24152</v>
      </c>
      <c r="C4571" s="292" t="s">
        <v>48</v>
      </c>
      <c r="D4571" s="293">
        <f t="shared" si="2"/>
        <v>1</v>
      </c>
      <c r="E4571" s="294" t="s">
        <v>24104</v>
      </c>
      <c r="F4571" s="295" t="str">
        <f>IFERROR(__xludf.DUMMYFUNCTION("IF(B4571="""","""",IFERROR(VLOOKUP(TO_TEXT(B4571),PEDIDOS!D:I,6,0),IFERROR(VLOOKUP(B4571*1,PEDIDOS!D:I,6,0),"" "")))")," ")</f>
        <v> </v>
      </c>
      <c r="G4571" s="305" t="s">
        <v>23926</v>
      </c>
      <c r="H4571" s="304"/>
    </row>
    <row r="4572">
      <c r="A4572" s="302" t="s">
        <v>72</v>
      </c>
      <c r="B4572" s="291" t="s">
        <v>24153</v>
      </c>
      <c r="C4572" s="292" t="s">
        <v>48</v>
      </c>
      <c r="D4572" s="293">
        <f t="shared" si="2"/>
        <v>1</v>
      </c>
      <c r="E4572" s="294" t="s">
        <v>24104</v>
      </c>
      <c r="F4572" s="295" t="str">
        <f>IFERROR(__xludf.DUMMYFUNCTION("IF(B4572="""","""",IFERROR(VLOOKUP(TO_TEXT(B4572),PEDIDOS!D:I,6,0),IFERROR(VLOOKUP(B4572*1,PEDIDOS!D:I,6,0),"" "")))")," ")</f>
        <v> </v>
      </c>
      <c r="G4572" s="305" t="s">
        <v>23926</v>
      </c>
      <c r="H4572" s="304"/>
    </row>
    <row r="4573">
      <c r="A4573" s="302" t="s">
        <v>72</v>
      </c>
      <c r="B4573" s="291" t="s">
        <v>24154</v>
      </c>
      <c r="C4573" s="292" t="s">
        <v>48</v>
      </c>
      <c r="D4573" s="293">
        <f t="shared" si="2"/>
        <v>1</v>
      </c>
      <c r="E4573" s="294" t="s">
        <v>24104</v>
      </c>
      <c r="F4573" s="295" t="str">
        <f>IFERROR(__xludf.DUMMYFUNCTION("IF(B4573="""","""",IFERROR(VLOOKUP(TO_TEXT(B4573),PEDIDOS!D:I,6,0),IFERROR(VLOOKUP(B4573*1,PEDIDOS!D:I,6,0),"" "")))")," ")</f>
        <v> </v>
      </c>
      <c r="G4573" s="305" t="s">
        <v>23926</v>
      </c>
      <c r="H4573" s="304"/>
    </row>
    <row r="4574">
      <c r="A4574" s="302" t="s">
        <v>72</v>
      </c>
      <c r="B4574" s="291" t="s">
        <v>24155</v>
      </c>
      <c r="C4574" s="292" t="s">
        <v>48</v>
      </c>
      <c r="D4574" s="293">
        <f t="shared" si="2"/>
        <v>1</v>
      </c>
      <c r="E4574" s="294" t="s">
        <v>24104</v>
      </c>
      <c r="F4574" s="295" t="str">
        <f>IFERROR(__xludf.DUMMYFUNCTION("IF(B4574="""","""",IFERROR(VLOOKUP(TO_TEXT(B4574),PEDIDOS!D:I,6,0),IFERROR(VLOOKUP(B4574*1,PEDIDOS!D:I,6,0),"" "")))")," ")</f>
        <v> </v>
      </c>
      <c r="G4574" s="305" t="s">
        <v>23926</v>
      </c>
      <c r="H4574" s="304"/>
    </row>
    <row r="4575">
      <c r="A4575" s="302" t="s">
        <v>72</v>
      </c>
      <c r="B4575" s="291" t="s">
        <v>24156</v>
      </c>
      <c r="C4575" s="292" t="s">
        <v>48</v>
      </c>
      <c r="D4575" s="293">
        <f t="shared" si="2"/>
        <v>1</v>
      </c>
      <c r="E4575" s="294" t="s">
        <v>24104</v>
      </c>
      <c r="F4575" s="295" t="str">
        <f>IFERROR(__xludf.DUMMYFUNCTION("IF(B4575="""","""",IFERROR(VLOOKUP(TO_TEXT(B4575),PEDIDOS!D:I,6,0),IFERROR(VLOOKUP(B4575*1,PEDIDOS!D:I,6,0),"" "")))")," ")</f>
        <v> </v>
      </c>
      <c r="G4575" s="305" t="s">
        <v>23926</v>
      </c>
      <c r="H4575" s="304"/>
    </row>
    <row r="4576">
      <c r="A4576" s="302" t="s">
        <v>85</v>
      </c>
      <c r="B4576" s="291" t="s">
        <v>24157</v>
      </c>
      <c r="C4576" s="292" t="s">
        <v>48</v>
      </c>
      <c r="D4576" s="293">
        <f t="shared" si="2"/>
        <v>1</v>
      </c>
      <c r="E4576" s="294" t="s">
        <v>24104</v>
      </c>
      <c r="F4576" s="295" t="str">
        <f>IFERROR(__xludf.DUMMYFUNCTION("IF(B4576="""","""",IFERROR(VLOOKUP(TO_TEXT(B4576),PEDIDOS!D:I,6,0),IFERROR(VLOOKUP(B4576*1,PEDIDOS!D:I,6,0),"" "")))")," ")</f>
        <v> </v>
      </c>
      <c r="G4576" s="305" t="s">
        <v>23926</v>
      </c>
      <c r="H4576" s="304"/>
    </row>
    <row r="4577">
      <c r="A4577" s="302" t="s">
        <v>85</v>
      </c>
      <c r="B4577" s="291" t="s">
        <v>24158</v>
      </c>
      <c r="C4577" s="292" t="s">
        <v>48</v>
      </c>
      <c r="D4577" s="293">
        <f t="shared" si="2"/>
        <v>1</v>
      </c>
      <c r="E4577" s="294" t="s">
        <v>24104</v>
      </c>
      <c r="F4577" s="295" t="str">
        <f>IFERROR(__xludf.DUMMYFUNCTION("IF(B4577="""","""",IFERROR(VLOOKUP(TO_TEXT(B4577),PEDIDOS!D:I,6,0),IFERROR(VLOOKUP(B4577*1,PEDIDOS!D:I,6,0),"" "")))")," ")</f>
        <v> </v>
      </c>
      <c r="G4577" s="305" t="s">
        <v>23926</v>
      </c>
      <c r="H4577" s="304"/>
    </row>
    <row r="4578">
      <c r="A4578" s="302" t="s">
        <v>85</v>
      </c>
      <c r="B4578" s="291" t="s">
        <v>24159</v>
      </c>
      <c r="C4578" s="292" t="s">
        <v>48</v>
      </c>
      <c r="D4578" s="293">
        <f t="shared" si="2"/>
        <v>1</v>
      </c>
      <c r="E4578" s="294" t="s">
        <v>24104</v>
      </c>
      <c r="F4578" s="295" t="str">
        <f>IFERROR(__xludf.DUMMYFUNCTION("IF(B4578="""","""",IFERROR(VLOOKUP(TO_TEXT(B4578),PEDIDOS!D:I,6,0),IFERROR(VLOOKUP(B4578*1,PEDIDOS!D:I,6,0),"" "")))")," ")</f>
        <v> </v>
      </c>
      <c r="G4578" s="305" t="s">
        <v>23926</v>
      </c>
      <c r="H4578" s="304"/>
    </row>
    <row r="4579">
      <c r="A4579" s="302" t="s">
        <v>85</v>
      </c>
      <c r="B4579" s="291" t="s">
        <v>24160</v>
      </c>
      <c r="C4579" s="292" t="s">
        <v>48</v>
      </c>
      <c r="D4579" s="293">
        <f t="shared" si="2"/>
        <v>1</v>
      </c>
      <c r="E4579" s="294" t="s">
        <v>24104</v>
      </c>
      <c r="F4579" s="295" t="str">
        <f>IFERROR(__xludf.DUMMYFUNCTION("IF(B4579="""","""",IFERROR(VLOOKUP(TO_TEXT(B4579),PEDIDOS!D:I,6,0),IFERROR(VLOOKUP(B4579*1,PEDIDOS!D:I,6,0),"" "")))")," ")</f>
        <v> </v>
      </c>
      <c r="G4579" s="305" t="s">
        <v>23926</v>
      </c>
      <c r="H4579" s="304"/>
    </row>
    <row r="4580">
      <c r="A4580" s="302" t="s">
        <v>85</v>
      </c>
      <c r="B4580" s="291" t="s">
        <v>24161</v>
      </c>
      <c r="C4580" s="292" t="s">
        <v>48</v>
      </c>
      <c r="D4580" s="293">
        <f t="shared" si="2"/>
        <v>1</v>
      </c>
      <c r="E4580" s="294" t="s">
        <v>24104</v>
      </c>
      <c r="F4580" s="295" t="str">
        <f>IFERROR(__xludf.DUMMYFUNCTION("IF(B4580="""","""",IFERROR(VLOOKUP(TO_TEXT(B4580),PEDIDOS!D:I,6,0),IFERROR(VLOOKUP(B4580*1,PEDIDOS!D:I,6,0),"" "")))")," ")</f>
        <v> </v>
      </c>
      <c r="G4580" s="305" t="s">
        <v>23926</v>
      </c>
      <c r="H4580" s="304"/>
    </row>
    <row r="4581">
      <c r="A4581" s="302" t="s">
        <v>85</v>
      </c>
      <c r="B4581" s="291" t="s">
        <v>24162</v>
      </c>
      <c r="C4581" s="292" t="s">
        <v>48</v>
      </c>
      <c r="D4581" s="293">
        <f t="shared" si="2"/>
        <v>1</v>
      </c>
      <c r="E4581" s="294" t="s">
        <v>24104</v>
      </c>
      <c r="F4581" s="295" t="str">
        <f>IFERROR(__xludf.DUMMYFUNCTION("IF(B4581="""","""",IFERROR(VLOOKUP(TO_TEXT(B4581),PEDIDOS!D:I,6,0),IFERROR(VLOOKUP(B4581*1,PEDIDOS!D:I,6,0),"" "")))")," ")</f>
        <v> </v>
      </c>
      <c r="G4581" s="305" t="s">
        <v>23926</v>
      </c>
      <c r="H4581" s="304"/>
    </row>
    <row r="4582">
      <c r="A4582" s="302" t="s">
        <v>85</v>
      </c>
      <c r="B4582" s="291" t="s">
        <v>24163</v>
      </c>
      <c r="C4582" s="292" t="s">
        <v>48</v>
      </c>
      <c r="D4582" s="293">
        <f t="shared" si="2"/>
        <v>1</v>
      </c>
      <c r="E4582" s="294" t="s">
        <v>24104</v>
      </c>
      <c r="F4582" s="295" t="str">
        <f>IFERROR(__xludf.DUMMYFUNCTION("IF(B4582="""","""",IFERROR(VLOOKUP(TO_TEXT(B4582),PEDIDOS!D:I,6,0),IFERROR(VLOOKUP(B4582*1,PEDIDOS!D:I,6,0),"" "")))")," ")</f>
        <v> </v>
      </c>
      <c r="G4582" s="305" t="s">
        <v>23926</v>
      </c>
      <c r="H4582" s="304"/>
    </row>
    <row r="4583">
      <c r="A4583" s="302" t="s">
        <v>85</v>
      </c>
      <c r="B4583" s="291" t="s">
        <v>24164</v>
      </c>
      <c r="C4583" s="292" t="s">
        <v>48</v>
      </c>
      <c r="D4583" s="293">
        <f t="shared" si="2"/>
        <v>1</v>
      </c>
      <c r="E4583" s="294" t="s">
        <v>24104</v>
      </c>
      <c r="F4583" s="295" t="str">
        <f>IFERROR(__xludf.DUMMYFUNCTION("IF(B4583="""","""",IFERROR(VLOOKUP(TO_TEXT(B4583),PEDIDOS!D:I,6,0),IFERROR(VLOOKUP(B4583*1,PEDIDOS!D:I,6,0),"" "")))")," ")</f>
        <v> </v>
      </c>
      <c r="G4583" s="305" t="s">
        <v>23926</v>
      </c>
      <c r="H4583" s="304"/>
    </row>
    <row r="4584">
      <c r="A4584" s="302" t="s">
        <v>85</v>
      </c>
      <c r="B4584" s="291" t="s">
        <v>24165</v>
      </c>
      <c r="C4584" s="292" t="s">
        <v>48</v>
      </c>
      <c r="D4584" s="293">
        <f t="shared" si="2"/>
        <v>1</v>
      </c>
      <c r="E4584" s="294" t="s">
        <v>24104</v>
      </c>
      <c r="F4584" s="295" t="str">
        <f>IFERROR(__xludf.DUMMYFUNCTION("IF(B4584="""","""",IFERROR(VLOOKUP(TO_TEXT(B4584),PEDIDOS!D:I,6,0),IFERROR(VLOOKUP(B4584*1,PEDIDOS!D:I,6,0),"" "")))")," ")</f>
        <v> </v>
      </c>
      <c r="G4584" s="305" t="s">
        <v>23926</v>
      </c>
      <c r="H4584" s="304"/>
    </row>
    <row r="4585">
      <c r="A4585" s="302" t="s">
        <v>85</v>
      </c>
      <c r="B4585" s="291" t="s">
        <v>24166</v>
      </c>
      <c r="C4585" s="292" t="s">
        <v>48</v>
      </c>
      <c r="D4585" s="293">
        <f t="shared" si="2"/>
        <v>1</v>
      </c>
      <c r="E4585" s="294" t="s">
        <v>24104</v>
      </c>
      <c r="F4585" s="295" t="str">
        <f>IFERROR(__xludf.DUMMYFUNCTION("IF(B4585="""","""",IFERROR(VLOOKUP(TO_TEXT(B4585),PEDIDOS!D:I,6,0),IFERROR(VLOOKUP(B4585*1,PEDIDOS!D:I,6,0),"" "")))")," ")</f>
        <v> </v>
      </c>
      <c r="G4585" s="305" t="s">
        <v>23926</v>
      </c>
      <c r="H4585" s="304"/>
    </row>
    <row r="4586">
      <c r="A4586" s="302" t="s">
        <v>85</v>
      </c>
      <c r="B4586" s="291" t="s">
        <v>24167</v>
      </c>
      <c r="C4586" s="292" t="s">
        <v>48</v>
      </c>
      <c r="D4586" s="293">
        <f t="shared" si="2"/>
        <v>1</v>
      </c>
      <c r="E4586" s="294" t="s">
        <v>24104</v>
      </c>
      <c r="F4586" s="295" t="str">
        <f>IFERROR(__xludf.DUMMYFUNCTION("IF(B4586="""","""",IFERROR(VLOOKUP(TO_TEXT(B4586),PEDIDOS!D:I,6,0),IFERROR(VLOOKUP(B4586*1,PEDIDOS!D:I,6,0),"" "")))")," ")</f>
        <v> </v>
      </c>
      <c r="G4586" s="305" t="s">
        <v>23926</v>
      </c>
      <c r="H4586" s="304"/>
    </row>
    <row r="4587">
      <c r="A4587" s="302" t="s">
        <v>85</v>
      </c>
      <c r="B4587" s="291" t="s">
        <v>24168</v>
      </c>
      <c r="C4587" s="292" t="s">
        <v>48</v>
      </c>
      <c r="D4587" s="293">
        <f t="shared" si="2"/>
        <v>1</v>
      </c>
      <c r="E4587" s="294" t="s">
        <v>24104</v>
      </c>
      <c r="F4587" s="295" t="str">
        <f>IFERROR(__xludf.DUMMYFUNCTION("IF(B4587="""","""",IFERROR(VLOOKUP(TO_TEXT(B4587),PEDIDOS!D:I,6,0),IFERROR(VLOOKUP(B4587*1,PEDIDOS!D:I,6,0),"" "")))")," ")</f>
        <v> </v>
      </c>
      <c r="G4587" s="305" t="s">
        <v>23926</v>
      </c>
      <c r="H4587" s="304"/>
    </row>
    <row r="4588">
      <c r="A4588" s="302" t="s">
        <v>85</v>
      </c>
      <c r="B4588" s="291" t="s">
        <v>24169</v>
      </c>
      <c r="C4588" s="292" t="s">
        <v>48</v>
      </c>
      <c r="D4588" s="293">
        <f t="shared" si="2"/>
        <v>1</v>
      </c>
      <c r="E4588" s="294" t="s">
        <v>24104</v>
      </c>
      <c r="F4588" s="295" t="str">
        <f>IFERROR(__xludf.DUMMYFUNCTION("IF(B4588="""","""",IFERROR(VLOOKUP(TO_TEXT(B4588),PEDIDOS!D:I,6,0),IFERROR(VLOOKUP(B4588*1,PEDIDOS!D:I,6,0),"" "")))")," ")</f>
        <v> </v>
      </c>
      <c r="G4588" s="305" t="s">
        <v>23926</v>
      </c>
      <c r="H4588" s="304"/>
    </row>
    <row r="4589">
      <c r="A4589" s="302" t="s">
        <v>85</v>
      </c>
      <c r="B4589" s="291" t="s">
        <v>24170</v>
      </c>
      <c r="C4589" s="292" t="s">
        <v>48</v>
      </c>
      <c r="D4589" s="293">
        <f t="shared" si="2"/>
        <v>1</v>
      </c>
      <c r="E4589" s="294" t="s">
        <v>24104</v>
      </c>
      <c r="F4589" s="295" t="str">
        <f>IFERROR(__xludf.DUMMYFUNCTION("IF(B4589="""","""",IFERROR(VLOOKUP(TO_TEXT(B4589),PEDIDOS!D:I,6,0),IFERROR(VLOOKUP(B4589*1,PEDIDOS!D:I,6,0),"" "")))")," ")</f>
        <v> </v>
      </c>
      <c r="G4589" s="305" t="s">
        <v>23926</v>
      </c>
      <c r="H4589" s="304"/>
    </row>
    <row r="4590">
      <c r="A4590" s="302" t="s">
        <v>85</v>
      </c>
      <c r="B4590" s="291" t="s">
        <v>24171</v>
      </c>
      <c r="C4590" s="292" t="s">
        <v>48</v>
      </c>
      <c r="D4590" s="293">
        <f t="shared" si="2"/>
        <v>1</v>
      </c>
      <c r="E4590" s="294" t="s">
        <v>24104</v>
      </c>
      <c r="F4590" s="295" t="str">
        <f>IFERROR(__xludf.DUMMYFUNCTION("IF(B4590="""","""",IFERROR(VLOOKUP(TO_TEXT(B4590),PEDIDOS!D:I,6,0),IFERROR(VLOOKUP(B4590*1,PEDIDOS!D:I,6,0),"" "")))")," ")</f>
        <v> </v>
      </c>
      <c r="G4590" s="305" t="s">
        <v>23926</v>
      </c>
      <c r="H4590" s="304"/>
    </row>
    <row r="4591">
      <c r="A4591" s="302" t="s">
        <v>85</v>
      </c>
      <c r="B4591" s="291" t="s">
        <v>24172</v>
      </c>
      <c r="C4591" s="292" t="s">
        <v>48</v>
      </c>
      <c r="D4591" s="293">
        <f t="shared" si="2"/>
        <v>1</v>
      </c>
      <c r="E4591" s="294" t="s">
        <v>24104</v>
      </c>
      <c r="F4591" s="295" t="str">
        <f>IFERROR(__xludf.DUMMYFUNCTION("IF(B4591="""","""",IFERROR(VLOOKUP(TO_TEXT(B4591),PEDIDOS!D:I,6,0),IFERROR(VLOOKUP(B4591*1,PEDIDOS!D:I,6,0),"" "")))")," ")</f>
        <v> </v>
      </c>
      <c r="G4591" s="305" t="s">
        <v>23926</v>
      </c>
      <c r="H4591" s="304"/>
    </row>
    <row r="4592">
      <c r="A4592" s="302" t="s">
        <v>85</v>
      </c>
      <c r="B4592" s="291" t="s">
        <v>24173</v>
      </c>
      <c r="C4592" s="292" t="s">
        <v>48</v>
      </c>
      <c r="D4592" s="293">
        <f t="shared" si="2"/>
        <v>1</v>
      </c>
      <c r="E4592" s="294" t="s">
        <v>24104</v>
      </c>
      <c r="F4592" s="295" t="str">
        <f>IFERROR(__xludf.DUMMYFUNCTION("IF(B4592="""","""",IFERROR(VLOOKUP(TO_TEXT(B4592),PEDIDOS!D:I,6,0),IFERROR(VLOOKUP(B4592*1,PEDIDOS!D:I,6,0),"" "")))")," ")</f>
        <v> </v>
      </c>
      <c r="G4592" s="305" t="s">
        <v>23926</v>
      </c>
      <c r="H4592" s="304"/>
    </row>
    <row r="4593">
      <c r="A4593" s="302" t="s">
        <v>85</v>
      </c>
      <c r="B4593" s="291" t="s">
        <v>24174</v>
      </c>
      <c r="C4593" s="292" t="s">
        <v>48</v>
      </c>
      <c r="D4593" s="293">
        <f t="shared" si="2"/>
        <v>1</v>
      </c>
      <c r="E4593" s="294" t="s">
        <v>24104</v>
      </c>
      <c r="F4593" s="295" t="str">
        <f>IFERROR(__xludf.DUMMYFUNCTION("IF(B4593="""","""",IFERROR(VLOOKUP(TO_TEXT(B4593),PEDIDOS!D:I,6,0),IFERROR(VLOOKUP(B4593*1,PEDIDOS!D:I,6,0),"" "")))")," ")</f>
        <v> </v>
      </c>
      <c r="G4593" s="305" t="s">
        <v>23926</v>
      </c>
      <c r="H4593" s="304"/>
    </row>
    <row r="4594">
      <c r="A4594" s="302" t="s">
        <v>85</v>
      </c>
      <c r="B4594" s="291" t="s">
        <v>24175</v>
      </c>
      <c r="C4594" s="292" t="s">
        <v>48</v>
      </c>
      <c r="D4594" s="293">
        <f t="shared" si="2"/>
        <v>1</v>
      </c>
      <c r="E4594" s="294" t="s">
        <v>24104</v>
      </c>
      <c r="F4594" s="295" t="str">
        <f>IFERROR(__xludf.DUMMYFUNCTION("IF(B4594="""","""",IFERROR(VLOOKUP(TO_TEXT(B4594),PEDIDOS!D:I,6,0),IFERROR(VLOOKUP(B4594*1,PEDIDOS!D:I,6,0),"" "")))")," ")</f>
        <v> </v>
      </c>
      <c r="G4594" s="305" t="s">
        <v>23926</v>
      </c>
      <c r="H4594" s="304"/>
    </row>
    <row r="4595">
      <c r="A4595" s="302" t="s">
        <v>85</v>
      </c>
      <c r="B4595" s="291" t="s">
        <v>24176</v>
      </c>
      <c r="C4595" s="292" t="s">
        <v>48</v>
      </c>
      <c r="D4595" s="293">
        <f t="shared" si="2"/>
        <v>1</v>
      </c>
      <c r="E4595" s="294" t="s">
        <v>24104</v>
      </c>
      <c r="F4595" s="295" t="str">
        <f>IFERROR(__xludf.DUMMYFUNCTION("IF(B4595="""","""",IFERROR(VLOOKUP(TO_TEXT(B4595),PEDIDOS!D:I,6,0),IFERROR(VLOOKUP(B4595*1,PEDIDOS!D:I,6,0),"" "")))")," ")</f>
        <v> </v>
      </c>
      <c r="G4595" s="305" t="s">
        <v>23926</v>
      </c>
      <c r="H4595" s="304"/>
    </row>
    <row r="4596">
      <c r="A4596" s="302" t="s">
        <v>85</v>
      </c>
      <c r="B4596" s="291" t="s">
        <v>24177</v>
      </c>
      <c r="C4596" s="292" t="s">
        <v>48</v>
      </c>
      <c r="D4596" s="293">
        <f t="shared" si="2"/>
        <v>1</v>
      </c>
      <c r="E4596" s="294" t="s">
        <v>24104</v>
      </c>
      <c r="F4596" s="295" t="str">
        <f>IFERROR(__xludf.DUMMYFUNCTION("IF(B4596="""","""",IFERROR(VLOOKUP(TO_TEXT(B4596),PEDIDOS!D:I,6,0),IFERROR(VLOOKUP(B4596*1,PEDIDOS!D:I,6,0),"" "")))")," ")</f>
        <v> </v>
      </c>
      <c r="G4596" s="305" t="s">
        <v>23926</v>
      </c>
      <c r="H4596" s="304"/>
    </row>
    <row r="4597">
      <c r="A4597" s="302" t="s">
        <v>85</v>
      </c>
      <c r="B4597" s="291" t="s">
        <v>24178</v>
      </c>
      <c r="C4597" s="292" t="s">
        <v>48</v>
      </c>
      <c r="D4597" s="293">
        <f t="shared" si="2"/>
        <v>1</v>
      </c>
      <c r="E4597" s="294" t="s">
        <v>24104</v>
      </c>
      <c r="F4597" s="295" t="str">
        <f>IFERROR(__xludf.DUMMYFUNCTION("IF(B4597="""","""",IFERROR(VLOOKUP(TO_TEXT(B4597),PEDIDOS!D:I,6,0),IFERROR(VLOOKUP(B4597*1,PEDIDOS!D:I,6,0),"" "")))")," ")</f>
        <v> </v>
      </c>
      <c r="G4597" s="305" t="s">
        <v>23926</v>
      </c>
      <c r="H4597" s="304"/>
    </row>
    <row r="4598">
      <c r="A4598" s="302" t="s">
        <v>85</v>
      </c>
      <c r="B4598" s="291" t="s">
        <v>24179</v>
      </c>
      <c r="C4598" s="292" t="s">
        <v>48</v>
      </c>
      <c r="D4598" s="293">
        <f t="shared" si="2"/>
        <v>1</v>
      </c>
      <c r="E4598" s="294" t="s">
        <v>24104</v>
      </c>
      <c r="F4598" s="295" t="str">
        <f>IFERROR(__xludf.DUMMYFUNCTION("IF(B4598="""","""",IFERROR(VLOOKUP(TO_TEXT(B4598),PEDIDOS!D:I,6,0),IFERROR(VLOOKUP(B4598*1,PEDIDOS!D:I,6,0),"" "")))")," ")</f>
        <v> </v>
      </c>
      <c r="G4598" s="305" t="s">
        <v>23926</v>
      </c>
      <c r="H4598" s="304"/>
    </row>
    <row r="4599">
      <c r="A4599" s="302" t="s">
        <v>85</v>
      </c>
      <c r="B4599" s="291" t="s">
        <v>24180</v>
      </c>
      <c r="C4599" s="292" t="s">
        <v>48</v>
      </c>
      <c r="D4599" s="293">
        <f t="shared" si="2"/>
        <v>1</v>
      </c>
      <c r="E4599" s="294" t="s">
        <v>24104</v>
      </c>
      <c r="F4599" s="295" t="str">
        <f>IFERROR(__xludf.DUMMYFUNCTION("IF(B4599="""","""",IFERROR(VLOOKUP(TO_TEXT(B4599),PEDIDOS!D:I,6,0),IFERROR(VLOOKUP(B4599*1,PEDIDOS!D:I,6,0),"" "")))")," ")</f>
        <v> </v>
      </c>
      <c r="G4599" s="305" t="s">
        <v>23926</v>
      </c>
      <c r="H4599" s="304"/>
    </row>
    <row r="4600">
      <c r="A4600" s="302" t="s">
        <v>85</v>
      </c>
      <c r="B4600" s="291" t="s">
        <v>24181</v>
      </c>
      <c r="C4600" s="292" t="s">
        <v>48</v>
      </c>
      <c r="D4600" s="293">
        <f t="shared" si="2"/>
        <v>1</v>
      </c>
      <c r="E4600" s="294" t="s">
        <v>24104</v>
      </c>
      <c r="F4600" s="295" t="str">
        <f>IFERROR(__xludf.DUMMYFUNCTION("IF(B4600="""","""",IFERROR(VLOOKUP(TO_TEXT(B4600),PEDIDOS!D:I,6,0),IFERROR(VLOOKUP(B4600*1,PEDIDOS!D:I,6,0),"" "")))")," ")</f>
        <v> </v>
      </c>
      <c r="G4600" s="305" t="s">
        <v>23926</v>
      </c>
      <c r="H4600" s="304"/>
    </row>
    <row r="4601">
      <c r="A4601" s="302" t="s">
        <v>91</v>
      </c>
      <c r="B4601" s="291" t="s">
        <v>24182</v>
      </c>
      <c r="C4601" s="292" t="s">
        <v>48</v>
      </c>
      <c r="D4601" s="293">
        <f t="shared" si="2"/>
        <v>1</v>
      </c>
      <c r="E4601" s="294" t="s">
        <v>24104</v>
      </c>
      <c r="F4601" s="295" t="str">
        <f>IFERROR(__xludf.DUMMYFUNCTION("IF(B4601="""","""",IFERROR(VLOOKUP(TO_TEXT(B4601),PEDIDOS!D:I,6,0),IFERROR(VLOOKUP(B4601*1,PEDIDOS!D:I,6,0),"" "")))")," ")</f>
        <v> </v>
      </c>
      <c r="G4601" s="305" t="s">
        <v>23926</v>
      </c>
      <c r="H4601" s="304"/>
    </row>
    <row r="4602">
      <c r="A4602" s="302" t="s">
        <v>91</v>
      </c>
      <c r="B4602" s="291" t="s">
        <v>24183</v>
      </c>
      <c r="C4602" s="292" t="s">
        <v>48</v>
      </c>
      <c r="D4602" s="293">
        <f t="shared" si="2"/>
        <v>1</v>
      </c>
      <c r="E4602" s="294" t="s">
        <v>24104</v>
      </c>
      <c r="F4602" s="295" t="str">
        <f>IFERROR(__xludf.DUMMYFUNCTION("IF(B4602="""","""",IFERROR(VLOOKUP(TO_TEXT(B4602),PEDIDOS!D:I,6,0),IFERROR(VLOOKUP(B4602*1,PEDIDOS!D:I,6,0),"" "")))")," ")</f>
        <v> </v>
      </c>
      <c r="G4602" s="305" t="s">
        <v>23926</v>
      </c>
      <c r="H4602" s="304"/>
    </row>
    <row r="4603">
      <c r="A4603" s="302" t="s">
        <v>91</v>
      </c>
      <c r="B4603" s="291" t="s">
        <v>24184</v>
      </c>
      <c r="C4603" s="292" t="s">
        <v>48</v>
      </c>
      <c r="D4603" s="293">
        <f t="shared" si="2"/>
        <v>1</v>
      </c>
      <c r="E4603" s="294" t="s">
        <v>24104</v>
      </c>
      <c r="F4603" s="295" t="str">
        <f>IFERROR(__xludf.DUMMYFUNCTION("IF(B4603="""","""",IFERROR(VLOOKUP(TO_TEXT(B4603),PEDIDOS!D:I,6,0),IFERROR(VLOOKUP(B4603*1,PEDIDOS!D:I,6,0),"" "")))")," ")</f>
        <v> </v>
      </c>
      <c r="G4603" s="305" t="s">
        <v>23926</v>
      </c>
      <c r="H4603" s="304"/>
    </row>
    <row r="4604">
      <c r="A4604" s="302" t="s">
        <v>91</v>
      </c>
      <c r="B4604" s="291" t="s">
        <v>24185</v>
      </c>
      <c r="C4604" s="292" t="s">
        <v>48</v>
      </c>
      <c r="D4604" s="293">
        <f t="shared" si="2"/>
        <v>1</v>
      </c>
      <c r="E4604" s="294" t="s">
        <v>24104</v>
      </c>
      <c r="F4604" s="295" t="str">
        <f>IFERROR(__xludf.DUMMYFUNCTION("IF(B4604="""","""",IFERROR(VLOOKUP(TO_TEXT(B4604),PEDIDOS!D:I,6,0),IFERROR(VLOOKUP(B4604*1,PEDIDOS!D:I,6,0),"" "")))")," ")</f>
        <v> </v>
      </c>
      <c r="G4604" s="305" t="s">
        <v>23926</v>
      </c>
      <c r="H4604" s="304"/>
    </row>
    <row r="4605">
      <c r="A4605" s="302" t="s">
        <v>91</v>
      </c>
      <c r="B4605" s="291" t="s">
        <v>24186</v>
      </c>
      <c r="C4605" s="292" t="s">
        <v>48</v>
      </c>
      <c r="D4605" s="293">
        <f t="shared" si="2"/>
        <v>1</v>
      </c>
      <c r="E4605" s="294" t="s">
        <v>24104</v>
      </c>
      <c r="F4605" s="295" t="str">
        <f>IFERROR(__xludf.DUMMYFUNCTION("IF(B4605="""","""",IFERROR(VLOOKUP(TO_TEXT(B4605),PEDIDOS!D:I,6,0),IFERROR(VLOOKUP(B4605*1,PEDIDOS!D:I,6,0),"" "")))")," ")</f>
        <v> </v>
      </c>
      <c r="G4605" s="305" t="s">
        <v>23926</v>
      </c>
      <c r="H4605" s="304"/>
    </row>
    <row r="4606">
      <c r="A4606" s="302" t="s">
        <v>91</v>
      </c>
      <c r="B4606" s="291" t="s">
        <v>24187</v>
      </c>
      <c r="C4606" s="292" t="s">
        <v>48</v>
      </c>
      <c r="D4606" s="293">
        <f t="shared" si="2"/>
        <v>1</v>
      </c>
      <c r="E4606" s="294" t="s">
        <v>24104</v>
      </c>
      <c r="F4606" s="295" t="str">
        <f>IFERROR(__xludf.DUMMYFUNCTION("IF(B4606="""","""",IFERROR(VLOOKUP(TO_TEXT(B4606),PEDIDOS!D:I,6,0),IFERROR(VLOOKUP(B4606*1,PEDIDOS!D:I,6,0),"" "")))")," ")</f>
        <v> </v>
      </c>
      <c r="G4606" s="305" t="s">
        <v>23926</v>
      </c>
      <c r="H4606" s="304"/>
    </row>
    <row r="4607">
      <c r="A4607" s="302" t="s">
        <v>91</v>
      </c>
      <c r="B4607" s="291" t="s">
        <v>24188</v>
      </c>
      <c r="C4607" s="292" t="s">
        <v>48</v>
      </c>
      <c r="D4607" s="293">
        <f t="shared" si="2"/>
        <v>1</v>
      </c>
      <c r="E4607" s="294" t="s">
        <v>24104</v>
      </c>
      <c r="F4607" s="295" t="str">
        <f>IFERROR(__xludf.DUMMYFUNCTION("IF(B4607="""","""",IFERROR(VLOOKUP(TO_TEXT(B4607),PEDIDOS!D:I,6,0),IFERROR(VLOOKUP(B4607*1,PEDIDOS!D:I,6,0),"" "")))")," ")</f>
        <v> </v>
      </c>
      <c r="G4607" s="305" t="s">
        <v>23926</v>
      </c>
      <c r="H4607" s="304"/>
    </row>
    <row r="4608">
      <c r="A4608" s="302" t="s">
        <v>91</v>
      </c>
      <c r="B4608" s="291" t="s">
        <v>24189</v>
      </c>
      <c r="C4608" s="292" t="s">
        <v>48</v>
      </c>
      <c r="D4608" s="293">
        <f t="shared" si="2"/>
        <v>1</v>
      </c>
      <c r="E4608" s="294" t="s">
        <v>24104</v>
      </c>
      <c r="F4608" s="295" t="str">
        <f>IFERROR(__xludf.DUMMYFUNCTION("IF(B4608="""","""",IFERROR(VLOOKUP(TO_TEXT(B4608),PEDIDOS!D:I,6,0),IFERROR(VLOOKUP(B4608*1,PEDIDOS!D:I,6,0),"" "")))")," ")</f>
        <v> </v>
      </c>
      <c r="G4608" s="305" t="s">
        <v>23926</v>
      </c>
      <c r="H4608" s="304"/>
    </row>
    <row r="4609">
      <c r="A4609" s="302" t="s">
        <v>91</v>
      </c>
      <c r="B4609" s="291" t="s">
        <v>24190</v>
      </c>
      <c r="C4609" s="292" t="s">
        <v>48</v>
      </c>
      <c r="D4609" s="293">
        <f t="shared" si="2"/>
        <v>1</v>
      </c>
      <c r="E4609" s="294" t="s">
        <v>24104</v>
      </c>
      <c r="F4609" s="295" t="str">
        <f>IFERROR(__xludf.DUMMYFUNCTION("IF(B4609="""","""",IFERROR(VLOOKUP(TO_TEXT(B4609),PEDIDOS!D:I,6,0),IFERROR(VLOOKUP(B4609*1,PEDIDOS!D:I,6,0),"" "")))")," ")</f>
        <v> </v>
      </c>
      <c r="G4609" s="305" t="s">
        <v>23926</v>
      </c>
      <c r="H4609" s="304"/>
    </row>
    <row r="4610">
      <c r="A4610" s="302" t="s">
        <v>91</v>
      </c>
      <c r="B4610" s="291" t="s">
        <v>24191</v>
      </c>
      <c r="C4610" s="292" t="s">
        <v>48</v>
      </c>
      <c r="D4610" s="293">
        <f t="shared" si="2"/>
        <v>1</v>
      </c>
      <c r="E4610" s="294" t="s">
        <v>24104</v>
      </c>
      <c r="F4610" s="295" t="str">
        <f>IFERROR(__xludf.DUMMYFUNCTION("IF(B4610="""","""",IFERROR(VLOOKUP(TO_TEXT(B4610),PEDIDOS!D:I,6,0),IFERROR(VLOOKUP(B4610*1,PEDIDOS!D:I,6,0),"" "")))")," ")</f>
        <v> </v>
      </c>
      <c r="G4610" s="305" t="s">
        <v>23926</v>
      </c>
      <c r="H4610" s="304"/>
    </row>
    <row r="4611">
      <c r="A4611" s="302" t="s">
        <v>91</v>
      </c>
      <c r="B4611" s="291" t="s">
        <v>24192</v>
      </c>
      <c r="C4611" s="292" t="s">
        <v>48</v>
      </c>
      <c r="D4611" s="293">
        <f t="shared" si="2"/>
        <v>1</v>
      </c>
      <c r="E4611" s="294" t="s">
        <v>24104</v>
      </c>
      <c r="F4611" s="295" t="str">
        <f>IFERROR(__xludf.DUMMYFUNCTION("IF(B4611="""","""",IFERROR(VLOOKUP(TO_TEXT(B4611),PEDIDOS!D:I,6,0),IFERROR(VLOOKUP(B4611*1,PEDIDOS!D:I,6,0),"" "")))")," ")</f>
        <v> </v>
      </c>
      <c r="G4611" s="305" t="s">
        <v>23926</v>
      </c>
      <c r="H4611" s="304"/>
    </row>
    <row r="4612">
      <c r="A4612" s="302" t="s">
        <v>91</v>
      </c>
      <c r="B4612" s="291" t="s">
        <v>24193</v>
      </c>
      <c r="C4612" s="292" t="s">
        <v>48</v>
      </c>
      <c r="D4612" s="293">
        <f t="shared" si="2"/>
        <v>1</v>
      </c>
      <c r="E4612" s="294" t="s">
        <v>24104</v>
      </c>
      <c r="F4612" s="295" t="str">
        <f>IFERROR(__xludf.DUMMYFUNCTION("IF(B4612="""","""",IFERROR(VLOOKUP(TO_TEXT(B4612),PEDIDOS!D:I,6,0),IFERROR(VLOOKUP(B4612*1,PEDIDOS!D:I,6,0),"" "")))")," ")</f>
        <v> </v>
      </c>
      <c r="G4612" s="305" t="s">
        <v>23926</v>
      </c>
      <c r="H4612" s="304"/>
    </row>
    <row r="4613">
      <c r="A4613" s="302" t="s">
        <v>91</v>
      </c>
      <c r="B4613" s="291" t="s">
        <v>24194</v>
      </c>
      <c r="C4613" s="292" t="s">
        <v>48</v>
      </c>
      <c r="D4613" s="293">
        <f t="shared" si="2"/>
        <v>1</v>
      </c>
      <c r="E4613" s="294" t="s">
        <v>24104</v>
      </c>
      <c r="F4613" s="295" t="str">
        <f>IFERROR(__xludf.DUMMYFUNCTION("IF(B4613="""","""",IFERROR(VLOOKUP(TO_TEXT(B4613),PEDIDOS!D:I,6,0),IFERROR(VLOOKUP(B4613*1,PEDIDOS!D:I,6,0),"" "")))")," ")</f>
        <v> </v>
      </c>
      <c r="G4613" s="305" t="s">
        <v>23926</v>
      </c>
      <c r="H4613" s="304"/>
    </row>
    <row r="4614">
      <c r="A4614" s="302" t="s">
        <v>91</v>
      </c>
      <c r="B4614" s="291" t="s">
        <v>24195</v>
      </c>
      <c r="C4614" s="292" t="s">
        <v>48</v>
      </c>
      <c r="D4614" s="293">
        <f t="shared" si="2"/>
        <v>1</v>
      </c>
      <c r="E4614" s="294" t="s">
        <v>24104</v>
      </c>
      <c r="F4614" s="295" t="str">
        <f>IFERROR(__xludf.DUMMYFUNCTION("IF(B4614="""","""",IFERROR(VLOOKUP(TO_TEXT(B4614),PEDIDOS!D:I,6,0),IFERROR(VLOOKUP(B4614*1,PEDIDOS!D:I,6,0),"" "")))")," ")</f>
        <v> </v>
      </c>
      <c r="G4614" s="305" t="s">
        <v>23926</v>
      </c>
      <c r="H4614" s="304"/>
    </row>
    <row r="4615">
      <c r="A4615" s="302" t="s">
        <v>91</v>
      </c>
      <c r="B4615" s="291" t="s">
        <v>24196</v>
      </c>
      <c r="C4615" s="292" t="s">
        <v>48</v>
      </c>
      <c r="D4615" s="293">
        <f t="shared" si="2"/>
        <v>1</v>
      </c>
      <c r="E4615" s="294" t="s">
        <v>24104</v>
      </c>
      <c r="F4615" s="295" t="str">
        <f>IFERROR(__xludf.DUMMYFUNCTION("IF(B4615="""","""",IFERROR(VLOOKUP(TO_TEXT(B4615),PEDIDOS!D:I,6,0),IFERROR(VLOOKUP(B4615*1,PEDIDOS!D:I,6,0),"" "")))")," ")</f>
        <v> </v>
      </c>
      <c r="G4615" s="305" t="s">
        <v>23926</v>
      </c>
      <c r="H4615" s="304"/>
    </row>
    <row r="4616">
      <c r="A4616" s="302" t="s">
        <v>91</v>
      </c>
      <c r="B4616" s="291" t="s">
        <v>24197</v>
      </c>
      <c r="C4616" s="292" t="s">
        <v>48</v>
      </c>
      <c r="D4616" s="293">
        <f t="shared" si="2"/>
        <v>1</v>
      </c>
      <c r="E4616" s="294" t="s">
        <v>24104</v>
      </c>
      <c r="F4616" s="295" t="str">
        <f>IFERROR(__xludf.DUMMYFUNCTION("IF(B4616="""","""",IFERROR(VLOOKUP(TO_TEXT(B4616),PEDIDOS!D:I,6,0),IFERROR(VLOOKUP(B4616*1,PEDIDOS!D:I,6,0),"" "")))")," ")</f>
        <v> </v>
      </c>
      <c r="G4616" s="305" t="s">
        <v>23926</v>
      </c>
      <c r="H4616" s="304"/>
    </row>
    <row r="4617">
      <c r="A4617" s="302" t="s">
        <v>91</v>
      </c>
      <c r="B4617" s="291" t="s">
        <v>24198</v>
      </c>
      <c r="C4617" s="292" t="s">
        <v>48</v>
      </c>
      <c r="D4617" s="293">
        <f t="shared" si="2"/>
        <v>1</v>
      </c>
      <c r="E4617" s="294" t="s">
        <v>24104</v>
      </c>
      <c r="F4617" s="295" t="str">
        <f>IFERROR(__xludf.DUMMYFUNCTION("IF(B4617="""","""",IFERROR(VLOOKUP(TO_TEXT(B4617),PEDIDOS!D:I,6,0),IFERROR(VLOOKUP(B4617*1,PEDIDOS!D:I,6,0),"" "")))")," ")</f>
        <v> </v>
      </c>
      <c r="G4617" s="305" t="s">
        <v>23926</v>
      </c>
      <c r="H4617" s="304"/>
    </row>
    <row r="4618">
      <c r="A4618" s="302" t="s">
        <v>91</v>
      </c>
      <c r="B4618" s="291" t="s">
        <v>24199</v>
      </c>
      <c r="C4618" s="292" t="s">
        <v>48</v>
      </c>
      <c r="D4618" s="293">
        <f t="shared" si="2"/>
        <v>1</v>
      </c>
      <c r="E4618" s="294" t="s">
        <v>24104</v>
      </c>
      <c r="F4618" s="295" t="str">
        <f>IFERROR(__xludf.DUMMYFUNCTION("IF(B4618="""","""",IFERROR(VLOOKUP(TO_TEXT(B4618),PEDIDOS!D:I,6,0),IFERROR(VLOOKUP(B4618*1,PEDIDOS!D:I,6,0),"" "")))")," ")</f>
        <v> </v>
      </c>
      <c r="G4618" s="305" t="s">
        <v>23926</v>
      </c>
      <c r="H4618" s="304"/>
    </row>
    <row r="4619">
      <c r="A4619" s="302" t="s">
        <v>91</v>
      </c>
      <c r="B4619" s="291" t="s">
        <v>24200</v>
      </c>
      <c r="C4619" s="292" t="s">
        <v>48</v>
      </c>
      <c r="D4619" s="293">
        <f t="shared" si="2"/>
        <v>1</v>
      </c>
      <c r="E4619" s="294" t="s">
        <v>24104</v>
      </c>
      <c r="F4619" s="295" t="str">
        <f>IFERROR(__xludf.DUMMYFUNCTION("IF(B4619="""","""",IFERROR(VLOOKUP(TO_TEXT(B4619),PEDIDOS!D:I,6,0),IFERROR(VLOOKUP(B4619*1,PEDIDOS!D:I,6,0),"" "")))")," ")</f>
        <v> </v>
      </c>
      <c r="G4619" s="305" t="s">
        <v>23926</v>
      </c>
      <c r="H4619" s="304"/>
    </row>
    <row r="4620">
      <c r="A4620" s="302" t="s">
        <v>91</v>
      </c>
      <c r="B4620" s="291" t="s">
        <v>24201</v>
      </c>
      <c r="C4620" s="292" t="s">
        <v>48</v>
      </c>
      <c r="D4620" s="293">
        <f t="shared" si="2"/>
        <v>1</v>
      </c>
      <c r="E4620" s="294" t="s">
        <v>24104</v>
      </c>
      <c r="F4620" s="295" t="str">
        <f>IFERROR(__xludf.DUMMYFUNCTION("IF(B4620="""","""",IFERROR(VLOOKUP(TO_TEXT(B4620),PEDIDOS!D:I,6,0),IFERROR(VLOOKUP(B4620*1,PEDIDOS!D:I,6,0),"" "")))")," ")</f>
        <v> </v>
      </c>
      <c r="G4620" s="305" t="s">
        <v>23926</v>
      </c>
      <c r="H4620" s="304"/>
    </row>
    <row r="4621">
      <c r="A4621" s="302" t="s">
        <v>91</v>
      </c>
      <c r="B4621" s="291" t="s">
        <v>24202</v>
      </c>
      <c r="C4621" s="292" t="s">
        <v>48</v>
      </c>
      <c r="D4621" s="293">
        <f t="shared" si="2"/>
        <v>1</v>
      </c>
      <c r="E4621" s="294" t="s">
        <v>24104</v>
      </c>
      <c r="F4621" s="295" t="str">
        <f>IFERROR(__xludf.DUMMYFUNCTION("IF(B4621="""","""",IFERROR(VLOOKUP(TO_TEXT(B4621),PEDIDOS!D:I,6,0),IFERROR(VLOOKUP(B4621*1,PEDIDOS!D:I,6,0),"" "")))")," ")</f>
        <v> </v>
      </c>
      <c r="G4621" s="305" t="s">
        <v>23926</v>
      </c>
      <c r="H4621" s="304"/>
    </row>
    <row r="4622">
      <c r="A4622" s="302" t="s">
        <v>91</v>
      </c>
      <c r="B4622" s="291" t="s">
        <v>24203</v>
      </c>
      <c r="C4622" s="292" t="s">
        <v>48</v>
      </c>
      <c r="D4622" s="293">
        <f t="shared" si="2"/>
        <v>1</v>
      </c>
      <c r="E4622" s="294" t="s">
        <v>24104</v>
      </c>
      <c r="F4622" s="295" t="str">
        <f>IFERROR(__xludf.DUMMYFUNCTION("IF(B4622="""","""",IFERROR(VLOOKUP(TO_TEXT(B4622),PEDIDOS!D:I,6,0),IFERROR(VLOOKUP(B4622*1,PEDIDOS!D:I,6,0),"" "")))")," ")</f>
        <v> </v>
      </c>
      <c r="G4622" s="305" t="s">
        <v>23926</v>
      </c>
      <c r="H4622" s="304"/>
    </row>
    <row r="4623">
      <c r="A4623" s="302" t="s">
        <v>91</v>
      </c>
      <c r="B4623" s="291" t="s">
        <v>24204</v>
      </c>
      <c r="C4623" s="292" t="s">
        <v>48</v>
      </c>
      <c r="D4623" s="293">
        <f t="shared" si="2"/>
        <v>1</v>
      </c>
      <c r="E4623" s="294" t="s">
        <v>24104</v>
      </c>
      <c r="F4623" s="295" t="str">
        <f>IFERROR(__xludf.DUMMYFUNCTION("IF(B4623="""","""",IFERROR(VLOOKUP(TO_TEXT(B4623),PEDIDOS!D:I,6,0),IFERROR(VLOOKUP(B4623*1,PEDIDOS!D:I,6,0),"" "")))")," ")</f>
        <v> </v>
      </c>
      <c r="G4623" s="305" t="s">
        <v>23926</v>
      </c>
      <c r="H4623" s="304"/>
    </row>
    <row r="4624">
      <c r="A4624" s="302" t="s">
        <v>91</v>
      </c>
      <c r="B4624" s="291" t="s">
        <v>24205</v>
      </c>
      <c r="C4624" s="292" t="s">
        <v>48</v>
      </c>
      <c r="D4624" s="293">
        <f t="shared" si="2"/>
        <v>1</v>
      </c>
      <c r="E4624" s="294" t="s">
        <v>24104</v>
      </c>
      <c r="F4624" s="295" t="str">
        <f>IFERROR(__xludf.DUMMYFUNCTION("IF(B4624="""","""",IFERROR(VLOOKUP(TO_TEXT(B4624),PEDIDOS!D:I,6,0),IFERROR(VLOOKUP(B4624*1,PEDIDOS!D:I,6,0),"" "")))")," ")</f>
        <v> </v>
      </c>
      <c r="G4624" s="305" t="s">
        <v>23926</v>
      </c>
      <c r="H4624" s="304"/>
    </row>
    <row r="4625">
      <c r="A4625" s="302" t="s">
        <v>91</v>
      </c>
      <c r="B4625" s="291" t="s">
        <v>24206</v>
      </c>
      <c r="C4625" s="292" t="s">
        <v>48</v>
      </c>
      <c r="D4625" s="293">
        <f t="shared" si="2"/>
        <v>1</v>
      </c>
      <c r="E4625" s="294" t="s">
        <v>24104</v>
      </c>
      <c r="F4625" s="295" t="str">
        <f>IFERROR(__xludf.DUMMYFUNCTION("IF(B4625="""","""",IFERROR(VLOOKUP(TO_TEXT(B4625),PEDIDOS!D:I,6,0),IFERROR(VLOOKUP(B4625*1,PEDIDOS!D:I,6,0),"" "")))")," ")</f>
        <v> </v>
      </c>
      <c r="G4625" s="305" t="s">
        <v>23926</v>
      </c>
      <c r="H4625" s="304"/>
    </row>
    <row r="4626">
      <c r="A4626" s="302" t="s">
        <v>91</v>
      </c>
      <c r="B4626" s="291" t="s">
        <v>24207</v>
      </c>
      <c r="C4626" s="292" t="s">
        <v>48</v>
      </c>
      <c r="D4626" s="293">
        <f t="shared" si="2"/>
        <v>1</v>
      </c>
      <c r="E4626" s="294" t="s">
        <v>24104</v>
      </c>
      <c r="F4626" s="295" t="str">
        <f>IFERROR(__xludf.DUMMYFUNCTION("IF(B4626="""","""",IFERROR(VLOOKUP(TO_TEXT(B4626),PEDIDOS!D:I,6,0),IFERROR(VLOOKUP(B4626*1,PEDIDOS!D:I,6,0),"" "")))")," ")</f>
        <v> </v>
      </c>
      <c r="G4626" s="305" t="s">
        <v>23926</v>
      </c>
      <c r="H4626" s="304"/>
    </row>
    <row r="4627">
      <c r="A4627" s="302" t="s">
        <v>91</v>
      </c>
      <c r="B4627" s="291" t="s">
        <v>24208</v>
      </c>
      <c r="C4627" s="292" t="s">
        <v>48</v>
      </c>
      <c r="D4627" s="293">
        <f t="shared" si="2"/>
        <v>1</v>
      </c>
      <c r="E4627" s="294" t="s">
        <v>24104</v>
      </c>
      <c r="F4627" s="295" t="str">
        <f>IFERROR(__xludf.DUMMYFUNCTION("IF(B4627="""","""",IFERROR(VLOOKUP(TO_TEXT(B4627),PEDIDOS!D:I,6,0),IFERROR(VLOOKUP(B4627*1,PEDIDOS!D:I,6,0),"" "")))")," ")</f>
        <v> </v>
      </c>
      <c r="G4627" s="305" t="s">
        <v>23926</v>
      </c>
      <c r="H4627" s="304"/>
    </row>
    <row r="4628">
      <c r="A4628" s="302" t="s">
        <v>91</v>
      </c>
      <c r="B4628" s="291" t="s">
        <v>24209</v>
      </c>
      <c r="C4628" s="292" t="s">
        <v>48</v>
      </c>
      <c r="D4628" s="293">
        <f t="shared" si="2"/>
        <v>1</v>
      </c>
      <c r="E4628" s="294" t="s">
        <v>24104</v>
      </c>
      <c r="F4628" s="295" t="str">
        <f>IFERROR(__xludf.DUMMYFUNCTION("IF(B4628="""","""",IFERROR(VLOOKUP(TO_TEXT(B4628),PEDIDOS!D:I,6,0),IFERROR(VLOOKUP(B4628*1,PEDIDOS!D:I,6,0),"" "")))")," ")</f>
        <v> </v>
      </c>
      <c r="G4628" s="305" t="s">
        <v>23926</v>
      </c>
      <c r="H4628" s="304"/>
    </row>
    <row r="4629">
      <c r="A4629" s="302" t="s">
        <v>91</v>
      </c>
      <c r="B4629" s="291" t="s">
        <v>24210</v>
      </c>
      <c r="C4629" s="292" t="s">
        <v>48</v>
      </c>
      <c r="D4629" s="293">
        <f t="shared" si="2"/>
        <v>1</v>
      </c>
      <c r="E4629" s="294" t="s">
        <v>24104</v>
      </c>
      <c r="F4629" s="295" t="str">
        <f>IFERROR(__xludf.DUMMYFUNCTION("IF(B4629="""","""",IFERROR(VLOOKUP(TO_TEXT(B4629),PEDIDOS!D:I,6,0),IFERROR(VLOOKUP(B4629*1,PEDIDOS!D:I,6,0),"" "")))")," ")</f>
        <v> </v>
      </c>
      <c r="G4629" s="305" t="s">
        <v>23926</v>
      </c>
      <c r="H4629" s="304"/>
    </row>
    <row r="4630">
      <c r="A4630" s="302" t="s">
        <v>91</v>
      </c>
      <c r="B4630" s="291" t="s">
        <v>24211</v>
      </c>
      <c r="C4630" s="292" t="s">
        <v>48</v>
      </c>
      <c r="D4630" s="293">
        <f t="shared" si="2"/>
        <v>1</v>
      </c>
      <c r="E4630" s="294" t="s">
        <v>24104</v>
      </c>
      <c r="F4630" s="295" t="str">
        <f>IFERROR(__xludf.DUMMYFUNCTION("IF(B4630="""","""",IFERROR(VLOOKUP(TO_TEXT(B4630),PEDIDOS!D:I,6,0),IFERROR(VLOOKUP(B4630*1,PEDIDOS!D:I,6,0),"" "")))")," ")</f>
        <v> </v>
      </c>
      <c r="G4630" s="305" t="s">
        <v>23926</v>
      </c>
      <c r="H4630" s="304"/>
    </row>
    <row r="4631">
      <c r="A4631" s="302" t="s">
        <v>91</v>
      </c>
      <c r="B4631" s="291" t="s">
        <v>24212</v>
      </c>
      <c r="C4631" s="292" t="s">
        <v>48</v>
      </c>
      <c r="D4631" s="293">
        <f t="shared" si="2"/>
        <v>1</v>
      </c>
      <c r="E4631" s="294" t="s">
        <v>24104</v>
      </c>
      <c r="F4631" s="295" t="str">
        <f>IFERROR(__xludf.DUMMYFUNCTION("IF(B4631="""","""",IFERROR(VLOOKUP(TO_TEXT(B4631),PEDIDOS!D:I,6,0),IFERROR(VLOOKUP(B4631*1,PEDIDOS!D:I,6,0),"" "")))")," ")</f>
        <v> </v>
      </c>
      <c r="G4631" s="305" t="s">
        <v>23926</v>
      </c>
      <c r="H4631" s="304"/>
    </row>
    <row r="4632">
      <c r="A4632" s="302" t="s">
        <v>91</v>
      </c>
      <c r="B4632" s="291" t="s">
        <v>24213</v>
      </c>
      <c r="C4632" s="292" t="s">
        <v>48</v>
      </c>
      <c r="D4632" s="293">
        <f t="shared" si="2"/>
        <v>1</v>
      </c>
      <c r="E4632" s="294" t="s">
        <v>24104</v>
      </c>
      <c r="F4632" s="295" t="str">
        <f>IFERROR(__xludf.DUMMYFUNCTION("IF(B4632="""","""",IFERROR(VLOOKUP(TO_TEXT(B4632),PEDIDOS!D:I,6,0),IFERROR(VLOOKUP(B4632*1,PEDIDOS!D:I,6,0),"" "")))")," ")</f>
        <v> </v>
      </c>
      <c r="G4632" s="305" t="s">
        <v>23926</v>
      </c>
      <c r="H4632" s="304"/>
    </row>
    <row r="4633">
      <c r="A4633" s="302" t="s">
        <v>91</v>
      </c>
      <c r="B4633" s="291" t="s">
        <v>24214</v>
      </c>
      <c r="C4633" s="292" t="s">
        <v>48</v>
      </c>
      <c r="D4633" s="293">
        <f t="shared" si="2"/>
        <v>1</v>
      </c>
      <c r="E4633" s="294" t="s">
        <v>24104</v>
      </c>
      <c r="F4633" s="295" t="str">
        <f>IFERROR(__xludf.DUMMYFUNCTION("IF(B4633="""","""",IFERROR(VLOOKUP(TO_TEXT(B4633),PEDIDOS!D:I,6,0),IFERROR(VLOOKUP(B4633*1,PEDIDOS!D:I,6,0),"" "")))")," ")</f>
        <v> </v>
      </c>
      <c r="G4633" s="305" t="s">
        <v>23926</v>
      </c>
      <c r="H4633" s="304"/>
    </row>
    <row r="4634">
      <c r="A4634" s="302" t="s">
        <v>91</v>
      </c>
      <c r="B4634" s="291" t="s">
        <v>24215</v>
      </c>
      <c r="C4634" s="292" t="s">
        <v>48</v>
      </c>
      <c r="D4634" s="293">
        <f t="shared" si="2"/>
        <v>1</v>
      </c>
      <c r="E4634" s="294" t="s">
        <v>24104</v>
      </c>
      <c r="F4634" s="295" t="str">
        <f>IFERROR(__xludf.DUMMYFUNCTION("IF(B4634="""","""",IFERROR(VLOOKUP(TO_TEXT(B4634),PEDIDOS!D:I,6,0),IFERROR(VLOOKUP(B4634*1,PEDIDOS!D:I,6,0),"" "")))")," ")</f>
        <v> </v>
      </c>
      <c r="G4634" s="305" t="s">
        <v>23926</v>
      </c>
      <c r="H4634" s="304"/>
    </row>
    <row r="4635">
      <c r="A4635" s="302" t="s">
        <v>91</v>
      </c>
      <c r="B4635" s="291" t="s">
        <v>24216</v>
      </c>
      <c r="C4635" s="292" t="s">
        <v>48</v>
      </c>
      <c r="D4635" s="293">
        <f t="shared" si="2"/>
        <v>1</v>
      </c>
      <c r="E4635" s="294" t="s">
        <v>24104</v>
      </c>
      <c r="F4635" s="295" t="str">
        <f>IFERROR(__xludf.DUMMYFUNCTION("IF(B4635="""","""",IFERROR(VLOOKUP(TO_TEXT(B4635),PEDIDOS!D:I,6,0),IFERROR(VLOOKUP(B4635*1,PEDIDOS!D:I,6,0),"" "")))")," ")</f>
        <v> </v>
      </c>
      <c r="G4635" s="305" t="s">
        <v>23926</v>
      </c>
      <c r="H4635" s="304"/>
    </row>
    <row r="4636">
      <c r="A4636" s="302" t="s">
        <v>91</v>
      </c>
      <c r="B4636" s="291" t="s">
        <v>24217</v>
      </c>
      <c r="C4636" s="292" t="s">
        <v>48</v>
      </c>
      <c r="D4636" s="293">
        <f t="shared" si="2"/>
        <v>1</v>
      </c>
      <c r="E4636" s="294" t="s">
        <v>24104</v>
      </c>
      <c r="F4636" s="295" t="str">
        <f>IFERROR(__xludf.DUMMYFUNCTION("IF(B4636="""","""",IFERROR(VLOOKUP(TO_TEXT(B4636),PEDIDOS!D:I,6,0),IFERROR(VLOOKUP(B4636*1,PEDIDOS!D:I,6,0),"" "")))")," ")</f>
        <v> </v>
      </c>
      <c r="G4636" s="305" t="s">
        <v>23926</v>
      </c>
      <c r="H4636" s="304"/>
    </row>
    <row r="4637">
      <c r="A4637" s="302" t="s">
        <v>91</v>
      </c>
      <c r="B4637" s="291" t="s">
        <v>24218</v>
      </c>
      <c r="C4637" s="292" t="s">
        <v>48</v>
      </c>
      <c r="D4637" s="293">
        <f t="shared" si="2"/>
        <v>1</v>
      </c>
      <c r="E4637" s="294" t="s">
        <v>24104</v>
      </c>
      <c r="F4637" s="295" t="str">
        <f>IFERROR(__xludf.DUMMYFUNCTION("IF(B4637="""","""",IFERROR(VLOOKUP(TO_TEXT(B4637),PEDIDOS!D:I,6,0),IFERROR(VLOOKUP(B4637*1,PEDIDOS!D:I,6,0),"" "")))")," ")</f>
        <v> </v>
      </c>
      <c r="G4637" s="305" t="s">
        <v>23926</v>
      </c>
      <c r="H4637" s="304"/>
    </row>
    <row r="4638">
      <c r="A4638" s="302" t="s">
        <v>91</v>
      </c>
      <c r="B4638" s="291" t="s">
        <v>24219</v>
      </c>
      <c r="C4638" s="292" t="s">
        <v>48</v>
      </c>
      <c r="D4638" s="293">
        <f t="shared" si="2"/>
        <v>1</v>
      </c>
      <c r="E4638" s="294" t="s">
        <v>24104</v>
      </c>
      <c r="F4638" s="295" t="str">
        <f>IFERROR(__xludf.DUMMYFUNCTION("IF(B4638="""","""",IFERROR(VLOOKUP(TO_TEXT(B4638),PEDIDOS!D:I,6,0),IFERROR(VLOOKUP(B4638*1,PEDIDOS!D:I,6,0),"" "")))")," ")</f>
        <v> </v>
      </c>
      <c r="G4638" s="305" t="s">
        <v>23926</v>
      </c>
      <c r="H4638" s="304"/>
    </row>
    <row r="4639">
      <c r="A4639" s="302" t="s">
        <v>112</v>
      </c>
      <c r="B4639" s="291" t="s">
        <v>24220</v>
      </c>
      <c r="C4639" s="292" t="s">
        <v>48</v>
      </c>
      <c r="D4639" s="293">
        <f t="shared" si="2"/>
        <v>1</v>
      </c>
      <c r="E4639" s="294" t="s">
        <v>24104</v>
      </c>
      <c r="F4639" s="295" t="str">
        <f>IFERROR(__xludf.DUMMYFUNCTION("IF(B4639="""","""",IFERROR(VLOOKUP(TO_TEXT(B4639),PEDIDOS!D:I,6,0),IFERROR(VLOOKUP(B4639*1,PEDIDOS!D:I,6,0),"" "")))")," ")</f>
        <v> </v>
      </c>
      <c r="G4639" s="305" t="s">
        <v>23926</v>
      </c>
      <c r="H4639" s="304"/>
    </row>
    <row r="4640">
      <c r="A4640" s="302" t="s">
        <v>112</v>
      </c>
      <c r="B4640" s="291" t="s">
        <v>24221</v>
      </c>
      <c r="C4640" s="292" t="s">
        <v>48</v>
      </c>
      <c r="D4640" s="293">
        <f t="shared" si="2"/>
        <v>1</v>
      </c>
      <c r="E4640" s="294" t="s">
        <v>24104</v>
      </c>
      <c r="F4640" s="295" t="str">
        <f>IFERROR(__xludf.DUMMYFUNCTION("IF(B4640="""","""",IFERROR(VLOOKUP(TO_TEXT(B4640),PEDIDOS!D:I,6,0),IFERROR(VLOOKUP(B4640*1,PEDIDOS!D:I,6,0),"" "")))")," ")</f>
        <v> </v>
      </c>
      <c r="G4640" s="305" t="s">
        <v>23926</v>
      </c>
      <c r="H4640" s="304"/>
    </row>
    <row r="4641">
      <c r="A4641" s="302" t="s">
        <v>112</v>
      </c>
      <c r="B4641" s="291" t="s">
        <v>24222</v>
      </c>
      <c r="C4641" s="292" t="s">
        <v>48</v>
      </c>
      <c r="D4641" s="293">
        <f t="shared" si="2"/>
        <v>1</v>
      </c>
      <c r="E4641" s="294" t="s">
        <v>24104</v>
      </c>
      <c r="F4641" s="295" t="str">
        <f>IFERROR(__xludf.DUMMYFUNCTION("IF(B4641="""","""",IFERROR(VLOOKUP(TO_TEXT(B4641),PEDIDOS!D:I,6,0),IFERROR(VLOOKUP(B4641*1,PEDIDOS!D:I,6,0),"" "")))")," ")</f>
        <v> </v>
      </c>
      <c r="G4641" s="305" t="s">
        <v>23926</v>
      </c>
      <c r="H4641" s="304"/>
    </row>
    <row r="4642">
      <c r="A4642" s="302" t="s">
        <v>112</v>
      </c>
      <c r="B4642" s="291" t="s">
        <v>24223</v>
      </c>
      <c r="C4642" s="292" t="s">
        <v>48</v>
      </c>
      <c r="D4642" s="293">
        <f t="shared" si="2"/>
        <v>1</v>
      </c>
      <c r="E4642" s="294" t="s">
        <v>24104</v>
      </c>
      <c r="F4642" s="295" t="str">
        <f>IFERROR(__xludf.DUMMYFUNCTION("IF(B4642="""","""",IFERROR(VLOOKUP(TO_TEXT(B4642),PEDIDOS!D:I,6,0),IFERROR(VLOOKUP(B4642*1,PEDIDOS!D:I,6,0),"" "")))")," ")</f>
        <v> </v>
      </c>
      <c r="G4642" s="305" t="s">
        <v>23926</v>
      </c>
      <c r="H4642" s="304"/>
    </row>
    <row r="4643">
      <c r="A4643" s="302" t="s">
        <v>112</v>
      </c>
      <c r="B4643" s="291" t="s">
        <v>24224</v>
      </c>
      <c r="C4643" s="292" t="s">
        <v>48</v>
      </c>
      <c r="D4643" s="293">
        <f t="shared" si="2"/>
        <v>1</v>
      </c>
      <c r="E4643" s="294" t="s">
        <v>24104</v>
      </c>
      <c r="F4643" s="295" t="str">
        <f>IFERROR(__xludf.DUMMYFUNCTION("IF(B4643="""","""",IFERROR(VLOOKUP(TO_TEXT(B4643),PEDIDOS!D:I,6,0),IFERROR(VLOOKUP(B4643*1,PEDIDOS!D:I,6,0),"" "")))")," ")</f>
        <v> </v>
      </c>
      <c r="G4643" s="305" t="s">
        <v>23926</v>
      </c>
      <c r="H4643" s="304"/>
    </row>
    <row r="4644">
      <c r="A4644" s="302" t="s">
        <v>112</v>
      </c>
      <c r="B4644" s="291" t="s">
        <v>24225</v>
      </c>
      <c r="C4644" s="292" t="s">
        <v>48</v>
      </c>
      <c r="D4644" s="293">
        <f t="shared" si="2"/>
        <v>1</v>
      </c>
      <c r="E4644" s="294" t="s">
        <v>24104</v>
      </c>
      <c r="F4644" s="295" t="str">
        <f>IFERROR(__xludf.DUMMYFUNCTION("IF(B4644="""","""",IFERROR(VLOOKUP(TO_TEXT(B4644),PEDIDOS!D:I,6,0),IFERROR(VLOOKUP(B4644*1,PEDIDOS!D:I,6,0),"" "")))")," ")</f>
        <v> </v>
      </c>
      <c r="G4644" s="305" t="s">
        <v>23926</v>
      </c>
      <c r="H4644" s="304"/>
    </row>
    <row r="4645">
      <c r="A4645" s="302" t="s">
        <v>112</v>
      </c>
      <c r="B4645" s="291" t="s">
        <v>24226</v>
      </c>
      <c r="C4645" s="292" t="s">
        <v>48</v>
      </c>
      <c r="D4645" s="293">
        <f t="shared" si="2"/>
        <v>1</v>
      </c>
      <c r="E4645" s="294" t="s">
        <v>24104</v>
      </c>
      <c r="F4645" s="295" t="str">
        <f>IFERROR(__xludf.DUMMYFUNCTION("IF(B4645="""","""",IFERROR(VLOOKUP(TO_TEXT(B4645),PEDIDOS!D:I,6,0),IFERROR(VLOOKUP(B4645*1,PEDIDOS!D:I,6,0),"" "")))")," ")</f>
        <v> </v>
      </c>
      <c r="G4645" s="305" t="s">
        <v>23926</v>
      </c>
      <c r="H4645" s="304"/>
    </row>
    <row r="4646">
      <c r="A4646" s="302" t="s">
        <v>112</v>
      </c>
      <c r="B4646" s="291" t="s">
        <v>24227</v>
      </c>
      <c r="C4646" s="292" t="s">
        <v>48</v>
      </c>
      <c r="D4646" s="293">
        <f t="shared" si="2"/>
        <v>1</v>
      </c>
      <c r="E4646" s="294" t="s">
        <v>24104</v>
      </c>
      <c r="F4646" s="295" t="str">
        <f>IFERROR(__xludf.DUMMYFUNCTION("IF(B4646="""","""",IFERROR(VLOOKUP(TO_TEXT(B4646),PEDIDOS!D:I,6,0),IFERROR(VLOOKUP(B4646*1,PEDIDOS!D:I,6,0),"" "")))")," ")</f>
        <v> </v>
      </c>
      <c r="G4646" s="305" t="s">
        <v>23926</v>
      </c>
      <c r="H4646" s="304"/>
    </row>
    <row r="4647">
      <c r="A4647" s="302" t="s">
        <v>112</v>
      </c>
      <c r="B4647" s="291" t="s">
        <v>24228</v>
      </c>
      <c r="C4647" s="292" t="s">
        <v>48</v>
      </c>
      <c r="D4647" s="293">
        <f t="shared" si="2"/>
        <v>1</v>
      </c>
      <c r="E4647" s="294" t="s">
        <v>24104</v>
      </c>
      <c r="F4647" s="295" t="str">
        <f>IFERROR(__xludf.DUMMYFUNCTION("IF(B4647="""","""",IFERROR(VLOOKUP(TO_TEXT(B4647),PEDIDOS!D:I,6,0),IFERROR(VLOOKUP(B4647*1,PEDIDOS!D:I,6,0),"" "")))")," ")</f>
        <v> </v>
      </c>
      <c r="G4647" s="305" t="s">
        <v>23926</v>
      </c>
      <c r="H4647" s="304"/>
    </row>
    <row r="4648">
      <c r="A4648" s="302" t="s">
        <v>112</v>
      </c>
      <c r="B4648" s="291" t="s">
        <v>24229</v>
      </c>
      <c r="C4648" s="292" t="s">
        <v>48</v>
      </c>
      <c r="D4648" s="293">
        <f t="shared" si="2"/>
        <v>1</v>
      </c>
      <c r="E4648" s="294" t="s">
        <v>24104</v>
      </c>
      <c r="F4648" s="295" t="str">
        <f>IFERROR(__xludf.DUMMYFUNCTION("IF(B4648="""","""",IFERROR(VLOOKUP(TO_TEXT(B4648),PEDIDOS!D:I,6,0),IFERROR(VLOOKUP(B4648*1,PEDIDOS!D:I,6,0),"" "")))")," ")</f>
        <v> </v>
      </c>
      <c r="G4648" s="305" t="s">
        <v>23926</v>
      </c>
      <c r="H4648" s="304"/>
    </row>
    <row r="4649">
      <c r="A4649" s="302" t="s">
        <v>112</v>
      </c>
      <c r="B4649" s="291" t="s">
        <v>24230</v>
      </c>
      <c r="C4649" s="292" t="s">
        <v>48</v>
      </c>
      <c r="D4649" s="293">
        <f t="shared" si="2"/>
        <v>1</v>
      </c>
      <c r="E4649" s="294" t="s">
        <v>24104</v>
      </c>
      <c r="F4649" s="295" t="str">
        <f>IFERROR(__xludf.DUMMYFUNCTION("IF(B4649="""","""",IFERROR(VLOOKUP(TO_TEXT(B4649),PEDIDOS!D:I,6,0),IFERROR(VLOOKUP(B4649*1,PEDIDOS!D:I,6,0),"" "")))")," ")</f>
        <v> </v>
      </c>
      <c r="G4649" s="305" t="s">
        <v>23926</v>
      </c>
      <c r="H4649" s="304"/>
    </row>
    <row r="4650">
      <c r="A4650" s="302" t="s">
        <v>112</v>
      </c>
      <c r="B4650" s="291" t="s">
        <v>24231</v>
      </c>
      <c r="C4650" s="292" t="s">
        <v>48</v>
      </c>
      <c r="D4650" s="293">
        <f t="shared" si="2"/>
        <v>1</v>
      </c>
      <c r="E4650" s="294" t="s">
        <v>24104</v>
      </c>
      <c r="F4650" s="295" t="str">
        <f>IFERROR(__xludf.DUMMYFUNCTION("IF(B4650="""","""",IFERROR(VLOOKUP(TO_TEXT(B4650),PEDIDOS!D:I,6,0),IFERROR(VLOOKUP(B4650*1,PEDIDOS!D:I,6,0),"" "")))")," ")</f>
        <v> </v>
      </c>
      <c r="G4650" s="305" t="s">
        <v>23926</v>
      </c>
      <c r="H4650" s="304"/>
    </row>
    <row r="4651">
      <c r="A4651" s="302" t="s">
        <v>112</v>
      </c>
      <c r="B4651" s="291" t="s">
        <v>24232</v>
      </c>
      <c r="C4651" s="292" t="s">
        <v>48</v>
      </c>
      <c r="D4651" s="293">
        <f t="shared" si="2"/>
        <v>1</v>
      </c>
      <c r="E4651" s="294" t="s">
        <v>24104</v>
      </c>
      <c r="F4651" s="295" t="str">
        <f>IFERROR(__xludf.DUMMYFUNCTION("IF(B4651="""","""",IFERROR(VLOOKUP(TO_TEXT(B4651),PEDIDOS!D:I,6,0),IFERROR(VLOOKUP(B4651*1,PEDIDOS!D:I,6,0),"" "")))")," ")</f>
        <v> </v>
      </c>
      <c r="G4651" s="305" t="s">
        <v>23926</v>
      </c>
      <c r="H4651" s="304"/>
    </row>
    <row r="4652">
      <c r="A4652" s="302" t="s">
        <v>112</v>
      </c>
      <c r="B4652" s="291" t="s">
        <v>24233</v>
      </c>
      <c r="C4652" s="292" t="s">
        <v>48</v>
      </c>
      <c r="D4652" s="293">
        <f t="shared" si="2"/>
        <v>1</v>
      </c>
      <c r="E4652" s="294" t="s">
        <v>24104</v>
      </c>
      <c r="F4652" s="295" t="str">
        <f>IFERROR(__xludf.DUMMYFUNCTION("IF(B4652="""","""",IFERROR(VLOOKUP(TO_TEXT(B4652),PEDIDOS!D:I,6,0),IFERROR(VLOOKUP(B4652*1,PEDIDOS!D:I,6,0),"" "")))")," ")</f>
        <v> </v>
      </c>
      <c r="G4652" s="305" t="s">
        <v>23926</v>
      </c>
      <c r="H4652" s="304"/>
    </row>
    <row r="4653">
      <c r="A4653" s="302" t="s">
        <v>112</v>
      </c>
      <c r="B4653" s="291" t="s">
        <v>24234</v>
      </c>
      <c r="C4653" s="292" t="s">
        <v>48</v>
      </c>
      <c r="D4653" s="293">
        <f t="shared" si="2"/>
        <v>1</v>
      </c>
      <c r="E4653" s="294" t="s">
        <v>24104</v>
      </c>
      <c r="F4653" s="295" t="str">
        <f>IFERROR(__xludf.DUMMYFUNCTION("IF(B4653="""","""",IFERROR(VLOOKUP(TO_TEXT(B4653),PEDIDOS!D:I,6,0),IFERROR(VLOOKUP(B4653*1,PEDIDOS!D:I,6,0),"" "")))")," ")</f>
        <v> </v>
      </c>
      <c r="G4653" s="305" t="s">
        <v>23926</v>
      </c>
      <c r="H4653" s="304"/>
    </row>
    <row r="4654">
      <c r="A4654" s="302" t="s">
        <v>112</v>
      </c>
      <c r="B4654" s="291" t="s">
        <v>24235</v>
      </c>
      <c r="C4654" s="292" t="s">
        <v>48</v>
      </c>
      <c r="D4654" s="293">
        <f t="shared" si="2"/>
        <v>1</v>
      </c>
      <c r="E4654" s="294" t="s">
        <v>24104</v>
      </c>
      <c r="F4654" s="295" t="str">
        <f>IFERROR(__xludf.DUMMYFUNCTION("IF(B4654="""","""",IFERROR(VLOOKUP(TO_TEXT(B4654),PEDIDOS!D:I,6,0),IFERROR(VLOOKUP(B4654*1,PEDIDOS!D:I,6,0),"" "")))")," ")</f>
        <v> </v>
      </c>
      <c r="G4654" s="305" t="s">
        <v>23926</v>
      </c>
      <c r="H4654" s="304"/>
    </row>
    <row r="4655">
      <c r="A4655" s="302" t="s">
        <v>112</v>
      </c>
      <c r="B4655" s="291" t="s">
        <v>24236</v>
      </c>
      <c r="C4655" s="292" t="s">
        <v>48</v>
      </c>
      <c r="D4655" s="293">
        <f t="shared" si="2"/>
        <v>1</v>
      </c>
      <c r="E4655" s="294" t="s">
        <v>24104</v>
      </c>
      <c r="F4655" s="295" t="str">
        <f>IFERROR(__xludf.DUMMYFUNCTION("IF(B4655="""","""",IFERROR(VLOOKUP(TO_TEXT(B4655),PEDIDOS!D:I,6,0),IFERROR(VLOOKUP(B4655*1,PEDIDOS!D:I,6,0),"" "")))")," ")</f>
        <v> </v>
      </c>
      <c r="G4655" s="305" t="s">
        <v>23926</v>
      </c>
      <c r="H4655" s="304"/>
    </row>
    <row r="4656">
      <c r="A4656" s="302" t="s">
        <v>112</v>
      </c>
      <c r="B4656" s="291" t="s">
        <v>24237</v>
      </c>
      <c r="C4656" s="292" t="s">
        <v>48</v>
      </c>
      <c r="D4656" s="293">
        <f t="shared" si="2"/>
        <v>1</v>
      </c>
      <c r="E4656" s="294" t="s">
        <v>24104</v>
      </c>
      <c r="F4656" s="295" t="str">
        <f>IFERROR(__xludf.DUMMYFUNCTION("IF(B4656="""","""",IFERROR(VLOOKUP(TO_TEXT(B4656),PEDIDOS!D:I,6,0),IFERROR(VLOOKUP(B4656*1,PEDIDOS!D:I,6,0),"" "")))")," ")</f>
        <v> </v>
      </c>
      <c r="G4656" s="305" t="s">
        <v>23926</v>
      </c>
      <c r="H4656" s="304"/>
    </row>
    <row r="4657">
      <c r="A4657" s="302" t="s">
        <v>112</v>
      </c>
      <c r="B4657" s="291" t="s">
        <v>24238</v>
      </c>
      <c r="C4657" s="292" t="s">
        <v>48</v>
      </c>
      <c r="D4657" s="293">
        <f t="shared" si="2"/>
        <v>1</v>
      </c>
      <c r="E4657" s="294" t="s">
        <v>24104</v>
      </c>
      <c r="F4657" s="295" t="str">
        <f>IFERROR(__xludf.DUMMYFUNCTION("IF(B4657="""","""",IFERROR(VLOOKUP(TO_TEXT(B4657),PEDIDOS!D:I,6,0),IFERROR(VLOOKUP(B4657*1,PEDIDOS!D:I,6,0),"" "")))")," ")</f>
        <v> </v>
      </c>
      <c r="G4657" s="305" t="s">
        <v>23926</v>
      </c>
      <c r="H4657" s="304"/>
    </row>
    <row r="4658">
      <c r="A4658" s="302" t="s">
        <v>112</v>
      </c>
      <c r="B4658" s="291" t="s">
        <v>24239</v>
      </c>
      <c r="C4658" s="292" t="s">
        <v>48</v>
      </c>
      <c r="D4658" s="293">
        <f t="shared" si="2"/>
        <v>1</v>
      </c>
      <c r="E4658" s="294" t="s">
        <v>24104</v>
      </c>
      <c r="F4658" s="295" t="str">
        <f>IFERROR(__xludf.DUMMYFUNCTION("IF(B4658="""","""",IFERROR(VLOOKUP(TO_TEXT(B4658),PEDIDOS!D:I,6,0),IFERROR(VLOOKUP(B4658*1,PEDIDOS!D:I,6,0),"" "")))")," ")</f>
        <v> </v>
      </c>
      <c r="G4658" s="305" t="s">
        <v>23926</v>
      </c>
      <c r="H4658" s="304"/>
    </row>
    <row r="4659">
      <c r="A4659" s="302" t="s">
        <v>112</v>
      </c>
      <c r="B4659" s="291" t="s">
        <v>24240</v>
      </c>
      <c r="C4659" s="292" t="s">
        <v>48</v>
      </c>
      <c r="D4659" s="293">
        <f t="shared" si="2"/>
        <v>1</v>
      </c>
      <c r="E4659" s="294" t="s">
        <v>24104</v>
      </c>
      <c r="F4659" s="295" t="str">
        <f>IFERROR(__xludf.DUMMYFUNCTION("IF(B4659="""","""",IFERROR(VLOOKUP(TO_TEXT(B4659),PEDIDOS!D:I,6,0),IFERROR(VLOOKUP(B4659*1,PEDIDOS!D:I,6,0),"" "")))")," ")</f>
        <v> </v>
      </c>
      <c r="G4659" s="305" t="s">
        <v>23926</v>
      </c>
      <c r="H4659" s="304"/>
    </row>
    <row r="4660">
      <c r="A4660" s="302" t="s">
        <v>112</v>
      </c>
      <c r="B4660" s="291" t="s">
        <v>24241</v>
      </c>
      <c r="C4660" s="292" t="s">
        <v>48</v>
      </c>
      <c r="D4660" s="293">
        <f t="shared" si="2"/>
        <v>1</v>
      </c>
      <c r="E4660" s="294" t="s">
        <v>24104</v>
      </c>
      <c r="F4660" s="295" t="str">
        <f>IFERROR(__xludf.DUMMYFUNCTION("IF(B4660="""","""",IFERROR(VLOOKUP(TO_TEXT(B4660),PEDIDOS!D:I,6,0),IFERROR(VLOOKUP(B4660*1,PEDIDOS!D:I,6,0),"" "")))")," ")</f>
        <v> </v>
      </c>
      <c r="G4660" s="305" t="s">
        <v>23926</v>
      </c>
      <c r="H4660" s="304"/>
    </row>
    <row r="4661">
      <c r="A4661" s="302" t="s">
        <v>112</v>
      </c>
      <c r="B4661" s="291" t="s">
        <v>24242</v>
      </c>
      <c r="C4661" s="292" t="s">
        <v>48</v>
      </c>
      <c r="D4661" s="293">
        <f t="shared" si="2"/>
        <v>1</v>
      </c>
      <c r="E4661" s="294" t="s">
        <v>24104</v>
      </c>
      <c r="F4661" s="295" t="str">
        <f>IFERROR(__xludf.DUMMYFUNCTION("IF(B4661="""","""",IFERROR(VLOOKUP(TO_TEXT(B4661),PEDIDOS!D:I,6,0),IFERROR(VLOOKUP(B4661*1,PEDIDOS!D:I,6,0),"" "")))")," ")</f>
        <v> </v>
      </c>
      <c r="G4661" s="305" t="s">
        <v>23926</v>
      </c>
      <c r="H4661" s="304"/>
    </row>
    <row r="4662">
      <c r="A4662" s="302" t="s">
        <v>112</v>
      </c>
      <c r="B4662" s="291" t="s">
        <v>24243</v>
      </c>
      <c r="C4662" s="292" t="s">
        <v>48</v>
      </c>
      <c r="D4662" s="293">
        <f t="shared" si="2"/>
        <v>1</v>
      </c>
      <c r="E4662" s="294" t="s">
        <v>24104</v>
      </c>
      <c r="F4662" s="295" t="str">
        <f>IFERROR(__xludf.DUMMYFUNCTION("IF(B4662="""","""",IFERROR(VLOOKUP(TO_TEXT(B4662),PEDIDOS!D:I,6,0),IFERROR(VLOOKUP(B4662*1,PEDIDOS!D:I,6,0),"" "")))")," ")</f>
        <v> </v>
      </c>
      <c r="G4662" s="305" t="s">
        <v>23926</v>
      </c>
      <c r="H4662" s="304"/>
    </row>
    <row r="4663">
      <c r="A4663" s="302" t="s">
        <v>112</v>
      </c>
      <c r="B4663" s="291" t="s">
        <v>24244</v>
      </c>
      <c r="C4663" s="292" t="s">
        <v>48</v>
      </c>
      <c r="D4663" s="293">
        <f t="shared" si="2"/>
        <v>1</v>
      </c>
      <c r="E4663" s="294" t="s">
        <v>24104</v>
      </c>
      <c r="F4663" s="295" t="str">
        <f>IFERROR(__xludf.DUMMYFUNCTION("IF(B4663="""","""",IFERROR(VLOOKUP(TO_TEXT(B4663),PEDIDOS!D:I,6,0),IFERROR(VLOOKUP(B4663*1,PEDIDOS!D:I,6,0),"" "")))")," ")</f>
        <v> </v>
      </c>
      <c r="G4663" s="305" t="s">
        <v>23926</v>
      </c>
      <c r="H4663" s="304"/>
    </row>
    <row r="4664">
      <c r="A4664" s="302" t="s">
        <v>47</v>
      </c>
      <c r="B4664" s="291" t="s">
        <v>24245</v>
      </c>
      <c r="C4664" s="292" t="s">
        <v>48</v>
      </c>
      <c r="D4664" s="293">
        <f t="shared" si="2"/>
        <v>1</v>
      </c>
      <c r="E4664" s="294" t="s">
        <v>24104</v>
      </c>
      <c r="F4664" s="295" t="str">
        <f>IFERROR(__xludf.DUMMYFUNCTION("IF(B4664="""","""",IFERROR(VLOOKUP(TO_TEXT(B4664),PEDIDOS!D:I,6,0),IFERROR(VLOOKUP(B4664*1,PEDIDOS!D:I,6,0),"" "")))")," ")</f>
        <v> </v>
      </c>
      <c r="G4664" s="305" t="s">
        <v>23926</v>
      </c>
      <c r="H4664" s="304"/>
    </row>
    <row r="4665">
      <c r="A4665" s="302" t="s">
        <v>47</v>
      </c>
      <c r="B4665" s="291" t="s">
        <v>24246</v>
      </c>
      <c r="C4665" s="292" t="s">
        <v>48</v>
      </c>
      <c r="D4665" s="293">
        <f t="shared" si="2"/>
        <v>1</v>
      </c>
      <c r="E4665" s="294" t="s">
        <v>24104</v>
      </c>
      <c r="F4665" s="295" t="str">
        <f>IFERROR(__xludf.DUMMYFUNCTION("IF(B4665="""","""",IFERROR(VLOOKUP(TO_TEXT(B4665),PEDIDOS!D:I,6,0),IFERROR(VLOOKUP(B4665*1,PEDIDOS!D:I,6,0),"" "")))")," ")</f>
        <v> </v>
      </c>
      <c r="G4665" s="305" t="s">
        <v>23926</v>
      </c>
      <c r="H4665" s="304"/>
    </row>
    <row r="4666">
      <c r="A4666" s="302" t="s">
        <v>47</v>
      </c>
      <c r="B4666" s="291" t="s">
        <v>24247</v>
      </c>
      <c r="C4666" s="292" t="s">
        <v>48</v>
      </c>
      <c r="D4666" s="293">
        <f t="shared" si="2"/>
        <v>1</v>
      </c>
      <c r="E4666" s="294" t="s">
        <v>24104</v>
      </c>
      <c r="F4666" s="295" t="str">
        <f>IFERROR(__xludf.DUMMYFUNCTION("IF(B4666="""","""",IFERROR(VLOOKUP(TO_TEXT(B4666),PEDIDOS!D:I,6,0),IFERROR(VLOOKUP(B4666*1,PEDIDOS!D:I,6,0),"" "")))")," ")</f>
        <v> </v>
      </c>
      <c r="G4666" s="305" t="s">
        <v>23926</v>
      </c>
      <c r="H4666" s="304"/>
    </row>
    <row r="4667">
      <c r="A4667" s="302" t="s">
        <v>47</v>
      </c>
      <c r="B4667" s="291" t="s">
        <v>24248</v>
      </c>
      <c r="C4667" s="292" t="s">
        <v>48</v>
      </c>
      <c r="D4667" s="293">
        <f t="shared" si="2"/>
        <v>1</v>
      </c>
      <c r="E4667" s="294" t="s">
        <v>24104</v>
      </c>
      <c r="F4667" s="295" t="str">
        <f>IFERROR(__xludf.DUMMYFUNCTION("IF(B4667="""","""",IFERROR(VLOOKUP(TO_TEXT(B4667),PEDIDOS!D:I,6,0),IFERROR(VLOOKUP(B4667*1,PEDIDOS!D:I,6,0),"" "")))")," ")</f>
        <v> </v>
      </c>
      <c r="G4667" s="305" t="s">
        <v>23926</v>
      </c>
      <c r="H4667" s="304"/>
    </row>
    <row r="4668">
      <c r="A4668" s="302" t="s">
        <v>47</v>
      </c>
      <c r="B4668" s="291" t="s">
        <v>24249</v>
      </c>
      <c r="C4668" s="292" t="s">
        <v>48</v>
      </c>
      <c r="D4668" s="293">
        <f t="shared" si="2"/>
        <v>1</v>
      </c>
      <c r="E4668" s="294" t="s">
        <v>24104</v>
      </c>
      <c r="F4668" s="295" t="str">
        <f>IFERROR(__xludf.DUMMYFUNCTION("IF(B4668="""","""",IFERROR(VLOOKUP(TO_TEXT(B4668),PEDIDOS!D:I,6,0),IFERROR(VLOOKUP(B4668*1,PEDIDOS!D:I,6,0),"" "")))")," ")</f>
        <v> </v>
      </c>
      <c r="G4668" s="305" t="s">
        <v>23926</v>
      </c>
      <c r="H4668" s="304"/>
    </row>
    <row r="4669">
      <c r="A4669" s="302" t="s">
        <v>47</v>
      </c>
      <c r="B4669" s="291" t="s">
        <v>24250</v>
      </c>
      <c r="C4669" s="292" t="s">
        <v>48</v>
      </c>
      <c r="D4669" s="293">
        <f t="shared" si="2"/>
        <v>1</v>
      </c>
      <c r="E4669" s="294" t="s">
        <v>24104</v>
      </c>
      <c r="F4669" s="295" t="str">
        <f>IFERROR(__xludf.DUMMYFUNCTION("IF(B4669="""","""",IFERROR(VLOOKUP(TO_TEXT(B4669),PEDIDOS!D:I,6,0),IFERROR(VLOOKUP(B4669*1,PEDIDOS!D:I,6,0),"" "")))")," ")</f>
        <v> </v>
      </c>
      <c r="G4669" s="305" t="s">
        <v>23926</v>
      </c>
      <c r="H4669" s="304"/>
    </row>
    <row r="4670">
      <c r="A4670" s="302" t="s">
        <v>47</v>
      </c>
      <c r="B4670" s="291" t="s">
        <v>24251</v>
      </c>
      <c r="C4670" s="292" t="s">
        <v>48</v>
      </c>
      <c r="D4670" s="293">
        <f t="shared" si="2"/>
        <v>1</v>
      </c>
      <c r="E4670" s="294" t="s">
        <v>24104</v>
      </c>
      <c r="F4670" s="295" t="str">
        <f>IFERROR(__xludf.DUMMYFUNCTION("IF(B4670="""","""",IFERROR(VLOOKUP(TO_TEXT(B4670),PEDIDOS!D:I,6,0),IFERROR(VLOOKUP(B4670*1,PEDIDOS!D:I,6,0),"" "")))")," ")</f>
        <v> </v>
      </c>
      <c r="G4670" s="305" t="s">
        <v>23926</v>
      </c>
      <c r="H4670" s="304"/>
    </row>
    <row r="4671">
      <c r="A4671" s="302" t="s">
        <v>47</v>
      </c>
      <c r="B4671" s="291" t="s">
        <v>24252</v>
      </c>
      <c r="C4671" s="292" t="s">
        <v>48</v>
      </c>
      <c r="D4671" s="293">
        <f t="shared" si="2"/>
        <v>1</v>
      </c>
      <c r="E4671" s="294" t="s">
        <v>24104</v>
      </c>
      <c r="F4671" s="295" t="str">
        <f>IFERROR(__xludf.DUMMYFUNCTION("IF(B4671="""","""",IFERROR(VLOOKUP(TO_TEXT(B4671),PEDIDOS!D:I,6,0),IFERROR(VLOOKUP(B4671*1,PEDIDOS!D:I,6,0),"" "")))")," ")</f>
        <v> </v>
      </c>
      <c r="G4671" s="305" t="s">
        <v>23926</v>
      </c>
      <c r="H4671" s="304"/>
    </row>
    <row r="4672">
      <c r="A4672" s="302" t="s">
        <v>47</v>
      </c>
      <c r="B4672" s="291" t="s">
        <v>24253</v>
      </c>
      <c r="C4672" s="292" t="s">
        <v>48</v>
      </c>
      <c r="D4672" s="293">
        <f t="shared" si="2"/>
        <v>1</v>
      </c>
      <c r="E4672" s="294" t="s">
        <v>24104</v>
      </c>
      <c r="F4672" s="295" t="str">
        <f>IFERROR(__xludf.DUMMYFUNCTION("IF(B4672="""","""",IFERROR(VLOOKUP(TO_TEXT(B4672),PEDIDOS!D:I,6,0),IFERROR(VLOOKUP(B4672*1,PEDIDOS!D:I,6,0),"" "")))")," ")</f>
        <v> </v>
      </c>
      <c r="G4672" s="305" t="s">
        <v>23926</v>
      </c>
      <c r="H4672" s="304"/>
    </row>
    <row r="4673">
      <c r="A4673" s="302" t="s">
        <v>47</v>
      </c>
      <c r="B4673" s="291" t="s">
        <v>24254</v>
      </c>
      <c r="C4673" s="292" t="s">
        <v>48</v>
      </c>
      <c r="D4673" s="293">
        <f t="shared" si="2"/>
        <v>1</v>
      </c>
      <c r="E4673" s="294" t="s">
        <v>24104</v>
      </c>
      <c r="F4673" s="295" t="str">
        <f>IFERROR(__xludf.DUMMYFUNCTION("IF(B4673="""","""",IFERROR(VLOOKUP(TO_TEXT(B4673),PEDIDOS!D:I,6,0),IFERROR(VLOOKUP(B4673*1,PEDIDOS!D:I,6,0),"" "")))")," ")</f>
        <v> </v>
      </c>
      <c r="G4673" s="305" t="s">
        <v>23926</v>
      </c>
      <c r="H4673" s="304"/>
    </row>
    <row r="4674">
      <c r="A4674" s="302" t="s">
        <v>47</v>
      </c>
      <c r="B4674" s="291" t="s">
        <v>24255</v>
      </c>
      <c r="C4674" s="292" t="s">
        <v>48</v>
      </c>
      <c r="D4674" s="293">
        <f t="shared" si="2"/>
        <v>1</v>
      </c>
      <c r="E4674" s="294" t="s">
        <v>24104</v>
      </c>
      <c r="F4674" s="295" t="str">
        <f>IFERROR(__xludf.DUMMYFUNCTION("IF(B4674="""","""",IFERROR(VLOOKUP(TO_TEXT(B4674),PEDIDOS!D:I,6,0),IFERROR(VLOOKUP(B4674*1,PEDIDOS!D:I,6,0),"" "")))")," ")</f>
        <v> </v>
      </c>
      <c r="G4674" s="305" t="s">
        <v>23926</v>
      </c>
      <c r="H4674" s="304"/>
    </row>
    <row r="4675">
      <c r="A4675" s="302" t="s">
        <v>47</v>
      </c>
      <c r="B4675" s="291" t="s">
        <v>24256</v>
      </c>
      <c r="C4675" s="292" t="s">
        <v>48</v>
      </c>
      <c r="D4675" s="293">
        <f t="shared" si="2"/>
        <v>1</v>
      </c>
      <c r="E4675" s="294" t="s">
        <v>24104</v>
      </c>
      <c r="F4675" s="295" t="str">
        <f>IFERROR(__xludf.DUMMYFUNCTION("IF(B4675="""","""",IFERROR(VLOOKUP(TO_TEXT(B4675),PEDIDOS!D:I,6,0),IFERROR(VLOOKUP(B4675*1,PEDIDOS!D:I,6,0),"" "")))")," ")</f>
        <v> </v>
      </c>
      <c r="G4675" s="305" t="s">
        <v>23926</v>
      </c>
      <c r="H4675" s="304"/>
    </row>
    <row r="4676">
      <c r="A4676" s="302" t="s">
        <v>47</v>
      </c>
      <c r="B4676" s="291" t="s">
        <v>24257</v>
      </c>
      <c r="C4676" s="292" t="s">
        <v>48</v>
      </c>
      <c r="D4676" s="293">
        <f t="shared" si="2"/>
        <v>1</v>
      </c>
      <c r="E4676" s="294" t="s">
        <v>24104</v>
      </c>
      <c r="F4676" s="295" t="str">
        <f>IFERROR(__xludf.DUMMYFUNCTION("IF(B4676="""","""",IFERROR(VLOOKUP(TO_TEXT(B4676),PEDIDOS!D:I,6,0),IFERROR(VLOOKUP(B4676*1,PEDIDOS!D:I,6,0),"" "")))")," ")</f>
        <v> </v>
      </c>
      <c r="G4676" s="305" t="s">
        <v>23926</v>
      </c>
      <c r="H4676" s="304"/>
    </row>
    <row r="4677">
      <c r="A4677" s="302" t="s">
        <v>47</v>
      </c>
      <c r="B4677" s="291" t="s">
        <v>24258</v>
      </c>
      <c r="C4677" s="292" t="s">
        <v>48</v>
      </c>
      <c r="D4677" s="293">
        <f t="shared" si="2"/>
        <v>1</v>
      </c>
      <c r="E4677" s="294" t="s">
        <v>24104</v>
      </c>
      <c r="F4677" s="295" t="str">
        <f>IFERROR(__xludf.DUMMYFUNCTION("IF(B4677="""","""",IFERROR(VLOOKUP(TO_TEXT(B4677),PEDIDOS!D:I,6,0),IFERROR(VLOOKUP(B4677*1,PEDIDOS!D:I,6,0),"" "")))")," ")</f>
        <v> </v>
      </c>
      <c r="G4677" s="305" t="s">
        <v>23926</v>
      </c>
      <c r="H4677" s="304"/>
    </row>
    <row r="4678">
      <c r="A4678" s="302" t="s">
        <v>47</v>
      </c>
      <c r="B4678" s="291" t="s">
        <v>24259</v>
      </c>
      <c r="C4678" s="292" t="s">
        <v>48</v>
      </c>
      <c r="D4678" s="293">
        <f t="shared" si="2"/>
        <v>1</v>
      </c>
      <c r="E4678" s="294" t="s">
        <v>24104</v>
      </c>
      <c r="F4678" s="295" t="str">
        <f>IFERROR(__xludf.DUMMYFUNCTION("IF(B4678="""","""",IFERROR(VLOOKUP(TO_TEXT(B4678),PEDIDOS!D:I,6,0),IFERROR(VLOOKUP(B4678*1,PEDIDOS!D:I,6,0),"" "")))")," ")</f>
        <v> </v>
      </c>
      <c r="G4678" s="305" t="s">
        <v>23926</v>
      </c>
      <c r="H4678" s="304"/>
    </row>
    <row r="4679">
      <c r="A4679" s="302" t="s">
        <v>47</v>
      </c>
      <c r="B4679" s="291" t="s">
        <v>24260</v>
      </c>
      <c r="C4679" s="292" t="s">
        <v>48</v>
      </c>
      <c r="D4679" s="293">
        <f t="shared" si="2"/>
        <v>1</v>
      </c>
      <c r="E4679" s="294" t="s">
        <v>24104</v>
      </c>
      <c r="F4679" s="295" t="str">
        <f>IFERROR(__xludf.DUMMYFUNCTION("IF(B4679="""","""",IFERROR(VLOOKUP(TO_TEXT(B4679),PEDIDOS!D:I,6,0),IFERROR(VLOOKUP(B4679*1,PEDIDOS!D:I,6,0),"" "")))")," ")</f>
        <v> </v>
      </c>
      <c r="G4679" s="305" t="s">
        <v>23926</v>
      </c>
      <c r="H4679" s="304"/>
    </row>
    <row r="4680">
      <c r="A4680" s="302" t="s">
        <v>47</v>
      </c>
      <c r="B4680" s="291" t="s">
        <v>24261</v>
      </c>
      <c r="C4680" s="292" t="s">
        <v>48</v>
      </c>
      <c r="D4680" s="293">
        <f t="shared" si="2"/>
        <v>1</v>
      </c>
      <c r="E4680" s="294" t="s">
        <v>24104</v>
      </c>
      <c r="F4680" s="295" t="str">
        <f>IFERROR(__xludf.DUMMYFUNCTION("IF(B4680="""","""",IFERROR(VLOOKUP(TO_TEXT(B4680),PEDIDOS!D:I,6,0),IFERROR(VLOOKUP(B4680*1,PEDIDOS!D:I,6,0),"" "")))")," ")</f>
        <v> </v>
      </c>
      <c r="G4680" s="305" t="s">
        <v>23926</v>
      </c>
      <c r="H4680" s="304"/>
    </row>
    <row r="4681">
      <c r="A4681" s="302" t="s">
        <v>47</v>
      </c>
      <c r="B4681" s="291" t="s">
        <v>24262</v>
      </c>
      <c r="C4681" s="292" t="s">
        <v>48</v>
      </c>
      <c r="D4681" s="293">
        <f t="shared" si="2"/>
        <v>1</v>
      </c>
      <c r="E4681" s="294" t="s">
        <v>24104</v>
      </c>
      <c r="F4681" s="295" t="str">
        <f>IFERROR(__xludf.DUMMYFUNCTION("IF(B4681="""","""",IFERROR(VLOOKUP(TO_TEXT(B4681),PEDIDOS!D:I,6,0),IFERROR(VLOOKUP(B4681*1,PEDIDOS!D:I,6,0),"" "")))")," ")</f>
        <v> </v>
      </c>
      <c r="G4681" s="305" t="s">
        <v>23926</v>
      </c>
      <c r="H4681" s="304"/>
    </row>
    <row r="4682">
      <c r="A4682" s="302" t="s">
        <v>47</v>
      </c>
      <c r="B4682" s="291" t="s">
        <v>24263</v>
      </c>
      <c r="C4682" s="292" t="s">
        <v>48</v>
      </c>
      <c r="D4682" s="293">
        <f t="shared" si="2"/>
        <v>1</v>
      </c>
      <c r="E4682" s="294" t="s">
        <v>24104</v>
      </c>
      <c r="F4682" s="295" t="str">
        <f>IFERROR(__xludf.DUMMYFUNCTION("IF(B4682="""","""",IFERROR(VLOOKUP(TO_TEXT(B4682),PEDIDOS!D:I,6,0),IFERROR(VLOOKUP(B4682*1,PEDIDOS!D:I,6,0),"" "")))")," ")</f>
        <v> </v>
      </c>
      <c r="G4682" s="305" t="s">
        <v>23926</v>
      </c>
      <c r="H4682" s="304"/>
    </row>
    <row r="4683">
      <c r="A4683" s="302" t="s">
        <v>47</v>
      </c>
      <c r="B4683" s="291" t="s">
        <v>24264</v>
      </c>
      <c r="C4683" s="292" t="s">
        <v>48</v>
      </c>
      <c r="D4683" s="293">
        <f t="shared" si="2"/>
        <v>1</v>
      </c>
      <c r="E4683" s="294" t="s">
        <v>24104</v>
      </c>
      <c r="F4683" s="295" t="str">
        <f>IFERROR(__xludf.DUMMYFUNCTION("IF(B4683="""","""",IFERROR(VLOOKUP(TO_TEXT(B4683),PEDIDOS!D:I,6,0),IFERROR(VLOOKUP(B4683*1,PEDIDOS!D:I,6,0),"" "")))")," ")</f>
        <v> </v>
      </c>
      <c r="G4683" s="305" t="s">
        <v>23926</v>
      </c>
      <c r="H4683" s="304"/>
    </row>
    <row r="4684">
      <c r="A4684" s="302" t="s">
        <v>4430</v>
      </c>
      <c r="B4684" s="291" t="s">
        <v>24265</v>
      </c>
      <c r="C4684" s="292" t="s">
        <v>48</v>
      </c>
      <c r="D4684" s="293">
        <f t="shared" si="2"/>
        <v>1</v>
      </c>
      <c r="E4684" s="294" t="s">
        <v>24104</v>
      </c>
      <c r="F4684" s="295" t="str">
        <f>IFERROR(__xludf.DUMMYFUNCTION("IF(B4684="""","""",IFERROR(VLOOKUP(TO_TEXT(B4684),PEDIDOS!D:I,6,0),IFERROR(VLOOKUP(B4684*1,PEDIDOS!D:I,6,0),"" "")))")," ")</f>
        <v> </v>
      </c>
      <c r="G4684" s="305" t="s">
        <v>23926</v>
      </c>
      <c r="H4684" s="304"/>
    </row>
    <row r="4685">
      <c r="A4685" s="302" t="s">
        <v>4430</v>
      </c>
      <c r="B4685" s="291" t="s">
        <v>24266</v>
      </c>
      <c r="C4685" s="292" t="s">
        <v>48</v>
      </c>
      <c r="D4685" s="293">
        <f t="shared" si="2"/>
        <v>1</v>
      </c>
      <c r="E4685" s="294" t="s">
        <v>24104</v>
      </c>
      <c r="F4685" s="295" t="str">
        <f>IFERROR(__xludf.DUMMYFUNCTION("IF(B4685="""","""",IFERROR(VLOOKUP(TO_TEXT(B4685),PEDIDOS!D:I,6,0),IFERROR(VLOOKUP(B4685*1,PEDIDOS!D:I,6,0),"" "")))")," ")</f>
        <v> </v>
      </c>
      <c r="G4685" s="305" t="s">
        <v>23926</v>
      </c>
      <c r="H4685" s="304"/>
    </row>
    <row r="4686">
      <c r="A4686" s="302" t="s">
        <v>4430</v>
      </c>
      <c r="B4686" s="291" t="s">
        <v>24267</v>
      </c>
      <c r="C4686" s="292" t="s">
        <v>48</v>
      </c>
      <c r="D4686" s="293">
        <f t="shared" si="2"/>
        <v>1</v>
      </c>
      <c r="E4686" s="294" t="s">
        <v>24104</v>
      </c>
      <c r="F4686" s="295" t="str">
        <f>IFERROR(__xludf.DUMMYFUNCTION("IF(B4686="""","""",IFERROR(VLOOKUP(TO_TEXT(B4686),PEDIDOS!D:I,6,0),IFERROR(VLOOKUP(B4686*1,PEDIDOS!D:I,6,0),"" "")))")," ")</f>
        <v> </v>
      </c>
      <c r="G4686" s="305" t="s">
        <v>23926</v>
      </c>
      <c r="H4686" s="304"/>
    </row>
    <row r="4687">
      <c r="A4687" s="302" t="s">
        <v>4430</v>
      </c>
      <c r="B4687" s="291" t="s">
        <v>24268</v>
      </c>
      <c r="C4687" s="292" t="s">
        <v>48</v>
      </c>
      <c r="D4687" s="293">
        <f t="shared" si="2"/>
        <v>1</v>
      </c>
      <c r="E4687" s="294" t="s">
        <v>24104</v>
      </c>
      <c r="F4687" s="295" t="str">
        <f>IFERROR(__xludf.DUMMYFUNCTION("IF(B4687="""","""",IFERROR(VLOOKUP(TO_TEXT(B4687),PEDIDOS!D:I,6,0),IFERROR(VLOOKUP(B4687*1,PEDIDOS!D:I,6,0),"" "")))")," ")</f>
        <v> </v>
      </c>
      <c r="G4687" s="305" t="s">
        <v>23926</v>
      </c>
      <c r="H4687" s="304"/>
    </row>
    <row r="4688">
      <c r="A4688" s="302" t="s">
        <v>4430</v>
      </c>
      <c r="B4688" s="291" t="s">
        <v>24269</v>
      </c>
      <c r="C4688" s="292" t="s">
        <v>48</v>
      </c>
      <c r="D4688" s="293">
        <f t="shared" si="2"/>
        <v>1</v>
      </c>
      <c r="E4688" s="294" t="s">
        <v>24104</v>
      </c>
      <c r="F4688" s="295" t="str">
        <f>IFERROR(__xludf.DUMMYFUNCTION("IF(B4688="""","""",IFERROR(VLOOKUP(TO_TEXT(B4688),PEDIDOS!D:I,6,0),IFERROR(VLOOKUP(B4688*1,PEDIDOS!D:I,6,0),"" "")))")," ")</f>
        <v> </v>
      </c>
      <c r="G4688" s="305" t="s">
        <v>23926</v>
      </c>
      <c r="H4688" s="304"/>
    </row>
    <row r="4689">
      <c r="A4689" s="302" t="s">
        <v>4430</v>
      </c>
      <c r="B4689" s="291" t="s">
        <v>24270</v>
      </c>
      <c r="C4689" s="292" t="s">
        <v>48</v>
      </c>
      <c r="D4689" s="293">
        <f t="shared" si="2"/>
        <v>1</v>
      </c>
      <c r="E4689" s="294" t="s">
        <v>24104</v>
      </c>
      <c r="F4689" s="295" t="str">
        <f>IFERROR(__xludf.DUMMYFUNCTION("IF(B4689="""","""",IFERROR(VLOOKUP(TO_TEXT(B4689),PEDIDOS!D:I,6,0),IFERROR(VLOOKUP(B4689*1,PEDIDOS!D:I,6,0),"" "")))")," ")</f>
        <v> </v>
      </c>
      <c r="G4689" s="305" t="s">
        <v>23926</v>
      </c>
      <c r="H4689" s="304"/>
    </row>
    <row r="4690">
      <c r="A4690" s="302" t="s">
        <v>4430</v>
      </c>
      <c r="B4690" s="291" t="s">
        <v>24271</v>
      </c>
      <c r="C4690" s="292" t="s">
        <v>48</v>
      </c>
      <c r="D4690" s="293">
        <f t="shared" si="2"/>
        <v>1</v>
      </c>
      <c r="E4690" s="294" t="s">
        <v>24104</v>
      </c>
      <c r="F4690" s="295" t="str">
        <f>IFERROR(__xludf.DUMMYFUNCTION("IF(B4690="""","""",IFERROR(VLOOKUP(TO_TEXT(B4690),PEDIDOS!D:I,6,0),IFERROR(VLOOKUP(B4690*1,PEDIDOS!D:I,6,0),"" "")))")," ")</f>
        <v> </v>
      </c>
      <c r="G4690" s="305" t="s">
        <v>23926</v>
      </c>
      <c r="H4690" s="304"/>
    </row>
    <row r="4691">
      <c r="A4691" s="302" t="s">
        <v>4430</v>
      </c>
      <c r="B4691" s="291" t="s">
        <v>24272</v>
      </c>
      <c r="C4691" s="292" t="s">
        <v>48</v>
      </c>
      <c r="D4691" s="293">
        <f t="shared" si="2"/>
        <v>1</v>
      </c>
      <c r="E4691" s="294" t="s">
        <v>24104</v>
      </c>
      <c r="F4691" s="295" t="str">
        <f>IFERROR(__xludf.DUMMYFUNCTION("IF(B4691="""","""",IFERROR(VLOOKUP(TO_TEXT(B4691),PEDIDOS!D:I,6,0),IFERROR(VLOOKUP(B4691*1,PEDIDOS!D:I,6,0),"" "")))")," ")</f>
        <v> </v>
      </c>
      <c r="G4691" s="305" t="s">
        <v>23926</v>
      </c>
      <c r="H4691" s="304"/>
    </row>
    <row r="4692">
      <c r="A4692" s="302" t="s">
        <v>4430</v>
      </c>
      <c r="B4692" s="291" t="s">
        <v>24273</v>
      </c>
      <c r="C4692" s="292" t="s">
        <v>48</v>
      </c>
      <c r="D4692" s="293">
        <f t="shared" si="2"/>
        <v>1</v>
      </c>
      <c r="E4692" s="294" t="s">
        <v>24104</v>
      </c>
      <c r="F4692" s="295" t="str">
        <f>IFERROR(__xludf.DUMMYFUNCTION("IF(B4692="""","""",IFERROR(VLOOKUP(TO_TEXT(B4692),PEDIDOS!D:I,6,0),IFERROR(VLOOKUP(B4692*1,PEDIDOS!D:I,6,0),"" "")))")," ")</f>
        <v> </v>
      </c>
      <c r="G4692" s="305" t="s">
        <v>23926</v>
      </c>
      <c r="H4692" s="304"/>
    </row>
    <row r="4693">
      <c r="A4693" s="302" t="s">
        <v>4430</v>
      </c>
      <c r="B4693" s="291" t="s">
        <v>24274</v>
      </c>
      <c r="C4693" s="292" t="s">
        <v>48</v>
      </c>
      <c r="D4693" s="293">
        <f t="shared" si="2"/>
        <v>1</v>
      </c>
      <c r="E4693" s="294" t="s">
        <v>24104</v>
      </c>
      <c r="F4693" s="295" t="str">
        <f>IFERROR(__xludf.DUMMYFUNCTION("IF(B4693="""","""",IFERROR(VLOOKUP(TO_TEXT(B4693),PEDIDOS!D:I,6,0),IFERROR(VLOOKUP(B4693*1,PEDIDOS!D:I,6,0),"" "")))")," ")</f>
        <v> </v>
      </c>
      <c r="G4693" s="305" t="s">
        <v>23926</v>
      </c>
      <c r="H4693" s="304"/>
    </row>
    <row r="4694">
      <c r="A4694" s="302" t="s">
        <v>4430</v>
      </c>
      <c r="B4694" s="291" t="s">
        <v>24275</v>
      </c>
      <c r="C4694" s="292" t="s">
        <v>48</v>
      </c>
      <c r="D4694" s="293">
        <f t="shared" si="2"/>
        <v>1</v>
      </c>
      <c r="E4694" s="294" t="s">
        <v>24104</v>
      </c>
      <c r="F4694" s="295" t="str">
        <f>IFERROR(__xludf.DUMMYFUNCTION("IF(B4694="""","""",IFERROR(VLOOKUP(TO_TEXT(B4694),PEDIDOS!D:I,6,0),IFERROR(VLOOKUP(B4694*1,PEDIDOS!D:I,6,0),"" "")))")," ")</f>
        <v> </v>
      </c>
      <c r="G4694" s="305" t="s">
        <v>23926</v>
      </c>
      <c r="H4694" s="304"/>
    </row>
    <row r="4695">
      <c r="A4695" s="302" t="s">
        <v>4430</v>
      </c>
      <c r="B4695" s="291" t="s">
        <v>24276</v>
      </c>
      <c r="C4695" s="292" t="s">
        <v>48</v>
      </c>
      <c r="D4695" s="293">
        <f t="shared" si="2"/>
        <v>1</v>
      </c>
      <c r="E4695" s="294" t="s">
        <v>24104</v>
      </c>
      <c r="F4695" s="295" t="str">
        <f>IFERROR(__xludf.DUMMYFUNCTION("IF(B4695="""","""",IFERROR(VLOOKUP(TO_TEXT(B4695),PEDIDOS!D:I,6,0),IFERROR(VLOOKUP(B4695*1,PEDIDOS!D:I,6,0),"" "")))")," ")</f>
        <v> </v>
      </c>
      <c r="G4695" s="305" t="s">
        <v>23926</v>
      </c>
      <c r="H4695" s="304"/>
    </row>
    <row r="4696">
      <c r="A4696" s="302" t="s">
        <v>4430</v>
      </c>
      <c r="B4696" s="291" t="s">
        <v>24277</v>
      </c>
      <c r="C4696" s="292" t="s">
        <v>48</v>
      </c>
      <c r="D4696" s="293">
        <f t="shared" si="2"/>
        <v>1</v>
      </c>
      <c r="E4696" s="294" t="s">
        <v>24104</v>
      </c>
      <c r="F4696" s="295" t="str">
        <f>IFERROR(__xludf.DUMMYFUNCTION("IF(B4696="""","""",IFERROR(VLOOKUP(TO_TEXT(B4696),PEDIDOS!D:I,6,0),IFERROR(VLOOKUP(B4696*1,PEDIDOS!D:I,6,0),"" "")))")," ")</f>
        <v> </v>
      </c>
      <c r="G4696" s="305" t="s">
        <v>23926</v>
      </c>
      <c r="H4696" s="304"/>
    </row>
    <row r="4697">
      <c r="A4697" s="302" t="s">
        <v>4430</v>
      </c>
      <c r="B4697" s="291" t="s">
        <v>24278</v>
      </c>
      <c r="C4697" s="292" t="s">
        <v>48</v>
      </c>
      <c r="D4697" s="293">
        <f t="shared" si="2"/>
        <v>1</v>
      </c>
      <c r="E4697" s="294" t="s">
        <v>24104</v>
      </c>
      <c r="F4697" s="295" t="str">
        <f>IFERROR(__xludf.DUMMYFUNCTION("IF(B4697="""","""",IFERROR(VLOOKUP(TO_TEXT(B4697),PEDIDOS!D:I,6,0),IFERROR(VLOOKUP(B4697*1,PEDIDOS!D:I,6,0),"" "")))")," ")</f>
        <v> </v>
      </c>
      <c r="G4697" s="305" t="s">
        <v>23926</v>
      </c>
      <c r="H4697" s="304"/>
    </row>
    <row r="4698">
      <c r="A4698" s="302" t="s">
        <v>4430</v>
      </c>
      <c r="B4698" s="291" t="s">
        <v>24279</v>
      </c>
      <c r="C4698" s="292" t="s">
        <v>48</v>
      </c>
      <c r="D4698" s="293">
        <f t="shared" si="2"/>
        <v>1</v>
      </c>
      <c r="E4698" s="294" t="s">
        <v>24104</v>
      </c>
      <c r="F4698" s="295" t="str">
        <f>IFERROR(__xludf.DUMMYFUNCTION("IF(B4698="""","""",IFERROR(VLOOKUP(TO_TEXT(B4698),PEDIDOS!D:I,6,0),IFERROR(VLOOKUP(B4698*1,PEDIDOS!D:I,6,0),"" "")))")," ")</f>
        <v> </v>
      </c>
      <c r="G4698" s="305" t="s">
        <v>23926</v>
      </c>
      <c r="H4698" s="304"/>
    </row>
    <row r="4699">
      <c r="A4699" s="302" t="s">
        <v>3395</v>
      </c>
      <c r="B4699" s="291" t="s">
        <v>24280</v>
      </c>
      <c r="C4699" s="292" t="s">
        <v>48</v>
      </c>
      <c r="D4699" s="293">
        <f t="shared" si="2"/>
        <v>1</v>
      </c>
      <c r="E4699" s="294" t="s">
        <v>24281</v>
      </c>
      <c r="F4699" s="295" t="str">
        <f>IFERROR(__xludf.DUMMYFUNCTION("IF(B4699="""","""",IFERROR(VLOOKUP(TO_TEXT(B4699),PEDIDOS!D:I,6,0),IFERROR(VLOOKUP(B4699*1,PEDIDOS!D:I,6,0),"" "")))")," ")</f>
        <v> </v>
      </c>
      <c r="G4699" s="305" t="s">
        <v>23926</v>
      </c>
      <c r="H4699" s="304"/>
    </row>
    <row r="4700">
      <c r="A4700" s="302" t="s">
        <v>3395</v>
      </c>
      <c r="B4700" s="291" t="s">
        <v>24282</v>
      </c>
      <c r="C4700" s="292" t="s">
        <v>48</v>
      </c>
      <c r="D4700" s="293">
        <f t="shared" si="2"/>
        <v>1</v>
      </c>
      <c r="E4700" s="294" t="s">
        <v>24281</v>
      </c>
      <c r="F4700" s="295" t="str">
        <f>IFERROR(__xludf.DUMMYFUNCTION("IF(B4700="""","""",IFERROR(VLOOKUP(TO_TEXT(B4700),PEDIDOS!D:I,6,0),IFERROR(VLOOKUP(B4700*1,PEDIDOS!D:I,6,0),"" "")))")," ")</f>
        <v> </v>
      </c>
      <c r="G4700" s="305" t="s">
        <v>23926</v>
      </c>
      <c r="H4700" s="304"/>
    </row>
    <row r="4701">
      <c r="A4701" s="302" t="s">
        <v>3395</v>
      </c>
      <c r="B4701" s="291" t="s">
        <v>24283</v>
      </c>
      <c r="C4701" s="292" t="s">
        <v>48</v>
      </c>
      <c r="D4701" s="293">
        <f t="shared" si="2"/>
        <v>1</v>
      </c>
      <c r="E4701" s="294" t="s">
        <v>24281</v>
      </c>
      <c r="F4701" s="295" t="str">
        <f>IFERROR(__xludf.DUMMYFUNCTION("IF(B4701="""","""",IFERROR(VLOOKUP(TO_TEXT(B4701),PEDIDOS!D:I,6,0),IFERROR(VLOOKUP(B4701*1,PEDIDOS!D:I,6,0),"" "")))")," ")</f>
        <v> </v>
      </c>
      <c r="G4701" s="305" t="s">
        <v>23926</v>
      </c>
      <c r="H4701" s="304"/>
    </row>
    <row r="4702">
      <c r="A4702" s="302" t="s">
        <v>3395</v>
      </c>
      <c r="B4702" s="291" t="s">
        <v>24284</v>
      </c>
      <c r="C4702" s="292" t="s">
        <v>48</v>
      </c>
      <c r="D4702" s="293">
        <f t="shared" si="2"/>
        <v>1</v>
      </c>
      <c r="E4702" s="294" t="s">
        <v>24281</v>
      </c>
      <c r="F4702" s="295" t="str">
        <f>IFERROR(__xludf.DUMMYFUNCTION("IF(B4702="""","""",IFERROR(VLOOKUP(TO_TEXT(B4702),PEDIDOS!D:I,6,0),IFERROR(VLOOKUP(B4702*1,PEDIDOS!D:I,6,0),"" "")))")," ")</f>
        <v> </v>
      </c>
      <c r="G4702" s="305" t="s">
        <v>23926</v>
      </c>
      <c r="H4702" s="304"/>
    </row>
    <row r="4703">
      <c r="A4703" s="302" t="s">
        <v>3395</v>
      </c>
      <c r="B4703" s="291" t="s">
        <v>24285</v>
      </c>
      <c r="C4703" s="292" t="s">
        <v>48</v>
      </c>
      <c r="D4703" s="293">
        <f t="shared" si="2"/>
        <v>1</v>
      </c>
      <c r="E4703" s="294" t="s">
        <v>24281</v>
      </c>
      <c r="F4703" s="295" t="str">
        <f>IFERROR(__xludf.DUMMYFUNCTION("IF(B4703="""","""",IFERROR(VLOOKUP(TO_TEXT(B4703),PEDIDOS!D:I,6,0),IFERROR(VLOOKUP(B4703*1,PEDIDOS!D:I,6,0),"" "")))")," ")</f>
        <v> </v>
      </c>
      <c r="G4703" s="305" t="s">
        <v>23926</v>
      </c>
      <c r="H4703" s="304"/>
    </row>
    <row r="4704">
      <c r="A4704" s="302" t="s">
        <v>3395</v>
      </c>
      <c r="B4704" s="291" t="s">
        <v>24286</v>
      </c>
      <c r="C4704" s="292" t="s">
        <v>48</v>
      </c>
      <c r="D4704" s="293">
        <f t="shared" si="2"/>
        <v>1</v>
      </c>
      <c r="E4704" s="294" t="s">
        <v>24281</v>
      </c>
      <c r="F4704" s="295" t="str">
        <f>IFERROR(__xludf.DUMMYFUNCTION("IF(B4704="""","""",IFERROR(VLOOKUP(TO_TEXT(B4704),PEDIDOS!D:I,6,0),IFERROR(VLOOKUP(B4704*1,PEDIDOS!D:I,6,0),"" "")))")," ")</f>
        <v> </v>
      </c>
      <c r="G4704" s="305" t="s">
        <v>23926</v>
      </c>
      <c r="H4704" s="304"/>
    </row>
    <row r="4705">
      <c r="A4705" s="302" t="s">
        <v>3395</v>
      </c>
      <c r="B4705" s="291" t="s">
        <v>24287</v>
      </c>
      <c r="C4705" s="292" t="s">
        <v>48</v>
      </c>
      <c r="D4705" s="293">
        <f t="shared" si="2"/>
        <v>1</v>
      </c>
      <c r="E4705" s="294" t="s">
        <v>24281</v>
      </c>
      <c r="F4705" s="295" t="str">
        <f>IFERROR(__xludf.DUMMYFUNCTION("IF(B4705="""","""",IFERROR(VLOOKUP(TO_TEXT(B4705),PEDIDOS!D:I,6,0),IFERROR(VLOOKUP(B4705*1,PEDIDOS!D:I,6,0),"" "")))")," ")</f>
        <v> </v>
      </c>
      <c r="G4705" s="305" t="s">
        <v>23926</v>
      </c>
      <c r="H4705" s="304"/>
    </row>
    <row r="4706">
      <c r="A4706" s="302" t="s">
        <v>3395</v>
      </c>
      <c r="B4706" s="291" t="s">
        <v>24288</v>
      </c>
      <c r="C4706" s="292" t="s">
        <v>48</v>
      </c>
      <c r="D4706" s="293">
        <f t="shared" si="2"/>
        <v>1</v>
      </c>
      <c r="E4706" s="294" t="s">
        <v>24281</v>
      </c>
      <c r="F4706" s="295" t="str">
        <f>IFERROR(__xludf.DUMMYFUNCTION("IF(B4706="""","""",IFERROR(VLOOKUP(TO_TEXT(B4706),PEDIDOS!D:I,6,0),IFERROR(VLOOKUP(B4706*1,PEDIDOS!D:I,6,0),"" "")))")," ")</f>
        <v> </v>
      </c>
      <c r="G4706" s="305" t="s">
        <v>23926</v>
      </c>
      <c r="H4706" s="304"/>
    </row>
    <row r="4707">
      <c r="A4707" s="302" t="s">
        <v>3395</v>
      </c>
      <c r="B4707" s="291" t="s">
        <v>24289</v>
      </c>
      <c r="C4707" s="292" t="s">
        <v>48</v>
      </c>
      <c r="D4707" s="293">
        <f t="shared" si="2"/>
        <v>1</v>
      </c>
      <c r="E4707" s="294" t="s">
        <v>24281</v>
      </c>
      <c r="F4707" s="295" t="str">
        <f>IFERROR(__xludf.DUMMYFUNCTION("IF(B4707="""","""",IFERROR(VLOOKUP(TO_TEXT(B4707),PEDIDOS!D:I,6,0),IFERROR(VLOOKUP(B4707*1,PEDIDOS!D:I,6,0),"" "")))")," ")</f>
        <v> </v>
      </c>
      <c r="G4707" s="305" t="s">
        <v>23926</v>
      </c>
      <c r="H4707" s="304"/>
    </row>
    <row r="4708">
      <c r="A4708" s="302" t="s">
        <v>3395</v>
      </c>
      <c r="B4708" s="291" t="s">
        <v>24290</v>
      </c>
      <c r="C4708" s="292" t="s">
        <v>48</v>
      </c>
      <c r="D4708" s="293">
        <f t="shared" si="2"/>
        <v>1</v>
      </c>
      <c r="E4708" s="294" t="s">
        <v>24281</v>
      </c>
      <c r="F4708" s="295" t="str">
        <f>IFERROR(__xludf.DUMMYFUNCTION("IF(B4708="""","""",IFERROR(VLOOKUP(TO_TEXT(B4708),PEDIDOS!D:I,6,0),IFERROR(VLOOKUP(B4708*1,PEDIDOS!D:I,6,0),"" "")))")," ")</f>
        <v> </v>
      </c>
      <c r="G4708" s="305" t="s">
        <v>23926</v>
      </c>
      <c r="H4708" s="304"/>
    </row>
    <row r="4709">
      <c r="A4709" s="302" t="s">
        <v>3395</v>
      </c>
      <c r="B4709" s="291" t="s">
        <v>24291</v>
      </c>
      <c r="C4709" s="292" t="s">
        <v>48</v>
      </c>
      <c r="D4709" s="293">
        <f t="shared" si="2"/>
        <v>1</v>
      </c>
      <c r="E4709" s="294" t="s">
        <v>24281</v>
      </c>
      <c r="F4709" s="295" t="str">
        <f>IFERROR(__xludf.DUMMYFUNCTION("IF(B4709="""","""",IFERROR(VLOOKUP(TO_TEXT(B4709),PEDIDOS!D:I,6,0),IFERROR(VLOOKUP(B4709*1,PEDIDOS!D:I,6,0),"" "")))")," ")</f>
        <v> </v>
      </c>
      <c r="G4709" s="305" t="s">
        <v>23926</v>
      </c>
      <c r="H4709" s="304"/>
    </row>
    <row r="4710">
      <c r="A4710" s="302" t="s">
        <v>3395</v>
      </c>
      <c r="B4710" s="291" t="s">
        <v>24292</v>
      </c>
      <c r="C4710" s="292" t="s">
        <v>48</v>
      </c>
      <c r="D4710" s="293">
        <f t="shared" si="2"/>
        <v>1</v>
      </c>
      <c r="E4710" s="294" t="s">
        <v>24281</v>
      </c>
      <c r="F4710" s="295" t="str">
        <f>IFERROR(__xludf.DUMMYFUNCTION("IF(B4710="""","""",IFERROR(VLOOKUP(TO_TEXT(B4710),PEDIDOS!D:I,6,0),IFERROR(VLOOKUP(B4710*1,PEDIDOS!D:I,6,0),"" "")))")," ")</f>
        <v> </v>
      </c>
      <c r="G4710" s="305" t="s">
        <v>23926</v>
      </c>
      <c r="H4710" s="304"/>
    </row>
    <row r="4711">
      <c r="A4711" s="302" t="s">
        <v>3395</v>
      </c>
      <c r="B4711" s="291" t="s">
        <v>24293</v>
      </c>
      <c r="C4711" s="292" t="s">
        <v>48</v>
      </c>
      <c r="D4711" s="293">
        <f t="shared" si="2"/>
        <v>1</v>
      </c>
      <c r="E4711" s="294" t="s">
        <v>24281</v>
      </c>
      <c r="F4711" s="295" t="str">
        <f>IFERROR(__xludf.DUMMYFUNCTION("IF(B4711="""","""",IFERROR(VLOOKUP(TO_TEXT(B4711),PEDIDOS!D:I,6,0),IFERROR(VLOOKUP(B4711*1,PEDIDOS!D:I,6,0),"" "")))")," ")</f>
        <v> </v>
      </c>
      <c r="G4711" s="305" t="s">
        <v>23926</v>
      </c>
      <c r="H4711" s="304"/>
    </row>
    <row r="4712">
      <c r="A4712" s="302" t="s">
        <v>3395</v>
      </c>
      <c r="B4712" s="291" t="s">
        <v>24294</v>
      </c>
      <c r="C4712" s="292" t="s">
        <v>48</v>
      </c>
      <c r="D4712" s="293">
        <f t="shared" si="2"/>
        <v>1</v>
      </c>
      <c r="E4712" s="294" t="s">
        <v>24281</v>
      </c>
      <c r="F4712" s="295" t="str">
        <f>IFERROR(__xludf.DUMMYFUNCTION("IF(B4712="""","""",IFERROR(VLOOKUP(TO_TEXT(B4712),PEDIDOS!D:I,6,0),IFERROR(VLOOKUP(B4712*1,PEDIDOS!D:I,6,0),"" "")))")," ")</f>
        <v> </v>
      </c>
      <c r="G4712" s="305" t="s">
        <v>23926</v>
      </c>
      <c r="H4712" s="304"/>
    </row>
    <row r="4713">
      <c r="A4713" s="302" t="s">
        <v>3395</v>
      </c>
      <c r="B4713" s="291" t="s">
        <v>24295</v>
      </c>
      <c r="C4713" s="292" t="s">
        <v>48</v>
      </c>
      <c r="D4713" s="293">
        <f t="shared" si="2"/>
        <v>1</v>
      </c>
      <c r="E4713" s="294" t="s">
        <v>24281</v>
      </c>
      <c r="F4713" s="295" t="str">
        <f>IFERROR(__xludf.DUMMYFUNCTION("IF(B4713="""","""",IFERROR(VLOOKUP(TO_TEXT(B4713),PEDIDOS!D:I,6,0),IFERROR(VLOOKUP(B4713*1,PEDIDOS!D:I,6,0),"" "")))")," ")</f>
        <v> </v>
      </c>
      <c r="G4713" s="305" t="s">
        <v>23926</v>
      </c>
      <c r="H4713" s="304"/>
    </row>
    <row r="4714">
      <c r="A4714" s="302" t="s">
        <v>3395</v>
      </c>
      <c r="B4714" s="291" t="s">
        <v>24296</v>
      </c>
      <c r="C4714" s="292" t="s">
        <v>48</v>
      </c>
      <c r="D4714" s="293">
        <f t="shared" si="2"/>
        <v>1</v>
      </c>
      <c r="E4714" s="294" t="s">
        <v>24281</v>
      </c>
      <c r="F4714" s="295" t="str">
        <f>IFERROR(__xludf.DUMMYFUNCTION("IF(B4714="""","""",IFERROR(VLOOKUP(TO_TEXT(B4714),PEDIDOS!D:I,6,0),IFERROR(VLOOKUP(B4714*1,PEDIDOS!D:I,6,0),"" "")))")," ")</f>
        <v> </v>
      </c>
      <c r="G4714" s="305" t="s">
        <v>23926</v>
      </c>
      <c r="H4714" s="304"/>
    </row>
    <row r="4715">
      <c r="A4715" s="302" t="s">
        <v>3395</v>
      </c>
      <c r="B4715" s="291" t="s">
        <v>24297</v>
      </c>
      <c r="C4715" s="292" t="s">
        <v>48</v>
      </c>
      <c r="D4715" s="293">
        <f t="shared" si="2"/>
        <v>1</v>
      </c>
      <c r="E4715" s="294" t="s">
        <v>24281</v>
      </c>
      <c r="F4715" s="295" t="str">
        <f>IFERROR(__xludf.DUMMYFUNCTION("IF(B4715="""","""",IFERROR(VLOOKUP(TO_TEXT(B4715),PEDIDOS!D:I,6,0),IFERROR(VLOOKUP(B4715*1,PEDIDOS!D:I,6,0),"" "")))")," ")</f>
        <v> </v>
      </c>
      <c r="G4715" s="305" t="s">
        <v>23926</v>
      </c>
      <c r="H4715" s="304"/>
    </row>
    <row r="4716">
      <c r="A4716" s="302" t="s">
        <v>3395</v>
      </c>
      <c r="B4716" s="291" t="s">
        <v>24298</v>
      </c>
      <c r="C4716" s="292" t="s">
        <v>48</v>
      </c>
      <c r="D4716" s="293">
        <f t="shared" si="2"/>
        <v>1</v>
      </c>
      <c r="E4716" s="294" t="s">
        <v>24281</v>
      </c>
      <c r="F4716" s="295" t="str">
        <f>IFERROR(__xludf.DUMMYFUNCTION("IF(B4716="""","""",IFERROR(VLOOKUP(TO_TEXT(B4716),PEDIDOS!D:I,6,0),IFERROR(VLOOKUP(B4716*1,PEDIDOS!D:I,6,0),"" "")))")," ")</f>
        <v> </v>
      </c>
      <c r="G4716" s="305" t="s">
        <v>23926</v>
      </c>
      <c r="H4716" s="304"/>
    </row>
    <row r="4717">
      <c r="A4717" s="302" t="s">
        <v>3395</v>
      </c>
      <c r="B4717" s="291" t="s">
        <v>24299</v>
      </c>
      <c r="C4717" s="292" t="s">
        <v>48</v>
      </c>
      <c r="D4717" s="293">
        <f t="shared" si="2"/>
        <v>1</v>
      </c>
      <c r="E4717" s="294" t="s">
        <v>24281</v>
      </c>
      <c r="F4717" s="295" t="str">
        <f>IFERROR(__xludf.DUMMYFUNCTION("IF(B4717="""","""",IFERROR(VLOOKUP(TO_TEXT(B4717),PEDIDOS!D:I,6,0),IFERROR(VLOOKUP(B4717*1,PEDIDOS!D:I,6,0),"" "")))")," ")</f>
        <v> </v>
      </c>
      <c r="G4717" s="305" t="s">
        <v>23926</v>
      </c>
      <c r="H4717" s="304"/>
    </row>
    <row r="4718">
      <c r="A4718" s="302" t="s">
        <v>3395</v>
      </c>
      <c r="B4718" s="291" t="s">
        <v>24300</v>
      </c>
      <c r="C4718" s="292" t="s">
        <v>48</v>
      </c>
      <c r="D4718" s="293">
        <f t="shared" si="2"/>
        <v>1</v>
      </c>
      <c r="E4718" s="294" t="s">
        <v>24281</v>
      </c>
      <c r="F4718" s="295" t="str">
        <f>IFERROR(__xludf.DUMMYFUNCTION("IF(B4718="""","""",IFERROR(VLOOKUP(TO_TEXT(B4718),PEDIDOS!D:I,6,0),IFERROR(VLOOKUP(B4718*1,PEDIDOS!D:I,6,0),"" "")))")," ")</f>
        <v> </v>
      </c>
      <c r="G4718" s="305" t="s">
        <v>23926</v>
      </c>
      <c r="H4718" s="304"/>
    </row>
    <row r="4719">
      <c r="A4719" s="302" t="s">
        <v>3441</v>
      </c>
      <c r="B4719" s="291" t="s">
        <v>24301</v>
      </c>
      <c r="C4719" s="292" t="s">
        <v>48</v>
      </c>
      <c r="D4719" s="293">
        <f t="shared" si="2"/>
        <v>1</v>
      </c>
      <c r="E4719" s="294" t="s">
        <v>24281</v>
      </c>
      <c r="F4719" s="295" t="str">
        <f>IFERROR(__xludf.DUMMYFUNCTION("IF(B4719="""","""",IFERROR(VLOOKUP(TO_TEXT(B4719),PEDIDOS!D:I,6,0),IFERROR(VLOOKUP(B4719*1,PEDIDOS!D:I,6,0),"" "")))")," ")</f>
        <v> </v>
      </c>
      <c r="G4719" s="305" t="s">
        <v>23926</v>
      </c>
      <c r="H4719" s="304"/>
    </row>
    <row r="4720">
      <c r="A4720" s="302" t="s">
        <v>3441</v>
      </c>
      <c r="B4720" s="291" t="s">
        <v>24302</v>
      </c>
      <c r="C4720" s="292" t="s">
        <v>48</v>
      </c>
      <c r="D4720" s="293">
        <f t="shared" si="2"/>
        <v>1</v>
      </c>
      <c r="E4720" s="294" t="s">
        <v>24281</v>
      </c>
      <c r="F4720" s="295" t="str">
        <f>IFERROR(__xludf.DUMMYFUNCTION("IF(B4720="""","""",IFERROR(VLOOKUP(TO_TEXT(B4720),PEDIDOS!D:I,6,0),IFERROR(VLOOKUP(B4720*1,PEDIDOS!D:I,6,0),"" "")))")," ")</f>
        <v> </v>
      </c>
      <c r="G4720" s="305" t="s">
        <v>23926</v>
      </c>
      <c r="H4720" s="304"/>
    </row>
    <row r="4721">
      <c r="A4721" s="302" t="s">
        <v>3441</v>
      </c>
      <c r="B4721" s="291" t="s">
        <v>24303</v>
      </c>
      <c r="C4721" s="292" t="s">
        <v>48</v>
      </c>
      <c r="D4721" s="293">
        <f t="shared" si="2"/>
        <v>1</v>
      </c>
      <c r="E4721" s="294" t="s">
        <v>24281</v>
      </c>
      <c r="F4721" s="295" t="str">
        <f>IFERROR(__xludf.DUMMYFUNCTION("IF(B4721="""","""",IFERROR(VLOOKUP(TO_TEXT(B4721),PEDIDOS!D:I,6,0),IFERROR(VLOOKUP(B4721*1,PEDIDOS!D:I,6,0),"" "")))")," ")</f>
        <v> </v>
      </c>
      <c r="G4721" s="305" t="s">
        <v>23926</v>
      </c>
      <c r="H4721" s="304"/>
    </row>
    <row r="4722">
      <c r="A4722" s="302" t="s">
        <v>3441</v>
      </c>
      <c r="B4722" s="291" t="s">
        <v>24304</v>
      </c>
      <c r="C4722" s="292" t="s">
        <v>48</v>
      </c>
      <c r="D4722" s="293">
        <f t="shared" si="2"/>
        <v>1</v>
      </c>
      <c r="E4722" s="294" t="s">
        <v>24281</v>
      </c>
      <c r="F4722" s="295" t="str">
        <f>IFERROR(__xludf.DUMMYFUNCTION("IF(B4722="""","""",IFERROR(VLOOKUP(TO_TEXT(B4722),PEDIDOS!D:I,6,0),IFERROR(VLOOKUP(B4722*1,PEDIDOS!D:I,6,0),"" "")))")," ")</f>
        <v> </v>
      </c>
      <c r="G4722" s="305" t="s">
        <v>23926</v>
      </c>
      <c r="H4722" s="304"/>
    </row>
    <row r="4723">
      <c r="A4723" s="302" t="s">
        <v>3441</v>
      </c>
      <c r="B4723" s="291" t="s">
        <v>24305</v>
      </c>
      <c r="C4723" s="292" t="s">
        <v>48</v>
      </c>
      <c r="D4723" s="293">
        <f t="shared" si="2"/>
        <v>1</v>
      </c>
      <c r="E4723" s="294" t="s">
        <v>24281</v>
      </c>
      <c r="F4723" s="295" t="str">
        <f>IFERROR(__xludf.DUMMYFUNCTION("IF(B4723="""","""",IFERROR(VLOOKUP(TO_TEXT(B4723),PEDIDOS!D:I,6,0),IFERROR(VLOOKUP(B4723*1,PEDIDOS!D:I,6,0),"" "")))")," ")</f>
        <v> </v>
      </c>
      <c r="G4723" s="305" t="s">
        <v>23926</v>
      </c>
      <c r="H4723" s="304"/>
    </row>
    <row r="4724">
      <c r="A4724" s="302" t="s">
        <v>3441</v>
      </c>
      <c r="B4724" s="291" t="s">
        <v>24306</v>
      </c>
      <c r="C4724" s="292" t="s">
        <v>48</v>
      </c>
      <c r="D4724" s="293">
        <f t="shared" si="2"/>
        <v>1</v>
      </c>
      <c r="E4724" s="294" t="s">
        <v>24281</v>
      </c>
      <c r="F4724" s="295" t="str">
        <f>IFERROR(__xludf.DUMMYFUNCTION("IF(B4724="""","""",IFERROR(VLOOKUP(TO_TEXT(B4724),PEDIDOS!D:I,6,0),IFERROR(VLOOKUP(B4724*1,PEDIDOS!D:I,6,0),"" "")))")," ")</f>
        <v> </v>
      </c>
      <c r="G4724" s="305" t="s">
        <v>23926</v>
      </c>
      <c r="H4724" s="304"/>
    </row>
    <row r="4725">
      <c r="A4725" s="302" t="s">
        <v>3441</v>
      </c>
      <c r="B4725" s="291" t="s">
        <v>24307</v>
      </c>
      <c r="C4725" s="292" t="s">
        <v>48</v>
      </c>
      <c r="D4725" s="293">
        <f t="shared" si="2"/>
        <v>1</v>
      </c>
      <c r="E4725" s="294" t="s">
        <v>24281</v>
      </c>
      <c r="F4725" s="295" t="str">
        <f>IFERROR(__xludf.DUMMYFUNCTION("IF(B4725="""","""",IFERROR(VLOOKUP(TO_TEXT(B4725),PEDIDOS!D:I,6,0),IFERROR(VLOOKUP(B4725*1,PEDIDOS!D:I,6,0),"" "")))")," ")</f>
        <v> </v>
      </c>
      <c r="G4725" s="305" t="s">
        <v>23926</v>
      </c>
      <c r="H4725" s="304"/>
    </row>
    <row r="4726">
      <c r="A4726" s="302" t="s">
        <v>3441</v>
      </c>
      <c r="B4726" s="291" t="s">
        <v>24308</v>
      </c>
      <c r="C4726" s="292" t="s">
        <v>48</v>
      </c>
      <c r="D4726" s="293">
        <f t="shared" si="2"/>
        <v>1</v>
      </c>
      <c r="E4726" s="294" t="s">
        <v>24281</v>
      </c>
      <c r="F4726" s="295" t="str">
        <f>IFERROR(__xludf.DUMMYFUNCTION("IF(B4726="""","""",IFERROR(VLOOKUP(TO_TEXT(B4726),PEDIDOS!D:I,6,0),IFERROR(VLOOKUP(B4726*1,PEDIDOS!D:I,6,0),"" "")))")," ")</f>
        <v> </v>
      </c>
      <c r="G4726" s="305" t="s">
        <v>23926</v>
      </c>
      <c r="H4726" s="304"/>
    </row>
    <row r="4727">
      <c r="A4727" s="302" t="s">
        <v>3441</v>
      </c>
      <c r="B4727" s="291" t="s">
        <v>24309</v>
      </c>
      <c r="C4727" s="292" t="s">
        <v>48</v>
      </c>
      <c r="D4727" s="293">
        <f t="shared" si="2"/>
        <v>1</v>
      </c>
      <c r="E4727" s="294" t="s">
        <v>24281</v>
      </c>
      <c r="F4727" s="295" t="str">
        <f>IFERROR(__xludf.DUMMYFUNCTION("IF(B4727="""","""",IFERROR(VLOOKUP(TO_TEXT(B4727),PEDIDOS!D:I,6,0),IFERROR(VLOOKUP(B4727*1,PEDIDOS!D:I,6,0),"" "")))")," ")</f>
        <v> </v>
      </c>
      <c r="G4727" s="305" t="s">
        <v>23926</v>
      </c>
      <c r="H4727" s="304"/>
    </row>
    <row r="4728">
      <c r="A4728" s="302" t="s">
        <v>3441</v>
      </c>
      <c r="B4728" s="291" t="s">
        <v>24310</v>
      </c>
      <c r="C4728" s="292" t="s">
        <v>48</v>
      </c>
      <c r="D4728" s="293">
        <f t="shared" si="2"/>
        <v>1</v>
      </c>
      <c r="E4728" s="294" t="s">
        <v>24281</v>
      </c>
      <c r="F4728" s="295" t="str">
        <f>IFERROR(__xludf.DUMMYFUNCTION("IF(B4728="""","""",IFERROR(VLOOKUP(TO_TEXT(B4728),PEDIDOS!D:I,6,0),IFERROR(VLOOKUP(B4728*1,PEDIDOS!D:I,6,0),"" "")))")," ")</f>
        <v> </v>
      </c>
      <c r="G4728" s="305" t="s">
        <v>23926</v>
      </c>
      <c r="H4728" s="304"/>
    </row>
    <row r="4729">
      <c r="A4729" s="302" t="s">
        <v>3441</v>
      </c>
      <c r="B4729" s="291" t="s">
        <v>24311</v>
      </c>
      <c r="C4729" s="292" t="s">
        <v>48</v>
      </c>
      <c r="D4729" s="293">
        <f t="shared" si="2"/>
        <v>1</v>
      </c>
      <c r="E4729" s="294" t="s">
        <v>24281</v>
      </c>
      <c r="F4729" s="295" t="str">
        <f>IFERROR(__xludf.DUMMYFUNCTION("IF(B4729="""","""",IFERROR(VLOOKUP(TO_TEXT(B4729),PEDIDOS!D:I,6,0),IFERROR(VLOOKUP(B4729*1,PEDIDOS!D:I,6,0),"" "")))")," ")</f>
        <v> </v>
      </c>
      <c r="G4729" s="305" t="s">
        <v>23926</v>
      </c>
      <c r="H4729" s="304"/>
    </row>
    <row r="4730">
      <c r="A4730" s="302" t="s">
        <v>3441</v>
      </c>
      <c r="B4730" s="291" t="s">
        <v>24312</v>
      </c>
      <c r="C4730" s="292" t="s">
        <v>48</v>
      </c>
      <c r="D4730" s="293">
        <f t="shared" si="2"/>
        <v>1</v>
      </c>
      <c r="E4730" s="294" t="s">
        <v>24281</v>
      </c>
      <c r="F4730" s="295" t="str">
        <f>IFERROR(__xludf.DUMMYFUNCTION("IF(B4730="""","""",IFERROR(VLOOKUP(TO_TEXT(B4730),PEDIDOS!D:I,6,0),IFERROR(VLOOKUP(B4730*1,PEDIDOS!D:I,6,0),"" "")))")," ")</f>
        <v> </v>
      </c>
      <c r="G4730" s="305" t="s">
        <v>23926</v>
      </c>
      <c r="H4730" s="304"/>
    </row>
    <row r="4731">
      <c r="A4731" s="302" t="s">
        <v>3441</v>
      </c>
      <c r="B4731" s="291" t="s">
        <v>24313</v>
      </c>
      <c r="C4731" s="292" t="s">
        <v>48</v>
      </c>
      <c r="D4731" s="293">
        <f t="shared" si="2"/>
        <v>1</v>
      </c>
      <c r="E4731" s="294" t="s">
        <v>24281</v>
      </c>
      <c r="F4731" s="295" t="str">
        <f>IFERROR(__xludf.DUMMYFUNCTION("IF(B4731="""","""",IFERROR(VLOOKUP(TO_TEXT(B4731),PEDIDOS!D:I,6,0),IFERROR(VLOOKUP(B4731*1,PEDIDOS!D:I,6,0),"" "")))")," ")</f>
        <v> </v>
      </c>
      <c r="G4731" s="305" t="s">
        <v>23926</v>
      </c>
      <c r="H4731" s="304"/>
    </row>
    <row r="4732">
      <c r="A4732" s="302" t="s">
        <v>3441</v>
      </c>
      <c r="B4732" s="291" t="s">
        <v>24314</v>
      </c>
      <c r="C4732" s="292" t="s">
        <v>48</v>
      </c>
      <c r="D4732" s="293">
        <f t="shared" si="2"/>
        <v>1</v>
      </c>
      <c r="E4732" s="294" t="s">
        <v>24281</v>
      </c>
      <c r="F4732" s="295" t="str">
        <f>IFERROR(__xludf.DUMMYFUNCTION("IF(B4732="""","""",IFERROR(VLOOKUP(TO_TEXT(B4732),PEDIDOS!D:I,6,0),IFERROR(VLOOKUP(B4732*1,PEDIDOS!D:I,6,0),"" "")))")," ")</f>
        <v> </v>
      </c>
      <c r="G4732" s="305" t="s">
        <v>23926</v>
      </c>
      <c r="H4732" s="304"/>
    </row>
    <row r="4733">
      <c r="A4733" s="302" t="s">
        <v>3441</v>
      </c>
      <c r="B4733" s="291" t="s">
        <v>24315</v>
      </c>
      <c r="C4733" s="292" t="s">
        <v>48</v>
      </c>
      <c r="D4733" s="293">
        <f t="shared" si="2"/>
        <v>1</v>
      </c>
      <c r="E4733" s="294" t="s">
        <v>24281</v>
      </c>
      <c r="F4733" s="295" t="str">
        <f>IFERROR(__xludf.DUMMYFUNCTION("IF(B4733="""","""",IFERROR(VLOOKUP(TO_TEXT(B4733),PEDIDOS!D:I,6,0),IFERROR(VLOOKUP(B4733*1,PEDIDOS!D:I,6,0),"" "")))")," ")</f>
        <v> </v>
      </c>
      <c r="G4733" s="305" t="s">
        <v>23926</v>
      </c>
      <c r="H4733" s="304"/>
    </row>
    <row r="4734">
      <c r="A4734" s="302" t="s">
        <v>3441</v>
      </c>
      <c r="B4734" s="291" t="s">
        <v>24316</v>
      </c>
      <c r="C4734" s="292" t="s">
        <v>48</v>
      </c>
      <c r="D4734" s="293">
        <f t="shared" si="2"/>
        <v>1</v>
      </c>
      <c r="E4734" s="294" t="s">
        <v>24281</v>
      </c>
      <c r="F4734" s="295" t="str">
        <f>IFERROR(__xludf.DUMMYFUNCTION("IF(B4734="""","""",IFERROR(VLOOKUP(TO_TEXT(B4734),PEDIDOS!D:I,6,0),IFERROR(VLOOKUP(B4734*1,PEDIDOS!D:I,6,0),"" "")))")," ")</f>
        <v> </v>
      </c>
      <c r="G4734" s="305" t="s">
        <v>23926</v>
      </c>
      <c r="H4734" s="304"/>
    </row>
    <row r="4735">
      <c r="A4735" s="302" t="s">
        <v>3441</v>
      </c>
      <c r="B4735" s="291" t="s">
        <v>24317</v>
      </c>
      <c r="C4735" s="292" t="s">
        <v>48</v>
      </c>
      <c r="D4735" s="293">
        <f t="shared" si="2"/>
        <v>1</v>
      </c>
      <c r="E4735" s="294" t="s">
        <v>24281</v>
      </c>
      <c r="F4735" s="295" t="str">
        <f>IFERROR(__xludf.DUMMYFUNCTION("IF(B4735="""","""",IFERROR(VLOOKUP(TO_TEXT(B4735),PEDIDOS!D:I,6,0),IFERROR(VLOOKUP(B4735*1,PEDIDOS!D:I,6,0),"" "")))")," ")</f>
        <v> </v>
      </c>
      <c r="G4735" s="305" t="s">
        <v>23926</v>
      </c>
      <c r="H4735" s="304"/>
    </row>
    <row r="4736">
      <c r="A4736" s="302" t="s">
        <v>3441</v>
      </c>
      <c r="B4736" s="291" t="s">
        <v>24318</v>
      </c>
      <c r="C4736" s="292" t="s">
        <v>48</v>
      </c>
      <c r="D4736" s="293">
        <f t="shared" si="2"/>
        <v>1</v>
      </c>
      <c r="E4736" s="294" t="s">
        <v>24281</v>
      </c>
      <c r="F4736" s="295" t="str">
        <f>IFERROR(__xludf.DUMMYFUNCTION("IF(B4736="""","""",IFERROR(VLOOKUP(TO_TEXT(B4736),PEDIDOS!D:I,6,0),IFERROR(VLOOKUP(B4736*1,PEDIDOS!D:I,6,0),"" "")))")," ")</f>
        <v> </v>
      </c>
      <c r="G4736" s="305" t="s">
        <v>23926</v>
      </c>
      <c r="H4736" s="304"/>
    </row>
    <row r="4737">
      <c r="A4737" s="302" t="s">
        <v>3441</v>
      </c>
      <c r="B4737" s="291" t="s">
        <v>24319</v>
      </c>
      <c r="C4737" s="292" t="s">
        <v>48</v>
      </c>
      <c r="D4737" s="293">
        <f t="shared" si="2"/>
        <v>1</v>
      </c>
      <c r="E4737" s="294" t="s">
        <v>24281</v>
      </c>
      <c r="F4737" s="295" t="str">
        <f>IFERROR(__xludf.DUMMYFUNCTION("IF(B4737="""","""",IFERROR(VLOOKUP(TO_TEXT(B4737),PEDIDOS!D:I,6,0),IFERROR(VLOOKUP(B4737*1,PEDIDOS!D:I,6,0),"" "")))")," ")</f>
        <v> </v>
      </c>
      <c r="G4737" s="305" t="s">
        <v>23926</v>
      </c>
      <c r="H4737" s="304"/>
    </row>
    <row r="4738">
      <c r="A4738" s="302" t="s">
        <v>3441</v>
      </c>
      <c r="B4738" s="291" t="s">
        <v>24320</v>
      </c>
      <c r="C4738" s="292" t="s">
        <v>48</v>
      </c>
      <c r="D4738" s="293">
        <f t="shared" si="2"/>
        <v>1</v>
      </c>
      <c r="E4738" s="294" t="s">
        <v>24281</v>
      </c>
      <c r="F4738" s="295" t="str">
        <f>IFERROR(__xludf.DUMMYFUNCTION("IF(B4738="""","""",IFERROR(VLOOKUP(TO_TEXT(B4738),PEDIDOS!D:I,6,0),IFERROR(VLOOKUP(B4738*1,PEDIDOS!D:I,6,0),"" "")))")," ")</f>
        <v> </v>
      </c>
      <c r="G4738" s="305" t="s">
        <v>23926</v>
      </c>
      <c r="H4738" s="304"/>
    </row>
    <row r="4739">
      <c r="A4739" s="302" t="s">
        <v>3441</v>
      </c>
      <c r="B4739" s="291" t="s">
        <v>24321</v>
      </c>
      <c r="C4739" s="292" t="s">
        <v>48</v>
      </c>
      <c r="D4739" s="293">
        <f t="shared" si="2"/>
        <v>1</v>
      </c>
      <c r="E4739" s="294" t="s">
        <v>24281</v>
      </c>
      <c r="F4739" s="295" t="str">
        <f>IFERROR(__xludf.DUMMYFUNCTION("IF(B4739="""","""",IFERROR(VLOOKUP(TO_TEXT(B4739),PEDIDOS!D:I,6,0),IFERROR(VLOOKUP(B4739*1,PEDIDOS!D:I,6,0),"" "")))")," ")</f>
        <v> </v>
      </c>
      <c r="G4739" s="305" t="s">
        <v>23926</v>
      </c>
      <c r="H4739" s="304"/>
    </row>
    <row r="4740">
      <c r="A4740" s="302" t="s">
        <v>3441</v>
      </c>
      <c r="B4740" s="291" t="s">
        <v>24322</v>
      </c>
      <c r="C4740" s="292" t="s">
        <v>48</v>
      </c>
      <c r="D4740" s="293">
        <f t="shared" si="2"/>
        <v>1</v>
      </c>
      <c r="E4740" s="294" t="s">
        <v>24281</v>
      </c>
      <c r="F4740" s="295" t="str">
        <f>IFERROR(__xludf.DUMMYFUNCTION("IF(B4740="""","""",IFERROR(VLOOKUP(TO_TEXT(B4740),PEDIDOS!D:I,6,0),IFERROR(VLOOKUP(B4740*1,PEDIDOS!D:I,6,0),"" "")))")," ")</f>
        <v> </v>
      </c>
      <c r="G4740" s="305" t="s">
        <v>23926</v>
      </c>
      <c r="H4740" s="304"/>
    </row>
    <row r="4741">
      <c r="A4741" s="302" t="s">
        <v>3441</v>
      </c>
      <c r="B4741" s="291" t="s">
        <v>24323</v>
      </c>
      <c r="C4741" s="292" t="s">
        <v>48</v>
      </c>
      <c r="D4741" s="293">
        <f t="shared" si="2"/>
        <v>1</v>
      </c>
      <c r="E4741" s="294" t="s">
        <v>24281</v>
      </c>
      <c r="F4741" s="295" t="str">
        <f>IFERROR(__xludf.DUMMYFUNCTION("IF(B4741="""","""",IFERROR(VLOOKUP(TO_TEXT(B4741),PEDIDOS!D:I,6,0),IFERROR(VLOOKUP(B4741*1,PEDIDOS!D:I,6,0),"" "")))")," ")</f>
        <v> </v>
      </c>
      <c r="G4741" s="305" t="s">
        <v>23926</v>
      </c>
      <c r="H4741" s="304"/>
    </row>
    <row r="4742">
      <c r="A4742" s="302" t="s">
        <v>3441</v>
      </c>
      <c r="B4742" s="291" t="s">
        <v>24324</v>
      </c>
      <c r="C4742" s="292" t="s">
        <v>48</v>
      </c>
      <c r="D4742" s="293">
        <f t="shared" si="2"/>
        <v>1</v>
      </c>
      <c r="E4742" s="294" t="s">
        <v>24281</v>
      </c>
      <c r="F4742" s="295" t="str">
        <f>IFERROR(__xludf.DUMMYFUNCTION("IF(B4742="""","""",IFERROR(VLOOKUP(TO_TEXT(B4742),PEDIDOS!D:I,6,0),IFERROR(VLOOKUP(B4742*1,PEDIDOS!D:I,6,0),"" "")))")," ")</f>
        <v> </v>
      </c>
      <c r="G4742" s="305" t="s">
        <v>23926</v>
      </c>
      <c r="H4742" s="304"/>
    </row>
    <row r="4743">
      <c r="A4743" s="302" t="s">
        <v>3441</v>
      </c>
      <c r="B4743" s="291" t="s">
        <v>24325</v>
      </c>
      <c r="C4743" s="292" t="s">
        <v>48</v>
      </c>
      <c r="D4743" s="293">
        <f t="shared" si="2"/>
        <v>1</v>
      </c>
      <c r="E4743" s="294" t="s">
        <v>24281</v>
      </c>
      <c r="F4743" s="295" t="str">
        <f>IFERROR(__xludf.DUMMYFUNCTION("IF(B4743="""","""",IFERROR(VLOOKUP(TO_TEXT(B4743),PEDIDOS!D:I,6,0),IFERROR(VLOOKUP(B4743*1,PEDIDOS!D:I,6,0),"" "")))")," ")</f>
        <v> </v>
      </c>
      <c r="G4743" s="305" t="s">
        <v>23926</v>
      </c>
      <c r="H4743" s="304"/>
    </row>
    <row r="4744">
      <c r="A4744" s="302" t="s">
        <v>3441</v>
      </c>
      <c r="B4744" s="291" t="s">
        <v>24326</v>
      </c>
      <c r="C4744" s="292" t="s">
        <v>48</v>
      </c>
      <c r="D4744" s="293">
        <f t="shared" si="2"/>
        <v>1</v>
      </c>
      <c r="E4744" s="294" t="s">
        <v>24281</v>
      </c>
      <c r="F4744" s="295" t="str">
        <f>IFERROR(__xludf.DUMMYFUNCTION("IF(B4744="""","""",IFERROR(VLOOKUP(TO_TEXT(B4744),PEDIDOS!D:I,6,0),IFERROR(VLOOKUP(B4744*1,PEDIDOS!D:I,6,0),"" "")))")," ")</f>
        <v> </v>
      </c>
      <c r="G4744" s="305" t="s">
        <v>23926</v>
      </c>
      <c r="H4744" s="304"/>
    </row>
    <row r="4745">
      <c r="A4745" s="302" t="s">
        <v>3441</v>
      </c>
      <c r="B4745" s="291" t="s">
        <v>24327</v>
      </c>
      <c r="C4745" s="292" t="s">
        <v>48</v>
      </c>
      <c r="D4745" s="293">
        <f t="shared" si="2"/>
        <v>1</v>
      </c>
      <c r="E4745" s="294" t="s">
        <v>24281</v>
      </c>
      <c r="F4745" s="295" t="str">
        <f>IFERROR(__xludf.DUMMYFUNCTION("IF(B4745="""","""",IFERROR(VLOOKUP(TO_TEXT(B4745),PEDIDOS!D:I,6,0),IFERROR(VLOOKUP(B4745*1,PEDIDOS!D:I,6,0),"" "")))")," ")</f>
        <v> </v>
      </c>
      <c r="G4745" s="305" t="s">
        <v>23926</v>
      </c>
      <c r="H4745" s="304"/>
    </row>
    <row r="4746">
      <c r="A4746" s="302" t="s">
        <v>3441</v>
      </c>
      <c r="B4746" s="291" t="s">
        <v>24328</v>
      </c>
      <c r="C4746" s="292" t="s">
        <v>48</v>
      </c>
      <c r="D4746" s="293">
        <f t="shared" si="2"/>
        <v>1</v>
      </c>
      <c r="E4746" s="294" t="s">
        <v>24281</v>
      </c>
      <c r="F4746" s="295" t="str">
        <f>IFERROR(__xludf.DUMMYFUNCTION("IF(B4746="""","""",IFERROR(VLOOKUP(TO_TEXT(B4746),PEDIDOS!D:I,6,0),IFERROR(VLOOKUP(B4746*1,PEDIDOS!D:I,6,0),"" "")))")," ")</f>
        <v> </v>
      </c>
      <c r="G4746" s="305" t="s">
        <v>23926</v>
      </c>
      <c r="H4746" s="304"/>
    </row>
    <row r="4747">
      <c r="A4747" s="302" t="s">
        <v>3441</v>
      </c>
      <c r="B4747" s="291" t="s">
        <v>24329</v>
      </c>
      <c r="C4747" s="292" t="s">
        <v>48</v>
      </c>
      <c r="D4747" s="293">
        <f t="shared" si="2"/>
        <v>1</v>
      </c>
      <c r="E4747" s="294" t="s">
        <v>24281</v>
      </c>
      <c r="F4747" s="295" t="str">
        <f>IFERROR(__xludf.DUMMYFUNCTION("IF(B4747="""","""",IFERROR(VLOOKUP(TO_TEXT(B4747),PEDIDOS!D:I,6,0),IFERROR(VLOOKUP(B4747*1,PEDIDOS!D:I,6,0),"" "")))")," ")</f>
        <v> </v>
      </c>
      <c r="G4747" s="305" t="s">
        <v>23926</v>
      </c>
      <c r="H4747" s="304"/>
    </row>
    <row r="4748">
      <c r="A4748" s="302" t="s">
        <v>3441</v>
      </c>
      <c r="B4748" s="291" t="s">
        <v>24330</v>
      </c>
      <c r="C4748" s="292" t="s">
        <v>48</v>
      </c>
      <c r="D4748" s="293">
        <f t="shared" si="2"/>
        <v>1</v>
      </c>
      <c r="E4748" s="294" t="s">
        <v>24281</v>
      </c>
      <c r="F4748" s="295" t="str">
        <f>IFERROR(__xludf.DUMMYFUNCTION("IF(B4748="""","""",IFERROR(VLOOKUP(TO_TEXT(B4748),PEDIDOS!D:I,6,0),IFERROR(VLOOKUP(B4748*1,PEDIDOS!D:I,6,0),"" "")))")," ")</f>
        <v> </v>
      </c>
      <c r="G4748" s="305" t="s">
        <v>23926</v>
      </c>
      <c r="H4748" s="304"/>
    </row>
    <row r="4749">
      <c r="A4749" s="302" t="s">
        <v>3441</v>
      </c>
      <c r="B4749" s="291" t="s">
        <v>24331</v>
      </c>
      <c r="C4749" s="292" t="s">
        <v>48</v>
      </c>
      <c r="D4749" s="293">
        <f t="shared" si="2"/>
        <v>1</v>
      </c>
      <c r="E4749" s="294" t="s">
        <v>24281</v>
      </c>
      <c r="F4749" s="295" t="str">
        <f>IFERROR(__xludf.DUMMYFUNCTION("IF(B4749="""","""",IFERROR(VLOOKUP(TO_TEXT(B4749),PEDIDOS!D:I,6,0),IFERROR(VLOOKUP(B4749*1,PEDIDOS!D:I,6,0),"" "")))")," ")</f>
        <v> </v>
      </c>
      <c r="G4749" s="305" t="s">
        <v>23926</v>
      </c>
      <c r="H4749" s="304"/>
    </row>
    <row r="4750">
      <c r="A4750" s="302" t="s">
        <v>3441</v>
      </c>
      <c r="B4750" s="291" t="s">
        <v>24332</v>
      </c>
      <c r="C4750" s="292" t="s">
        <v>48</v>
      </c>
      <c r="D4750" s="293">
        <f t="shared" si="2"/>
        <v>1</v>
      </c>
      <c r="E4750" s="294" t="s">
        <v>24281</v>
      </c>
      <c r="F4750" s="295" t="str">
        <f>IFERROR(__xludf.DUMMYFUNCTION("IF(B4750="""","""",IFERROR(VLOOKUP(TO_TEXT(B4750),PEDIDOS!D:I,6,0),IFERROR(VLOOKUP(B4750*1,PEDIDOS!D:I,6,0),"" "")))")," ")</f>
        <v> </v>
      </c>
      <c r="G4750" s="305" t="s">
        <v>23926</v>
      </c>
      <c r="H4750" s="304"/>
    </row>
    <row r="4751">
      <c r="A4751" s="302" t="s">
        <v>3441</v>
      </c>
      <c r="B4751" s="291" t="s">
        <v>24333</v>
      </c>
      <c r="C4751" s="292" t="s">
        <v>48</v>
      </c>
      <c r="D4751" s="293">
        <f t="shared" si="2"/>
        <v>1</v>
      </c>
      <c r="E4751" s="294" t="s">
        <v>24281</v>
      </c>
      <c r="F4751" s="295" t="str">
        <f>IFERROR(__xludf.DUMMYFUNCTION("IF(B4751="""","""",IFERROR(VLOOKUP(TO_TEXT(B4751),PEDIDOS!D:I,6,0),IFERROR(VLOOKUP(B4751*1,PEDIDOS!D:I,6,0),"" "")))")," ")</f>
        <v> </v>
      </c>
      <c r="G4751" s="305" t="s">
        <v>23926</v>
      </c>
      <c r="H4751" s="304"/>
    </row>
    <row r="4752">
      <c r="A4752" s="302" t="s">
        <v>3441</v>
      </c>
      <c r="B4752" s="291" t="s">
        <v>24334</v>
      </c>
      <c r="C4752" s="292" t="s">
        <v>48</v>
      </c>
      <c r="D4752" s="293">
        <f t="shared" si="2"/>
        <v>1</v>
      </c>
      <c r="E4752" s="294" t="s">
        <v>24281</v>
      </c>
      <c r="F4752" s="295" t="str">
        <f>IFERROR(__xludf.DUMMYFUNCTION("IF(B4752="""","""",IFERROR(VLOOKUP(TO_TEXT(B4752),PEDIDOS!D:I,6,0),IFERROR(VLOOKUP(B4752*1,PEDIDOS!D:I,6,0),"" "")))")," ")</f>
        <v> </v>
      </c>
      <c r="G4752" s="305" t="s">
        <v>23926</v>
      </c>
      <c r="H4752" s="304"/>
    </row>
    <row r="4753">
      <c r="A4753" s="302" t="s">
        <v>3441</v>
      </c>
      <c r="B4753" s="291" t="s">
        <v>24335</v>
      </c>
      <c r="C4753" s="292" t="s">
        <v>48</v>
      </c>
      <c r="D4753" s="293">
        <f t="shared" si="2"/>
        <v>1</v>
      </c>
      <c r="E4753" s="294" t="s">
        <v>24281</v>
      </c>
      <c r="F4753" s="295" t="str">
        <f>IFERROR(__xludf.DUMMYFUNCTION("IF(B4753="""","""",IFERROR(VLOOKUP(TO_TEXT(B4753),PEDIDOS!D:I,6,0),IFERROR(VLOOKUP(B4753*1,PEDIDOS!D:I,6,0),"" "")))")," ")</f>
        <v> </v>
      </c>
      <c r="G4753" s="305" t="s">
        <v>23926</v>
      </c>
      <c r="H4753" s="304"/>
    </row>
    <row r="4754">
      <c r="A4754" s="302" t="s">
        <v>3441</v>
      </c>
      <c r="B4754" s="291" t="s">
        <v>24336</v>
      </c>
      <c r="C4754" s="292" t="s">
        <v>48</v>
      </c>
      <c r="D4754" s="293">
        <f t="shared" si="2"/>
        <v>1</v>
      </c>
      <c r="E4754" s="294" t="s">
        <v>24281</v>
      </c>
      <c r="F4754" s="295" t="str">
        <f>IFERROR(__xludf.DUMMYFUNCTION("IF(B4754="""","""",IFERROR(VLOOKUP(TO_TEXT(B4754),PEDIDOS!D:I,6,0),IFERROR(VLOOKUP(B4754*1,PEDIDOS!D:I,6,0),"" "")))")," ")</f>
        <v> </v>
      </c>
      <c r="G4754" s="305" t="s">
        <v>23926</v>
      </c>
      <c r="H4754" s="304"/>
    </row>
    <row r="4755">
      <c r="A4755" s="302" t="s">
        <v>3441</v>
      </c>
      <c r="B4755" s="291" t="s">
        <v>24337</v>
      </c>
      <c r="C4755" s="292" t="s">
        <v>48</v>
      </c>
      <c r="D4755" s="293">
        <f t="shared" si="2"/>
        <v>1</v>
      </c>
      <c r="E4755" s="294" t="s">
        <v>24281</v>
      </c>
      <c r="F4755" s="295" t="str">
        <f>IFERROR(__xludf.DUMMYFUNCTION("IF(B4755="""","""",IFERROR(VLOOKUP(TO_TEXT(B4755),PEDIDOS!D:I,6,0),IFERROR(VLOOKUP(B4755*1,PEDIDOS!D:I,6,0),"" "")))")," ")</f>
        <v> </v>
      </c>
      <c r="G4755" s="305" t="s">
        <v>23926</v>
      </c>
      <c r="H4755" s="304"/>
    </row>
    <row r="4756">
      <c r="A4756" s="302" t="s">
        <v>3441</v>
      </c>
      <c r="B4756" s="291" t="s">
        <v>24338</v>
      </c>
      <c r="C4756" s="292" t="s">
        <v>48</v>
      </c>
      <c r="D4756" s="293">
        <f t="shared" si="2"/>
        <v>1</v>
      </c>
      <c r="E4756" s="294" t="s">
        <v>24281</v>
      </c>
      <c r="F4756" s="295" t="str">
        <f>IFERROR(__xludf.DUMMYFUNCTION("IF(B4756="""","""",IFERROR(VLOOKUP(TO_TEXT(B4756),PEDIDOS!D:I,6,0),IFERROR(VLOOKUP(B4756*1,PEDIDOS!D:I,6,0),"" "")))")," ")</f>
        <v> </v>
      </c>
      <c r="G4756" s="305" t="s">
        <v>23926</v>
      </c>
      <c r="H4756" s="304"/>
    </row>
    <row r="4757">
      <c r="A4757" s="302" t="s">
        <v>3441</v>
      </c>
      <c r="B4757" s="291" t="s">
        <v>24339</v>
      </c>
      <c r="C4757" s="292" t="s">
        <v>48</v>
      </c>
      <c r="D4757" s="293">
        <f t="shared" si="2"/>
        <v>1</v>
      </c>
      <c r="E4757" s="294" t="s">
        <v>24281</v>
      </c>
      <c r="F4757" s="295" t="str">
        <f>IFERROR(__xludf.DUMMYFUNCTION("IF(B4757="""","""",IFERROR(VLOOKUP(TO_TEXT(B4757),PEDIDOS!D:I,6,0),IFERROR(VLOOKUP(B4757*1,PEDIDOS!D:I,6,0),"" "")))")," ")</f>
        <v> </v>
      </c>
      <c r="G4757" s="305" t="s">
        <v>23926</v>
      </c>
      <c r="H4757" s="304"/>
    </row>
    <row r="4758">
      <c r="A4758" s="302" t="s">
        <v>3441</v>
      </c>
      <c r="B4758" s="291" t="s">
        <v>24340</v>
      </c>
      <c r="C4758" s="292" t="s">
        <v>48</v>
      </c>
      <c r="D4758" s="293">
        <f t="shared" si="2"/>
        <v>1</v>
      </c>
      <c r="E4758" s="294" t="s">
        <v>24281</v>
      </c>
      <c r="F4758" s="295" t="str">
        <f>IFERROR(__xludf.DUMMYFUNCTION("IF(B4758="""","""",IFERROR(VLOOKUP(TO_TEXT(B4758),PEDIDOS!D:I,6,0),IFERROR(VLOOKUP(B4758*1,PEDIDOS!D:I,6,0),"" "")))")," ")</f>
        <v> </v>
      </c>
      <c r="G4758" s="305" t="s">
        <v>23926</v>
      </c>
      <c r="H4758" s="304"/>
    </row>
    <row r="4759">
      <c r="A4759" s="302" t="s">
        <v>3441</v>
      </c>
      <c r="B4759" s="291" t="s">
        <v>24341</v>
      </c>
      <c r="C4759" s="292" t="s">
        <v>48</v>
      </c>
      <c r="D4759" s="293">
        <f t="shared" si="2"/>
        <v>1</v>
      </c>
      <c r="E4759" s="294" t="s">
        <v>24281</v>
      </c>
      <c r="F4759" s="295" t="str">
        <f>IFERROR(__xludf.DUMMYFUNCTION("IF(B4759="""","""",IFERROR(VLOOKUP(TO_TEXT(B4759),PEDIDOS!D:I,6,0),IFERROR(VLOOKUP(B4759*1,PEDIDOS!D:I,6,0),"" "")))")," ")</f>
        <v> </v>
      </c>
      <c r="G4759" s="305" t="s">
        <v>23926</v>
      </c>
      <c r="H4759" s="304"/>
    </row>
    <row r="4760">
      <c r="A4760" s="302" t="s">
        <v>3441</v>
      </c>
      <c r="B4760" s="291" t="s">
        <v>24342</v>
      </c>
      <c r="C4760" s="292" t="s">
        <v>48</v>
      </c>
      <c r="D4760" s="293">
        <f t="shared" si="2"/>
        <v>1</v>
      </c>
      <c r="E4760" s="294" t="s">
        <v>24281</v>
      </c>
      <c r="F4760" s="295" t="str">
        <f>IFERROR(__xludf.DUMMYFUNCTION("IF(B4760="""","""",IFERROR(VLOOKUP(TO_TEXT(B4760),PEDIDOS!D:I,6,0),IFERROR(VLOOKUP(B4760*1,PEDIDOS!D:I,6,0),"" "")))")," ")</f>
        <v> </v>
      </c>
      <c r="G4760" s="305" t="s">
        <v>23926</v>
      </c>
      <c r="H4760" s="304"/>
    </row>
    <row r="4761">
      <c r="A4761" s="302" t="s">
        <v>3441</v>
      </c>
      <c r="B4761" s="291" t="s">
        <v>24343</v>
      </c>
      <c r="C4761" s="292" t="s">
        <v>48</v>
      </c>
      <c r="D4761" s="293">
        <f t="shared" si="2"/>
        <v>1</v>
      </c>
      <c r="E4761" s="294" t="s">
        <v>24281</v>
      </c>
      <c r="F4761" s="295" t="str">
        <f>IFERROR(__xludf.DUMMYFUNCTION("IF(B4761="""","""",IFERROR(VLOOKUP(TO_TEXT(B4761),PEDIDOS!D:I,6,0),IFERROR(VLOOKUP(B4761*1,PEDIDOS!D:I,6,0),"" "")))")," ")</f>
        <v> </v>
      </c>
      <c r="G4761" s="305" t="s">
        <v>23926</v>
      </c>
      <c r="H4761" s="304"/>
    </row>
    <row r="4762">
      <c r="A4762" s="302" t="s">
        <v>3441</v>
      </c>
      <c r="B4762" s="291" t="s">
        <v>24344</v>
      </c>
      <c r="C4762" s="292" t="s">
        <v>48</v>
      </c>
      <c r="D4762" s="293">
        <f t="shared" si="2"/>
        <v>1</v>
      </c>
      <c r="E4762" s="294" t="s">
        <v>24281</v>
      </c>
      <c r="F4762" s="295" t="str">
        <f>IFERROR(__xludf.DUMMYFUNCTION("IF(B4762="""","""",IFERROR(VLOOKUP(TO_TEXT(B4762),PEDIDOS!D:I,6,0),IFERROR(VLOOKUP(B4762*1,PEDIDOS!D:I,6,0),"" "")))")," ")</f>
        <v> </v>
      </c>
      <c r="G4762" s="305" t="s">
        <v>23926</v>
      </c>
      <c r="H4762" s="304"/>
    </row>
    <row r="4763">
      <c r="A4763" s="302" t="s">
        <v>72</v>
      </c>
      <c r="B4763" s="291" t="s">
        <v>24345</v>
      </c>
      <c r="C4763" s="292" t="s">
        <v>48</v>
      </c>
      <c r="D4763" s="293">
        <f t="shared" si="2"/>
        <v>1</v>
      </c>
      <c r="E4763" s="294" t="s">
        <v>24281</v>
      </c>
      <c r="F4763" s="295" t="str">
        <f>IFERROR(__xludf.DUMMYFUNCTION("IF(B4763="""","""",IFERROR(VLOOKUP(TO_TEXT(B4763),PEDIDOS!D:I,6,0),IFERROR(VLOOKUP(B4763*1,PEDIDOS!D:I,6,0),"" "")))")," ")</f>
        <v> </v>
      </c>
      <c r="G4763" s="305" t="s">
        <v>23926</v>
      </c>
      <c r="H4763" s="304"/>
    </row>
    <row r="4764">
      <c r="A4764" s="302" t="s">
        <v>72</v>
      </c>
      <c r="B4764" s="291" t="s">
        <v>24346</v>
      </c>
      <c r="C4764" s="292" t="s">
        <v>48</v>
      </c>
      <c r="D4764" s="293">
        <f t="shared" si="2"/>
        <v>1</v>
      </c>
      <c r="E4764" s="294" t="s">
        <v>24281</v>
      </c>
      <c r="F4764" s="295" t="str">
        <f>IFERROR(__xludf.DUMMYFUNCTION("IF(B4764="""","""",IFERROR(VLOOKUP(TO_TEXT(B4764),PEDIDOS!D:I,6,0),IFERROR(VLOOKUP(B4764*1,PEDIDOS!D:I,6,0),"" "")))")," ")</f>
        <v> </v>
      </c>
      <c r="G4764" s="305" t="s">
        <v>23926</v>
      </c>
      <c r="H4764" s="304"/>
    </row>
    <row r="4765">
      <c r="A4765" s="302" t="s">
        <v>72</v>
      </c>
      <c r="B4765" s="291" t="s">
        <v>24347</v>
      </c>
      <c r="C4765" s="292" t="s">
        <v>48</v>
      </c>
      <c r="D4765" s="293">
        <f t="shared" si="2"/>
        <v>1</v>
      </c>
      <c r="E4765" s="294" t="s">
        <v>24281</v>
      </c>
      <c r="F4765" s="295" t="str">
        <f>IFERROR(__xludf.DUMMYFUNCTION("IF(B4765="""","""",IFERROR(VLOOKUP(TO_TEXT(B4765),PEDIDOS!D:I,6,0),IFERROR(VLOOKUP(B4765*1,PEDIDOS!D:I,6,0),"" "")))")," ")</f>
        <v> </v>
      </c>
      <c r="G4765" s="305" t="s">
        <v>23926</v>
      </c>
      <c r="H4765" s="304"/>
    </row>
    <row r="4766">
      <c r="A4766" s="302" t="s">
        <v>72</v>
      </c>
      <c r="B4766" s="291" t="s">
        <v>24348</v>
      </c>
      <c r="C4766" s="292" t="s">
        <v>48</v>
      </c>
      <c r="D4766" s="293">
        <f t="shared" si="2"/>
        <v>1</v>
      </c>
      <c r="E4766" s="294" t="s">
        <v>24281</v>
      </c>
      <c r="F4766" s="295" t="str">
        <f>IFERROR(__xludf.DUMMYFUNCTION("IF(B4766="""","""",IFERROR(VLOOKUP(TO_TEXT(B4766),PEDIDOS!D:I,6,0),IFERROR(VLOOKUP(B4766*1,PEDIDOS!D:I,6,0),"" "")))")," ")</f>
        <v> </v>
      </c>
      <c r="G4766" s="305" t="s">
        <v>23926</v>
      </c>
      <c r="H4766" s="304"/>
    </row>
    <row r="4767">
      <c r="A4767" s="302" t="s">
        <v>72</v>
      </c>
      <c r="B4767" s="291" t="s">
        <v>24349</v>
      </c>
      <c r="C4767" s="292" t="s">
        <v>48</v>
      </c>
      <c r="D4767" s="293">
        <f t="shared" si="2"/>
        <v>1</v>
      </c>
      <c r="E4767" s="294" t="s">
        <v>24281</v>
      </c>
      <c r="F4767" s="295" t="str">
        <f>IFERROR(__xludf.DUMMYFUNCTION("IF(B4767="""","""",IFERROR(VLOOKUP(TO_TEXT(B4767),PEDIDOS!D:I,6,0),IFERROR(VLOOKUP(B4767*1,PEDIDOS!D:I,6,0),"" "")))")," ")</f>
        <v> </v>
      </c>
      <c r="G4767" s="305" t="s">
        <v>23926</v>
      </c>
      <c r="H4767" s="304"/>
    </row>
    <row r="4768">
      <c r="A4768" s="302" t="s">
        <v>72</v>
      </c>
      <c r="B4768" s="291" t="s">
        <v>24350</v>
      </c>
      <c r="C4768" s="292" t="s">
        <v>48</v>
      </c>
      <c r="D4768" s="293">
        <f t="shared" si="2"/>
        <v>1</v>
      </c>
      <c r="E4768" s="294" t="s">
        <v>24281</v>
      </c>
      <c r="F4768" s="295" t="str">
        <f>IFERROR(__xludf.DUMMYFUNCTION("IF(B4768="""","""",IFERROR(VLOOKUP(TO_TEXT(B4768),PEDIDOS!D:I,6,0),IFERROR(VLOOKUP(B4768*1,PEDIDOS!D:I,6,0),"" "")))")," ")</f>
        <v> </v>
      </c>
      <c r="G4768" s="305" t="s">
        <v>23926</v>
      </c>
      <c r="H4768" s="304"/>
    </row>
    <row r="4769">
      <c r="A4769" s="302" t="s">
        <v>72</v>
      </c>
      <c r="B4769" s="291" t="s">
        <v>24351</v>
      </c>
      <c r="C4769" s="292" t="s">
        <v>48</v>
      </c>
      <c r="D4769" s="293">
        <f t="shared" si="2"/>
        <v>1</v>
      </c>
      <c r="E4769" s="294" t="s">
        <v>24281</v>
      </c>
      <c r="F4769" s="295" t="str">
        <f>IFERROR(__xludf.DUMMYFUNCTION("IF(B4769="""","""",IFERROR(VLOOKUP(TO_TEXT(B4769),PEDIDOS!D:I,6,0),IFERROR(VLOOKUP(B4769*1,PEDIDOS!D:I,6,0),"" "")))")," ")</f>
        <v> </v>
      </c>
      <c r="G4769" s="305" t="s">
        <v>23926</v>
      </c>
      <c r="H4769" s="304"/>
    </row>
    <row r="4770">
      <c r="A4770" s="302" t="s">
        <v>72</v>
      </c>
      <c r="B4770" s="291" t="s">
        <v>24352</v>
      </c>
      <c r="C4770" s="292" t="s">
        <v>48</v>
      </c>
      <c r="D4770" s="293">
        <f t="shared" si="2"/>
        <v>1</v>
      </c>
      <c r="E4770" s="294" t="s">
        <v>24281</v>
      </c>
      <c r="F4770" s="295" t="str">
        <f>IFERROR(__xludf.DUMMYFUNCTION("IF(B4770="""","""",IFERROR(VLOOKUP(TO_TEXT(B4770),PEDIDOS!D:I,6,0),IFERROR(VLOOKUP(B4770*1,PEDIDOS!D:I,6,0),"" "")))")," ")</f>
        <v> </v>
      </c>
      <c r="G4770" s="305" t="s">
        <v>23926</v>
      </c>
      <c r="H4770" s="304"/>
    </row>
    <row r="4771">
      <c r="A4771" s="302" t="s">
        <v>72</v>
      </c>
      <c r="B4771" s="291" t="s">
        <v>24353</v>
      </c>
      <c r="C4771" s="292" t="s">
        <v>48</v>
      </c>
      <c r="D4771" s="293">
        <f t="shared" si="2"/>
        <v>1</v>
      </c>
      <c r="E4771" s="294" t="s">
        <v>24281</v>
      </c>
      <c r="F4771" s="295" t="str">
        <f>IFERROR(__xludf.DUMMYFUNCTION("IF(B4771="""","""",IFERROR(VLOOKUP(TO_TEXT(B4771),PEDIDOS!D:I,6,0),IFERROR(VLOOKUP(B4771*1,PEDIDOS!D:I,6,0),"" "")))")," ")</f>
        <v> </v>
      </c>
      <c r="G4771" s="305" t="s">
        <v>23926</v>
      </c>
      <c r="H4771" s="304"/>
    </row>
    <row r="4772">
      <c r="A4772" s="302" t="s">
        <v>72</v>
      </c>
      <c r="B4772" s="291" t="s">
        <v>24354</v>
      </c>
      <c r="C4772" s="292" t="s">
        <v>48</v>
      </c>
      <c r="D4772" s="293">
        <f t="shared" si="2"/>
        <v>1</v>
      </c>
      <c r="E4772" s="294" t="s">
        <v>24281</v>
      </c>
      <c r="F4772" s="295" t="str">
        <f>IFERROR(__xludf.DUMMYFUNCTION("IF(B4772="""","""",IFERROR(VLOOKUP(TO_TEXT(B4772),PEDIDOS!D:I,6,0),IFERROR(VLOOKUP(B4772*1,PEDIDOS!D:I,6,0),"" "")))")," ")</f>
        <v> </v>
      </c>
      <c r="G4772" s="305" t="s">
        <v>23926</v>
      </c>
      <c r="H4772" s="304"/>
    </row>
    <row r="4773">
      <c r="A4773" s="302" t="s">
        <v>72</v>
      </c>
      <c r="B4773" s="291" t="s">
        <v>24355</v>
      </c>
      <c r="C4773" s="292" t="s">
        <v>48</v>
      </c>
      <c r="D4773" s="293">
        <f t="shared" si="2"/>
        <v>1</v>
      </c>
      <c r="E4773" s="294" t="s">
        <v>24281</v>
      </c>
      <c r="F4773" s="295" t="str">
        <f>IFERROR(__xludf.DUMMYFUNCTION("IF(B4773="""","""",IFERROR(VLOOKUP(TO_TEXT(B4773),PEDIDOS!D:I,6,0),IFERROR(VLOOKUP(B4773*1,PEDIDOS!D:I,6,0),"" "")))")," ")</f>
        <v> </v>
      </c>
      <c r="G4773" s="305" t="s">
        <v>23926</v>
      </c>
      <c r="H4773" s="304"/>
    </row>
    <row r="4774">
      <c r="A4774" s="302" t="s">
        <v>72</v>
      </c>
      <c r="B4774" s="291" t="s">
        <v>24356</v>
      </c>
      <c r="C4774" s="292" t="s">
        <v>48</v>
      </c>
      <c r="D4774" s="293">
        <f t="shared" si="2"/>
        <v>1</v>
      </c>
      <c r="E4774" s="294" t="s">
        <v>24281</v>
      </c>
      <c r="F4774" s="295" t="str">
        <f>IFERROR(__xludf.DUMMYFUNCTION("IF(B4774="""","""",IFERROR(VLOOKUP(TO_TEXT(B4774),PEDIDOS!D:I,6,0),IFERROR(VLOOKUP(B4774*1,PEDIDOS!D:I,6,0),"" "")))")," ")</f>
        <v> </v>
      </c>
      <c r="G4774" s="305" t="s">
        <v>23926</v>
      </c>
      <c r="H4774" s="304"/>
    </row>
    <row r="4775">
      <c r="A4775" s="302" t="s">
        <v>72</v>
      </c>
      <c r="B4775" s="291" t="s">
        <v>24357</v>
      </c>
      <c r="C4775" s="292" t="s">
        <v>48</v>
      </c>
      <c r="D4775" s="293">
        <f t="shared" si="2"/>
        <v>1</v>
      </c>
      <c r="E4775" s="294" t="s">
        <v>24281</v>
      </c>
      <c r="F4775" s="295" t="str">
        <f>IFERROR(__xludf.DUMMYFUNCTION("IF(B4775="""","""",IFERROR(VLOOKUP(TO_TEXT(B4775),PEDIDOS!D:I,6,0),IFERROR(VLOOKUP(B4775*1,PEDIDOS!D:I,6,0),"" "")))")," ")</f>
        <v> </v>
      </c>
      <c r="G4775" s="305" t="s">
        <v>23926</v>
      </c>
      <c r="H4775" s="304"/>
    </row>
    <row r="4776">
      <c r="A4776" s="302" t="s">
        <v>72</v>
      </c>
      <c r="B4776" s="291" t="s">
        <v>24358</v>
      </c>
      <c r="C4776" s="292" t="s">
        <v>48</v>
      </c>
      <c r="D4776" s="293">
        <f t="shared" si="2"/>
        <v>1</v>
      </c>
      <c r="E4776" s="294" t="s">
        <v>24281</v>
      </c>
      <c r="F4776" s="295" t="str">
        <f>IFERROR(__xludf.DUMMYFUNCTION("IF(B4776="""","""",IFERROR(VLOOKUP(TO_TEXT(B4776),PEDIDOS!D:I,6,0),IFERROR(VLOOKUP(B4776*1,PEDIDOS!D:I,6,0),"" "")))")," ")</f>
        <v> </v>
      </c>
      <c r="G4776" s="305" t="s">
        <v>23926</v>
      </c>
      <c r="H4776" s="304"/>
    </row>
    <row r="4777">
      <c r="A4777" s="302" t="s">
        <v>72</v>
      </c>
      <c r="B4777" s="291" t="s">
        <v>24359</v>
      </c>
      <c r="C4777" s="292" t="s">
        <v>48</v>
      </c>
      <c r="D4777" s="293">
        <f t="shared" si="2"/>
        <v>1</v>
      </c>
      <c r="E4777" s="294" t="s">
        <v>24281</v>
      </c>
      <c r="F4777" s="295" t="str">
        <f>IFERROR(__xludf.DUMMYFUNCTION("IF(B4777="""","""",IFERROR(VLOOKUP(TO_TEXT(B4777),PEDIDOS!D:I,6,0),IFERROR(VLOOKUP(B4777*1,PEDIDOS!D:I,6,0),"" "")))")," ")</f>
        <v> </v>
      </c>
      <c r="G4777" s="305" t="s">
        <v>23926</v>
      </c>
      <c r="H4777" s="304"/>
    </row>
    <row r="4778">
      <c r="A4778" s="302" t="s">
        <v>72</v>
      </c>
      <c r="B4778" s="291" t="s">
        <v>24360</v>
      </c>
      <c r="C4778" s="292" t="s">
        <v>48</v>
      </c>
      <c r="D4778" s="293">
        <f t="shared" si="2"/>
        <v>1</v>
      </c>
      <c r="E4778" s="294" t="s">
        <v>24281</v>
      </c>
      <c r="F4778" s="295" t="str">
        <f>IFERROR(__xludf.DUMMYFUNCTION("IF(B4778="""","""",IFERROR(VLOOKUP(TO_TEXT(B4778),PEDIDOS!D:I,6,0),IFERROR(VLOOKUP(B4778*1,PEDIDOS!D:I,6,0),"" "")))")," ")</f>
        <v> </v>
      </c>
      <c r="G4778" s="305" t="s">
        <v>23926</v>
      </c>
      <c r="H4778" s="304"/>
    </row>
    <row r="4779">
      <c r="A4779" s="302" t="s">
        <v>72</v>
      </c>
      <c r="B4779" s="291" t="s">
        <v>24361</v>
      </c>
      <c r="C4779" s="292" t="s">
        <v>48</v>
      </c>
      <c r="D4779" s="293">
        <f t="shared" si="2"/>
        <v>1</v>
      </c>
      <c r="E4779" s="294" t="s">
        <v>24281</v>
      </c>
      <c r="F4779" s="295" t="str">
        <f>IFERROR(__xludf.DUMMYFUNCTION("IF(B4779="""","""",IFERROR(VLOOKUP(TO_TEXT(B4779),PEDIDOS!D:I,6,0),IFERROR(VLOOKUP(B4779*1,PEDIDOS!D:I,6,0),"" "")))")," ")</f>
        <v> </v>
      </c>
      <c r="G4779" s="305" t="s">
        <v>23926</v>
      </c>
      <c r="H4779" s="304"/>
    </row>
    <row r="4780">
      <c r="A4780" s="302" t="s">
        <v>72</v>
      </c>
      <c r="B4780" s="291" t="s">
        <v>24362</v>
      </c>
      <c r="C4780" s="292" t="s">
        <v>48</v>
      </c>
      <c r="D4780" s="293">
        <f t="shared" si="2"/>
        <v>1</v>
      </c>
      <c r="E4780" s="294" t="s">
        <v>24281</v>
      </c>
      <c r="F4780" s="295" t="str">
        <f>IFERROR(__xludf.DUMMYFUNCTION("IF(B4780="""","""",IFERROR(VLOOKUP(TO_TEXT(B4780),PEDIDOS!D:I,6,0),IFERROR(VLOOKUP(B4780*1,PEDIDOS!D:I,6,0),"" "")))")," ")</f>
        <v> </v>
      </c>
      <c r="G4780" s="305" t="s">
        <v>23926</v>
      </c>
      <c r="H4780" s="304"/>
    </row>
    <row r="4781">
      <c r="A4781" s="302" t="s">
        <v>72</v>
      </c>
      <c r="B4781" s="291" t="s">
        <v>24363</v>
      </c>
      <c r="C4781" s="292" t="s">
        <v>48</v>
      </c>
      <c r="D4781" s="293">
        <f t="shared" si="2"/>
        <v>1</v>
      </c>
      <c r="E4781" s="294" t="s">
        <v>24281</v>
      </c>
      <c r="F4781" s="295" t="str">
        <f>IFERROR(__xludf.DUMMYFUNCTION("IF(B4781="""","""",IFERROR(VLOOKUP(TO_TEXT(B4781),PEDIDOS!D:I,6,0),IFERROR(VLOOKUP(B4781*1,PEDIDOS!D:I,6,0),"" "")))")," ")</f>
        <v> </v>
      </c>
      <c r="G4781" s="305" t="s">
        <v>23926</v>
      </c>
      <c r="H4781" s="304"/>
    </row>
    <row r="4782">
      <c r="A4782" s="302" t="s">
        <v>72</v>
      </c>
      <c r="B4782" s="291" t="s">
        <v>24364</v>
      </c>
      <c r="C4782" s="292" t="s">
        <v>48</v>
      </c>
      <c r="D4782" s="293">
        <f t="shared" si="2"/>
        <v>1</v>
      </c>
      <c r="E4782" s="294" t="s">
        <v>24281</v>
      </c>
      <c r="F4782" s="295" t="str">
        <f>IFERROR(__xludf.DUMMYFUNCTION("IF(B4782="""","""",IFERROR(VLOOKUP(TO_TEXT(B4782),PEDIDOS!D:I,6,0),IFERROR(VLOOKUP(B4782*1,PEDIDOS!D:I,6,0),"" "")))")," ")</f>
        <v> </v>
      </c>
      <c r="G4782" s="305" t="s">
        <v>23926</v>
      </c>
      <c r="H4782" s="304"/>
    </row>
    <row r="4783">
      <c r="A4783" s="302" t="s">
        <v>72</v>
      </c>
      <c r="B4783" s="291" t="s">
        <v>24365</v>
      </c>
      <c r="C4783" s="292" t="s">
        <v>48</v>
      </c>
      <c r="D4783" s="293">
        <f t="shared" si="2"/>
        <v>1</v>
      </c>
      <c r="E4783" s="294" t="s">
        <v>24281</v>
      </c>
      <c r="F4783" s="295" t="str">
        <f>IFERROR(__xludf.DUMMYFUNCTION("IF(B4783="""","""",IFERROR(VLOOKUP(TO_TEXT(B4783),PEDIDOS!D:I,6,0),IFERROR(VLOOKUP(B4783*1,PEDIDOS!D:I,6,0),"" "")))")," ")</f>
        <v> </v>
      </c>
      <c r="G4783" s="305" t="s">
        <v>23926</v>
      </c>
      <c r="H4783" s="304"/>
    </row>
    <row r="4784">
      <c r="A4784" s="302" t="s">
        <v>72</v>
      </c>
      <c r="B4784" s="291" t="s">
        <v>24366</v>
      </c>
      <c r="C4784" s="292" t="s">
        <v>48</v>
      </c>
      <c r="D4784" s="293">
        <f t="shared" si="2"/>
        <v>1</v>
      </c>
      <c r="E4784" s="294" t="s">
        <v>24281</v>
      </c>
      <c r="F4784" s="295" t="str">
        <f>IFERROR(__xludf.DUMMYFUNCTION("IF(B4784="""","""",IFERROR(VLOOKUP(TO_TEXT(B4784),PEDIDOS!D:I,6,0),IFERROR(VLOOKUP(B4784*1,PEDIDOS!D:I,6,0),"" "")))")," ")</f>
        <v> </v>
      </c>
      <c r="G4784" s="305" t="s">
        <v>23926</v>
      </c>
      <c r="H4784" s="304"/>
    </row>
    <row r="4785">
      <c r="A4785" s="302" t="s">
        <v>72</v>
      </c>
      <c r="B4785" s="291" t="s">
        <v>24367</v>
      </c>
      <c r="C4785" s="292" t="s">
        <v>48</v>
      </c>
      <c r="D4785" s="293">
        <f t="shared" si="2"/>
        <v>1</v>
      </c>
      <c r="E4785" s="294" t="s">
        <v>24281</v>
      </c>
      <c r="F4785" s="295" t="str">
        <f>IFERROR(__xludf.DUMMYFUNCTION("IF(B4785="""","""",IFERROR(VLOOKUP(TO_TEXT(B4785),PEDIDOS!D:I,6,0),IFERROR(VLOOKUP(B4785*1,PEDIDOS!D:I,6,0),"" "")))")," ")</f>
        <v> </v>
      </c>
      <c r="G4785" s="305" t="s">
        <v>23926</v>
      </c>
      <c r="H4785" s="304"/>
    </row>
    <row r="4786">
      <c r="A4786" s="302" t="s">
        <v>72</v>
      </c>
      <c r="B4786" s="291" t="s">
        <v>24368</v>
      </c>
      <c r="C4786" s="292" t="s">
        <v>48</v>
      </c>
      <c r="D4786" s="293">
        <f t="shared" si="2"/>
        <v>1</v>
      </c>
      <c r="E4786" s="294" t="s">
        <v>24281</v>
      </c>
      <c r="F4786" s="295" t="str">
        <f>IFERROR(__xludf.DUMMYFUNCTION("IF(B4786="""","""",IFERROR(VLOOKUP(TO_TEXT(B4786),PEDIDOS!D:I,6,0),IFERROR(VLOOKUP(B4786*1,PEDIDOS!D:I,6,0),"" "")))")," ")</f>
        <v> </v>
      </c>
      <c r="G4786" s="305" t="s">
        <v>23926</v>
      </c>
      <c r="H4786" s="304"/>
    </row>
    <row r="4787">
      <c r="A4787" s="302" t="s">
        <v>72</v>
      </c>
      <c r="B4787" s="291" t="s">
        <v>24369</v>
      </c>
      <c r="C4787" s="292" t="s">
        <v>48</v>
      </c>
      <c r="D4787" s="293">
        <f t="shared" si="2"/>
        <v>1</v>
      </c>
      <c r="E4787" s="294" t="s">
        <v>24281</v>
      </c>
      <c r="F4787" s="295" t="str">
        <f>IFERROR(__xludf.DUMMYFUNCTION("IF(B4787="""","""",IFERROR(VLOOKUP(TO_TEXT(B4787),PEDIDOS!D:I,6,0),IFERROR(VLOOKUP(B4787*1,PEDIDOS!D:I,6,0),"" "")))")," ")</f>
        <v> </v>
      </c>
      <c r="G4787" s="305" t="s">
        <v>23926</v>
      </c>
      <c r="H4787" s="304"/>
    </row>
    <row r="4788">
      <c r="A4788" s="302" t="s">
        <v>72</v>
      </c>
      <c r="B4788" s="291" t="s">
        <v>24370</v>
      </c>
      <c r="C4788" s="292" t="s">
        <v>48</v>
      </c>
      <c r="D4788" s="293">
        <f t="shared" si="2"/>
        <v>1</v>
      </c>
      <c r="E4788" s="294" t="s">
        <v>24281</v>
      </c>
      <c r="F4788" s="295" t="str">
        <f>IFERROR(__xludf.DUMMYFUNCTION("IF(B4788="""","""",IFERROR(VLOOKUP(TO_TEXT(B4788),PEDIDOS!D:I,6,0),IFERROR(VLOOKUP(B4788*1,PEDIDOS!D:I,6,0),"" "")))")," ")</f>
        <v> </v>
      </c>
      <c r="G4788" s="305" t="s">
        <v>23926</v>
      </c>
      <c r="H4788" s="304"/>
    </row>
    <row r="4789">
      <c r="A4789" s="302" t="s">
        <v>72</v>
      </c>
      <c r="B4789" s="291" t="s">
        <v>24371</v>
      </c>
      <c r="C4789" s="292" t="s">
        <v>48</v>
      </c>
      <c r="D4789" s="293">
        <f t="shared" si="2"/>
        <v>1</v>
      </c>
      <c r="E4789" s="294" t="s">
        <v>24281</v>
      </c>
      <c r="F4789" s="295" t="str">
        <f>IFERROR(__xludf.DUMMYFUNCTION("IF(B4789="""","""",IFERROR(VLOOKUP(TO_TEXT(B4789),PEDIDOS!D:I,6,0),IFERROR(VLOOKUP(B4789*1,PEDIDOS!D:I,6,0),"" "")))")," ")</f>
        <v> </v>
      </c>
      <c r="G4789" s="305" t="s">
        <v>23926</v>
      </c>
      <c r="H4789" s="304"/>
    </row>
    <row r="4790">
      <c r="A4790" s="302" t="s">
        <v>72</v>
      </c>
      <c r="B4790" s="291" t="s">
        <v>24372</v>
      </c>
      <c r="C4790" s="292" t="s">
        <v>48</v>
      </c>
      <c r="D4790" s="293">
        <f t="shared" si="2"/>
        <v>1</v>
      </c>
      <c r="E4790" s="294" t="s">
        <v>24281</v>
      </c>
      <c r="F4790" s="295" t="str">
        <f>IFERROR(__xludf.DUMMYFUNCTION("IF(B4790="""","""",IFERROR(VLOOKUP(TO_TEXT(B4790),PEDIDOS!D:I,6,0),IFERROR(VLOOKUP(B4790*1,PEDIDOS!D:I,6,0),"" "")))")," ")</f>
        <v> </v>
      </c>
      <c r="G4790" s="305" t="s">
        <v>23926</v>
      </c>
      <c r="H4790" s="304"/>
    </row>
    <row r="4791">
      <c r="A4791" s="302" t="s">
        <v>72</v>
      </c>
      <c r="B4791" s="291" t="s">
        <v>24373</v>
      </c>
      <c r="C4791" s="292" t="s">
        <v>48</v>
      </c>
      <c r="D4791" s="293">
        <f t="shared" si="2"/>
        <v>1</v>
      </c>
      <c r="E4791" s="294" t="s">
        <v>24281</v>
      </c>
      <c r="F4791" s="295" t="str">
        <f>IFERROR(__xludf.DUMMYFUNCTION("IF(B4791="""","""",IFERROR(VLOOKUP(TO_TEXT(B4791),PEDIDOS!D:I,6,0),IFERROR(VLOOKUP(B4791*1,PEDIDOS!D:I,6,0),"" "")))")," ")</f>
        <v> </v>
      </c>
      <c r="G4791" s="305" t="s">
        <v>23926</v>
      </c>
      <c r="H4791" s="304"/>
    </row>
    <row r="4792">
      <c r="A4792" s="302" t="s">
        <v>72</v>
      </c>
      <c r="B4792" s="291" t="s">
        <v>24374</v>
      </c>
      <c r="C4792" s="292" t="s">
        <v>48</v>
      </c>
      <c r="D4792" s="293">
        <f t="shared" si="2"/>
        <v>1</v>
      </c>
      <c r="E4792" s="294" t="s">
        <v>24281</v>
      </c>
      <c r="F4792" s="295" t="str">
        <f>IFERROR(__xludf.DUMMYFUNCTION("IF(B4792="""","""",IFERROR(VLOOKUP(TO_TEXT(B4792),PEDIDOS!D:I,6,0),IFERROR(VLOOKUP(B4792*1,PEDIDOS!D:I,6,0),"" "")))")," ")</f>
        <v> </v>
      </c>
      <c r="G4792" s="305" t="s">
        <v>23926</v>
      </c>
      <c r="H4792" s="304"/>
    </row>
    <row r="4793">
      <c r="A4793" s="302" t="s">
        <v>72</v>
      </c>
      <c r="B4793" s="291" t="s">
        <v>24375</v>
      </c>
      <c r="C4793" s="292" t="s">
        <v>48</v>
      </c>
      <c r="D4793" s="293">
        <f t="shared" si="2"/>
        <v>1</v>
      </c>
      <c r="E4793" s="294" t="s">
        <v>24281</v>
      </c>
      <c r="F4793" s="295" t="str">
        <f>IFERROR(__xludf.DUMMYFUNCTION("IF(B4793="""","""",IFERROR(VLOOKUP(TO_TEXT(B4793),PEDIDOS!D:I,6,0),IFERROR(VLOOKUP(B4793*1,PEDIDOS!D:I,6,0),"" "")))")," ")</f>
        <v> </v>
      </c>
      <c r="G4793" s="305" t="s">
        <v>23926</v>
      </c>
      <c r="H4793" s="304"/>
    </row>
    <row r="4794">
      <c r="A4794" s="302" t="s">
        <v>72</v>
      </c>
      <c r="B4794" s="291" t="s">
        <v>24376</v>
      </c>
      <c r="C4794" s="292" t="s">
        <v>48</v>
      </c>
      <c r="D4794" s="293">
        <f t="shared" si="2"/>
        <v>1</v>
      </c>
      <c r="E4794" s="294" t="s">
        <v>24281</v>
      </c>
      <c r="F4794" s="295" t="str">
        <f>IFERROR(__xludf.DUMMYFUNCTION("IF(B4794="""","""",IFERROR(VLOOKUP(TO_TEXT(B4794),PEDIDOS!D:I,6,0),IFERROR(VLOOKUP(B4794*1,PEDIDOS!D:I,6,0),"" "")))")," ")</f>
        <v> </v>
      </c>
      <c r="G4794" s="305" t="s">
        <v>23926</v>
      </c>
      <c r="H4794" s="304"/>
    </row>
    <row r="4795">
      <c r="A4795" s="302" t="s">
        <v>72</v>
      </c>
      <c r="B4795" s="291" t="s">
        <v>24377</v>
      </c>
      <c r="C4795" s="292" t="s">
        <v>48</v>
      </c>
      <c r="D4795" s="293">
        <f t="shared" si="2"/>
        <v>1</v>
      </c>
      <c r="E4795" s="294" t="s">
        <v>24281</v>
      </c>
      <c r="F4795" s="295" t="str">
        <f>IFERROR(__xludf.DUMMYFUNCTION("IF(B4795="""","""",IFERROR(VLOOKUP(TO_TEXT(B4795),PEDIDOS!D:I,6,0),IFERROR(VLOOKUP(B4795*1,PEDIDOS!D:I,6,0),"" "")))")," ")</f>
        <v> </v>
      </c>
      <c r="G4795" s="305" t="s">
        <v>23926</v>
      </c>
      <c r="H4795" s="304"/>
    </row>
    <row r="4796">
      <c r="A4796" s="302" t="s">
        <v>72</v>
      </c>
      <c r="B4796" s="291" t="s">
        <v>24378</v>
      </c>
      <c r="C4796" s="292" t="s">
        <v>48</v>
      </c>
      <c r="D4796" s="293">
        <f t="shared" si="2"/>
        <v>1</v>
      </c>
      <c r="E4796" s="294" t="s">
        <v>24281</v>
      </c>
      <c r="F4796" s="295" t="str">
        <f>IFERROR(__xludf.DUMMYFUNCTION("IF(B4796="""","""",IFERROR(VLOOKUP(TO_TEXT(B4796),PEDIDOS!D:I,6,0),IFERROR(VLOOKUP(B4796*1,PEDIDOS!D:I,6,0),"" "")))")," ")</f>
        <v> </v>
      </c>
      <c r="G4796" s="305" t="s">
        <v>23926</v>
      </c>
      <c r="H4796" s="304"/>
    </row>
    <row r="4797">
      <c r="A4797" s="302" t="s">
        <v>72</v>
      </c>
      <c r="B4797" s="291" t="s">
        <v>24379</v>
      </c>
      <c r="C4797" s="292" t="s">
        <v>48</v>
      </c>
      <c r="D4797" s="293">
        <f t="shared" si="2"/>
        <v>1</v>
      </c>
      <c r="E4797" s="294" t="s">
        <v>24281</v>
      </c>
      <c r="F4797" s="295" t="str">
        <f>IFERROR(__xludf.DUMMYFUNCTION("IF(B4797="""","""",IFERROR(VLOOKUP(TO_TEXT(B4797),PEDIDOS!D:I,6,0),IFERROR(VLOOKUP(B4797*1,PEDIDOS!D:I,6,0),"" "")))")," ")</f>
        <v> </v>
      </c>
      <c r="G4797" s="305" t="s">
        <v>23926</v>
      </c>
      <c r="H4797" s="304"/>
    </row>
    <row r="4798">
      <c r="A4798" s="302" t="s">
        <v>72</v>
      </c>
      <c r="B4798" s="291" t="s">
        <v>24380</v>
      </c>
      <c r="C4798" s="292" t="s">
        <v>48</v>
      </c>
      <c r="D4798" s="293">
        <f t="shared" si="2"/>
        <v>1</v>
      </c>
      <c r="E4798" s="294" t="s">
        <v>24281</v>
      </c>
      <c r="F4798" s="295" t="str">
        <f>IFERROR(__xludf.DUMMYFUNCTION("IF(B4798="""","""",IFERROR(VLOOKUP(TO_TEXT(B4798),PEDIDOS!D:I,6,0),IFERROR(VLOOKUP(B4798*1,PEDIDOS!D:I,6,0),"" "")))")," ")</f>
        <v> </v>
      </c>
      <c r="G4798" s="305" t="s">
        <v>23926</v>
      </c>
      <c r="H4798" s="304"/>
    </row>
    <row r="4799">
      <c r="A4799" s="302" t="s">
        <v>72</v>
      </c>
      <c r="B4799" s="291" t="s">
        <v>24381</v>
      </c>
      <c r="C4799" s="292" t="s">
        <v>48</v>
      </c>
      <c r="D4799" s="293">
        <f t="shared" si="2"/>
        <v>1</v>
      </c>
      <c r="E4799" s="294" t="s">
        <v>24281</v>
      </c>
      <c r="F4799" s="295" t="str">
        <f>IFERROR(__xludf.DUMMYFUNCTION("IF(B4799="""","""",IFERROR(VLOOKUP(TO_TEXT(B4799),PEDIDOS!D:I,6,0),IFERROR(VLOOKUP(B4799*1,PEDIDOS!D:I,6,0),"" "")))")," ")</f>
        <v> </v>
      </c>
      <c r="G4799" s="305" t="s">
        <v>23926</v>
      </c>
      <c r="H4799" s="304"/>
    </row>
    <row r="4800">
      <c r="A4800" s="302" t="s">
        <v>72</v>
      </c>
      <c r="B4800" s="291" t="s">
        <v>24382</v>
      </c>
      <c r="C4800" s="292" t="s">
        <v>48</v>
      </c>
      <c r="D4800" s="293">
        <f t="shared" si="2"/>
        <v>1</v>
      </c>
      <c r="E4800" s="294" t="s">
        <v>24281</v>
      </c>
      <c r="F4800" s="295" t="str">
        <f>IFERROR(__xludf.DUMMYFUNCTION("IF(B4800="""","""",IFERROR(VLOOKUP(TO_TEXT(B4800),PEDIDOS!D:I,6,0),IFERROR(VLOOKUP(B4800*1,PEDIDOS!D:I,6,0),"" "")))")," ")</f>
        <v> </v>
      </c>
      <c r="G4800" s="305" t="s">
        <v>23926</v>
      </c>
      <c r="H4800" s="304"/>
    </row>
    <row r="4801">
      <c r="A4801" s="302" t="s">
        <v>85</v>
      </c>
      <c r="B4801" s="291" t="s">
        <v>24383</v>
      </c>
      <c r="C4801" s="292" t="s">
        <v>48</v>
      </c>
      <c r="D4801" s="293">
        <f t="shared" si="2"/>
        <v>1</v>
      </c>
      <c r="E4801" s="294" t="s">
        <v>24281</v>
      </c>
      <c r="F4801" s="295" t="str">
        <f>IFERROR(__xludf.DUMMYFUNCTION("IF(B4801="""","""",IFERROR(VLOOKUP(TO_TEXT(B4801),PEDIDOS!D:I,6,0),IFERROR(VLOOKUP(B4801*1,PEDIDOS!D:I,6,0),"" "")))")," ")</f>
        <v> </v>
      </c>
      <c r="G4801" s="305" t="s">
        <v>23926</v>
      </c>
      <c r="H4801" s="304"/>
    </row>
    <row r="4802">
      <c r="A4802" s="302" t="s">
        <v>85</v>
      </c>
      <c r="B4802" s="291" t="s">
        <v>24384</v>
      </c>
      <c r="C4802" s="292" t="s">
        <v>48</v>
      </c>
      <c r="D4802" s="293">
        <f t="shared" si="2"/>
        <v>1</v>
      </c>
      <c r="E4802" s="294" t="s">
        <v>24281</v>
      </c>
      <c r="F4802" s="295" t="str">
        <f>IFERROR(__xludf.DUMMYFUNCTION("IF(B4802="""","""",IFERROR(VLOOKUP(TO_TEXT(B4802),PEDIDOS!D:I,6,0),IFERROR(VLOOKUP(B4802*1,PEDIDOS!D:I,6,0),"" "")))")," ")</f>
        <v> </v>
      </c>
      <c r="G4802" s="305" t="s">
        <v>23926</v>
      </c>
      <c r="H4802" s="304"/>
    </row>
    <row r="4803">
      <c r="A4803" s="302" t="s">
        <v>85</v>
      </c>
      <c r="B4803" s="291" t="s">
        <v>24385</v>
      </c>
      <c r="C4803" s="292" t="s">
        <v>48</v>
      </c>
      <c r="D4803" s="293">
        <f t="shared" si="2"/>
        <v>1</v>
      </c>
      <c r="E4803" s="294" t="s">
        <v>24281</v>
      </c>
      <c r="F4803" s="295" t="str">
        <f>IFERROR(__xludf.DUMMYFUNCTION("IF(B4803="""","""",IFERROR(VLOOKUP(TO_TEXT(B4803),PEDIDOS!D:I,6,0),IFERROR(VLOOKUP(B4803*1,PEDIDOS!D:I,6,0),"" "")))")," ")</f>
        <v> </v>
      </c>
      <c r="G4803" s="305" t="s">
        <v>23926</v>
      </c>
      <c r="H4803" s="304"/>
    </row>
    <row r="4804">
      <c r="A4804" s="302" t="s">
        <v>85</v>
      </c>
      <c r="B4804" s="291" t="s">
        <v>24386</v>
      </c>
      <c r="C4804" s="292" t="s">
        <v>48</v>
      </c>
      <c r="D4804" s="293">
        <f t="shared" si="2"/>
        <v>1</v>
      </c>
      <c r="E4804" s="294" t="s">
        <v>24281</v>
      </c>
      <c r="F4804" s="295" t="str">
        <f>IFERROR(__xludf.DUMMYFUNCTION("IF(B4804="""","""",IFERROR(VLOOKUP(TO_TEXT(B4804),PEDIDOS!D:I,6,0),IFERROR(VLOOKUP(B4804*1,PEDIDOS!D:I,6,0),"" "")))")," ")</f>
        <v> </v>
      </c>
      <c r="G4804" s="305" t="s">
        <v>23926</v>
      </c>
      <c r="H4804" s="304"/>
    </row>
    <row r="4805">
      <c r="A4805" s="302" t="s">
        <v>85</v>
      </c>
      <c r="B4805" s="291" t="s">
        <v>24387</v>
      </c>
      <c r="C4805" s="292" t="s">
        <v>48</v>
      </c>
      <c r="D4805" s="293">
        <f t="shared" si="2"/>
        <v>1</v>
      </c>
      <c r="E4805" s="294" t="s">
        <v>24281</v>
      </c>
      <c r="F4805" s="295" t="str">
        <f>IFERROR(__xludf.DUMMYFUNCTION("IF(B4805="""","""",IFERROR(VLOOKUP(TO_TEXT(B4805),PEDIDOS!D:I,6,0),IFERROR(VLOOKUP(B4805*1,PEDIDOS!D:I,6,0),"" "")))")," ")</f>
        <v> </v>
      </c>
      <c r="G4805" s="305" t="s">
        <v>23926</v>
      </c>
      <c r="H4805" s="304"/>
    </row>
    <row r="4806">
      <c r="A4806" s="302" t="s">
        <v>85</v>
      </c>
      <c r="B4806" s="291" t="s">
        <v>24388</v>
      </c>
      <c r="C4806" s="292" t="s">
        <v>48</v>
      </c>
      <c r="D4806" s="293">
        <f t="shared" si="2"/>
        <v>1</v>
      </c>
      <c r="E4806" s="294" t="s">
        <v>24281</v>
      </c>
      <c r="F4806" s="295" t="str">
        <f>IFERROR(__xludf.DUMMYFUNCTION("IF(B4806="""","""",IFERROR(VLOOKUP(TO_TEXT(B4806),PEDIDOS!D:I,6,0),IFERROR(VLOOKUP(B4806*1,PEDIDOS!D:I,6,0),"" "")))")," ")</f>
        <v> </v>
      </c>
      <c r="G4806" s="305" t="s">
        <v>23926</v>
      </c>
      <c r="H4806" s="304"/>
    </row>
    <row r="4807">
      <c r="A4807" s="302" t="s">
        <v>85</v>
      </c>
      <c r="B4807" s="291" t="s">
        <v>24389</v>
      </c>
      <c r="C4807" s="292" t="s">
        <v>48</v>
      </c>
      <c r="D4807" s="293">
        <f t="shared" si="2"/>
        <v>1</v>
      </c>
      <c r="E4807" s="294" t="s">
        <v>24281</v>
      </c>
      <c r="F4807" s="295" t="str">
        <f>IFERROR(__xludf.DUMMYFUNCTION("IF(B4807="""","""",IFERROR(VLOOKUP(TO_TEXT(B4807),PEDIDOS!D:I,6,0),IFERROR(VLOOKUP(B4807*1,PEDIDOS!D:I,6,0),"" "")))")," ")</f>
        <v> </v>
      </c>
      <c r="G4807" s="305" t="s">
        <v>23926</v>
      </c>
      <c r="H4807" s="304"/>
    </row>
    <row r="4808">
      <c r="A4808" s="302" t="s">
        <v>85</v>
      </c>
      <c r="B4808" s="291" t="s">
        <v>24390</v>
      </c>
      <c r="C4808" s="292" t="s">
        <v>48</v>
      </c>
      <c r="D4808" s="293">
        <f t="shared" si="2"/>
        <v>1</v>
      </c>
      <c r="E4808" s="294" t="s">
        <v>24281</v>
      </c>
      <c r="F4808" s="295" t="str">
        <f>IFERROR(__xludf.DUMMYFUNCTION("IF(B4808="""","""",IFERROR(VLOOKUP(TO_TEXT(B4808),PEDIDOS!D:I,6,0),IFERROR(VLOOKUP(B4808*1,PEDIDOS!D:I,6,0),"" "")))")," ")</f>
        <v> </v>
      </c>
      <c r="G4808" s="305" t="s">
        <v>23926</v>
      </c>
      <c r="H4808" s="304"/>
    </row>
    <row r="4809">
      <c r="A4809" s="302" t="s">
        <v>85</v>
      </c>
      <c r="B4809" s="291" t="s">
        <v>24391</v>
      </c>
      <c r="C4809" s="292" t="s">
        <v>48</v>
      </c>
      <c r="D4809" s="293">
        <f t="shared" si="2"/>
        <v>1</v>
      </c>
      <c r="E4809" s="294" t="s">
        <v>24281</v>
      </c>
      <c r="F4809" s="295" t="str">
        <f>IFERROR(__xludf.DUMMYFUNCTION("IF(B4809="""","""",IFERROR(VLOOKUP(TO_TEXT(B4809),PEDIDOS!D:I,6,0),IFERROR(VLOOKUP(B4809*1,PEDIDOS!D:I,6,0),"" "")))")," ")</f>
        <v> </v>
      </c>
      <c r="G4809" s="305" t="s">
        <v>23926</v>
      </c>
      <c r="H4809" s="304"/>
    </row>
    <row r="4810">
      <c r="A4810" s="302" t="s">
        <v>85</v>
      </c>
      <c r="B4810" s="291" t="s">
        <v>24392</v>
      </c>
      <c r="C4810" s="292" t="s">
        <v>48</v>
      </c>
      <c r="D4810" s="293">
        <f t="shared" si="2"/>
        <v>1</v>
      </c>
      <c r="E4810" s="294" t="s">
        <v>24281</v>
      </c>
      <c r="F4810" s="295" t="str">
        <f>IFERROR(__xludf.DUMMYFUNCTION("IF(B4810="""","""",IFERROR(VLOOKUP(TO_TEXT(B4810),PEDIDOS!D:I,6,0),IFERROR(VLOOKUP(B4810*1,PEDIDOS!D:I,6,0),"" "")))")," ")</f>
        <v> </v>
      </c>
      <c r="G4810" s="305" t="s">
        <v>23926</v>
      </c>
      <c r="H4810" s="304"/>
    </row>
    <row r="4811">
      <c r="A4811" s="302" t="s">
        <v>91</v>
      </c>
      <c r="B4811" s="291" t="s">
        <v>24393</v>
      </c>
      <c r="C4811" s="292" t="s">
        <v>48</v>
      </c>
      <c r="D4811" s="293">
        <f t="shared" si="2"/>
        <v>1</v>
      </c>
      <c r="E4811" s="294" t="s">
        <v>24281</v>
      </c>
      <c r="F4811" s="295" t="str">
        <f>IFERROR(__xludf.DUMMYFUNCTION("IF(B4811="""","""",IFERROR(VLOOKUP(TO_TEXT(B4811),PEDIDOS!D:I,6,0),IFERROR(VLOOKUP(B4811*1,PEDIDOS!D:I,6,0),"" "")))")," ")</f>
        <v> </v>
      </c>
      <c r="G4811" s="305" t="s">
        <v>23926</v>
      </c>
      <c r="H4811" s="304"/>
    </row>
    <row r="4812">
      <c r="A4812" s="302" t="s">
        <v>91</v>
      </c>
      <c r="B4812" s="291" t="s">
        <v>24394</v>
      </c>
      <c r="C4812" s="292" t="s">
        <v>48</v>
      </c>
      <c r="D4812" s="293">
        <f t="shared" si="2"/>
        <v>1</v>
      </c>
      <c r="E4812" s="294" t="s">
        <v>24281</v>
      </c>
      <c r="F4812" s="295" t="str">
        <f>IFERROR(__xludf.DUMMYFUNCTION("IF(B4812="""","""",IFERROR(VLOOKUP(TO_TEXT(B4812),PEDIDOS!D:I,6,0),IFERROR(VLOOKUP(B4812*1,PEDIDOS!D:I,6,0),"" "")))")," ")</f>
        <v> </v>
      </c>
      <c r="G4812" s="305" t="s">
        <v>23926</v>
      </c>
      <c r="H4812" s="304"/>
    </row>
    <row r="4813">
      <c r="A4813" s="302" t="s">
        <v>91</v>
      </c>
      <c r="B4813" s="291" t="s">
        <v>24395</v>
      </c>
      <c r="C4813" s="292" t="s">
        <v>48</v>
      </c>
      <c r="D4813" s="293">
        <f t="shared" si="2"/>
        <v>1</v>
      </c>
      <c r="E4813" s="294" t="s">
        <v>24281</v>
      </c>
      <c r="F4813" s="295" t="str">
        <f>IFERROR(__xludf.DUMMYFUNCTION("IF(B4813="""","""",IFERROR(VLOOKUP(TO_TEXT(B4813),PEDIDOS!D:I,6,0),IFERROR(VLOOKUP(B4813*1,PEDIDOS!D:I,6,0),"" "")))")," ")</f>
        <v> </v>
      </c>
      <c r="G4813" s="305" t="s">
        <v>23926</v>
      </c>
      <c r="H4813" s="304"/>
    </row>
    <row r="4814">
      <c r="A4814" s="302" t="s">
        <v>91</v>
      </c>
      <c r="B4814" s="291" t="s">
        <v>24396</v>
      </c>
      <c r="C4814" s="292" t="s">
        <v>48</v>
      </c>
      <c r="D4814" s="293">
        <f t="shared" si="2"/>
        <v>1</v>
      </c>
      <c r="E4814" s="294" t="s">
        <v>24281</v>
      </c>
      <c r="F4814" s="295" t="str">
        <f>IFERROR(__xludf.DUMMYFUNCTION("IF(B4814="""","""",IFERROR(VLOOKUP(TO_TEXT(B4814),PEDIDOS!D:I,6,0),IFERROR(VLOOKUP(B4814*1,PEDIDOS!D:I,6,0),"" "")))")," ")</f>
        <v> </v>
      </c>
      <c r="G4814" s="305" t="s">
        <v>23926</v>
      </c>
      <c r="H4814" s="304"/>
    </row>
    <row r="4815">
      <c r="A4815" s="302" t="s">
        <v>91</v>
      </c>
      <c r="B4815" s="291" t="s">
        <v>24397</v>
      </c>
      <c r="C4815" s="292" t="s">
        <v>48</v>
      </c>
      <c r="D4815" s="293">
        <f t="shared" si="2"/>
        <v>1</v>
      </c>
      <c r="E4815" s="294" t="s">
        <v>24281</v>
      </c>
      <c r="F4815" s="295" t="str">
        <f>IFERROR(__xludf.DUMMYFUNCTION("IF(B4815="""","""",IFERROR(VLOOKUP(TO_TEXT(B4815),PEDIDOS!D:I,6,0),IFERROR(VLOOKUP(B4815*1,PEDIDOS!D:I,6,0),"" "")))")," ")</f>
        <v> </v>
      </c>
      <c r="G4815" s="305" t="s">
        <v>23926</v>
      </c>
      <c r="H4815" s="304"/>
    </row>
    <row r="4816">
      <c r="A4816" s="302" t="s">
        <v>91</v>
      </c>
      <c r="B4816" s="291" t="s">
        <v>24398</v>
      </c>
      <c r="C4816" s="292" t="s">
        <v>48</v>
      </c>
      <c r="D4816" s="293">
        <f t="shared" si="2"/>
        <v>1</v>
      </c>
      <c r="E4816" s="294" t="s">
        <v>24281</v>
      </c>
      <c r="F4816" s="295" t="str">
        <f>IFERROR(__xludf.DUMMYFUNCTION("IF(B4816="""","""",IFERROR(VLOOKUP(TO_TEXT(B4816),PEDIDOS!D:I,6,0),IFERROR(VLOOKUP(B4816*1,PEDIDOS!D:I,6,0),"" "")))")," ")</f>
        <v> </v>
      </c>
      <c r="G4816" s="305" t="s">
        <v>23926</v>
      </c>
      <c r="H4816" s="304"/>
    </row>
    <row r="4817">
      <c r="A4817" s="302" t="s">
        <v>91</v>
      </c>
      <c r="B4817" s="291" t="s">
        <v>24399</v>
      </c>
      <c r="C4817" s="292" t="s">
        <v>48</v>
      </c>
      <c r="D4817" s="293">
        <f t="shared" si="2"/>
        <v>1</v>
      </c>
      <c r="E4817" s="294" t="s">
        <v>24281</v>
      </c>
      <c r="F4817" s="295" t="str">
        <f>IFERROR(__xludf.DUMMYFUNCTION("IF(B4817="""","""",IFERROR(VLOOKUP(TO_TEXT(B4817),PEDIDOS!D:I,6,0),IFERROR(VLOOKUP(B4817*1,PEDIDOS!D:I,6,0),"" "")))")," ")</f>
        <v> </v>
      </c>
      <c r="G4817" s="305" t="s">
        <v>23926</v>
      </c>
      <c r="H4817" s="304"/>
    </row>
    <row r="4818">
      <c r="A4818" s="302" t="s">
        <v>91</v>
      </c>
      <c r="B4818" s="291" t="s">
        <v>24400</v>
      </c>
      <c r="C4818" s="292" t="s">
        <v>48</v>
      </c>
      <c r="D4818" s="293">
        <f t="shared" si="2"/>
        <v>1</v>
      </c>
      <c r="E4818" s="294" t="s">
        <v>24281</v>
      </c>
      <c r="F4818" s="295" t="str">
        <f>IFERROR(__xludf.DUMMYFUNCTION("IF(B4818="""","""",IFERROR(VLOOKUP(TO_TEXT(B4818),PEDIDOS!D:I,6,0),IFERROR(VLOOKUP(B4818*1,PEDIDOS!D:I,6,0),"" "")))")," ")</f>
        <v> </v>
      </c>
      <c r="G4818" s="305" t="s">
        <v>23926</v>
      </c>
      <c r="H4818" s="304"/>
    </row>
    <row r="4819">
      <c r="A4819" s="302" t="s">
        <v>91</v>
      </c>
      <c r="B4819" s="291" t="s">
        <v>24401</v>
      </c>
      <c r="C4819" s="292" t="s">
        <v>48</v>
      </c>
      <c r="D4819" s="293">
        <f t="shared" si="2"/>
        <v>1</v>
      </c>
      <c r="E4819" s="294" t="s">
        <v>24281</v>
      </c>
      <c r="F4819" s="295" t="str">
        <f>IFERROR(__xludf.DUMMYFUNCTION("IF(B4819="""","""",IFERROR(VLOOKUP(TO_TEXT(B4819),PEDIDOS!D:I,6,0),IFERROR(VLOOKUP(B4819*1,PEDIDOS!D:I,6,0),"" "")))")," ")</f>
        <v> </v>
      </c>
      <c r="G4819" s="305" t="s">
        <v>23926</v>
      </c>
      <c r="H4819" s="304"/>
    </row>
    <row r="4820">
      <c r="A4820" s="302" t="s">
        <v>91</v>
      </c>
      <c r="B4820" s="291" t="s">
        <v>24402</v>
      </c>
      <c r="C4820" s="292" t="s">
        <v>48</v>
      </c>
      <c r="D4820" s="293">
        <f t="shared" si="2"/>
        <v>1</v>
      </c>
      <c r="E4820" s="294" t="s">
        <v>24281</v>
      </c>
      <c r="F4820" s="295" t="str">
        <f>IFERROR(__xludf.DUMMYFUNCTION("IF(B4820="""","""",IFERROR(VLOOKUP(TO_TEXT(B4820),PEDIDOS!D:I,6,0),IFERROR(VLOOKUP(B4820*1,PEDIDOS!D:I,6,0),"" "")))")," ")</f>
        <v> </v>
      </c>
      <c r="G4820" s="305" t="s">
        <v>23926</v>
      </c>
      <c r="H4820" s="304"/>
    </row>
    <row r="4821">
      <c r="A4821" s="302" t="s">
        <v>91</v>
      </c>
      <c r="B4821" s="291" t="s">
        <v>24403</v>
      </c>
      <c r="C4821" s="292" t="s">
        <v>48</v>
      </c>
      <c r="D4821" s="293">
        <f t="shared" si="2"/>
        <v>1</v>
      </c>
      <c r="E4821" s="294" t="s">
        <v>24281</v>
      </c>
      <c r="F4821" s="295" t="str">
        <f>IFERROR(__xludf.DUMMYFUNCTION("IF(B4821="""","""",IFERROR(VLOOKUP(TO_TEXT(B4821),PEDIDOS!D:I,6,0),IFERROR(VLOOKUP(B4821*1,PEDIDOS!D:I,6,0),"" "")))")," ")</f>
        <v> </v>
      </c>
      <c r="G4821" s="305" t="s">
        <v>23926</v>
      </c>
      <c r="H4821" s="304"/>
    </row>
    <row r="4822">
      <c r="A4822" s="302" t="s">
        <v>91</v>
      </c>
      <c r="B4822" s="291" t="s">
        <v>24404</v>
      </c>
      <c r="C4822" s="292" t="s">
        <v>48</v>
      </c>
      <c r="D4822" s="293">
        <f t="shared" si="2"/>
        <v>1</v>
      </c>
      <c r="E4822" s="294" t="s">
        <v>24281</v>
      </c>
      <c r="F4822" s="295" t="str">
        <f>IFERROR(__xludf.DUMMYFUNCTION("IF(B4822="""","""",IFERROR(VLOOKUP(TO_TEXT(B4822),PEDIDOS!D:I,6,0),IFERROR(VLOOKUP(B4822*1,PEDIDOS!D:I,6,0),"" "")))")," ")</f>
        <v> </v>
      </c>
      <c r="G4822" s="305" t="s">
        <v>23926</v>
      </c>
      <c r="H4822" s="304"/>
    </row>
    <row r="4823">
      <c r="A4823" s="302" t="s">
        <v>112</v>
      </c>
      <c r="B4823" s="291" t="s">
        <v>24405</v>
      </c>
      <c r="C4823" s="292" t="s">
        <v>48</v>
      </c>
      <c r="D4823" s="293">
        <f t="shared" si="2"/>
        <v>1</v>
      </c>
      <c r="E4823" s="294" t="s">
        <v>24281</v>
      </c>
      <c r="F4823" s="295" t="str">
        <f>IFERROR(__xludf.DUMMYFUNCTION("IF(B4823="""","""",IFERROR(VLOOKUP(TO_TEXT(B4823),PEDIDOS!D:I,6,0),IFERROR(VLOOKUP(B4823*1,PEDIDOS!D:I,6,0),"" "")))")," ")</f>
        <v> </v>
      </c>
      <c r="G4823" s="305" t="s">
        <v>23926</v>
      </c>
      <c r="H4823" s="304"/>
    </row>
    <row r="4824">
      <c r="A4824" s="302" t="s">
        <v>112</v>
      </c>
      <c r="B4824" s="291" t="s">
        <v>24406</v>
      </c>
      <c r="C4824" s="292" t="s">
        <v>48</v>
      </c>
      <c r="D4824" s="293">
        <f t="shared" si="2"/>
        <v>1</v>
      </c>
      <c r="E4824" s="294" t="s">
        <v>24281</v>
      </c>
      <c r="F4824" s="295" t="str">
        <f>IFERROR(__xludf.DUMMYFUNCTION("IF(B4824="""","""",IFERROR(VLOOKUP(TO_TEXT(B4824),PEDIDOS!D:I,6,0),IFERROR(VLOOKUP(B4824*1,PEDIDOS!D:I,6,0),"" "")))")," ")</f>
        <v> </v>
      </c>
      <c r="G4824" s="305" t="s">
        <v>23926</v>
      </c>
      <c r="H4824" s="304"/>
    </row>
    <row r="4825">
      <c r="A4825" s="302" t="s">
        <v>112</v>
      </c>
      <c r="B4825" s="291" t="s">
        <v>24407</v>
      </c>
      <c r="C4825" s="292" t="s">
        <v>48</v>
      </c>
      <c r="D4825" s="293">
        <f t="shared" si="2"/>
        <v>1</v>
      </c>
      <c r="E4825" s="294" t="s">
        <v>24281</v>
      </c>
      <c r="F4825" s="295" t="str">
        <f>IFERROR(__xludf.DUMMYFUNCTION("IF(B4825="""","""",IFERROR(VLOOKUP(TO_TEXT(B4825),PEDIDOS!D:I,6,0),IFERROR(VLOOKUP(B4825*1,PEDIDOS!D:I,6,0),"" "")))")," ")</f>
        <v> </v>
      </c>
      <c r="G4825" s="305" t="s">
        <v>23926</v>
      </c>
      <c r="H4825" s="304"/>
    </row>
    <row r="4826">
      <c r="A4826" s="302" t="s">
        <v>112</v>
      </c>
      <c r="B4826" s="291" t="s">
        <v>24408</v>
      </c>
      <c r="C4826" s="292" t="s">
        <v>48</v>
      </c>
      <c r="D4826" s="293">
        <f t="shared" si="2"/>
        <v>1</v>
      </c>
      <c r="E4826" s="294" t="s">
        <v>24281</v>
      </c>
      <c r="F4826" s="295" t="str">
        <f>IFERROR(__xludf.DUMMYFUNCTION("IF(B4826="""","""",IFERROR(VLOOKUP(TO_TEXT(B4826),PEDIDOS!D:I,6,0),IFERROR(VLOOKUP(B4826*1,PEDIDOS!D:I,6,0),"" "")))")," ")</f>
        <v> </v>
      </c>
      <c r="G4826" s="305" t="s">
        <v>23926</v>
      </c>
      <c r="H4826" s="304"/>
    </row>
    <row r="4827">
      <c r="A4827" s="302" t="s">
        <v>112</v>
      </c>
      <c r="B4827" s="291" t="s">
        <v>24409</v>
      </c>
      <c r="C4827" s="292" t="s">
        <v>48</v>
      </c>
      <c r="D4827" s="293">
        <f t="shared" si="2"/>
        <v>1</v>
      </c>
      <c r="E4827" s="294" t="s">
        <v>24281</v>
      </c>
      <c r="F4827" s="295" t="str">
        <f>IFERROR(__xludf.DUMMYFUNCTION("IF(B4827="""","""",IFERROR(VLOOKUP(TO_TEXT(B4827),PEDIDOS!D:I,6,0),IFERROR(VLOOKUP(B4827*1,PEDIDOS!D:I,6,0),"" "")))")," ")</f>
        <v> </v>
      </c>
      <c r="G4827" s="305" t="s">
        <v>23926</v>
      </c>
      <c r="H4827" s="304"/>
    </row>
    <row r="4828">
      <c r="A4828" s="302" t="s">
        <v>112</v>
      </c>
      <c r="B4828" s="291" t="s">
        <v>24410</v>
      </c>
      <c r="C4828" s="292" t="s">
        <v>48</v>
      </c>
      <c r="D4828" s="293">
        <f t="shared" si="2"/>
        <v>1</v>
      </c>
      <c r="E4828" s="294" t="s">
        <v>24281</v>
      </c>
      <c r="F4828" s="295" t="str">
        <f>IFERROR(__xludf.DUMMYFUNCTION("IF(B4828="""","""",IFERROR(VLOOKUP(TO_TEXT(B4828),PEDIDOS!D:I,6,0),IFERROR(VLOOKUP(B4828*1,PEDIDOS!D:I,6,0),"" "")))")," ")</f>
        <v> </v>
      </c>
      <c r="G4828" s="305" t="s">
        <v>23926</v>
      </c>
      <c r="H4828" s="304"/>
    </row>
    <row r="4829">
      <c r="A4829" s="302" t="s">
        <v>112</v>
      </c>
      <c r="B4829" s="291" t="s">
        <v>24411</v>
      </c>
      <c r="C4829" s="292" t="s">
        <v>48</v>
      </c>
      <c r="D4829" s="293">
        <f t="shared" si="2"/>
        <v>1</v>
      </c>
      <c r="E4829" s="294" t="s">
        <v>24281</v>
      </c>
      <c r="F4829" s="295" t="str">
        <f>IFERROR(__xludf.DUMMYFUNCTION("IF(B4829="""","""",IFERROR(VLOOKUP(TO_TEXT(B4829),PEDIDOS!D:I,6,0),IFERROR(VLOOKUP(B4829*1,PEDIDOS!D:I,6,0),"" "")))")," ")</f>
        <v> </v>
      </c>
      <c r="G4829" s="305" t="s">
        <v>23926</v>
      </c>
      <c r="H4829" s="304"/>
    </row>
    <row r="4830">
      <c r="A4830" s="302" t="s">
        <v>112</v>
      </c>
      <c r="B4830" s="291" t="s">
        <v>24412</v>
      </c>
      <c r="C4830" s="292" t="s">
        <v>48</v>
      </c>
      <c r="D4830" s="293">
        <f t="shared" si="2"/>
        <v>1</v>
      </c>
      <c r="E4830" s="294" t="s">
        <v>24281</v>
      </c>
      <c r="F4830" s="295" t="str">
        <f>IFERROR(__xludf.DUMMYFUNCTION("IF(B4830="""","""",IFERROR(VLOOKUP(TO_TEXT(B4830),PEDIDOS!D:I,6,0),IFERROR(VLOOKUP(B4830*1,PEDIDOS!D:I,6,0),"" "")))")," ")</f>
        <v> </v>
      </c>
      <c r="G4830" s="305" t="s">
        <v>23926</v>
      </c>
      <c r="H4830" s="304"/>
    </row>
    <row r="4831">
      <c r="A4831" s="302" t="s">
        <v>112</v>
      </c>
      <c r="B4831" s="291" t="s">
        <v>24413</v>
      </c>
      <c r="C4831" s="292" t="s">
        <v>48</v>
      </c>
      <c r="D4831" s="293">
        <f t="shared" si="2"/>
        <v>1</v>
      </c>
      <c r="E4831" s="294" t="s">
        <v>24281</v>
      </c>
      <c r="F4831" s="295" t="str">
        <f>IFERROR(__xludf.DUMMYFUNCTION("IF(B4831="""","""",IFERROR(VLOOKUP(TO_TEXT(B4831),PEDIDOS!D:I,6,0),IFERROR(VLOOKUP(B4831*1,PEDIDOS!D:I,6,0),"" "")))")," ")</f>
        <v> </v>
      </c>
      <c r="G4831" s="305" t="s">
        <v>23926</v>
      </c>
      <c r="H4831" s="304"/>
    </row>
    <row r="4832">
      <c r="A4832" s="302" t="s">
        <v>112</v>
      </c>
      <c r="B4832" s="291" t="s">
        <v>24414</v>
      </c>
      <c r="C4832" s="292" t="s">
        <v>48</v>
      </c>
      <c r="D4832" s="293">
        <f t="shared" si="2"/>
        <v>1</v>
      </c>
      <c r="E4832" s="294" t="s">
        <v>24281</v>
      </c>
      <c r="F4832" s="295" t="str">
        <f>IFERROR(__xludf.DUMMYFUNCTION("IF(B4832="""","""",IFERROR(VLOOKUP(TO_TEXT(B4832),PEDIDOS!D:I,6,0),IFERROR(VLOOKUP(B4832*1,PEDIDOS!D:I,6,0),"" "")))")," ")</f>
        <v> </v>
      </c>
      <c r="G4832" s="305" t="s">
        <v>23926</v>
      </c>
      <c r="H4832" s="304"/>
    </row>
    <row r="4833">
      <c r="A4833" s="302" t="s">
        <v>112</v>
      </c>
      <c r="B4833" s="291" t="s">
        <v>24415</v>
      </c>
      <c r="C4833" s="292" t="s">
        <v>48</v>
      </c>
      <c r="D4833" s="293">
        <f t="shared" si="2"/>
        <v>1</v>
      </c>
      <c r="E4833" s="294" t="s">
        <v>24281</v>
      </c>
      <c r="F4833" s="295" t="str">
        <f>IFERROR(__xludf.DUMMYFUNCTION("IF(B4833="""","""",IFERROR(VLOOKUP(TO_TEXT(B4833),PEDIDOS!D:I,6,0),IFERROR(VLOOKUP(B4833*1,PEDIDOS!D:I,6,0),"" "")))")," ")</f>
        <v> </v>
      </c>
      <c r="G4833" s="305" t="s">
        <v>23926</v>
      </c>
      <c r="H4833" s="304"/>
    </row>
    <row r="4834">
      <c r="A4834" s="302" t="s">
        <v>112</v>
      </c>
      <c r="B4834" s="291" t="s">
        <v>24416</v>
      </c>
      <c r="C4834" s="292" t="s">
        <v>48</v>
      </c>
      <c r="D4834" s="293">
        <f t="shared" si="2"/>
        <v>1</v>
      </c>
      <c r="E4834" s="294" t="s">
        <v>24281</v>
      </c>
      <c r="F4834" s="295" t="str">
        <f>IFERROR(__xludf.DUMMYFUNCTION("IF(B4834="""","""",IFERROR(VLOOKUP(TO_TEXT(B4834),PEDIDOS!D:I,6,0),IFERROR(VLOOKUP(B4834*1,PEDIDOS!D:I,6,0),"" "")))")," ")</f>
        <v> </v>
      </c>
      <c r="G4834" s="305" t="s">
        <v>23926</v>
      </c>
      <c r="H4834" s="304"/>
    </row>
    <row r="4835">
      <c r="A4835" s="302" t="s">
        <v>112</v>
      </c>
      <c r="B4835" s="291" t="s">
        <v>24417</v>
      </c>
      <c r="C4835" s="292" t="s">
        <v>48</v>
      </c>
      <c r="D4835" s="293">
        <f t="shared" si="2"/>
        <v>1</v>
      </c>
      <c r="E4835" s="294" t="s">
        <v>24281</v>
      </c>
      <c r="F4835" s="295" t="str">
        <f>IFERROR(__xludf.DUMMYFUNCTION("IF(B4835="""","""",IFERROR(VLOOKUP(TO_TEXT(B4835),PEDIDOS!D:I,6,0),IFERROR(VLOOKUP(B4835*1,PEDIDOS!D:I,6,0),"" "")))")," ")</f>
        <v> </v>
      </c>
      <c r="G4835" s="305" t="s">
        <v>23926</v>
      </c>
      <c r="H4835" s="304"/>
    </row>
    <row r="4836">
      <c r="A4836" s="302" t="s">
        <v>112</v>
      </c>
      <c r="B4836" s="291" t="s">
        <v>24418</v>
      </c>
      <c r="C4836" s="292" t="s">
        <v>48</v>
      </c>
      <c r="D4836" s="293">
        <f t="shared" si="2"/>
        <v>1</v>
      </c>
      <c r="E4836" s="294" t="s">
        <v>24281</v>
      </c>
      <c r="F4836" s="295" t="str">
        <f>IFERROR(__xludf.DUMMYFUNCTION("IF(B4836="""","""",IFERROR(VLOOKUP(TO_TEXT(B4836),PEDIDOS!D:I,6,0),IFERROR(VLOOKUP(B4836*1,PEDIDOS!D:I,6,0),"" "")))")," ")</f>
        <v> </v>
      </c>
      <c r="G4836" s="305" t="s">
        <v>23926</v>
      </c>
      <c r="H4836" s="304"/>
    </row>
    <row r="4837">
      <c r="A4837" s="302" t="s">
        <v>112</v>
      </c>
      <c r="B4837" s="291" t="s">
        <v>24419</v>
      </c>
      <c r="C4837" s="292" t="s">
        <v>48</v>
      </c>
      <c r="D4837" s="293">
        <f t="shared" si="2"/>
        <v>1</v>
      </c>
      <c r="E4837" s="294" t="s">
        <v>24281</v>
      </c>
      <c r="F4837" s="295" t="str">
        <f>IFERROR(__xludf.DUMMYFUNCTION("IF(B4837="""","""",IFERROR(VLOOKUP(TO_TEXT(B4837),PEDIDOS!D:I,6,0),IFERROR(VLOOKUP(B4837*1,PEDIDOS!D:I,6,0),"" "")))")," ")</f>
        <v> </v>
      </c>
      <c r="G4837" s="305" t="s">
        <v>23926</v>
      </c>
      <c r="H4837" s="304"/>
    </row>
    <row r="4838">
      <c r="A4838" s="302" t="s">
        <v>112</v>
      </c>
      <c r="B4838" s="291" t="s">
        <v>24420</v>
      </c>
      <c r="C4838" s="292" t="s">
        <v>48</v>
      </c>
      <c r="D4838" s="293">
        <f t="shared" si="2"/>
        <v>1</v>
      </c>
      <c r="E4838" s="294" t="s">
        <v>24281</v>
      </c>
      <c r="F4838" s="295" t="str">
        <f>IFERROR(__xludf.DUMMYFUNCTION("IF(B4838="""","""",IFERROR(VLOOKUP(TO_TEXT(B4838),PEDIDOS!D:I,6,0),IFERROR(VLOOKUP(B4838*1,PEDIDOS!D:I,6,0),"" "")))")," ")</f>
        <v> </v>
      </c>
      <c r="G4838" s="305" t="s">
        <v>23926</v>
      </c>
      <c r="H4838" s="304"/>
    </row>
    <row r="4839">
      <c r="A4839" s="302" t="s">
        <v>112</v>
      </c>
      <c r="B4839" s="291" t="s">
        <v>24421</v>
      </c>
      <c r="C4839" s="292" t="s">
        <v>48</v>
      </c>
      <c r="D4839" s="293">
        <f t="shared" si="2"/>
        <v>1</v>
      </c>
      <c r="E4839" s="294" t="s">
        <v>24281</v>
      </c>
      <c r="F4839" s="295" t="str">
        <f>IFERROR(__xludf.DUMMYFUNCTION("IF(B4839="""","""",IFERROR(VLOOKUP(TO_TEXT(B4839),PEDIDOS!D:I,6,0),IFERROR(VLOOKUP(B4839*1,PEDIDOS!D:I,6,0),"" "")))")," ")</f>
        <v> </v>
      </c>
      <c r="G4839" s="305" t="s">
        <v>23926</v>
      </c>
      <c r="H4839" s="304"/>
    </row>
    <row r="4840">
      <c r="A4840" s="302" t="s">
        <v>112</v>
      </c>
      <c r="B4840" s="291" t="s">
        <v>24422</v>
      </c>
      <c r="C4840" s="292" t="s">
        <v>48</v>
      </c>
      <c r="D4840" s="293">
        <f t="shared" si="2"/>
        <v>1</v>
      </c>
      <c r="E4840" s="294" t="s">
        <v>24281</v>
      </c>
      <c r="F4840" s="295" t="str">
        <f>IFERROR(__xludf.DUMMYFUNCTION("IF(B4840="""","""",IFERROR(VLOOKUP(TO_TEXT(B4840),PEDIDOS!D:I,6,0),IFERROR(VLOOKUP(B4840*1,PEDIDOS!D:I,6,0),"" "")))")," ")</f>
        <v> </v>
      </c>
      <c r="G4840" s="305" t="s">
        <v>23926</v>
      </c>
      <c r="H4840" s="304"/>
    </row>
    <row r="4841">
      <c r="A4841" s="302" t="s">
        <v>112</v>
      </c>
      <c r="B4841" s="291" t="s">
        <v>24423</v>
      </c>
      <c r="C4841" s="292" t="s">
        <v>48</v>
      </c>
      <c r="D4841" s="293">
        <f t="shared" si="2"/>
        <v>1</v>
      </c>
      <c r="E4841" s="294" t="s">
        <v>24281</v>
      </c>
      <c r="F4841" s="295" t="str">
        <f>IFERROR(__xludf.DUMMYFUNCTION("IF(B4841="""","""",IFERROR(VLOOKUP(TO_TEXT(B4841),PEDIDOS!D:I,6,0),IFERROR(VLOOKUP(B4841*1,PEDIDOS!D:I,6,0),"" "")))")," ")</f>
        <v> </v>
      </c>
      <c r="G4841" s="305" t="s">
        <v>23926</v>
      </c>
      <c r="H4841" s="304"/>
    </row>
    <row r="4842">
      <c r="A4842" s="302" t="s">
        <v>112</v>
      </c>
      <c r="B4842" s="291" t="s">
        <v>24424</v>
      </c>
      <c r="C4842" s="292" t="s">
        <v>48</v>
      </c>
      <c r="D4842" s="293">
        <f t="shared" si="2"/>
        <v>1</v>
      </c>
      <c r="E4842" s="294" t="s">
        <v>24281</v>
      </c>
      <c r="F4842" s="295" t="str">
        <f>IFERROR(__xludf.DUMMYFUNCTION("IF(B4842="""","""",IFERROR(VLOOKUP(TO_TEXT(B4842),PEDIDOS!D:I,6,0),IFERROR(VLOOKUP(B4842*1,PEDIDOS!D:I,6,0),"" "")))")," ")</f>
        <v> </v>
      </c>
      <c r="G4842" s="305" t="s">
        <v>23926</v>
      </c>
      <c r="H4842" s="304"/>
    </row>
    <row r="4843">
      <c r="A4843" s="302" t="s">
        <v>112</v>
      </c>
      <c r="B4843" s="291" t="s">
        <v>24425</v>
      </c>
      <c r="C4843" s="292" t="s">
        <v>48</v>
      </c>
      <c r="D4843" s="293">
        <f t="shared" si="2"/>
        <v>1</v>
      </c>
      <c r="E4843" s="294" t="s">
        <v>24281</v>
      </c>
      <c r="F4843" s="295" t="str">
        <f>IFERROR(__xludf.DUMMYFUNCTION("IF(B4843="""","""",IFERROR(VLOOKUP(TO_TEXT(B4843),PEDIDOS!D:I,6,0),IFERROR(VLOOKUP(B4843*1,PEDIDOS!D:I,6,0),"" "")))")," ")</f>
        <v> </v>
      </c>
      <c r="G4843" s="305" t="s">
        <v>23926</v>
      </c>
      <c r="H4843" s="304"/>
    </row>
    <row r="4844">
      <c r="A4844" s="302" t="s">
        <v>112</v>
      </c>
      <c r="B4844" s="291" t="s">
        <v>24426</v>
      </c>
      <c r="C4844" s="292" t="s">
        <v>48</v>
      </c>
      <c r="D4844" s="293">
        <f t="shared" si="2"/>
        <v>1</v>
      </c>
      <c r="E4844" s="294" t="s">
        <v>24281</v>
      </c>
      <c r="F4844" s="295" t="str">
        <f>IFERROR(__xludf.DUMMYFUNCTION("IF(B4844="""","""",IFERROR(VLOOKUP(TO_TEXT(B4844),PEDIDOS!D:I,6,0),IFERROR(VLOOKUP(B4844*1,PEDIDOS!D:I,6,0),"" "")))")," ")</f>
        <v> </v>
      </c>
      <c r="G4844" s="305" t="s">
        <v>23926</v>
      </c>
      <c r="H4844" s="304"/>
    </row>
    <row r="4845">
      <c r="A4845" s="302" t="s">
        <v>112</v>
      </c>
      <c r="B4845" s="291" t="s">
        <v>24427</v>
      </c>
      <c r="C4845" s="292" t="s">
        <v>48</v>
      </c>
      <c r="D4845" s="293">
        <f t="shared" si="2"/>
        <v>1</v>
      </c>
      <c r="E4845" s="294" t="s">
        <v>24281</v>
      </c>
      <c r="F4845" s="295" t="str">
        <f>IFERROR(__xludf.DUMMYFUNCTION("IF(B4845="""","""",IFERROR(VLOOKUP(TO_TEXT(B4845),PEDIDOS!D:I,6,0),IFERROR(VLOOKUP(B4845*1,PEDIDOS!D:I,6,0),"" "")))")," ")</f>
        <v> </v>
      </c>
      <c r="G4845" s="305" t="s">
        <v>23926</v>
      </c>
      <c r="H4845" s="304"/>
    </row>
    <row r="4846">
      <c r="A4846" s="302" t="s">
        <v>112</v>
      </c>
      <c r="B4846" s="291" t="s">
        <v>24428</v>
      </c>
      <c r="C4846" s="292" t="s">
        <v>48</v>
      </c>
      <c r="D4846" s="293">
        <f t="shared" si="2"/>
        <v>1</v>
      </c>
      <c r="E4846" s="294" t="s">
        <v>24281</v>
      </c>
      <c r="F4846" s="295" t="str">
        <f>IFERROR(__xludf.DUMMYFUNCTION("IF(B4846="""","""",IFERROR(VLOOKUP(TO_TEXT(B4846),PEDIDOS!D:I,6,0),IFERROR(VLOOKUP(B4846*1,PEDIDOS!D:I,6,0),"" "")))")," ")</f>
        <v> </v>
      </c>
      <c r="G4846" s="305" t="s">
        <v>23926</v>
      </c>
      <c r="H4846" s="304"/>
    </row>
    <row r="4847">
      <c r="A4847" s="302" t="s">
        <v>112</v>
      </c>
      <c r="B4847" s="291" t="s">
        <v>24429</v>
      </c>
      <c r="C4847" s="292" t="s">
        <v>48</v>
      </c>
      <c r="D4847" s="293">
        <f t="shared" si="2"/>
        <v>1</v>
      </c>
      <c r="E4847" s="294" t="s">
        <v>24281</v>
      </c>
      <c r="F4847" s="295" t="str">
        <f>IFERROR(__xludf.DUMMYFUNCTION("IF(B4847="""","""",IFERROR(VLOOKUP(TO_TEXT(B4847),PEDIDOS!D:I,6,0),IFERROR(VLOOKUP(B4847*1,PEDIDOS!D:I,6,0),"" "")))")," ")</f>
        <v> </v>
      </c>
      <c r="G4847" s="305" t="s">
        <v>23926</v>
      </c>
      <c r="H4847" s="304"/>
    </row>
    <row r="4848">
      <c r="A4848" s="302" t="s">
        <v>112</v>
      </c>
      <c r="B4848" s="291" t="s">
        <v>24430</v>
      </c>
      <c r="C4848" s="292" t="s">
        <v>48</v>
      </c>
      <c r="D4848" s="293">
        <f t="shared" si="2"/>
        <v>1</v>
      </c>
      <c r="E4848" s="294" t="s">
        <v>24281</v>
      </c>
      <c r="F4848" s="295" t="str">
        <f>IFERROR(__xludf.DUMMYFUNCTION("IF(B4848="""","""",IFERROR(VLOOKUP(TO_TEXT(B4848),PEDIDOS!D:I,6,0),IFERROR(VLOOKUP(B4848*1,PEDIDOS!D:I,6,0),"" "")))")," ")</f>
        <v> </v>
      </c>
      <c r="G4848" s="305" t="s">
        <v>23926</v>
      </c>
      <c r="H4848" s="304"/>
    </row>
    <row r="4849">
      <c r="A4849" s="302" t="s">
        <v>112</v>
      </c>
      <c r="B4849" s="291" t="s">
        <v>24431</v>
      </c>
      <c r="C4849" s="292" t="s">
        <v>48</v>
      </c>
      <c r="D4849" s="293">
        <f t="shared" si="2"/>
        <v>1</v>
      </c>
      <c r="E4849" s="294" t="s">
        <v>24281</v>
      </c>
      <c r="F4849" s="295" t="str">
        <f>IFERROR(__xludf.DUMMYFUNCTION("IF(B4849="""","""",IFERROR(VLOOKUP(TO_TEXT(B4849),PEDIDOS!D:I,6,0),IFERROR(VLOOKUP(B4849*1,PEDIDOS!D:I,6,0),"" "")))")," ")</f>
        <v> </v>
      </c>
      <c r="G4849" s="305" t="s">
        <v>23926</v>
      </c>
      <c r="H4849" s="304"/>
    </row>
    <row r="4850">
      <c r="A4850" s="302" t="s">
        <v>112</v>
      </c>
      <c r="B4850" s="291" t="s">
        <v>24432</v>
      </c>
      <c r="C4850" s="292" t="s">
        <v>48</v>
      </c>
      <c r="D4850" s="293">
        <f t="shared" si="2"/>
        <v>1</v>
      </c>
      <c r="E4850" s="294" t="s">
        <v>24281</v>
      </c>
      <c r="F4850" s="295" t="str">
        <f>IFERROR(__xludf.DUMMYFUNCTION("IF(B4850="""","""",IFERROR(VLOOKUP(TO_TEXT(B4850),PEDIDOS!D:I,6,0),IFERROR(VLOOKUP(B4850*1,PEDIDOS!D:I,6,0),"" "")))")," ")</f>
        <v> </v>
      </c>
      <c r="G4850" s="305" t="s">
        <v>23926</v>
      </c>
      <c r="H4850" s="304"/>
    </row>
    <row r="4851">
      <c r="A4851" s="302" t="s">
        <v>112</v>
      </c>
      <c r="B4851" s="291" t="s">
        <v>24433</v>
      </c>
      <c r="C4851" s="292" t="s">
        <v>48</v>
      </c>
      <c r="D4851" s="293">
        <f t="shared" si="2"/>
        <v>1</v>
      </c>
      <c r="E4851" s="294" t="s">
        <v>24281</v>
      </c>
      <c r="F4851" s="295" t="str">
        <f>IFERROR(__xludf.DUMMYFUNCTION("IF(B4851="""","""",IFERROR(VLOOKUP(TO_TEXT(B4851),PEDIDOS!D:I,6,0),IFERROR(VLOOKUP(B4851*1,PEDIDOS!D:I,6,0),"" "")))")," ")</f>
        <v> </v>
      </c>
      <c r="G4851" s="305" t="s">
        <v>23926</v>
      </c>
      <c r="H4851" s="304"/>
    </row>
    <row r="4852">
      <c r="A4852" s="302" t="s">
        <v>112</v>
      </c>
      <c r="B4852" s="291" t="s">
        <v>24434</v>
      </c>
      <c r="C4852" s="292" t="s">
        <v>48</v>
      </c>
      <c r="D4852" s="293">
        <f t="shared" si="2"/>
        <v>1</v>
      </c>
      <c r="E4852" s="294" t="s">
        <v>24281</v>
      </c>
      <c r="F4852" s="295" t="str">
        <f>IFERROR(__xludf.DUMMYFUNCTION("IF(B4852="""","""",IFERROR(VLOOKUP(TO_TEXT(B4852),PEDIDOS!D:I,6,0),IFERROR(VLOOKUP(B4852*1,PEDIDOS!D:I,6,0),"" "")))")," ")</f>
        <v> </v>
      </c>
      <c r="G4852" s="305" t="s">
        <v>23926</v>
      </c>
      <c r="H4852" s="304"/>
    </row>
    <row r="4853">
      <c r="A4853" s="302" t="s">
        <v>112</v>
      </c>
      <c r="B4853" s="291" t="s">
        <v>24435</v>
      </c>
      <c r="C4853" s="292" t="s">
        <v>48</v>
      </c>
      <c r="D4853" s="293">
        <f t="shared" si="2"/>
        <v>1</v>
      </c>
      <c r="E4853" s="294" t="s">
        <v>24281</v>
      </c>
      <c r="F4853" s="295" t="str">
        <f>IFERROR(__xludf.DUMMYFUNCTION("IF(B4853="""","""",IFERROR(VLOOKUP(TO_TEXT(B4853),PEDIDOS!D:I,6,0),IFERROR(VLOOKUP(B4853*1,PEDIDOS!D:I,6,0),"" "")))")," ")</f>
        <v> </v>
      </c>
      <c r="G4853" s="305" t="s">
        <v>23926</v>
      </c>
      <c r="H4853" s="304"/>
    </row>
    <row r="4854">
      <c r="A4854" s="302" t="s">
        <v>112</v>
      </c>
      <c r="B4854" s="291" t="s">
        <v>24436</v>
      </c>
      <c r="C4854" s="292" t="s">
        <v>48</v>
      </c>
      <c r="D4854" s="293">
        <f t="shared" si="2"/>
        <v>1</v>
      </c>
      <c r="E4854" s="294" t="s">
        <v>24281</v>
      </c>
      <c r="F4854" s="295" t="str">
        <f>IFERROR(__xludf.DUMMYFUNCTION("IF(B4854="""","""",IFERROR(VLOOKUP(TO_TEXT(B4854),PEDIDOS!D:I,6,0),IFERROR(VLOOKUP(B4854*1,PEDIDOS!D:I,6,0),"" "")))")," ")</f>
        <v> </v>
      </c>
      <c r="G4854" s="305" t="s">
        <v>23926</v>
      </c>
      <c r="H4854" s="304"/>
    </row>
    <row r="4855">
      <c r="A4855" s="302" t="s">
        <v>47</v>
      </c>
      <c r="B4855" s="291" t="s">
        <v>24437</v>
      </c>
      <c r="C4855" s="292" t="s">
        <v>48</v>
      </c>
      <c r="D4855" s="293">
        <f t="shared" si="2"/>
        <v>1</v>
      </c>
      <c r="E4855" s="294" t="s">
        <v>24281</v>
      </c>
      <c r="F4855" s="295" t="str">
        <f>IFERROR(__xludf.DUMMYFUNCTION("IF(B4855="""","""",IFERROR(VLOOKUP(TO_TEXT(B4855),PEDIDOS!D:I,6,0),IFERROR(VLOOKUP(B4855*1,PEDIDOS!D:I,6,0),"" "")))")," ")</f>
        <v> </v>
      </c>
      <c r="G4855" s="305" t="s">
        <v>23926</v>
      </c>
      <c r="H4855" s="304"/>
    </row>
    <row r="4856">
      <c r="A4856" s="302" t="s">
        <v>47</v>
      </c>
      <c r="B4856" s="291" t="s">
        <v>24438</v>
      </c>
      <c r="C4856" s="292" t="s">
        <v>48</v>
      </c>
      <c r="D4856" s="293">
        <f t="shared" si="2"/>
        <v>1</v>
      </c>
      <c r="E4856" s="294" t="s">
        <v>24281</v>
      </c>
      <c r="F4856" s="295" t="str">
        <f>IFERROR(__xludf.DUMMYFUNCTION("IF(B4856="""","""",IFERROR(VLOOKUP(TO_TEXT(B4856),PEDIDOS!D:I,6,0),IFERROR(VLOOKUP(B4856*1,PEDIDOS!D:I,6,0),"" "")))")," ")</f>
        <v> </v>
      </c>
      <c r="G4856" s="305" t="s">
        <v>23926</v>
      </c>
      <c r="H4856" s="304"/>
    </row>
    <row r="4857">
      <c r="A4857" s="302" t="s">
        <v>47</v>
      </c>
      <c r="B4857" s="291" t="s">
        <v>24439</v>
      </c>
      <c r="C4857" s="292" t="s">
        <v>48</v>
      </c>
      <c r="D4857" s="293">
        <f t="shared" si="2"/>
        <v>1</v>
      </c>
      <c r="E4857" s="294" t="s">
        <v>24281</v>
      </c>
      <c r="F4857" s="295" t="str">
        <f>IFERROR(__xludf.DUMMYFUNCTION("IF(B4857="""","""",IFERROR(VLOOKUP(TO_TEXT(B4857),PEDIDOS!D:I,6,0),IFERROR(VLOOKUP(B4857*1,PEDIDOS!D:I,6,0),"" "")))")," ")</f>
        <v> </v>
      </c>
      <c r="G4857" s="305" t="s">
        <v>23926</v>
      </c>
      <c r="H4857" s="304"/>
    </row>
    <row r="4858">
      <c r="A4858" s="302" t="s">
        <v>47</v>
      </c>
      <c r="B4858" s="291" t="s">
        <v>24440</v>
      </c>
      <c r="C4858" s="292" t="s">
        <v>48</v>
      </c>
      <c r="D4858" s="293">
        <f t="shared" si="2"/>
        <v>1</v>
      </c>
      <c r="E4858" s="294" t="s">
        <v>24281</v>
      </c>
      <c r="F4858" s="295" t="str">
        <f>IFERROR(__xludf.DUMMYFUNCTION("IF(B4858="""","""",IFERROR(VLOOKUP(TO_TEXT(B4858),PEDIDOS!D:I,6,0),IFERROR(VLOOKUP(B4858*1,PEDIDOS!D:I,6,0),"" "")))")," ")</f>
        <v> </v>
      </c>
      <c r="G4858" s="305" t="s">
        <v>23926</v>
      </c>
      <c r="H4858" s="304"/>
    </row>
    <row r="4859">
      <c r="A4859" s="302" t="s">
        <v>47</v>
      </c>
      <c r="B4859" s="291" t="s">
        <v>24441</v>
      </c>
      <c r="C4859" s="292" t="s">
        <v>48</v>
      </c>
      <c r="D4859" s="293">
        <f t="shared" si="2"/>
        <v>1</v>
      </c>
      <c r="E4859" s="294" t="s">
        <v>24281</v>
      </c>
      <c r="F4859" s="295" t="str">
        <f>IFERROR(__xludf.DUMMYFUNCTION("IF(B4859="""","""",IFERROR(VLOOKUP(TO_TEXT(B4859),PEDIDOS!D:I,6,0),IFERROR(VLOOKUP(B4859*1,PEDIDOS!D:I,6,0),"" "")))")," ")</f>
        <v> </v>
      </c>
      <c r="G4859" s="305" t="s">
        <v>23926</v>
      </c>
      <c r="H4859" s="304"/>
    </row>
    <row r="4860">
      <c r="A4860" s="302" t="s">
        <v>47</v>
      </c>
      <c r="B4860" s="291" t="s">
        <v>24442</v>
      </c>
      <c r="C4860" s="292" t="s">
        <v>48</v>
      </c>
      <c r="D4860" s="293">
        <f t="shared" si="2"/>
        <v>1</v>
      </c>
      <c r="E4860" s="294" t="s">
        <v>24281</v>
      </c>
      <c r="F4860" s="295" t="str">
        <f>IFERROR(__xludf.DUMMYFUNCTION("IF(B4860="""","""",IFERROR(VLOOKUP(TO_TEXT(B4860),PEDIDOS!D:I,6,0),IFERROR(VLOOKUP(B4860*1,PEDIDOS!D:I,6,0),"" "")))")," ")</f>
        <v> </v>
      </c>
      <c r="G4860" s="305" t="s">
        <v>23926</v>
      </c>
      <c r="H4860" s="304"/>
    </row>
    <row r="4861">
      <c r="A4861" s="302" t="s">
        <v>47</v>
      </c>
      <c r="B4861" s="291" t="s">
        <v>24443</v>
      </c>
      <c r="C4861" s="292" t="s">
        <v>48</v>
      </c>
      <c r="D4861" s="293">
        <f t="shared" si="2"/>
        <v>1</v>
      </c>
      <c r="E4861" s="294" t="s">
        <v>24281</v>
      </c>
      <c r="F4861" s="295" t="str">
        <f>IFERROR(__xludf.DUMMYFUNCTION("IF(B4861="""","""",IFERROR(VLOOKUP(TO_TEXT(B4861),PEDIDOS!D:I,6,0),IFERROR(VLOOKUP(B4861*1,PEDIDOS!D:I,6,0),"" "")))")," ")</f>
        <v> </v>
      </c>
      <c r="G4861" s="305" t="s">
        <v>23926</v>
      </c>
      <c r="H4861" s="304"/>
    </row>
    <row r="4862">
      <c r="A4862" s="302" t="s">
        <v>47</v>
      </c>
      <c r="B4862" s="291" t="s">
        <v>24444</v>
      </c>
      <c r="C4862" s="292" t="s">
        <v>48</v>
      </c>
      <c r="D4862" s="293">
        <f t="shared" si="2"/>
        <v>1</v>
      </c>
      <c r="E4862" s="294" t="s">
        <v>24281</v>
      </c>
      <c r="F4862" s="295" t="str">
        <f>IFERROR(__xludf.DUMMYFUNCTION("IF(B4862="""","""",IFERROR(VLOOKUP(TO_TEXT(B4862),PEDIDOS!D:I,6,0),IFERROR(VLOOKUP(B4862*1,PEDIDOS!D:I,6,0),"" "")))")," ")</f>
        <v> </v>
      </c>
      <c r="G4862" s="305" t="s">
        <v>23926</v>
      </c>
      <c r="H4862" s="304"/>
    </row>
    <row r="4863">
      <c r="A4863" s="302" t="s">
        <v>47</v>
      </c>
      <c r="B4863" s="291" t="s">
        <v>24445</v>
      </c>
      <c r="C4863" s="292" t="s">
        <v>48</v>
      </c>
      <c r="D4863" s="293">
        <f t="shared" si="2"/>
        <v>1</v>
      </c>
      <c r="E4863" s="294" t="s">
        <v>24281</v>
      </c>
      <c r="F4863" s="295" t="str">
        <f>IFERROR(__xludf.DUMMYFUNCTION("IF(B4863="""","""",IFERROR(VLOOKUP(TO_TEXT(B4863),PEDIDOS!D:I,6,0),IFERROR(VLOOKUP(B4863*1,PEDIDOS!D:I,6,0),"" "")))")," ")</f>
        <v> </v>
      </c>
      <c r="G4863" s="305" t="s">
        <v>23926</v>
      </c>
      <c r="H4863" s="304"/>
    </row>
    <row r="4864">
      <c r="A4864" s="302" t="s">
        <v>47</v>
      </c>
      <c r="B4864" s="291" t="s">
        <v>24446</v>
      </c>
      <c r="C4864" s="292" t="s">
        <v>48</v>
      </c>
      <c r="D4864" s="293">
        <f t="shared" si="2"/>
        <v>1</v>
      </c>
      <c r="E4864" s="294" t="s">
        <v>24281</v>
      </c>
      <c r="F4864" s="295" t="str">
        <f>IFERROR(__xludf.DUMMYFUNCTION("IF(B4864="""","""",IFERROR(VLOOKUP(TO_TEXT(B4864),PEDIDOS!D:I,6,0),IFERROR(VLOOKUP(B4864*1,PEDIDOS!D:I,6,0),"" "")))")," ")</f>
        <v> </v>
      </c>
      <c r="G4864" s="305" t="s">
        <v>23926</v>
      </c>
      <c r="H4864" s="304"/>
    </row>
    <row r="4865">
      <c r="A4865" s="302" t="s">
        <v>4430</v>
      </c>
      <c r="B4865" s="291" t="s">
        <v>24447</v>
      </c>
      <c r="C4865" s="292" t="s">
        <v>48</v>
      </c>
      <c r="D4865" s="293">
        <f t="shared" si="2"/>
        <v>1</v>
      </c>
      <c r="E4865" s="294" t="s">
        <v>24281</v>
      </c>
      <c r="F4865" s="295" t="str">
        <f>IFERROR(__xludf.DUMMYFUNCTION("IF(B4865="""","""",IFERROR(VLOOKUP(TO_TEXT(B4865),PEDIDOS!D:I,6,0),IFERROR(VLOOKUP(B4865*1,PEDIDOS!D:I,6,0),"" "")))")," ")</f>
        <v> </v>
      </c>
      <c r="G4865" s="305" t="s">
        <v>23926</v>
      </c>
      <c r="H4865" s="304"/>
    </row>
    <row r="4866">
      <c r="A4866" s="302" t="s">
        <v>4430</v>
      </c>
      <c r="B4866" s="291" t="s">
        <v>24448</v>
      </c>
      <c r="C4866" s="292" t="s">
        <v>48</v>
      </c>
      <c r="D4866" s="293">
        <f t="shared" si="2"/>
        <v>1</v>
      </c>
      <c r="E4866" s="294" t="s">
        <v>24281</v>
      </c>
      <c r="F4866" s="295" t="str">
        <f>IFERROR(__xludf.DUMMYFUNCTION("IF(B4866="""","""",IFERROR(VLOOKUP(TO_TEXT(B4866),PEDIDOS!D:I,6,0),IFERROR(VLOOKUP(B4866*1,PEDIDOS!D:I,6,0),"" "")))")," ")</f>
        <v> </v>
      </c>
      <c r="G4866" s="305" t="s">
        <v>23926</v>
      </c>
      <c r="H4866" s="304"/>
    </row>
    <row r="4867">
      <c r="A4867" s="302" t="s">
        <v>4430</v>
      </c>
      <c r="B4867" s="291" t="s">
        <v>24449</v>
      </c>
      <c r="C4867" s="292" t="s">
        <v>48</v>
      </c>
      <c r="D4867" s="293">
        <f t="shared" si="2"/>
        <v>1</v>
      </c>
      <c r="E4867" s="294" t="s">
        <v>24281</v>
      </c>
      <c r="F4867" s="295" t="str">
        <f>IFERROR(__xludf.DUMMYFUNCTION("IF(B4867="""","""",IFERROR(VLOOKUP(TO_TEXT(B4867),PEDIDOS!D:I,6,0),IFERROR(VLOOKUP(B4867*1,PEDIDOS!D:I,6,0),"" "")))")," ")</f>
        <v> </v>
      </c>
      <c r="G4867" s="305" t="s">
        <v>23926</v>
      </c>
      <c r="H4867" s="304"/>
    </row>
    <row r="4868">
      <c r="A4868" s="302" t="s">
        <v>4430</v>
      </c>
      <c r="B4868" s="291" t="s">
        <v>24450</v>
      </c>
      <c r="C4868" s="292" t="s">
        <v>48</v>
      </c>
      <c r="D4868" s="293">
        <f t="shared" si="2"/>
        <v>1</v>
      </c>
      <c r="E4868" s="294" t="s">
        <v>24281</v>
      </c>
      <c r="F4868" s="295" t="str">
        <f>IFERROR(__xludf.DUMMYFUNCTION("IF(B4868="""","""",IFERROR(VLOOKUP(TO_TEXT(B4868),PEDIDOS!D:I,6,0),IFERROR(VLOOKUP(B4868*1,PEDIDOS!D:I,6,0),"" "")))")," ")</f>
        <v> </v>
      </c>
      <c r="G4868" s="305" t="s">
        <v>23926</v>
      </c>
      <c r="H4868" s="304"/>
    </row>
    <row r="4869">
      <c r="A4869" s="302" t="s">
        <v>4430</v>
      </c>
      <c r="B4869" s="291" t="s">
        <v>24451</v>
      </c>
      <c r="C4869" s="292" t="s">
        <v>48</v>
      </c>
      <c r="D4869" s="293">
        <f t="shared" si="2"/>
        <v>1</v>
      </c>
      <c r="E4869" s="294" t="s">
        <v>24281</v>
      </c>
      <c r="F4869" s="295" t="str">
        <f>IFERROR(__xludf.DUMMYFUNCTION("IF(B4869="""","""",IFERROR(VLOOKUP(TO_TEXT(B4869),PEDIDOS!D:I,6,0),IFERROR(VLOOKUP(B4869*1,PEDIDOS!D:I,6,0),"" "")))")," ")</f>
        <v> </v>
      </c>
      <c r="G4869" s="305" t="s">
        <v>23926</v>
      </c>
      <c r="H4869" s="304"/>
    </row>
    <row r="4870">
      <c r="A4870" s="302" t="s">
        <v>4430</v>
      </c>
      <c r="B4870" s="291" t="s">
        <v>24452</v>
      </c>
      <c r="C4870" s="292" t="s">
        <v>48</v>
      </c>
      <c r="D4870" s="293">
        <f t="shared" si="2"/>
        <v>1</v>
      </c>
      <c r="E4870" s="294" t="s">
        <v>24281</v>
      </c>
      <c r="F4870" s="295" t="str">
        <f>IFERROR(__xludf.DUMMYFUNCTION("IF(B4870="""","""",IFERROR(VLOOKUP(TO_TEXT(B4870),PEDIDOS!D:I,6,0),IFERROR(VLOOKUP(B4870*1,PEDIDOS!D:I,6,0),"" "")))")," ")</f>
        <v> </v>
      </c>
      <c r="G4870" s="305" t="s">
        <v>23926</v>
      </c>
      <c r="H4870" s="304"/>
    </row>
    <row r="4871">
      <c r="A4871" s="302" t="s">
        <v>4430</v>
      </c>
      <c r="B4871" s="291" t="s">
        <v>24453</v>
      </c>
      <c r="C4871" s="292" t="s">
        <v>48</v>
      </c>
      <c r="D4871" s="293">
        <f t="shared" si="2"/>
        <v>1</v>
      </c>
      <c r="E4871" s="294" t="s">
        <v>24281</v>
      </c>
      <c r="F4871" s="295" t="str">
        <f>IFERROR(__xludf.DUMMYFUNCTION("IF(B4871="""","""",IFERROR(VLOOKUP(TO_TEXT(B4871),PEDIDOS!D:I,6,0),IFERROR(VLOOKUP(B4871*1,PEDIDOS!D:I,6,0),"" "")))")," ")</f>
        <v> </v>
      </c>
      <c r="G4871" s="305" t="s">
        <v>23926</v>
      </c>
      <c r="H4871" s="304"/>
    </row>
    <row r="4872">
      <c r="A4872" s="302" t="s">
        <v>4430</v>
      </c>
      <c r="B4872" s="291" t="s">
        <v>24454</v>
      </c>
      <c r="C4872" s="292" t="s">
        <v>48</v>
      </c>
      <c r="D4872" s="293">
        <f t="shared" si="2"/>
        <v>1</v>
      </c>
      <c r="E4872" s="294" t="s">
        <v>24281</v>
      </c>
      <c r="F4872" s="295" t="str">
        <f>IFERROR(__xludf.DUMMYFUNCTION("IF(B4872="""","""",IFERROR(VLOOKUP(TO_TEXT(B4872),PEDIDOS!D:I,6,0),IFERROR(VLOOKUP(B4872*1,PEDIDOS!D:I,6,0),"" "")))")," ")</f>
        <v> </v>
      </c>
      <c r="G4872" s="305" t="s">
        <v>23926</v>
      </c>
      <c r="H4872" s="304"/>
    </row>
    <row r="4873">
      <c r="A4873" s="302" t="s">
        <v>4430</v>
      </c>
      <c r="B4873" s="291" t="s">
        <v>24455</v>
      </c>
      <c r="C4873" s="292" t="s">
        <v>48</v>
      </c>
      <c r="D4873" s="293">
        <f t="shared" si="2"/>
        <v>1</v>
      </c>
      <c r="E4873" s="294" t="s">
        <v>24281</v>
      </c>
      <c r="F4873" s="295" t="str">
        <f>IFERROR(__xludf.DUMMYFUNCTION("IF(B4873="""","""",IFERROR(VLOOKUP(TO_TEXT(B4873),PEDIDOS!D:I,6,0),IFERROR(VLOOKUP(B4873*1,PEDIDOS!D:I,6,0),"" "")))")," ")</f>
        <v> </v>
      </c>
      <c r="G4873" s="305" t="s">
        <v>23926</v>
      </c>
      <c r="H4873" s="304"/>
    </row>
    <row r="4874">
      <c r="A4874" s="302" t="s">
        <v>4430</v>
      </c>
      <c r="B4874" s="291" t="s">
        <v>24456</v>
      </c>
      <c r="C4874" s="292" t="s">
        <v>48</v>
      </c>
      <c r="D4874" s="293">
        <f t="shared" si="2"/>
        <v>1</v>
      </c>
      <c r="E4874" s="294" t="s">
        <v>24281</v>
      </c>
      <c r="F4874" s="295" t="str">
        <f>IFERROR(__xludf.DUMMYFUNCTION("IF(B4874="""","""",IFERROR(VLOOKUP(TO_TEXT(B4874),PEDIDOS!D:I,6,0),IFERROR(VLOOKUP(B4874*1,PEDIDOS!D:I,6,0),"" "")))")," ")</f>
        <v> </v>
      </c>
      <c r="G4874" s="305" t="s">
        <v>23926</v>
      </c>
      <c r="H4874" s="304"/>
    </row>
    <row r="4875">
      <c r="A4875" s="302" t="s">
        <v>4430</v>
      </c>
      <c r="B4875" s="291" t="s">
        <v>24457</v>
      </c>
      <c r="C4875" s="292" t="s">
        <v>48</v>
      </c>
      <c r="D4875" s="293">
        <f t="shared" si="2"/>
        <v>1</v>
      </c>
      <c r="E4875" s="294" t="s">
        <v>24281</v>
      </c>
      <c r="F4875" s="295" t="str">
        <f>IFERROR(__xludf.DUMMYFUNCTION("IF(B4875="""","""",IFERROR(VLOOKUP(TO_TEXT(B4875),PEDIDOS!D:I,6,0),IFERROR(VLOOKUP(B4875*1,PEDIDOS!D:I,6,0),"" "")))")," ")</f>
        <v> </v>
      </c>
      <c r="G4875" s="305" t="s">
        <v>23926</v>
      </c>
      <c r="H4875" s="304"/>
    </row>
    <row r="4876">
      <c r="A4876" s="302" t="s">
        <v>4430</v>
      </c>
      <c r="B4876" s="291" t="s">
        <v>24458</v>
      </c>
      <c r="C4876" s="292" t="s">
        <v>48</v>
      </c>
      <c r="D4876" s="293">
        <f t="shared" si="2"/>
        <v>1</v>
      </c>
      <c r="E4876" s="294" t="s">
        <v>24281</v>
      </c>
      <c r="F4876" s="295" t="str">
        <f>IFERROR(__xludf.DUMMYFUNCTION("IF(B4876="""","""",IFERROR(VLOOKUP(TO_TEXT(B4876),PEDIDOS!D:I,6,0),IFERROR(VLOOKUP(B4876*1,PEDIDOS!D:I,6,0),"" "")))")," ")</f>
        <v> </v>
      </c>
      <c r="G4876" s="305" t="s">
        <v>23926</v>
      </c>
      <c r="H4876" s="304"/>
    </row>
    <row r="4877">
      <c r="A4877" s="302" t="s">
        <v>4430</v>
      </c>
      <c r="B4877" s="291" t="s">
        <v>24459</v>
      </c>
      <c r="C4877" s="292" t="s">
        <v>48</v>
      </c>
      <c r="D4877" s="293">
        <f t="shared" si="2"/>
        <v>1</v>
      </c>
      <c r="E4877" s="294" t="s">
        <v>24281</v>
      </c>
      <c r="F4877" s="295" t="str">
        <f>IFERROR(__xludf.DUMMYFUNCTION("IF(B4877="""","""",IFERROR(VLOOKUP(TO_TEXT(B4877),PEDIDOS!D:I,6,0),IFERROR(VLOOKUP(B4877*1,PEDIDOS!D:I,6,0),"" "")))")," ")</f>
        <v> </v>
      </c>
      <c r="G4877" s="305" t="s">
        <v>23926</v>
      </c>
      <c r="H4877" s="304"/>
    </row>
    <row r="4878">
      <c r="A4878" s="302" t="s">
        <v>4430</v>
      </c>
      <c r="B4878" s="291" t="s">
        <v>24460</v>
      </c>
      <c r="C4878" s="292" t="s">
        <v>48</v>
      </c>
      <c r="D4878" s="293">
        <f t="shared" si="2"/>
        <v>1</v>
      </c>
      <c r="E4878" s="294" t="s">
        <v>24281</v>
      </c>
      <c r="F4878" s="295" t="str">
        <f>IFERROR(__xludf.DUMMYFUNCTION("IF(B4878="""","""",IFERROR(VLOOKUP(TO_TEXT(B4878),PEDIDOS!D:I,6,0),IFERROR(VLOOKUP(B4878*1,PEDIDOS!D:I,6,0),"" "")))")," ")</f>
        <v> </v>
      </c>
      <c r="G4878" s="305" t="s">
        <v>23926</v>
      </c>
      <c r="H4878" s="304"/>
    </row>
    <row r="4879">
      <c r="A4879" s="302" t="s">
        <v>4430</v>
      </c>
      <c r="B4879" s="291" t="s">
        <v>24461</v>
      </c>
      <c r="C4879" s="292" t="s">
        <v>48</v>
      </c>
      <c r="D4879" s="293">
        <f t="shared" si="2"/>
        <v>1</v>
      </c>
      <c r="E4879" s="294" t="s">
        <v>24281</v>
      </c>
      <c r="F4879" s="295" t="str">
        <f>IFERROR(__xludf.DUMMYFUNCTION("IF(B4879="""","""",IFERROR(VLOOKUP(TO_TEXT(B4879),PEDIDOS!D:I,6,0),IFERROR(VLOOKUP(B4879*1,PEDIDOS!D:I,6,0),"" "")))")," ")</f>
        <v> </v>
      </c>
      <c r="G4879" s="305" t="s">
        <v>23926</v>
      </c>
      <c r="H4879" s="304"/>
    </row>
    <row r="4880">
      <c r="A4880" s="302" t="s">
        <v>4430</v>
      </c>
      <c r="B4880" s="291" t="s">
        <v>24462</v>
      </c>
      <c r="C4880" s="292" t="s">
        <v>48</v>
      </c>
      <c r="D4880" s="293">
        <f t="shared" si="2"/>
        <v>1</v>
      </c>
      <c r="E4880" s="294" t="s">
        <v>24281</v>
      </c>
      <c r="F4880" s="295" t="str">
        <f>IFERROR(__xludf.DUMMYFUNCTION("IF(B4880="""","""",IFERROR(VLOOKUP(TO_TEXT(B4880),PEDIDOS!D:I,6,0),IFERROR(VLOOKUP(B4880*1,PEDIDOS!D:I,6,0),"" "")))")," ")</f>
        <v> </v>
      </c>
      <c r="G4880" s="305" t="s">
        <v>23926</v>
      </c>
      <c r="H4880" s="304"/>
    </row>
    <row r="4881">
      <c r="A4881" s="302" t="s">
        <v>4430</v>
      </c>
      <c r="B4881" s="291" t="s">
        <v>24463</v>
      </c>
      <c r="C4881" s="292" t="s">
        <v>48</v>
      </c>
      <c r="D4881" s="293">
        <f t="shared" si="2"/>
        <v>1</v>
      </c>
      <c r="E4881" s="294" t="s">
        <v>24281</v>
      </c>
      <c r="F4881" s="295" t="str">
        <f>IFERROR(__xludf.DUMMYFUNCTION("IF(B4881="""","""",IFERROR(VLOOKUP(TO_TEXT(B4881),PEDIDOS!D:I,6,0),IFERROR(VLOOKUP(B4881*1,PEDIDOS!D:I,6,0),"" "")))")," ")</f>
        <v> </v>
      </c>
      <c r="G4881" s="305" t="s">
        <v>23926</v>
      </c>
      <c r="H4881" s="304"/>
    </row>
    <row r="4882">
      <c r="A4882" s="302" t="s">
        <v>4430</v>
      </c>
      <c r="B4882" s="291" t="s">
        <v>24464</v>
      </c>
      <c r="C4882" s="292" t="s">
        <v>48</v>
      </c>
      <c r="D4882" s="293">
        <f t="shared" si="2"/>
        <v>1</v>
      </c>
      <c r="E4882" s="294" t="s">
        <v>24281</v>
      </c>
      <c r="F4882" s="295" t="str">
        <f>IFERROR(__xludf.DUMMYFUNCTION("IF(B4882="""","""",IFERROR(VLOOKUP(TO_TEXT(B4882),PEDIDOS!D:I,6,0),IFERROR(VLOOKUP(B4882*1,PEDIDOS!D:I,6,0),"" "")))")," ")</f>
        <v> </v>
      </c>
      <c r="G4882" s="305" t="s">
        <v>23926</v>
      </c>
      <c r="H4882" s="304"/>
    </row>
    <row r="4883">
      <c r="A4883" s="302" t="s">
        <v>3395</v>
      </c>
      <c r="B4883" s="291" t="s">
        <v>24465</v>
      </c>
      <c r="C4883" s="292" t="s">
        <v>48</v>
      </c>
      <c r="D4883" s="293">
        <f t="shared" si="2"/>
        <v>1</v>
      </c>
      <c r="E4883" s="294" t="s">
        <v>24466</v>
      </c>
      <c r="F4883" s="295" t="str">
        <f>IFERROR(__xludf.DUMMYFUNCTION("IF(B4883="""","""",IFERROR(VLOOKUP(TO_TEXT(B4883),PEDIDOS!D:I,6,0),IFERROR(VLOOKUP(B4883*1,PEDIDOS!D:I,6,0),"" "")))")," ")</f>
        <v> </v>
      </c>
      <c r="G4883" s="305" t="s">
        <v>23926</v>
      </c>
      <c r="H4883" s="304"/>
    </row>
    <row r="4884">
      <c r="A4884" s="302" t="s">
        <v>3395</v>
      </c>
      <c r="B4884" s="291" t="s">
        <v>24467</v>
      </c>
      <c r="C4884" s="292" t="s">
        <v>48</v>
      </c>
      <c r="D4884" s="293">
        <f t="shared" si="2"/>
        <v>1</v>
      </c>
      <c r="E4884" s="294" t="s">
        <v>24466</v>
      </c>
      <c r="F4884" s="295" t="str">
        <f>IFERROR(__xludf.DUMMYFUNCTION("IF(B4884="""","""",IFERROR(VLOOKUP(TO_TEXT(B4884),PEDIDOS!D:I,6,0),IFERROR(VLOOKUP(B4884*1,PEDIDOS!D:I,6,0),"" "")))")," ")</f>
        <v> </v>
      </c>
      <c r="G4884" s="305" t="s">
        <v>23926</v>
      </c>
      <c r="H4884" s="304"/>
    </row>
    <row r="4885">
      <c r="A4885" s="302" t="s">
        <v>3395</v>
      </c>
      <c r="B4885" s="291" t="s">
        <v>24468</v>
      </c>
      <c r="C4885" s="292" t="s">
        <v>48</v>
      </c>
      <c r="D4885" s="293">
        <f t="shared" si="2"/>
        <v>1</v>
      </c>
      <c r="E4885" s="294" t="s">
        <v>24466</v>
      </c>
      <c r="F4885" s="295" t="str">
        <f>IFERROR(__xludf.DUMMYFUNCTION("IF(B4885="""","""",IFERROR(VLOOKUP(TO_TEXT(B4885),PEDIDOS!D:I,6,0),IFERROR(VLOOKUP(B4885*1,PEDIDOS!D:I,6,0),"" "")))")," ")</f>
        <v> </v>
      </c>
      <c r="G4885" s="305" t="s">
        <v>23926</v>
      </c>
      <c r="H4885" s="304"/>
    </row>
    <row r="4886">
      <c r="A4886" s="302" t="s">
        <v>3395</v>
      </c>
      <c r="B4886" s="291" t="s">
        <v>24469</v>
      </c>
      <c r="C4886" s="292" t="s">
        <v>48</v>
      </c>
      <c r="D4886" s="293">
        <f t="shared" si="2"/>
        <v>1</v>
      </c>
      <c r="E4886" s="294" t="s">
        <v>24466</v>
      </c>
      <c r="F4886" s="295" t="str">
        <f>IFERROR(__xludf.DUMMYFUNCTION("IF(B4886="""","""",IFERROR(VLOOKUP(TO_TEXT(B4886),PEDIDOS!D:I,6,0),IFERROR(VLOOKUP(B4886*1,PEDIDOS!D:I,6,0),"" "")))")," ")</f>
        <v> </v>
      </c>
      <c r="G4886" s="305" t="s">
        <v>23926</v>
      </c>
      <c r="H4886" s="304"/>
    </row>
    <row r="4887">
      <c r="A4887" s="302" t="s">
        <v>3395</v>
      </c>
      <c r="B4887" s="291" t="s">
        <v>24470</v>
      </c>
      <c r="C4887" s="292" t="s">
        <v>48</v>
      </c>
      <c r="D4887" s="293">
        <f t="shared" si="2"/>
        <v>1</v>
      </c>
      <c r="E4887" s="294" t="s">
        <v>24466</v>
      </c>
      <c r="F4887" s="295" t="str">
        <f>IFERROR(__xludf.DUMMYFUNCTION("IF(B4887="""","""",IFERROR(VLOOKUP(TO_TEXT(B4887),PEDIDOS!D:I,6,0),IFERROR(VLOOKUP(B4887*1,PEDIDOS!D:I,6,0),"" "")))")," ")</f>
        <v> </v>
      </c>
      <c r="G4887" s="305" t="s">
        <v>23926</v>
      </c>
      <c r="H4887" s="304"/>
    </row>
    <row r="4888">
      <c r="A4888" s="302" t="s">
        <v>3395</v>
      </c>
      <c r="B4888" s="291" t="s">
        <v>24471</v>
      </c>
      <c r="C4888" s="292" t="s">
        <v>48</v>
      </c>
      <c r="D4888" s="293">
        <f t="shared" si="2"/>
        <v>1</v>
      </c>
      <c r="E4888" s="294" t="s">
        <v>24466</v>
      </c>
      <c r="F4888" s="295" t="str">
        <f>IFERROR(__xludf.DUMMYFUNCTION("IF(B4888="""","""",IFERROR(VLOOKUP(TO_TEXT(B4888),PEDIDOS!D:I,6,0),IFERROR(VLOOKUP(B4888*1,PEDIDOS!D:I,6,0),"" "")))")," ")</f>
        <v> </v>
      </c>
      <c r="G4888" s="305" t="s">
        <v>23926</v>
      </c>
      <c r="H4888" s="304"/>
    </row>
    <row r="4889">
      <c r="A4889" s="302" t="s">
        <v>3395</v>
      </c>
      <c r="B4889" s="291" t="s">
        <v>24472</v>
      </c>
      <c r="C4889" s="292" t="s">
        <v>48</v>
      </c>
      <c r="D4889" s="293">
        <f t="shared" si="2"/>
        <v>1</v>
      </c>
      <c r="E4889" s="294" t="s">
        <v>24466</v>
      </c>
      <c r="F4889" s="295" t="str">
        <f>IFERROR(__xludf.DUMMYFUNCTION("IF(B4889="""","""",IFERROR(VLOOKUP(TO_TEXT(B4889),PEDIDOS!D:I,6,0),IFERROR(VLOOKUP(B4889*1,PEDIDOS!D:I,6,0),"" "")))")," ")</f>
        <v> </v>
      </c>
      <c r="G4889" s="305" t="s">
        <v>23926</v>
      </c>
      <c r="H4889" s="304"/>
    </row>
    <row r="4890">
      <c r="A4890" s="302" t="s">
        <v>3395</v>
      </c>
      <c r="B4890" s="291" t="s">
        <v>24473</v>
      </c>
      <c r="C4890" s="292" t="s">
        <v>48</v>
      </c>
      <c r="D4890" s="293">
        <f t="shared" si="2"/>
        <v>1</v>
      </c>
      <c r="E4890" s="294" t="s">
        <v>24466</v>
      </c>
      <c r="F4890" s="295" t="str">
        <f>IFERROR(__xludf.DUMMYFUNCTION("IF(B4890="""","""",IFERROR(VLOOKUP(TO_TEXT(B4890),PEDIDOS!D:I,6,0),IFERROR(VLOOKUP(B4890*1,PEDIDOS!D:I,6,0),"" "")))")," ")</f>
        <v> </v>
      </c>
      <c r="G4890" s="305" t="s">
        <v>23926</v>
      </c>
      <c r="H4890" s="304"/>
    </row>
    <row r="4891">
      <c r="A4891" s="302" t="s">
        <v>3395</v>
      </c>
      <c r="B4891" s="291" t="s">
        <v>24474</v>
      </c>
      <c r="C4891" s="292" t="s">
        <v>48</v>
      </c>
      <c r="D4891" s="293">
        <f t="shared" si="2"/>
        <v>1</v>
      </c>
      <c r="E4891" s="294" t="s">
        <v>24466</v>
      </c>
      <c r="F4891" s="295" t="str">
        <f>IFERROR(__xludf.DUMMYFUNCTION("IF(B4891="""","""",IFERROR(VLOOKUP(TO_TEXT(B4891),PEDIDOS!D:I,6,0),IFERROR(VLOOKUP(B4891*1,PEDIDOS!D:I,6,0),"" "")))")," ")</f>
        <v> </v>
      </c>
      <c r="G4891" s="305" t="s">
        <v>23926</v>
      </c>
      <c r="H4891" s="304"/>
    </row>
    <row r="4892">
      <c r="A4892" s="302" t="s">
        <v>3395</v>
      </c>
      <c r="B4892" s="291" t="s">
        <v>24475</v>
      </c>
      <c r="C4892" s="292" t="s">
        <v>48</v>
      </c>
      <c r="D4892" s="293">
        <f t="shared" si="2"/>
        <v>1</v>
      </c>
      <c r="E4892" s="294" t="s">
        <v>24466</v>
      </c>
      <c r="F4892" s="295" t="str">
        <f>IFERROR(__xludf.DUMMYFUNCTION("IF(B4892="""","""",IFERROR(VLOOKUP(TO_TEXT(B4892),PEDIDOS!D:I,6,0),IFERROR(VLOOKUP(B4892*1,PEDIDOS!D:I,6,0),"" "")))")," ")</f>
        <v> </v>
      </c>
      <c r="G4892" s="305" t="s">
        <v>23926</v>
      </c>
      <c r="H4892" s="304"/>
    </row>
    <row r="4893">
      <c r="A4893" s="302" t="s">
        <v>3395</v>
      </c>
      <c r="B4893" s="291" t="s">
        <v>24476</v>
      </c>
      <c r="C4893" s="292" t="s">
        <v>48</v>
      </c>
      <c r="D4893" s="293">
        <f t="shared" si="2"/>
        <v>1</v>
      </c>
      <c r="E4893" s="294" t="s">
        <v>24466</v>
      </c>
      <c r="F4893" s="295" t="str">
        <f>IFERROR(__xludf.DUMMYFUNCTION("IF(B4893="""","""",IFERROR(VLOOKUP(TO_TEXT(B4893),PEDIDOS!D:I,6,0),IFERROR(VLOOKUP(B4893*1,PEDIDOS!D:I,6,0),"" "")))")," ")</f>
        <v> </v>
      </c>
      <c r="G4893" s="305" t="s">
        <v>23926</v>
      </c>
      <c r="H4893" s="304"/>
    </row>
    <row r="4894">
      <c r="A4894" s="302" t="s">
        <v>3395</v>
      </c>
      <c r="B4894" s="291" t="s">
        <v>24477</v>
      </c>
      <c r="C4894" s="292" t="s">
        <v>48</v>
      </c>
      <c r="D4894" s="293">
        <f t="shared" si="2"/>
        <v>1</v>
      </c>
      <c r="E4894" s="294" t="s">
        <v>24466</v>
      </c>
      <c r="F4894" s="295" t="str">
        <f>IFERROR(__xludf.DUMMYFUNCTION("IF(B4894="""","""",IFERROR(VLOOKUP(TO_TEXT(B4894),PEDIDOS!D:I,6,0),IFERROR(VLOOKUP(B4894*1,PEDIDOS!D:I,6,0),"" "")))")," ")</f>
        <v> </v>
      </c>
      <c r="G4894" s="305" t="s">
        <v>23926</v>
      </c>
      <c r="H4894" s="304"/>
    </row>
    <row r="4895">
      <c r="A4895" s="302" t="s">
        <v>3395</v>
      </c>
      <c r="B4895" s="291" t="s">
        <v>24478</v>
      </c>
      <c r="C4895" s="292" t="s">
        <v>48</v>
      </c>
      <c r="D4895" s="293">
        <f t="shared" si="2"/>
        <v>1</v>
      </c>
      <c r="E4895" s="294" t="s">
        <v>24466</v>
      </c>
      <c r="F4895" s="295" t="str">
        <f>IFERROR(__xludf.DUMMYFUNCTION("IF(B4895="""","""",IFERROR(VLOOKUP(TO_TEXT(B4895),PEDIDOS!D:I,6,0),IFERROR(VLOOKUP(B4895*1,PEDIDOS!D:I,6,0),"" "")))")," ")</f>
        <v> </v>
      </c>
      <c r="G4895" s="305" t="s">
        <v>23926</v>
      </c>
      <c r="H4895" s="304"/>
    </row>
    <row r="4896">
      <c r="A4896" s="302" t="s">
        <v>3395</v>
      </c>
      <c r="B4896" s="291" t="s">
        <v>24479</v>
      </c>
      <c r="C4896" s="292" t="s">
        <v>48</v>
      </c>
      <c r="D4896" s="293">
        <f t="shared" si="2"/>
        <v>1</v>
      </c>
      <c r="E4896" s="294" t="s">
        <v>24466</v>
      </c>
      <c r="F4896" s="295" t="str">
        <f>IFERROR(__xludf.DUMMYFUNCTION("IF(B4896="""","""",IFERROR(VLOOKUP(TO_TEXT(B4896),PEDIDOS!D:I,6,0),IFERROR(VLOOKUP(B4896*1,PEDIDOS!D:I,6,0),"" "")))")," ")</f>
        <v> </v>
      </c>
      <c r="G4896" s="305" t="s">
        <v>23926</v>
      </c>
      <c r="H4896" s="304"/>
    </row>
    <row r="4897">
      <c r="A4897" s="302" t="s">
        <v>3395</v>
      </c>
      <c r="B4897" s="291" t="s">
        <v>24480</v>
      </c>
      <c r="C4897" s="292" t="s">
        <v>48</v>
      </c>
      <c r="D4897" s="293">
        <f t="shared" si="2"/>
        <v>1</v>
      </c>
      <c r="E4897" s="294" t="s">
        <v>24466</v>
      </c>
      <c r="F4897" s="295" t="str">
        <f>IFERROR(__xludf.DUMMYFUNCTION("IF(B4897="""","""",IFERROR(VLOOKUP(TO_TEXT(B4897),PEDIDOS!D:I,6,0),IFERROR(VLOOKUP(B4897*1,PEDIDOS!D:I,6,0),"" "")))")," ")</f>
        <v> </v>
      </c>
      <c r="G4897" s="305" t="s">
        <v>23926</v>
      </c>
      <c r="H4897" s="304"/>
    </row>
    <row r="4898">
      <c r="A4898" s="302" t="s">
        <v>3395</v>
      </c>
      <c r="B4898" s="291" t="s">
        <v>24481</v>
      </c>
      <c r="C4898" s="292" t="s">
        <v>48</v>
      </c>
      <c r="D4898" s="293">
        <f t="shared" si="2"/>
        <v>1</v>
      </c>
      <c r="E4898" s="294" t="s">
        <v>24466</v>
      </c>
      <c r="F4898" s="295" t="str">
        <f>IFERROR(__xludf.DUMMYFUNCTION("IF(B4898="""","""",IFERROR(VLOOKUP(TO_TEXT(B4898),PEDIDOS!D:I,6,0),IFERROR(VLOOKUP(B4898*1,PEDIDOS!D:I,6,0),"" "")))")," ")</f>
        <v> </v>
      </c>
      <c r="G4898" s="305" t="s">
        <v>23926</v>
      </c>
      <c r="H4898" s="304"/>
    </row>
    <row r="4899">
      <c r="A4899" s="302" t="s">
        <v>3395</v>
      </c>
      <c r="B4899" s="291" t="s">
        <v>24482</v>
      </c>
      <c r="C4899" s="292" t="s">
        <v>48</v>
      </c>
      <c r="D4899" s="293">
        <f t="shared" si="2"/>
        <v>1</v>
      </c>
      <c r="E4899" s="294" t="s">
        <v>24466</v>
      </c>
      <c r="F4899" s="295" t="str">
        <f>IFERROR(__xludf.DUMMYFUNCTION("IF(B4899="""","""",IFERROR(VLOOKUP(TO_TEXT(B4899),PEDIDOS!D:I,6,0),IFERROR(VLOOKUP(B4899*1,PEDIDOS!D:I,6,0),"" "")))")," ")</f>
        <v> </v>
      </c>
      <c r="G4899" s="305" t="s">
        <v>23926</v>
      </c>
      <c r="H4899" s="304"/>
    </row>
    <row r="4900">
      <c r="A4900" s="302" t="s">
        <v>3395</v>
      </c>
      <c r="B4900" s="291" t="s">
        <v>24483</v>
      </c>
      <c r="C4900" s="292" t="s">
        <v>48</v>
      </c>
      <c r="D4900" s="293">
        <f t="shared" si="2"/>
        <v>1</v>
      </c>
      <c r="E4900" s="294" t="s">
        <v>24466</v>
      </c>
      <c r="F4900" s="295" t="str">
        <f>IFERROR(__xludf.DUMMYFUNCTION("IF(B4900="""","""",IFERROR(VLOOKUP(TO_TEXT(B4900),PEDIDOS!D:I,6,0),IFERROR(VLOOKUP(B4900*1,PEDIDOS!D:I,6,0),"" "")))")," ")</f>
        <v> </v>
      </c>
      <c r="G4900" s="305" t="s">
        <v>23926</v>
      </c>
      <c r="H4900" s="304"/>
    </row>
    <row r="4901">
      <c r="A4901" s="302" t="s">
        <v>3395</v>
      </c>
      <c r="B4901" s="291" t="s">
        <v>24484</v>
      </c>
      <c r="C4901" s="292" t="s">
        <v>48</v>
      </c>
      <c r="D4901" s="293">
        <f t="shared" si="2"/>
        <v>1</v>
      </c>
      <c r="E4901" s="294" t="s">
        <v>24466</v>
      </c>
      <c r="F4901" s="295" t="str">
        <f>IFERROR(__xludf.DUMMYFUNCTION("IF(B4901="""","""",IFERROR(VLOOKUP(TO_TEXT(B4901),PEDIDOS!D:I,6,0),IFERROR(VLOOKUP(B4901*1,PEDIDOS!D:I,6,0),"" "")))")," ")</f>
        <v> </v>
      </c>
      <c r="G4901" s="305" t="s">
        <v>23926</v>
      </c>
      <c r="H4901" s="304"/>
    </row>
    <row r="4902">
      <c r="A4902" s="302" t="s">
        <v>3395</v>
      </c>
      <c r="B4902" s="291" t="s">
        <v>24485</v>
      </c>
      <c r="C4902" s="292" t="s">
        <v>48</v>
      </c>
      <c r="D4902" s="293">
        <f t="shared" si="2"/>
        <v>1</v>
      </c>
      <c r="E4902" s="294" t="s">
        <v>24466</v>
      </c>
      <c r="F4902" s="295" t="str">
        <f>IFERROR(__xludf.DUMMYFUNCTION("IF(B4902="""","""",IFERROR(VLOOKUP(TO_TEXT(B4902),PEDIDOS!D:I,6,0),IFERROR(VLOOKUP(B4902*1,PEDIDOS!D:I,6,0),"" "")))")," ")</f>
        <v> </v>
      </c>
      <c r="G4902" s="305" t="s">
        <v>23926</v>
      </c>
      <c r="H4902" s="304"/>
    </row>
    <row r="4903">
      <c r="A4903" s="302" t="s">
        <v>3395</v>
      </c>
      <c r="B4903" s="291" t="s">
        <v>24486</v>
      </c>
      <c r="C4903" s="292" t="s">
        <v>48</v>
      </c>
      <c r="D4903" s="293">
        <f t="shared" si="2"/>
        <v>1</v>
      </c>
      <c r="E4903" s="294" t="s">
        <v>24466</v>
      </c>
      <c r="F4903" s="295" t="str">
        <f>IFERROR(__xludf.DUMMYFUNCTION("IF(B4903="""","""",IFERROR(VLOOKUP(TO_TEXT(B4903),PEDIDOS!D:I,6,0),IFERROR(VLOOKUP(B4903*1,PEDIDOS!D:I,6,0),"" "")))")," ")</f>
        <v> </v>
      </c>
      <c r="G4903" s="305" t="s">
        <v>23926</v>
      </c>
      <c r="H4903" s="304"/>
    </row>
    <row r="4904">
      <c r="A4904" s="302" t="s">
        <v>3395</v>
      </c>
      <c r="B4904" s="291" t="s">
        <v>24487</v>
      </c>
      <c r="C4904" s="292" t="s">
        <v>48</v>
      </c>
      <c r="D4904" s="293">
        <f t="shared" si="2"/>
        <v>1</v>
      </c>
      <c r="E4904" s="294" t="s">
        <v>24466</v>
      </c>
      <c r="F4904" s="295" t="str">
        <f>IFERROR(__xludf.DUMMYFUNCTION("IF(B4904="""","""",IFERROR(VLOOKUP(TO_TEXT(B4904),PEDIDOS!D:I,6,0),IFERROR(VLOOKUP(B4904*1,PEDIDOS!D:I,6,0),"" "")))")," ")</f>
        <v> </v>
      </c>
      <c r="G4904" s="305" t="s">
        <v>23926</v>
      </c>
      <c r="H4904" s="304"/>
    </row>
    <row r="4905">
      <c r="A4905" s="302" t="s">
        <v>3395</v>
      </c>
      <c r="B4905" s="291" t="s">
        <v>24488</v>
      </c>
      <c r="C4905" s="292" t="s">
        <v>48</v>
      </c>
      <c r="D4905" s="293">
        <f t="shared" si="2"/>
        <v>1</v>
      </c>
      <c r="E4905" s="294" t="s">
        <v>24466</v>
      </c>
      <c r="F4905" s="295" t="str">
        <f>IFERROR(__xludf.DUMMYFUNCTION("IF(B4905="""","""",IFERROR(VLOOKUP(TO_TEXT(B4905),PEDIDOS!D:I,6,0),IFERROR(VLOOKUP(B4905*1,PEDIDOS!D:I,6,0),"" "")))")," ")</f>
        <v> </v>
      </c>
      <c r="G4905" s="305" t="s">
        <v>23926</v>
      </c>
      <c r="H4905" s="304"/>
    </row>
    <row r="4906">
      <c r="A4906" s="302" t="s">
        <v>3395</v>
      </c>
      <c r="B4906" s="291" t="s">
        <v>24489</v>
      </c>
      <c r="C4906" s="292" t="s">
        <v>48</v>
      </c>
      <c r="D4906" s="293">
        <f t="shared" si="2"/>
        <v>1</v>
      </c>
      <c r="E4906" s="294" t="s">
        <v>24466</v>
      </c>
      <c r="F4906" s="295" t="str">
        <f>IFERROR(__xludf.DUMMYFUNCTION("IF(B4906="""","""",IFERROR(VLOOKUP(TO_TEXT(B4906),PEDIDOS!D:I,6,0),IFERROR(VLOOKUP(B4906*1,PEDIDOS!D:I,6,0),"" "")))")," ")</f>
        <v> </v>
      </c>
      <c r="G4906" s="305" t="s">
        <v>23926</v>
      </c>
      <c r="H4906" s="304"/>
    </row>
    <row r="4907">
      <c r="A4907" s="302" t="s">
        <v>3395</v>
      </c>
      <c r="B4907" s="291" t="s">
        <v>24490</v>
      </c>
      <c r="C4907" s="292" t="s">
        <v>48</v>
      </c>
      <c r="D4907" s="293">
        <f t="shared" si="2"/>
        <v>1</v>
      </c>
      <c r="E4907" s="294" t="s">
        <v>24466</v>
      </c>
      <c r="F4907" s="295" t="str">
        <f>IFERROR(__xludf.DUMMYFUNCTION("IF(B4907="""","""",IFERROR(VLOOKUP(TO_TEXT(B4907),PEDIDOS!D:I,6,0),IFERROR(VLOOKUP(B4907*1,PEDIDOS!D:I,6,0),"" "")))")," ")</f>
        <v> </v>
      </c>
      <c r="G4907" s="305" t="s">
        <v>23926</v>
      </c>
      <c r="H4907" s="304"/>
    </row>
    <row r="4908">
      <c r="A4908" s="302" t="s">
        <v>3395</v>
      </c>
      <c r="B4908" s="291" t="s">
        <v>24491</v>
      </c>
      <c r="C4908" s="292" t="s">
        <v>48</v>
      </c>
      <c r="D4908" s="293">
        <f t="shared" si="2"/>
        <v>1</v>
      </c>
      <c r="E4908" s="294" t="s">
        <v>24466</v>
      </c>
      <c r="F4908" s="295" t="str">
        <f>IFERROR(__xludf.DUMMYFUNCTION("IF(B4908="""","""",IFERROR(VLOOKUP(TO_TEXT(B4908),PEDIDOS!D:I,6,0),IFERROR(VLOOKUP(B4908*1,PEDIDOS!D:I,6,0),"" "")))")," ")</f>
        <v> </v>
      </c>
      <c r="G4908" s="305" t="s">
        <v>23926</v>
      </c>
      <c r="H4908" s="304"/>
    </row>
    <row r="4909">
      <c r="A4909" s="302" t="s">
        <v>3395</v>
      </c>
      <c r="B4909" s="291" t="s">
        <v>24492</v>
      </c>
      <c r="C4909" s="292" t="s">
        <v>48</v>
      </c>
      <c r="D4909" s="293">
        <f t="shared" si="2"/>
        <v>1</v>
      </c>
      <c r="E4909" s="294" t="s">
        <v>24466</v>
      </c>
      <c r="F4909" s="295" t="str">
        <f>IFERROR(__xludf.DUMMYFUNCTION("IF(B4909="""","""",IFERROR(VLOOKUP(TO_TEXT(B4909),PEDIDOS!D:I,6,0),IFERROR(VLOOKUP(B4909*1,PEDIDOS!D:I,6,0),"" "")))")," ")</f>
        <v> </v>
      </c>
      <c r="G4909" s="305" t="s">
        <v>23926</v>
      </c>
      <c r="H4909" s="304"/>
    </row>
    <row r="4910">
      <c r="A4910" s="302" t="s">
        <v>3395</v>
      </c>
      <c r="B4910" s="291" t="s">
        <v>24493</v>
      </c>
      <c r="C4910" s="292" t="s">
        <v>48</v>
      </c>
      <c r="D4910" s="293">
        <f t="shared" si="2"/>
        <v>1</v>
      </c>
      <c r="E4910" s="294" t="s">
        <v>24466</v>
      </c>
      <c r="F4910" s="295" t="str">
        <f>IFERROR(__xludf.DUMMYFUNCTION("IF(B4910="""","""",IFERROR(VLOOKUP(TO_TEXT(B4910),PEDIDOS!D:I,6,0),IFERROR(VLOOKUP(B4910*1,PEDIDOS!D:I,6,0),"" "")))")," ")</f>
        <v> </v>
      </c>
      <c r="G4910" s="305" t="s">
        <v>23926</v>
      </c>
      <c r="H4910" s="304"/>
    </row>
    <row r="4911">
      <c r="A4911" s="302" t="s">
        <v>3395</v>
      </c>
      <c r="B4911" s="291" t="s">
        <v>24494</v>
      </c>
      <c r="C4911" s="292" t="s">
        <v>48</v>
      </c>
      <c r="D4911" s="293">
        <f t="shared" si="2"/>
        <v>1</v>
      </c>
      <c r="E4911" s="294" t="s">
        <v>24466</v>
      </c>
      <c r="F4911" s="295" t="str">
        <f>IFERROR(__xludf.DUMMYFUNCTION("IF(B4911="""","""",IFERROR(VLOOKUP(TO_TEXT(B4911),PEDIDOS!D:I,6,0),IFERROR(VLOOKUP(B4911*1,PEDIDOS!D:I,6,0),"" "")))")," ")</f>
        <v> </v>
      </c>
      <c r="G4911" s="305" t="s">
        <v>23926</v>
      </c>
      <c r="H4911" s="304"/>
    </row>
    <row r="4912">
      <c r="A4912" s="302" t="s">
        <v>3395</v>
      </c>
      <c r="B4912" s="291" t="s">
        <v>24495</v>
      </c>
      <c r="C4912" s="292" t="s">
        <v>48</v>
      </c>
      <c r="D4912" s="293">
        <f t="shared" si="2"/>
        <v>1</v>
      </c>
      <c r="E4912" s="294" t="s">
        <v>24466</v>
      </c>
      <c r="F4912" s="295" t="str">
        <f>IFERROR(__xludf.DUMMYFUNCTION("IF(B4912="""","""",IFERROR(VLOOKUP(TO_TEXT(B4912),PEDIDOS!D:I,6,0),IFERROR(VLOOKUP(B4912*1,PEDIDOS!D:I,6,0),"" "")))")," ")</f>
        <v> </v>
      </c>
      <c r="G4912" s="305" t="s">
        <v>23926</v>
      </c>
      <c r="H4912" s="304"/>
    </row>
    <row r="4913">
      <c r="A4913" s="302" t="s">
        <v>3395</v>
      </c>
      <c r="B4913" s="291" t="s">
        <v>24496</v>
      </c>
      <c r="C4913" s="292" t="s">
        <v>48</v>
      </c>
      <c r="D4913" s="293">
        <f t="shared" si="2"/>
        <v>1</v>
      </c>
      <c r="E4913" s="294" t="s">
        <v>24466</v>
      </c>
      <c r="F4913" s="295" t="str">
        <f>IFERROR(__xludf.DUMMYFUNCTION("IF(B4913="""","""",IFERROR(VLOOKUP(TO_TEXT(B4913),PEDIDOS!D:I,6,0),IFERROR(VLOOKUP(B4913*1,PEDIDOS!D:I,6,0),"" "")))")," ")</f>
        <v> </v>
      </c>
      <c r="G4913" s="305" t="s">
        <v>23926</v>
      </c>
      <c r="H4913" s="304"/>
    </row>
    <row r="4914">
      <c r="A4914" s="302" t="s">
        <v>3395</v>
      </c>
      <c r="B4914" s="291" t="s">
        <v>24497</v>
      </c>
      <c r="C4914" s="292" t="s">
        <v>48</v>
      </c>
      <c r="D4914" s="293">
        <f t="shared" si="2"/>
        <v>1</v>
      </c>
      <c r="E4914" s="294" t="s">
        <v>24466</v>
      </c>
      <c r="F4914" s="295" t="str">
        <f>IFERROR(__xludf.DUMMYFUNCTION("IF(B4914="""","""",IFERROR(VLOOKUP(TO_TEXT(B4914),PEDIDOS!D:I,6,0),IFERROR(VLOOKUP(B4914*1,PEDIDOS!D:I,6,0),"" "")))")," ")</f>
        <v> </v>
      </c>
      <c r="G4914" s="305" t="s">
        <v>23926</v>
      </c>
      <c r="H4914" s="304"/>
    </row>
    <row r="4915">
      <c r="A4915" s="302" t="s">
        <v>3395</v>
      </c>
      <c r="B4915" s="291" t="s">
        <v>24498</v>
      </c>
      <c r="C4915" s="292" t="s">
        <v>48</v>
      </c>
      <c r="D4915" s="293">
        <f t="shared" si="2"/>
        <v>1</v>
      </c>
      <c r="E4915" s="294" t="s">
        <v>24466</v>
      </c>
      <c r="F4915" s="295" t="str">
        <f>IFERROR(__xludf.DUMMYFUNCTION("IF(B4915="""","""",IFERROR(VLOOKUP(TO_TEXT(B4915),PEDIDOS!D:I,6,0),IFERROR(VLOOKUP(B4915*1,PEDIDOS!D:I,6,0),"" "")))")," ")</f>
        <v> </v>
      </c>
      <c r="G4915" s="305" t="s">
        <v>23926</v>
      </c>
      <c r="H4915" s="304"/>
    </row>
    <row r="4916">
      <c r="A4916" s="302" t="s">
        <v>3395</v>
      </c>
      <c r="B4916" s="291" t="s">
        <v>24499</v>
      </c>
      <c r="C4916" s="292" t="s">
        <v>48</v>
      </c>
      <c r="D4916" s="293">
        <f t="shared" si="2"/>
        <v>1</v>
      </c>
      <c r="E4916" s="294" t="s">
        <v>24466</v>
      </c>
      <c r="F4916" s="295" t="str">
        <f>IFERROR(__xludf.DUMMYFUNCTION("IF(B4916="""","""",IFERROR(VLOOKUP(TO_TEXT(B4916),PEDIDOS!D:I,6,0),IFERROR(VLOOKUP(B4916*1,PEDIDOS!D:I,6,0),"" "")))")," ")</f>
        <v> </v>
      </c>
      <c r="G4916" s="305" t="s">
        <v>23926</v>
      </c>
      <c r="H4916" s="304"/>
    </row>
    <row r="4917">
      <c r="A4917" s="302" t="s">
        <v>3395</v>
      </c>
      <c r="B4917" s="291" t="s">
        <v>24500</v>
      </c>
      <c r="C4917" s="292" t="s">
        <v>48</v>
      </c>
      <c r="D4917" s="293">
        <f t="shared" si="2"/>
        <v>1</v>
      </c>
      <c r="E4917" s="294" t="s">
        <v>24466</v>
      </c>
      <c r="F4917" s="295" t="str">
        <f>IFERROR(__xludf.DUMMYFUNCTION("IF(B4917="""","""",IFERROR(VLOOKUP(TO_TEXT(B4917),PEDIDOS!D:I,6,0),IFERROR(VLOOKUP(B4917*1,PEDIDOS!D:I,6,0),"" "")))")," ")</f>
        <v> </v>
      </c>
      <c r="G4917" s="305" t="s">
        <v>23926</v>
      </c>
      <c r="H4917" s="304"/>
    </row>
    <row r="4918">
      <c r="A4918" s="302" t="s">
        <v>3395</v>
      </c>
      <c r="B4918" s="291" t="s">
        <v>24501</v>
      </c>
      <c r="C4918" s="292" t="s">
        <v>48</v>
      </c>
      <c r="D4918" s="293">
        <f t="shared" si="2"/>
        <v>1</v>
      </c>
      <c r="E4918" s="294" t="s">
        <v>24466</v>
      </c>
      <c r="F4918" s="295" t="str">
        <f>IFERROR(__xludf.DUMMYFUNCTION("IF(B4918="""","""",IFERROR(VLOOKUP(TO_TEXT(B4918),PEDIDOS!D:I,6,0),IFERROR(VLOOKUP(B4918*1,PEDIDOS!D:I,6,0),"" "")))")," ")</f>
        <v> </v>
      </c>
      <c r="G4918" s="305" t="s">
        <v>23926</v>
      </c>
      <c r="H4918" s="304"/>
    </row>
    <row r="4919">
      <c r="A4919" s="302" t="s">
        <v>3395</v>
      </c>
      <c r="B4919" s="291" t="s">
        <v>24502</v>
      </c>
      <c r="C4919" s="292" t="s">
        <v>48</v>
      </c>
      <c r="D4919" s="293">
        <f t="shared" si="2"/>
        <v>1</v>
      </c>
      <c r="E4919" s="294" t="s">
        <v>24466</v>
      </c>
      <c r="F4919" s="295" t="str">
        <f>IFERROR(__xludf.DUMMYFUNCTION("IF(B4919="""","""",IFERROR(VLOOKUP(TO_TEXT(B4919),PEDIDOS!D:I,6,0),IFERROR(VLOOKUP(B4919*1,PEDIDOS!D:I,6,0),"" "")))")," ")</f>
        <v> </v>
      </c>
      <c r="G4919" s="305" t="s">
        <v>23926</v>
      </c>
      <c r="H4919" s="304"/>
    </row>
    <row r="4920">
      <c r="A4920" s="302" t="s">
        <v>3395</v>
      </c>
      <c r="B4920" s="291" t="s">
        <v>24503</v>
      </c>
      <c r="C4920" s="292" t="s">
        <v>48</v>
      </c>
      <c r="D4920" s="293">
        <f t="shared" si="2"/>
        <v>1</v>
      </c>
      <c r="E4920" s="294" t="s">
        <v>24466</v>
      </c>
      <c r="F4920" s="295" t="str">
        <f>IFERROR(__xludf.DUMMYFUNCTION("IF(B4920="""","""",IFERROR(VLOOKUP(TO_TEXT(B4920),PEDIDOS!D:I,6,0),IFERROR(VLOOKUP(B4920*1,PEDIDOS!D:I,6,0),"" "")))")," ")</f>
        <v> </v>
      </c>
      <c r="G4920" s="305" t="s">
        <v>23926</v>
      </c>
      <c r="H4920" s="304"/>
    </row>
    <row r="4921">
      <c r="A4921" s="302" t="s">
        <v>3395</v>
      </c>
      <c r="B4921" s="291" t="s">
        <v>24504</v>
      </c>
      <c r="C4921" s="292" t="s">
        <v>48</v>
      </c>
      <c r="D4921" s="293">
        <f t="shared" si="2"/>
        <v>1</v>
      </c>
      <c r="E4921" s="294" t="s">
        <v>24466</v>
      </c>
      <c r="F4921" s="295" t="str">
        <f>IFERROR(__xludf.DUMMYFUNCTION("IF(B4921="""","""",IFERROR(VLOOKUP(TO_TEXT(B4921),PEDIDOS!D:I,6,0),IFERROR(VLOOKUP(B4921*1,PEDIDOS!D:I,6,0),"" "")))")," ")</f>
        <v> </v>
      </c>
      <c r="G4921" s="305" t="s">
        <v>23926</v>
      </c>
      <c r="H4921" s="304"/>
    </row>
    <row r="4922">
      <c r="A4922" s="302" t="s">
        <v>3395</v>
      </c>
      <c r="B4922" s="291" t="s">
        <v>24505</v>
      </c>
      <c r="C4922" s="292" t="s">
        <v>48</v>
      </c>
      <c r="D4922" s="293">
        <f t="shared" si="2"/>
        <v>1</v>
      </c>
      <c r="E4922" s="294" t="s">
        <v>24466</v>
      </c>
      <c r="F4922" s="295" t="str">
        <f>IFERROR(__xludf.DUMMYFUNCTION("IF(B4922="""","""",IFERROR(VLOOKUP(TO_TEXT(B4922),PEDIDOS!D:I,6,0),IFERROR(VLOOKUP(B4922*1,PEDIDOS!D:I,6,0),"" "")))")," ")</f>
        <v> </v>
      </c>
      <c r="G4922" s="305" t="s">
        <v>23926</v>
      </c>
      <c r="H4922" s="304"/>
    </row>
    <row r="4923">
      <c r="A4923" s="302" t="s">
        <v>3395</v>
      </c>
      <c r="B4923" s="291" t="s">
        <v>24506</v>
      </c>
      <c r="C4923" s="292" t="s">
        <v>48</v>
      </c>
      <c r="D4923" s="293">
        <f t="shared" si="2"/>
        <v>1</v>
      </c>
      <c r="E4923" s="294" t="s">
        <v>24466</v>
      </c>
      <c r="F4923" s="295" t="str">
        <f>IFERROR(__xludf.DUMMYFUNCTION("IF(B4923="""","""",IFERROR(VLOOKUP(TO_TEXT(B4923),PEDIDOS!D:I,6,0),IFERROR(VLOOKUP(B4923*1,PEDIDOS!D:I,6,0),"" "")))")," ")</f>
        <v> </v>
      </c>
      <c r="G4923" s="305" t="s">
        <v>23926</v>
      </c>
      <c r="H4923" s="304"/>
    </row>
    <row r="4924">
      <c r="A4924" s="302" t="s">
        <v>3395</v>
      </c>
      <c r="B4924" s="291" t="s">
        <v>24507</v>
      </c>
      <c r="C4924" s="292" t="s">
        <v>48</v>
      </c>
      <c r="D4924" s="293">
        <f t="shared" si="2"/>
        <v>1</v>
      </c>
      <c r="E4924" s="294" t="s">
        <v>24466</v>
      </c>
      <c r="F4924" s="295" t="str">
        <f>IFERROR(__xludf.DUMMYFUNCTION("IF(B4924="""","""",IFERROR(VLOOKUP(TO_TEXT(B4924),PEDIDOS!D:I,6,0),IFERROR(VLOOKUP(B4924*1,PEDIDOS!D:I,6,0),"" "")))")," ")</f>
        <v> </v>
      </c>
      <c r="G4924" s="305" t="s">
        <v>23926</v>
      </c>
      <c r="H4924" s="304"/>
    </row>
    <row r="4925">
      <c r="A4925" s="302" t="s">
        <v>3395</v>
      </c>
      <c r="B4925" s="291" t="s">
        <v>24508</v>
      </c>
      <c r="C4925" s="292" t="s">
        <v>48</v>
      </c>
      <c r="D4925" s="293">
        <f t="shared" si="2"/>
        <v>1</v>
      </c>
      <c r="E4925" s="294" t="s">
        <v>24466</v>
      </c>
      <c r="F4925" s="295" t="str">
        <f>IFERROR(__xludf.DUMMYFUNCTION("IF(B4925="""","""",IFERROR(VLOOKUP(TO_TEXT(B4925),PEDIDOS!D:I,6,0),IFERROR(VLOOKUP(B4925*1,PEDIDOS!D:I,6,0),"" "")))")," ")</f>
        <v> </v>
      </c>
      <c r="G4925" s="305" t="s">
        <v>23926</v>
      </c>
      <c r="H4925" s="304"/>
    </row>
    <row r="4926">
      <c r="A4926" s="302" t="s">
        <v>3395</v>
      </c>
      <c r="B4926" s="291" t="s">
        <v>24509</v>
      </c>
      <c r="C4926" s="292" t="s">
        <v>48</v>
      </c>
      <c r="D4926" s="293">
        <f t="shared" si="2"/>
        <v>1</v>
      </c>
      <c r="E4926" s="294" t="s">
        <v>24466</v>
      </c>
      <c r="F4926" s="295" t="str">
        <f>IFERROR(__xludf.DUMMYFUNCTION("IF(B4926="""","""",IFERROR(VLOOKUP(TO_TEXT(B4926),PEDIDOS!D:I,6,0),IFERROR(VLOOKUP(B4926*1,PEDIDOS!D:I,6,0),"" "")))")," ")</f>
        <v> </v>
      </c>
      <c r="G4926" s="305" t="s">
        <v>23926</v>
      </c>
      <c r="H4926" s="304"/>
    </row>
    <row r="4927">
      <c r="A4927" s="302" t="s">
        <v>3395</v>
      </c>
      <c r="B4927" s="291" t="s">
        <v>24510</v>
      </c>
      <c r="C4927" s="292" t="s">
        <v>48</v>
      </c>
      <c r="D4927" s="293">
        <f t="shared" si="2"/>
        <v>1</v>
      </c>
      <c r="E4927" s="294" t="s">
        <v>24466</v>
      </c>
      <c r="F4927" s="295" t="str">
        <f>IFERROR(__xludf.DUMMYFUNCTION("IF(B4927="""","""",IFERROR(VLOOKUP(TO_TEXT(B4927),PEDIDOS!D:I,6,0),IFERROR(VLOOKUP(B4927*1,PEDIDOS!D:I,6,0),"" "")))")," ")</f>
        <v> </v>
      </c>
      <c r="G4927" s="305" t="s">
        <v>23926</v>
      </c>
      <c r="H4927" s="304"/>
    </row>
    <row r="4928">
      <c r="A4928" s="302" t="s">
        <v>3395</v>
      </c>
      <c r="B4928" s="291" t="s">
        <v>24511</v>
      </c>
      <c r="C4928" s="292" t="s">
        <v>48</v>
      </c>
      <c r="D4928" s="293">
        <f t="shared" si="2"/>
        <v>1</v>
      </c>
      <c r="E4928" s="294" t="s">
        <v>24466</v>
      </c>
      <c r="F4928" s="295" t="str">
        <f>IFERROR(__xludf.DUMMYFUNCTION("IF(B4928="""","""",IFERROR(VLOOKUP(TO_TEXT(B4928),PEDIDOS!D:I,6,0),IFERROR(VLOOKUP(B4928*1,PEDIDOS!D:I,6,0),"" "")))")," ")</f>
        <v> </v>
      </c>
      <c r="G4928" s="305" t="s">
        <v>23926</v>
      </c>
      <c r="H4928" s="304"/>
    </row>
    <row r="4929">
      <c r="A4929" s="302" t="s">
        <v>3395</v>
      </c>
      <c r="B4929" s="291" t="s">
        <v>24512</v>
      </c>
      <c r="C4929" s="292" t="s">
        <v>48</v>
      </c>
      <c r="D4929" s="293">
        <f t="shared" si="2"/>
        <v>1</v>
      </c>
      <c r="E4929" s="294" t="s">
        <v>24466</v>
      </c>
      <c r="F4929" s="295" t="str">
        <f>IFERROR(__xludf.DUMMYFUNCTION("IF(B4929="""","""",IFERROR(VLOOKUP(TO_TEXT(B4929),PEDIDOS!D:I,6,0),IFERROR(VLOOKUP(B4929*1,PEDIDOS!D:I,6,0),"" "")))")," ")</f>
        <v> </v>
      </c>
      <c r="G4929" s="305" t="s">
        <v>23926</v>
      </c>
      <c r="H4929" s="304"/>
    </row>
    <row r="4930">
      <c r="A4930" s="302" t="s">
        <v>3395</v>
      </c>
      <c r="B4930" s="291" t="s">
        <v>24513</v>
      </c>
      <c r="C4930" s="292" t="s">
        <v>48</v>
      </c>
      <c r="D4930" s="293">
        <f t="shared" si="2"/>
        <v>1</v>
      </c>
      <c r="E4930" s="294" t="s">
        <v>24466</v>
      </c>
      <c r="F4930" s="295" t="str">
        <f>IFERROR(__xludf.DUMMYFUNCTION("IF(B4930="""","""",IFERROR(VLOOKUP(TO_TEXT(B4930),PEDIDOS!D:I,6,0),IFERROR(VLOOKUP(B4930*1,PEDIDOS!D:I,6,0),"" "")))")," ")</f>
        <v> </v>
      </c>
      <c r="G4930" s="305" t="s">
        <v>23926</v>
      </c>
      <c r="H4930" s="304"/>
    </row>
    <row r="4931">
      <c r="A4931" s="302" t="s">
        <v>3395</v>
      </c>
      <c r="B4931" s="291" t="s">
        <v>24514</v>
      </c>
      <c r="C4931" s="292" t="s">
        <v>48</v>
      </c>
      <c r="D4931" s="293">
        <f t="shared" si="2"/>
        <v>1</v>
      </c>
      <c r="E4931" s="294" t="s">
        <v>24466</v>
      </c>
      <c r="F4931" s="295" t="str">
        <f>IFERROR(__xludf.DUMMYFUNCTION("IF(B4931="""","""",IFERROR(VLOOKUP(TO_TEXT(B4931),PEDIDOS!D:I,6,0),IFERROR(VLOOKUP(B4931*1,PEDIDOS!D:I,6,0),"" "")))")," ")</f>
        <v> </v>
      </c>
      <c r="G4931" s="305" t="s">
        <v>23926</v>
      </c>
      <c r="H4931" s="304"/>
    </row>
    <row r="4932">
      <c r="A4932" s="302" t="s">
        <v>3395</v>
      </c>
      <c r="B4932" s="291" t="s">
        <v>24515</v>
      </c>
      <c r="C4932" s="292" t="s">
        <v>48</v>
      </c>
      <c r="D4932" s="293">
        <f t="shared" si="2"/>
        <v>1</v>
      </c>
      <c r="E4932" s="294" t="s">
        <v>24466</v>
      </c>
      <c r="F4932" s="295" t="str">
        <f>IFERROR(__xludf.DUMMYFUNCTION("IF(B4932="""","""",IFERROR(VLOOKUP(TO_TEXT(B4932),PEDIDOS!D:I,6,0),IFERROR(VLOOKUP(B4932*1,PEDIDOS!D:I,6,0),"" "")))")," ")</f>
        <v> </v>
      </c>
      <c r="G4932" s="305" t="s">
        <v>23926</v>
      </c>
      <c r="H4932" s="304"/>
    </row>
    <row r="4933">
      <c r="A4933" s="302" t="s">
        <v>3395</v>
      </c>
      <c r="B4933" s="291" t="s">
        <v>24516</v>
      </c>
      <c r="C4933" s="292" t="s">
        <v>48</v>
      </c>
      <c r="D4933" s="293">
        <f t="shared" si="2"/>
        <v>1</v>
      </c>
      <c r="E4933" s="294" t="s">
        <v>24466</v>
      </c>
      <c r="F4933" s="295" t="str">
        <f>IFERROR(__xludf.DUMMYFUNCTION("IF(B4933="""","""",IFERROR(VLOOKUP(TO_TEXT(B4933),PEDIDOS!D:I,6,0),IFERROR(VLOOKUP(B4933*1,PEDIDOS!D:I,6,0),"" "")))")," ")</f>
        <v> </v>
      </c>
      <c r="G4933" s="305" t="s">
        <v>23926</v>
      </c>
      <c r="H4933" s="304"/>
    </row>
    <row r="4934">
      <c r="A4934" s="302" t="s">
        <v>3395</v>
      </c>
      <c r="B4934" s="291" t="s">
        <v>24517</v>
      </c>
      <c r="C4934" s="292" t="s">
        <v>48</v>
      </c>
      <c r="D4934" s="293">
        <f t="shared" si="2"/>
        <v>1</v>
      </c>
      <c r="E4934" s="294" t="s">
        <v>24466</v>
      </c>
      <c r="F4934" s="295" t="str">
        <f>IFERROR(__xludf.DUMMYFUNCTION("IF(B4934="""","""",IFERROR(VLOOKUP(TO_TEXT(B4934),PEDIDOS!D:I,6,0),IFERROR(VLOOKUP(B4934*1,PEDIDOS!D:I,6,0),"" "")))")," ")</f>
        <v> </v>
      </c>
      <c r="G4934" s="305" t="s">
        <v>23926</v>
      </c>
      <c r="H4934" s="304"/>
    </row>
    <row r="4935">
      <c r="A4935" s="302" t="s">
        <v>3395</v>
      </c>
      <c r="B4935" s="291" t="s">
        <v>24518</v>
      </c>
      <c r="C4935" s="292" t="s">
        <v>48</v>
      </c>
      <c r="D4935" s="293">
        <f t="shared" si="2"/>
        <v>1</v>
      </c>
      <c r="E4935" s="294" t="s">
        <v>24466</v>
      </c>
      <c r="F4935" s="295" t="str">
        <f>IFERROR(__xludf.DUMMYFUNCTION("IF(B4935="""","""",IFERROR(VLOOKUP(TO_TEXT(B4935),PEDIDOS!D:I,6,0),IFERROR(VLOOKUP(B4935*1,PEDIDOS!D:I,6,0),"" "")))")," ")</f>
        <v> </v>
      </c>
      <c r="G4935" s="305" t="s">
        <v>23926</v>
      </c>
      <c r="H4935" s="304"/>
    </row>
    <row r="4936">
      <c r="A4936" s="302" t="s">
        <v>3395</v>
      </c>
      <c r="B4936" s="291" t="s">
        <v>24519</v>
      </c>
      <c r="C4936" s="292" t="s">
        <v>48</v>
      </c>
      <c r="D4936" s="293">
        <f t="shared" si="2"/>
        <v>1</v>
      </c>
      <c r="E4936" s="294" t="s">
        <v>24466</v>
      </c>
      <c r="F4936" s="295" t="str">
        <f>IFERROR(__xludf.DUMMYFUNCTION("IF(B4936="""","""",IFERROR(VLOOKUP(TO_TEXT(B4936),PEDIDOS!D:I,6,0),IFERROR(VLOOKUP(B4936*1,PEDIDOS!D:I,6,0),"" "")))")," ")</f>
        <v> </v>
      </c>
      <c r="G4936" s="305" t="s">
        <v>23926</v>
      </c>
      <c r="H4936" s="304"/>
    </row>
    <row r="4937">
      <c r="A4937" s="302" t="s">
        <v>3395</v>
      </c>
      <c r="B4937" s="291" t="s">
        <v>24520</v>
      </c>
      <c r="C4937" s="292" t="s">
        <v>48</v>
      </c>
      <c r="D4937" s="293">
        <f t="shared" si="2"/>
        <v>1</v>
      </c>
      <c r="E4937" s="294" t="s">
        <v>24466</v>
      </c>
      <c r="F4937" s="295" t="str">
        <f>IFERROR(__xludf.DUMMYFUNCTION("IF(B4937="""","""",IFERROR(VLOOKUP(TO_TEXT(B4937),PEDIDOS!D:I,6,0),IFERROR(VLOOKUP(B4937*1,PEDIDOS!D:I,6,0),"" "")))")," ")</f>
        <v> </v>
      </c>
      <c r="G4937" s="305" t="s">
        <v>23926</v>
      </c>
      <c r="H4937" s="304"/>
    </row>
    <row r="4938">
      <c r="A4938" s="302" t="s">
        <v>3395</v>
      </c>
      <c r="B4938" s="291" t="s">
        <v>24521</v>
      </c>
      <c r="C4938" s="292" t="s">
        <v>48</v>
      </c>
      <c r="D4938" s="293">
        <f t="shared" si="2"/>
        <v>1</v>
      </c>
      <c r="E4938" s="294" t="s">
        <v>24466</v>
      </c>
      <c r="F4938" s="295" t="str">
        <f>IFERROR(__xludf.DUMMYFUNCTION("IF(B4938="""","""",IFERROR(VLOOKUP(TO_TEXT(B4938),PEDIDOS!D:I,6,0),IFERROR(VLOOKUP(B4938*1,PEDIDOS!D:I,6,0),"" "")))")," ")</f>
        <v> </v>
      </c>
      <c r="G4938" s="305" t="s">
        <v>23926</v>
      </c>
      <c r="H4938" s="304"/>
    </row>
    <row r="4939">
      <c r="A4939" s="302" t="s">
        <v>3395</v>
      </c>
      <c r="B4939" s="291" t="s">
        <v>24522</v>
      </c>
      <c r="C4939" s="292" t="s">
        <v>48</v>
      </c>
      <c r="D4939" s="293">
        <f t="shared" si="2"/>
        <v>1</v>
      </c>
      <c r="E4939" s="294" t="s">
        <v>24466</v>
      </c>
      <c r="F4939" s="295" t="str">
        <f>IFERROR(__xludf.DUMMYFUNCTION("IF(B4939="""","""",IFERROR(VLOOKUP(TO_TEXT(B4939),PEDIDOS!D:I,6,0),IFERROR(VLOOKUP(B4939*1,PEDIDOS!D:I,6,0),"" "")))")," ")</f>
        <v> </v>
      </c>
      <c r="G4939" s="305" t="s">
        <v>23926</v>
      </c>
      <c r="H4939" s="304"/>
    </row>
    <row r="4940">
      <c r="A4940" s="302" t="s">
        <v>3395</v>
      </c>
      <c r="B4940" s="291" t="s">
        <v>24523</v>
      </c>
      <c r="C4940" s="292" t="s">
        <v>48</v>
      </c>
      <c r="D4940" s="293">
        <f t="shared" si="2"/>
        <v>1</v>
      </c>
      <c r="E4940" s="294" t="s">
        <v>24466</v>
      </c>
      <c r="F4940" s="295" t="str">
        <f>IFERROR(__xludf.DUMMYFUNCTION("IF(B4940="""","""",IFERROR(VLOOKUP(TO_TEXT(B4940),PEDIDOS!D:I,6,0),IFERROR(VLOOKUP(B4940*1,PEDIDOS!D:I,6,0),"" "")))")," ")</f>
        <v> </v>
      </c>
      <c r="G4940" s="305" t="s">
        <v>23926</v>
      </c>
      <c r="H4940" s="304"/>
    </row>
    <row r="4941">
      <c r="A4941" s="302" t="s">
        <v>3395</v>
      </c>
      <c r="B4941" s="291" t="s">
        <v>24524</v>
      </c>
      <c r="C4941" s="292" t="s">
        <v>48</v>
      </c>
      <c r="D4941" s="293">
        <f t="shared" si="2"/>
        <v>1</v>
      </c>
      <c r="E4941" s="294" t="s">
        <v>24466</v>
      </c>
      <c r="F4941" s="295" t="str">
        <f>IFERROR(__xludf.DUMMYFUNCTION("IF(B4941="""","""",IFERROR(VLOOKUP(TO_TEXT(B4941),PEDIDOS!D:I,6,0),IFERROR(VLOOKUP(B4941*1,PEDIDOS!D:I,6,0),"" "")))")," ")</f>
        <v> </v>
      </c>
      <c r="G4941" s="305" t="s">
        <v>23926</v>
      </c>
      <c r="H4941" s="304"/>
    </row>
    <row r="4942">
      <c r="A4942" s="302" t="s">
        <v>3395</v>
      </c>
      <c r="B4942" s="291" t="s">
        <v>24525</v>
      </c>
      <c r="C4942" s="292" t="s">
        <v>48</v>
      </c>
      <c r="D4942" s="293">
        <f t="shared" si="2"/>
        <v>1</v>
      </c>
      <c r="E4942" s="294" t="s">
        <v>24466</v>
      </c>
      <c r="F4942" s="295" t="str">
        <f>IFERROR(__xludf.DUMMYFUNCTION("IF(B4942="""","""",IFERROR(VLOOKUP(TO_TEXT(B4942),PEDIDOS!D:I,6,0),IFERROR(VLOOKUP(B4942*1,PEDIDOS!D:I,6,0),"" "")))")," ")</f>
        <v> </v>
      </c>
      <c r="G4942" s="305" t="s">
        <v>23926</v>
      </c>
      <c r="H4942" s="304"/>
    </row>
    <row r="4943">
      <c r="A4943" s="302" t="s">
        <v>3395</v>
      </c>
      <c r="B4943" s="291" t="s">
        <v>24526</v>
      </c>
      <c r="C4943" s="292" t="s">
        <v>48</v>
      </c>
      <c r="D4943" s="293">
        <f t="shared" si="2"/>
        <v>1</v>
      </c>
      <c r="E4943" s="294" t="s">
        <v>24466</v>
      </c>
      <c r="F4943" s="295" t="str">
        <f>IFERROR(__xludf.DUMMYFUNCTION("IF(B4943="""","""",IFERROR(VLOOKUP(TO_TEXT(B4943),PEDIDOS!D:I,6,0),IFERROR(VLOOKUP(B4943*1,PEDIDOS!D:I,6,0),"" "")))")," ")</f>
        <v> </v>
      </c>
      <c r="G4943" s="305" t="s">
        <v>23926</v>
      </c>
      <c r="H4943" s="304"/>
    </row>
    <row r="4944">
      <c r="A4944" s="302" t="s">
        <v>3395</v>
      </c>
      <c r="B4944" s="291" t="s">
        <v>24527</v>
      </c>
      <c r="C4944" s="292" t="s">
        <v>48</v>
      </c>
      <c r="D4944" s="293">
        <f t="shared" si="2"/>
        <v>1</v>
      </c>
      <c r="E4944" s="294" t="s">
        <v>24466</v>
      </c>
      <c r="F4944" s="295" t="str">
        <f>IFERROR(__xludf.DUMMYFUNCTION("IF(B4944="""","""",IFERROR(VLOOKUP(TO_TEXT(B4944),PEDIDOS!D:I,6,0),IFERROR(VLOOKUP(B4944*1,PEDIDOS!D:I,6,0),"" "")))")," ")</f>
        <v> </v>
      </c>
      <c r="G4944" s="305" t="s">
        <v>23926</v>
      </c>
      <c r="H4944" s="304"/>
    </row>
    <row r="4945">
      <c r="A4945" s="302" t="s">
        <v>3395</v>
      </c>
      <c r="B4945" s="291" t="s">
        <v>24528</v>
      </c>
      <c r="C4945" s="292" t="s">
        <v>48</v>
      </c>
      <c r="D4945" s="293">
        <f t="shared" si="2"/>
        <v>1</v>
      </c>
      <c r="E4945" s="294" t="s">
        <v>24466</v>
      </c>
      <c r="F4945" s="295" t="str">
        <f>IFERROR(__xludf.DUMMYFUNCTION("IF(B4945="""","""",IFERROR(VLOOKUP(TO_TEXT(B4945),PEDIDOS!D:I,6,0),IFERROR(VLOOKUP(B4945*1,PEDIDOS!D:I,6,0),"" "")))")," ")</f>
        <v> </v>
      </c>
      <c r="G4945" s="305" t="s">
        <v>23926</v>
      </c>
      <c r="H4945" s="304"/>
    </row>
    <row r="4946">
      <c r="A4946" s="302" t="s">
        <v>3395</v>
      </c>
      <c r="B4946" s="291" t="s">
        <v>24529</v>
      </c>
      <c r="C4946" s="292" t="s">
        <v>48</v>
      </c>
      <c r="D4946" s="293">
        <f t="shared" si="2"/>
        <v>1</v>
      </c>
      <c r="E4946" s="294" t="s">
        <v>24466</v>
      </c>
      <c r="F4946" s="295" t="str">
        <f>IFERROR(__xludf.DUMMYFUNCTION("IF(B4946="""","""",IFERROR(VLOOKUP(TO_TEXT(B4946),PEDIDOS!D:I,6,0),IFERROR(VLOOKUP(B4946*1,PEDIDOS!D:I,6,0),"" "")))")," ")</f>
        <v> </v>
      </c>
      <c r="G4946" s="305" t="s">
        <v>23926</v>
      </c>
      <c r="H4946" s="304"/>
    </row>
    <row r="4947">
      <c r="A4947" s="302" t="s">
        <v>3395</v>
      </c>
      <c r="B4947" s="291" t="s">
        <v>24530</v>
      </c>
      <c r="C4947" s="292" t="s">
        <v>48</v>
      </c>
      <c r="D4947" s="293">
        <f t="shared" si="2"/>
        <v>1</v>
      </c>
      <c r="E4947" s="294" t="s">
        <v>24466</v>
      </c>
      <c r="F4947" s="295" t="str">
        <f>IFERROR(__xludf.DUMMYFUNCTION("IF(B4947="""","""",IFERROR(VLOOKUP(TO_TEXT(B4947),PEDIDOS!D:I,6,0),IFERROR(VLOOKUP(B4947*1,PEDIDOS!D:I,6,0),"" "")))")," ")</f>
        <v> </v>
      </c>
      <c r="G4947" s="305" t="s">
        <v>23926</v>
      </c>
      <c r="H4947" s="304"/>
    </row>
    <row r="4948">
      <c r="A4948" s="302" t="s">
        <v>3395</v>
      </c>
      <c r="B4948" s="291" t="s">
        <v>24531</v>
      </c>
      <c r="C4948" s="292" t="s">
        <v>48</v>
      </c>
      <c r="D4948" s="293">
        <f t="shared" si="2"/>
        <v>1</v>
      </c>
      <c r="E4948" s="294" t="s">
        <v>24466</v>
      </c>
      <c r="F4948" s="295" t="str">
        <f>IFERROR(__xludf.DUMMYFUNCTION("IF(B4948="""","""",IFERROR(VLOOKUP(TO_TEXT(B4948),PEDIDOS!D:I,6,0),IFERROR(VLOOKUP(B4948*1,PEDIDOS!D:I,6,0),"" "")))")," ")</f>
        <v> </v>
      </c>
      <c r="G4948" s="305" t="s">
        <v>23926</v>
      </c>
      <c r="H4948" s="304"/>
    </row>
    <row r="4949">
      <c r="A4949" s="302" t="s">
        <v>3395</v>
      </c>
      <c r="B4949" s="291" t="s">
        <v>24532</v>
      </c>
      <c r="C4949" s="292" t="s">
        <v>48</v>
      </c>
      <c r="D4949" s="293">
        <f t="shared" si="2"/>
        <v>1</v>
      </c>
      <c r="E4949" s="294" t="s">
        <v>24466</v>
      </c>
      <c r="F4949" s="295" t="str">
        <f>IFERROR(__xludf.DUMMYFUNCTION("IF(B4949="""","""",IFERROR(VLOOKUP(TO_TEXT(B4949),PEDIDOS!D:I,6,0),IFERROR(VLOOKUP(B4949*1,PEDIDOS!D:I,6,0),"" "")))")," ")</f>
        <v> </v>
      </c>
      <c r="G4949" s="305" t="s">
        <v>23926</v>
      </c>
      <c r="H4949" s="304"/>
    </row>
    <row r="4950">
      <c r="A4950" s="302" t="s">
        <v>3395</v>
      </c>
      <c r="B4950" s="291" t="s">
        <v>24533</v>
      </c>
      <c r="C4950" s="292" t="s">
        <v>48</v>
      </c>
      <c r="D4950" s="293">
        <f t="shared" si="2"/>
        <v>1</v>
      </c>
      <c r="E4950" s="294" t="s">
        <v>24466</v>
      </c>
      <c r="F4950" s="295" t="str">
        <f>IFERROR(__xludf.DUMMYFUNCTION("IF(B4950="""","""",IFERROR(VLOOKUP(TO_TEXT(B4950),PEDIDOS!D:I,6,0),IFERROR(VLOOKUP(B4950*1,PEDIDOS!D:I,6,0),"" "")))")," ")</f>
        <v> </v>
      </c>
      <c r="G4950" s="305" t="s">
        <v>23926</v>
      </c>
      <c r="H4950" s="304"/>
    </row>
    <row r="4951">
      <c r="A4951" s="302" t="s">
        <v>3395</v>
      </c>
      <c r="B4951" s="291" t="s">
        <v>24534</v>
      </c>
      <c r="C4951" s="292" t="s">
        <v>48</v>
      </c>
      <c r="D4951" s="293">
        <f t="shared" si="2"/>
        <v>1</v>
      </c>
      <c r="E4951" s="294" t="s">
        <v>24466</v>
      </c>
      <c r="F4951" s="295" t="str">
        <f>IFERROR(__xludf.DUMMYFUNCTION("IF(B4951="""","""",IFERROR(VLOOKUP(TO_TEXT(B4951),PEDIDOS!D:I,6,0),IFERROR(VLOOKUP(B4951*1,PEDIDOS!D:I,6,0),"" "")))")," ")</f>
        <v> </v>
      </c>
      <c r="G4951" s="305" t="s">
        <v>23926</v>
      </c>
      <c r="H4951" s="304"/>
    </row>
    <row r="4952">
      <c r="A4952" s="302" t="s">
        <v>3395</v>
      </c>
      <c r="B4952" s="291" t="s">
        <v>24535</v>
      </c>
      <c r="C4952" s="292" t="s">
        <v>48</v>
      </c>
      <c r="D4952" s="293">
        <f t="shared" si="2"/>
        <v>1</v>
      </c>
      <c r="E4952" s="294" t="s">
        <v>24466</v>
      </c>
      <c r="F4952" s="295" t="str">
        <f>IFERROR(__xludf.DUMMYFUNCTION("IF(B4952="""","""",IFERROR(VLOOKUP(TO_TEXT(B4952),PEDIDOS!D:I,6,0),IFERROR(VLOOKUP(B4952*1,PEDIDOS!D:I,6,0),"" "")))")," ")</f>
        <v> </v>
      </c>
      <c r="G4952" s="305" t="s">
        <v>23926</v>
      </c>
      <c r="H4952" s="304"/>
    </row>
    <row r="4953">
      <c r="A4953" s="302" t="s">
        <v>3395</v>
      </c>
      <c r="B4953" s="291" t="s">
        <v>24536</v>
      </c>
      <c r="C4953" s="292" t="s">
        <v>48</v>
      </c>
      <c r="D4953" s="293">
        <f t="shared" si="2"/>
        <v>1</v>
      </c>
      <c r="E4953" s="294" t="s">
        <v>24466</v>
      </c>
      <c r="F4953" s="295" t="str">
        <f>IFERROR(__xludf.DUMMYFUNCTION("IF(B4953="""","""",IFERROR(VLOOKUP(TO_TEXT(B4953),PEDIDOS!D:I,6,0),IFERROR(VLOOKUP(B4953*1,PEDIDOS!D:I,6,0),"" "")))")," ")</f>
        <v> </v>
      </c>
      <c r="G4953" s="305" t="s">
        <v>23926</v>
      </c>
      <c r="H4953" s="304"/>
    </row>
    <row r="4954">
      <c r="A4954" s="302" t="s">
        <v>3395</v>
      </c>
      <c r="B4954" s="291" t="s">
        <v>24537</v>
      </c>
      <c r="C4954" s="292" t="s">
        <v>48</v>
      </c>
      <c r="D4954" s="293">
        <f t="shared" si="2"/>
        <v>1</v>
      </c>
      <c r="E4954" s="294" t="s">
        <v>24466</v>
      </c>
      <c r="F4954" s="295" t="str">
        <f>IFERROR(__xludf.DUMMYFUNCTION("IF(B4954="""","""",IFERROR(VLOOKUP(TO_TEXT(B4954),PEDIDOS!D:I,6,0),IFERROR(VLOOKUP(B4954*1,PEDIDOS!D:I,6,0),"" "")))")," ")</f>
        <v> </v>
      </c>
      <c r="G4954" s="305" t="s">
        <v>23926</v>
      </c>
      <c r="H4954" s="304"/>
    </row>
    <row r="4955">
      <c r="A4955" s="302" t="s">
        <v>3395</v>
      </c>
      <c r="B4955" s="291" t="s">
        <v>24538</v>
      </c>
      <c r="C4955" s="292" t="s">
        <v>48</v>
      </c>
      <c r="D4955" s="293">
        <f t="shared" si="2"/>
        <v>1</v>
      </c>
      <c r="E4955" s="294" t="s">
        <v>24466</v>
      </c>
      <c r="F4955" s="295" t="str">
        <f>IFERROR(__xludf.DUMMYFUNCTION("IF(B4955="""","""",IFERROR(VLOOKUP(TO_TEXT(B4955),PEDIDOS!D:I,6,0),IFERROR(VLOOKUP(B4955*1,PEDIDOS!D:I,6,0),"" "")))")," ")</f>
        <v> </v>
      </c>
      <c r="G4955" s="305" t="s">
        <v>23926</v>
      </c>
      <c r="H4955" s="304"/>
    </row>
    <row r="4956">
      <c r="A4956" s="302" t="s">
        <v>3395</v>
      </c>
      <c r="B4956" s="291" t="s">
        <v>24539</v>
      </c>
      <c r="C4956" s="292" t="s">
        <v>48</v>
      </c>
      <c r="D4956" s="293">
        <f t="shared" si="2"/>
        <v>1</v>
      </c>
      <c r="E4956" s="294" t="s">
        <v>24466</v>
      </c>
      <c r="F4956" s="295" t="str">
        <f>IFERROR(__xludf.DUMMYFUNCTION("IF(B4956="""","""",IFERROR(VLOOKUP(TO_TEXT(B4956),PEDIDOS!D:I,6,0),IFERROR(VLOOKUP(B4956*1,PEDIDOS!D:I,6,0),"" "")))")," ")</f>
        <v> </v>
      </c>
      <c r="G4956" s="305" t="s">
        <v>23926</v>
      </c>
      <c r="H4956" s="304"/>
    </row>
    <row r="4957">
      <c r="A4957" s="302" t="s">
        <v>3395</v>
      </c>
      <c r="B4957" s="291" t="s">
        <v>24540</v>
      </c>
      <c r="C4957" s="292" t="s">
        <v>48</v>
      </c>
      <c r="D4957" s="293">
        <f t="shared" si="2"/>
        <v>1</v>
      </c>
      <c r="E4957" s="294" t="s">
        <v>24466</v>
      </c>
      <c r="F4957" s="295" t="str">
        <f>IFERROR(__xludf.DUMMYFUNCTION("IF(B4957="""","""",IFERROR(VLOOKUP(TO_TEXT(B4957),PEDIDOS!D:I,6,0),IFERROR(VLOOKUP(B4957*1,PEDIDOS!D:I,6,0),"" "")))")," ")</f>
        <v> </v>
      </c>
      <c r="G4957" s="305" t="s">
        <v>23926</v>
      </c>
      <c r="H4957" s="304"/>
    </row>
    <row r="4958">
      <c r="A4958" s="302" t="s">
        <v>3395</v>
      </c>
      <c r="B4958" s="291" t="s">
        <v>24541</v>
      </c>
      <c r="C4958" s="292" t="s">
        <v>48</v>
      </c>
      <c r="D4958" s="293">
        <f t="shared" si="2"/>
        <v>1</v>
      </c>
      <c r="E4958" s="294" t="s">
        <v>24466</v>
      </c>
      <c r="F4958" s="295" t="str">
        <f>IFERROR(__xludf.DUMMYFUNCTION("IF(B4958="""","""",IFERROR(VLOOKUP(TO_TEXT(B4958),PEDIDOS!D:I,6,0),IFERROR(VLOOKUP(B4958*1,PEDIDOS!D:I,6,0),"" "")))")," ")</f>
        <v> </v>
      </c>
      <c r="G4958" s="305" t="s">
        <v>23926</v>
      </c>
      <c r="H4958" s="304"/>
    </row>
    <row r="4959">
      <c r="A4959" s="302" t="s">
        <v>3395</v>
      </c>
      <c r="B4959" s="291" t="s">
        <v>24542</v>
      </c>
      <c r="C4959" s="292" t="s">
        <v>48</v>
      </c>
      <c r="D4959" s="293">
        <f t="shared" si="2"/>
        <v>1</v>
      </c>
      <c r="E4959" s="294" t="s">
        <v>24466</v>
      </c>
      <c r="F4959" s="295" t="str">
        <f>IFERROR(__xludf.DUMMYFUNCTION("IF(B4959="""","""",IFERROR(VLOOKUP(TO_TEXT(B4959),PEDIDOS!D:I,6,0),IFERROR(VLOOKUP(B4959*1,PEDIDOS!D:I,6,0),"" "")))")," ")</f>
        <v> </v>
      </c>
      <c r="G4959" s="305" t="s">
        <v>23926</v>
      </c>
      <c r="H4959" s="304"/>
    </row>
    <row r="4960">
      <c r="A4960" s="302" t="s">
        <v>3395</v>
      </c>
      <c r="B4960" s="291" t="s">
        <v>24543</v>
      </c>
      <c r="C4960" s="292" t="s">
        <v>48</v>
      </c>
      <c r="D4960" s="293">
        <f t="shared" si="2"/>
        <v>1</v>
      </c>
      <c r="E4960" s="294" t="s">
        <v>24466</v>
      </c>
      <c r="F4960" s="295" t="str">
        <f>IFERROR(__xludf.DUMMYFUNCTION("IF(B4960="""","""",IFERROR(VLOOKUP(TO_TEXT(B4960),PEDIDOS!D:I,6,0),IFERROR(VLOOKUP(B4960*1,PEDIDOS!D:I,6,0),"" "")))")," ")</f>
        <v> </v>
      </c>
      <c r="G4960" s="305" t="s">
        <v>23926</v>
      </c>
      <c r="H4960" s="304"/>
    </row>
    <row r="4961">
      <c r="A4961" s="302" t="s">
        <v>3395</v>
      </c>
      <c r="B4961" s="291" t="s">
        <v>24544</v>
      </c>
      <c r="C4961" s="292" t="s">
        <v>48</v>
      </c>
      <c r="D4961" s="293">
        <f t="shared" si="2"/>
        <v>1</v>
      </c>
      <c r="E4961" s="294" t="s">
        <v>24466</v>
      </c>
      <c r="F4961" s="295" t="str">
        <f>IFERROR(__xludf.DUMMYFUNCTION("IF(B4961="""","""",IFERROR(VLOOKUP(TO_TEXT(B4961),PEDIDOS!D:I,6,0),IFERROR(VLOOKUP(B4961*1,PEDIDOS!D:I,6,0),"" "")))")," ")</f>
        <v> </v>
      </c>
      <c r="G4961" s="305" t="s">
        <v>23926</v>
      </c>
      <c r="H4961" s="304"/>
    </row>
    <row r="4962">
      <c r="A4962" s="302" t="s">
        <v>3395</v>
      </c>
      <c r="B4962" s="291" t="s">
        <v>24545</v>
      </c>
      <c r="C4962" s="292" t="s">
        <v>48</v>
      </c>
      <c r="D4962" s="293">
        <f t="shared" si="2"/>
        <v>1</v>
      </c>
      <c r="E4962" s="294" t="s">
        <v>24466</v>
      </c>
      <c r="F4962" s="295" t="str">
        <f>IFERROR(__xludf.DUMMYFUNCTION("IF(B4962="""","""",IFERROR(VLOOKUP(TO_TEXT(B4962),PEDIDOS!D:I,6,0),IFERROR(VLOOKUP(B4962*1,PEDIDOS!D:I,6,0),"" "")))")," ")</f>
        <v> </v>
      </c>
      <c r="G4962" s="305" t="s">
        <v>23926</v>
      </c>
      <c r="H4962" s="304"/>
    </row>
    <row r="4963">
      <c r="A4963" s="302" t="s">
        <v>3395</v>
      </c>
      <c r="B4963" s="291" t="s">
        <v>24546</v>
      </c>
      <c r="C4963" s="292" t="s">
        <v>48</v>
      </c>
      <c r="D4963" s="293">
        <f t="shared" si="2"/>
        <v>1</v>
      </c>
      <c r="E4963" s="294" t="s">
        <v>24466</v>
      </c>
      <c r="F4963" s="295" t="str">
        <f>IFERROR(__xludf.DUMMYFUNCTION("IF(B4963="""","""",IFERROR(VLOOKUP(TO_TEXT(B4963),PEDIDOS!D:I,6,0),IFERROR(VLOOKUP(B4963*1,PEDIDOS!D:I,6,0),"" "")))")," ")</f>
        <v> </v>
      </c>
      <c r="G4963" s="305" t="s">
        <v>23926</v>
      </c>
      <c r="H4963" s="304"/>
    </row>
    <row r="4964">
      <c r="A4964" s="302" t="s">
        <v>3395</v>
      </c>
      <c r="B4964" s="291" t="s">
        <v>24547</v>
      </c>
      <c r="C4964" s="292" t="s">
        <v>48</v>
      </c>
      <c r="D4964" s="293">
        <f t="shared" si="2"/>
        <v>1</v>
      </c>
      <c r="E4964" s="294" t="s">
        <v>24466</v>
      </c>
      <c r="F4964" s="295" t="str">
        <f>IFERROR(__xludf.DUMMYFUNCTION("IF(B4964="""","""",IFERROR(VLOOKUP(TO_TEXT(B4964),PEDIDOS!D:I,6,0),IFERROR(VLOOKUP(B4964*1,PEDIDOS!D:I,6,0),"" "")))")," ")</f>
        <v> </v>
      </c>
      <c r="G4964" s="305" t="s">
        <v>23926</v>
      </c>
      <c r="H4964" s="304"/>
    </row>
    <row r="4965">
      <c r="A4965" s="302" t="s">
        <v>3395</v>
      </c>
      <c r="B4965" s="291" t="s">
        <v>24548</v>
      </c>
      <c r="C4965" s="292" t="s">
        <v>48</v>
      </c>
      <c r="D4965" s="293">
        <f t="shared" si="2"/>
        <v>1</v>
      </c>
      <c r="E4965" s="294" t="s">
        <v>24466</v>
      </c>
      <c r="F4965" s="295" t="str">
        <f>IFERROR(__xludf.DUMMYFUNCTION("IF(B4965="""","""",IFERROR(VLOOKUP(TO_TEXT(B4965),PEDIDOS!D:I,6,0),IFERROR(VLOOKUP(B4965*1,PEDIDOS!D:I,6,0),"" "")))")," ")</f>
        <v> </v>
      </c>
      <c r="G4965" s="305" t="s">
        <v>23926</v>
      </c>
      <c r="H4965" s="304"/>
    </row>
    <row r="4966">
      <c r="A4966" s="302" t="s">
        <v>3395</v>
      </c>
      <c r="B4966" s="291" t="s">
        <v>24549</v>
      </c>
      <c r="C4966" s="292" t="s">
        <v>48</v>
      </c>
      <c r="D4966" s="293">
        <f t="shared" si="2"/>
        <v>1</v>
      </c>
      <c r="E4966" s="294" t="s">
        <v>24466</v>
      </c>
      <c r="F4966" s="295" t="str">
        <f>IFERROR(__xludf.DUMMYFUNCTION("IF(B4966="""","""",IFERROR(VLOOKUP(TO_TEXT(B4966),PEDIDOS!D:I,6,0),IFERROR(VLOOKUP(B4966*1,PEDIDOS!D:I,6,0),"" "")))")," ")</f>
        <v> </v>
      </c>
      <c r="G4966" s="305" t="s">
        <v>23926</v>
      </c>
      <c r="H4966" s="304"/>
    </row>
    <row r="4967">
      <c r="A4967" s="302" t="s">
        <v>3395</v>
      </c>
      <c r="B4967" s="291" t="s">
        <v>24550</v>
      </c>
      <c r="C4967" s="292" t="s">
        <v>48</v>
      </c>
      <c r="D4967" s="293">
        <f t="shared" si="2"/>
        <v>1</v>
      </c>
      <c r="E4967" s="294" t="s">
        <v>24466</v>
      </c>
      <c r="F4967" s="295" t="str">
        <f>IFERROR(__xludf.DUMMYFUNCTION("IF(B4967="""","""",IFERROR(VLOOKUP(TO_TEXT(B4967),PEDIDOS!D:I,6,0),IFERROR(VLOOKUP(B4967*1,PEDIDOS!D:I,6,0),"" "")))")," ")</f>
        <v> </v>
      </c>
      <c r="G4967" s="305" t="s">
        <v>23926</v>
      </c>
      <c r="H4967" s="304"/>
    </row>
    <row r="4968">
      <c r="A4968" s="302" t="s">
        <v>3395</v>
      </c>
      <c r="B4968" s="291" t="s">
        <v>24551</v>
      </c>
      <c r="C4968" s="292" t="s">
        <v>48</v>
      </c>
      <c r="D4968" s="293">
        <f t="shared" si="2"/>
        <v>1</v>
      </c>
      <c r="E4968" s="294" t="s">
        <v>24466</v>
      </c>
      <c r="F4968" s="295" t="str">
        <f>IFERROR(__xludf.DUMMYFUNCTION("IF(B4968="""","""",IFERROR(VLOOKUP(TO_TEXT(B4968),PEDIDOS!D:I,6,0),IFERROR(VLOOKUP(B4968*1,PEDIDOS!D:I,6,0),"" "")))")," ")</f>
        <v> </v>
      </c>
      <c r="G4968" s="305" t="s">
        <v>23926</v>
      </c>
      <c r="H4968" s="304"/>
    </row>
    <row r="4969">
      <c r="A4969" s="302" t="s">
        <v>3395</v>
      </c>
      <c r="B4969" s="291" t="s">
        <v>24552</v>
      </c>
      <c r="C4969" s="292" t="s">
        <v>48</v>
      </c>
      <c r="D4969" s="293">
        <f t="shared" si="2"/>
        <v>1</v>
      </c>
      <c r="E4969" s="294" t="s">
        <v>24466</v>
      </c>
      <c r="F4969" s="295" t="str">
        <f>IFERROR(__xludf.DUMMYFUNCTION("IF(B4969="""","""",IFERROR(VLOOKUP(TO_TEXT(B4969),PEDIDOS!D:I,6,0),IFERROR(VLOOKUP(B4969*1,PEDIDOS!D:I,6,0),"" "")))")," ")</f>
        <v> </v>
      </c>
      <c r="G4969" s="305" t="s">
        <v>23926</v>
      </c>
      <c r="H4969" s="304"/>
    </row>
    <row r="4970">
      <c r="A4970" s="302" t="s">
        <v>3395</v>
      </c>
      <c r="B4970" s="291" t="s">
        <v>24553</v>
      </c>
      <c r="C4970" s="292" t="s">
        <v>48</v>
      </c>
      <c r="D4970" s="293">
        <f t="shared" si="2"/>
        <v>1</v>
      </c>
      <c r="E4970" s="294" t="s">
        <v>24466</v>
      </c>
      <c r="F4970" s="295" t="str">
        <f>IFERROR(__xludf.DUMMYFUNCTION("IF(B4970="""","""",IFERROR(VLOOKUP(TO_TEXT(B4970),PEDIDOS!D:I,6,0),IFERROR(VLOOKUP(B4970*1,PEDIDOS!D:I,6,0),"" "")))")," ")</f>
        <v> </v>
      </c>
      <c r="G4970" s="305" t="s">
        <v>23926</v>
      </c>
      <c r="H4970" s="304"/>
    </row>
    <row r="4971">
      <c r="A4971" s="302" t="s">
        <v>3395</v>
      </c>
      <c r="B4971" s="291" t="s">
        <v>24554</v>
      </c>
      <c r="C4971" s="292" t="s">
        <v>48</v>
      </c>
      <c r="D4971" s="293">
        <f t="shared" si="2"/>
        <v>1</v>
      </c>
      <c r="E4971" s="294" t="s">
        <v>24466</v>
      </c>
      <c r="F4971" s="295" t="str">
        <f>IFERROR(__xludf.DUMMYFUNCTION("IF(B4971="""","""",IFERROR(VLOOKUP(TO_TEXT(B4971),PEDIDOS!D:I,6,0),IFERROR(VLOOKUP(B4971*1,PEDIDOS!D:I,6,0),"" "")))")," ")</f>
        <v> </v>
      </c>
      <c r="G4971" s="305" t="s">
        <v>23926</v>
      </c>
      <c r="H4971" s="304"/>
    </row>
    <row r="4972">
      <c r="A4972" s="302" t="s">
        <v>3395</v>
      </c>
      <c r="B4972" s="291" t="s">
        <v>24555</v>
      </c>
      <c r="C4972" s="292" t="s">
        <v>48</v>
      </c>
      <c r="D4972" s="293">
        <f t="shared" si="2"/>
        <v>1</v>
      </c>
      <c r="E4972" s="294" t="s">
        <v>24466</v>
      </c>
      <c r="F4972" s="295" t="str">
        <f>IFERROR(__xludf.DUMMYFUNCTION("IF(B4972="""","""",IFERROR(VLOOKUP(TO_TEXT(B4972),PEDIDOS!D:I,6,0),IFERROR(VLOOKUP(B4972*1,PEDIDOS!D:I,6,0),"" "")))")," ")</f>
        <v> </v>
      </c>
      <c r="G4972" s="305" t="s">
        <v>23926</v>
      </c>
      <c r="H4972" s="304"/>
    </row>
    <row r="4973">
      <c r="A4973" s="302" t="s">
        <v>3395</v>
      </c>
      <c r="B4973" s="291" t="s">
        <v>24556</v>
      </c>
      <c r="C4973" s="292" t="s">
        <v>48</v>
      </c>
      <c r="D4973" s="293">
        <f t="shared" si="2"/>
        <v>1</v>
      </c>
      <c r="E4973" s="294" t="s">
        <v>24466</v>
      </c>
      <c r="F4973" s="295" t="str">
        <f>IFERROR(__xludf.DUMMYFUNCTION("IF(B4973="""","""",IFERROR(VLOOKUP(TO_TEXT(B4973),PEDIDOS!D:I,6,0),IFERROR(VLOOKUP(B4973*1,PEDIDOS!D:I,6,0),"" "")))")," ")</f>
        <v> </v>
      </c>
      <c r="G4973" s="305" t="s">
        <v>23926</v>
      </c>
      <c r="H4973" s="304"/>
    </row>
    <row r="4974">
      <c r="A4974" s="302" t="s">
        <v>3395</v>
      </c>
      <c r="B4974" s="291" t="s">
        <v>24557</v>
      </c>
      <c r="C4974" s="292" t="s">
        <v>48</v>
      </c>
      <c r="D4974" s="293">
        <f t="shared" si="2"/>
        <v>1</v>
      </c>
      <c r="E4974" s="294" t="s">
        <v>24466</v>
      </c>
      <c r="F4974" s="295" t="str">
        <f>IFERROR(__xludf.DUMMYFUNCTION("IF(B4974="""","""",IFERROR(VLOOKUP(TO_TEXT(B4974),PEDIDOS!D:I,6,0),IFERROR(VLOOKUP(B4974*1,PEDIDOS!D:I,6,0),"" "")))")," ")</f>
        <v> </v>
      </c>
      <c r="G4974" s="305" t="s">
        <v>23926</v>
      </c>
      <c r="H4974" s="304"/>
    </row>
    <row r="4975">
      <c r="A4975" s="302" t="s">
        <v>3395</v>
      </c>
      <c r="B4975" s="291" t="s">
        <v>24558</v>
      </c>
      <c r="C4975" s="292" t="s">
        <v>48</v>
      </c>
      <c r="D4975" s="293">
        <f t="shared" si="2"/>
        <v>1</v>
      </c>
      <c r="E4975" s="294" t="s">
        <v>24466</v>
      </c>
      <c r="F4975" s="295" t="str">
        <f>IFERROR(__xludf.DUMMYFUNCTION("IF(B4975="""","""",IFERROR(VLOOKUP(TO_TEXT(B4975),PEDIDOS!D:I,6,0),IFERROR(VLOOKUP(B4975*1,PEDIDOS!D:I,6,0),"" "")))")," ")</f>
        <v> </v>
      </c>
      <c r="G4975" s="305" t="s">
        <v>23926</v>
      </c>
      <c r="H4975" s="304"/>
    </row>
    <row r="4976">
      <c r="A4976" s="302" t="s">
        <v>3395</v>
      </c>
      <c r="B4976" s="291" t="s">
        <v>24559</v>
      </c>
      <c r="C4976" s="292" t="s">
        <v>48</v>
      </c>
      <c r="D4976" s="293">
        <f t="shared" si="2"/>
        <v>1</v>
      </c>
      <c r="E4976" s="294" t="s">
        <v>24466</v>
      </c>
      <c r="F4976" s="295" t="str">
        <f>IFERROR(__xludf.DUMMYFUNCTION("IF(B4976="""","""",IFERROR(VLOOKUP(TO_TEXT(B4976),PEDIDOS!D:I,6,0),IFERROR(VLOOKUP(B4976*1,PEDIDOS!D:I,6,0),"" "")))")," ")</f>
        <v> </v>
      </c>
      <c r="G4976" s="305" t="s">
        <v>23926</v>
      </c>
      <c r="H4976" s="304"/>
    </row>
    <row r="4977">
      <c r="A4977" s="302" t="s">
        <v>3395</v>
      </c>
      <c r="B4977" s="291" t="s">
        <v>24560</v>
      </c>
      <c r="C4977" s="292" t="s">
        <v>48</v>
      </c>
      <c r="D4977" s="293">
        <f t="shared" si="2"/>
        <v>1</v>
      </c>
      <c r="E4977" s="294" t="s">
        <v>24466</v>
      </c>
      <c r="F4977" s="295" t="str">
        <f>IFERROR(__xludf.DUMMYFUNCTION("IF(B4977="""","""",IFERROR(VLOOKUP(TO_TEXT(B4977),PEDIDOS!D:I,6,0),IFERROR(VLOOKUP(B4977*1,PEDIDOS!D:I,6,0),"" "")))")," ")</f>
        <v> </v>
      </c>
      <c r="G4977" s="305" t="s">
        <v>23926</v>
      </c>
      <c r="H4977" s="304"/>
    </row>
    <row r="4978">
      <c r="A4978" s="302" t="s">
        <v>3395</v>
      </c>
      <c r="B4978" s="291" t="s">
        <v>24561</v>
      </c>
      <c r="C4978" s="292" t="s">
        <v>48</v>
      </c>
      <c r="D4978" s="293">
        <f t="shared" si="2"/>
        <v>1</v>
      </c>
      <c r="E4978" s="294" t="s">
        <v>24466</v>
      </c>
      <c r="F4978" s="295" t="str">
        <f>IFERROR(__xludf.DUMMYFUNCTION("IF(B4978="""","""",IFERROR(VLOOKUP(TO_TEXT(B4978),PEDIDOS!D:I,6,0),IFERROR(VLOOKUP(B4978*1,PEDIDOS!D:I,6,0),"" "")))")," ")</f>
        <v> </v>
      </c>
      <c r="G4978" s="305" t="s">
        <v>23926</v>
      </c>
      <c r="H4978" s="304"/>
    </row>
    <row r="4979">
      <c r="A4979" s="302" t="s">
        <v>3395</v>
      </c>
      <c r="B4979" s="291" t="s">
        <v>24562</v>
      </c>
      <c r="C4979" s="292" t="s">
        <v>48</v>
      </c>
      <c r="D4979" s="293">
        <f t="shared" si="2"/>
        <v>1</v>
      </c>
      <c r="E4979" s="294" t="s">
        <v>24466</v>
      </c>
      <c r="F4979" s="295" t="str">
        <f>IFERROR(__xludf.DUMMYFUNCTION("IF(B4979="""","""",IFERROR(VLOOKUP(TO_TEXT(B4979),PEDIDOS!D:I,6,0),IFERROR(VLOOKUP(B4979*1,PEDIDOS!D:I,6,0),"" "")))")," ")</f>
        <v> </v>
      </c>
      <c r="G4979" s="305" t="s">
        <v>23926</v>
      </c>
      <c r="H4979" s="304"/>
    </row>
    <row r="4980">
      <c r="A4980" s="302" t="s">
        <v>3395</v>
      </c>
      <c r="B4980" s="291" t="s">
        <v>24563</v>
      </c>
      <c r="C4980" s="292" t="s">
        <v>48</v>
      </c>
      <c r="D4980" s="293">
        <f t="shared" si="2"/>
        <v>1</v>
      </c>
      <c r="E4980" s="294" t="s">
        <v>24466</v>
      </c>
      <c r="F4980" s="295" t="str">
        <f>IFERROR(__xludf.DUMMYFUNCTION("IF(B4980="""","""",IFERROR(VLOOKUP(TO_TEXT(B4980),PEDIDOS!D:I,6,0),IFERROR(VLOOKUP(B4980*1,PEDIDOS!D:I,6,0),"" "")))")," ")</f>
        <v> </v>
      </c>
      <c r="G4980" s="305" t="s">
        <v>23926</v>
      </c>
      <c r="H4980" s="304"/>
    </row>
    <row r="4981">
      <c r="A4981" s="302" t="s">
        <v>3395</v>
      </c>
      <c r="B4981" s="291" t="s">
        <v>24564</v>
      </c>
      <c r="C4981" s="292" t="s">
        <v>48</v>
      </c>
      <c r="D4981" s="293">
        <f t="shared" si="2"/>
        <v>1</v>
      </c>
      <c r="E4981" s="294" t="s">
        <v>24466</v>
      </c>
      <c r="F4981" s="295" t="str">
        <f>IFERROR(__xludf.DUMMYFUNCTION("IF(B4981="""","""",IFERROR(VLOOKUP(TO_TEXT(B4981),PEDIDOS!D:I,6,0),IFERROR(VLOOKUP(B4981*1,PEDIDOS!D:I,6,0),"" "")))")," ")</f>
        <v> </v>
      </c>
      <c r="G4981" s="305" t="s">
        <v>23926</v>
      </c>
      <c r="H4981" s="304"/>
    </row>
    <row r="4982">
      <c r="A4982" s="302" t="s">
        <v>3395</v>
      </c>
      <c r="B4982" s="291" t="s">
        <v>24565</v>
      </c>
      <c r="C4982" s="292" t="s">
        <v>48</v>
      </c>
      <c r="D4982" s="293">
        <f t="shared" si="2"/>
        <v>1</v>
      </c>
      <c r="E4982" s="294" t="s">
        <v>24466</v>
      </c>
      <c r="F4982" s="295" t="str">
        <f>IFERROR(__xludf.DUMMYFUNCTION("IF(B4982="""","""",IFERROR(VLOOKUP(TO_TEXT(B4982),PEDIDOS!D:I,6,0),IFERROR(VLOOKUP(B4982*1,PEDIDOS!D:I,6,0),"" "")))")," ")</f>
        <v> </v>
      </c>
      <c r="G4982" s="305" t="s">
        <v>23926</v>
      </c>
      <c r="H4982" s="304"/>
    </row>
    <row r="4983">
      <c r="A4983" s="302" t="s">
        <v>3441</v>
      </c>
      <c r="B4983" s="291" t="s">
        <v>24566</v>
      </c>
      <c r="C4983" s="292" t="s">
        <v>48</v>
      </c>
      <c r="D4983" s="293">
        <f t="shared" si="2"/>
        <v>1</v>
      </c>
      <c r="E4983" s="294" t="s">
        <v>24466</v>
      </c>
      <c r="F4983" s="295" t="str">
        <f>IFERROR(__xludf.DUMMYFUNCTION("IF(B4983="""","""",IFERROR(VLOOKUP(TO_TEXT(B4983),PEDIDOS!D:I,6,0),IFERROR(VLOOKUP(B4983*1,PEDIDOS!D:I,6,0),"" "")))")," ")</f>
        <v> </v>
      </c>
      <c r="G4983" s="305" t="s">
        <v>23926</v>
      </c>
      <c r="H4983" s="304"/>
    </row>
    <row r="4984">
      <c r="A4984" s="302" t="s">
        <v>3441</v>
      </c>
      <c r="B4984" s="291" t="s">
        <v>24567</v>
      </c>
      <c r="C4984" s="292" t="s">
        <v>48</v>
      </c>
      <c r="D4984" s="293">
        <f t="shared" si="2"/>
        <v>1</v>
      </c>
      <c r="E4984" s="294" t="s">
        <v>24466</v>
      </c>
      <c r="F4984" s="295" t="str">
        <f>IFERROR(__xludf.DUMMYFUNCTION("IF(B4984="""","""",IFERROR(VLOOKUP(TO_TEXT(B4984),PEDIDOS!D:I,6,0),IFERROR(VLOOKUP(B4984*1,PEDIDOS!D:I,6,0),"" "")))")," ")</f>
        <v> </v>
      </c>
      <c r="G4984" s="305" t="s">
        <v>23926</v>
      </c>
      <c r="H4984" s="304"/>
    </row>
    <row r="4985">
      <c r="A4985" s="302" t="s">
        <v>3441</v>
      </c>
      <c r="B4985" s="291" t="s">
        <v>24568</v>
      </c>
      <c r="C4985" s="292" t="s">
        <v>48</v>
      </c>
      <c r="D4985" s="293">
        <f t="shared" si="2"/>
        <v>1</v>
      </c>
      <c r="E4985" s="294" t="s">
        <v>24466</v>
      </c>
      <c r="F4985" s="295" t="str">
        <f>IFERROR(__xludf.DUMMYFUNCTION("IF(B4985="""","""",IFERROR(VLOOKUP(TO_TEXT(B4985),PEDIDOS!D:I,6,0),IFERROR(VLOOKUP(B4985*1,PEDIDOS!D:I,6,0),"" "")))")," ")</f>
        <v> </v>
      </c>
      <c r="G4985" s="305" t="s">
        <v>23926</v>
      </c>
      <c r="H4985" s="304"/>
    </row>
    <row r="4986">
      <c r="A4986" s="302" t="s">
        <v>3441</v>
      </c>
      <c r="B4986" s="291" t="s">
        <v>24569</v>
      </c>
      <c r="C4986" s="292" t="s">
        <v>48</v>
      </c>
      <c r="D4986" s="293">
        <f t="shared" si="2"/>
        <v>1</v>
      </c>
      <c r="E4986" s="294" t="s">
        <v>24466</v>
      </c>
      <c r="F4986" s="295" t="str">
        <f>IFERROR(__xludf.DUMMYFUNCTION("IF(B4986="""","""",IFERROR(VLOOKUP(TO_TEXT(B4986),PEDIDOS!D:I,6,0),IFERROR(VLOOKUP(B4986*1,PEDIDOS!D:I,6,0),"" "")))")," ")</f>
        <v> </v>
      </c>
      <c r="G4986" s="305" t="s">
        <v>23926</v>
      </c>
      <c r="H4986" s="304"/>
    </row>
    <row r="4987">
      <c r="A4987" s="302" t="s">
        <v>3441</v>
      </c>
      <c r="B4987" s="291" t="s">
        <v>24570</v>
      </c>
      <c r="C4987" s="292" t="s">
        <v>48</v>
      </c>
      <c r="D4987" s="293">
        <f t="shared" si="2"/>
        <v>1</v>
      </c>
      <c r="E4987" s="294" t="s">
        <v>24466</v>
      </c>
      <c r="F4987" s="295" t="str">
        <f>IFERROR(__xludf.DUMMYFUNCTION("IF(B4987="""","""",IFERROR(VLOOKUP(TO_TEXT(B4987),PEDIDOS!D:I,6,0),IFERROR(VLOOKUP(B4987*1,PEDIDOS!D:I,6,0),"" "")))")," ")</f>
        <v> </v>
      </c>
      <c r="G4987" s="305" t="s">
        <v>23926</v>
      </c>
      <c r="H4987" s="304"/>
    </row>
    <row r="4988">
      <c r="A4988" s="302" t="s">
        <v>3441</v>
      </c>
      <c r="B4988" s="291" t="s">
        <v>24571</v>
      </c>
      <c r="C4988" s="292" t="s">
        <v>48</v>
      </c>
      <c r="D4988" s="293">
        <f t="shared" si="2"/>
        <v>1</v>
      </c>
      <c r="E4988" s="294" t="s">
        <v>24466</v>
      </c>
      <c r="F4988" s="295" t="str">
        <f>IFERROR(__xludf.DUMMYFUNCTION("IF(B4988="""","""",IFERROR(VLOOKUP(TO_TEXT(B4988),PEDIDOS!D:I,6,0),IFERROR(VLOOKUP(B4988*1,PEDIDOS!D:I,6,0),"" "")))")," ")</f>
        <v> </v>
      </c>
      <c r="G4988" s="305" t="s">
        <v>23926</v>
      </c>
      <c r="H4988" s="304"/>
    </row>
    <row r="4989">
      <c r="A4989" s="302" t="s">
        <v>3441</v>
      </c>
      <c r="B4989" s="291" t="s">
        <v>24572</v>
      </c>
      <c r="C4989" s="292" t="s">
        <v>48</v>
      </c>
      <c r="D4989" s="293">
        <f t="shared" si="2"/>
        <v>1</v>
      </c>
      <c r="E4989" s="294" t="s">
        <v>24466</v>
      </c>
      <c r="F4989" s="295" t="str">
        <f>IFERROR(__xludf.DUMMYFUNCTION("IF(B4989="""","""",IFERROR(VLOOKUP(TO_TEXT(B4989),PEDIDOS!D:I,6,0),IFERROR(VLOOKUP(B4989*1,PEDIDOS!D:I,6,0),"" "")))")," ")</f>
        <v> </v>
      </c>
      <c r="G4989" s="305" t="s">
        <v>23926</v>
      </c>
      <c r="H4989" s="304"/>
    </row>
    <row r="4990">
      <c r="A4990" s="302" t="s">
        <v>3441</v>
      </c>
      <c r="B4990" s="291" t="s">
        <v>24573</v>
      </c>
      <c r="C4990" s="292" t="s">
        <v>48</v>
      </c>
      <c r="D4990" s="293">
        <f t="shared" si="2"/>
        <v>1</v>
      </c>
      <c r="E4990" s="294" t="s">
        <v>24466</v>
      </c>
      <c r="F4990" s="295" t="str">
        <f>IFERROR(__xludf.DUMMYFUNCTION("IF(B4990="""","""",IFERROR(VLOOKUP(TO_TEXT(B4990),PEDIDOS!D:I,6,0),IFERROR(VLOOKUP(B4990*1,PEDIDOS!D:I,6,0),"" "")))")," ")</f>
        <v> </v>
      </c>
      <c r="G4990" s="305" t="s">
        <v>23926</v>
      </c>
      <c r="H4990" s="304"/>
    </row>
    <row r="4991">
      <c r="A4991" s="302" t="s">
        <v>3441</v>
      </c>
      <c r="B4991" s="291" t="s">
        <v>24574</v>
      </c>
      <c r="C4991" s="292" t="s">
        <v>48</v>
      </c>
      <c r="D4991" s="293">
        <f t="shared" si="2"/>
        <v>1</v>
      </c>
      <c r="E4991" s="294" t="s">
        <v>24466</v>
      </c>
      <c r="F4991" s="295" t="str">
        <f>IFERROR(__xludf.DUMMYFUNCTION("IF(B4991="""","""",IFERROR(VLOOKUP(TO_TEXT(B4991),PEDIDOS!D:I,6,0),IFERROR(VLOOKUP(B4991*1,PEDIDOS!D:I,6,0),"" "")))")," ")</f>
        <v> </v>
      </c>
      <c r="G4991" s="305" t="s">
        <v>23926</v>
      </c>
      <c r="H4991" s="304"/>
    </row>
    <row r="4992">
      <c r="A4992" s="302" t="s">
        <v>3441</v>
      </c>
      <c r="B4992" s="291" t="s">
        <v>24575</v>
      </c>
      <c r="C4992" s="292" t="s">
        <v>48</v>
      </c>
      <c r="D4992" s="293">
        <f t="shared" si="2"/>
        <v>1</v>
      </c>
      <c r="E4992" s="294" t="s">
        <v>24466</v>
      </c>
      <c r="F4992" s="295" t="str">
        <f>IFERROR(__xludf.DUMMYFUNCTION("IF(B4992="""","""",IFERROR(VLOOKUP(TO_TEXT(B4992),PEDIDOS!D:I,6,0),IFERROR(VLOOKUP(B4992*1,PEDIDOS!D:I,6,0),"" "")))")," ")</f>
        <v> </v>
      </c>
      <c r="G4992" s="305" t="s">
        <v>23926</v>
      </c>
      <c r="H4992" s="304"/>
    </row>
    <row r="4993">
      <c r="A4993" s="302" t="s">
        <v>3441</v>
      </c>
      <c r="B4993" s="291" t="s">
        <v>24576</v>
      </c>
      <c r="C4993" s="292" t="s">
        <v>48</v>
      </c>
      <c r="D4993" s="293">
        <f t="shared" si="2"/>
        <v>1</v>
      </c>
      <c r="E4993" s="294" t="s">
        <v>24466</v>
      </c>
      <c r="F4993" s="295" t="str">
        <f>IFERROR(__xludf.DUMMYFUNCTION("IF(B4993="""","""",IFERROR(VLOOKUP(TO_TEXT(B4993),PEDIDOS!D:I,6,0),IFERROR(VLOOKUP(B4993*1,PEDIDOS!D:I,6,0),"" "")))")," ")</f>
        <v> </v>
      </c>
      <c r="G4993" s="305" t="s">
        <v>23926</v>
      </c>
      <c r="H4993" s="304"/>
    </row>
    <row r="4994">
      <c r="A4994" s="302" t="s">
        <v>3441</v>
      </c>
      <c r="B4994" s="291" t="s">
        <v>24577</v>
      </c>
      <c r="C4994" s="292" t="s">
        <v>48</v>
      </c>
      <c r="D4994" s="293">
        <f t="shared" si="2"/>
        <v>1</v>
      </c>
      <c r="E4994" s="294" t="s">
        <v>24466</v>
      </c>
      <c r="F4994" s="295" t="str">
        <f>IFERROR(__xludf.DUMMYFUNCTION("IF(B4994="""","""",IFERROR(VLOOKUP(TO_TEXT(B4994),PEDIDOS!D:I,6,0),IFERROR(VLOOKUP(B4994*1,PEDIDOS!D:I,6,0),"" "")))")," ")</f>
        <v> </v>
      </c>
      <c r="G4994" s="305" t="s">
        <v>23926</v>
      </c>
      <c r="H4994" s="304"/>
    </row>
    <row r="4995">
      <c r="A4995" s="302" t="s">
        <v>3441</v>
      </c>
      <c r="B4995" s="291" t="s">
        <v>24578</v>
      </c>
      <c r="C4995" s="292" t="s">
        <v>48</v>
      </c>
      <c r="D4995" s="293">
        <f t="shared" si="2"/>
        <v>1</v>
      </c>
      <c r="E4995" s="294" t="s">
        <v>24466</v>
      </c>
      <c r="F4995" s="295" t="str">
        <f>IFERROR(__xludf.DUMMYFUNCTION("IF(B4995="""","""",IFERROR(VLOOKUP(TO_TEXT(B4995),PEDIDOS!D:I,6,0),IFERROR(VLOOKUP(B4995*1,PEDIDOS!D:I,6,0),"" "")))")," ")</f>
        <v> </v>
      </c>
      <c r="G4995" s="305" t="s">
        <v>23926</v>
      </c>
      <c r="H4995" s="304"/>
    </row>
    <row r="4996">
      <c r="A4996" s="302" t="s">
        <v>3441</v>
      </c>
      <c r="B4996" s="291" t="s">
        <v>24579</v>
      </c>
      <c r="C4996" s="292" t="s">
        <v>48</v>
      </c>
      <c r="D4996" s="293">
        <f t="shared" si="2"/>
        <v>1</v>
      </c>
      <c r="E4996" s="294" t="s">
        <v>24466</v>
      </c>
      <c r="F4996" s="295" t="str">
        <f>IFERROR(__xludf.DUMMYFUNCTION("IF(B4996="""","""",IFERROR(VLOOKUP(TO_TEXT(B4996),PEDIDOS!D:I,6,0),IFERROR(VLOOKUP(B4996*1,PEDIDOS!D:I,6,0),"" "")))")," ")</f>
        <v> </v>
      </c>
      <c r="G4996" s="305" t="s">
        <v>23926</v>
      </c>
      <c r="H4996" s="304"/>
    </row>
    <row r="4997">
      <c r="A4997" s="302" t="s">
        <v>3441</v>
      </c>
      <c r="B4997" s="291" t="s">
        <v>24580</v>
      </c>
      <c r="C4997" s="292" t="s">
        <v>48</v>
      </c>
      <c r="D4997" s="293">
        <f t="shared" si="2"/>
        <v>1</v>
      </c>
      <c r="E4997" s="294" t="s">
        <v>24466</v>
      </c>
      <c r="F4997" s="295" t="str">
        <f>IFERROR(__xludf.DUMMYFUNCTION("IF(B4997="""","""",IFERROR(VLOOKUP(TO_TEXT(B4997),PEDIDOS!D:I,6,0),IFERROR(VLOOKUP(B4997*1,PEDIDOS!D:I,6,0),"" "")))")," ")</f>
        <v> </v>
      </c>
      <c r="G4997" s="305" t="s">
        <v>23926</v>
      </c>
      <c r="H4997" s="304"/>
    </row>
    <row r="4998">
      <c r="A4998" s="302" t="s">
        <v>3441</v>
      </c>
      <c r="B4998" s="291" t="s">
        <v>24581</v>
      </c>
      <c r="C4998" s="292" t="s">
        <v>48</v>
      </c>
      <c r="D4998" s="293">
        <f t="shared" si="2"/>
        <v>1</v>
      </c>
      <c r="E4998" s="294" t="s">
        <v>24466</v>
      </c>
      <c r="F4998" s="295" t="str">
        <f>IFERROR(__xludf.DUMMYFUNCTION("IF(B4998="""","""",IFERROR(VLOOKUP(TO_TEXT(B4998),PEDIDOS!D:I,6,0),IFERROR(VLOOKUP(B4998*1,PEDIDOS!D:I,6,0),"" "")))")," ")</f>
        <v> </v>
      </c>
      <c r="G4998" s="305" t="s">
        <v>23926</v>
      </c>
      <c r="H4998" s="304"/>
    </row>
    <row r="4999">
      <c r="A4999" s="302" t="s">
        <v>3441</v>
      </c>
      <c r="B4999" s="291" t="s">
        <v>24582</v>
      </c>
      <c r="C4999" s="292" t="s">
        <v>48</v>
      </c>
      <c r="D4999" s="293">
        <f t="shared" si="2"/>
        <v>1</v>
      </c>
      <c r="E4999" s="294" t="s">
        <v>24466</v>
      </c>
      <c r="F4999" s="295" t="str">
        <f>IFERROR(__xludf.DUMMYFUNCTION("IF(B4999="""","""",IFERROR(VLOOKUP(TO_TEXT(B4999),PEDIDOS!D:I,6,0),IFERROR(VLOOKUP(B4999*1,PEDIDOS!D:I,6,0),"" "")))")," ")</f>
        <v> </v>
      </c>
      <c r="G4999" s="305" t="s">
        <v>23926</v>
      </c>
      <c r="H4999" s="304"/>
    </row>
    <row r="5000">
      <c r="A5000" s="302" t="s">
        <v>3441</v>
      </c>
      <c r="B5000" s="291" t="s">
        <v>24583</v>
      </c>
      <c r="C5000" s="292" t="s">
        <v>48</v>
      </c>
      <c r="D5000" s="293">
        <f t="shared" si="2"/>
        <v>1</v>
      </c>
      <c r="E5000" s="294" t="s">
        <v>24466</v>
      </c>
      <c r="F5000" s="295" t="str">
        <f>IFERROR(__xludf.DUMMYFUNCTION("IF(B5000="""","""",IFERROR(VLOOKUP(TO_TEXT(B5000),PEDIDOS!D:I,6,0),IFERROR(VLOOKUP(B5000*1,PEDIDOS!D:I,6,0),"" "")))")," ")</f>
        <v> </v>
      </c>
      <c r="G5000" s="305" t="s">
        <v>23926</v>
      </c>
      <c r="H5000" s="304"/>
    </row>
    <row r="5001">
      <c r="A5001" s="302" t="s">
        <v>3441</v>
      </c>
      <c r="B5001" s="291" t="s">
        <v>24584</v>
      </c>
      <c r="C5001" s="292" t="s">
        <v>48</v>
      </c>
      <c r="D5001" s="293">
        <f t="shared" si="2"/>
        <v>1</v>
      </c>
      <c r="E5001" s="294" t="s">
        <v>24466</v>
      </c>
      <c r="F5001" s="295" t="str">
        <f>IFERROR(__xludf.DUMMYFUNCTION("IF(B5001="""","""",IFERROR(VLOOKUP(TO_TEXT(B5001),PEDIDOS!D:I,6,0),IFERROR(VLOOKUP(B5001*1,PEDIDOS!D:I,6,0),"" "")))")," ")</f>
        <v> </v>
      </c>
      <c r="G5001" s="305" t="s">
        <v>23926</v>
      </c>
      <c r="H5001" s="304"/>
    </row>
    <row r="5002">
      <c r="A5002" s="302" t="s">
        <v>3441</v>
      </c>
      <c r="B5002" s="291" t="s">
        <v>24585</v>
      </c>
      <c r="C5002" s="292" t="s">
        <v>48</v>
      </c>
      <c r="D5002" s="293">
        <f t="shared" si="2"/>
        <v>1</v>
      </c>
      <c r="E5002" s="294" t="s">
        <v>24466</v>
      </c>
      <c r="F5002" s="295" t="str">
        <f>IFERROR(__xludf.DUMMYFUNCTION("IF(B5002="""","""",IFERROR(VLOOKUP(TO_TEXT(B5002),PEDIDOS!D:I,6,0),IFERROR(VLOOKUP(B5002*1,PEDIDOS!D:I,6,0),"" "")))")," ")</f>
        <v> </v>
      </c>
      <c r="G5002" s="305" t="s">
        <v>23926</v>
      </c>
      <c r="H5002" s="304"/>
    </row>
    <row r="5003">
      <c r="A5003" s="302" t="s">
        <v>3441</v>
      </c>
      <c r="B5003" s="291" t="s">
        <v>24586</v>
      </c>
      <c r="C5003" s="292" t="s">
        <v>48</v>
      </c>
      <c r="D5003" s="293">
        <f t="shared" si="2"/>
        <v>1</v>
      </c>
      <c r="E5003" s="294" t="s">
        <v>24466</v>
      </c>
      <c r="F5003" s="295" t="str">
        <f>IFERROR(__xludf.DUMMYFUNCTION("IF(B5003="""","""",IFERROR(VLOOKUP(TO_TEXT(B5003),PEDIDOS!D:I,6,0),IFERROR(VLOOKUP(B5003*1,PEDIDOS!D:I,6,0),"" "")))")," ")</f>
        <v> </v>
      </c>
      <c r="G5003" s="305" t="s">
        <v>23926</v>
      </c>
      <c r="H5003" s="304"/>
    </row>
    <row r="5004">
      <c r="A5004" s="302" t="s">
        <v>3441</v>
      </c>
      <c r="B5004" s="291" t="s">
        <v>24587</v>
      </c>
      <c r="C5004" s="292" t="s">
        <v>48</v>
      </c>
      <c r="D5004" s="293">
        <f t="shared" si="2"/>
        <v>1</v>
      </c>
      <c r="E5004" s="294" t="s">
        <v>24466</v>
      </c>
      <c r="F5004" s="295" t="str">
        <f>IFERROR(__xludf.DUMMYFUNCTION("IF(B5004="""","""",IFERROR(VLOOKUP(TO_TEXT(B5004),PEDIDOS!D:I,6,0),IFERROR(VLOOKUP(B5004*1,PEDIDOS!D:I,6,0),"" "")))")," ")</f>
        <v> </v>
      </c>
      <c r="G5004" s="305" t="s">
        <v>23926</v>
      </c>
      <c r="H5004" s="304"/>
    </row>
    <row r="5005">
      <c r="A5005" s="302" t="s">
        <v>3441</v>
      </c>
      <c r="B5005" s="291" t="s">
        <v>24588</v>
      </c>
      <c r="C5005" s="292" t="s">
        <v>48</v>
      </c>
      <c r="D5005" s="293">
        <f t="shared" si="2"/>
        <v>1</v>
      </c>
      <c r="E5005" s="294" t="s">
        <v>24466</v>
      </c>
      <c r="F5005" s="295" t="str">
        <f>IFERROR(__xludf.DUMMYFUNCTION("IF(B5005="""","""",IFERROR(VLOOKUP(TO_TEXT(B5005),PEDIDOS!D:I,6,0),IFERROR(VLOOKUP(B5005*1,PEDIDOS!D:I,6,0),"" "")))")," ")</f>
        <v> </v>
      </c>
      <c r="G5005" s="305" t="s">
        <v>23926</v>
      </c>
      <c r="H5005" s="304"/>
    </row>
    <row r="5006">
      <c r="A5006" s="302" t="s">
        <v>3441</v>
      </c>
      <c r="B5006" s="291" t="s">
        <v>24589</v>
      </c>
      <c r="C5006" s="292" t="s">
        <v>48</v>
      </c>
      <c r="D5006" s="293">
        <f t="shared" si="2"/>
        <v>1</v>
      </c>
      <c r="E5006" s="294" t="s">
        <v>24466</v>
      </c>
      <c r="F5006" s="295" t="str">
        <f>IFERROR(__xludf.DUMMYFUNCTION("IF(B5006="""","""",IFERROR(VLOOKUP(TO_TEXT(B5006),PEDIDOS!D:I,6,0),IFERROR(VLOOKUP(B5006*1,PEDIDOS!D:I,6,0),"" "")))")," ")</f>
        <v> </v>
      </c>
      <c r="G5006" s="305" t="s">
        <v>23926</v>
      </c>
      <c r="H5006" s="304"/>
    </row>
    <row r="5007">
      <c r="A5007" s="302" t="s">
        <v>3441</v>
      </c>
      <c r="B5007" s="291" t="s">
        <v>24590</v>
      </c>
      <c r="C5007" s="292" t="s">
        <v>48</v>
      </c>
      <c r="D5007" s="293">
        <f t="shared" si="2"/>
        <v>1</v>
      </c>
      <c r="E5007" s="294" t="s">
        <v>24466</v>
      </c>
      <c r="F5007" s="295" t="str">
        <f>IFERROR(__xludf.DUMMYFUNCTION("IF(B5007="""","""",IFERROR(VLOOKUP(TO_TEXT(B5007),PEDIDOS!D:I,6,0),IFERROR(VLOOKUP(B5007*1,PEDIDOS!D:I,6,0),"" "")))")," ")</f>
        <v> </v>
      </c>
      <c r="G5007" s="305" t="s">
        <v>23926</v>
      </c>
      <c r="H5007" s="304"/>
    </row>
    <row r="5008">
      <c r="A5008" s="302" t="s">
        <v>3441</v>
      </c>
      <c r="B5008" s="291" t="s">
        <v>24591</v>
      </c>
      <c r="C5008" s="292" t="s">
        <v>48</v>
      </c>
      <c r="D5008" s="293">
        <f t="shared" si="2"/>
        <v>1</v>
      </c>
      <c r="E5008" s="294" t="s">
        <v>24466</v>
      </c>
      <c r="F5008" s="295" t="str">
        <f>IFERROR(__xludf.DUMMYFUNCTION("IF(B5008="""","""",IFERROR(VLOOKUP(TO_TEXT(B5008),PEDIDOS!D:I,6,0),IFERROR(VLOOKUP(B5008*1,PEDIDOS!D:I,6,0),"" "")))")," ")</f>
        <v> </v>
      </c>
      <c r="G5008" s="305" t="s">
        <v>23926</v>
      </c>
      <c r="H5008" s="304"/>
    </row>
    <row r="5009">
      <c r="A5009" s="302" t="s">
        <v>3441</v>
      </c>
      <c r="B5009" s="291" t="s">
        <v>24592</v>
      </c>
      <c r="C5009" s="292" t="s">
        <v>48</v>
      </c>
      <c r="D5009" s="293">
        <f t="shared" si="2"/>
        <v>1</v>
      </c>
      <c r="E5009" s="294" t="s">
        <v>24466</v>
      </c>
      <c r="F5009" s="295" t="str">
        <f>IFERROR(__xludf.DUMMYFUNCTION("IF(B5009="""","""",IFERROR(VLOOKUP(TO_TEXT(B5009),PEDIDOS!D:I,6,0),IFERROR(VLOOKUP(B5009*1,PEDIDOS!D:I,6,0),"" "")))")," ")</f>
        <v> </v>
      </c>
      <c r="G5009" s="305" t="s">
        <v>23926</v>
      </c>
      <c r="H5009" s="304"/>
    </row>
    <row r="5010">
      <c r="A5010" s="302" t="s">
        <v>3441</v>
      </c>
      <c r="B5010" s="291" t="s">
        <v>24593</v>
      </c>
      <c r="C5010" s="292" t="s">
        <v>48</v>
      </c>
      <c r="D5010" s="293">
        <f t="shared" si="2"/>
        <v>1</v>
      </c>
      <c r="E5010" s="294" t="s">
        <v>24466</v>
      </c>
      <c r="F5010" s="295" t="str">
        <f>IFERROR(__xludf.DUMMYFUNCTION("IF(B5010="""","""",IFERROR(VLOOKUP(TO_TEXT(B5010),PEDIDOS!D:I,6,0),IFERROR(VLOOKUP(B5010*1,PEDIDOS!D:I,6,0),"" "")))")," ")</f>
        <v> </v>
      </c>
      <c r="G5010" s="305" t="s">
        <v>23926</v>
      </c>
      <c r="H5010" s="304"/>
    </row>
    <row r="5011">
      <c r="A5011" s="302" t="s">
        <v>3441</v>
      </c>
      <c r="B5011" s="291" t="s">
        <v>24594</v>
      </c>
      <c r="C5011" s="292" t="s">
        <v>48</v>
      </c>
      <c r="D5011" s="293">
        <f t="shared" si="2"/>
        <v>1</v>
      </c>
      <c r="E5011" s="294" t="s">
        <v>24466</v>
      </c>
      <c r="F5011" s="295" t="str">
        <f>IFERROR(__xludf.DUMMYFUNCTION("IF(B5011="""","""",IFERROR(VLOOKUP(TO_TEXT(B5011),PEDIDOS!D:I,6,0),IFERROR(VLOOKUP(B5011*1,PEDIDOS!D:I,6,0),"" "")))")," ")</f>
        <v> </v>
      </c>
      <c r="G5011" s="305" t="s">
        <v>23926</v>
      </c>
      <c r="H5011" s="304"/>
    </row>
    <row r="5012">
      <c r="A5012" s="302" t="s">
        <v>3441</v>
      </c>
      <c r="B5012" s="291" t="s">
        <v>24595</v>
      </c>
      <c r="C5012" s="292" t="s">
        <v>48</v>
      </c>
      <c r="D5012" s="293">
        <f t="shared" si="2"/>
        <v>1</v>
      </c>
      <c r="E5012" s="294" t="s">
        <v>24466</v>
      </c>
      <c r="F5012" s="295" t="str">
        <f>IFERROR(__xludf.DUMMYFUNCTION("IF(B5012="""","""",IFERROR(VLOOKUP(TO_TEXT(B5012),PEDIDOS!D:I,6,0),IFERROR(VLOOKUP(B5012*1,PEDIDOS!D:I,6,0),"" "")))")," ")</f>
        <v> </v>
      </c>
      <c r="G5012" s="305" t="s">
        <v>23926</v>
      </c>
      <c r="H5012" s="304"/>
    </row>
    <row r="5013">
      <c r="A5013" s="302" t="s">
        <v>3441</v>
      </c>
      <c r="B5013" s="291" t="s">
        <v>24596</v>
      </c>
      <c r="C5013" s="292" t="s">
        <v>48</v>
      </c>
      <c r="D5013" s="293">
        <f t="shared" si="2"/>
        <v>1</v>
      </c>
      <c r="E5013" s="294" t="s">
        <v>24466</v>
      </c>
      <c r="F5013" s="295" t="str">
        <f>IFERROR(__xludf.DUMMYFUNCTION("IF(B5013="""","""",IFERROR(VLOOKUP(TO_TEXT(B5013),PEDIDOS!D:I,6,0),IFERROR(VLOOKUP(B5013*1,PEDIDOS!D:I,6,0),"" "")))")," ")</f>
        <v> </v>
      </c>
      <c r="G5013" s="305" t="s">
        <v>23926</v>
      </c>
      <c r="H5013" s="304"/>
    </row>
    <row r="5014">
      <c r="A5014" s="302" t="s">
        <v>3441</v>
      </c>
      <c r="B5014" s="291" t="s">
        <v>24597</v>
      </c>
      <c r="C5014" s="292" t="s">
        <v>48</v>
      </c>
      <c r="D5014" s="293">
        <f t="shared" si="2"/>
        <v>1</v>
      </c>
      <c r="E5014" s="294" t="s">
        <v>24466</v>
      </c>
      <c r="F5014" s="295" t="str">
        <f>IFERROR(__xludf.DUMMYFUNCTION("IF(B5014="""","""",IFERROR(VLOOKUP(TO_TEXT(B5014),PEDIDOS!D:I,6,0),IFERROR(VLOOKUP(B5014*1,PEDIDOS!D:I,6,0),"" "")))")," ")</f>
        <v> </v>
      </c>
      <c r="G5014" s="305" t="s">
        <v>23926</v>
      </c>
      <c r="H5014" s="304"/>
    </row>
    <row r="5015">
      <c r="A5015" s="302" t="s">
        <v>3441</v>
      </c>
      <c r="B5015" s="291" t="s">
        <v>24598</v>
      </c>
      <c r="C5015" s="292" t="s">
        <v>48</v>
      </c>
      <c r="D5015" s="293">
        <f t="shared" si="2"/>
        <v>1</v>
      </c>
      <c r="E5015" s="294" t="s">
        <v>24466</v>
      </c>
      <c r="F5015" s="295" t="str">
        <f>IFERROR(__xludf.DUMMYFUNCTION("IF(B5015="""","""",IFERROR(VLOOKUP(TO_TEXT(B5015),PEDIDOS!D:I,6,0),IFERROR(VLOOKUP(B5015*1,PEDIDOS!D:I,6,0),"" "")))")," ")</f>
        <v> </v>
      </c>
      <c r="G5015" s="305" t="s">
        <v>23926</v>
      </c>
      <c r="H5015" s="304"/>
    </row>
    <row r="5016">
      <c r="A5016" s="302" t="s">
        <v>3441</v>
      </c>
      <c r="B5016" s="291" t="s">
        <v>24599</v>
      </c>
      <c r="C5016" s="292" t="s">
        <v>48</v>
      </c>
      <c r="D5016" s="293">
        <f t="shared" si="2"/>
        <v>1</v>
      </c>
      <c r="E5016" s="294" t="s">
        <v>24466</v>
      </c>
      <c r="F5016" s="295" t="str">
        <f>IFERROR(__xludf.DUMMYFUNCTION("IF(B5016="""","""",IFERROR(VLOOKUP(TO_TEXT(B5016),PEDIDOS!D:I,6,0),IFERROR(VLOOKUP(B5016*1,PEDIDOS!D:I,6,0),"" "")))")," ")</f>
        <v> </v>
      </c>
      <c r="G5016" s="305" t="s">
        <v>23926</v>
      </c>
      <c r="H5016" s="304"/>
    </row>
    <row r="5017">
      <c r="A5017" s="302" t="s">
        <v>3441</v>
      </c>
      <c r="B5017" s="291" t="s">
        <v>24600</v>
      </c>
      <c r="C5017" s="292" t="s">
        <v>48</v>
      </c>
      <c r="D5017" s="293">
        <f t="shared" si="2"/>
        <v>1</v>
      </c>
      <c r="E5017" s="294" t="s">
        <v>24466</v>
      </c>
      <c r="F5017" s="295" t="str">
        <f>IFERROR(__xludf.DUMMYFUNCTION("IF(B5017="""","""",IFERROR(VLOOKUP(TO_TEXT(B5017),PEDIDOS!D:I,6,0),IFERROR(VLOOKUP(B5017*1,PEDIDOS!D:I,6,0),"" "")))")," ")</f>
        <v> </v>
      </c>
      <c r="G5017" s="305" t="s">
        <v>23926</v>
      </c>
      <c r="H5017" s="304"/>
    </row>
    <row r="5018">
      <c r="A5018" s="302" t="s">
        <v>3441</v>
      </c>
      <c r="B5018" s="291" t="s">
        <v>24601</v>
      </c>
      <c r="C5018" s="292" t="s">
        <v>48</v>
      </c>
      <c r="D5018" s="293">
        <f t="shared" si="2"/>
        <v>1</v>
      </c>
      <c r="E5018" s="294" t="s">
        <v>24466</v>
      </c>
      <c r="F5018" s="295" t="str">
        <f>IFERROR(__xludf.DUMMYFUNCTION("IF(B5018="""","""",IFERROR(VLOOKUP(TO_TEXT(B5018),PEDIDOS!D:I,6,0),IFERROR(VLOOKUP(B5018*1,PEDIDOS!D:I,6,0),"" "")))")," ")</f>
        <v> </v>
      </c>
      <c r="G5018" s="305" t="s">
        <v>23926</v>
      </c>
      <c r="H5018" s="304"/>
    </row>
    <row r="5019">
      <c r="A5019" s="302" t="s">
        <v>3441</v>
      </c>
      <c r="B5019" s="291" t="s">
        <v>24602</v>
      </c>
      <c r="C5019" s="292" t="s">
        <v>48</v>
      </c>
      <c r="D5019" s="293">
        <f t="shared" si="2"/>
        <v>1</v>
      </c>
      <c r="E5019" s="294" t="s">
        <v>24466</v>
      </c>
      <c r="F5019" s="295" t="str">
        <f>IFERROR(__xludf.DUMMYFUNCTION("IF(B5019="""","""",IFERROR(VLOOKUP(TO_TEXT(B5019),PEDIDOS!D:I,6,0),IFERROR(VLOOKUP(B5019*1,PEDIDOS!D:I,6,0),"" "")))")," ")</f>
        <v> </v>
      </c>
      <c r="G5019" s="305" t="s">
        <v>23926</v>
      </c>
      <c r="H5019" s="304"/>
    </row>
    <row r="5020">
      <c r="A5020" s="302" t="s">
        <v>3441</v>
      </c>
      <c r="B5020" s="291" t="s">
        <v>24603</v>
      </c>
      <c r="C5020" s="292" t="s">
        <v>48</v>
      </c>
      <c r="D5020" s="293">
        <f t="shared" si="2"/>
        <v>1</v>
      </c>
      <c r="E5020" s="294" t="s">
        <v>24466</v>
      </c>
      <c r="F5020" s="295" t="str">
        <f>IFERROR(__xludf.DUMMYFUNCTION("IF(B5020="""","""",IFERROR(VLOOKUP(TO_TEXT(B5020),PEDIDOS!D:I,6,0),IFERROR(VLOOKUP(B5020*1,PEDIDOS!D:I,6,0),"" "")))")," ")</f>
        <v> </v>
      </c>
      <c r="G5020" s="305" t="s">
        <v>23926</v>
      </c>
      <c r="H5020" s="304"/>
    </row>
    <row r="5021">
      <c r="A5021" s="302" t="s">
        <v>72</v>
      </c>
      <c r="B5021" s="291" t="s">
        <v>24604</v>
      </c>
      <c r="C5021" s="292" t="s">
        <v>48</v>
      </c>
      <c r="D5021" s="293">
        <f t="shared" si="2"/>
        <v>1</v>
      </c>
      <c r="E5021" s="294" t="s">
        <v>24466</v>
      </c>
      <c r="F5021" s="295" t="str">
        <f>IFERROR(__xludf.DUMMYFUNCTION("IF(B5021="""","""",IFERROR(VLOOKUP(TO_TEXT(B5021),PEDIDOS!D:I,6,0),IFERROR(VLOOKUP(B5021*1,PEDIDOS!D:I,6,0),"" "")))")," ")</f>
        <v> </v>
      </c>
      <c r="G5021" s="305" t="s">
        <v>23926</v>
      </c>
      <c r="H5021" s="304"/>
    </row>
    <row r="5022">
      <c r="A5022" s="302" t="s">
        <v>72</v>
      </c>
      <c r="B5022" s="291" t="s">
        <v>24605</v>
      </c>
      <c r="C5022" s="292" t="s">
        <v>48</v>
      </c>
      <c r="D5022" s="293">
        <f t="shared" si="2"/>
        <v>1</v>
      </c>
      <c r="E5022" s="294" t="s">
        <v>24466</v>
      </c>
      <c r="F5022" s="295" t="str">
        <f>IFERROR(__xludf.DUMMYFUNCTION("IF(B5022="""","""",IFERROR(VLOOKUP(TO_TEXT(B5022),PEDIDOS!D:I,6,0),IFERROR(VLOOKUP(B5022*1,PEDIDOS!D:I,6,0),"" "")))")," ")</f>
        <v> </v>
      </c>
      <c r="G5022" s="305" t="s">
        <v>23926</v>
      </c>
      <c r="H5022" s="304"/>
    </row>
    <row r="5023">
      <c r="A5023" s="302" t="s">
        <v>72</v>
      </c>
      <c r="B5023" s="291" t="s">
        <v>24606</v>
      </c>
      <c r="C5023" s="292" t="s">
        <v>48</v>
      </c>
      <c r="D5023" s="293">
        <f t="shared" si="2"/>
        <v>1</v>
      </c>
      <c r="E5023" s="294" t="s">
        <v>24466</v>
      </c>
      <c r="F5023" s="295" t="str">
        <f>IFERROR(__xludf.DUMMYFUNCTION("IF(B5023="""","""",IFERROR(VLOOKUP(TO_TEXT(B5023),PEDIDOS!D:I,6,0),IFERROR(VLOOKUP(B5023*1,PEDIDOS!D:I,6,0),"" "")))")," ")</f>
        <v> </v>
      </c>
      <c r="G5023" s="305" t="s">
        <v>23926</v>
      </c>
      <c r="H5023" s="304"/>
    </row>
    <row r="5024">
      <c r="A5024" s="302" t="s">
        <v>72</v>
      </c>
      <c r="B5024" s="291" t="s">
        <v>24607</v>
      </c>
      <c r="C5024" s="292" t="s">
        <v>48</v>
      </c>
      <c r="D5024" s="293">
        <f t="shared" si="2"/>
        <v>1</v>
      </c>
      <c r="E5024" s="294" t="s">
        <v>24466</v>
      </c>
      <c r="F5024" s="295" t="str">
        <f>IFERROR(__xludf.DUMMYFUNCTION("IF(B5024="""","""",IFERROR(VLOOKUP(TO_TEXT(B5024),PEDIDOS!D:I,6,0),IFERROR(VLOOKUP(B5024*1,PEDIDOS!D:I,6,0),"" "")))")," ")</f>
        <v> </v>
      </c>
      <c r="G5024" s="305" t="s">
        <v>23926</v>
      </c>
      <c r="H5024" s="304"/>
    </row>
    <row r="5025">
      <c r="A5025" s="302" t="s">
        <v>72</v>
      </c>
      <c r="B5025" s="291" t="s">
        <v>24608</v>
      </c>
      <c r="C5025" s="292" t="s">
        <v>48</v>
      </c>
      <c r="D5025" s="293">
        <f t="shared" si="2"/>
        <v>1</v>
      </c>
      <c r="E5025" s="294" t="s">
        <v>24466</v>
      </c>
      <c r="F5025" s="295" t="str">
        <f>IFERROR(__xludf.DUMMYFUNCTION("IF(B5025="""","""",IFERROR(VLOOKUP(TO_TEXT(B5025),PEDIDOS!D:I,6,0),IFERROR(VLOOKUP(B5025*1,PEDIDOS!D:I,6,0),"" "")))")," ")</f>
        <v> </v>
      </c>
      <c r="G5025" s="305" t="s">
        <v>23926</v>
      </c>
      <c r="H5025" s="304"/>
    </row>
    <row r="5026">
      <c r="A5026" s="302" t="s">
        <v>72</v>
      </c>
      <c r="B5026" s="291" t="s">
        <v>24609</v>
      </c>
      <c r="C5026" s="292" t="s">
        <v>48</v>
      </c>
      <c r="D5026" s="293">
        <f t="shared" si="2"/>
        <v>1</v>
      </c>
      <c r="E5026" s="294" t="s">
        <v>24466</v>
      </c>
      <c r="F5026" s="295" t="str">
        <f>IFERROR(__xludf.DUMMYFUNCTION("IF(B5026="""","""",IFERROR(VLOOKUP(TO_TEXT(B5026),PEDIDOS!D:I,6,0),IFERROR(VLOOKUP(B5026*1,PEDIDOS!D:I,6,0),"" "")))")," ")</f>
        <v> </v>
      </c>
      <c r="G5026" s="305" t="s">
        <v>23926</v>
      </c>
      <c r="H5026" s="304"/>
    </row>
    <row r="5027">
      <c r="A5027" s="302" t="s">
        <v>72</v>
      </c>
      <c r="B5027" s="291" t="s">
        <v>24610</v>
      </c>
      <c r="C5027" s="292" t="s">
        <v>48</v>
      </c>
      <c r="D5027" s="293">
        <f t="shared" si="2"/>
        <v>1</v>
      </c>
      <c r="E5027" s="294" t="s">
        <v>24466</v>
      </c>
      <c r="F5027" s="295" t="str">
        <f>IFERROR(__xludf.DUMMYFUNCTION("IF(B5027="""","""",IFERROR(VLOOKUP(TO_TEXT(B5027),PEDIDOS!D:I,6,0),IFERROR(VLOOKUP(B5027*1,PEDIDOS!D:I,6,0),"" "")))")," ")</f>
        <v> </v>
      </c>
      <c r="G5027" s="305" t="s">
        <v>23926</v>
      </c>
      <c r="H5027" s="304"/>
    </row>
    <row r="5028">
      <c r="A5028" s="302" t="s">
        <v>72</v>
      </c>
      <c r="B5028" s="291" t="s">
        <v>24611</v>
      </c>
      <c r="C5028" s="292" t="s">
        <v>48</v>
      </c>
      <c r="D5028" s="293">
        <f t="shared" si="2"/>
        <v>1</v>
      </c>
      <c r="E5028" s="294" t="s">
        <v>24466</v>
      </c>
      <c r="F5028" s="295" t="str">
        <f>IFERROR(__xludf.DUMMYFUNCTION("IF(B5028="""","""",IFERROR(VLOOKUP(TO_TEXT(B5028),PEDIDOS!D:I,6,0),IFERROR(VLOOKUP(B5028*1,PEDIDOS!D:I,6,0),"" "")))")," ")</f>
        <v> </v>
      </c>
      <c r="G5028" s="305" t="s">
        <v>23926</v>
      </c>
      <c r="H5028" s="304"/>
    </row>
    <row r="5029">
      <c r="A5029" s="302" t="s">
        <v>72</v>
      </c>
      <c r="B5029" s="291" t="s">
        <v>24612</v>
      </c>
      <c r="C5029" s="292" t="s">
        <v>48</v>
      </c>
      <c r="D5029" s="293">
        <f t="shared" si="2"/>
        <v>1</v>
      </c>
      <c r="E5029" s="294" t="s">
        <v>24466</v>
      </c>
      <c r="F5029" s="295" t="str">
        <f>IFERROR(__xludf.DUMMYFUNCTION("IF(B5029="""","""",IFERROR(VLOOKUP(TO_TEXT(B5029),PEDIDOS!D:I,6,0),IFERROR(VLOOKUP(B5029*1,PEDIDOS!D:I,6,0),"" "")))")," ")</f>
        <v> </v>
      </c>
      <c r="G5029" s="305" t="s">
        <v>23926</v>
      </c>
      <c r="H5029" s="304"/>
    </row>
    <row r="5030">
      <c r="A5030" s="302" t="s">
        <v>72</v>
      </c>
      <c r="B5030" s="291" t="s">
        <v>24613</v>
      </c>
      <c r="C5030" s="292" t="s">
        <v>48</v>
      </c>
      <c r="D5030" s="293">
        <f t="shared" si="2"/>
        <v>1</v>
      </c>
      <c r="E5030" s="294" t="s">
        <v>24466</v>
      </c>
      <c r="F5030" s="295" t="str">
        <f>IFERROR(__xludf.DUMMYFUNCTION("IF(B5030="""","""",IFERROR(VLOOKUP(TO_TEXT(B5030),PEDIDOS!D:I,6,0),IFERROR(VLOOKUP(B5030*1,PEDIDOS!D:I,6,0),"" "")))")," ")</f>
        <v> </v>
      </c>
      <c r="G5030" s="305" t="s">
        <v>23926</v>
      </c>
      <c r="H5030" s="304"/>
    </row>
    <row r="5031">
      <c r="A5031" s="302" t="s">
        <v>72</v>
      </c>
      <c r="B5031" s="291" t="s">
        <v>24614</v>
      </c>
      <c r="C5031" s="292" t="s">
        <v>48</v>
      </c>
      <c r="D5031" s="293">
        <f t="shared" si="2"/>
        <v>1</v>
      </c>
      <c r="E5031" s="294" t="s">
        <v>24466</v>
      </c>
      <c r="F5031" s="295" t="str">
        <f>IFERROR(__xludf.DUMMYFUNCTION("IF(B5031="""","""",IFERROR(VLOOKUP(TO_TEXT(B5031),PEDIDOS!D:I,6,0),IFERROR(VLOOKUP(B5031*1,PEDIDOS!D:I,6,0),"" "")))")," ")</f>
        <v> </v>
      </c>
      <c r="G5031" s="305" t="s">
        <v>23926</v>
      </c>
      <c r="H5031" s="304"/>
    </row>
    <row r="5032">
      <c r="A5032" s="302" t="s">
        <v>72</v>
      </c>
      <c r="B5032" s="291" t="s">
        <v>24615</v>
      </c>
      <c r="C5032" s="292" t="s">
        <v>48</v>
      </c>
      <c r="D5032" s="293">
        <f t="shared" si="2"/>
        <v>1</v>
      </c>
      <c r="E5032" s="294" t="s">
        <v>24466</v>
      </c>
      <c r="F5032" s="295" t="str">
        <f>IFERROR(__xludf.DUMMYFUNCTION("IF(B5032="""","""",IFERROR(VLOOKUP(TO_TEXT(B5032),PEDIDOS!D:I,6,0),IFERROR(VLOOKUP(B5032*1,PEDIDOS!D:I,6,0),"" "")))")," ")</f>
        <v> </v>
      </c>
      <c r="G5032" s="305" t="s">
        <v>23926</v>
      </c>
      <c r="H5032" s="304"/>
    </row>
    <row r="5033">
      <c r="A5033" s="302" t="s">
        <v>72</v>
      </c>
      <c r="B5033" s="291" t="s">
        <v>24616</v>
      </c>
      <c r="C5033" s="292" t="s">
        <v>48</v>
      </c>
      <c r="D5033" s="293">
        <f t="shared" si="2"/>
        <v>1</v>
      </c>
      <c r="E5033" s="294" t="s">
        <v>24466</v>
      </c>
      <c r="F5033" s="295" t="str">
        <f>IFERROR(__xludf.DUMMYFUNCTION("IF(B5033="""","""",IFERROR(VLOOKUP(TO_TEXT(B5033),PEDIDOS!D:I,6,0),IFERROR(VLOOKUP(B5033*1,PEDIDOS!D:I,6,0),"" "")))")," ")</f>
        <v> </v>
      </c>
      <c r="G5033" s="305" t="s">
        <v>23926</v>
      </c>
      <c r="H5033" s="304"/>
    </row>
    <row r="5034">
      <c r="A5034" s="302" t="s">
        <v>72</v>
      </c>
      <c r="B5034" s="291" t="s">
        <v>24617</v>
      </c>
      <c r="C5034" s="292" t="s">
        <v>48</v>
      </c>
      <c r="D5034" s="293">
        <f t="shared" si="2"/>
        <v>1</v>
      </c>
      <c r="E5034" s="294" t="s">
        <v>24466</v>
      </c>
      <c r="F5034" s="295" t="str">
        <f>IFERROR(__xludf.DUMMYFUNCTION("IF(B5034="""","""",IFERROR(VLOOKUP(TO_TEXT(B5034),PEDIDOS!D:I,6,0),IFERROR(VLOOKUP(B5034*1,PEDIDOS!D:I,6,0),"" "")))")," ")</f>
        <v> </v>
      </c>
      <c r="G5034" s="305" t="s">
        <v>23926</v>
      </c>
      <c r="H5034" s="304"/>
    </row>
    <row r="5035">
      <c r="A5035" s="302" t="s">
        <v>72</v>
      </c>
      <c r="B5035" s="291" t="s">
        <v>24618</v>
      </c>
      <c r="C5035" s="292" t="s">
        <v>48</v>
      </c>
      <c r="D5035" s="293">
        <f t="shared" si="2"/>
        <v>1</v>
      </c>
      <c r="E5035" s="294" t="s">
        <v>24466</v>
      </c>
      <c r="F5035" s="295" t="str">
        <f>IFERROR(__xludf.DUMMYFUNCTION("IF(B5035="""","""",IFERROR(VLOOKUP(TO_TEXT(B5035),PEDIDOS!D:I,6,0),IFERROR(VLOOKUP(B5035*1,PEDIDOS!D:I,6,0),"" "")))")," ")</f>
        <v> </v>
      </c>
      <c r="G5035" s="305" t="s">
        <v>23926</v>
      </c>
      <c r="H5035" s="304"/>
    </row>
    <row r="5036">
      <c r="A5036" s="302" t="s">
        <v>72</v>
      </c>
      <c r="B5036" s="291" t="s">
        <v>24619</v>
      </c>
      <c r="C5036" s="292" t="s">
        <v>48</v>
      </c>
      <c r="D5036" s="293">
        <f t="shared" si="2"/>
        <v>1</v>
      </c>
      <c r="E5036" s="294" t="s">
        <v>24466</v>
      </c>
      <c r="F5036" s="295" t="str">
        <f>IFERROR(__xludf.DUMMYFUNCTION("IF(B5036="""","""",IFERROR(VLOOKUP(TO_TEXT(B5036),PEDIDOS!D:I,6,0),IFERROR(VLOOKUP(B5036*1,PEDIDOS!D:I,6,0),"" "")))")," ")</f>
        <v> </v>
      </c>
      <c r="G5036" s="305" t="s">
        <v>23926</v>
      </c>
      <c r="H5036" s="304"/>
    </row>
    <row r="5037">
      <c r="A5037" s="302" t="s">
        <v>72</v>
      </c>
      <c r="B5037" s="291" t="s">
        <v>24620</v>
      </c>
      <c r="C5037" s="292" t="s">
        <v>48</v>
      </c>
      <c r="D5037" s="293">
        <f t="shared" si="2"/>
        <v>1</v>
      </c>
      <c r="E5037" s="294" t="s">
        <v>24466</v>
      </c>
      <c r="F5037" s="295" t="str">
        <f>IFERROR(__xludf.DUMMYFUNCTION("IF(B5037="""","""",IFERROR(VLOOKUP(TO_TEXT(B5037),PEDIDOS!D:I,6,0),IFERROR(VLOOKUP(B5037*1,PEDIDOS!D:I,6,0),"" "")))")," ")</f>
        <v> </v>
      </c>
      <c r="G5037" s="305" t="s">
        <v>23926</v>
      </c>
      <c r="H5037" s="304"/>
    </row>
    <row r="5038">
      <c r="A5038" s="302" t="s">
        <v>72</v>
      </c>
      <c r="B5038" s="291" t="s">
        <v>24621</v>
      </c>
      <c r="C5038" s="292" t="s">
        <v>48</v>
      </c>
      <c r="D5038" s="293">
        <f t="shared" si="2"/>
        <v>1</v>
      </c>
      <c r="E5038" s="294" t="s">
        <v>24466</v>
      </c>
      <c r="F5038" s="295" t="str">
        <f>IFERROR(__xludf.DUMMYFUNCTION("IF(B5038="""","""",IFERROR(VLOOKUP(TO_TEXT(B5038),PEDIDOS!D:I,6,0),IFERROR(VLOOKUP(B5038*1,PEDIDOS!D:I,6,0),"" "")))")," ")</f>
        <v> </v>
      </c>
      <c r="G5038" s="305" t="s">
        <v>23926</v>
      </c>
      <c r="H5038" s="304"/>
    </row>
    <row r="5039">
      <c r="A5039" s="302" t="s">
        <v>72</v>
      </c>
      <c r="B5039" s="291" t="s">
        <v>24622</v>
      </c>
      <c r="C5039" s="292" t="s">
        <v>48</v>
      </c>
      <c r="D5039" s="293">
        <f t="shared" si="2"/>
        <v>1</v>
      </c>
      <c r="E5039" s="294" t="s">
        <v>24466</v>
      </c>
      <c r="F5039" s="295" t="str">
        <f>IFERROR(__xludf.DUMMYFUNCTION("IF(B5039="""","""",IFERROR(VLOOKUP(TO_TEXT(B5039),PEDIDOS!D:I,6,0),IFERROR(VLOOKUP(B5039*1,PEDIDOS!D:I,6,0),"" "")))")," ")</f>
        <v> </v>
      </c>
      <c r="G5039" s="305" t="s">
        <v>23926</v>
      </c>
      <c r="H5039" s="304"/>
    </row>
    <row r="5040">
      <c r="A5040" s="302" t="s">
        <v>72</v>
      </c>
      <c r="B5040" s="291" t="s">
        <v>24623</v>
      </c>
      <c r="C5040" s="292" t="s">
        <v>48</v>
      </c>
      <c r="D5040" s="293">
        <f t="shared" si="2"/>
        <v>1</v>
      </c>
      <c r="E5040" s="294" t="s">
        <v>24466</v>
      </c>
      <c r="F5040" s="295" t="str">
        <f>IFERROR(__xludf.DUMMYFUNCTION("IF(B5040="""","""",IFERROR(VLOOKUP(TO_TEXT(B5040),PEDIDOS!D:I,6,0),IFERROR(VLOOKUP(B5040*1,PEDIDOS!D:I,6,0),"" "")))")," ")</f>
        <v> </v>
      </c>
      <c r="G5040" s="305" t="s">
        <v>23926</v>
      </c>
      <c r="H5040" s="304"/>
    </row>
    <row r="5041">
      <c r="A5041" s="302" t="s">
        <v>72</v>
      </c>
      <c r="B5041" s="291" t="s">
        <v>24624</v>
      </c>
      <c r="C5041" s="292" t="s">
        <v>48</v>
      </c>
      <c r="D5041" s="293">
        <f t="shared" si="2"/>
        <v>1</v>
      </c>
      <c r="E5041" s="294" t="s">
        <v>24466</v>
      </c>
      <c r="F5041" s="295" t="str">
        <f>IFERROR(__xludf.DUMMYFUNCTION("IF(B5041="""","""",IFERROR(VLOOKUP(TO_TEXT(B5041),PEDIDOS!D:I,6,0),IFERROR(VLOOKUP(B5041*1,PEDIDOS!D:I,6,0),"" "")))")," ")</f>
        <v> </v>
      </c>
      <c r="G5041" s="305" t="s">
        <v>23926</v>
      </c>
      <c r="H5041" s="304"/>
    </row>
    <row r="5042">
      <c r="A5042" s="302" t="s">
        <v>72</v>
      </c>
      <c r="B5042" s="291" t="s">
        <v>24625</v>
      </c>
      <c r="C5042" s="292" t="s">
        <v>48</v>
      </c>
      <c r="D5042" s="293">
        <f t="shared" si="2"/>
        <v>1</v>
      </c>
      <c r="E5042" s="294" t="s">
        <v>24466</v>
      </c>
      <c r="F5042" s="295" t="str">
        <f>IFERROR(__xludf.DUMMYFUNCTION("IF(B5042="""","""",IFERROR(VLOOKUP(TO_TEXT(B5042),PEDIDOS!D:I,6,0),IFERROR(VLOOKUP(B5042*1,PEDIDOS!D:I,6,0),"" "")))")," ")</f>
        <v> </v>
      </c>
      <c r="G5042" s="305" t="s">
        <v>23926</v>
      </c>
      <c r="H5042" s="304"/>
    </row>
    <row r="5043">
      <c r="A5043" s="302" t="s">
        <v>72</v>
      </c>
      <c r="B5043" s="291" t="s">
        <v>24626</v>
      </c>
      <c r="C5043" s="292" t="s">
        <v>48</v>
      </c>
      <c r="D5043" s="293">
        <f t="shared" si="2"/>
        <v>1</v>
      </c>
      <c r="E5043" s="294" t="s">
        <v>24466</v>
      </c>
      <c r="F5043" s="295" t="str">
        <f>IFERROR(__xludf.DUMMYFUNCTION("IF(B5043="""","""",IFERROR(VLOOKUP(TO_TEXT(B5043),PEDIDOS!D:I,6,0),IFERROR(VLOOKUP(B5043*1,PEDIDOS!D:I,6,0),"" "")))")," ")</f>
        <v> </v>
      </c>
      <c r="G5043" s="305" t="s">
        <v>23926</v>
      </c>
      <c r="H5043" s="304"/>
    </row>
    <row r="5044">
      <c r="A5044" s="302" t="s">
        <v>72</v>
      </c>
      <c r="B5044" s="291" t="s">
        <v>24627</v>
      </c>
      <c r="C5044" s="292" t="s">
        <v>48</v>
      </c>
      <c r="D5044" s="293">
        <f t="shared" si="2"/>
        <v>1</v>
      </c>
      <c r="E5044" s="294" t="s">
        <v>24466</v>
      </c>
      <c r="F5044" s="295" t="str">
        <f>IFERROR(__xludf.DUMMYFUNCTION("IF(B5044="""","""",IFERROR(VLOOKUP(TO_TEXT(B5044),PEDIDOS!D:I,6,0),IFERROR(VLOOKUP(B5044*1,PEDIDOS!D:I,6,0),"" "")))")," ")</f>
        <v> </v>
      </c>
      <c r="G5044" s="305" t="s">
        <v>23926</v>
      </c>
      <c r="H5044" s="304"/>
    </row>
    <row r="5045">
      <c r="A5045" s="302" t="s">
        <v>72</v>
      </c>
      <c r="B5045" s="291" t="s">
        <v>24628</v>
      </c>
      <c r="C5045" s="292" t="s">
        <v>48</v>
      </c>
      <c r="D5045" s="293">
        <f t="shared" si="2"/>
        <v>1</v>
      </c>
      <c r="E5045" s="294" t="s">
        <v>24466</v>
      </c>
      <c r="F5045" s="295" t="str">
        <f>IFERROR(__xludf.DUMMYFUNCTION("IF(B5045="""","""",IFERROR(VLOOKUP(TO_TEXT(B5045),PEDIDOS!D:I,6,0),IFERROR(VLOOKUP(B5045*1,PEDIDOS!D:I,6,0),"" "")))")," ")</f>
        <v> </v>
      </c>
      <c r="G5045" s="305" t="s">
        <v>23926</v>
      </c>
      <c r="H5045" s="304"/>
    </row>
    <row r="5046">
      <c r="A5046" s="302" t="s">
        <v>72</v>
      </c>
      <c r="B5046" s="291" t="s">
        <v>24629</v>
      </c>
      <c r="C5046" s="292" t="s">
        <v>48</v>
      </c>
      <c r="D5046" s="293">
        <f t="shared" si="2"/>
        <v>1</v>
      </c>
      <c r="E5046" s="294" t="s">
        <v>24466</v>
      </c>
      <c r="F5046" s="295" t="str">
        <f>IFERROR(__xludf.DUMMYFUNCTION("IF(B5046="""","""",IFERROR(VLOOKUP(TO_TEXT(B5046),PEDIDOS!D:I,6,0),IFERROR(VLOOKUP(B5046*1,PEDIDOS!D:I,6,0),"" "")))")," ")</f>
        <v> </v>
      </c>
      <c r="G5046" s="305" t="s">
        <v>23926</v>
      </c>
      <c r="H5046" s="304"/>
    </row>
    <row r="5047">
      <c r="A5047" s="302" t="s">
        <v>72</v>
      </c>
      <c r="B5047" s="291" t="s">
        <v>24630</v>
      </c>
      <c r="C5047" s="292" t="s">
        <v>48</v>
      </c>
      <c r="D5047" s="293">
        <f t="shared" si="2"/>
        <v>1</v>
      </c>
      <c r="E5047" s="294" t="s">
        <v>24466</v>
      </c>
      <c r="F5047" s="295" t="str">
        <f>IFERROR(__xludf.DUMMYFUNCTION("IF(B5047="""","""",IFERROR(VLOOKUP(TO_TEXT(B5047),PEDIDOS!D:I,6,0),IFERROR(VLOOKUP(B5047*1,PEDIDOS!D:I,6,0),"" "")))")," ")</f>
        <v> </v>
      </c>
      <c r="G5047" s="305" t="s">
        <v>23926</v>
      </c>
      <c r="H5047" s="304"/>
    </row>
    <row r="5048">
      <c r="A5048" s="302" t="s">
        <v>91</v>
      </c>
      <c r="B5048" s="291" t="s">
        <v>24631</v>
      </c>
      <c r="C5048" s="292" t="s">
        <v>48</v>
      </c>
      <c r="D5048" s="293">
        <f t="shared" si="2"/>
        <v>1</v>
      </c>
      <c r="E5048" s="294" t="s">
        <v>24466</v>
      </c>
      <c r="F5048" s="295" t="str">
        <f>IFERROR(__xludf.DUMMYFUNCTION("IF(B5048="""","""",IFERROR(VLOOKUP(TO_TEXT(B5048),PEDIDOS!D:I,6,0),IFERROR(VLOOKUP(B5048*1,PEDIDOS!D:I,6,0),"" "")))")," ")</f>
        <v> </v>
      </c>
      <c r="G5048" s="305" t="s">
        <v>23926</v>
      </c>
      <c r="H5048" s="304"/>
    </row>
    <row r="5049">
      <c r="A5049" s="302" t="s">
        <v>91</v>
      </c>
      <c r="B5049" s="291" t="s">
        <v>24632</v>
      </c>
      <c r="C5049" s="292" t="s">
        <v>48</v>
      </c>
      <c r="D5049" s="293">
        <f t="shared" si="2"/>
        <v>1</v>
      </c>
      <c r="E5049" s="294" t="s">
        <v>24466</v>
      </c>
      <c r="F5049" s="295" t="str">
        <f>IFERROR(__xludf.DUMMYFUNCTION("IF(B5049="""","""",IFERROR(VLOOKUP(TO_TEXT(B5049),PEDIDOS!D:I,6,0),IFERROR(VLOOKUP(B5049*1,PEDIDOS!D:I,6,0),"" "")))")," ")</f>
        <v> </v>
      </c>
      <c r="G5049" s="305" t="s">
        <v>23926</v>
      </c>
      <c r="H5049" s="304"/>
    </row>
    <row r="5050">
      <c r="A5050" s="302" t="s">
        <v>91</v>
      </c>
      <c r="B5050" s="291" t="s">
        <v>24633</v>
      </c>
      <c r="C5050" s="292" t="s">
        <v>48</v>
      </c>
      <c r="D5050" s="293">
        <f t="shared" si="2"/>
        <v>1</v>
      </c>
      <c r="E5050" s="294" t="s">
        <v>24466</v>
      </c>
      <c r="F5050" s="295" t="str">
        <f>IFERROR(__xludf.DUMMYFUNCTION("IF(B5050="""","""",IFERROR(VLOOKUP(TO_TEXT(B5050),PEDIDOS!D:I,6,0),IFERROR(VLOOKUP(B5050*1,PEDIDOS!D:I,6,0),"" "")))")," ")</f>
        <v> </v>
      </c>
      <c r="G5050" s="305" t="s">
        <v>23926</v>
      </c>
      <c r="H5050" s="304"/>
    </row>
    <row r="5051">
      <c r="A5051" s="302" t="s">
        <v>91</v>
      </c>
      <c r="B5051" s="291" t="s">
        <v>24634</v>
      </c>
      <c r="C5051" s="292" t="s">
        <v>48</v>
      </c>
      <c r="D5051" s="293">
        <f t="shared" si="2"/>
        <v>1</v>
      </c>
      <c r="E5051" s="294" t="s">
        <v>24466</v>
      </c>
      <c r="F5051" s="295" t="str">
        <f>IFERROR(__xludf.DUMMYFUNCTION("IF(B5051="""","""",IFERROR(VLOOKUP(TO_TEXT(B5051),PEDIDOS!D:I,6,0),IFERROR(VLOOKUP(B5051*1,PEDIDOS!D:I,6,0),"" "")))")," ")</f>
        <v> </v>
      </c>
      <c r="G5051" s="305" t="s">
        <v>23926</v>
      </c>
      <c r="H5051" s="304"/>
    </row>
    <row r="5052">
      <c r="A5052" s="302" t="s">
        <v>91</v>
      </c>
      <c r="B5052" s="291" t="s">
        <v>24635</v>
      </c>
      <c r="C5052" s="292" t="s">
        <v>48</v>
      </c>
      <c r="D5052" s="293">
        <f t="shared" si="2"/>
        <v>1</v>
      </c>
      <c r="E5052" s="294" t="s">
        <v>24466</v>
      </c>
      <c r="F5052" s="295" t="str">
        <f>IFERROR(__xludf.DUMMYFUNCTION("IF(B5052="""","""",IFERROR(VLOOKUP(TO_TEXT(B5052),PEDIDOS!D:I,6,0),IFERROR(VLOOKUP(B5052*1,PEDIDOS!D:I,6,0),"" "")))")," ")</f>
        <v> </v>
      </c>
      <c r="G5052" s="305" t="s">
        <v>23926</v>
      </c>
      <c r="H5052" s="304"/>
    </row>
    <row r="5053">
      <c r="A5053" s="302" t="s">
        <v>91</v>
      </c>
      <c r="B5053" s="291" t="s">
        <v>24636</v>
      </c>
      <c r="C5053" s="292" t="s">
        <v>48</v>
      </c>
      <c r="D5053" s="293">
        <f t="shared" si="2"/>
        <v>1</v>
      </c>
      <c r="E5053" s="294" t="s">
        <v>24466</v>
      </c>
      <c r="F5053" s="295" t="str">
        <f>IFERROR(__xludf.DUMMYFUNCTION("IF(B5053="""","""",IFERROR(VLOOKUP(TO_TEXT(B5053),PEDIDOS!D:I,6,0),IFERROR(VLOOKUP(B5053*1,PEDIDOS!D:I,6,0),"" "")))")," ")</f>
        <v> </v>
      </c>
      <c r="G5053" s="305" t="s">
        <v>23926</v>
      </c>
      <c r="H5053" s="304"/>
    </row>
    <row r="5054">
      <c r="A5054" s="302" t="s">
        <v>91</v>
      </c>
      <c r="B5054" s="291" t="s">
        <v>24637</v>
      </c>
      <c r="C5054" s="292" t="s">
        <v>48</v>
      </c>
      <c r="D5054" s="293">
        <f t="shared" si="2"/>
        <v>1</v>
      </c>
      <c r="E5054" s="294" t="s">
        <v>24466</v>
      </c>
      <c r="F5054" s="295" t="str">
        <f>IFERROR(__xludf.DUMMYFUNCTION("IF(B5054="""","""",IFERROR(VLOOKUP(TO_TEXT(B5054),PEDIDOS!D:I,6,0),IFERROR(VLOOKUP(B5054*1,PEDIDOS!D:I,6,0),"" "")))")," ")</f>
        <v> </v>
      </c>
      <c r="G5054" s="305" t="s">
        <v>23926</v>
      </c>
      <c r="H5054" s="304"/>
    </row>
    <row r="5055">
      <c r="A5055" s="302" t="s">
        <v>91</v>
      </c>
      <c r="B5055" s="291" t="s">
        <v>24638</v>
      </c>
      <c r="C5055" s="292" t="s">
        <v>48</v>
      </c>
      <c r="D5055" s="293">
        <f t="shared" si="2"/>
        <v>1</v>
      </c>
      <c r="E5055" s="294" t="s">
        <v>24466</v>
      </c>
      <c r="F5055" s="295" t="str">
        <f>IFERROR(__xludf.DUMMYFUNCTION("IF(B5055="""","""",IFERROR(VLOOKUP(TO_TEXT(B5055),PEDIDOS!D:I,6,0),IFERROR(VLOOKUP(B5055*1,PEDIDOS!D:I,6,0),"" "")))")," ")</f>
        <v> </v>
      </c>
      <c r="G5055" s="305" t="s">
        <v>23926</v>
      </c>
      <c r="H5055" s="304"/>
    </row>
    <row r="5056">
      <c r="A5056" s="302" t="s">
        <v>91</v>
      </c>
      <c r="B5056" s="291" t="s">
        <v>24639</v>
      </c>
      <c r="C5056" s="292" t="s">
        <v>48</v>
      </c>
      <c r="D5056" s="293">
        <f t="shared" si="2"/>
        <v>1</v>
      </c>
      <c r="E5056" s="294" t="s">
        <v>24466</v>
      </c>
      <c r="F5056" s="295" t="str">
        <f>IFERROR(__xludf.DUMMYFUNCTION("IF(B5056="""","""",IFERROR(VLOOKUP(TO_TEXT(B5056),PEDIDOS!D:I,6,0),IFERROR(VLOOKUP(B5056*1,PEDIDOS!D:I,6,0),"" "")))")," ")</f>
        <v> </v>
      </c>
      <c r="G5056" s="305" t="s">
        <v>23926</v>
      </c>
      <c r="H5056" s="304"/>
    </row>
    <row r="5057">
      <c r="A5057" s="302" t="s">
        <v>91</v>
      </c>
      <c r="B5057" s="291" t="s">
        <v>24640</v>
      </c>
      <c r="C5057" s="292" t="s">
        <v>48</v>
      </c>
      <c r="D5057" s="293">
        <f t="shared" si="2"/>
        <v>1</v>
      </c>
      <c r="E5057" s="294" t="s">
        <v>24466</v>
      </c>
      <c r="F5057" s="295" t="str">
        <f>IFERROR(__xludf.DUMMYFUNCTION("IF(B5057="""","""",IFERROR(VLOOKUP(TO_TEXT(B5057),PEDIDOS!D:I,6,0),IFERROR(VLOOKUP(B5057*1,PEDIDOS!D:I,6,0),"" "")))")," ")</f>
        <v> </v>
      </c>
      <c r="G5057" s="305" t="s">
        <v>23926</v>
      </c>
      <c r="H5057" s="304"/>
    </row>
    <row r="5058">
      <c r="A5058" s="302" t="s">
        <v>91</v>
      </c>
      <c r="B5058" s="291" t="s">
        <v>24641</v>
      </c>
      <c r="C5058" s="292" t="s">
        <v>48</v>
      </c>
      <c r="D5058" s="293">
        <f t="shared" si="2"/>
        <v>1</v>
      </c>
      <c r="E5058" s="294" t="s">
        <v>24466</v>
      </c>
      <c r="F5058" s="295" t="str">
        <f>IFERROR(__xludf.DUMMYFUNCTION("IF(B5058="""","""",IFERROR(VLOOKUP(TO_TEXT(B5058),PEDIDOS!D:I,6,0),IFERROR(VLOOKUP(B5058*1,PEDIDOS!D:I,6,0),"" "")))")," ")</f>
        <v> </v>
      </c>
      <c r="G5058" s="305" t="s">
        <v>23926</v>
      </c>
      <c r="H5058" s="304"/>
    </row>
    <row r="5059">
      <c r="A5059" s="302" t="s">
        <v>91</v>
      </c>
      <c r="B5059" s="291" t="s">
        <v>24642</v>
      </c>
      <c r="C5059" s="292" t="s">
        <v>48</v>
      </c>
      <c r="D5059" s="293">
        <f t="shared" si="2"/>
        <v>1</v>
      </c>
      <c r="E5059" s="294" t="s">
        <v>24466</v>
      </c>
      <c r="F5059" s="295" t="str">
        <f>IFERROR(__xludf.DUMMYFUNCTION("IF(B5059="""","""",IFERROR(VLOOKUP(TO_TEXT(B5059),PEDIDOS!D:I,6,0),IFERROR(VLOOKUP(B5059*1,PEDIDOS!D:I,6,0),"" "")))")," ")</f>
        <v> </v>
      </c>
      <c r="G5059" s="305" t="s">
        <v>23926</v>
      </c>
      <c r="H5059" s="304"/>
    </row>
    <row r="5060">
      <c r="A5060" s="302" t="s">
        <v>91</v>
      </c>
      <c r="B5060" s="291" t="s">
        <v>24643</v>
      </c>
      <c r="C5060" s="292" t="s">
        <v>48</v>
      </c>
      <c r="D5060" s="293">
        <f t="shared" si="2"/>
        <v>1</v>
      </c>
      <c r="E5060" s="294" t="s">
        <v>24466</v>
      </c>
      <c r="F5060" s="295" t="str">
        <f>IFERROR(__xludf.DUMMYFUNCTION("IF(B5060="""","""",IFERROR(VLOOKUP(TO_TEXT(B5060),PEDIDOS!D:I,6,0),IFERROR(VLOOKUP(B5060*1,PEDIDOS!D:I,6,0),"" "")))")," ")</f>
        <v> </v>
      </c>
      <c r="G5060" s="305" t="s">
        <v>23926</v>
      </c>
      <c r="H5060" s="304"/>
    </row>
    <row r="5061">
      <c r="A5061" s="302" t="s">
        <v>91</v>
      </c>
      <c r="B5061" s="291" t="s">
        <v>24644</v>
      </c>
      <c r="C5061" s="292" t="s">
        <v>48</v>
      </c>
      <c r="D5061" s="293">
        <f t="shared" si="2"/>
        <v>1</v>
      </c>
      <c r="E5061" s="294" t="s">
        <v>24466</v>
      </c>
      <c r="F5061" s="295" t="str">
        <f>IFERROR(__xludf.DUMMYFUNCTION("IF(B5061="""","""",IFERROR(VLOOKUP(TO_TEXT(B5061),PEDIDOS!D:I,6,0),IFERROR(VLOOKUP(B5061*1,PEDIDOS!D:I,6,0),"" "")))")," ")</f>
        <v> </v>
      </c>
      <c r="G5061" s="305" t="s">
        <v>23926</v>
      </c>
      <c r="H5061" s="304"/>
    </row>
    <row r="5062">
      <c r="A5062" s="302" t="s">
        <v>91</v>
      </c>
      <c r="B5062" s="291" t="s">
        <v>24645</v>
      </c>
      <c r="C5062" s="292" t="s">
        <v>48</v>
      </c>
      <c r="D5062" s="293">
        <f t="shared" si="2"/>
        <v>1</v>
      </c>
      <c r="E5062" s="294" t="s">
        <v>24466</v>
      </c>
      <c r="F5062" s="295" t="str">
        <f>IFERROR(__xludf.DUMMYFUNCTION("IF(B5062="""","""",IFERROR(VLOOKUP(TO_TEXT(B5062),PEDIDOS!D:I,6,0),IFERROR(VLOOKUP(B5062*1,PEDIDOS!D:I,6,0),"" "")))")," ")</f>
        <v> </v>
      </c>
      <c r="G5062" s="305" t="s">
        <v>23926</v>
      </c>
      <c r="H5062" s="304"/>
    </row>
    <row r="5063">
      <c r="A5063" s="302" t="s">
        <v>91</v>
      </c>
      <c r="B5063" s="291" t="s">
        <v>24646</v>
      </c>
      <c r="C5063" s="292" t="s">
        <v>48</v>
      </c>
      <c r="D5063" s="293">
        <f t="shared" si="2"/>
        <v>1</v>
      </c>
      <c r="E5063" s="294" t="s">
        <v>24466</v>
      </c>
      <c r="F5063" s="295" t="str">
        <f>IFERROR(__xludf.DUMMYFUNCTION("IF(B5063="""","""",IFERROR(VLOOKUP(TO_TEXT(B5063),PEDIDOS!D:I,6,0),IFERROR(VLOOKUP(B5063*1,PEDIDOS!D:I,6,0),"" "")))")," ")</f>
        <v> </v>
      </c>
      <c r="G5063" s="305" t="s">
        <v>23926</v>
      </c>
      <c r="H5063" s="304"/>
    </row>
    <row r="5064">
      <c r="A5064" s="302" t="s">
        <v>91</v>
      </c>
      <c r="B5064" s="291" t="s">
        <v>24647</v>
      </c>
      <c r="C5064" s="292" t="s">
        <v>48</v>
      </c>
      <c r="D5064" s="293">
        <f t="shared" si="2"/>
        <v>1</v>
      </c>
      <c r="E5064" s="294" t="s">
        <v>24466</v>
      </c>
      <c r="F5064" s="295" t="str">
        <f>IFERROR(__xludf.DUMMYFUNCTION("IF(B5064="""","""",IFERROR(VLOOKUP(TO_TEXT(B5064),PEDIDOS!D:I,6,0),IFERROR(VLOOKUP(B5064*1,PEDIDOS!D:I,6,0),"" "")))")," ")</f>
        <v> </v>
      </c>
      <c r="G5064" s="305" t="s">
        <v>23926</v>
      </c>
      <c r="H5064" s="304"/>
    </row>
    <row r="5065">
      <c r="A5065" s="302" t="s">
        <v>91</v>
      </c>
      <c r="B5065" s="291" t="s">
        <v>24648</v>
      </c>
      <c r="C5065" s="292" t="s">
        <v>48</v>
      </c>
      <c r="D5065" s="293">
        <f t="shared" si="2"/>
        <v>1</v>
      </c>
      <c r="E5065" s="294" t="s">
        <v>24466</v>
      </c>
      <c r="F5065" s="295" t="str">
        <f>IFERROR(__xludf.DUMMYFUNCTION("IF(B5065="""","""",IFERROR(VLOOKUP(TO_TEXT(B5065),PEDIDOS!D:I,6,0),IFERROR(VLOOKUP(B5065*1,PEDIDOS!D:I,6,0),"" "")))")," ")</f>
        <v> </v>
      </c>
      <c r="G5065" s="305" t="s">
        <v>23926</v>
      </c>
      <c r="H5065" s="304"/>
    </row>
    <row r="5066">
      <c r="A5066" s="302" t="s">
        <v>91</v>
      </c>
      <c r="B5066" s="291" t="s">
        <v>24649</v>
      </c>
      <c r="C5066" s="292" t="s">
        <v>48</v>
      </c>
      <c r="D5066" s="293">
        <f t="shared" si="2"/>
        <v>1</v>
      </c>
      <c r="E5066" s="294" t="s">
        <v>24466</v>
      </c>
      <c r="F5066" s="295" t="str">
        <f>IFERROR(__xludf.DUMMYFUNCTION("IF(B5066="""","""",IFERROR(VLOOKUP(TO_TEXT(B5066),PEDIDOS!D:I,6,0),IFERROR(VLOOKUP(B5066*1,PEDIDOS!D:I,6,0),"" "")))")," ")</f>
        <v> </v>
      </c>
      <c r="G5066" s="305" t="s">
        <v>23926</v>
      </c>
      <c r="H5066" s="304"/>
    </row>
    <row r="5067">
      <c r="A5067" s="302" t="s">
        <v>91</v>
      </c>
      <c r="B5067" s="291" t="s">
        <v>24650</v>
      </c>
      <c r="C5067" s="292" t="s">
        <v>48</v>
      </c>
      <c r="D5067" s="293">
        <f t="shared" si="2"/>
        <v>1</v>
      </c>
      <c r="E5067" s="294" t="s">
        <v>24466</v>
      </c>
      <c r="F5067" s="295" t="str">
        <f>IFERROR(__xludf.DUMMYFUNCTION("IF(B5067="""","""",IFERROR(VLOOKUP(TO_TEXT(B5067),PEDIDOS!D:I,6,0),IFERROR(VLOOKUP(B5067*1,PEDIDOS!D:I,6,0),"" "")))")," ")</f>
        <v> </v>
      </c>
      <c r="G5067" s="305" t="s">
        <v>23926</v>
      </c>
      <c r="H5067" s="304"/>
    </row>
    <row r="5068">
      <c r="A5068" s="302" t="s">
        <v>91</v>
      </c>
      <c r="B5068" s="291" t="s">
        <v>24651</v>
      </c>
      <c r="C5068" s="292" t="s">
        <v>48</v>
      </c>
      <c r="D5068" s="293">
        <f t="shared" si="2"/>
        <v>1</v>
      </c>
      <c r="E5068" s="294" t="s">
        <v>24466</v>
      </c>
      <c r="F5068" s="295" t="str">
        <f>IFERROR(__xludf.DUMMYFUNCTION("IF(B5068="""","""",IFERROR(VLOOKUP(TO_TEXT(B5068),PEDIDOS!D:I,6,0),IFERROR(VLOOKUP(B5068*1,PEDIDOS!D:I,6,0),"" "")))")," ")</f>
        <v> </v>
      </c>
      <c r="G5068" s="305" t="s">
        <v>23926</v>
      </c>
      <c r="H5068" s="304"/>
    </row>
    <row r="5069">
      <c r="A5069" s="302" t="s">
        <v>91</v>
      </c>
      <c r="B5069" s="291" t="s">
        <v>24652</v>
      </c>
      <c r="C5069" s="292" t="s">
        <v>48</v>
      </c>
      <c r="D5069" s="293">
        <f t="shared" si="2"/>
        <v>1</v>
      </c>
      <c r="E5069" s="294" t="s">
        <v>24466</v>
      </c>
      <c r="F5069" s="295" t="str">
        <f>IFERROR(__xludf.DUMMYFUNCTION("IF(B5069="""","""",IFERROR(VLOOKUP(TO_TEXT(B5069),PEDIDOS!D:I,6,0),IFERROR(VLOOKUP(B5069*1,PEDIDOS!D:I,6,0),"" "")))")," ")</f>
        <v> </v>
      </c>
      <c r="G5069" s="305" t="s">
        <v>23926</v>
      </c>
      <c r="H5069" s="304"/>
    </row>
    <row r="5070">
      <c r="A5070" s="302" t="s">
        <v>91</v>
      </c>
      <c r="B5070" s="291" t="s">
        <v>24653</v>
      </c>
      <c r="C5070" s="292" t="s">
        <v>48</v>
      </c>
      <c r="D5070" s="293">
        <f t="shared" si="2"/>
        <v>1</v>
      </c>
      <c r="E5070" s="294" t="s">
        <v>24466</v>
      </c>
      <c r="F5070" s="295" t="str">
        <f>IFERROR(__xludf.DUMMYFUNCTION("IF(B5070="""","""",IFERROR(VLOOKUP(TO_TEXT(B5070),PEDIDOS!D:I,6,0),IFERROR(VLOOKUP(B5070*1,PEDIDOS!D:I,6,0),"" "")))")," ")</f>
        <v> </v>
      </c>
      <c r="G5070" s="305" t="s">
        <v>23926</v>
      </c>
      <c r="H5070" s="304"/>
    </row>
    <row r="5071">
      <c r="A5071" s="302" t="s">
        <v>91</v>
      </c>
      <c r="B5071" s="291" t="s">
        <v>24654</v>
      </c>
      <c r="C5071" s="292" t="s">
        <v>48</v>
      </c>
      <c r="D5071" s="293">
        <f t="shared" si="2"/>
        <v>1</v>
      </c>
      <c r="E5071" s="294" t="s">
        <v>24466</v>
      </c>
      <c r="F5071" s="295" t="str">
        <f>IFERROR(__xludf.DUMMYFUNCTION("IF(B5071="""","""",IFERROR(VLOOKUP(TO_TEXT(B5071),PEDIDOS!D:I,6,0),IFERROR(VLOOKUP(B5071*1,PEDIDOS!D:I,6,0),"" "")))")," ")</f>
        <v> </v>
      </c>
      <c r="G5071" s="305" t="s">
        <v>23926</v>
      </c>
      <c r="H5071" s="304"/>
    </row>
    <row r="5072">
      <c r="A5072" s="302" t="s">
        <v>91</v>
      </c>
      <c r="B5072" s="291" t="s">
        <v>24655</v>
      </c>
      <c r="C5072" s="292" t="s">
        <v>48</v>
      </c>
      <c r="D5072" s="293">
        <f t="shared" si="2"/>
        <v>1</v>
      </c>
      <c r="E5072" s="294" t="s">
        <v>24466</v>
      </c>
      <c r="F5072" s="295" t="str">
        <f>IFERROR(__xludf.DUMMYFUNCTION("IF(B5072="""","""",IFERROR(VLOOKUP(TO_TEXT(B5072),PEDIDOS!D:I,6,0),IFERROR(VLOOKUP(B5072*1,PEDIDOS!D:I,6,0),"" "")))")," ")</f>
        <v> </v>
      </c>
      <c r="G5072" s="305" t="s">
        <v>23926</v>
      </c>
      <c r="H5072" s="304"/>
    </row>
    <row r="5073">
      <c r="A5073" s="302" t="s">
        <v>91</v>
      </c>
      <c r="B5073" s="291" t="s">
        <v>24656</v>
      </c>
      <c r="C5073" s="292" t="s">
        <v>48</v>
      </c>
      <c r="D5073" s="293">
        <f t="shared" si="2"/>
        <v>1</v>
      </c>
      <c r="E5073" s="294" t="s">
        <v>24466</v>
      </c>
      <c r="F5073" s="295" t="str">
        <f>IFERROR(__xludf.DUMMYFUNCTION("IF(B5073="""","""",IFERROR(VLOOKUP(TO_TEXT(B5073),PEDIDOS!D:I,6,0),IFERROR(VLOOKUP(B5073*1,PEDIDOS!D:I,6,0),"" "")))")," ")</f>
        <v> </v>
      </c>
      <c r="G5073" s="305" t="s">
        <v>23926</v>
      </c>
      <c r="H5073" s="304"/>
    </row>
    <row r="5074">
      <c r="A5074" s="302" t="s">
        <v>91</v>
      </c>
      <c r="B5074" s="291" t="s">
        <v>24657</v>
      </c>
      <c r="C5074" s="292" t="s">
        <v>48</v>
      </c>
      <c r="D5074" s="293">
        <f t="shared" si="2"/>
        <v>1</v>
      </c>
      <c r="E5074" s="294" t="s">
        <v>24466</v>
      </c>
      <c r="F5074" s="295" t="str">
        <f>IFERROR(__xludf.DUMMYFUNCTION("IF(B5074="""","""",IFERROR(VLOOKUP(TO_TEXT(B5074),PEDIDOS!D:I,6,0),IFERROR(VLOOKUP(B5074*1,PEDIDOS!D:I,6,0),"" "")))")," ")</f>
        <v> </v>
      </c>
      <c r="G5074" s="305" t="s">
        <v>23926</v>
      </c>
      <c r="H5074" s="304"/>
    </row>
    <row r="5075">
      <c r="A5075" s="302" t="s">
        <v>91</v>
      </c>
      <c r="B5075" s="291" t="s">
        <v>24658</v>
      </c>
      <c r="C5075" s="292" t="s">
        <v>48</v>
      </c>
      <c r="D5075" s="293">
        <f t="shared" si="2"/>
        <v>1</v>
      </c>
      <c r="E5075" s="294" t="s">
        <v>24466</v>
      </c>
      <c r="F5075" s="295" t="str">
        <f>IFERROR(__xludf.DUMMYFUNCTION("IF(B5075="""","""",IFERROR(VLOOKUP(TO_TEXT(B5075),PEDIDOS!D:I,6,0),IFERROR(VLOOKUP(B5075*1,PEDIDOS!D:I,6,0),"" "")))")," ")</f>
        <v> </v>
      </c>
      <c r="G5075" s="305" t="s">
        <v>23926</v>
      </c>
      <c r="H5075" s="304"/>
    </row>
    <row r="5076">
      <c r="A5076" s="302" t="s">
        <v>91</v>
      </c>
      <c r="B5076" s="291" t="s">
        <v>24659</v>
      </c>
      <c r="C5076" s="292" t="s">
        <v>48</v>
      </c>
      <c r="D5076" s="293">
        <f t="shared" si="2"/>
        <v>1</v>
      </c>
      <c r="E5076" s="294" t="s">
        <v>24466</v>
      </c>
      <c r="F5076" s="295" t="str">
        <f>IFERROR(__xludf.DUMMYFUNCTION("IF(B5076="""","""",IFERROR(VLOOKUP(TO_TEXT(B5076),PEDIDOS!D:I,6,0),IFERROR(VLOOKUP(B5076*1,PEDIDOS!D:I,6,0),"" "")))")," ")</f>
        <v> </v>
      </c>
      <c r="G5076" s="305" t="s">
        <v>23926</v>
      </c>
      <c r="H5076" s="304"/>
    </row>
    <row r="5077">
      <c r="A5077" s="302" t="s">
        <v>91</v>
      </c>
      <c r="B5077" s="291" t="s">
        <v>24660</v>
      </c>
      <c r="C5077" s="292" t="s">
        <v>48</v>
      </c>
      <c r="D5077" s="293">
        <f t="shared" si="2"/>
        <v>1</v>
      </c>
      <c r="E5077" s="294" t="s">
        <v>24466</v>
      </c>
      <c r="F5077" s="295" t="str">
        <f>IFERROR(__xludf.DUMMYFUNCTION("IF(B5077="""","""",IFERROR(VLOOKUP(TO_TEXT(B5077),PEDIDOS!D:I,6,0),IFERROR(VLOOKUP(B5077*1,PEDIDOS!D:I,6,0),"" "")))")," ")</f>
        <v> </v>
      </c>
      <c r="G5077" s="305" t="s">
        <v>23926</v>
      </c>
      <c r="H5077" s="304"/>
    </row>
    <row r="5078">
      <c r="A5078" s="302" t="s">
        <v>91</v>
      </c>
      <c r="B5078" s="291" t="s">
        <v>24661</v>
      </c>
      <c r="C5078" s="292" t="s">
        <v>48</v>
      </c>
      <c r="D5078" s="293">
        <f t="shared" si="2"/>
        <v>1</v>
      </c>
      <c r="E5078" s="294" t="s">
        <v>24466</v>
      </c>
      <c r="F5078" s="295" t="str">
        <f>IFERROR(__xludf.DUMMYFUNCTION("IF(B5078="""","""",IFERROR(VLOOKUP(TO_TEXT(B5078),PEDIDOS!D:I,6,0),IFERROR(VLOOKUP(B5078*1,PEDIDOS!D:I,6,0),"" "")))")," ")</f>
        <v> </v>
      </c>
      <c r="G5078" s="305" t="s">
        <v>23926</v>
      </c>
      <c r="H5078" s="304"/>
    </row>
    <row r="5079">
      <c r="A5079" s="302" t="s">
        <v>91</v>
      </c>
      <c r="B5079" s="291" t="s">
        <v>24662</v>
      </c>
      <c r="C5079" s="292" t="s">
        <v>48</v>
      </c>
      <c r="D5079" s="293">
        <f t="shared" si="2"/>
        <v>1</v>
      </c>
      <c r="E5079" s="294" t="s">
        <v>24466</v>
      </c>
      <c r="F5079" s="295" t="str">
        <f>IFERROR(__xludf.DUMMYFUNCTION("IF(B5079="""","""",IFERROR(VLOOKUP(TO_TEXT(B5079),PEDIDOS!D:I,6,0),IFERROR(VLOOKUP(B5079*1,PEDIDOS!D:I,6,0),"" "")))")," ")</f>
        <v> </v>
      </c>
      <c r="G5079" s="305" t="s">
        <v>23926</v>
      </c>
      <c r="H5079" s="304"/>
    </row>
    <row r="5080">
      <c r="A5080" s="302" t="s">
        <v>91</v>
      </c>
      <c r="B5080" s="291" t="s">
        <v>24663</v>
      </c>
      <c r="C5080" s="292" t="s">
        <v>48</v>
      </c>
      <c r="D5080" s="293">
        <f t="shared" si="2"/>
        <v>1</v>
      </c>
      <c r="E5080" s="294" t="s">
        <v>24466</v>
      </c>
      <c r="F5080" s="295" t="str">
        <f>IFERROR(__xludf.DUMMYFUNCTION("IF(B5080="""","""",IFERROR(VLOOKUP(TO_TEXT(B5080),PEDIDOS!D:I,6,0),IFERROR(VLOOKUP(B5080*1,PEDIDOS!D:I,6,0),"" "")))")," ")</f>
        <v> </v>
      </c>
      <c r="G5080" s="305" t="s">
        <v>23926</v>
      </c>
      <c r="H5080" s="304"/>
    </row>
    <row r="5081">
      <c r="A5081" s="302" t="s">
        <v>91</v>
      </c>
      <c r="B5081" s="291" t="s">
        <v>24664</v>
      </c>
      <c r="C5081" s="292" t="s">
        <v>48</v>
      </c>
      <c r="D5081" s="293">
        <f t="shared" si="2"/>
        <v>1</v>
      </c>
      <c r="E5081" s="294" t="s">
        <v>24466</v>
      </c>
      <c r="F5081" s="295" t="str">
        <f>IFERROR(__xludf.DUMMYFUNCTION("IF(B5081="""","""",IFERROR(VLOOKUP(TO_TEXT(B5081),PEDIDOS!D:I,6,0),IFERROR(VLOOKUP(B5081*1,PEDIDOS!D:I,6,0),"" "")))")," ")</f>
        <v> </v>
      </c>
      <c r="G5081" s="305" t="s">
        <v>23926</v>
      </c>
      <c r="H5081" s="304"/>
    </row>
    <row r="5082">
      <c r="A5082" s="302" t="s">
        <v>91</v>
      </c>
      <c r="B5082" s="291" t="s">
        <v>24665</v>
      </c>
      <c r="C5082" s="292" t="s">
        <v>48</v>
      </c>
      <c r="D5082" s="293">
        <f t="shared" si="2"/>
        <v>1</v>
      </c>
      <c r="E5082" s="294" t="s">
        <v>24466</v>
      </c>
      <c r="F5082" s="295" t="str">
        <f>IFERROR(__xludf.DUMMYFUNCTION("IF(B5082="""","""",IFERROR(VLOOKUP(TO_TEXT(B5082),PEDIDOS!D:I,6,0),IFERROR(VLOOKUP(B5082*1,PEDIDOS!D:I,6,0),"" "")))")," ")</f>
        <v> </v>
      </c>
      <c r="G5082" s="305" t="s">
        <v>23926</v>
      </c>
      <c r="H5082" s="304"/>
    </row>
    <row r="5083">
      <c r="A5083" s="302" t="s">
        <v>91</v>
      </c>
      <c r="B5083" s="291" t="s">
        <v>24666</v>
      </c>
      <c r="C5083" s="292" t="s">
        <v>48</v>
      </c>
      <c r="D5083" s="293">
        <f t="shared" si="2"/>
        <v>1</v>
      </c>
      <c r="E5083" s="294" t="s">
        <v>24466</v>
      </c>
      <c r="F5083" s="295" t="str">
        <f>IFERROR(__xludf.DUMMYFUNCTION("IF(B5083="""","""",IFERROR(VLOOKUP(TO_TEXT(B5083),PEDIDOS!D:I,6,0),IFERROR(VLOOKUP(B5083*1,PEDIDOS!D:I,6,0),"" "")))")," ")</f>
        <v> </v>
      </c>
      <c r="G5083" s="305" t="s">
        <v>23926</v>
      </c>
      <c r="H5083" s="304"/>
    </row>
    <row r="5084">
      <c r="A5084" s="302" t="s">
        <v>91</v>
      </c>
      <c r="B5084" s="291" t="s">
        <v>24667</v>
      </c>
      <c r="C5084" s="292" t="s">
        <v>48</v>
      </c>
      <c r="D5084" s="293">
        <f t="shared" si="2"/>
        <v>1</v>
      </c>
      <c r="E5084" s="294" t="s">
        <v>24466</v>
      </c>
      <c r="F5084" s="295" t="str">
        <f>IFERROR(__xludf.DUMMYFUNCTION("IF(B5084="""","""",IFERROR(VLOOKUP(TO_TEXT(B5084),PEDIDOS!D:I,6,0),IFERROR(VLOOKUP(B5084*1,PEDIDOS!D:I,6,0),"" "")))")," ")</f>
        <v> </v>
      </c>
      <c r="G5084" s="305" t="s">
        <v>23926</v>
      </c>
      <c r="H5084" s="304"/>
    </row>
    <row r="5085">
      <c r="A5085" s="302" t="s">
        <v>91</v>
      </c>
      <c r="B5085" s="291" t="s">
        <v>24668</v>
      </c>
      <c r="C5085" s="292" t="s">
        <v>48</v>
      </c>
      <c r="D5085" s="293">
        <f t="shared" si="2"/>
        <v>1</v>
      </c>
      <c r="E5085" s="294" t="s">
        <v>24466</v>
      </c>
      <c r="F5085" s="295" t="str">
        <f>IFERROR(__xludf.DUMMYFUNCTION("IF(B5085="""","""",IFERROR(VLOOKUP(TO_TEXT(B5085),PEDIDOS!D:I,6,0),IFERROR(VLOOKUP(B5085*1,PEDIDOS!D:I,6,0),"" "")))")," ")</f>
        <v> </v>
      </c>
      <c r="G5085" s="305" t="s">
        <v>23926</v>
      </c>
      <c r="H5085" s="304"/>
    </row>
    <row r="5086">
      <c r="A5086" s="302" t="s">
        <v>112</v>
      </c>
      <c r="B5086" s="291" t="s">
        <v>24669</v>
      </c>
      <c r="C5086" s="292" t="s">
        <v>48</v>
      </c>
      <c r="D5086" s="293">
        <f t="shared" si="2"/>
        <v>1</v>
      </c>
      <c r="E5086" s="294" t="s">
        <v>24466</v>
      </c>
      <c r="F5086" s="295" t="str">
        <f>IFERROR(__xludf.DUMMYFUNCTION("IF(B5086="""","""",IFERROR(VLOOKUP(TO_TEXT(B5086),PEDIDOS!D:I,6,0),IFERROR(VLOOKUP(B5086*1,PEDIDOS!D:I,6,0),"" "")))")," ")</f>
        <v> </v>
      </c>
      <c r="G5086" s="305" t="s">
        <v>23926</v>
      </c>
      <c r="H5086" s="304"/>
    </row>
    <row r="5087">
      <c r="A5087" s="302" t="s">
        <v>112</v>
      </c>
      <c r="B5087" s="291" t="s">
        <v>24670</v>
      </c>
      <c r="C5087" s="292" t="s">
        <v>48</v>
      </c>
      <c r="D5087" s="293">
        <f t="shared" si="2"/>
        <v>1</v>
      </c>
      <c r="E5087" s="294" t="s">
        <v>24466</v>
      </c>
      <c r="F5087" s="295" t="str">
        <f>IFERROR(__xludf.DUMMYFUNCTION("IF(B5087="""","""",IFERROR(VLOOKUP(TO_TEXT(B5087),PEDIDOS!D:I,6,0),IFERROR(VLOOKUP(B5087*1,PEDIDOS!D:I,6,0),"" "")))")," ")</f>
        <v> </v>
      </c>
      <c r="G5087" s="305" t="s">
        <v>23926</v>
      </c>
      <c r="H5087" s="304"/>
    </row>
    <row r="5088">
      <c r="A5088" s="302" t="s">
        <v>112</v>
      </c>
      <c r="B5088" s="291" t="s">
        <v>24671</v>
      </c>
      <c r="C5088" s="292" t="s">
        <v>48</v>
      </c>
      <c r="D5088" s="293">
        <f t="shared" si="2"/>
        <v>1</v>
      </c>
      <c r="E5088" s="294" t="s">
        <v>24466</v>
      </c>
      <c r="F5088" s="295" t="str">
        <f>IFERROR(__xludf.DUMMYFUNCTION("IF(B5088="""","""",IFERROR(VLOOKUP(TO_TEXT(B5088),PEDIDOS!D:I,6,0),IFERROR(VLOOKUP(B5088*1,PEDIDOS!D:I,6,0),"" "")))")," ")</f>
        <v> </v>
      </c>
      <c r="G5088" s="305" t="s">
        <v>23926</v>
      </c>
      <c r="H5088" s="304"/>
    </row>
    <row r="5089">
      <c r="A5089" s="302" t="s">
        <v>112</v>
      </c>
      <c r="B5089" s="291" t="s">
        <v>24672</v>
      </c>
      <c r="C5089" s="292" t="s">
        <v>48</v>
      </c>
      <c r="D5089" s="293">
        <f t="shared" si="2"/>
        <v>1</v>
      </c>
      <c r="E5089" s="294" t="s">
        <v>24466</v>
      </c>
      <c r="F5089" s="295" t="str">
        <f>IFERROR(__xludf.DUMMYFUNCTION("IF(B5089="""","""",IFERROR(VLOOKUP(TO_TEXT(B5089),PEDIDOS!D:I,6,0),IFERROR(VLOOKUP(B5089*1,PEDIDOS!D:I,6,0),"" "")))")," ")</f>
        <v> </v>
      </c>
      <c r="G5089" s="305" t="s">
        <v>23926</v>
      </c>
      <c r="H5089" s="304"/>
    </row>
    <row r="5090">
      <c r="A5090" s="302" t="s">
        <v>112</v>
      </c>
      <c r="B5090" s="291" t="s">
        <v>24673</v>
      </c>
      <c r="C5090" s="292" t="s">
        <v>48</v>
      </c>
      <c r="D5090" s="293">
        <f t="shared" si="2"/>
        <v>1</v>
      </c>
      <c r="E5090" s="294" t="s">
        <v>24466</v>
      </c>
      <c r="F5090" s="295" t="str">
        <f>IFERROR(__xludf.DUMMYFUNCTION("IF(B5090="""","""",IFERROR(VLOOKUP(TO_TEXT(B5090),PEDIDOS!D:I,6,0),IFERROR(VLOOKUP(B5090*1,PEDIDOS!D:I,6,0),"" "")))")," ")</f>
        <v> </v>
      </c>
      <c r="G5090" s="305" t="s">
        <v>23926</v>
      </c>
      <c r="H5090" s="304"/>
    </row>
    <row r="5091">
      <c r="A5091" s="302" t="s">
        <v>112</v>
      </c>
      <c r="B5091" s="291" t="s">
        <v>24674</v>
      </c>
      <c r="C5091" s="292" t="s">
        <v>48</v>
      </c>
      <c r="D5091" s="293">
        <f t="shared" si="2"/>
        <v>1</v>
      </c>
      <c r="E5091" s="294" t="s">
        <v>24466</v>
      </c>
      <c r="F5091" s="295" t="str">
        <f>IFERROR(__xludf.DUMMYFUNCTION("IF(B5091="""","""",IFERROR(VLOOKUP(TO_TEXT(B5091),PEDIDOS!D:I,6,0),IFERROR(VLOOKUP(B5091*1,PEDIDOS!D:I,6,0),"" "")))")," ")</f>
        <v> </v>
      </c>
      <c r="G5091" s="305" t="s">
        <v>23926</v>
      </c>
      <c r="H5091" s="304"/>
    </row>
    <row r="5092">
      <c r="A5092" s="302" t="s">
        <v>112</v>
      </c>
      <c r="B5092" s="291" t="s">
        <v>24675</v>
      </c>
      <c r="C5092" s="292" t="s">
        <v>48</v>
      </c>
      <c r="D5092" s="293">
        <f t="shared" si="2"/>
        <v>1</v>
      </c>
      <c r="E5092" s="294" t="s">
        <v>24466</v>
      </c>
      <c r="F5092" s="295" t="str">
        <f>IFERROR(__xludf.DUMMYFUNCTION("IF(B5092="""","""",IFERROR(VLOOKUP(TO_TEXT(B5092),PEDIDOS!D:I,6,0),IFERROR(VLOOKUP(B5092*1,PEDIDOS!D:I,6,0),"" "")))")," ")</f>
        <v> </v>
      </c>
      <c r="G5092" s="305" t="s">
        <v>23926</v>
      </c>
      <c r="H5092" s="304"/>
    </row>
    <row r="5093">
      <c r="A5093" s="302" t="s">
        <v>112</v>
      </c>
      <c r="B5093" s="291" t="s">
        <v>24676</v>
      </c>
      <c r="C5093" s="292" t="s">
        <v>48</v>
      </c>
      <c r="D5093" s="293">
        <f t="shared" si="2"/>
        <v>1</v>
      </c>
      <c r="E5093" s="294" t="s">
        <v>24466</v>
      </c>
      <c r="F5093" s="295" t="str">
        <f>IFERROR(__xludf.DUMMYFUNCTION("IF(B5093="""","""",IFERROR(VLOOKUP(TO_TEXT(B5093),PEDIDOS!D:I,6,0),IFERROR(VLOOKUP(B5093*1,PEDIDOS!D:I,6,0),"" "")))")," ")</f>
        <v> </v>
      </c>
      <c r="G5093" s="305" t="s">
        <v>23926</v>
      </c>
      <c r="H5093" s="304"/>
    </row>
    <row r="5094">
      <c r="A5094" s="302" t="s">
        <v>112</v>
      </c>
      <c r="B5094" s="291" t="s">
        <v>24677</v>
      </c>
      <c r="C5094" s="292" t="s">
        <v>48</v>
      </c>
      <c r="D5094" s="293">
        <f t="shared" si="2"/>
        <v>1</v>
      </c>
      <c r="E5094" s="294" t="s">
        <v>24466</v>
      </c>
      <c r="F5094" s="295" t="str">
        <f>IFERROR(__xludf.DUMMYFUNCTION("IF(B5094="""","""",IFERROR(VLOOKUP(TO_TEXT(B5094),PEDIDOS!D:I,6,0),IFERROR(VLOOKUP(B5094*1,PEDIDOS!D:I,6,0),"" "")))")," ")</f>
        <v> </v>
      </c>
      <c r="G5094" s="305" t="s">
        <v>23926</v>
      </c>
      <c r="H5094" s="304"/>
    </row>
    <row r="5095">
      <c r="A5095" s="302" t="s">
        <v>112</v>
      </c>
      <c r="B5095" s="291" t="s">
        <v>24678</v>
      </c>
      <c r="C5095" s="292" t="s">
        <v>48</v>
      </c>
      <c r="D5095" s="293">
        <f t="shared" si="2"/>
        <v>1</v>
      </c>
      <c r="E5095" s="294" t="s">
        <v>24466</v>
      </c>
      <c r="F5095" s="295" t="str">
        <f>IFERROR(__xludf.DUMMYFUNCTION("IF(B5095="""","""",IFERROR(VLOOKUP(TO_TEXT(B5095),PEDIDOS!D:I,6,0),IFERROR(VLOOKUP(B5095*1,PEDIDOS!D:I,6,0),"" "")))")," ")</f>
        <v> </v>
      </c>
      <c r="G5095" s="305" t="s">
        <v>23926</v>
      </c>
      <c r="H5095" s="304"/>
    </row>
    <row r="5096">
      <c r="A5096" s="302" t="s">
        <v>4430</v>
      </c>
      <c r="B5096" s="291" t="s">
        <v>24679</v>
      </c>
      <c r="C5096" s="292" t="s">
        <v>48</v>
      </c>
      <c r="D5096" s="293">
        <f t="shared" si="2"/>
        <v>1</v>
      </c>
      <c r="E5096" s="294" t="s">
        <v>24466</v>
      </c>
      <c r="F5096" s="295" t="str">
        <f>IFERROR(__xludf.DUMMYFUNCTION("IF(B5096="""","""",IFERROR(VLOOKUP(TO_TEXT(B5096),PEDIDOS!D:I,6,0),IFERROR(VLOOKUP(B5096*1,PEDIDOS!D:I,6,0),"" "")))")," ")</f>
        <v> </v>
      </c>
      <c r="G5096" s="305" t="s">
        <v>23926</v>
      </c>
      <c r="H5096" s="304"/>
    </row>
    <row r="5097">
      <c r="A5097" s="302" t="s">
        <v>4430</v>
      </c>
      <c r="B5097" s="291" t="s">
        <v>24680</v>
      </c>
      <c r="C5097" s="292" t="s">
        <v>48</v>
      </c>
      <c r="D5097" s="293">
        <f t="shared" si="2"/>
        <v>1</v>
      </c>
      <c r="E5097" s="294" t="s">
        <v>24466</v>
      </c>
      <c r="F5097" s="295" t="str">
        <f>IFERROR(__xludf.DUMMYFUNCTION("IF(B5097="""","""",IFERROR(VLOOKUP(TO_TEXT(B5097),PEDIDOS!D:I,6,0),IFERROR(VLOOKUP(B5097*1,PEDIDOS!D:I,6,0),"" "")))")," ")</f>
        <v> </v>
      </c>
      <c r="G5097" s="305" t="s">
        <v>23926</v>
      </c>
      <c r="H5097" s="304"/>
    </row>
    <row r="5098">
      <c r="A5098" s="302" t="s">
        <v>4430</v>
      </c>
      <c r="B5098" s="291" t="s">
        <v>24681</v>
      </c>
      <c r="C5098" s="292" t="s">
        <v>48</v>
      </c>
      <c r="D5098" s="293">
        <f t="shared" si="2"/>
        <v>1</v>
      </c>
      <c r="E5098" s="294" t="s">
        <v>24466</v>
      </c>
      <c r="F5098" s="295" t="str">
        <f>IFERROR(__xludf.DUMMYFUNCTION("IF(B5098="""","""",IFERROR(VLOOKUP(TO_TEXT(B5098),PEDIDOS!D:I,6,0),IFERROR(VLOOKUP(B5098*1,PEDIDOS!D:I,6,0),"" "")))")," ")</f>
        <v> </v>
      </c>
      <c r="G5098" s="305" t="s">
        <v>23926</v>
      </c>
      <c r="H5098" s="304"/>
    </row>
    <row r="5099">
      <c r="A5099" s="302" t="s">
        <v>4430</v>
      </c>
      <c r="B5099" s="291" t="s">
        <v>24682</v>
      </c>
      <c r="C5099" s="292" t="s">
        <v>48</v>
      </c>
      <c r="D5099" s="293">
        <f t="shared" si="2"/>
        <v>1</v>
      </c>
      <c r="E5099" s="294" t="s">
        <v>24466</v>
      </c>
      <c r="F5099" s="295" t="str">
        <f>IFERROR(__xludf.DUMMYFUNCTION("IF(B5099="""","""",IFERROR(VLOOKUP(TO_TEXT(B5099),PEDIDOS!D:I,6,0),IFERROR(VLOOKUP(B5099*1,PEDIDOS!D:I,6,0),"" "")))")," ")</f>
        <v> </v>
      </c>
      <c r="G5099" s="305" t="s">
        <v>23926</v>
      </c>
      <c r="H5099" s="304"/>
    </row>
    <row r="5100">
      <c r="A5100" s="302" t="s">
        <v>4430</v>
      </c>
      <c r="B5100" s="291" t="s">
        <v>24683</v>
      </c>
      <c r="C5100" s="292" t="s">
        <v>48</v>
      </c>
      <c r="D5100" s="293">
        <f t="shared" si="2"/>
        <v>1</v>
      </c>
      <c r="E5100" s="294" t="s">
        <v>24466</v>
      </c>
      <c r="F5100" s="295" t="str">
        <f>IFERROR(__xludf.DUMMYFUNCTION("IF(B5100="""","""",IFERROR(VLOOKUP(TO_TEXT(B5100),PEDIDOS!D:I,6,0),IFERROR(VLOOKUP(B5100*1,PEDIDOS!D:I,6,0),"" "")))")," ")</f>
        <v> </v>
      </c>
      <c r="G5100" s="305" t="s">
        <v>23926</v>
      </c>
      <c r="H5100" s="304"/>
    </row>
    <row r="5101">
      <c r="A5101" s="302" t="s">
        <v>4430</v>
      </c>
      <c r="B5101" s="291" t="s">
        <v>24684</v>
      </c>
      <c r="C5101" s="292" t="s">
        <v>48</v>
      </c>
      <c r="D5101" s="293">
        <f t="shared" si="2"/>
        <v>1</v>
      </c>
      <c r="E5101" s="294" t="s">
        <v>24466</v>
      </c>
      <c r="F5101" s="295" t="str">
        <f>IFERROR(__xludf.DUMMYFUNCTION("IF(B5101="""","""",IFERROR(VLOOKUP(TO_TEXT(B5101),PEDIDOS!D:I,6,0),IFERROR(VLOOKUP(B5101*1,PEDIDOS!D:I,6,0),"" "")))")," ")</f>
        <v> </v>
      </c>
      <c r="G5101" s="305" t="s">
        <v>23926</v>
      </c>
      <c r="H5101" s="304"/>
    </row>
    <row r="5102">
      <c r="A5102" s="302" t="s">
        <v>4430</v>
      </c>
      <c r="B5102" s="291" t="s">
        <v>24685</v>
      </c>
      <c r="C5102" s="292" t="s">
        <v>48</v>
      </c>
      <c r="D5102" s="293">
        <f t="shared" si="2"/>
        <v>1</v>
      </c>
      <c r="E5102" s="294" t="s">
        <v>24466</v>
      </c>
      <c r="F5102" s="295" t="str">
        <f>IFERROR(__xludf.DUMMYFUNCTION("IF(B5102="""","""",IFERROR(VLOOKUP(TO_TEXT(B5102),PEDIDOS!D:I,6,0),IFERROR(VLOOKUP(B5102*1,PEDIDOS!D:I,6,0),"" "")))")," ")</f>
        <v> </v>
      </c>
      <c r="G5102" s="305" t="s">
        <v>23926</v>
      </c>
      <c r="H5102" s="304"/>
    </row>
    <row r="5103">
      <c r="A5103" s="302" t="s">
        <v>4430</v>
      </c>
      <c r="B5103" s="291" t="s">
        <v>24686</v>
      </c>
      <c r="C5103" s="292" t="s">
        <v>48</v>
      </c>
      <c r="D5103" s="293">
        <f t="shared" si="2"/>
        <v>1</v>
      </c>
      <c r="E5103" s="294" t="s">
        <v>24466</v>
      </c>
      <c r="F5103" s="295" t="str">
        <f>IFERROR(__xludf.DUMMYFUNCTION("IF(B5103="""","""",IFERROR(VLOOKUP(TO_TEXT(B5103),PEDIDOS!D:I,6,0),IFERROR(VLOOKUP(B5103*1,PEDIDOS!D:I,6,0),"" "")))")," ")</f>
        <v> </v>
      </c>
      <c r="G5103" s="305" t="s">
        <v>23926</v>
      </c>
      <c r="H5103" s="304"/>
    </row>
    <row r="5104">
      <c r="A5104" s="302" t="s">
        <v>4430</v>
      </c>
      <c r="B5104" s="291" t="s">
        <v>24687</v>
      </c>
      <c r="C5104" s="292" t="s">
        <v>48</v>
      </c>
      <c r="D5104" s="293">
        <f t="shared" si="2"/>
        <v>1</v>
      </c>
      <c r="E5104" s="294" t="s">
        <v>24466</v>
      </c>
      <c r="F5104" s="295" t="str">
        <f>IFERROR(__xludf.DUMMYFUNCTION("IF(B5104="""","""",IFERROR(VLOOKUP(TO_TEXT(B5104),PEDIDOS!D:I,6,0),IFERROR(VLOOKUP(B5104*1,PEDIDOS!D:I,6,0),"" "")))")," ")</f>
        <v> </v>
      </c>
      <c r="G5104" s="305" t="s">
        <v>23926</v>
      </c>
      <c r="H5104" s="304"/>
    </row>
    <row r="5105">
      <c r="A5105" s="302" t="s">
        <v>4430</v>
      </c>
      <c r="B5105" s="291" t="s">
        <v>24688</v>
      </c>
      <c r="C5105" s="292" t="s">
        <v>48</v>
      </c>
      <c r="D5105" s="293">
        <f t="shared" si="2"/>
        <v>1</v>
      </c>
      <c r="E5105" s="294" t="s">
        <v>24466</v>
      </c>
      <c r="F5105" s="295" t="str">
        <f>IFERROR(__xludf.DUMMYFUNCTION("IF(B5105="""","""",IFERROR(VLOOKUP(TO_TEXT(B5105),PEDIDOS!D:I,6,0),IFERROR(VLOOKUP(B5105*1,PEDIDOS!D:I,6,0),"" "")))")," ")</f>
        <v> </v>
      </c>
      <c r="G5105" s="305" t="s">
        <v>23926</v>
      </c>
      <c r="H5105" s="304"/>
    </row>
    <row r="5106">
      <c r="A5106" s="309"/>
      <c r="B5106" s="310"/>
      <c r="C5106" s="309"/>
      <c r="D5106" s="311"/>
      <c r="E5106" s="312"/>
      <c r="F5106" s="313"/>
      <c r="G5106" s="305"/>
      <c r="H5106" s="304"/>
    </row>
    <row r="5107">
      <c r="A5107" s="309"/>
      <c r="B5107" s="310"/>
      <c r="C5107" s="309"/>
      <c r="D5107" s="311"/>
      <c r="E5107" s="312"/>
      <c r="F5107" s="313"/>
      <c r="G5107" s="305"/>
      <c r="H5107" s="304"/>
    </row>
  </sheetData>
  <autoFilter ref="$A$150:$H$5106"/>
  <customSheetViews>
    <customSheetView guid="{F0874127-E7C4-43A8-9E18-0B8478D7D56F}" filter="1" showAutoFilter="1">
      <autoFilter ref="$A$2:$G$423"/>
    </customSheetView>
  </customSheetViews>
  <conditionalFormatting sqref="B844">
    <cfRule type="expression" dxfId="12" priority="1">
      <formula>COUNTIF(B:B,B844)&gt;1</formula>
    </cfRule>
  </conditionalFormatting>
  <conditionalFormatting sqref="B844">
    <cfRule type="expression" dxfId="13" priority="2">
      <formula>$J844="ENTREGUE"</formula>
    </cfRule>
  </conditionalFormatting>
  <conditionalFormatting sqref="B844">
    <cfRule type="expression" dxfId="16" priority="3">
      <formula>$J844="A PAGAR"</formula>
    </cfRule>
  </conditionalFormatting>
  <conditionalFormatting sqref="B844">
    <cfRule type="expression" dxfId="16" priority="4">
      <formula>$J844=" A PAGAR"</formula>
    </cfRule>
  </conditionalFormatting>
  <conditionalFormatting sqref="B844">
    <cfRule type="expression" dxfId="17" priority="5">
      <formula>$J844="ENTREGA FUTURA"</formula>
    </cfRule>
  </conditionalFormatting>
  <conditionalFormatting sqref="B844">
    <cfRule type="expression" dxfId="18" priority="6">
      <formula>$J844="EM APROVAÇÃO"</formula>
    </cfRule>
  </conditionalFormatting>
  <conditionalFormatting sqref="B844">
    <cfRule type="expression" dxfId="19" priority="7">
      <formula>$J844="FINALIZADO"</formula>
    </cfRule>
  </conditionalFormatting>
  <conditionalFormatting sqref="B844">
    <cfRule type="expression" dxfId="20" priority="8">
      <formula>$J844="EM ABERTO"</formula>
    </cfRule>
  </conditionalFormatting>
  <conditionalFormatting sqref="B844">
    <cfRule type="expression" dxfId="21" priority="9">
      <formula>$J844="PRODUÇÃO"</formula>
    </cfRule>
  </conditionalFormatting>
  <conditionalFormatting sqref="B844">
    <cfRule type="expression" dxfId="22" priority="10">
      <formula>$J844="TESTAR"</formula>
    </cfRule>
  </conditionalFormatting>
  <conditionalFormatting sqref="B844">
    <cfRule type="expression" dxfId="23" priority="11">
      <formula>$J844="PRIORIDADE"</formula>
    </cfRule>
  </conditionalFormatting>
  <conditionalFormatting sqref="B844">
    <cfRule type="expression" dxfId="24" priority="12">
      <formula>$J844="CANCELADO"</formula>
    </cfRule>
  </conditionalFormatting>
  <conditionalFormatting sqref="B844">
    <cfRule type="expression" dxfId="25" priority="13">
      <formula>$J844="FILIAL PARANA"</formula>
    </cfRule>
  </conditionalFormatting>
  <conditionalFormatting sqref="B844">
    <cfRule type="expression" dxfId="26" priority="14">
      <formula>$J844="DEVOLVIDO"</formula>
    </cfRule>
  </conditionalFormatting>
  <conditionalFormatting sqref="B844">
    <cfRule type="expression" dxfId="21" priority="15">
      <formula>$J844="PRODUÇÃO"</formula>
    </cfRule>
  </conditionalFormatting>
  <conditionalFormatting sqref="B844">
    <cfRule type="expression" dxfId="20" priority="16">
      <formula>$J844="EM ABERTO"</formula>
    </cfRule>
  </conditionalFormatting>
  <conditionalFormatting sqref="B844">
    <cfRule type="expression" dxfId="27" priority="17">
      <formula>$J844="AGUARDAR CONTAINER"</formula>
    </cfRule>
  </conditionalFormatting>
  <conditionalFormatting sqref="B60:B61">
    <cfRule type="expression" dxfId="13" priority="18">
      <formula>$O60="ENTREGUE"</formula>
    </cfRule>
  </conditionalFormatting>
  <conditionalFormatting sqref="B60:B61">
    <cfRule type="expression" dxfId="19" priority="19">
      <formula>$O60="FINALIZADO"</formula>
    </cfRule>
  </conditionalFormatting>
  <conditionalFormatting sqref="B60:B61">
    <cfRule type="expression" dxfId="34" priority="20">
      <formula>$O60="EM APROVAÇÃO"</formula>
    </cfRule>
  </conditionalFormatting>
  <conditionalFormatting sqref="B60:B61">
    <cfRule type="expression" dxfId="16" priority="21">
      <formula>$O60="A PAGAR"</formula>
    </cfRule>
  </conditionalFormatting>
  <conditionalFormatting sqref="B60:B61">
    <cfRule type="expression" dxfId="35" priority="22">
      <formula>$O60="RESERVA IMPORTADA"</formula>
    </cfRule>
  </conditionalFormatting>
  <conditionalFormatting sqref="B60:B61">
    <cfRule type="expression" dxfId="17" priority="23">
      <formula>$O60="ENTREGA FUTURA"</formula>
    </cfRule>
  </conditionalFormatting>
  <conditionalFormatting sqref="B60:B61">
    <cfRule type="expression" dxfId="23" priority="24">
      <formula>$O60="PRIORIDADE"</formula>
    </cfRule>
  </conditionalFormatting>
  <conditionalFormatting sqref="B60:B61">
    <cfRule type="expression" dxfId="6" priority="25">
      <formula>$O60="TESTAR"</formula>
    </cfRule>
  </conditionalFormatting>
  <conditionalFormatting sqref="B60:B61">
    <cfRule type="expression" dxfId="24" priority="26">
      <formula>$O60="CANCELADO"</formula>
    </cfRule>
  </conditionalFormatting>
  <conditionalFormatting sqref="B60:B61">
    <cfRule type="expression" dxfId="25" priority="27">
      <formula>$O60="FILIAL PARANA"</formula>
    </cfRule>
  </conditionalFormatting>
  <conditionalFormatting sqref="B60:B61">
    <cfRule type="expression" dxfId="26" priority="28">
      <formula>$O60="DEVOLVIDO"</formula>
    </cfRule>
  </conditionalFormatting>
  <conditionalFormatting sqref="B60:B61">
    <cfRule type="expression" dxfId="21" priority="29">
      <formula>$O60="PRODUÇÃO"</formula>
    </cfRule>
  </conditionalFormatting>
  <conditionalFormatting sqref="B60:B61">
    <cfRule type="expression" dxfId="20" priority="30">
      <formula>$O60="EM ABERTO"</formula>
    </cfRule>
  </conditionalFormatting>
  <conditionalFormatting sqref="B60:B61">
    <cfRule type="expression" dxfId="7" priority="31">
      <formula>$O60="EM ABERTO IGUI"</formula>
    </cfRule>
  </conditionalFormatting>
  <conditionalFormatting sqref="B60:B61">
    <cfRule type="expression" dxfId="0" priority="32">
      <formula>$O60="PRÉ-EMBALAGEM"</formula>
    </cfRule>
  </conditionalFormatting>
  <conditionalFormatting sqref="B60:B61">
    <cfRule type="expression" dxfId="1" priority="33">
      <formula>$O60="RETORNO DE CONSERTO"</formula>
    </cfRule>
  </conditionalFormatting>
  <conditionalFormatting sqref="B60:B61">
    <cfRule type="expression" dxfId="2" priority="34">
      <formula>$O60="CONSIGNADO FINALIZADO"</formula>
    </cfRule>
  </conditionalFormatting>
  <conditionalFormatting sqref="D2:H5107">
    <cfRule type="notContainsBlanks" dxfId="36" priority="35">
      <formula>LEN(TRIM(D2))&gt;0</formula>
    </cfRule>
  </conditionalFormatting>
  <conditionalFormatting sqref="B2:B42 B45:B48 B50:B5107 A3767:A3786 A3960:A3973">
    <cfRule type="expression" dxfId="4" priority="36">
      <formula>COUNTIF(B:B,B2)&gt;1</formula>
    </cfRule>
  </conditionalFormatting>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43"/>
    <col customWidth="1" min="2" max="2" width="55.0"/>
    <col customWidth="1" hidden="1" min="3" max="3" width="10.0"/>
    <col customWidth="1" hidden="1" min="4" max="4" width="11.43"/>
    <col customWidth="1" min="5" max="5" width="16.57"/>
    <col customWidth="1" hidden="1" min="6" max="6" width="10.29"/>
    <col customWidth="1" hidden="1" min="7" max="7" width="9.71"/>
    <col customWidth="1" hidden="1" min="8" max="8" width="5.0"/>
    <col customWidth="1" min="9" max="9" width="24.71"/>
    <col customWidth="1" min="10" max="10" width="21.71"/>
    <col customWidth="1" min="11" max="11" width="19.86"/>
    <col customWidth="1" min="12" max="12" width="13.29"/>
    <col customWidth="1" hidden="1" min="13" max="13" width="13.71"/>
    <col customWidth="1" hidden="1" min="14" max="14" width="9.43"/>
    <col customWidth="1" hidden="1" min="15" max="15" width="10.14"/>
    <col customWidth="1" min="16" max="16" width="423.29"/>
    <col customWidth="1" min="17" max="17" width="10.29"/>
    <col customWidth="1" min="18" max="18" width="12.14"/>
    <col customWidth="1" min="19" max="19" width="14.0"/>
    <col customWidth="1" min="20" max="20" width="13.71"/>
    <col customWidth="1" min="21" max="21" width="13.14"/>
    <col customWidth="1" min="22" max="22" width="14.43"/>
    <col customWidth="1" min="23" max="23" width="11.57"/>
    <col customWidth="1" min="24" max="24" width="14.14"/>
    <col customWidth="1" min="25" max="25" width="13.71"/>
    <col customWidth="1" min="26" max="26" width="7.57"/>
    <col customWidth="1" min="27" max="27" width="3.71"/>
    <col customWidth="1" min="28" max="28" width="4.71"/>
    <col customWidth="1" min="29" max="29" width="13.0"/>
  </cols>
  <sheetData>
    <row r="1" ht="29.25" customHeight="1">
      <c r="A1" s="314" t="s">
        <v>0</v>
      </c>
      <c r="B1" s="234" t="s">
        <v>23306</v>
      </c>
      <c r="C1" s="314" t="s">
        <v>2</v>
      </c>
      <c r="D1" s="314" t="s">
        <v>23307</v>
      </c>
      <c r="E1" s="315" t="s">
        <v>4</v>
      </c>
      <c r="F1" s="316" t="s">
        <v>5</v>
      </c>
      <c r="G1" s="316" t="s">
        <v>23308</v>
      </c>
      <c r="H1" s="314" t="s">
        <v>7</v>
      </c>
      <c r="I1" s="317" t="s">
        <v>23309</v>
      </c>
      <c r="J1" s="317" t="s">
        <v>9</v>
      </c>
      <c r="K1" s="317" t="s">
        <v>10</v>
      </c>
      <c r="L1" s="318" t="s">
        <v>23310</v>
      </c>
      <c r="M1" s="319" t="s">
        <v>12</v>
      </c>
      <c r="N1" s="316" t="s">
        <v>13</v>
      </c>
      <c r="O1" s="320" t="s">
        <v>23311</v>
      </c>
      <c r="P1" s="237" t="s">
        <v>15</v>
      </c>
      <c r="Q1" s="321" t="s">
        <v>23312</v>
      </c>
      <c r="R1" s="321" t="s">
        <v>17</v>
      </c>
      <c r="S1" s="321" t="s">
        <v>18</v>
      </c>
      <c r="T1" s="322" t="s">
        <v>23313</v>
      </c>
      <c r="U1" s="323" t="s">
        <v>23314</v>
      </c>
      <c r="V1" s="324" t="s">
        <v>23315</v>
      </c>
      <c r="W1" s="325" t="s">
        <v>27</v>
      </c>
      <c r="X1" s="326" t="s">
        <v>23316</v>
      </c>
      <c r="Y1" s="327" t="s">
        <v>23317</v>
      </c>
      <c r="Z1" s="328" t="s">
        <v>23318</v>
      </c>
      <c r="AA1" s="329" t="s">
        <v>23319</v>
      </c>
      <c r="AB1" s="330" t="s">
        <v>23320</v>
      </c>
      <c r="AC1" s="317" t="s">
        <v>23321</v>
      </c>
    </row>
    <row r="2" ht="28.5" customHeight="1">
      <c r="A2" s="331" t="str">
        <f>IFERROR(__xludf.DUMMYFUNCTION("SORT(FILTER(PEDIDOS!A1:P1000,(PEDIDOS!I1:I1000=""AGUARDAR CONTAINER"")),5,TRUE
)"),"18038-4")</f>
        <v>18038-4</v>
      </c>
      <c r="B2" s="33" t="str">
        <f>IFERROR(__xludf.DUMMYFUNCTION("""COMPUTED_VALUE"""),"GLOBAL TECH BRASIL COMERCIO ELETRONICO LTDA")</f>
        <v>GLOBAL TECH BRASIL COMERCIO ELETRONICO LTDA</v>
      </c>
      <c r="C2" s="332">
        <f>IFERROR(__xludf.DUMMYFUNCTION("""COMPUTED_VALUE"""),1.0)</f>
        <v>1</v>
      </c>
      <c r="D2" s="331"/>
      <c r="E2" s="331" t="str">
        <f>IFERROR(__xludf.DUMMYFUNCTION("""COMPUTED_VALUE"""),"FTI25D40PT")</f>
        <v>FTI25D40PT</v>
      </c>
      <c r="F2" s="331" t="str">
        <f>IFERROR(__xludf.DUMMYFUNCTION("""COMPUTED_VALUE"""),"WI-FI")</f>
        <v>WI-FI</v>
      </c>
      <c r="G2" s="331" t="str">
        <f>IFERROR(__xludf.DUMMYFUNCTION("""COMPUTED_VALUE"""),"NAO")</f>
        <v>NAO</v>
      </c>
      <c r="H2" s="333" t="str">
        <f>IFERROR(__xludf.DUMMYFUNCTION("""COMPUTED_VALUE"""),"NAO")</f>
        <v>NAO</v>
      </c>
      <c r="I2" s="334" t="str">
        <f>IFERROR(__xludf.DUMMYFUNCTION("""COMPUTED_VALUE"""),"AGUARDAR CONTAINER")</f>
        <v>AGUARDAR CONTAINER</v>
      </c>
      <c r="J2" s="335" t="str">
        <f>IFERROR(__xludf.DUMMYFUNCTION("""COMPUTED_VALUE"""),"FITLOG")</f>
        <v>FITLOG</v>
      </c>
      <c r="K2" s="336" t="str">
        <f>IFERROR(__xludf.DUMMYFUNCTION("""COMPUTED_VALUE"""),"SEM REDESPACHO")</f>
        <v>SEM REDESPACHO</v>
      </c>
      <c r="L2" s="337">
        <f>IFERROR(__xludf.DUMMYFUNCTION("""COMPUTED_VALUE"""),-13519.0)</f>
        <v>-13519</v>
      </c>
      <c r="M2" s="338"/>
      <c r="N2" s="339"/>
      <c r="O2" s="340"/>
      <c r="P2" s="341" t="str">
        <f>IFERROR(__xludf.DUMMYFUNCTION("""COMPUTED_VALUE"""),"FITLOG TRANSPORTES E LOGISTICA LTDA / (048) 996277956Informação Adicional: ENTRADA 30%+30/60/90/120 DS BOLETO .  / E-mail para nota fiscal: , E-mail de cobrança: , Telefone para contat")</f>
        <v>FITLOG TRANSPORTES E LOGISTICA LTDA / (048) 996277956Informação Adicional: ENTRADA 30%+30/60/90/120 DS BOLETO .  / E-mail para nota fiscal: , E-mail de cobrança: , Telefone para contat</v>
      </c>
      <c r="Q2" s="342"/>
      <c r="R2" s="342"/>
      <c r="S2" s="342"/>
      <c r="T2" s="343"/>
      <c r="U2" s="342"/>
      <c r="V2" s="342"/>
      <c r="W2" s="344"/>
      <c r="X2" s="344"/>
      <c r="Y2" s="345"/>
      <c r="Z2" s="345"/>
      <c r="AA2" s="345"/>
      <c r="AB2" s="345"/>
      <c r="AC2" s="345"/>
    </row>
    <row r="3" ht="28.5" customHeight="1">
      <c r="A3" s="331" t="str">
        <f>IFERROR(__xludf.DUMMYFUNCTION("""COMPUTED_VALUE"""),"18038-5")</f>
        <v>18038-5</v>
      </c>
      <c r="B3" s="33" t="str">
        <f>IFERROR(__xludf.DUMMYFUNCTION("""COMPUTED_VALUE"""),"GLOBAL TECH BRASIL COMERCIO ELETRONICO LTDA")</f>
        <v>GLOBAL TECH BRASIL COMERCIO ELETRONICO LTDA</v>
      </c>
      <c r="C3" s="332">
        <f>IFERROR(__xludf.DUMMYFUNCTION("""COMPUTED_VALUE"""),1.0)</f>
        <v>1</v>
      </c>
      <c r="D3" s="331"/>
      <c r="E3" s="331" t="str">
        <f>IFERROR(__xludf.DUMMYFUNCTION("""COMPUTED_VALUE"""),"FTI25D40PT")</f>
        <v>FTI25D40PT</v>
      </c>
      <c r="F3" s="331" t="str">
        <f>IFERROR(__xludf.DUMMYFUNCTION("""COMPUTED_VALUE"""),"WI-FI")</f>
        <v>WI-FI</v>
      </c>
      <c r="G3" s="331" t="str">
        <f>IFERROR(__xludf.DUMMYFUNCTION("""COMPUTED_VALUE"""),"NAO")</f>
        <v>NAO</v>
      </c>
      <c r="H3" s="333" t="str">
        <f>IFERROR(__xludf.DUMMYFUNCTION("""COMPUTED_VALUE"""),"NAO")</f>
        <v>NAO</v>
      </c>
      <c r="I3" s="334" t="str">
        <f>IFERROR(__xludf.DUMMYFUNCTION("""COMPUTED_VALUE"""),"AGUARDAR CONTAINER")</f>
        <v>AGUARDAR CONTAINER</v>
      </c>
      <c r="J3" s="335" t="str">
        <f>IFERROR(__xludf.DUMMYFUNCTION("""COMPUTED_VALUE"""),"FITLOG")</f>
        <v>FITLOG</v>
      </c>
      <c r="K3" s="336" t="str">
        <f>IFERROR(__xludf.DUMMYFUNCTION("""COMPUTED_VALUE"""),"SEM REDESPACHO")</f>
        <v>SEM REDESPACHO</v>
      </c>
      <c r="L3" s="337">
        <f>IFERROR(__xludf.DUMMYFUNCTION("""COMPUTED_VALUE"""),-13519.0)</f>
        <v>-13519</v>
      </c>
      <c r="M3" s="338"/>
      <c r="N3" s="339"/>
      <c r="O3" s="340"/>
      <c r="P3" s="341" t="str">
        <f>IFERROR(__xludf.DUMMYFUNCTION("""COMPUTED_VALUE"""),"FITLOG TRANSPORTES E LOGISTICA LTDA / (048) 996277956Informação Adicional: ENTRADA 30%+30/60/90/120 DS BOLETO .  / E-mail para nota fiscal: , E-mail de cobrança: , Telefone para contat")</f>
        <v>FITLOG TRANSPORTES E LOGISTICA LTDA / (048) 996277956Informação Adicional: ENTRADA 30%+30/60/90/120 DS BOLETO .  / E-mail para nota fiscal: , E-mail de cobrança: , Telefone para contat</v>
      </c>
      <c r="Q3" s="342"/>
      <c r="R3" s="342"/>
      <c r="S3" s="342"/>
      <c r="T3" s="343"/>
      <c r="U3" s="342"/>
      <c r="V3" s="342"/>
      <c r="W3" s="344"/>
      <c r="X3" s="344"/>
      <c r="Y3" s="345"/>
      <c r="Z3" s="345"/>
      <c r="AA3" s="345"/>
      <c r="AB3" s="345"/>
      <c r="AC3" s="345"/>
    </row>
    <row r="4" ht="28.5" customHeight="1">
      <c r="A4" s="331" t="str">
        <f>IFERROR(__xludf.DUMMYFUNCTION("""COMPUTED_VALUE"""),"18263-B")</f>
        <v>18263-B</v>
      </c>
      <c r="B4" s="33" t="str">
        <f>IFERROR(__xludf.DUMMYFUNCTION("""COMPUTED_VALUE"""),"AGUA E LAZER")</f>
        <v>AGUA E LAZER</v>
      </c>
      <c r="C4" s="332">
        <f>IFERROR(__xludf.DUMMYFUNCTION("""COMPUTED_VALUE"""),1.0)</f>
        <v>1</v>
      </c>
      <c r="D4" s="331"/>
      <c r="E4" s="331" t="str">
        <f>IFERROR(__xludf.DUMMYFUNCTION("""COMPUTED_VALUE"""),"FTI25D40PT")</f>
        <v>FTI25D40PT</v>
      </c>
      <c r="F4" s="331" t="str">
        <f>IFERROR(__xludf.DUMMYFUNCTION("""COMPUTED_VALUE"""),"WI-FI")</f>
        <v>WI-FI</v>
      </c>
      <c r="G4" s="331" t="str">
        <f>IFERROR(__xludf.DUMMYFUNCTION("""COMPUTED_VALUE"""),"NAO")</f>
        <v>NAO</v>
      </c>
      <c r="H4" s="333" t="str">
        <f>IFERROR(__xludf.DUMMYFUNCTION("""COMPUTED_VALUE"""),"NAO")</f>
        <v>NAO</v>
      </c>
      <c r="I4" s="334" t="str">
        <f>IFERROR(__xludf.DUMMYFUNCTION("""COMPUTED_VALUE"""),"AGUARDAR CONTAINER")</f>
        <v>AGUARDAR CONTAINER</v>
      </c>
      <c r="J4" s="335" t="str">
        <f>IFERROR(__xludf.DUMMYFUNCTION("""COMPUTED_VALUE"""),"FITLOG")</f>
        <v>FITLOG</v>
      </c>
      <c r="K4" s="336" t="str">
        <f>IFERROR(__xludf.DUMMYFUNCTION("""COMPUTED_VALUE"""),"SETE LAGOAS")</f>
        <v>SETE LAGOAS</v>
      </c>
      <c r="L4" s="337"/>
      <c r="M4" s="338"/>
      <c r="N4" s="339"/>
      <c r="O4" s="340"/>
      <c r="P4" s="341" t="str">
        <f>IFERROR(__xludf.DUMMYFUNCTION("""COMPUTED_VALUE"""),"FITLOG TRANSPORTES E LOGISTICA LTDA / (048) 996277956Informação Adicional: FRETE FOB COM REDESPACHO PELA SETE LAGOS CNPJ : 03.098.929/0005-17 - End. SP: RUA PEDRO DE TOLEDO, 407 - JARDIM SANTA LIDIA - GUARULHOS - SP - CEP 07140-000 - VALOR TOTAL DO PEDIDO"&amp;": R$ 9.690,84 / Obs.Interna: ENTREGA FUTURA DIA 10/10/25 .  / E-mail para nota fiscal: , E-mail de cobrança: , Telefone para contato
&lt;br&gt;")</f>
        <v>FITLOG TRANSPORTES E LOGISTICA LTDA / (048) 996277956Informação Adicional: FRETE FOB COM REDESPACHO PELA SETE LAGOS CNPJ : 03.098.929/0005-17 - End. SP: RUA PEDRO DE TOLEDO, 407 - JARDIM SANTA LIDIA - GUARULHOS - SP - CEP 07140-000 - VALOR TOTAL DO PEDIDO: R$ 9.690,84 / Obs.Interna: ENTREGA FUTURA DIA 10/10/25 .  / E-mail para nota fiscal: , E-mail de cobrança: , Telefone para contato
&lt;br&gt;</v>
      </c>
      <c r="Q4" s="342"/>
      <c r="R4" s="342"/>
      <c r="S4" s="342"/>
      <c r="T4" s="343"/>
      <c r="U4" s="342"/>
      <c r="V4" s="342"/>
      <c r="W4" s="344"/>
      <c r="X4" s="344"/>
      <c r="Y4" s="345"/>
      <c r="Z4" s="345"/>
      <c r="AA4" s="345"/>
      <c r="AB4" s="345"/>
      <c r="AC4" s="345"/>
    </row>
    <row r="5" ht="28.5" customHeight="1">
      <c r="A5" s="331" t="str">
        <f>IFERROR(__xludf.DUMMYFUNCTION("""COMPUTED_VALUE"""),"18422-D")</f>
        <v>18422-D</v>
      </c>
      <c r="B5" s="33" t="str">
        <f>IFERROR(__xludf.DUMMYFUNCTION("""COMPUTED_VALUE"""),"POOL ARARAS")</f>
        <v>POOL ARARAS</v>
      </c>
      <c r="C5" s="332">
        <f>IFERROR(__xludf.DUMMYFUNCTION("""COMPUTED_VALUE"""),1.0)</f>
        <v>1</v>
      </c>
      <c r="D5" s="331"/>
      <c r="E5" s="331" t="str">
        <f>IFERROR(__xludf.DUMMYFUNCTION("""COMPUTED_VALUE"""),"FTI25D40PT")</f>
        <v>FTI25D40PT</v>
      </c>
      <c r="F5" s="331" t="str">
        <f>IFERROR(__xludf.DUMMYFUNCTION("""COMPUTED_VALUE"""),"WI-FI")</f>
        <v>WI-FI</v>
      </c>
      <c r="G5" s="331" t="str">
        <f>IFERROR(__xludf.DUMMYFUNCTION("""COMPUTED_VALUE"""),"NAO")</f>
        <v>NAO</v>
      </c>
      <c r="H5" s="333" t="str">
        <f>IFERROR(__xludf.DUMMYFUNCTION("""COMPUTED_VALUE"""),"NAO")</f>
        <v>NAO</v>
      </c>
      <c r="I5" s="334" t="str">
        <f>IFERROR(__xludf.DUMMYFUNCTION("""COMPUTED_VALUE"""),"AGUARDAR CONTAINER")</f>
        <v>AGUARDAR CONTAINER</v>
      </c>
      <c r="J5" s="335" t="str">
        <f>IFERROR(__xludf.DUMMYFUNCTION("""COMPUTED_VALUE"""),"FITLOG")</f>
        <v>FITLOG</v>
      </c>
      <c r="K5" s="336" t="str">
        <f>IFERROR(__xludf.DUMMYFUNCTION("""COMPUTED_VALUE"""),"TRANSRUAS ")</f>
        <v>TRANSRUAS </v>
      </c>
      <c r="L5" s="337"/>
      <c r="M5" s="338"/>
      <c r="N5" s="339"/>
      <c r="O5" s="340"/>
      <c r="P5" s="341" t="str">
        <f>IFERROR(__xludf.DUMMYFUNCTION("""COMPUTED_VALUE"""),"FITLOG TRANSPORTES E LOGISTICA LTDA / (048) 996277956Obs.Interna: Entrega futura dia 10/10/2025 .  / E-mail para nota fiscal: , E-mail de cobrança: , Telefone para contato")</f>
        <v>FITLOG TRANSPORTES E LOGISTICA LTDA / (048) 996277956Obs.Interna: Entrega futura dia 10/10/2025 .  / E-mail para nota fiscal: , E-mail de cobrança: , Telefone para contato</v>
      </c>
      <c r="Q5" s="342"/>
      <c r="R5" s="342"/>
      <c r="S5" s="342"/>
      <c r="T5" s="343"/>
      <c r="U5" s="342"/>
      <c r="V5" s="342"/>
      <c r="W5" s="344"/>
      <c r="X5" s="344"/>
      <c r="Y5" s="345"/>
      <c r="Z5" s="345"/>
      <c r="AA5" s="345"/>
      <c r="AB5" s="345"/>
      <c r="AC5" s="345"/>
    </row>
    <row r="6" ht="28.5" customHeight="1">
      <c r="A6" s="331" t="str">
        <f>IFERROR(__xludf.DUMMYFUNCTION("""COMPUTED_VALUE"""),"18422-E")</f>
        <v>18422-E</v>
      </c>
      <c r="B6" s="33" t="str">
        <f>IFERROR(__xludf.DUMMYFUNCTION("""COMPUTED_VALUE"""),"POOL ARARAS")</f>
        <v>POOL ARARAS</v>
      </c>
      <c r="C6" s="332">
        <f>IFERROR(__xludf.DUMMYFUNCTION("""COMPUTED_VALUE"""),1.0)</f>
        <v>1</v>
      </c>
      <c r="D6" s="331"/>
      <c r="E6" s="331" t="str">
        <f>IFERROR(__xludf.DUMMYFUNCTION("""COMPUTED_VALUE"""),"FTI25D40PT")</f>
        <v>FTI25D40PT</v>
      </c>
      <c r="F6" s="331" t="str">
        <f>IFERROR(__xludf.DUMMYFUNCTION("""COMPUTED_VALUE"""),"WI-FI")</f>
        <v>WI-FI</v>
      </c>
      <c r="G6" s="331" t="str">
        <f>IFERROR(__xludf.DUMMYFUNCTION("""COMPUTED_VALUE"""),"NAO")</f>
        <v>NAO</v>
      </c>
      <c r="H6" s="333" t="str">
        <f>IFERROR(__xludf.DUMMYFUNCTION("""COMPUTED_VALUE"""),"NAO")</f>
        <v>NAO</v>
      </c>
      <c r="I6" s="334" t="str">
        <f>IFERROR(__xludf.DUMMYFUNCTION("""COMPUTED_VALUE"""),"AGUARDAR CONTAINER")</f>
        <v>AGUARDAR CONTAINER</v>
      </c>
      <c r="J6" s="335" t="str">
        <f>IFERROR(__xludf.DUMMYFUNCTION("""COMPUTED_VALUE"""),"FITLOG")</f>
        <v>FITLOG</v>
      </c>
      <c r="K6" s="336" t="str">
        <f>IFERROR(__xludf.DUMMYFUNCTION("""COMPUTED_VALUE"""),"TRANSRUAS ")</f>
        <v>TRANSRUAS </v>
      </c>
      <c r="L6" s="337"/>
      <c r="M6" s="338"/>
      <c r="N6" s="339"/>
      <c r="O6" s="340"/>
      <c r="P6" s="341" t="str">
        <f>IFERROR(__xludf.DUMMYFUNCTION("""COMPUTED_VALUE"""),"FITLOG TRANSPORTES E LOGISTICA LTDA / (048) 996277956Obs.Interna: Entrega futura dia 10/10/2025 .  / E-mail para nota fiscal: , E-mail de cobrança: , Telefone para contato")</f>
        <v>FITLOG TRANSPORTES E LOGISTICA LTDA / (048) 996277956Obs.Interna: Entrega futura dia 10/10/2025 .  / E-mail para nota fiscal: , E-mail de cobrança: , Telefone para contato</v>
      </c>
      <c r="Q6" s="342"/>
      <c r="R6" s="342"/>
      <c r="S6" s="342"/>
      <c r="T6" s="343"/>
      <c r="U6" s="342"/>
      <c r="V6" s="342"/>
      <c r="W6" s="344"/>
      <c r="X6" s="344"/>
      <c r="Y6" s="345"/>
      <c r="Z6" s="345"/>
      <c r="AA6" s="345"/>
      <c r="AB6" s="345"/>
      <c r="AC6" s="345"/>
    </row>
    <row r="7" ht="28.5" customHeight="1">
      <c r="A7" s="331" t="str">
        <f>IFERROR(__xludf.DUMMYFUNCTION("""COMPUTED_VALUE"""),"18422-F")</f>
        <v>18422-F</v>
      </c>
      <c r="B7" s="33" t="str">
        <f>IFERROR(__xludf.DUMMYFUNCTION("""COMPUTED_VALUE"""),"POOL ARARAS")</f>
        <v>POOL ARARAS</v>
      </c>
      <c r="C7" s="332">
        <f>IFERROR(__xludf.DUMMYFUNCTION("""COMPUTED_VALUE"""),1.0)</f>
        <v>1</v>
      </c>
      <c r="D7" s="331"/>
      <c r="E7" s="331" t="str">
        <f>IFERROR(__xludf.DUMMYFUNCTION("""COMPUTED_VALUE"""),"FTI25D40PT")</f>
        <v>FTI25D40PT</v>
      </c>
      <c r="F7" s="331" t="str">
        <f>IFERROR(__xludf.DUMMYFUNCTION("""COMPUTED_VALUE"""),"WI-FI")</f>
        <v>WI-FI</v>
      </c>
      <c r="G7" s="331" t="str">
        <f>IFERROR(__xludf.DUMMYFUNCTION("""COMPUTED_VALUE"""),"NAO")</f>
        <v>NAO</v>
      </c>
      <c r="H7" s="333" t="str">
        <f>IFERROR(__xludf.DUMMYFUNCTION("""COMPUTED_VALUE"""),"NAO")</f>
        <v>NAO</v>
      </c>
      <c r="I7" s="334" t="str">
        <f>IFERROR(__xludf.DUMMYFUNCTION("""COMPUTED_VALUE"""),"AGUARDAR CONTAINER")</f>
        <v>AGUARDAR CONTAINER</v>
      </c>
      <c r="J7" s="335" t="str">
        <f>IFERROR(__xludf.DUMMYFUNCTION("""COMPUTED_VALUE"""),"FITLOG")</f>
        <v>FITLOG</v>
      </c>
      <c r="K7" s="336" t="str">
        <f>IFERROR(__xludf.DUMMYFUNCTION("""COMPUTED_VALUE"""),"TRANSRUAS ")</f>
        <v>TRANSRUAS </v>
      </c>
      <c r="L7" s="337"/>
      <c r="M7" s="338"/>
      <c r="N7" s="339"/>
      <c r="O7" s="340"/>
      <c r="P7" s="341" t="str">
        <f>IFERROR(__xludf.DUMMYFUNCTION("""COMPUTED_VALUE"""),"FITLOG TRANSPORTES E LOGISTICA LTDA / (048) 996277956Obs.Interna: Entrega futura dia 10/10/2025 .  / E-mail para nota fiscal: , E-mail de cobrança: , Telefone para contato")</f>
        <v>FITLOG TRANSPORTES E LOGISTICA LTDA / (048) 996277956Obs.Interna: Entrega futura dia 10/10/2025 .  / E-mail para nota fiscal: , E-mail de cobrança: , Telefone para contato</v>
      </c>
      <c r="Q7" s="342"/>
      <c r="R7" s="342"/>
      <c r="S7" s="342"/>
      <c r="T7" s="343"/>
      <c r="U7" s="342"/>
      <c r="V7" s="342"/>
      <c r="W7" s="344"/>
      <c r="X7" s="344"/>
      <c r="Y7" s="345"/>
      <c r="Z7" s="345"/>
      <c r="AA7" s="345"/>
      <c r="AB7" s="345"/>
      <c r="AC7" s="345"/>
    </row>
    <row r="8" ht="28.5" customHeight="1">
      <c r="A8" s="331" t="str">
        <f>IFERROR(__xludf.DUMMYFUNCTION("""COMPUTED_VALUE"""),"18422-G")</f>
        <v>18422-G</v>
      </c>
      <c r="B8" s="33" t="str">
        <f>IFERROR(__xludf.DUMMYFUNCTION("""COMPUTED_VALUE"""),"POOL ARARAS")</f>
        <v>POOL ARARAS</v>
      </c>
      <c r="C8" s="332">
        <f>IFERROR(__xludf.DUMMYFUNCTION("""COMPUTED_VALUE"""),1.0)</f>
        <v>1</v>
      </c>
      <c r="D8" s="331"/>
      <c r="E8" s="331" t="str">
        <f>IFERROR(__xludf.DUMMYFUNCTION("""COMPUTED_VALUE"""),"FTI25D40PT")</f>
        <v>FTI25D40PT</v>
      </c>
      <c r="F8" s="331" t="str">
        <f>IFERROR(__xludf.DUMMYFUNCTION("""COMPUTED_VALUE"""),"WI-FI")</f>
        <v>WI-FI</v>
      </c>
      <c r="G8" s="331" t="str">
        <f>IFERROR(__xludf.DUMMYFUNCTION("""COMPUTED_VALUE"""),"NAO")</f>
        <v>NAO</v>
      </c>
      <c r="H8" s="333" t="str">
        <f>IFERROR(__xludf.DUMMYFUNCTION("""COMPUTED_VALUE"""),"NAO")</f>
        <v>NAO</v>
      </c>
      <c r="I8" s="334" t="str">
        <f>IFERROR(__xludf.DUMMYFUNCTION("""COMPUTED_VALUE"""),"AGUARDAR CONTAINER")</f>
        <v>AGUARDAR CONTAINER</v>
      </c>
      <c r="J8" s="335" t="str">
        <f>IFERROR(__xludf.DUMMYFUNCTION("""COMPUTED_VALUE"""),"FITLOG")</f>
        <v>FITLOG</v>
      </c>
      <c r="K8" s="336" t="str">
        <f>IFERROR(__xludf.DUMMYFUNCTION("""COMPUTED_VALUE"""),"TRANSRUAS ")</f>
        <v>TRANSRUAS </v>
      </c>
      <c r="L8" s="337"/>
      <c r="M8" s="338"/>
      <c r="N8" s="339"/>
      <c r="O8" s="340"/>
      <c r="P8" s="341" t="str">
        <f>IFERROR(__xludf.DUMMYFUNCTION("""COMPUTED_VALUE"""),"FITLOG TRANSPORTES E LOGISTICA LTDA / (048) 996277956Obs.Interna: Entrega futura dia 10/10/2025 .  / E-mail para nota fiscal: , E-mail de cobrança: , Telefone para contato")</f>
        <v>FITLOG TRANSPORTES E LOGISTICA LTDA / (048) 996277956Obs.Interna: Entrega futura dia 10/10/2025 .  / E-mail para nota fiscal: , E-mail de cobrança: , Telefone para contato</v>
      </c>
      <c r="Q8" s="342"/>
      <c r="R8" s="342"/>
      <c r="S8" s="342"/>
      <c r="T8" s="343"/>
      <c r="U8" s="342"/>
      <c r="V8" s="342"/>
      <c r="W8" s="344"/>
      <c r="X8" s="344"/>
      <c r="Y8" s="345"/>
      <c r="Z8" s="345"/>
      <c r="AA8" s="345"/>
      <c r="AB8" s="345"/>
      <c r="AC8" s="345"/>
    </row>
    <row r="9" ht="28.5" customHeight="1">
      <c r="A9" s="331" t="str">
        <f>IFERROR(__xludf.DUMMYFUNCTION("""COMPUTED_VALUE"""),"18432-F")</f>
        <v>18432-F</v>
      </c>
      <c r="B9" s="33" t="str">
        <f>IFERROR(__xludf.DUMMYFUNCTION("""COMPUTED_VALUE"""),"W E COMERCIO DE PISCINAS LTDA")</f>
        <v>W E COMERCIO DE PISCINAS LTDA</v>
      </c>
      <c r="C9" s="332">
        <f>IFERROR(__xludf.DUMMYFUNCTION("""COMPUTED_VALUE"""),1.0)</f>
        <v>1</v>
      </c>
      <c r="D9" s="331"/>
      <c r="E9" s="331" t="str">
        <f>IFERROR(__xludf.DUMMYFUNCTION("""COMPUTED_VALUE"""),"FTI25D40PT")</f>
        <v>FTI25D40PT</v>
      </c>
      <c r="F9" s="331" t="str">
        <f>IFERROR(__xludf.DUMMYFUNCTION("""COMPUTED_VALUE"""),"WI-FI")</f>
        <v>WI-FI</v>
      </c>
      <c r="G9" s="331" t="str">
        <f>IFERROR(__xludf.DUMMYFUNCTION("""COMPUTED_VALUE"""),"NAO")</f>
        <v>NAO</v>
      </c>
      <c r="H9" s="333" t="str">
        <f>IFERROR(__xludf.DUMMYFUNCTION("""COMPUTED_VALUE"""),"NAO")</f>
        <v>NAO</v>
      </c>
      <c r="I9" s="334" t="str">
        <f>IFERROR(__xludf.DUMMYFUNCTION("""COMPUTED_VALUE"""),"AGUARDAR CONTAINER")</f>
        <v>AGUARDAR CONTAINER</v>
      </c>
      <c r="J9" s="335" t="str">
        <f>IFERROR(__xludf.DUMMYFUNCTION("""COMPUTED_VALUE"""),"TRANSMIG TRANSPORTES RODOVIARIOS LTDA")</f>
        <v>TRANSMIG TRANSPORTES RODOVIARIOS LTDA</v>
      </c>
      <c r="K9" s="336" t="str">
        <f>IFERROR(__xludf.DUMMYFUNCTION("""COMPUTED_VALUE"""),"SEM REDESPACHO")</f>
        <v>SEM REDESPACHO</v>
      </c>
      <c r="L9" s="337">
        <f>IFERROR(__xludf.DUMMYFUNCTION("""COMPUTED_VALUE"""),-14235.0)</f>
        <v>-14235</v>
      </c>
      <c r="M9" s="338"/>
      <c r="N9" s="339"/>
      <c r="O9" s="340"/>
      <c r="P9" s="341" t="str">
        <f>IFERROR(__xludf.DUMMYFUNCTION("""COMPUTED_VALUE"""),"CLIENTE RETIRA / (0) Obs.Interna: VALOR DA MAQUINA R$ 4.845,00
CLIENTE RETIRA NA FABRICA PREVISAO 10/10 QUANDO CHEGAR AS MAQUINAS
INFORMAR TRANSPORTADORA - TRANSMIG TRANSPORTES RODOVIARIOS LTDA
CNPJ: 11.693.111/0001-47 / E-mail para nota fiscal: , E-ma"&amp;"il de cobrança: , Telefone para contato")</f>
        <v>CLIENTE RETIRA / (0) Obs.Interna: VALOR DA MAQUINA R$ 4.845,00
CLIENTE RETIRA NA FABRICA PREVISAO 10/10 QUANDO CHEGAR AS MAQUINAS
INFORMAR TRANSPORTADORA - TRANSMIG TRANSPORTES RODOVIARIOS LTDA
CNPJ: 11.693.111/0001-47 / E-mail para nota fiscal: , E-mail de cobrança: , Telefone para contato</v>
      </c>
      <c r="Q9" s="342"/>
      <c r="R9" s="342"/>
      <c r="S9" s="342"/>
      <c r="T9" s="343"/>
      <c r="U9" s="342"/>
      <c r="V9" s="342"/>
      <c r="W9" s="344"/>
      <c r="X9" s="344"/>
      <c r="Y9" s="345"/>
      <c r="Z9" s="345"/>
      <c r="AA9" s="345"/>
      <c r="AB9" s="345"/>
      <c r="AC9" s="345"/>
    </row>
    <row r="10" ht="28.5" customHeight="1">
      <c r="A10" s="331" t="str">
        <f>IFERROR(__xludf.DUMMYFUNCTION("""COMPUTED_VALUE"""),"18432-G")</f>
        <v>18432-G</v>
      </c>
      <c r="B10" s="33" t="str">
        <f>IFERROR(__xludf.DUMMYFUNCTION("""COMPUTED_VALUE"""),"W E COMERCIO DE PISCINAS LTDA")</f>
        <v>W E COMERCIO DE PISCINAS LTDA</v>
      </c>
      <c r="C10" s="332">
        <f>IFERROR(__xludf.DUMMYFUNCTION("""COMPUTED_VALUE"""),1.0)</f>
        <v>1</v>
      </c>
      <c r="D10" s="331"/>
      <c r="E10" s="331" t="str">
        <f>IFERROR(__xludf.DUMMYFUNCTION("""COMPUTED_VALUE"""),"FTI25D40PT")</f>
        <v>FTI25D40PT</v>
      </c>
      <c r="F10" s="331" t="str">
        <f>IFERROR(__xludf.DUMMYFUNCTION("""COMPUTED_VALUE"""),"WI-FI")</f>
        <v>WI-FI</v>
      </c>
      <c r="G10" s="331" t="str">
        <f>IFERROR(__xludf.DUMMYFUNCTION("""COMPUTED_VALUE"""),"NAO")</f>
        <v>NAO</v>
      </c>
      <c r="H10" s="333" t="str">
        <f>IFERROR(__xludf.DUMMYFUNCTION("""COMPUTED_VALUE"""),"NAO")</f>
        <v>NAO</v>
      </c>
      <c r="I10" s="334" t="str">
        <f>IFERROR(__xludf.DUMMYFUNCTION("""COMPUTED_VALUE"""),"AGUARDAR CONTAINER")</f>
        <v>AGUARDAR CONTAINER</v>
      </c>
      <c r="J10" s="335" t="str">
        <f>IFERROR(__xludf.DUMMYFUNCTION("""COMPUTED_VALUE"""),"TRANSMIG TRANSPORTES RODOVIARIOS LTDA")</f>
        <v>TRANSMIG TRANSPORTES RODOVIARIOS LTDA</v>
      </c>
      <c r="K10" s="336" t="str">
        <f>IFERROR(__xludf.DUMMYFUNCTION("""COMPUTED_VALUE"""),"SEM REDESPACHO")</f>
        <v>SEM REDESPACHO</v>
      </c>
      <c r="L10" s="337">
        <f>IFERROR(__xludf.DUMMYFUNCTION("""COMPUTED_VALUE"""),-14235.0)</f>
        <v>-14235</v>
      </c>
      <c r="M10" s="338"/>
      <c r="N10" s="339"/>
      <c r="O10" s="340"/>
      <c r="P10" s="341" t="str">
        <f>IFERROR(__xludf.DUMMYFUNCTION("""COMPUTED_VALUE"""),"CLIENTE RETIRA / (0) Obs.Interna: VALOR DA MAQUINA R$ 4.845,00
CLIENTE RETIRA NA FABRICA PREVISAO 10/10 QUANDO CHEGAR AS MAQUINAS
INFORMAR TRANSPORTADORA - TRANSMIG TRANSPORTES RODOVIARIOS LTDA
CNPJ: 11.693.111/0001-47 / E-mail para nota fiscal: , E-ma"&amp;"il de cobrança: , Telefone para contato")</f>
        <v>CLIENTE RETIRA / (0) Obs.Interna: VALOR DA MAQUINA R$ 4.845,00
CLIENTE RETIRA NA FABRICA PREVISAO 10/10 QUANDO CHEGAR AS MAQUINAS
INFORMAR TRANSPORTADORA - TRANSMIG TRANSPORTES RODOVIARIOS LTDA
CNPJ: 11.693.111/0001-47 / E-mail para nota fiscal: , E-mail de cobrança: , Telefone para contato</v>
      </c>
      <c r="Q10" s="342"/>
      <c r="R10" s="342"/>
      <c r="S10" s="342"/>
      <c r="T10" s="343"/>
      <c r="U10" s="342"/>
      <c r="V10" s="342"/>
      <c r="W10" s="344"/>
      <c r="X10" s="344"/>
      <c r="Y10" s="345"/>
      <c r="Z10" s="345"/>
      <c r="AA10" s="345"/>
      <c r="AB10" s="345"/>
      <c r="AC10" s="345"/>
    </row>
    <row r="11" ht="28.5" customHeight="1">
      <c r="A11" s="331" t="str">
        <f>IFERROR(__xludf.DUMMYFUNCTION("""COMPUTED_VALUE"""),"18432-H")</f>
        <v>18432-H</v>
      </c>
      <c r="B11" s="33" t="str">
        <f>IFERROR(__xludf.DUMMYFUNCTION("""COMPUTED_VALUE"""),"W E COMERCIO DE PISCINAS LTDA")</f>
        <v>W E COMERCIO DE PISCINAS LTDA</v>
      </c>
      <c r="C11" s="332">
        <f>IFERROR(__xludf.DUMMYFUNCTION("""COMPUTED_VALUE"""),1.0)</f>
        <v>1</v>
      </c>
      <c r="D11" s="331"/>
      <c r="E11" s="331" t="str">
        <f>IFERROR(__xludf.DUMMYFUNCTION("""COMPUTED_VALUE"""),"FTI25D40PT")</f>
        <v>FTI25D40PT</v>
      </c>
      <c r="F11" s="331" t="str">
        <f>IFERROR(__xludf.DUMMYFUNCTION("""COMPUTED_VALUE"""),"WI-FI")</f>
        <v>WI-FI</v>
      </c>
      <c r="G11" s="331" t="str">
        <f>IFERROR(__xludf.DUMMYFUNCTION("""COMPUTED_VALUE"""),"NAO")</f>
        <v>NAO</v>
      </c>
      <c r="H11" s="333" t="str">
        <f>IFERROR(__xludf.DUMMYFUNCTION("""COMPUTED_VALUE"""),"NAO")</f>
        <v>NAO</v>
      </c>
      <c r="I11" s="334" t="str">
        <f>IFERROR(__xludf.DUMMYFUNCTION("""COMPUTED_VALUE"""),"AGUARDAR CONTAINER")</f>
        <v>AGUARDAR CONTAINER</v>
      </c>
      <c r="J11" s="335" t="str">
        <f>IFERROR(__xludf.DUMMYFUNCTION("""COMPUTED_VALUE"""),"TRANSMIG TRANSPORTES RODOVIARIOS LTDA")</f>
        <v>TRANSMIG TRANSPORTES RODOVIARIOS LTDA</v>
      </c>
      <c r="K11" s="336" t="str">
        <f>IFERROR(__xludf.DUMMYFUNCTION("""COMPUTED_VALUE"""),"SEM REDESPACHO")</f>
        <v>SEM REDESPACHO</v>
      </c>
      <c r="L11" s="337">
        <f>IFERROR(__xludf.DUMMYFUNCTION("""COMPUTED_VALUE"""),-14235.0)</f>
        <v>-14235</v>
      </c>
      <c r="M11" s="338"/>
      <c r="N11" s="339"/>
      <c r="O11" s="340"/>
      <c r="P11" s="341" t="str">
        <f>IFERROR(__xludf.DUMMYFUNCTION("""COMPUTED_VALUE"""),"CLIENTE RETIRA / (0) Obs.Interna: VALOR DA MAQUINA R$ 4.845,00
CLIENTE RETIRA NA FABRICA PREVISAO 10/10 QUANDO CHEGAR AS MAQUINAS
INFORMAR TRANSPORTADORA - TRANSMIG TRANSPORTES RODOVIARIOS LTDA
CNPJ: 11.693.111/0001-47 / E-mail para nota fiscal: , E-ma"&amp;"il de cobrança: , Telefone para contato")</f>
        <v>CLIENTE RETIRA / (0) Obs.Interna: VALOR DA MAQUINA R$ 4.845,00
CLIENTE RETIRA NA FABRICA PREVISAO 10/10 QUANDO CHEGAR AS MAQUINAS
INFORMAR TRANSPORTADORA - TRANSMIG TRANSPORTES RODOVIARIOS LTDA
CNPJ: 11.693.111/0001-47 / E-mail para nota fiscal: , E-mail de cobrança: , Telefone para contato</v>
      </c>
      <c r="Q11" s="342"/>
      <c r="R11" s="342"/>
      <c r="S11" s="342"/>
      <c r="T11" s="343"/>
      <c r="U11" s="342"/>
      <c r="V11" s="342"/>
      <c r="W11" s="344"/>
      <c r="X11" s="344"/>
      <c r="Y11" s="345"/>
      <c r="Z11" s="345"/>
      <c r="AA11" s="345"/>
      <c r="AB11" s="345"/>
      <c r="AC11" s="345"/>
    </row>
    <row r="12" ht="28.5" customHeight="1">
      <c r="A12" s="331" t="str">
        <f>IFERROR(__xludf.DUMMYFUNCTION("""COMPUTED_VALUE"""),"18432-I")</f>
        <v>18432-I</v>
      </c>
      <c r="B12" s="33" t="str">
        <f>IFERROR(__xludf.DUMMYFUNCTION("""COMPUTED_VALUE"""),"W E COMERCIO DE PISCINAS LTDA")</f>
        <v>W E COMERCIO DE PISCINAS LTDA</v>
      </c>
      <c r="C12" s="332">
        <f>IFERROR(__xludf.DUMMYFUNCTION("""COMPUTED_VALUE"""),1.0)</f>
        <v>1</v>
      </c>
      <c r="D12" s="331"/>
      <c r="E12" s="331" t="str">
        <f>IFERROR(__xludf.DUMMYFUNCTION("""COMPUTED_VALUE"""),"FTI25D40PT")</f>
        <v>FTI25D40PT</v>
      </c>
      <c r="F12" s="331" t="str">
        <f>IFERROR(__xludf.DUMMYFUNCTION("""COMPUTED_VALUE"""),"WI-FI")</f>
        <v>WI-FI</v>
      </c>
      <c r="G12" s="331" t="str">
        <f>IFERROR(__xludf.DUMMYFUNCTION("""COMPUTED_VALUE"""),"NAO")</f>
        <v>NAO</v>
      </c>
      <c r="H12" s="333" t="str">
        <f>IFERROR(__xludf.DUMMYFUNCTION("""COMPUTED_VALUE"""),"NAO")</f>
        <v>NAO</v>
      </c>
      <c r="I12" s="334" t="str">
        <f>IFERROR(__xludf.DUMMYFUNCTION("""COMPUTED_VALUE"""),"AGUARDAR CONTAINER")</f>
        <v>AGUARDAR CONTAINER</v>
      </c>
      <c r="J12" s="335" t="str">
        <f>IFERROR(__xludf.DUMMYFUNCTION("""COMPUTED_VALUE"""),"TRANSMIG TRANSPORTES RODOVIARIOS LTDA")</f>
        <v>TRANSMIG TRANSPORTES RODOVIARIOS LTDA</v>
      </c>
      <c r="K12" s="336" t="str">
        <f>IFERROR(__xludf.DUMMYFUNCTION("""COMPUTED_VALUE"""),"SEM REDESPACHO")</f>
        <v>SEM REDESPACHO</v>
      </c>
      <c r="L12" s="337">
        <f>IFERROR(__xludf.DUMMYFUNCTION("""COMPUTED_VALUE"""),-14235.0)</f>
        <v>-14235</v>
      </c>
      <c r="M12" s="338"/>
      <c r="N12" s="339"/>
      <c r="O12" s="340"/>
      <c r="P12" s="341" t="str">
        <f>IFERROR(__xludf.DUMMYFUNCTION("""COMPUTED_VALUE"""),"CLIENTE RETIRA / (0) Obs.Interna: VALOR DA MAQUINA R$ 4.845,00
CLIENTE RETIRA NA FABRICA PREVISAO 10/10 QUANDO CHEGAR AS MAQUINAS
INFORMAR TRANSPORTADORA - TRANSMIG TRANSPORTES RODOVIARIOS LTDA
CNPJ: 11.693.111/0001-47 / E-mail para nota fiscal: , E-ma"&amp;"il de cobrança: , Telefone para contato")</f>
        <v>CLIENTE RETIRA / (0) Obs.Interna: VALOR DA MAQUINA R$ 4.845,00
CLIENTE RETIRA NA FABRICA PREVISAO 10/10 QUANDO CHEGAR AS MAQUINAS
INFORMAR TRANSPORTADORA - TRANSMIG TRANSPORTES RODOVIARIOS LTDA
CNPJ: 11.693.111/0001-47 / E-mail para nota fiscal: , E-mail de cobrança: , Telefone para contato</v>
      </c>
      <c r="Q12" s="342"/>
      <c r="R12" s="342"/>
      <c r="S12" s="342"/>
      <c r="T12" s="343"/>
      <c r="U12" s="342"/>
      <c r="V12" s="342"/>
      <c r="W12" s="344"/>
      <c r="X12" s="344"/>
      <c r="Y12" s="345"/>
      <c r="Z12" s="345"/>
      <c r="AA12" s="345"/>
      <c r="AB12" s="345"/>
      <c r="AC12" s="345"/>
    </row>
    <row r="13" ht="28.5" customHeight="1">
      <c r="A13" s="331" t="str">
        <f>IFERROR(__xludf.DUMMYFUNCTION("""COMPUTED_VALUE"""),"18432-J")</f>
        <v>18432-J</v>
      </c>
      <c r="B13" s="33" t="str">
        <f>IFERROR(__xludf.DUMMYFUNCTION("""COMPUTED_VALUE"""),"W E COMERCIO DE PISCINAS LTDA")</f>
        <v>W E COMERCIO DE PISCINAS LTDA</v>
      </c>
      <c r="C13" s="332">
        <f>IFERROR(__xludf.DUMMYFUNCTION("""COMPUTED_VALUE"""),1.0)</f>
        <v>1</v>
      </c>
      <c r="D13" s="331"/>
      <c r="E13" s="331" t="str">
        <f>IFERROR(__xludf.DUMMYFUNCTION("""COMPUTED_VALUE"""),"FTI25D40PT")</f>
        <v>FTI25D40PT</v>
      </c>
      <c r="F13" s="331" t="str">
        <f>IFERROR(__xludf.DUMMYFUNCTION("""COMPUTED_VALUE"""),"WI-FI")</f>
        <v>WI-FI</v>
      </c>
      <c r="G13" s="331" t="str">
        <f>IFERROR(__xludf.DUMMYFUNCTION("""COMPUTED_VALUE"""),"NAO")</f>
        <v>NAO</v>
      </c>
      <c r="H13" s="333" t="str">
        <f>IFERROR(__xludf.DUMMYFUNCTION("""COMPUTED_VALUE"""),"NAO")</f>
        <v>NAO</v>
      </c>
      <c r="I13" s="334" t="str">
        <f>IFERROR(__xludf.DUMMYFUNCTION("""COMPUTED_VALUE"""),"AGUARDAR CONTAINER")</f>
        <v>AGUARDAR CONTAINER</v>
      </c>
      <c r="J13" s="335" t="str">
        <f>IFERROR(__xludf.DUMMYFUNCTION("""COMPUTED_VALUE"""),"TRANSMIG TRANSPORTES RODOVIARIOS LTDA")</f>
        <v>TRANSMIG TRANSPORTES RODOVIARIOS LTDA</v>
      </c>
      <c r="K13" s="336" t="str">
        <f>IFERROR(__xludf.DUMMYFUNCTION("""COMPUTED_VALUE"""),"SEM REDESPACHO")</f>
        <v>SEM REDESPACHO</v>
      </c>
      <c r="L13" s="337">
        <f>IFERROR(__xludf.DUMMYFUNCTION("""COMPUTED_VALUE"""),-14235.0)</f>
        <v>-14235</v>
      </c>
      <c r="M13" s="338"/>
      <c r="N13" s="339"/>
      <c r="O13" s="340"/>
      <c r="P13" s="341" t="str">
        <f>IFERROR(__xludf.DUMMYFUNCTION("""COMPUTED_VALUE"""),"CLIENTE RETIRA / (0) Obs.Interna: VALOR DA MAQUINA R$ 4.845,00
CLIENTE RETIRA NA FABRICA PREVISAO 10/10 QUANDO CHEGAR AS MAQUINAS
INFORMAR TRANSPORTADORA - TRANSMIG TRANSPORTES RODOVIARIOS LTDA
CNPJ: 11.693.111/0001-47 / E-mail para nota fiscal: , E-ma"&amp;"il de cobrança: , Telefone para contato")</f>
        <v>CLIENTE RETIRA / (0) Obs.Interna: VALOR DA MAQUINA R$ 4.845,00
CLIENTE RETIRA NA FABRICA PREVISAO 10/10 QUANDO CHEGAR AS MAQUINAS
INFORMAR TRANSPORTADORA - TRANSMIG TRANSPORTES RODOVIARIOS LTDA
CNPJ: 11.693.111/0001-47 / E-mail para nota fiscal: , E-mail de cobrança: , Telefone para contato</v>
      </c>
      <c r="Q13" s="342"/>
      <c r="R13" s="342"/>
      <c r="S13" s="342"/>
      <c r="T13" s="343"/>
      <c r="U13" s="342"/>
      <c r="V13" s="342"/>
      <c r="W13" s="344"/>
      <c r="X13" s="344"/>
      <c r="Y13" s="345"/>
      <c r="Z13" s="345"/>
      <c r="AA13" s="345"/>
      <c r="AB13" s="345"/>
      <c r="AC13" s="345"/>
    </row>
    <row r="14" ht="28.5" customHeight="1">
      <c r="A14" s="331" t="str">
        <f>IFERROR(__xludf.DUMMYFUNCTION("""COMPUTED_VALUE"""),"18518")</f>
        <v>18518</v>
      </c>
      <c r="B14" s="33" t="str">
        <f>IFERROR(__xludf.DUMMYFUNCTION("""COMPUTED_VALUE"""),"KYP COMERCIO DE EQUIPAMENTOS PARA PISCINAS LTDA")</f>
        <v>KYP COMERCIO DE EQUIPAMENTOS PARA PISCINAS LTDA</v>
      </c>
      <c r="C14" s="332">
        <f>IFERROR(__xludf.DUMMYFUNCTION("""COMPUTED_VALUE"""),1.0)</f>
        <v>1</v>
      </c>
      <c r="D14" s="331"/>
      <c r="E14" s="331" t="str">
        <f>IFERROR(__xludf.DUMMYFUNCTION("""COMPUTED_VALUE"""),"FTI25D40PT")</f>
        <v>FTI25D40PT</v>
      </c>
      <c r="F14" s="331" t="str">
        <f>IFERROR(__xludf.DUMMYFUNCTION("""COMPUTED_VALUE"""),"WI-FI")</f>
        <v>WI-FI</v>
      </c>
      <c r="G14" s="331" t="str">
        <f>IFERROR(__xludf.DUMMYFUNCTION("""COMPUTED_VALUE"""),"NAO")</f>
        <v>NAO</v>
      </c>
      <c r="H14" s="333" t="str">
        <f>IFERROR(__xludf.DUMMYFUNCTION("""COMPUTED_VALUE"""),"NAO")</f>
        <v>NAO</v>
      </c>
      <c r="I14" s="334" t="str">
        <f>IFERROR(__xludf.DUMMYFUNCTION("""COMPUTED_VALUE"""),"AGUARDAR CONTAINER")</f>
        <v>AGUARDAR CONTAINER</v>
      </c>
      <c r="J14" s="335" t="str">
        <f>IFERROR(__xludf.DUMMYFUNCTION("""COMPUTED_VALUE"""),"FITLOG")</f>
        <v>FITLOG</v>
      </c>
      <c r="K14" s="336" t="str">
        <f>IFERROR(__xludf.DUMMYFUNCTION("""COMPUTED_VALUE"""),"SEM REDESPACHO")</f>
        <v>SEM REDESPACHO</v>
      </c>
      <c r="L14" s="337"/>
      <c r="M14" s="338"/>
      <c r="N14" s="339"/>
      <c r="O14" s="340"/>
      <c r="P14" s="341" t="str">
        <f>IFERROR(__xludf.DUMMYFUNCTION("""COMPUTED_VALUE"""),"FITLOG TRANSPORTES E LOGISTICA LTDA / (048) 996277956Informação Adicional: Cliente: Paulo Cesar / Obs.Interna: entrega futura em 10/10 / E-mail para nota fiscal: , E-mail de cobrança: , Telefone para contato")</f>
        <v>FITLOG TRANSPORTES E LOGISTICA LTDA / (048) 996277956Informação Adicional: Cliente: Paulo Cesar / Obs.Interna: entrega futura em 10/10 / E-mail para nota fiscal: , E-mail de cobrança: , Telefone para contato</v>
      </c>
      <c r="Q14" s="342"/>
      <c r="R14" s="342"/>
      <c r="S14" s="342"/>
      <c r="T14" s="343"/>
      <c r="U14" s="342"/>
      <c r="V14" s="342"/>
      <c r="W14" s="344"/>
      <c r="X14" s="344"/>
      <c r="Y14" s="345"/>
      <c r="Z14" s="345"/>
      <c r="AA14" s="345"/>
      <c r="AB14" s="345"/>
      <c r="AC14" s="345"/>
    </row>
    <row r="15" ht="28.5" customHeight="1">
      <c r="A15" s="331" t="str">
        <f>IFERROR(__xludf.DUMMYFUNCTION("""COMPUTED_VALUE"""),"18661-A")</f>
        <v>18661-A</v>
      </c>
      <c r="B15" s="33" t="str">
        <f>IFERROR(__xludf.DUMMYFUNCTION("""COMPUTED_VALUE"""),"GLOBAL TECH BRASIL COMERCIO ELETRONICO LTDA")</f>
        <v>GLOBAL TECH BRASIL COMERCIO ELETRONICO LTDA</v>
      </c>
      <c r="C15" s="332">
        <f>IFERROR(__xludf.DUMMYFUNCTION("""COMPUTED_VALUE"""),1.0)</f>
        <v>1</v>
      </c>
      <c r="D15" s="331"/>
      <c r="E15" s="331" t="str">
        <f>IFERROR(__xludf.DUMMYFUNCTION("""COMPUTED_VALUE"""),"FTI25D40PT")</f>
        <v>FTI25D40PT</v>
      </c>
      <c r="F15" s="331" t="str">
        <f>IFERROR(__xludf.DUMMYFUNCTION("""COMPUTED_VALUE"""),"WI-FI")</f>
        <v>WI-FI</v>
      </c>
      <c r="G15" s="331" t="str">
        <f>IFERROR(__xludf.DUMMYFUNCTION("""COMPUTED_VALUE"""),"NAO")</f>
        <v>NAO</v>
      </c>
      <c r="H15" s="333" t="str">
        <f>IFERROR(__xludf.DUMMYFUNCTION("""COMPUTED_VALUE"""),"NAO")</f>
        <v>NAO</v>
      </c>
      <c r="I15" s="334" t="str">
        <f>IFERROR(__xludf.DUMMYFUNCTION("""COMPUTED_VALUE"""),"AGUARDAR CONTAINER")</f>
        <v>AGUARDAR CONTAINER</v>
      </c>
      <c r="J15" s="335" t="str">
        <f>IFERROR(__xludf.DUMMYFUNCTION("""COMPUTED_VALUE"""),"FITLOG")</f>
        <v>FITLOG</v>
      </c>
      <c r="K15" s="336" t="str">
        <f>IFERROR(__xludf.DUMMYFUNCTION("""COMPUTED_VALUE"""),"SEM REDESPACHO")</f>
        <v>SEM REDESPACHO</v>
      </c>
      <c r="L15" s="337"/>
      <c r="M15" s="338"/>
      <c r="N15" s="339"/>
      <c r="O15" s="340"/>
      <c r="P15" s="341" t="str">
        <f>IFERROR(__xludf.DUMMYFUNCTION("""COMPUTED_VALUE"""),"FITLOG TRANSPORTES E LOGISTICA LTDA / (048) 996277956Informação Adicional: Pedido de Compra Nº 7990 / E-mail para nota fiscal: , E-mail de cobrança: , Telefone para contato")</f>
        <v>FITLOG TRANSPORTES E LOGISTICA LTDA / (048) 996277956Informação Adicional: Pedido de Compra Nº 7990 / E-mail para nota fiscal: , E-mail de cobrança: , Telefone para contato</v>
      </c>
      <c r="Q15" s="342"/>
      <c r="R15" s="342"/>
      <c r="S15" s="342"/>
      <c r="T15" s="343"/>
      <c r="U15" s="342"/>
      <c r="V15" s="342"/>
      <c r="W15" s="344"/>
      <c r="X15" s="344"/>
      <c r="Y15" s="345"/>
      <c r="Z15" s="345"/>
      <c r="AA15" s="345"/>
      <c r="AB15" s="345"/>
      <c r="AC15" s="345"/>
    </row>
    <row r="16" ht="28.5" customHeight="1">
      <c r="A16" s="331" t="str">
        <f>IFERROR(__xludf.DUMMYFUNCTION("""COMPUTED_VALUE"""),"18661-B")</f>
        <v>18661-B</v>
      </c>
      <c r="B16" s="33" t="str">
        <f>IFERROR(__xludf.DUMMYFUNCTION("""COMPUTED_VALUE"""),"GLOBAL TECH BRASIL COMERCIO ELETRONICO LTDA")</f>
        <v>GLOBAL TECH BRASIL COMERCIO ELETRONICO LTDA</v>
      </c>
      <c r="C16" s="332">
        <f>IFERROR(__xludf.DUMMYFUNCTION("""COMPUTED_VALUE"""),1.0)</f>
        <v>1</v>
      </c>
      <c r="D16" s="331"/>
      <c r="E16" s="331" t="str">
        <f>IFERROR(__xludf.DUMMYFUNCTION("""COMPUTED_VALUE"""),"FTI25D40PT")</f>
        <v>FTI25D40PT</v>
      </c>
      <c r="F16" s="331" t="str">
        <f>IFERROR(__xludf.DUMMYFUNCTION("""COMPUTED_VALUE"""),"WI-FI")</f>
        <v>WI-FI</v>
      </c>
      <c r="G16" s="331" t="str">
        <f>IFERROR(__xludf.DUMMYFUNCTION("""COMPUTED_VALUE"""),"NAO")</f>
        <v>NAO</v>
      </c>
      <c r="H16" s="333" t="str">
        <f>IFERROR(__xludf.DUMMYFUNCTION("""COMPUTED_VALUE"""),"NAO")</f>
        <v>NAO</v>
      </c>
      <c r="I16" s="334" t="str">
        <f>IFERROR(__xludf.DUMMYFUNCTION("""COMPUTED_VALUE"""),"AGUARDAR CONTAINER")</f>
        <v>AGUARDAR CONTAINER</v>
      </c>
      <c r="J16" s="335" t="str">
        <f>IFERROR(__xludf.DUMMYFUNCTION("""COMPUTED_VALUE"""),"FITLOG")</f>
        <v>FITLOG</v>
      </c>
      <c r="K16" s="336" t="str">
        <f>IFERROR(__xludf.DUMMYFUNCTION("""COMPUTED_VALUE"""),"SEM REDESPACHO")</f>
        <v>SEM REDESPACHO</v>
      </c>
      <c r="L16" s="337"/>
      <c r="M16" s="338"/>
      <c r="N16" s="339"/>
      <c r="O16" s="340"/>
      <c r="P16" s="341" t="str">
        <f>IFERROR(__xludf.DUMMYFUNCTION("""COMPUTED_VALUE"""),"FITLOG TRANSPORTES E LOGISTICA LTDA / (048) 996277956Informação Adicional: Pedido de Compra Nº 7990 / E-mail para nota fiscal: , E-mail de cobrança: , Telefone para contato")</f>
        <v>FITLOG TRANSPORTES E LOGISTICA LTDA / (048) 996277956Informação Adicional: Pedido de Compra Nº 7990 / E-mail para nota fiscal: , E-mail de cobrança: , Telefone para contato</v>
      </c>
      <c r="Q16" s="342"/>
      <c r="R16" s="342"/>
      <c r="S16" s="342"/>
      <c r="T16" s="343"/>
      <c r="U16" s="342"/>
      <c r="V16" s="342"/>
      <c r="W16" s="344"/>
      <c r="X16" s="344"/>
      <c r="Y16" s="345"/>
      <c r="Z16" s="345"/>
      <c r="AA16" s="345"/>
      <c r="AB16" s="345"/>
      <c r="AC16" s="345"/>
    </row>
    <row r="17" ht="28.5" customHeight="1">
      <c r="A17" s="331" t="str">
        <f>IFERROR(__xludf.DUMMYFUNCTION("""COMPUTED_VALUE"""),"18665-A")</f>
        <v>18665-A</v>
      </c>
      <c r="B17" s="33" t="str">
        <f>IFERROR(__xludf.DUMMYFUNCTION("""COMPUTED_VALUE"""),"AQUAFIX EQUIPAMENTOS PARA PISCINAS")</f>
        <v>AQUAFIX EQUIPAMENTOS PARA PISCINAS</v>
      </c>
      <c r="C17" s="332">
        <f>IFERROR(__xludf.DUMMYFUNCTION("""COMPUTED_VALUE"""),1.0)</f>
        <v>1</v>
      </c>
      <c r="D17" s="331"/>
      <c r="E17" s="331" t="str">
        <f>IFERROR(__xludf.DUMMYFUNCTION("""COMPUTED_VALUE"""),"FTI25D40PT")</f>
        <v>FTI25D40PT</v>
      </c>
      <c r="F17" s="331" t="str">
        <f>IFERROR(__xludf.DUMMYFUNCTION("""COMPUTED_VALUE"""),"WI-FI")</f>
        <v>WI-FI</v>
      </c>
      <c r="G17" s="331" t="str">
        <f>IFERROR(__xludf.DUMMYFUNCTION("""COMPUTED_VALUE"""),"NAO")</f>
        <v>NAO</v>
      </c>
      <c r="H17" s="333" t="str">
        <f>IFERROR(__xludf.DUMMYFUNCTION("""COMPUTED_VALUE"""),"NAO")</f>
        <v>NAO</v>
      </c>
      <c r="I17" s="334" t="str">
        <f>IFERROR(__xludf.DUMMYFUNCTION("""COMPUTED_VALUE"""),"AGUARDAR CONTAINER")</f>
        <v>AGUARDAR CONTAINER</v>
      </c>
      <c r="J17" s="335" t="str">
        <f>IFERROR(__xludf.DUMMYFUNCTION("""COMPUTED_VALUE"""),"EXPRESSO SAO MIGUEL")</f>
        <v>EXPRESSO SAO MIGUEL</v>
      </c>
      <c r="K17" s="336" t="str">
        <f>IFERROR(__xludf.DUMMYFUNCTION("""COMPUTED_VALUE"""),"SEM REDESPACHO")</f>
        <v>SEM REDESPACHO</v>
      </c>
      <c r="L17" s="337"/>
      <c r="M17" s="338"/>
      <c r="N17" s="339"/>
      <c r="O17" s="340"/>
      <c r="P17" s="341" t="str">
        <f>IFERROR(__xludf.DUMMYFUNCTION("""COMPUTED_VALUE"""),"EXPRESSO SAO MIGUEL S/A / (049) 3361-6627Informação Adicional: VALOR DE CADA MAQUINA 4845,00 ENTRADA DE 50% + 50% 30/60/90 / E-mail para nota fiscal: , E-mail de cobrança: , Telefone para contato")</f>
        <v>EXPRESSO SAO MIGUEL S/A / (049) 3361-6627Informação Adicional: VALOR DE CADA MAQUINA 4845,00 ENTRADA DE 50% + 50% 30/60/90 / E-mail para nota fiscal: , E-mail de cobrança: , Telefone para contato</v>
      </c>
      <c r="Q17" s="342"/>
      <c r="R17" s="342"/>
      <c r="S17" s="342"/>
      <c r="T17" s="343"/>
      <c r="U17" s="342"/>
      <c r="V17" s="342"/>
      <c r="W17" s="344"/>
      <c r="X17" s="344"/>
      <c r="Y17" s="345"/>
      <c r="Z17" s="345"/>
      <c r="AA17" s="345"/>
      <c r="AB17" s="345"/>
      <c r="AC17" s="345"/>
    </row>
    <row r="18" ht="28.5" customHeight="1">
      <c r="A18" s="331" t="str">
        <f>IFERROR(__xludf.DUMMYFUNCTION("""COMPUTED_VALUE"""),"18665-B")</f>
        <v>18665-B</v>
      </c>
      <c r="B18" s="33" t="str">
        <f>IFERROR(__xludf.DUMMYFUNCTION("""COMPUTED_VALUE"""),"AQUAFIX EQUIPAMENTOS PARA PISCINAS")</f>
        <v>AQUAFIX EQUIPAMENTOS PARA PISCINAS</v>
      </c>
      <c r="C18" s="332">
        <f>IFERROR(__xludf.DUMMYFUNCTION("""COMPUTED_VALUE"""),1.0)</f>
        <v>1</v>
      </c>
      <c r="D18" s="331"/>
      <c r="E18" s="331" t="str">
        <f>IFERROR(__xludf.DUMMYFUNCTION("""COMPUTED_VALUE"""),"FTI25D40PT")</f>
        <v>FTI25D40PT</v>
      </c>
      <c r="F18" s="331" t="str">
        <f>IFERROR(__xludf.DUMMYFUNCTION("""COMPUTED_VALUE"""),"WI-FI")</f>
        <v>WI-FI</v>
      </c>
      <c r="G18" s="331" t="str">
        <f>IFERROR(__xludf.DUMMYFUNCTION("""COMPUTED_VALUE"""),"NAO")</f>
        <v>NAO</v>
      </c>
      <c r="H18" s="333" t="str">
        <f>IFERROR(__xludf.DUMMYFUNCTION("""COMPUTED_VALUE"""),"NAO")</f>
        <v>NAO</v>
      </c>
      <c r="I18" s="334" t="str">
        <f>IFERROR(__xludf.DUMMYFUNCTION("""COMPUTED_VALUE"""),"AGUARDAR CONTAINER")</f>
        <v>AGUARDAR CONTAINER</v>
      </c>
      <c r="J18" s="335" t="str">
        <f>IFERROR(__xludf.DUMMYFUNCTION("""COMPUTED_VALUE"""),"EXPRESSO SAO MIGUEL")</f>
        <v>EXPRESSO SAO MIGUEL</v>
      </c>
      <c r="K18" s="336" t="str">
        <f>IFERROR(__xludf.DUMMYFUNCTION("""COMPUTED_VALUE"""),"SEM REDESPACHO")</f>
        <v>SEM REDESPACHO</v>
      </c>
      <c r="L18" s="337"/>
      <c r="M18" s="338"/>
      <c r="N18" s="339"/>
      <c r="O18" s="340"/>
      <c r="P18" s="341" t="str">
        <f>IFERROR(__xludf.DUMMYFUNCTION("""COMPUTED_VALUE"""),"EXPRESSO SAO MIGUEL S/A / (049) 3361-6627Informação Adicional: VALOR DE CADA MAQUINA 4845,00 ENTRADA DE 50% + 50% 30/60/90 / E-mail para nota fiscal: , E-mail de cobrança: , Telefone para contato")</f>
        <v>EXPRESSO SAO MIGUEL S/A / (049) 3361-6627Informação Adicional: VALOR DE CADA MAQUINA 4845,00 ENTRADA DE 50% + 50% 30/60/90 / E-mail para nota fiscal: , E-mail de cobrança: , Telefone para contato</v>
      </c>
      <c r="Q18" s="342"/>
      <c r="R18" s="342"/>
      <c r="S18" s="342"/>
      <c r="T18" s="343"/>
      <c r="U18" s="342"/>
      <c r="V18" s="342"/>
      <c r="W18" s="344"/>
      <c r="X18" s="344"/>
      <c r="Y18" s="345"/>
      <c r="Z18" s="345"/>
      <c r="AA18" s="345"/>
      <c r="AB18" s="345"/>
      <c r="AC18" s="345"/>
    </row>
    <row r="19" ht="28.5" customHeight="1">
      <c r="A19" s="331" t="str">
        <f>IFERROR(__xludf.DUMMYFUNCTION("""COMPUTED_VALUE"""),"18699")</f>
        <v>18699</v>
      </c>
      <c r="B19" s="33" t="str">
        <f>IFERROR(__xludf.DUMMYFUNCTION("""COMPUTED_VALUE"""),"ROYAL BLUE COMERCIO DE PISCINAS")</f>
        <v>ROYAL BLUE COMERCIO DE PISCINAS</v>
      </c>
      <c r="C19" s="332">
        <f>IFERROR(__xludf.DUMMYFUNCTION("""COMPUTED_VALUE"""),1.0)</f>
        <v>1</v>
      </c>
      <c r="D19" s="331"/>
      <c r="E19" s="331" t="str">
        <f>IFERROR(__xludf.DUMMYFUNCTION("""COMPUTED_VALUE"""),"FTI25D40PT")</f>
        <v>FTI25D40PT</v>
      </c>
      <c r="F19" s="331" t="str">
        <f>IFERROR(__xludf.DUMMYFUNCTION("""COMPUTED_VALUE"""),"WI-FI")</f>
        <v>WI-FI</v>
      </c>
      <c r="G19" s="331" t="str">
        <f>IFERROR(__xludf.DUMMYFUNCTION("""COMPUTED_VALUE"""),"NAO")</f>
        <v>NAO</v>
      </c>
      <c r="H19" s="333" t="str">
        <f>IFERROR(__xludf.DUMMYFUNCTION("""COMPUTED_VALUE"""),"NAO")</f>
        <v>NAO</v>
      </c>
      <c r="I19" s="334" t="str">
        <f>IFERROR(__xludf.DUMMYFUNCTION("""COMPUTED_VALUE"""),"AGUARDAR CONTAINER")</f>
        <v>AGUARDAR CONTAINER</v>
      </c>
      <c r="J19" s="335" t="str">
        <f>IFERROR(__xludf.DUMMYFUNCTION("""COMPUTED_VALUE"""),"EXPRESSO SAO MIGUEL")</f>
        <v>EXPRESSO SAO MIGUEL</v>
      </c>
      <c r="K19" s="336" t="str">
        <f>IFERROR(__xludf.DUMMYFUNCTION("""COMPUTED_VALUE"""),"SEM REDESPACHO")</f>
        <v>SEM REDESPACHO</v>
      </c>
      <c r="L19" s="337"/>
      <c r="M19" s="338"/>
      <c r="N19" s="339"/>
      <c r="O19" s="340"/>
      <c r="P19" s="341" t="str">
        <f>IFERROR(__xludf.DUMMYFUNCTION("""COMPUTED_VALUE"""),"EXPRESSO SAO MIGUEL S/A / (049) 3361-6627Informação Adicional: valor da maquina R$ 4845,42 / E-mail para nota fiscal: , E-mail de cobrança: , Telefone para contato")</f>
        <v>EXPRESSO SAO MIGUEL S/A / (049) 3361-6627Informação Adicional: valor da maquina R$ 4845,42 / E-mail para nota fiscal: , E-mail de cobrança: , Telefone para contato</v>
      </c>
      <c r="Q19" s="342"/>
      <c r="R19" s="342"/>
      <c r="S19" s="342"/>
      <c r="T19" s="343"/>
      <c r="U19" s="342"/>
      <c r="V19" s="342"/>
      <c r="W19" s="344"/>
      <c r="X19" s="344"/>
      <c r="Y19" s="345"/>
      <c r="Z19" s="345"/>
      <c r="AA19" s="345"/>
      <c r="AB19" s="345"/>
      <c r="AC19" s="345"/>
    </row>
    <row r="20" ht="28.5" customHeight="1">
      <c r="A20" s="331" t="str">
        <f>IFERROR(__xludf.DUMMYFUNCTION("""COMPUTED_VALUE"""),"18774")</f>
        <v>18774</v>
      </c>
      <c r="B20" s="33" t="str">
        <f>IFERROR(__xludf.DUMMYFUNCTION("""COMPUTED_VALUE"""),"CESAR HASS")</f>
        <v>CESAR HASS</v>
      </c>
      <c r="C20" s="332">
        <f>IFERROR(__xludf.DUMMYFUNCTION("""COMPUTED_VALUE"""),1.0)</f>
        <v>1</v>
      </c>
      <c r="D20" s="331"/>
      <c r="E20" s="331" t="str">
        <f>IFERROR(__xludf.DUMMYFUNCTION("""COMPUTED_VALUE"""),"FTI25D40PT")</f>
        <v>FTI25D40PT</v>
      </c>
      <c r="F20" s="331" t="str">
        <f>IFERROR(__xludf.DUMMYFUNCTION("""COMPUTED_VALUE"""),"WI-FI")</f>
        <v>WI-FI</v>
      </c>
      <c r="G20" s="331" t="str">
        <f>IFERROR(__xludf.DUMMYFUNCTION("""COMPUTED_VALUE"""),"NAO")</f>
        <v>NAO</v>
      </c>
      <c r="H20" s="333" t="str">
        <f>IFERROR(__xludf.DUMMYFUNCTION("""COMPUTED_VALUE"""),"NAO")</f>
        <v>NAO</v>
      </c>
      <c r="I20" s="334" t="str">
        <f>IFERROR(__xludf.DUMMYFUNCTION("""COMPUTED_VALUE"""),"AGUARDAR CONTAINER")</f>
        <v>AGUARDAR CONTAINER</v>
      </c>
      <c r="J20" s="335" t="str">
        <f>IFERROR(__xludf.DUMMYFUNCTION("""COMPUTED_VALUE"""),"TRANSP BAUER EXPRESS")</f>
        <v>TRANSP BAUER EXPRESS</v>
      </c>
      <c r="K20" s="336" t="str">
        <f>IFERROR(__xludf.DUMMYFUNCTION("""COMPUTED_VALUE"""),"SEM REDESPACHO")</f>
        <v>SEM REDESPACHO</v>
      </c>
      <c r="L20" s="337"/>
      <c r="M20" s="338"/>
      <c r="N20" s="339"/>
      <c r="O20" s="340"/>
      <c r="P20" s="341" t="str">
        <f>IFERROR(__xludf.DUMMYFUNCTION("""COMPUTED_VALUE"""),"NOVEMBRO
Transportadora Bauer / (048) 9943-3665Informação Adicional: ENTREGA EM NOVEMBRO .  / E-mail para nota fiscal: , E-mail de cobrança: , Telefone para contato")</f>
        <v>NOVEMBRO
Transportadora Bauer / (048) 9943-3665Informação Adicional: ENTREGA EM NOVEMBRO .  / E-mail para nota fiscal: , E-mail de cobrança: , Telefone para contato</v>
      </c>
      <c r="Q20" s="342"/>
      <c r="R20" s="342"/>
      <c r="S20" s="342"/>
      <c r="T20" s="343"/>
      <c r="U20" s="342"/>
      <c r="V20" s="342"/>
      <c r="W20" s="344"/>
      <c r="X20" s="344"/>
      <c r="Y20" s="345"/>
      <c r="Z20" s="345"/>
      <c r="AA20" s="345"/>
      <c r="AB20" s="345"/>
      <c r="AC20" s="345"/>
    </row>
    <row r="21" ht="28.5" customHeight="1">
      <c r="A21" s="331" t="str">
        <f>IFERROR(__xludf.DUMMYFUNCTION("""COMPUTED_VALUE"""),"18808-A")</f>
        <v>18808-A</v>
      </c>
      <c r="B21" s="33" t="str">
        <f>IFERROR(__xludf.DUMMYFUNCTION("""COMPUTED_VALUE""")," ECO SOLAR E PISCINA")</f>
        <v> ECO SOLAR E PISCINA</v>
      </c>
      <c r="C21" s="332">
        <f>IFERROR(__xludf.DUMMYFUNCTION("""COMPUTED_VALUE"""),1.0)</f>
        <v>1</v>
      </c>
      <c r="D21" s="331"/>
      <c r="E21" s="331" t="str">
        <f>IFERROR(__xludf.DUMMYFUNCTION("""COMPUTED_VALUE"""),"FTI25D40PT")</f>
        <v>FTI25D40PT</v>
      </c>
      <c r="F21" s="331" t="str">
        <f>IFERROR(__xludf.DUMMYFUNCTION("""COMPUTED_VALUE"""),"WI-FI")</f>
        <v>WI-FI</v>
      </c>
      <c r="G21" s="331" t="str">
        <f>IFERROR(__xludf.DUMMYFUNCTION("""COMPUTED_VALUE"""),"NAO")</f>
        <v>NAO</v>
      </c>
      <c r="H21" s="333" t="str">
        <f>IFERROR(__xludf.DUMMYFUNCTION("""COMPUTED_VALUE"""),"NAO")</f>
        <v>NAO</v>
      </c>
      <c r="I21" s="334" t="str">
        <f>IFERROR(__xludf.DUMMYFUNCTION("""COMPUTED_VALUE"""),"AGUARDAR CONTAINER")</f>
        <v>AGUARDAR CONTAINER</v>
      </c>
      <c r="J21" s="335" t="str">
        <f>IFERROR(__xludf.DUMMYFUNCTION("""COMPUTED_VALUE"""),"FITLOG")</f>
        <v>FITLOG</v>
      </c>
      <c r="K21" s="336" t="str">
        <f>IFERROR(__xludf.DUMMYFUNCTION("""COMPUTED_VALUE"""),"INOVAR TRANSPORTES")</f>
        <v>INOVAR TRANSPORTES</v>
      </c>
      <c r="L21" s="337"/>
      <c r="M21" s="338"/>
      <c r="N21" s="339"/>
      <c r="O21" s="340"/>
      <c r="P21" s="341" t="str">
        <f>IFERROR(__xludf.DUMMYFUNCTION("""COMPUTED_VALUE"""),"FITLOG TRANSPORTES E LOGISTICA LTDA / (048) 996277956Informação Adicional: REDESPACHO: INOVAR TRANSPORTES E LOGISTICA LTDA-CNPJ: 04.989.756/0007-51 -Rua Carlópolis , 181, Parque São Luiz, Guarulhos- SP  CEP 07170-540 - (11) 2467 5631  / Obs.Interna: entre"&amp;"ga para inicio de novembro  / E-mail para nota fiscal: , E-mail de cobrança: , Telefone para contato")</f>
        <v>FITLOG TRANSPORTES E LOGISTICA LTDA / (048) 996277956Informação Adicional: REDESPACHO: INOVAR TRANSPORTES E LOGISTICA LTDA-CNPJ: 04.989.756/0007-51 -Rua Carlópolis , 181, Parque São Luiz, Guarulhos- SP  CEP 07170-540 - (11) 2467 5631  / Obs.Interna: entrega para inicio de novembro  / E-mail para nota fiscal: , E-mail de cobrança: , Telefone para contato</v>
      </c>
      <c r="Q21" s="342"/>
      <c r="R21" s="342"/>
      <c r="S21" s="342"/>
      <c r="T21" s="343"/>
      <c r="U21" s="342"/>
      <c r="V21" s="342"/>
      <c r="W21" s="344"/>
      <c r="X21" s="344"/>
      <c r="Y21" s="345"/>
      <c r="Z21" s="345"/>
      <c r="AA21" s="345"/>
      <c r="AB21" s="345"/>
      <c r="AC21" s="345"/>
    </row>
    <row r="22" ht="28.5" customHeight="1">
      <c r="A22" s="331" t="str">
        <f>IFERROR(__xludf.DUMMYFUNCTION("""COMPUTED_VALUE"""),"18808-B")</f>
        <v>18808-B</v>
      </c>
      <c r="B22" s="33" t="str">
        <f>IFERROR(__xludf.DUMMYFUNCTION("""COMPUTED_VALUE""")," ECO SOLAR E PISCINA")</f>
        <v> ECO SOLAR E PISCINA</v>
      </c>
      <c r="C22" s="332">
        <f>IFERROR(__xludf.DUMMYFUNCTION("""COMPUTED_VALUE"""),1.0)</f>
        <v>1</v>
      </c>
      <c r="D22" s="331"/>
      <c r="E22" s="331" t="str">
        <f>IFERROR(__xludf.DUMMYFUNCTION("""COMPUTED_VALUE"""),"FTI25D40PT")</f>
        <v>FTI25D40PT</v>
      </c>
      <c r="F22" s="331" t="str">
        <f>IFERROR(__xludf.DUMMYFUNCTION("""COMPUTED_VALUE"""),"WI-FI")</f>
        <v>WI-FI</v>
      </c>
      <c r="G22" s="331" t="str">
        <f>IFERROR(__xludf.DUMMYFUNCTION("""COMPUTED_VALUE"""),"NAO")</f>
        <v>NAO</v>
      </c>
      <c r="H22" s="333" t="str">
        <f>IFERROR(__xludf.DUMMYFUNCTION("""COMPUTED_VALUE"""),"NAO")</f>
        <v>NAO</v>
      </c>
      <c r="I22" s="334" t="str">
        <f>IFERROR(__xludf.DUMMYFUNCTION("""COMPUTED_VALUE"""),"AGUARDAR CONTAINER")</f>
        <v>AGUARDAR CONTAINER</v>
      </c>
      <c r="J22" s="335" t="str">
        <f>IFERROR(__xludf.DUMMYFUNCTION("""COMPUTED_VALUE"""),"FITLOG")</f>
        <v>FITLOG</v>
      </c>
      <c r="K22" s="336" t="str">
        <f>IFERROR(__xludf.DUMMYFUNCTION("""COMPUTED_VALUE"""),"INOVAR TRANSPORTES")</f>
        <v>INOVAR TRANSPORTES</v>
      </c>
      <c r="L22" s="337"/>
      <c r="M22" s="338"/>
      <c r="N22" s="339"/>
      <c r="O22" s="340"/>
      <c r="P22" s="341" t="str">
        <f>IFERROR(__xludf.DUMMYFUNCTION("""COMPUTED_VALUE"""),"FITLOG TRANSPORTES E LOGISTICA LTDA / (048) 996277956Informação Adicional: REDESPACHO: INOVAR TRANSPORTES E LOGISTICA LTDA-CNPJ: 04.989.756/0007-51 -Rua Carlópolis , 181, Parque São Luiz, Guarulhos- SP  CEP 07170-540 - (11) 2467 5631  / Obs.Interna: entre"&amp;"ga para inicio de novembro  / E-mail para nota fiscal: , E-mail de cobrança: , Telefone para contato")</f>
        <v>FITLOG TRANSPORTES E LOGISTICA LTDA / (048) 996277956Informação Adicional: REDESPACHO: INOVAR TRANSPORTES E LOGISTICA LTDA-CNPJ: 04.989.756/0007-51 -Rua Carlópolis , 181, Parque São Luiz, Guarulhos- SP  CEP 07170-540 - (11) 2467 5631  / Obs.Interna: entrega para inicio de novembro  / E-mail para nota fiscal: , E-mail de cobrança: , Telefone para contato</v>
      </c>
      <c r="Q22" s="342"/>
      <c r="R22" s="342"/>
      <c r="S22" s="342"/>
      <c r="T22" s="343"/>
      <c r="U22" s="342"/>
      <c r="V22" s="342"/>
      <c r="W22" s="344"/>
      <c r="X22" s="344"/>
      <c r="Y22" s="345"/>
      <c r="Z22" s="345"/>
      <c r="AA22" s="345"/>
      <c r="AB22" s="345"/>
      <c r="AC22" s="345"/>
    </row>
    <row r="23" ht="28.5" customHeight="1">
      <c r="A23" s="331" t="str">
        <f>IFERROR(__xludf.DUMMYFUNCTION("""COMPUTED_VALUE"""),"18808-C")</f>
        <v>18808-C</v>
      </c>
      <c r="B23" s="33" t="str">
        <f>IFERROR(__xludf.DUMMYFUNCTION("""COMPUTED_VALUE""")," ECO SOLAR E PISCINA")</f>
        <v> ECO SOLAR E PISCINA</v>
      </c>
      <c r="C23" s="332">
        <f>IFERROR(__xludf.DUMMYFUNCTION("""COMPUTED_VALUE"""),1.0)</f>
        <v>1</v>
      </c>
      <c r="D23" s="331"/>
      <c r="E23" s="331" t="str">
        <f>IFERROR(__xludf.DUMMYFUNCTION("""COMPUTED_VALUE"""),"FTI25D40PT")</f>
        <v>FTI25D40PT</v>
      </c>
      <c r="F23" s="331" t="str">
        <f>IFERROR(__xludf.DUMMYFUNCTION("""COMPUTED_VALUE"""),"WI-FI")</f>
        <v>WI-FI</v>
      </c>
      <c r="G23" s="331" t="str">
        <f>IFERROR(__xludf.DUMMYFUNCTION("""COMPUTED_VALUE"""),"NAO")</f>
        <v>NAO</v>
      </c>
      <c r="H23" s="333" t="str">
        <f>IFERROR(__xludf.DUMMYFUNCTION("""COMPUTED_VALUE"""),"NAO")</f>
        <v>NAO</v>
      </c>
      <c r="I23" s="334" t="str">
        <f>IFERROR(__xludf.DUMMYFUNCTION("""COMPUTED_VALUE"""),"AGUARDAR CONTAINER")</f>
        <v>AGUARDAR CONTAINER</v>
      </c>
      <c r="J23" s="335" t="str">
        <f>IFERROR(__xludf.DUMMYFUNCTION("""COMPUTED_VALUE"""),"FITLOG")</f>
        <v>FITLOG</v>
      </c>
      <c r="K23" s="336" t="str">
        <f>IFERROR(__xludf.DUMMYFUNCTION("""COMPUTED_VALUE"""),"INOVAR TRANSPORTES")</f>
        <v>INOVAR TRANSPORTES</v>
      </c>
      <c r="L23" s="337"/>
      <c r="M23" s="338"/>
      <c r="N23" s="339"/>
      <c r="O23" s="340"/>
      <c r="P23" s="341" t="str">
        <f>IFERROR(__xludf.DUMMYFUNCTION("""COMPUTED_VALUE"""),"FITLOG TRANSPORTES E LOGISTICA LTDA / (048) 996277956Informação Adicional: REDESPACHO: INOVAR TRANSPORTES E LOGISTICA LTDA-CNPJ: 04.989.756/0007-51 -Rua Carlópolis , 181, Parque São Luiz, Guarulhos- SP  CEP 07170-540 - (11) 2467 5631  / Obs.Interna: entre"&amp;"ga para inicio de novembro  / E-mail para nota fiscal: , E-mail de cobrança: , Telefone para contato")</f>
        <v>FITLOG TRANSPORTES E LOGISTICA LTDA / (048) 996277956Informação Adicional: REDESPACHO: INOVAR TRANSPORTES E LOGISTICA LTDA-CNPJ: 04.989.756/0007-51 -Rua Carlópolis , 181, Parque São Luiz, Guarulhos- SP  CEP 07170-540 - (11) 2467 5631  / Obs.Interna: entrega para inicio de novembro  / E-mail para nota fiscal: , E-mail de cobrança: , Telefone para contato</v>
      </c>
      <c r="Q23" s="342"/>
      <c r="R23" s="342"/>
      <c r="S23" s="342"/>
      <c r="T23" s="343"/>
      <c r="U23" s="342"/>
      <c r="V23" s="342"/>
      <c r="W23" s="344"/>
      <c r="X23" s="344"/>
      <c r="Y23" s="345"/>
      <c r="Z23" s="345"/>
      <c r="AA23" s="345"/>
      <c r="AB23" s="345"/>
      <c r="AC23" s="345"/>
    </row>
    <row r="24" ht="28.5" customHeight="1">
      <c r="A24" s="331" t="str">
        <f>IFERROR(__xludf.DUMMYFUNCTION("""COMPUTED_VALUE"""),"18814-A")</f>
        <v>18814-A</v>
      </c>
      <c r="B24" s="33" t="str">
        <f>IFERROR(__xludf.DUMMYFUNCTION("""COMPUTED_VALUE"""),"W E COMERCIO DE PISCINAS LTDA")</f>
        <v>W E COMERCIO DE PISCINAS LTDA</v>
      </c>
      <c r="C24" s="332">
        <f>IFERROR(__xludf.DUMMYFUNCTION("""COMPUTED_VALUE"""),1.0)</f>
        <v>1</v>
      </c>
      <c r="D24" s="331"/>
      <c r="E24" s="331" t="str">
        <f>IFERROR(__xludf.DUMMYFUNCTION("""COMPUTED_VALUE"""),"FTI25D40PT")</f>
        <v>FTI25D40PT</v>
      </c>
      <c r="F24" s="331" t="str">
        <f>IFERROR(__xludf.DUMMYFUNCTION("""COMPUTED_VALUE"""),"WI-FI")</f>
        <v>WI-FI</v>
      </c>
      <c r="G24" s="331" t="str">
        <f>IFERROR(__xludf.DUMMYFUNCTION("""COMPUTED_VALUE"""),"NAO")</f>
        <v>NAO</v>
      </c>
      <c r="H24" s="333" t="str">
        <f>IFERROR(__xludf.DUMMYFUNCTION("""COMPUTED_VALUE"""),"NAO")</f>
        <v>NAO</v>
      </c>
      <c r="I24" s="334" t="str">
        <f>IFERROR(__xludf.DUMMYFUNCTION("""COMPUTED_VALUE"""),"AGUARDAR CONTAINER")</f>
        <v>AGUARDAR CONTAINER</v>
      </c>
      <c r="J24" s="335" t="str">
        <f>IFERROR(__xludf.DUMMYFUNCTION("""COMPUTED_VALUE"""),"RETIRA")</f>
        <v>RETIRA</v>
      </c>
      <c r="K24" s="336" t="str">
        <f>IFERROR(__xludf.DUMMYFUNCTION("""COMPUTED_VALUE"""),"SEM REDESPACHO")</f>
        <v>SEM REDESPACHO</v>
      </c>
      <c r="L24" s="337"/>
      <c r="M24" s="338"/>
      <c r="N24" s="339"/>
      <c r="O24" s="340"/>
      <c r="P24"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24" s="342"/>
      <c r="R24" s="342"/>
      <c r="S24" s="342"/>
      <c r="T24" s="343"/>
      <c r="U24" s="342"/>
      <c r="V24" s="342"/>
      <c r="W24" s="344"/>
      <c r="X24" s="344"/>
      <c r="Y24" s="345"/>
      <c r="Z24" s="345"/>
      <c r="AA24" s="345"/>
      <c r="AB24" s="345"/>
      <c r="AC24" s="345"/>
    </row>
    <row r="25" ht="28.5" customHeight="1">
      <c r="A25" s="331" t="str">
        <f>IFERROR(__xludf.DUMMYFUNCTION("""COMPUTED_VALUE"""),"18814-A1")</f>
        <v>18814-A1</v>
      </c>
      <c r="B25" s="33" t="str">
        <f>IFERROR(__xludf.DUMMYFUNCTION("""COMPUTED_VALUE"""),"W E COMERCIO DE PISCINAS LTDA")</f>
        <v>W E COMERCIO DE PISCINAS LTDA</v>
      </c>
      <c r="C25" s="332">
        <f>IFERROR(__xludf.DUMMYFUNCTION("""COMPUTED_VALUE"""),1.0)</f>
        <v>1</v>
      </c>
      <c r="D25" s="331"/>
      <c r="E25" s="331" t="str">
        <f>IFERROR(__xludf.DUMMYFUNCTION("""COMPUTED_VALUE"""),"FTI25D40PT")</f>
        <v>FTI25D40PT</v>
      </c>
      <c r="F25" s="331" t="str">
        <f>IFERROR(__xludf.DUMMYFUNCTION("""COMPUTED_VALUE"""),"WI-FI")</f>
        <v>WI-FI</v>
      </c>
      <c r="G25" s="331" t="str">
        <f>IFERROR(__xludf.DUMMYFUNCTION("""COMPUTED_VALUE"""),"NAO")</f>
        <v>NAO</v>
      </c>
      <c r="H25" s="333" t="str">
        <f>IFERROR(__xludf.DUMMYFUNCTION("""COMPUTED_VALUE"""),"NAO")</f>
        <v>NAO</v>
      </c>
      <c r="I25" s="334" t="str">
        <f>IFERROR(__xludf.DUMMYFUNCTION("""COMPUTED_VALUE"""),"AGUARDAR CONTAINER")</f>
        <v>AGUARDAR CONTAINER</v>
      </c>
      <c r="J25" s="335" t="str">
        <f>IFERROR(__xludf.DUMMYFUNCTION("""COMPUTED_VALUE"""),"RETIRA")</f>
        <v>RETIRA</v>
      </c>
      <c r="K25" s="336" t="str">
        <f>IFERROR(__xludf.DUMMYFUNCTION("""COMPUTED_VALUE"""),"SEM REDESPACHO")</f>
        <v>SEM REDESPACHO</v>
      </c>
      <c r="L25" s="337"/>
      <c r="M25" s="338"/>
      <c r="N25" s="339"/>
      <c r="O25" s="340"/>
      <c r="P25"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25" s="342"/>
      <c r="R25" s="342"/>
      <c r="S25" s="342"/>
      <c r="T25" s="343"/>
      <c r="U25" s="342"/>
      <c r="V25" s="342"/>
      <c r="W25" s="344"/>
      <c r="X25" s="344"/>
      <c r="Y25" s="345"/>
      <c r="Z25" s="345"/>
      <c r="AA25" s="345"/>
      <c r="AB25" s="345"/>
      <c r="AC25" s="345"/>
    </row>
    <row r="26" ht="28.5" customHeight="1">
      <c r="A26" s="331" t="str">
        <f>IFERROR(__xludf.DUMMYFUNCTION("""COMPUTED_VALUE"""),"18814-A10")</f>
        <v>18814-A10</v>
      </c>
      <c r="B26" s="33" t="str">
        <f>IFERROR(__xludf.DUMMYFUNCTION("""COMPUTED_VALUE"""),"W E COMERCIO DE PISCINAS LTDA")</f>
        <v>W E COMERCIO DE PISCINAS LTDA</v>
      </c>
      <c r="C26" s="332">
        <f>IFERROR(__xludf.DUMMYFUNCTION("""COMPUTED_VALUE"""),1.0)</f>
        <v>1</v>
      </c>
      <c r="D26" s="331"/>
      <c r="E26" s="331" t="str">
        <f>IFERROR(__xludf.DUMMYFUNCTION("""COMPUTED_VALUE"""),"FTI25D40PT")</f>
        <v>FTI25D40PT</v>
      </c>
      <c r="F26" s="331" t="str">
        <f>IFERROR(__xludf.DUMMYFUNCTION("""COMPUTED_VALUE"""),"WI-FI")</f>
        <v>WI-FI</v>
      </c>
      <c r="G26" s="331" t="str">
        <f>IFERROR(__xludf.DUMMYFUNCTION("""COMPUTED_VALUE"""),"NAO")</f>
        <v>NAO</v>
      </c>
      <c r="H26" s="333" t="str">
        <f>IFERROR(__xludf.DUMMYFUNCTION("""COMPUTED_VALUE"""),"NAO")</f>
        <v>NAO</v>
      </c>
      <c r="I26" s="334" t="str">
        <f>IFERROR(__xludf.DUMMYFUNCTION("""COMPUTED_VALUE"""),"AGUARDAR CONTAINER")</f>
        <v>AGUARDAR CONTAINER</v>
      </c>
      <c r="J26" s="335" t="str">
        <f>IFERROR(__xludf.DUMMYFUNCTION("""COMPUTED_VALUE"""),"RETIRA")</f>
        <v>RETIRA</v>
      </c>
      <c r="K26" s="336" t="str">
        <f>IFERROR(__xludf.DUMMYFUNCTION("""COMPUTED_VALUE"""),"SEM REDESPACHO")</f>
        <v>SEM REDESPACHO</v>
      </c>
      <c r="L26" s="337"/>
      <c r="M26" s="338"/>
      <c r="N26" s="339"/>
      <c r="O26" s="340"/>
      <c r="P26"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26" s="342"/>
      <c r="R26" s="342"/>
      <c r="S26" s="342"/>
      <c r="T26" s="343"/>
      <c r="U26" s="342"/>
      <c r="V26" s="342"/>
      <c r="W26" s="344"/>
      <c r="X26" s="344"/>
      <c r="Y26" s="345"/>
      <c r="Z26" s="345"/>
      <c r="AA26" s="345"/>
      <c r="AB26" s="345"/>
      <c r="AC26" s="345"/>
    </row>
    <row r="27" ht="28.5" customHeight="1">
      <c r="A27" s="331" t="str">
        <f>IFERROR(__xludf.DUMMYFUNCTION("""COMPUTED_VALUE"""),"18814-A11")</f>
        <v>18814-A11</v>
      </c>
      <c r="B27" s="33" t="str">
        <f>IFERROR(__xludf.DUMMYFUNCTION("""COMPUTED_VALUE"""),"W E COMERCIO DE PISCINAS LTDA")</f>
        <v>W E COMERCIO DE PISCINAS LTDA</v>
      </c>
      <c r="C27" s="332">
        <f>IFERROR(__xludf.DUMMYFUNCTION("""COMPUTED_VALUE"""),1.0)</f>
        <v>1</v>
      </c>
      <c r="D27" s="331"/>
      <c r="E27" s="331" t="str">
        <f>IFERROR(__xludf.DUMMYFUNCTION("""COMPUTED_VALUE"""),"FTI25D40PT")</f>
        <v>FTI25D40PT</v>
      </c>
      <c r="F27" s="331" t="str">
        <f>IFERROR(__xludf.DUMMYFUNCTION("""COMPUTED_VALUE"""),"WI-FI")</f>
        <v>WI-FI</v>
      </c>
      <c r="G27" s="331" t="str">
        <f>IFERROR(__xludf.DUMMYFUNCTION("""COMPUTED_VALUE"""),"NAO")</f>
        <v>NAO</v>
      </c>
      <c r="H27" s="333" t="str">
        <f>IFERROR(__xludf.DUMMYFUNCTION("""COMPUTED_VALUE"""),"NAO")</f>
        <v>NAO</v>
      </c>
      <c r="I27" s="334" t="str">
        <f>IFERROR(__xludf.DUMMYFUNCTION("""COMPUTED_VALUE"""),"AGUARDAR CONTAINER")</f>
        <v>AGUARDAR CONTAINER</v>
      </c>
      <c r="J27" s="335" t="str">
        <f>IFERROR(__xludf.DUMMYFUNCTION("""COMPUTED_VALUE"""),"RETIRA")</f>
        <v>RETIRA</v>
      </c>
      <c r="K27" s="336" t="str">
        <f>IFERROR(__xludf.DUMMYFUNCTION("""COMPUTED_VALUE"""),"SEM REDESPACHO")</f>
        <v>SEM REDESPACHO</v>
      </c>
      <c r="L27" s="337"/>
      <c r="M27" s="338"/>
      <c r="N27" s="339"/>
      <c r="O27" s="340"/>
      <c r="P27"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27" s="342"/>
      <c r="R27" s="342"/>
      <c r="S27" s="342"/>
      <c r="T27" s="343"/>
      <c r="U27" s="342"/>
      <c r="V27" s="342"/>
      <c r="W27" s="344"/>
      <c r="X27" s="344"/>
      <c r="Y27" s="345"/>
      <c r="Z27" s="345"/>
      <c r="AA27" s="345"/>
      <c r="AB27" s="345"/>
      <c r="AC27" s="345"/>
    </row>
    <row r="28" ht="28.5" customHeight="1">
      <c r="A28" s="331" t="str">
        <f>IFERROR(__xludf.DUMMYFUNCTION("""COMPUTED_VALUE"""),"18814-A12")</f>
        <v>18814-A12</v>
      </c>
      <c r="B28" s="33" t="str">
        <f>IFERROR(__xludf.DUMMYFUNCTION("""COMPUTED_VALUE"""),"W E COMERCIO DE PISCINAS LTDA")</f>
        <v>W E COMERCIO DE PISCINAS LTDA</v>
      </c>
      <c r="C28" s="332">
        <f>IFERROR(__xludf.DUMMYFUNCTION("""COMPUTED_VALUE"""),1.0)</f>
        <v>1</v>
      </c>
      <c r="D28" s="331"/>
      <c r="E28" s="331" t="str">
        <f>IFERROR(__xludf.DUMMYFUNCTION("""COMPUTED_VALUE"""),"FTI25D40PT")</f>
        <v>FTI25D40PT</v>
      </c>
      <c r="F28" s="331" t="str">
        <f>IFERROR(__xludf.DUMMYFUNCTION("""COMPUTED_VALUE"""),"WI-FI")</f>
        <v>WI-FI</v>
      </c>
      <c r="G28" s="331" t="str">
        <f>IFERROR(__xludf.DUMMYFUNCTION("""COMPUTED_VALUE"""),"NAO")</f>
        <v>NAO</v>
      </c>
      <c r="H28" s="333" t="str">
        <f>IFERROR(__xludf.DUMMYFUNCTION("""COMPUTED_VALUE"""),"NAO")</f>
        <v>NAO</v>
      </c>
      <c r="I28" s="334" t="str">
        <f>IFERROR(__xludf.DUMMYFUNCTION("""COMPUTED_VALUE"""),"AGUARDAR CONTAINER")</f>
        <v>AGUARDAR CONTAINER</v>
      </c>
      <c r="J28" s="335" t="str">
        <f>IFERROR(__xludf.DUMMYFUNCTION("""COMPUTED_VALUE"""),"RETIRA")</f>
        <v>RETIRA</v>
      </c>
      <c r="K28" s="336" t="str">
        <f>IFERROR(__xludf.DUMMYFUNCTION("""COMPUTED_VALUE"""),"SEM REDESPACHO")</f>
        <v>SEM REDESPACHO</v>
      </c>
      <c r="L28" s="337"/>
      <c r="M28" s="338"/>
      <c r="N28" s="339"/>
      <c r="O28" s="340"/>
      <c r="P28"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28" s="342"/>
      <c r="R28" s="342"/>
      <c r="S28" s="342"/>
      <c r="T28" s="343"/>
      <c r="U28" s="342"/>
      <c r="V28" s="342"/>
      <c r="W28" s="344"/>
      <c r="X28" s="344"/>
      <c r="Y28" s="345"/>
      <c r="Z28" s="345"/>
      <c r="AA28" s="345"/>
      <c r="AB28" s="345"/>
      <c r="AC28" s="345"/>
    </row>
    <row r="29" ht="28.5" customHeight="1">
      <c r="A29" s="331" t="str">
        <f>IFERROR(__xludf.DUMMYFUNCTION("""COMPUTED_VALUE"""),"18814-A13")</f>
        <v>18814-A13</v>
      </c>
      <c r="B29" s="33" t="str">
        <f>IFERROR(__xludf.DUMMYFUNCTION("""COMPUTED_VALUE"""),"W E COMERCIO DE PISCINAS LTDA")</f>
        <v>W E COMERCIO DE PISCINAS LTDA</v>
      </c>
      <c r="C29" s="332">
        <f>IFERROR(__xludf.DUMMYFUNCTION("""COMPUTED_VALUE"""),1.0)</f>
        <v>1</v>
      </c>
      <c r="D29" s="331"/>
      <c r="E29" s="331" t="str">
        <f>IFERROR(__xludf.DUMMYFUNCTION("""COMPUTED_VALUE"""),"FTI25D40PT")</f>
        <v>FTI25D40PT</v>
      </c>
      <c r="F29" s="331" t="str">
        <f>IFERROR(__xludf.DUMMYFUNCTION("""COMPUTED_VALUE"""),"WI-FI")</f>
        <v>WI-FI</v>
      </c>
      <c r="G29" s="331" t="str">
        <f>IFERROR(__xludf.DUMMYFUNCTION("""COMPUTED_VALUE"""),"NAO")</f>
        <v>NAO</v>
      </c>
      <c r="H29" s="333" t="str">
        <f>IFERROR(__xludf.DUMMYFUNCTION("""COMPUTED_VALUE"""),"NAO")</f>
        <v>NAO</v>
      </c>
      <c r="I29" s="334" t="str">
        <f>IFERROR(__xludf.DUMMYFUNCTION("""COMPUTED_VALUE"""),"AGUARDAR CONTAINER")</f>
        <v>AGUARDAR CONTAINER</v>
      </c>
      <c r="J29" s="335" t="str">
        <f>IFERROR(__xludf.DUMMYFUNCTION("""COMPUTED_VALUE"""),"RETIRA")</f>
        <v>RETIRA</v>
      </c>
      <c r="K29" s="336" t="str">
        <f>IFERROR(__xludf.DUMMYFUNCTION("""COMPUTED_VALUE"""),"SEM REDESPACHO")</f>
        <v>SEM REDESPACHO</v>
      </c>
      <c r="L29" s="337"/>
      <c r="M29" s="338"/>
      <c r="N29" s="339"/>
      <c r="O29" s="340"/>
      <c r="P29"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29" s="342"/>
      <c r="R29" s="342"/>
      <c r="S29" s="342"/>
      <c r="T29" s="343"/>
      <c r="U29" s="342"/>
      <c r="V29" s="342"/>
      <c r="W29" s="344"/>
      <c r="X29" s="344"/>
      <c r="Y29" s="345"/>
      <c r="Z29" s="345"/>
      <c r="AA29" s="345"/>
      <c r="AB29" s="345"/>
      <c r="AC29" s="345"/>
    </row>
    <row r="30" ht="28.5" customHeight="1">
      <c r="A30" s="331" t="str">
        <f>IFERROR(__xludf.DUMMYFUNCTION("""COMPUTED_VALUE"""),"18814-A14")</f>
        <v>18814-A14</v>
      </c>
      <c r="B30" s="33" t="str">
        <f>IFERROR(__xludf.DUMMYFUNCTION("""COMPUTED_VALUE"""),"W E COMERCIO DE PISCINAS LTDA")</f>
        <v>W E COMERCIO DE PISCINAS LTDA</v>
      </c>
      <c r="C30" s="332">
        <f>IFERROR(__xludf.DUMMYFUNCTION("""COMPUTED_VALUE"""),1.0)</f>
        <v>1</v>
      </c>
      <c r="D30" s="331"/>
      <c r="E30" s="331" t="str">
        <f>IFERROR(__xludf.DUMMYFUNCTION("""COMPUTED_VALUE"""),"FTI25D40PT")</f>
        <v>FTI25D40PT</v>
      </c>
      <c r="F30" s="331" t="str">
        <f>IFERROR(__xludf.DUMMYFUNCTION("""COMPUTED_VALUE"""),"WI-FI")</f>
        <v>WI-FI</v>
      </c>
      <c r="G30" s="331" t="str">
        <f>IFERROR(__xludf.DUMMYFUNCTION("""COMPUTED_VALUE"""),"NAO")</f>
        <v>NAO</v>
      </c>
      <c r="H30" s="333" t="str">
        <f>IFERROR(__xludf.DUMMYFUNCTION("""COMPUTED_VALUE"""),"NAO")</f>
        <v>NAO</v>
      </c>
      <c r="I30" s="334" t="str">
        <f>IFERROR(__xludf.DUMMYFUNCTION("""COMPUTED_VALUE"""),"AGUARDAR CONTAINER")</f>
        <v>AGUARDAR CONTAINER</v>
      </c>
      <c r="J30" s="335" t="str">
        <f>IFERROR(__xludf.DUMMYFUNCTION("""COMPUTED_VALUE"""),"RETIRA")</f>
        <v>RETIRA</v>
      </c>
      <c r="K30" s="336" t="str">
        <f>IFERROR(__xludf.DUMMYFUNCTION("""COMPUTED_VALUE"""),"SEM REDESPACHO")</f>
        <v>SEM REDESPACHO</v>
      </c>
      <c r="L30" s="337"/>
      <c r="M30" s="338"/>
      <c r="N30" s="339"/>
      <c r="O30" s="340"/>
      <c r="P30"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0" s="342"/>
      <c r="R30" s="342"/>
      <c r="S30" s="342"/>
      <c r="T30" s="343"/>
      <c r="U30" s="342"/>
      <c r="V30" s="342"/>
      <c r="W30" s="344"/>
      <c r="X30" s="344"/>
      <c r="Y30" s="345"/>
      <c r="Z30" s="345"/>
      <c r="AA30" s="345"/>
      <c r="AB30" s="345"/>
      <c r="AC30" s="345"/>
    </row>
    <row r="31" ht="28.5" customHeight="1">
      <c r="A31" s="331" t="str">
        <f>IFERROR(__xludf.DUMMYFUNCTION("""COMPUTED_VALUE"""),"18814-A15")</f>
        <v>18814-A15</v>
      </c>
      <c r="B31" s="33" t="str">
        <f>IFERROR(__xludf.DUMMYFUNCTION("""COMPUTED_VALUE"""),"W E COMERCIO DE PISCINAS LTDA")</f>
        <v>W E COMERCIO DE PISCINAS LTDA</v>
      </c>
      <c r="C31" s="332">
        <f>IFERROR(__xludf.DUMMYFUNCTION("""COMPUTED_VALUE"""),1.0)</f>
        <v>1</v>
      </c>
      <c r="D31" s="331"/>
      <c r="E31" s="331" t="str">
        <f>IFERROR(__xludf.DUMMYFUNCTION("""COMPUTED_VALUE"""),"FTI25D40PT")</f>
        <v>FTI25D40PT</v>
      </c>
      <c r="F31" s="331" t="str">
        <f>IFERROR(__xludf.DUMMYFUNCTION("""COMPUTED_VALUE"""),"WI-FI")</f>
        <v>WI-FI</v>
      </c>
      <c r="G31" s="331" t="str">
        <f>IFERROR(__xludf.DUMMYFUNCTION("""COMPUTED_VALUE"""),"NAO")</f>
        <v>NAO</v>
      </c>
      <c r="H31" s="333" t="str">
        <f>IFERROR(__xludf.DUMMYFUNCTION("""COMPUTED_VALUE"""),"NAO")</f>
        <v>NAO</v>
      </c>
      <c r="I31" s="334" t="str">
        <f>IFERROR(__xludf.DUMMYFUNCTION("""COMPUTED_VALUE"""),"AGUARDAR CONTAINER")</f>
        <v>AGUARDAR CONTAINER</v>
      </c>
      <c r="J31" s="335" t="str">
        <f>IFERROR(__xludf.DUMMYFUNCTION("""COMPUTED_VALUE"""),"RETIRA")</f>
        <v>RETIRA</v>
      </c>
      <c r="K31" s="336" t="str">
        <f>IFERROR(__xludf.DUMMYFUNCTION("""COMPUTED_VALUE"""),"SEM REDESPACHO")</f>
        <v>SEM REDESPACHO</v>
      </c>
      <c r="L31" s="337"/>
      <c r="M31" s="338"/>
      <c r="N31" s="339"/>
      <c r="O31" s="340"/>
      <c r="P31"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1" s="342"/>
      <c r="R31" s="342"/>
      <c r="S31" s="342"/>
      <c r="T31" s="343"/>
      <c r="U31" s="342"/>
      <c r="V31" s="342"/>
      <c r="W31" s="344"/>
      <c r="X31" s="344"/>
      <c r="Y31" s="345"/>
      <c r="Z31" s="345"/>
      <c r="AA31" s="345"/>
      <c r="AB31" s="345"/>
      <c r="AC31" s="345"/>
    </row>
    <row r="32" ht="28.5" customHeight="1">
      <c r="A32" s="331" t="str">
        <f>IFERROR(__xludf.DUMMYFUNCTION("""COMPUTED_VALUE"""),"18814-A16")</f>
        <v>18814-A16</v>
      </c>
      <c r="B32" s="33" t="str">
        <f>IFERROR(__xludf.DUMMYFUNCTION("""COMPUTED_VALUE"""),"W E COMERCIO DE PISCINAS LTDA")</f>
        <v>W E COMERCIO DE PISCINAS LTDA</v>
      </c>
      <c r="C32" s="332">
        <f>IFERROR(__xludf.DUMMYFUNCTION("""COMPUTED_VALUE"""),1.0)</f>
        <v>1</v>
      </c>
      <c r="D32" s="331"/>
      <c r="E32" s="331" t="str">
        <f>IFERROR(__xludf.DUMMYFUNCTION("""COMPUTED_VALUE"""),"FTI25D40PT")</f>
        <v>FTI25D40PT</v>
      </c>
      <c r="F32" s="331" t="str">
        <f>IFERROR(__xludf.DUMMYFUNCTION("""COMPUTED_VALUE"""),"WI-FI")</f>
        <v>WI-FI</v>
      </c>
      <c r="G32" s="331" t="str">
        <f>IFERROR(__xludf.DUMMYFUNCTION("""COMPUTED_VALUE"""),"NAO")</f>
        <v>NAO</v>
      </c>
      <c r="H32" s="333" t="str">
        <f>IFERROR(__xludf.DUMMYFUNCTION("""COMPUTED_VALUE"""),"NAO")</f>
        <v>NAO</v>
      </c>
      <c r="I32" s="334" t="str">
        <f>IFERROR(__xludf.DUMMYFUNCTION("""COMPUTED_VALUE"""),"AGUARDAR CONTAINER")</f>
        <v>AGUARDAR CONTAINER</v>
      </c>
      <c r="J32" s="335" t="str">
        <f>IFERROR(__xludf.DUMMYFUNCTION("""COMPUTED_VALUE"""),"RETIRA")</f>
        <v>RETIRA</v>
      </c>
      <c r="K32" s="336" t="str">
        <f>IFERROR(__xludf.DUMMYFUNCTION("""COMPUTED_VALUE"""),"SEM REDESPACHO")</f>
        <v>SEM REDESPACHO</v>
      </c>
      <c r="L32" s="337"/>
      <c r="M32" s="338"/>
      <c r="N32" s="339"/>
      <c r="O32" s="340"/>
      <c r="P32"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2" s="342"/>
      <c r="R32" s="342"/>
      <c r="S32" s="342"/>
      <c r="T32" s="343"/>
      <c r="U32" s="342"/>
      <c r="V32" s="342"/>
      <c r="W32" s="344"/>
      <c r="X32" s="344"/>
      <c r="Y32" s="345"/>
      <c r="Z32" s="345"/>
      <c r="AA32" s="345"/>
      <c r="AB32" s="345"/>
      <c r="AC32" s="345"/>
    </row>
    <row r="33" ht="28.5" customHeight="1">
      <c r="A33" s="331" t="str">
        <f>IFERROR(__xludf.DUMMYFUNCTION("""COMPUTED_VALUE"""),"18814-A2")</f>
        <v>18814-A2</v>
      </c>
      <c r="B33" s="33" t="str">
        <f>IFERROR(__xludf.DUMMYFUNCTION("""COMPUTED_VALUE"""),"W E COMERCIO DE PISCINAS LTDA")</f>
        <v>W E COMERCIO DE PISCINAS LTDA</v>
      </c>
      <c r="C33" s="332">
        <f>IFERROR(__xludf.DUMMYFUNCTION("""COMPUTED_VALUE"""),1.0)</f>
        <v>1</v>
      </c>
      <c r="D33" s="331"/>
      <c r="E33" s="331" t="str">
        <f>IFERROR(__xludf.DUMMYFUNCTION("""COMPUTED_VALUE"""),"FTI25D40PT")</f>
        <v>FTI25D40PT</v>
      </c>
      <c r="F33" s="331" t="str">
        <f>IFERROR(__xludf.DUMMYFUNCTION("""COMPUTED_VALUE"""),"WI-FI")</f>
        <v>WI-FI</v>
      </c>
      <c r="G33" s="331" t="str">
        <f>IFERROR(__xludf.DUMMYFUNCTION("""COMPUTED_VALUE"""),"NAO")</f>
        <v>NAO</v>
      </c>
      <c r="H33" s="333" t="str">
        <f>IFERROR(__xludf.DUMMYFUNCTION("""COMPUTED_VALUE"""),"NAO")</f>
        <v>NAO</v>
      </c>
      <c r="I33" s="334" t="str">
        <f>IFERROR(__xludf.DUMMYFUNCTION("""COMPUTED_VALUE"""),"AGUARDAR CONTAINER")</f>
        <v>AGUARDAR CONTAINER</v>
      </c>
      <c r="J33" s="335" t="str">
        <f>IFERROR(__xludf.DUMMYFUNCTION("""COMPUTED_VALUE"""),"RETIRA")</f>
        <v>RETIRA</v>
      </c>
      <c r="K33" s="336" t="str">
        <f>IFERROR(__xludf.DUMMYFUNCTION("""COMPUTED_VALUE"""),"SEM REDESPACHO")</f>
        <v>SEM REDESPACHO</v>
      </c>
      <c r="L33" s="337"/>
      <c r="M33" s="338"/>
      <c r="N33" s="339"/>
      <c r="O33" s="340"/>
      <c r="P33"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3" s="342"/>
      <c r="R33" s="342"/>
      <c r="S33" s="342"/>
      <c r="T33" s="343"/>
      <c r="U33" s="342"/>
      <c r="V33" s="342"/>
      <c r="W33" s="344"/>
      <c r="X33" s="344"/>
      <c r="Y33" s="345"/>
      <c r="Z33" s="345"/>
      <c r="AA33" s="345"/>
      <c r="AB33" s="345"/>
      <c r="AC33" s="345"/>
    </row>
    <row r="34" ht="28.5" customHeight="1">
      <c r="A34" s="331" t="str">
        <f>IFERROR(__xludf.DUMMYFUNCTION("""COMPUTED_VALUE"""),"18814-A3")</f>
        <v>18814-A3</v>
      </c>
      <c r="B34" s="33" t="str">
        <f>IFERROR(__xludf.DUMMYFUNCTION("""COMPUTED_VALUE"""),"W E COMERCIO DE PISCINAS LTDA")</f>
        <v>W E COMERCIO DE PISCINAS LTDA</v>
      </c>
      <c r="C34" s="332">
        <f>IFERROR(__xludf.DUMMYFUNCTION("""COMPUTED_VALUE"""),1.0)</f>
        <v>1</v>
      </c>
      <c r="D34" s="331"/>
      <c r="E34" s="331" t="str">
        <f>IFERROR(__xludf.DUMMYFUNCTION("""COMPUTED_VALUE"""),"FTI25D40PT")</f>
        <v>FTI25D40PT</v>
      </c>
      <c r="F34" s="331" t="str">
        <f>IFERROR(__xludf.DUMMYFUNCTION("""COMPUTED_VALUE"""),"WI-FI")</f>
        <v>WI-FI</v>
      </c>
      <c r="G34" s="331" t="str">
        <f>IFERROR(__xludf.DUMMYFUNCTION("""COMPUTED_VALUE"""),"NAO")</f>
        <v>NAO</v>
      </c>
      <c r="H34" s="333" t="str">
        <f>IFERROR(__xludf.DUMMYFUNCTION("""COMPUTED_VALUE"""),"NAO")</f>
        <v>NAO</v>
      </c>
      <c r="I34" s="334" t="str">
        <f>IFERROR(__xludf.DUMMYFUNCTION("""COMPUTED_VALUE"""),"AGUARDAR CONTAINER")</f>
        <v>AGUARDAR CONTAINER</v>
      </c>
      <c r="J34" s="335" t="str">
        <f>IFERROR(__xludf.DUMMYFUNCTION("""COMPUTED_VALUE"""),"RETIRA")</f>
        <v>RETIRA</v>
      </c>
      <c r="K34" s="336" t="str">
        <f>IFERROR(__xludf.DUMMYFUNCTION("""COMPUTED_VALUE"""),"SEM REDESPACHO")</f>
        <v>SEM REDESPACHO</v>
      </c>
      <c r="L34" s="337"/>
      <c r="M34" s="338"/>
      <c r="N34" s="339"/>
      <c r="O34" s="340"/>
      <c r="P34"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4" s="342"/>
      <c r="R34" s="342"/>
      <c r="S34" s="342"/>
      <c r="T34" s="343"/>
      <c r="U34" s="342"/>
      <c r="V34" s="342"/>
      <c r="W34" s="344"/>
      <c r="X34" s="344"/>
      <c r="Y34" s="345"/>
      <c r="Z34" s="345"/>
      <c r="AA34" s="345"/>
      <c r="AB34" s="345"/>
      <c r="AC34" s="345"/>
    </row>
    <row r="35" ht="28.5" customHeight="1">
      <c r="A35" s="331" t="str">
        <f>IFERROR(__xludf.DUMMYFUNCTION("""COMPUTED_VALUE"""),"18814-A4")</f>
        <v>18814-A4</v>
      </c>
      <c r="B35" s="33" t="str">
        <f>IFERROR(__xludf.DUMMYFUNCTION("""COMPUTED_VALUE"""),"W E COMERCIO DE PISCINAS LTDA")</f>
        <v>W E COMERCIO DE PISCINAS LTDA</v>
      </c>
      <c r="C35" s="332">
        <f>IFERROR(__xludf.DUMMYFUNCTION("""COMPUTED_VALUE"""),1.0)</f>
        <v>1</v>
      </c>
      <c r="D35" s="331"/>
      <c r="E35" s="331" t="str">
        <f>IFERROR(__xludf.DUMMYFUNCTION("""COMPUTED_VALUE"""),"FTI25D40PT")</f>
        <v>FTI25D40PT</v>
      </c>
      <c r="F35" s="331" t="str">
        <f>IFERROR(__xludf.DUMMYFUNCTION("""COMPUTED_VALUE"""),"WI-FI")</f>
        <v>WI-FI</v>
      </c>
      <c r="G35" s="331" t="str">
        <f>IFERROR(__xludf.DUMMYFUNCTION("""COMPUTED_VALUE"""),"NAO")</f>
        <v>NAO</v>
      </c>
      <c r="H35" s="333" t="str">
        <f>IFERROR(__xludf.DUMMYFUNCTION("""COMPUTED_VALUE"""),"NAO")</f>
        <v>NAO</v>
      </c>
      <c r="I35" s="334" t="str">
        <f>IFERROR(__xludf.DUMMYFUNCTION("""COMPUTED_VALUE"""),"AGUARDAR CONTAINER")</f>
        <v>AGUARDAR CONTAINER</v>
      </c>
      <c r="J35" s="335" t="str">
        <f>IFERROR(__xludf.DUMMYFUNCTION("""COMPUTED_VALUE"""),"RETIRA")</f>
        <v>RETIRA</v>
      </c>
      <c r="K35" s="336" t="str">
        <f>IFERROR(__xludf.DUMMYFUNCTION("""COMPUTED_VALUE"""),"SEM REDESPACHO")</f>
        <v>SEM REDESPACHO</v>
      </c>
      <c r="L35" s="337"/>
      <c r="M35" s="338"/>
      <c r="N35" s="339"/>
      <c r="O35" s="340"/>
      <c r="P35"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5" s="342"/>
      <c r="R35" s="342"/>
      <c r="S35" s="342"/>
      <c r="T35" s="343"/>
      <c r="U35" s="342"/>
      <c r="V35" s="342"/>
      <c r="W35" s="344"/>
      <c r="X35" s="344"/>
      <c r="Y35" s="345"/>
      <c r="Z35" s="345"/>
      <c r="AA35" s="345"/>
      <c r="AB35" s="345"/>
      <c r="AC35" s="345"/>
    </row>
    <row r="36" ht="28.5" customHeight="1">
      <c r="A36" s="331" t="str">
        <f>IFERROR(__xludf.DUMMYFUNCTION("""COMPUTED_VALUE"""),"18814-A5")</f>
        <v>18814-A5</v>
      </c>
      <c r="B36" s="33" t="str">
        <f>IFERROR(__xludf.DUMMYFUNCTION("""COMPUTED_VALUE"""),"W E COMERCIO DE PISCINAS LTDA")</f>
        <v>W E COMERCIO DE PISCINAS LTDA</v>
      </c>
      <c r="C36" s="332">
        <f>IFERROR(__xludf.DUMMYFUNCTION("""COMPUTED_VALUE"""),1.0)</f>
        <v>1</v>
      </c>
      <c r="D36" s="331"/>
      <c r="E36" s="331" t="str">
        <f>IFERROR(__xludf.DUMMYFUNCTION("""COMPUTED_VALUE"""),"FTI25D40PT")</f>
        <v>FTI25D40PT</v>
      </c>
      <c r="F36" s="331" t="str">
        <f>IFERROR(__xludf.DUMMYFUNCTION("""COMPUTED_VALUE"""),"WI-FI")</f>
        <v>WI-FI</v>
      </c>
      <c r="G36" s="331" t="str">
        <f>IFERROR(__xludf.DUMMYFUNCTION("""COMPUTED_VALUE"""),"NAO")</f>
        <v>NAO</v>
      </c>
      <c r="H36" s="333" t="str">
        <f>IFERROR(__xludf.DUMMYFUNCTION("""COMPUTED_VALUE"""),"NAO")</f>
        <v>NAO</v>
      </c>
      <c r="I36" s="334" t="str">
        <f>IFERROR(__xludf.DUMMYFUNCTION("""COMPUTED_VALUE"""),"AGUARDAR CONTAINER")</f>
        <v>AGUARDAR CONTAINER</v>
      </c>
      <c r="J36" s="335" t="str">
        <f>IFERROR(__xludf.DUMMYFUNCTION("""COMPUTED_VALUE"""),"RETIRA")</f>
        <v>RETIRA</v>
      </c>
      <c r="K36" s="336" t="str">
        <f>IFERROR(__xludf.DUMMYFUNCTION("""COMPUTED_VALUE"""),"SEM REDESPACHO")</f>
        <v>SEM REDESPACHO</v>
      </c>
      <c r="L36" s="337"/>
      <c r="M36" s="338"/>
      <c r="N36" s="339"/>
      <c r="O36" s="340"/>
      <c r="P36"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6" s="342"/>
      <c r="R36" s="342"/>
      <c r="S36" s="342"/>
      <c r="T36" s="343"/>
      <c r="U36" s="342"/>
      <c r="V36" s="342"/>
      <c r="W36" s="344"/>
      <c r="X36" s="344"/>
      <c r="Y36" s="345"/>
      <c r="Z36" s="345"/>
      <c r="AA36" s="345"/>
      <c r="AB36" s="345"/>
      <c r="AC36" s="345"/>
    </row>
    <row r="37" ht="28.5" customHeight="1">
      <c r="A37" s="331" t="str">
        <f>IFERROR(__xludf.DUMMYFUNCTION("""COMPUTED_VALUE"""),"18814-A6")</f>
        <v>18814-A6</v>
      </c>
      <c r="B37" s="33" t="str">
        <f>IFERROR(__xludf.DUMMYFUNCTION("""COMPUTED_VALUE"""),"W E COMERCIO DE PISCINAS LTDA")</f>
        <v>W E COMERCIO DE PISCINAS LTDA</v>
      </c>
      <c r="C37" s="332">
        <f>IFERROR(__xludf.DUMMYFUNCTION("""COMPUTED_VALUE"""),1.0)</f>
        <v>1</v>
      </c>
      <c r="D37" s="331"/>
      <c r="E37" s="331" t="str">
        <f>IFERROR(__xludf.DUMMYFUNCTION("""COMPUTED_VALUE"""),"FTI25D40PT")</f>
        <v>FTI25D40PT</v>
      </c>
      <c r="F37" s="331" t="str">
        <f>IFERROR(__xludf.DUMMYFUNCTION("""COMPUTED_VALUE"""),"WI-FI")</f>
        <v>WI-FI</v>
      </c>
      <c r="G37" s="331" t="str">
        <f>IFERROR(__xludf.DUMMYFUNCTION("""COMPUTED_VALUE"""),"NAO")</f>
        <v>NAO</v>
      </c>
      <c r="H37" s="333" t="str">
        <f>IFERROR(__xludf.DUMMYFUNCTION("""COMPUTED_VALUE"""),"NAO")</f>
        <v>NAO</v>
      </c>
      <c r="I37" s="334" t="str">
        <f>IFERROR(__xludf.DUMMYFUNCTION("""COMPUTED_VALUE"""),"AGUARDAR CONTAINER")</f>
        <v>AGUARDAR CONTAINER</v>
      </c>
      <c r="J37" s="335" t="str">
        <f>IFERROR(__xludf.DUMMYFUNCTION("""COMPUTED_VALUE"""),"RETIRA")</f>
        <v>RETIRA</v>
      </c>
      <c r="K37" s="336" t="str">
        <f>IFERROR(__xludf.DUMMYFUNCTION("""COMPUTED_VALUE"""),"SEM REDESPACHO")</f>
        <v>SEM REDESPACHO</v>
      </c>
      <c r="L37" s="337"/>
      <c r="M37" s="338"/>
      <c r="N37" s="339"/>
      <c r="O37" s="340"/>
      <c r="P37"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7" s="342"/>
      <c r="R37" s="342"/>
      <c r="S37" s="342"/>
      <c r="T37" s="343"/>
      <c r="U37" s="342"/>
      <c r="V37" s="342"/>
      <c r="W37" s="344"/>
      <c r="X37" s="344"/>
      <c r="Y37" s="345"/>
      <c r="Z37" s="345"/>
      <c r="AA37" s="345"/>
      <c r="AB37" s="345"/>
      <c r="AC37" s="345"/>
    </row>
    <row r="38" ht="28.5" customHeight="1">
      <c r="A38" s="331" t="str">
        <f>IFERROR(__xludf.DUMMYFUNCTION("""COMPUTED_VALUE"""),"18814-A7")</f>
        <v>18814-A7</v>
      </c>
      <c r="B38" s="33" t="str">
        <f>IFERROR(__xludf.DUMMYFUNCTION("""COMPUTED_VALUE"""),"W E COMERCIO DE PISCINAS LTDA")</f>
        <v>W E COMERCIO DE PISCINAS LTDA</v>
      </c>
      <c r="C38" s="332">
        <f>IFERROR(__xludf.DUMMYFUNCTION("""COMPUTED_VALUE"""),1.0)</f>
        <v>1</v>
      </c>
      <c r="D38" s="331"/>
      <c r="E38" s="331" t="str">
        <f>IFERROR(__xludf.DUMMYFUNCTION("""COMPUTED_VALUE"""),"FTI25D40PT")</f>
        <v>FTI25D40PT</v>
      </c>
      <c r="F38" s="331" t="str">
        <f>IFERROR(__xludf.DUMMYFUNCTION("""COMPUTED_VALUE"""),"WI-FI")</f>
        <v>WI-FI</v>
      </c>
      <c r="G38" s="331" t="str">
        <f>IFERROR(__xludf.DUMMYFUNCTION("""COMPUTED_VALUE"""),"NAO")</f>
        <v>NAO</v>
      </c>
      <c r="H38" s="333" t="str">
        <f>IFERROR(__xludf.DUMMYFUNCTION("""COMPUTED_VALUE"""),"NAO")</f>
        <v>NAO</v>
      </c>
      <c r="I38" s="334" t="str">
        <f>IFERROR(__xludf.DUMMYFUNCTION("""COMPUTED_VALUE"""),"AGUARDAR CONTAINER")</f>
        <v>AGUARDAR CONTAINER</v>
      </c>
      <c r="J38" s="335" t="str">
        <f>IFERROR(__xludf.DUMMYFUNCTION("""COMPUTED_VALUE"""),"RETIRA")</f>
        <v>RETIRA</v>
      </c>
      <c r="K38" s="336" t="str">
        <f>IFERROR(__xludf.DUMMYFUNCTION("""COMPUTED_VALUE"""),"SEM REDESPACHO")</f>
        <v>SEM REDESPACHO</v>
      </c>
      <c r="L38" s="337"/>
      <c r="M38" s="338"/>
      <c r="N38" s="339"/>
      <c r="O38" s="340"/>
      <c r="P38"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8" s="342"/>
      <c r="R38" s="342"/>
      <c r="S38" s="342"/>
      <c r="T38" s="343"/>
      <c r="U38" s="342"/>
      <c r="V38" s="342"/>
      <c r="W38" s="344"/>
      <c r="X38" s="344"/>
      <c r="Y38" s="345"/>
      <c r="Z38" s="345"/>
      <c r="AA38" s="345"/>
      <c r="AB38" s="345"/>
      <c r="AC38" s="345"/>
    </row>
    <row r="39" ht="28.5" customHeight="1">
      <c r="A39" s="331" t="str">
        <f>IFERROR(__xludf.DUMMYFUNCTION("""COMPUTED_VALUE"""),"18814-A8")</f>
        <v>18814-A8</v>
      </c>
      <c r="B39" s="33" t="str">
        <f>IFERROR(__xludf.DUMMYFUNCTION("""COMPUTED_VALUE"""),"W E COMERCIO DE PISCINAS LTDA")</f>
        <v>W E COMERCIO DE PISCINAS LTDA</v>
      </c>
      <c r="C39" s="332">
        <f>IFERROR(__xludf.DUMMYFUNCTION("""COMPUTED_VALUE"""),1.0)</f>
        <v>1</v>
      </c>
      <c r="D39" s="331"/>
      <c r="E39" s="331" t="str">
        <f>IFERROR(__xludf.DUMMYFUNCTION("""COMPUTED_VALUE"""),"FTI25D40PT")</f>
        <v>FTI25D40PT</v>
      </c>
      <c r="F39" s="331" t="str">
        <f>IFERROR(__xludf.DUMMYFUNCTION("""COMPUTED_VALUE"""),"WI-FI")</f>
        <v>WI-FI</v>
      </c>
      <c r="G39" s="331" t="str">
        <f>IFERROR(__xludf.DUMMYFUNCTION("""COMPUTED_VALUE"""),"NAO")</f>
        <v>NAO</v>
      </c>
      <c r="H39" s="333" t="str">
        <f>IFERROR(__xludf.DUMMYFUNCTION("""COMPUTED_VALUE"""),"NAO")</f>
        <v>NAO</v>
      </c>
      <c r="I39" s="334" t="str">
        <f>IFERROR(__xludf.DUMMYFUNCTION("""COMPUTED_VALUE"""),"AGUARDAR CONTAINER")</f>
        <v>AGUARDAR CONTAINER</v>
      </c>
      <c r="J39" s="335" t="str">
        <f>IFERROR(__xludf.DUMMYFUNCTION("""COMPUTED_VALUE"""),"RETIRA")</f>
        <v>RETIRA</v>
      </c>
      <c r="K39" s="336" t="str">
        <f>IFERROR(__xludf.DUMMYFUNCTION("""COMPUTED_VALUE"""),"SEM REDESPACHO")</f>
        <v>SEM REDESPACHO</v>
      </c>
      <c r="L39" s="337"/>
      <c r="M39" s="338"/>
      <c r="N39" s="339"/>
      <c r="O39" s="340"/>
      <c r="P39"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39" s="342"/>
      <c r="R39" s="342"/>
      <c r="S39" s="342"/>
      <c r="T39" s="343"/>
      <c r="U39" s="342"/>
      <c r="V39" s="342"/>
      <c r="W39" s="344"/>
      <c r="X39" s="344"/>
      <c r="Y39" s="345"/>
      <c r="Z39" s="345"/>
      <c r="AA39" s="345"/>
      <c r="AB39" s="345"/>
      <c r="AC39" s="345"/>
    </row>
    <row r="40" ht="28.5" customHeight="1">
      <c r="A40" s="331" t="str">
        <f>IFERROR(__xludf.DUMMYFUNCTION("""COMPUTED_VALUE"""),"18814-A9")</f>
        <v>18814-A9</v>
      </c>
      <c r="B40" s="33" t="str">
        <f>IFERROR(__xludf.DUMMYFUNCTION("""COMPUTED_VALUE"""),"W E COMERCIO DE PISCINAS LTDA")</f>
        <v>W E COMERCIO DE PISCINAS LTDA</v>
      </c>
      <c r="C40" s="332">
        <f>IFERROR(__xludf.DUMMYFUNCTION("""COMPUTED_VALUE"""),1.0)</f>
        <v>1</v>
      </c>
      <c r="D40" s="331"/>
      <c r="E40" s="331" t="str">
        <f>IFERROR(__xludf.DUMMYFUNCTION("""COMPUTED_VALUE"""),"FTI25D40PT")</f>
        <v>FTI25D40PT</v>
      </c>
      <c r="F40" s="331" t="str">
        <f>IFERROR(__xludf.DUMMYFUNCTION("""COMPUTED_VALUE"""),"WI-FI")</f>
        <v>WI-FI</v>
      </c>
      <c r="G40" s="331" t="str">
        <f>IFERROR(__xludf.DUMMYFUNCTION("""COMPUTED_VALUE"""),"NAO")</f>
        <v>NAO</v>
      </c>
      <c r="H40" s="333" t="str">
        <f>IFERROR(__xludf.DUMMYFUNCTION("""COMPUTED_VALUE"""),"NAO")</f>
        <v>NAO</v>
      </c>
      <c r="I40" s="334" t="str">
        <f>IFERROR(__xludf.DUMMYFUNCTION("""COMPUTED_VALUE"""),"AGUARDAR CONTAINER")</f>
        <v>AGUARDAR CONTAINER</v>
      </c>
      <c r="J40" s="335" t="str">
        <f>IFERROR(__xludf.DUMMYFUNCTION("""COMPUTED_VALUE"""),"RETIRA")</f>
        <v>RETIRA</v>
      </c>
      <c r="K40" s="336" t="str">
        <f>IFERROR(__xludf.DUMMYFUNCTION("""COMPUTED_VALUE"""),"SEM REDESPACHO")</f>
        <v>SEM REDESPACHO</v>
      </c>
      <c r="L40" s="337"/>
      <c r="M40" s="338"/>
      <c r="N40" s="339"/>
      <c r="O40" s="340"/>
      <c r="P40"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0" s="342"/>
      <c r="R40" s="342"/>
      <c r="S40" s="342"/>
      <c r="T40" s="343"/>
      <c r="U40" s="342"/>
      <c r="V40" s="342"/>
      <c r="W40" s="344"/>
      <c r="X40" s="344"/>
      <c r="Y40" s="345"/>
      <c r="Z40" s="345"/>
      <c r="AA40" s="345"/>
      <c r="AB40" s="345"/>
      <c r="AC40" s="345"/>
    </row>
    <row r="41" ht="28.5" customHeight="1">
      <c r="A41" s="331" t="str">
        <f>IFERROR(__xludf.DUMMYFUNCTION("""COMPUTED_VALUE"""),"18814-B")</f>
        <v>18814-B</v>
      </c>
      <c r="B41" s="33" t="str">
        <f>IFERROR(__xludf.DUMMYFUNCTION("""COMPUTED_VALUE"""),"W E COMERCIO DE PISCINAS LTDA")</f>
        <v>W E COMERCIO DE PISCINAS LTDA</v>
      </c>
      <c r="C41" s="332">
        <f>IFERROR(__xludf.DUMMYFUNCTION("""COMPUTED_VALUE"""),1.0)</f>
        <v>1</v>
      </c>
      <c r="D41" s="331"/>
      <c r="E41" s="331" t="str">
        <f>IFERROR(__xludf.DUMMYFUNCTION("""COMPUTED_VALUE"""),"FTI25D40PT")</f>
        <v>FTI25D40PT</v>
      </c>
      <c r="F41" s="331" t="str">
        <f>IFERROR(__xludf.DUMMYFUNCTION("""COMPUTED_VALUE"""),"WI-FI")</f>
        <v>WI-FI</v>
      </c>
      <c r="G41" s="331" t="str">
        <f>IFERROR(__xludf.DUMMYFUNCTION("""COMPUTED_VALUE"""),"NAO")</f>
        <v>NAO</v>
      </c>
      <c r="H41" s="333" t="str">
        <f>IFERROR(__xludf.DUMMYFUNCTION("""COMPUTED_VALUE"""),"NAO")</f>
        <v>NAO</v>
      </c>
      <c r="I41" s="334" t="str">
        <f>IFERROR(__xludf.DUMMYFUNCTION("""COMPUTED_VALUE"""),"AGUARDAR CONTAINER")</f>
        <v>AGUARDAR CONTAINER</v>
      </c>
      <c r="J41" s="335" t="str">
        <f>IFERROR(__xludf.DUMMYFUNCTION("""COMPUTED_VALUE"""),"RETIRA")</f>
        <v>RETIRA</v>
      </c>
      <c r="K41" s="336" t="str">
        <f>IFERROR(__xludf.DUMMYFUNCTION("""COMPUTED_VALUE"""),"SEM REDESPACHO")</f>
        <v>SEM REDESPACHO</v>
      </c>
      <c r="L41" s="337"/>
      <c r="M41" s="338"/>
      <c r="N41" s="339"/>
      <c r="O41" s="340"/>
      <c r="P41"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1" s="342"/>
      <c r="R41" s="342"/>
      <c r="S41" s="342"/>
      <c r="T41" s="343"/>
      <c r="U41" s="342"/>
      <c r="V41" s="342"/>
      <c r="W41" s="344"/>
      <c r="X41" s="344"/>
      <c r="Y41" s="345"/>
      <c r="Z41" s="345"/>
      <c r="AA41" s="345"/>
      <c r="AB41" s="345"/>
      <c r="AC41" s="345"/>
    </row>
    <row r="42" ht="28.5" customHeight="1">
      <c r="A42" s="331" t="str">
        <f>IFERROR(__xludf.DUMMYFUNCTION("""COMPUTED_VALUE"""),"18814-C")</f>
        <v>18814-C</v>
      </c>
      <c r="B42" s="33" t="str">
        <f>IFERROR(__xludf.DUMMYFUNCTION("""COMPUTED_VALUE"""),"W E COMERCIO DE PISCINAS LTDA")</f>
        <v>W E COMERCIO DE PISCINAS LTDA</v>
      </c>
      <c r="C42" s="332">
        <f>IFERROR(__xludf.DUMMYFUNCTION("""COMPUTED_VALUE"""),1.0)</f>
        <v>1</v>
      </c>
      <c r="D42" s="331"/>
      <c r="E42" s="331" t="str">
        <f>IFERROR(__xludf.DUMMYFUNCTION("""COMPUTED_VALUE"""),"FTI25D40PT")</f>
        <v>FTI25D40PT</v>
      </c>
      <c r="F42" s="331" t="str">
        <f>IFERROR(__xludf.DUMMYFUNCTION("""COMPUTED_VALUE"""),"WI-FI")</f>
        <v>WI-FI</v>
      </c>
      <c r="G42" s="331" t="str">
        <f>IFERROR(__xludf.DUMMYFUNCTION("""COMPUTED_VALUE"""),"NAO")</f>
        <v>NAO</v>
      </c>
      <c r="H42" s="333" t="str">
        <f>IFERROR(__xludf.DUMMYFUNCTION("""COMPUTED_VALUE"""),"NAO")</f>
        <v>NAO</v>
      </c>
      <c r="I42" s="334" t="str">
        <f>IFERROR(__xludf.DUMMYFUNCTION("""COMPUTED_VALUE"""),"AGUARDAR CONTAINER")</f>
        <v>AGUARDAR CONTAINER</v>
      </c>
      <c r="J42" s="335" t="str">
        <f>IFERROR(__xludf.DUMMYFUNCTION("""COMPUTED_VALUE"""),"RETIRA")</f>
        <v>RETIRA</v>
      </c>
      <c r="K42" s="336" t="str">
        <f>IFERROR(__xludf.DUMMYFUNCTION("""COMPUTED_VALUE"""),"SEM REDESPACHO")</f>
        <v>SEM REDESPACHO</v>
      </c>
      <c r="L42" s="337"/>
      <c r="M42" s="338"/>
      <c r="N42" s="339"/>
      <c r="O42" s="340"/>
      <c r="P42"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2" s="342"/>
      <c r="R42" s="342"/>
      <c r="S42" s="342"/>
      <c r="T42" s="343"/>
      <c r="U42" s="342"/>
      <c r="V42" s="342"/>
      <c r="W42" s="344"/>
      <c r="X42" s="344"/>
      <c r="Y42" s="345"/>
      <c r="Z42" s="345"/>
      <c r="AA42" s="345"/>
      <c r="AB42" s="345"/>
      <c r="AC42" s="345"/>
    </row>
    <row r="43" ht="28.5" customHeight="1">
      <c r="A43" s="331" t="str">
        <f>IFERROR(__xludf.DUMMYFUNCTION("""COMPUTED_VALUE"""),"18814-D")</f>
        <v>18814-D</v>
      </c>
      <c r="B43" s="33" t="str">
        <f>IFERROR(__xludf.DUMMYFUNCTION("""COMPUTED_VALUE"""),"W E COMERCIO DE PISCINAS LTDA")</f>
        <v>W E COMERCIO DE PISCINAS LTDA</v>
      </c>
      <c r="C43" s="332">
        <f>IFERROR(__xludf.DUMMYFUNCTION("""COMPUTED_VALUE"""),1.0)</f>
        <v>1</v>
      </c>
      <c r="D43" s="331"/>
      <c r="E43" s="331" t="str">
        <f>IFERROR(__xludf.DUMMYFUNCTION("""COMPUTED_VALUE"""),"FTI25D40PT")</f>
        <v>FTI25D40PT</v>
      </c>
      <c r="F43" s="331" t="str">
        <f>IFERROR(__xludf.DUMMYFUNCTION("""COMPUTED_VALUE"""),"WI-FI")</f>
        <v>WI-FI</v>
      </c>
      <c r="G43" s="331" t="str">
        <f>IFERROR(__xludf.DUMMYFUNCTION("""COMPUTED_VALUE"""),"NAO")</f>
        <v>NAO</v>
      </c>
      <c r="H43" s="333" t="str">
        <f>IFERROR(__xludf.DUMMYFUNCTION("""COMPUTED_VALUE"""),"NAO")</f>
        <v>NAO</v>
      </c>
      <c r="I43" s="334" t="str">
        <f>IFERROR(__xludf.DUMMYFUNCTION("""COMPUTED_VALUE"""),"AGUARDAR CONTAINER")</f>
        <v>AGUARDAR CONTAINER</v>
      </c>
      <c r="J43" s="335" t="str">
        <f>IFERROR(__xludf.DUMMYFUNCTION("""COMPUTED_VALUE"""),"RETIRA")</f>
        <v>RETIRA</v>
      </c>
      <c r="K43" s="336" t="str">
        <f>IFERROR(__xludf.DUMMYFUNCTION("""COMPUTED_VALUE"""),"SEM REDESPACHO")</f>
        <v>SEM REDESPACHO</v>
      </c>
      <c r="L43" s="337"/>
      <c r="M43" s="338"/>
      <c r="N43" s="339"/>
      <c r="O43" s="340"/>
      <c r="P43"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3" s="342"/>
      <c r="R43" s="342"/>
      <c r="S43" s="342"/>
      <c r="T43" s="343"/>
      <c r="U43" s="342"/>
      <c r="V43" s="342"/>
      <c r="W43" s="344"/>
      <c r="X43" s="344"/>
      <c r="Y43" s="345"/>
      <c r="Z43" s="345"/>
      <c r="AA43" s="345"/>
      <c r="AB43" s="345"/>
      <c r="AC43" s="345"/>
    </row>
    <row r="44" ht="28.5" customHeight="1">
      <c r="A44" s="331" t="str">
        <f>IFERROR(__xludf.DUMMYFUNCTION("""COMPUTED_VALUE"""),"18814-E")</f>
        <v>18814-E</v>
      </c>
      <c r="B44" s="33" t="str">
        <f>IFERROR(__xludf.DUMMYFUNCTION("""COMPUTED_VALUE"""),"W E COMERCIO DE PISCINAS LTDA")</f>
        <v>W E COMERCIO DE PISCINAS LTDA</v>
      </c>
      <c r="C44" s="332">
        <f>IFERROR(__xludf.DUMMYFUNCTION("""COMPUTED_VALUE"""),1.0)</f>
        <v>1</v>
      </c>
      <c r="D44" s="331"/>
      <c r="E44" s="331" t="str">
        <f>IFERROR(__xludf.DUMMYFUNCTION("""COMPUTED_VALUE"""),"FTI25D40PT")</f>
        <v>FTI25D40PT</v>
      </c>
      <c r="F44" s="331" t="str">
        <f>IFERROR(__xludf.DUMMYFUNCTION("""COMPUTED_VALUE"""),"WI-FI")</f>
        <v>WI-FI</v>
      </c>
      <c r="G44" s="331" t="str">
        <f>IFERROR(__xludf.DUMMYFUNCTION("""COMPUTED_VALUE"""),"NAO")</f>
        <v>NAO</v>
      </c>
      <c r="H44" s="333" t="str">
        <f>IFERROR(__xludf.DUMMYFUNCTION("""COMPUTED_VALUE"""),"NAO")</f>
        <v>NAO</v>
      </c>
      <c r="I44" s="334" t="str">
        <f>IFERROR(__xludf.DUMMYFUNCTION("""COMPUTED_VALUE"""),"AGUARDAR CONTAINER")</f>
        <v>AGUARDAR CONTAINER</v>
      </c>
      <c r="J44" s="335" t="str">
        <f>IFERROR(__xludf.DUMMYFUNCTION("""COMPUTED_VALUE"""),"RETIRA")</f>
        <v>RETIRA</v>
      </c>
      <c r="K44" s="336" t="str">
        <f>IFERROR(__xludf.DUMMYFUNCTION("""COMPUTED_VALUE"""),"SEM REDESPACHO")</f>
        <v>SEM REDESPACHO</v>
      </c>
      <c r="L44" s="337"/>
      <c r="M44" s="338"/>
      <c r="N44" s="339"/>
      <c r="O44" s="340"/>
      <c r="P44"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4" s="342"/>
      <c r="R44" s="342"/>
      <c r="S44" s="342"/>
      <c r="T44" s="343"/>
      <c r="U44" s="342"/>
      <c r="V44" s="342"/>
      <c r="W44" s="344"/>
      <c r="X44" s="344"/>
      <c r="Y44" s="345"/>
      <c r="Z44" s="345"/>
      <c r="AA44" s="345"/>
      <c r="AB44" s="345"/>
      <c r="AC44" s="345"/>
    </row>
    <row r="45" ht="28.5" customHeight="1">
      <c r="A45" s="331" t="str">
        <f>IFERROR(__xludf.DUMMYFUNCTION("""COMPUTED_VALUE"""),"18814-F")</f>
        <v>18814-F</v>
      </c>
      <c r="B45" s="33" t="str">
        <f>IFERROR(__xludf.DUMMYFUNCTION("""COMPUTED_VALUE"""),"W E COMERCIO DE PISCINAS LTDA")</f>
        <v>W E COMERCIO DE PISCINAS LTDA</v>
      </c>
      <c r="C45" s="332">
        <f>IFERROR(__xludf.DUMMYFUNCTION("""COMPUTED_VALUE"""),1.0)</f>
        <v>1</v>
      </c>
      <c r="D45" s="331"/>
      <c r="E45" s="331" t="str">
        <f>IFERROR(__xludf.DUMMYFUNCTION("""COMPUTED_VALUE"""),"FTI25D40PT")</f>
        <v>FTI25D40PT</v>
      </c>
      <c r="F45" s="331" t="str">
        <f>IFERROR(__xludf.DUMMYFUNCTION("""COMPUTED_VALUE"""),"WI-FI")</f>
        <v>WI-FI</v>
      </c>
      <c r="G45" s="331" t="str">
        <f>IFERROR(__xludf.DUMMYFUNCTION("""COMPUTED_VALUE"""),"NAO")</f>
        <v>NAO</v>
      </c>
      <c r="H45" s="333" t="str">
        <f>IFERROR(__xludf.DUMMYFUNCTION("""COMPUTED_VALUE"""),"NAO")</f>
        <v>NAO</v>
      </c>
      <c r="I45" s="334" t="str">
        <f>IFERROR(__xludf.DUMMYFUNCTION("""COMPUTED_VALUE"""),"AGUARDAR CONTAINER")</f>
        <v>AGUARDAR CONTAINER</v>
      </c>
      <c r="J45" s="335" t="str">
        <f>IFERROR(__xludf.DUMMYFUNCTION("""COMPUTED_VALUE"""),"RETIRA")</f>
        <v>RETIRA</v>
      </c>
      <c r="K45" s="336" t="str">
        <f>IFERROR(__xludf.DUMMYFUNCTION("""COMPUTED_VALUE"""),"SEM REDESPACHO")</f>
        <v>SEM REDESPACHO</v>
      </c>
      <c r="L45" s="337"/>
      <c r="M45" s="338"/>
      <c r="N45" s="339"/>
      <c r="O45" s="340"/>
      <c r="P45"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5" s="342"/>
      <c r="R45" s="342"/>
      <c r="S45" s="342"/>
      <c r="T45" s="343"/>
      <c r="U45" s="342"/>
      <c r="V45" s="342"/>
      <c r="W45" s="344"/>
      <c r="X45" s="344"/>
      <c r="Y45" s="345"/>
      <c r="Z45" s="345"/>
      <c r="AA45" s="345"/>
      <c r="AB45" s="345"/>
      <c r="AC45" s="345"/>
    </row>
    <row r="46" ht="28.5" customHeight="1">
      <c r="A46" s="331" t="str">
        <f>IFERROR(__xludf.DUMMYFUNCTION("""COMPUTED_VALUE"""),"18814-G")</f>
        <v>18814-G</v>
      </c>
      <c r="B46" s="33" t="str">
        <f>IFERROR(__xludf.DUMMYFUNCTION("""COMPUTED_VALUE"""),"W E COMERCIO DE PISCINAS LTDA")</f>
        <v>W E COMERCIO DE PISCINAS LTDA</v>
      </c>
      <c r="C46" s="332">
        <f>IFERROR(__xludf.DUMMYFUNCTION("""COMPUTED_VALUE"""),1.0)</f>
        <v>1</v>
      </c>
      <c r="D46" s="331"/>
      <c r="E46" s="331" t="str">
        <f>IFERROR(__xludf.DUMMYFUNCTION("""COMPUTED_VALUE"""),"FTI25D40PT")</f>
        <v>FTI25D40PT</v>
      </c>
      <c r="F46" s="331" t="str">
        <f>IFERROR(__xludf.DUMMYFUNCTION("""COMPUTED_VALUE"""),"WI-FI")</f>
        <v>WI-FI</v>
      </c>
      <c r="G46" s="331" t="str">
        <f>IFERROR(__xludf.DUMMYFUNCTION("""COMPUTED_VALUE"""),"NAO")</f>
        <v>NAO</v>
      </c>
      <c r="H46" s="333" t="str">
        <f>IFERROR(__xludf.DUMMYFUNCTION("""COMPUTED_VALUE"""),"NAO")</f>
        <v>NAO</v>
      </c>
      <c r="I46" s="334" t="str">
        <f>IFERROR(__xludf.DUMMYFUNCTION("""COMPUTED_VALUE"""),"AGUARDAR CONTAINER")</f>
        <v>AGUARDAR CONTAINER</v>
      </c>
      <c r="J46" s="335" t="str">
        <f>IFERROR(__xludf.DUMMYFUNCTION("""COMPUTED_VALUE"""),"RETIRA")</f>
        <v>RETIRA</v>
      </c>
      <c r="K46" s="336" t="str">
        <f>IFERROR(__xludf.DUMMYFUNCTION("""COMPUTED_VALUE"""),"SEM REDESPACHO")</f>
        <v>SEM REDESPACHO</v>
      </c>
      <c r="L46" s="337"/>
      <c r="M46" s="338"/>
      <c r="N46" s="339"/>
      <c r="O46" s="340"/>
      <c r="P46"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6" s="342"/>
      <c r="R46" s="342"/>
      <c r="S46" s="342"/>
      <c r="T46" s="343"/>
      <c r="U46" s="342"/>
      <c r="V46" s="342"/>
      <c r="W46" s="344"/>
      <c r="X46" s="344"/>
      <c r="Y46" s="345"/>
      <c r="Z46" s="345"/>
      <c r="AA46" s="345"/>
      <c r="AB46" s="345"/>
      <c r="AC46" s="345"/>
    </row>
    <row r="47" ht="28.5" customHeight="1">
      <c r="A47" s="331" t="str">
        <f>IFERROR(__xludf.DUMMYFUNCTION("""COMPUTED_VALUE"""),"18814-H")</f>
        <v>18814-H</v>
      </c>
      <c r="B47" s="33" t="str">
        <f>IFERROR(__xludf.DUMMYFUNCTION("""COMPUTED_VALUE"""),"W E COMERCIO DE PISCINAS LTDA")</f>
        <v>W E COMERCIO DE PISCINAS LTDA</v>
      </c>
      <c r="C47" s="332">
        <f>IFERROR(__xludf.DUMMYFUNCTION("""COMPUTED_VALUE"""),1.0)</f>
        <v>1</v>
      </c>
      <c r="D47" s="331"/>
      <c r="E47" s="331" t="str">
        <f>IFERROR(__xludf.DUMMYFUNCTION("""COMPUTED_VALUE"""),"FTI25D40PT")</f>
        <v>FTI25D40PT</v>
      </c>
      <c r="F47" s="331" t="str">
        <f>IFERROR(__xludf.DUMMYFUNCTION("""COMPUTED_VALUE"""),"WI-FI")</f>
        <v>WI-FI</v>
      </c>
      <c r="G47" s="331" t="str">
        <f>IFERROR(__xludf.DUMMYFUNCTION("""COMPUTED_VALUE"""),"NAO")</f>
        <v>NAO</v>
      </c>
      <c r="H47" s="333" t="str">
        <f>IFERROR(__xludf.DUMMYFUNCTION("""COMPUTED_VALUE"""),"NAO")</f>
        <v>NAO</v>
      </c>
      <c r="I47" s="334" t="str">
        <f>IFERROR(__xludf.DUMMYFUNCTION("""COMPUTED_VALUE"""),"AGUARDAR CONTAINER")</f>
        <v>AGUARDAR CONTAINER</v>
      </c>
      <c r="J47" s="335" t="str">
        <f>IFERROR(__xludf.DUMMYFUNCTION("""COMPUTED_VALUE"""),"RETIRA")</f>
        <v>RETIRA</v>
      </c>
      <c r="K47" s="336" t="str">
        <f>IFERROR(__xludf.DUMMYFUNCTION("""COMPUTED_VALUE"""),"SEM REDESPACHO")</f>
        <v>SEM REDESPACHO</v>
      </c>
      <c r="L47" s="337"/>
      <c r="M47" s="338"/>
      <c r="N47" s="339"/>
      <c r="O47" s="340"/>
      <c r="P47"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7" s="342"/>
      <c r="R47" s="342"/>
      <c r="S47" s="342"/>
      <c r="T47" s="343"/>
      <c r="U47" s="342"/>
      <c r="V47" s="342"/>
      <c r="W47" s="344"/>
      <c r="X47" s="344"/>
      <c r="Y47" s="345"/>
      <c r="Z47" s="345"/>
      <c r="AA47" s="345"/>
      <c r="AB47" s="345"/>
      <c r="AC47" s="345"/>
    </row>
    <row r="48" ht="28.5" customHeight="1">
      <c r="A48" s="331" t="str">
        <f>IFERROR(__xludf.DUMMYFUNCTION("""COMPUTED_VALUE"""),"18814-I")</f>
        <v>18814-I</v>
      </c>
      <c r="B48" s="33" t="str">
        <f>IFERROR(__xludf.DUMMYFUNCTION("""COMPUTED_VALUE"""),"W E COMERCIO DE PISCINAS LTDA")</f>
        <v>W E COMERCIO DE PISCINAS LTDA</v>
      </c>
      <c r="C48" s="332">
        <f>IFERROR(__xludf.DUMMYFUNCTION("""COMPUTED_VALUE"""),1.0)</f>
        <v>1</v>
      </c>
      <c r="D48" s="331"/>
      <c r="E48" s="331" t="str">
        <f>IFERROR(__xludf.DUMMYFUNCTION("""COMPUTED_VALUE"""),"FTI25D40PT")</f>
        <v>FTI25D40PT</v>
      </c>
      <c r="F48" s="331" t="str">
        <f>IFERROR(__xludf.DUMMYFUNCTION("""COMPUTED_VALUE"""),"WI-FI")</f>
        <v>WI-FI</v>
      </c>
      <c r="G48" s="331" t="str">
        <f>IFERROR(__xludf.DUMMYFUNCTION("""COMPUTED_VALUE"""),"NAO")</f>
        <v>NAO</v>
      </c>
      <c r="H48" s="333" t="str">
        <f>IFERROR(__xludf.DUMMYFUNCTION("""COMPUTED_VALUE"""),"NAO")</f>
        <v>NAO</v>
      </c>
      <c r="I48" s="334" t="str">
        <f>IFERROR(__xludf.DUMMYFUNCTION("""COMPUTED_VALUE"""),"AGUARDAR CONTAINER")</f>
        <v>AGUARDAR CONTAINER</v>
      </c>
      <c r="J48" s="335" t="str">
        <f>IFERROR(__xludf.DUMMYFUNCTION("""COMPUTED_VALUE"""),"RETIRA")</f>
        <v>RETIRA</v>
      </c>
      <c r="K48" s="336" t="str">
        <f>IFERROR(__xludf.DUMMYFUNCTION("""COMPUTED_VALUE"""),"SEM REDESPACHO")</f>
        <v>SEM REDESPACHO</v>
      </c>
      <c r="L48" s="337"/>
      <c r="M48" s="338"/>
      <c r="N48" s="339"/>
      <c r="O48" s="340"/>
      <c r="P48"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8" s="342"/>
      <c r="R48" s="342"/>
      <c r="S48" s="342"/>
      <c r="T48" s="343"/>
      <c r="U48" s="342"/>
      <c r="V48" s="342"/>
      <c r="W48" s="344"/>
      <c r="X48" s="344"/>
      <c r="Y48" s="345"/>
      <c r="Z48" s="345"/>
      <c r="AA48" s="345"/>
      <c r="AB48" s="345"/>
      <c r="AC48" s="345"/>
    </row>
    <row r="49" ht="28.5" customHeight="1">
      <c r="A49" s="331" t="str">
        <f>IFERROR(__xludf.DUMMYFUNCTION("""COMPUTED_VALUE"""),"18814-J")</f>
        <v>18814-J</v>
      </c>
      <c r="B49" s="33" t="str">
        <f>IFERROR(__xludf.DUMMYFUNCTION("""COMPUTED_VALUE"""),"W E COMERCIO DE PISCINAS LTDA")</f>
        <v>W E COMERCIO DE PISCINAS LTDA</v>
      </c>
      <c r="C49" s="332">
        <f>IFERROR(__xludf.DUMMYFUNCTION("""COMPUTED_VALUE"""),1.0)</f>
        <v>1</v>
      </c>
      <c r="D49" s="331"/>
      <c r="E49" s="331" t="str">
        <f>IFERROR(__xludf.DUMMYFUNCTION("""COMPUTED_VALUE"""),"FTI25D40PT")</f>
        <v>FTI25D40PT</v>
      </c>
      <c r="F49" s="331" t="str">
        <f>IFERROR(__xludf.DUMMYFUNCTION("""COMPUTED_VALUE"""),"WI-FI")</f>
        <v>WI-FI</v>
      </c>
      <c r="G49" s="331" t="str">
        <f>IFERROR(__xludf.DUMMYFUNCTION("""COMPUTED_VALUE"""),"NAO")</f>
        <v>NAO</v>
      </c>
      <c r="H49" s="333" t="str">
        <f>IFERROR(__xludf.DUMMYFUNCTION("""COMPUTED_VALUE"""),"NAO")</f>
        <v>NAO</v>
      </c>
      <c r="I49" s="334" t="str">
        <f>IFERROR(__xludf.DUMMYFUNCTION("""COMPUTED_VALUE"""),"AGUARDAR CONTAINER")</f>
        <v>AGUARDAR CONTAINER</v>
      </c>
      <c r="J49" s="335" t="str">
        <f>IFERROR(__xludf.DUMMYFUNCTION("""COMPUTED_VALUE"""),"RETIRA")</f>
        <v>RETIRA</v>
      </c>
      <c r="K49" s="336" t="str">
        <f>IFERROR(__xludf.DUMMYFUNCTION("""COMPUTED_VALUE"""),"SEM REDESPACHO")</f>
        <v>SEM REDESPACHO</v>
      </c>
      <c r="L49" s="337"/>
      <c r="M49" s="338"/>
      <c r="N49" s="339"/>
      <c r="O49" s="340"/>
      <c r="P49"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49" s="342"/>
      <c r="R49" s="342"/>
      <c r="S49" s="342"/>
      <c r="T49" s="343"/>
      <c r="U49" s="342"/>
      <c r="V49" s="342"/>
      <c r="W49" s="344"/>
      <c r="X49" s="344"/>
      <c r="Y49" s="345"/>
      <c r="Z49" s="345"/>
      <c r="AA49" s="345"/>
      <c r="AB49" s="345"/>
      <c r="AC49" s="345"/>
    </row>
    <row r="50" ht="28.5" customHeight="1">
      <c r="A50" s="331" t="str">
        <f>IFERROR(__xludf.DUMMYFUNCTION("""COMPUTED_VALUE"""),"18814-K")</f>
        <v>18814-K</v>
      </c>
      <c r="B50" s="33" t="str">
        <f>IFERROR(__xludf.DUMMYFUNCTION("""COMPUTED_VALUE"""),"W E COMERCIO DE PISCINAS LTDA")</f>
        <v>W E COMERCIO DE PISCINAS LTDA</v>
      </c>
      <c r="C50" s="332">
        <f>IFERROR(__xludf.DUMMYFUNCTION("""COMPUTED_VALUE"""),1.0)</f>
        <v>1</v>
      </c>
      <c r="D50" s="331"/>
      <c r="E50" s="331" t="str">
        <f>IFERROR(__xludf.DUMMYFUNCTION("""COMPUTED_VALUE"""),"FTI25D40PT")</f>
        <v>FTI25D40PT</v>
      </c>
      <c r="F50" s="331" t="str">
        <f>IFERROR(__xludf.DUMMYFUNCTION("""COMPUTED_VALUE"""),"WI-FI")</f>
        <v>WI-FI</v>
      </c>
      <c r="G50" s="331" t="str">
        <f>IFERROR(__xludf.DUMMYFUNCTION("""COMPUTED_VALUE"""),"NAO")</f>
        <v>NAO</v>
      </c>
      <c r="H50" s="333" t="str">
        <f>IFERROR(__xludf.DUMMYFUNCTION("""COMPUTED_VALUE"""),"NAO")</f>
        <v>NAO</v>
      </c>
      <c r="I50" s="334" t="str">
        <f>IFERROR(__xludf.DUMMYFUNCTION("""COMPUTED_VALUE"""),"AGUARDAR CONTAINER")</f>
        <v>AGUARDAR CONTAINER</v>
      </c>
      <c r="J50" s="335" t="str">
        <f>IFERROR(__xludf.DUMMYFUNCTION("""COMPUTED_VALUE"""),"RETIRA")</f>
        <v>RETIRA</v>
      </c>
      <c r="K50" s="336" t="str">
        <f>IFERROR(__xludf.DUMMYFUNCTION("""COMPUTED_VALUE"""),"SEM REDESPACHO")</f>
        <v>SEM REDESPACHO</v>
      </c>
      <c r="L50" s="337"/>
      <c r="M50" s="338"/>
      <c r="N50" s="339"/>
      <c r="O50" s="340"/>
      <c r="P50"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0" s="342"/>
      <c r="R50" s="342"/>
      <c r="S50" s="342"/>
      <c r="T50" s="343"/>
      <c r="U50" s="342"/>
      <c r="V50" s="342"/>
      <c r="W50" s="344"/>
      <c r="X50" s="344"/>
      <c r="Y50" s="345"/>
      <c r="Z50" s="345"/>
      <c r="AA50" s="345"/>
      <c r="AB50" s="345"/>
      <c r="AC50" s="345"/>
    </row>
    <row r="51" ht="28.5" customHeight="1">
      <c r="A51" s="331" t="str">
        <f>IFERROR(__xludf.DUMMYFUNCTION("""COMPUTED_VALUE"""),"18814-L")</f>
        <v>18814-L</v>
      </c>
      <c r="B51" s="33" t="str">
        <f>IFERROR(__xludf.DUMMYFUNCTION("""COMPUTED_VALUE"""),"W E COMERCIO DE PISCINAS LTDA")</f>
        <v>W E COMERCIO DE PISCINAS LTDA</v>
      </c>
      <c r="C51" s="332">
        <f>IFERROR(__xludf.DUMMYFUNCTION("""COMPUTED_VALUE"""),1.0)</f>
        <v>1</v>
      </c>
      <c r="D51" s="331"/>
      <c r="E51" s="331" t="str">
        <f>IFERROR(__xludf.DUMMYFUNCTION("""COMPUTED_VALUE"""),"FTI25D40PT")</f>
        <v>FTI25D40PT</v>
      </c>
      <c r="F51" s="331" t="str">
        <f>IFERROR(__xludf.DUMMYFUNCTION("""COMPUTED_VALUE"""),"WI-FI")</f>
        <v>WI-FI</v>
      </c>
      <c r="G51" s="331" t="str">
        <f>IFERROR(__xludf.DUMMYFUNCTION("""COMPUTED_VALUE"""),"NAO")</f>
        <v>NAO</v>
      </c>
      <c r="H51" s="333" t="str">
        <f>IFERROR(__xludf.DUMMYFUNCTION("""COMPUTED_VALUE"""),"NAO")</f>
        <v>NAO</v>
      </c>
      <c r="I51" s="334" t="str">
        <f>IFERROR(__xludf.DUMMYFUNCTION("""COMPUTED_VALUE"""),"AGUARDAR CONTAINER")</f>
        <v>AGUARDAR CONTAINER</v>
      </c>
      <c r="J51" s="335" t="str">
        <f>IFERROR(__xludf.DUMMYFUNCTION("""COMPUTED_VALUE"""),"RETIRA")</f>
        <v>RETIRA</v>
      </c>
      <c r="K51" s="336" t="str">
        <f>IFERROR(__xludf.DUMMYFUNCTION("""COMPUTED_VALUE"""),"SEM REDESPACHO")</f>
        <v>SEM REDESPACHO</v>
      </c>
      <c r="L51" s="337"/>
      <c r="M51" s="338"/>
      <c r="N51" s="339"/>
      <c r="O51" s="340"/>
      <c r="P51"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1" s="342"/>
      <c r="R51" s="342"/>
      <c r="S51" s="342"/>
      <c r="T51" s="343"/>
      <c r="U51" s="342"/>
      <c r="V51" s="342"/>
      <c r="W51" s="344"/>
      <c r="X51" s="344"/>
      <c r="Y51" s="345"/>
      <c r="Z51" s="345"/>
      <c r="AA51" s="345"/>
      <c r="AB51" s="345"/>
      <c r="AC51" s="345"/>
    </row>
    <row r="52" ht="28.5" customHeight="1">
      <c r="A52" s="331" t="str">
        <f>IFERROR(__xludf.DUMMYFUNCTION("""COMPUTED_VALUE"""),"18814-M")</f>
        <v>18814-M</v>
      </c>
      <c r="B52" s="33" t="str">
        <f>IFERROR(__xludf.DUMMYFUNCTION("""COMPUTED_VALUE"""),"W E COMERCIO DE PISCINAS LTDA")</f>
        <v>W E COMERCIO DE PISCINAS LTDA</v>
      </c>
      <c r="C52" s="332">
        <f>IFERROR(__xludf.DUMMYFUNCTION("""COMPUTED_VALUE"""),1.0)</f>
        <v>1</v>
      </c>
      <c r="D52" s="331"/>
      <c r="E52" s="331" t="str">
        <f>IFERROR(__xludf.DUMMYFUNCTION("""COMPUTED_VALUE"""),"FTI25D40PT")</f>
        <v>FTI25D40PT</v>
      </c>
      <c r="F52" s="331" t="str">
        <f>IFERROR(__xludf.DUMMYFUNCTION("""COMPUTED_VALUE"""),"WI-FI")</f>
        <v>WI-FI</v>
      </c>
      <c r="G52" s="331" t="str">
        <f>IFERROR(__xludf.DUMMYFUNCTION("""COMPUTED_VALUE"""),"NAO")</f>
        <v>NAO</v>
      </c>
      <c r="H52" s="333" t="str">
        <f>IFERROR(__xludf.DUMMYFUNCTION("""COMPUTED_VALUE"""),"NAO")</f>
        <v>NAO</v>
      </c>
      <c r="I52" s="334" t="str">
        <f>IFERROR(__xludf.DUMMYFUNCTION("""COMPUTED_VALUE"""),"AGUARDAR CONTAINER")</f>
        <v>AGUARDAR CONTAINER</v>
      </c>
      <c r="J52" s="335" t="str">
        <f>IFERROR(__xludf.DUMMYFUNCTION("""COMPUTED_VALUE"""),"RETIRA")</f>
        <v>RETIRA</v>
      </c>
      <c r="K52" s="336" t="str">
        <f>IFERROR(__xludf.DUMMYFUNCTION("""COMPUTED_VALUE"""),"SEM REDESPACHO")</f>
        <v>SEM REDESPACHO</v>
      </c>
      <c r="L52" s="337"/>
      <c r="M52" s="338"/>
      <c r="N52" s="339"/>
      <c r="O52" s="340"/>
      <c r="P52"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2" s="342"/>
      <c r="R52" s="342"/>
      <c r="S52" s="342"/>
      <c r="T52" s="343"/>
      <c r="U52" s="342"/>
      <c r="V52" s="342"/>
      <c r="W52" s="344"/>
      <c r="X52" s="344"/>
      <c r="Y52" s="345"/>
      <c r="Z52" s="345"/>
      <c r="AA52" s="345"/>
      <c r="AB52" s="345"/>
      <c r="AC52" s="345"/>
    </row>
    <row r="53" ht="28.5" customHeight="1">
      <c r="A53" s="331" t="str">
        <f>IFERROR(__xludf.DUMMYFUNCTION("""COMPUTED_VALUE"""),"18814-N")</f>
        <v>18814-N</v>
      </c>
      <c r="B53" s="33" t="str">
        <f>IFERROR(__xludf.DUMMYFUNCTION("""COMPUTED_VALUE"""),"W E COMERCIO DE PISCINAS LTDA")</f>
        <v>W E COMERCIO DE PISCINAS LTDA</v>
      </c>
      <c r="C53" s="332">
        <f>IFERROR(__xludf.DUMMYFUNCTION("""COMPUTED_VALUE"""),1.0)</f>
        <v>1</v>
      </c>
      <c r="D53" s="331"/>
      <c r="E53" s="331" t="str">
        <f>IFERROR(__xludf.DUMMYFUNCTION("""COMPUTED_VALUE"""),"FTI25D40PT")</f>
        <v>FTI25D40PT</v>
      </c>
      <c r="F53" s="331" t="str">
        <f>IFERROR(__xludf.DUMMYFUNCTION("""COMPUTED_VALUE"""),"WI-FI")</f>
        <v>WI-FI</v>
      </c>
      <c r="G53" s="331" t="str">
        <f>IFERROR(__xludf.DUMMYFUNCTION("""COMPUTED_VALUE"""),"NAO")</f>
        <v>NAO</v>
      </c>
      <c r="H53" s="333" t="str">
        <f>IFERROR(__xludf.DUMMYFUNCTION("""COMPUTED_VALUE"""),"NAO")</f>
        <v>NAO</v>
      </c>
      <c r="I53" s="334" t="str">
        <f>IFERROR(__xludf.DUMMYFUNCTION("""COMPUTED_VALUE"""),"AGUARDAR CONTAINER")</f>
        <v>AGUARDAR CONTAINER</v>
      </c>
      <c r="J53" s="335" t="str">
        <f>IFERROR(__xludf.DUMMYFUNCTION("""COMPUTED_VALUE"""),"RETIRA")</f>
        <v>RETIRA</v>
      </c>
      <c r="K53" s="336" t="str">
        <f>IFERROR(__xludf.DUMMYFUNCTION("""COMPUTED_VALUE"""),"SEM REDESPACHO")</f>
        <v>SEM REDESPACHO</v>
      </c>
      <c r="L53" s="337"/>
      <c r="M53" s="338"/>
      <c r="N53" s="339"/>
      <c r="O53" s="340"/>
      <c r="P53"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3" s="342"/>
      <c r="R53" s="342"/>
      <c r="S53" s="342"/>
      <c r="T53" s="343"/>
      <c r="U53" s="342"/>
      <c r="V53" s="342"/>
      <c r="W53" s="344"/>
      <c r="X53" s="344"/>
      <c r="Y53" s="345"/>
      <c r="Z53" s="345"/>
      <c r="AA53" s="345"/>
      <c r="AB53" s="345"/>
      <c r="AC53" s="345"/>
    </row>
    <row r="54" ht="28.5" customHeight="1">
      <c r="A54" s="331" t="str">
        <f>IFERROR(__xludf.DUMMYFUNCTION("""COMPUTED_VALUE"""),"18814-O")</f>
        <v>18814-O</v>
      </c>
      <c r="B54" s="33" t="str">
        <f>IFERROR(__xludf.DUMMYFUNCTION("""COMPUTED_VALUE"""),"W E COMERCIO DE PISCINAS LTDA")</f>
        <v>W E COMERCIO DE PISCINAS LTDA</v>
      </c>
      <c r="C54" s="332">
        <f>IFERROR(__xludf.DUMMYFUNCTION("""COMPUTED_VALUE"""),1.0)</f>
        <v>1</v>
      </c>
      <c r="D54" s="331"/>
      <c r="E54" s="331" t="str">
        <f>IFERROR(__xludf.DUMMYFUNCTION("""COMPUTED_VALUE"""),"FTI25D40PT")</f>
        <v>FTI25D40PT</v>
      </c>
      <c r="F54" s="331" t="str">
        <f>IFERROR(__xludf.DUMMYFUNCTION("""COMPUTED_VALUE"""),"WI-FI")</f>
        <v>WI-FI</v>
      </c>
      <c r="G54" s="331" t="str">
        <f>IFERROR(__xludf.DUMMYFUNCTION("""COMPUTED_VALUE"""),"NAO")</f>
        <v>NAO</v>
      </c>
      <c r="H54" s="333" t="str">
        <f>IFERROR(__xludf.DUMMYFUNCTION("""COMPUTED_VALUE"""),"NAO")</f>
        <v>NAO</v>
      </c>
      <c r="I54" s="334" t="str">
        <f>IFERROR(__xludf.DUMMYFUNCTION("""COMPUTED_VALUE"""),"AGUARDAR CONTAINER")</f>
        <v>AGUARDAR CONTAINER</v>
      </c>
      <c r="J54" s="335" t="str">
        <f>IFERROR(__xludf.DUMMYFUNCTION("""COMPUTED_VALUE"""),"RETIRA")</f>
        <v>RETIRA</v>
      </c>
      <c r="K54" s="336" t="str">
        <f>IFERROR(__xludf.DUMMYFUNCTION("""COMPUTED_VALUE"""),"SEM REDESPACHO")</f>
        <v>SEM REDESPACHO</v>
      </c>
      <c r="L54" s="337"/>
      <c r="M54" s="338"/>
      <c r="N54" s="339"/>
      <c r="O54" s="340"/>
      <c r="P54"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4" s="342"/>
      <c r="R54" s="342"/>
      <c r="S54" s="342"/>
      <c r="T54" s="343"/>
      <c r="U54" s="342"/>
      <c r="V54" s="342"/>
      <c r="W54" s="344"/>
      <c r="X54" s="344"/>
      <c r="Y54" s="345"/>
      <c r="Z54" s="345"/>
      <c r="AA54" s="345"/>
      <c r="AB54" s="345"/>
      <c r="AC54" s="345"/>
    </row>
    <row r="55" ht="28.5" customHeight="1">
      <c r="A55" s="331" t="str">
        <f>IFERROR(__xludf.DUMMYFUNCTION("""COMPUTED_VALUE"""),"18814-P")</f>
        <v>18814-P</v>
      </c>
      <c r="B55" s="33" t="str">
        <f>IFERROR(__xludf.DUMMYFUNCTION("""COMPUTED_VALUE"""),"W E COMERCIO DE PISCINAS LTDA")</f>
        <v>W E COMERCIO DE PISCINAS LTDA</v>
      </c>
      <c r="C55" s="332">
        <f>IFERROR(__xludf.DUMMYFUNCTION("""COMPUTED_VALUE"""),1.0)</f>
        <v>1</v>
      </c>
      <c r="D55" s="331"/>
      <c r="E55" s="331" t="str">
        <f>IFERROR(__xludf.DUMMYFUNCTION("""COMPUTED_VALUE"""),"FTI25D40PT")</f>
        <v>FTI25D40PT</v>
      </c>
      <c r="F55" s="331" t="str">
        <f>IFERROR(__xludf.DUMMYFUNCTION("""COMPUTED_VALUE"""),"WI-FI")</f>
        <v>WI-FI</v>
      </c>
      <c r="G55" s="331" t="str">
        <f>IFERROR(__xludf.DUMMYFUNCTION("""COMPUTED_VALUE"""),"NAO")</f>
        <v>NAO</v>
      </c>
      <c r="H55" s="333" t="str">
        <f>IFERROR(__xludf.DUMMYFUNCTION("""COMPUTED_VALUE"""),"NAO")</f>
        <v>NAO</v>
      </c>
      <c r="I55" s="334" t="str">
        <f>IFERROR(__xludf.DUMMYFUNCTION("""COMPUTED_VALUE"""),"AGUARDAR CONTAINER")</f>
        <v>AGUARDAR CONTAINER</v>
      </c>
      <c r="J55" s="335" t="str">
        <f>IFERROR(__xludf.DUMMYFUNCTION("""COMPUTED_VALUE"""),"RETIRA")</f>
        <v>RETIRA</v>
      </c>
      <c r="K55" s="336" t="str">
        <f>IFERROR(__xludf.DUMMYFUNCTION("""COMPUTED_VALUE"""),"SEM REDESPACHO")</f>
        <v>SEM REDESPACHO</v>
      </c>
      <c r="L55" s="337"/>
      <c r="M55" s="338"/>
      <c r="N55" s="339"/>
      <c r="O55" s="340"/>
      <c r="P55"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5" s="342"/>
      <c r="R55" s="342"/>
      <c r="S55" s="342"/>
      <c r="T55" s="343"/>
      <c r="U55" s="342"/>
      <c r="V55" s="342"/>
      <c r="W55" s="344"/>
      <c r="X55" s="344"/>
      <c r="Y55" s="345"/>
      <c r="Z55" s="345"/>
      <c r="AA55" s="345"/>
      <c r="AB55" s="345"/>
      <c r="AC55" s="345"/>
    </row>
    <row r="56" ht="28.5" customHeight="1">
      <c r="A56" s="331" t="str">
        <f>IFERROR(__xludf.DUMMYFUNCTION("""COMPUTED_VALUE"""),"18814-Q")</f>
        <v>18814-Q</v>
      </c>
      <c r="B56" s="33" t="str">
        <f>IFERROR(__xludf.DUMMYFUNCTION("""COMPUTED_VALUE"""),"W E COMERCIO DE PISCINAS LTDA")</f>
        <v>W E COMERCIO DE PISCINAS LTDA</v>
      </c>
      <c r="C56" s="332">
        <f>IFERROR(__xludf.DUMMYFUNCTION("""COMPUTED_VALUE"""),1.0)</f>
        <v>1</v>
      </c>
      <c r="D56" s="331"/>
      <c r="E56" s="331" t="str">
        <f>IFERROR(__xludf.DUMMYFUNCTION("""COMPUTED_VALUE"""),"FTI25D40PT")</f>
        <v>FTI25D40PT</v>
      </c>
      <c r="F56" s="331" t="str">
        <f>IFERROR(__xludf.DUMMYFUNCTION("""COMPUTED_VALUE"""),"WI-FI")</f>
        <v>WI-FI</v>
      </c>
      <c r="G56" s="331" t="str">
        <f>IFERROR(__xludf.DUMMYFUNCTION("""COMPUTED_VALUE"""),"NAO")</f>
        <v>NAO</v>
      </c>
      <c r="H56" s="333" t="str">
        <f>IFERROR(__xludf.DUMMYFUNCTION("""COMPUTED_VALUE"""),"NAO")</f>
        <v>NAO</v>
      </c>
      <c r="I56" s="334" t="str">
        <f>IFERROR(__xludf.DUMMYFUNCTION("""COMPUTED_VALUE"""),"AGUARDAR CONTAINER")</f>
        <v>AGUARDAR CONTAINER</v>
      </c>
      <c r="J56" s="335" t="str">
        <f>IFERROR(__xludf.DUMMYFUNCTION("""COMPUTED_VALUE"""),"RETIRA")</f>
        <v>RETIRA</v>
      </c>
      <c r="K56" s="336" t="str">
        <f>IFERROR(__xludf.DUMMYFUNCTION("""COMPUTED_VALUE"""),"SEM REDESPACHO")</f>
        <v>SEM REDESPACHO</v>
      </c>
      <c r="L56" s="337"/>
      <c r="M56" s="338"/>
      <c r="N56" s="339"/>
      <c r="O56" s="340"/>
      <c r="P56"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6" s="342"/>
      <c r="R56" s="342"/>
      <c r="S56" s="342"/>
      <c r="T56" s="343"/>
      <c r="U56" s="342"/>
      <c r="V56" s="342"/>
      <c r="W56" s="344"/>
      <c r="X56" s="344"/>
      <c r="Y56" s="345"/>
      <c r="Z56" s="345"/>
      <c r="AA56" s="345"/>
      <c r="AB56" s="345"/>
      <c r="AC56" s="345"/>
    </row>
    <row r="57" ht="28.5" customHeight="1">
      <c r="A57" s="331" t="str">
        <f>IFERROR(__xludf.DUMMYFUNCTION("""COMPUTED_VALUE"""),"18814-R")</f>
        <v>18814-R</v>
      </c>
      <c r="B57" s="33" t="str">
        <f>IFERROR(__xludf.DUMMYFUNCTION("""COMPUTED_VALUE"""),"W E COMERCIO DE PISCINAS LTDA")</f>
        <v>W E COMERCIO DE PISCINAS LTDA</v>
      </c>
      <c r="C57" s="332">
        <f>IFERROR(__xludf.DUMMYFUNCTION("""COMPUTED_VALUE"""),1.0)</f>
        <v>1</v>
      </c>
      <c r="D57" s="331"/>
      <c r="E57" s="331" t="str">
        <f>IFERROR(__xludf.DUMMYFUNCTION("""COMPUTED_VALUE"""),"FTI25D40PT")</f>
        <v>FTI25D40PT</v>
      </c>
      <c r="F57" s="331" t="str">
        <f>IFERROR(__xludf.DUMMYFUNCTION("""COMPUTED_VALUE"""),"WI-FI")</f>
        <v>WI-FI</v>
      </c>
      <c r="G57" s="331" t="str">
        <f>IFERROR(__xludf.DUMMYFUNCTION("""COMPUTED_VALUE"""),"NAO")</f>
        <v>NAO</v>
      </c>
      <c r="H57" s="333" t="str">
        <f>IFERROR(__xludf.DUMMYFUNCTION("""COMPUTED_VALUE"""),"NAO")</f>
        <v>NAO</v>
      </c>
      <c r="I57" s="334" t="str">
        <f>IFERROR(__xludf.DUMMYFUNCTION("""COMPUTED_VALUE"""),"AGUARDAR CONTAINER")</f>
        <v>AGUARDAR CONTAINER</v>
      </c>
      <c r="J57" s="335" t="str">
        <f>IFERROR(__xludf.DUMMYFUNCTION("""COMPUTED_VALUE"""),"RETIRA")</f>
        <v>RETIRA</v>
      </c>
      <c r="K57" s="336" t="str">
        <f>IFERROR(__xludf.DUMMYFUNCTION("""COMPUTED_VALUE"""),"SEM REDESPACHO")</f>
        <v>SEM REDESPACHO</v>
      </c>
      <c r="L57" s="337"/>
      <c r="M57" s="338"/>
      <c r="N57" s="339"/>
      <c r="O57" s="340"/>
      <c r="P57"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7" s="342"/>
      <c r="R57" s="342"/>
      <c r="S57" s="342"/>
      <c r="T57" s="343"/>
      <c r="U57" s="342"/>
      <c r="V57" s="342"/>
      <c r="W57" s="344"/>
      <c r="X57" s="344"/>
      <c r="Y57" s="345"/>
      <c r="Z57" s="345"/>
      <c r="AA57" s="345"/>
      <c r="AB57" s="345"/>
      <c r="AC57" s="345"/>
    </row>
    <row r="58" ht="28.5" customHeight="1">
      <c r="A58" s="331" t="str">
        <f>IFERROR(__xludf.DUMMYFUNCTION("""COMPUTED_VALUE"""),"18814-S")</f>
        <v>18814-S</v>
      </c>
      <c r="B58" s="33" t="str">
        <f>IFERROR(__xludf.DUMMYFUNCTION("""COMPUTED_VALUE"""),"W E COMERCIO DE PISCINAS LTDA")</f>
        <v>W E COMERCIO DE PISCINAS LTDA</v>
      </c>
      <c r="C58" s="332">
        <f>IFERROR(__xludf.DUMMYFUNCTION("""COMPUTED_VALUE"""),1.0)</f>
        <v>1</v>
      </c>
      <c r="D58" s="331"/>
      <c r="E58" s="331" t="str">
        <f>IFERROR(__xludf.DUMMYFUNCTION("""COMPUTED_VALUE"""),"FTI25D40PT")</f>
        <v>FTI25D40PT</v>
      </c>
      <c r="F58" s="331" t="str">
        <f>IFERROR(__xludf.DUMMYFUNCTION("""COMPUTED_VALUE"""),"WI-FI")</f>
        <v>WI-FI</v>
      </c>
      <c r="G58" s="331" t="str">
        <f>IFERROR(__xludf.DUMMYFUNCTION("""COMPUTED_VALUE"""),"NAO")</f>
        <v>NAO</v>
      </c>
      <c r="H58" s="333" t="str">
        <f>IFERROR(__xludf.DUMMYFUNCTION("""COMPUTED_VALUE"""),"NAO")</f>
        <v>NAO</v>
      </c>
      <c r="I58" s="334" t="str">
        <f>IFERROR(__xludf.DUMMYFUNCTION("""COMPUTED_VALUE"""),"AGUARDAR CONTAINER")</f>
        <v>AGUARDAR CONTAINER</v>
      </c>
      <c r="J58" s="335" t="str">
        <f>IFERROR(__xludf.DUMMYFUNCTION("""COMPUTED_VALUE"""),"RETIRA")</f>
        <v>RETIRA</v>
      </c>
      <c r="K58" s="336" t="str">
        <f>IFERROR(__xludf.DUMMYFUNCTION("""COMPUTED_VALUE"""),"SEM REDESPACHO")</f>
        <v>SEM REDESPACHO</v>
      </c>
      <c r="L58" s="337"/>
      <c r="M58" s="338"/>
      <c r="N58" s="339"/>
      <c r="O58" s="340"/>
      <c r="P58"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8" s="342"/>
      <c r="R58" s="342"/>
      <c r="S58" s="342"/>
      <c r="T58" s="343"/>
      <c r="U58" s="342"/>
      <c r="V58" s="342"/>
      <c r="W58" s="344"/>
      <c r="X58" s="344"/>
      <c r="Y58" s="345"/>
      <c r="Z58" s="345"/>
      <c r="AA58" s="345"/>
      <c r="AB58" s="345"/>
      <c r="AC58" s="345"/>
    </row>
    <row r="59" ht="28.5" customHeight="1">
      <c r="A59" s="331" t="str">
        <f>IFERROR(__xludf.DUMMYFUNCTION("""COMPUTED_VALUE"""),"18814-T")</f>
        <v>18814-T</v>
      </c>
      <c r="B59" s="33" t="str">
        <f>IFERROR(__xludf.DUMMYFUNCTION("""COMPUTED_VALUE"""),"W E COMERCIO DE PISCINAS LTDA")</f>
        <v>W E COMERCIO DE PISCINAS LTDA</v>
      </c>
      <c r="C59" s="332">
        <f>IFERROR(__xludf.DUMMYFUNCTION("""COMPUTED_VALUE"""),1.0)</f>
        <v>1</v>
      </c>
      <c r="D59" s="331"/>
      <c r="E59" s="331" t="str">
        <f>IFERROR(__xludf.DUMMYFUNCTION("""COMPUTED_VALUE"""),"FTI25D40PT")</f>
        <v>FTI25D40PT</v>
      </c>
      <c r="F59" s="331" t="str">
        <f>IFERROR(__xludf.DUMMYFUNCTION("""COMPUTED_VALUE"""),"WI-FI")</f>
        <v>WI-FI</v>
      </c>
      <c r="G59" s="331" t="str">
        <f>IFERROR(__xludf.DUMMYFUNCTION("""COMPUTED_VALUE"""),"NAO")</f>
        <v>NAO</v>
      </c>
      <c r="H59" s="333" t="str">
        <f>IFERROR(__xludf.DUMMYFUNCTION("""COMPUTED_VALUE"""),"NAO")</f>
        <v>NAO</v>
      </c>
      <c r="I59" s="334" t="str">
        <f>IFERROR(__xludf.DUMMYFUNCTION("""COMPUTED_VALUE"""),"AGUARDAR CONTAINER")</f>
        <v>AGUARDAR CONTAINER</v>
      </c>
      <c r="J59" s="335" t="str">
        <f>IFERROR(__xludf.DUMMYFUNCTION("""COMPUTED_VALUE"""),"RETIRA")</f>
        <v>RETIRA</v>
      </c>
      <c r="K59" s="336" t="str">
        <f>IFERROR(__xludf.DUMMYFUNCTION("""COMPUTED_VALUE"""),"SEM REDESPACHO")</f>
        <v>SEM REDESPACHO</v>
      </c>
      <c r="L59" s="337"/>
      <c r="M59" s="338"/>
      <c r="N59" s="339"/>
      <c r="O59" s="340"/>
      <c r="P59"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59" s="342"/>
      <c r="R59" s="342"/>
      <c r="S59" s="342"/>
      <c r="T59" s="343"/>
      <c r="U59" s="342"/>
      <c r="V59" s="342"/>
      <c r="W59" s="344"/>
      <c r="X59" s="344"/>
      <c r="Y59" s="345"/>
      <c r="Z59" s="345"/>
      <c r="AA59" s="345"/>
      <c r="AB59" s="345"/>
      <c r="AC59" s="345"/>
    </row>
    <row r="60" ht="28.5" customHeight="1">
      <c r="A60" s="331" t="str">
        <f>IFERROR(__xludf.DUMMYFUNCTION("""COMPUTED_VALUE"""),"18814-U")</f>
        <v>18814-U</v>
      </c>
      <c r="B60" s="33" t="str">
        <f>IFERROR(__xludf.DUMMYFUNCTION("""COMPUTED_VALUE"""),"W E COMERCIO DE PISCINAS LTDA")</f>
        <v>W E COMERCIO DE PISCINAS LTDA</v>
      </c>
      <c r="C60" s="332">
        <f>IFERROR(__xludf.DUMMYFUNCTION("""COMPUTED_VALUE"""),1.0)</f>
        <v>1</v>
      </c>
      <c r="D60" s="331"/>
      <c r="E60" s="331" t="str">
        <f>IFERROR(__xludf.DUMMYFUNCTION("""COMPUTED_VALUE"""),"FTI25D40PT")</f>
        <v>FTI25D40PT</v>
      </c>
      <c r="F60" s="331" t="str">
        <f>IFERROR(__xludf.DUMMYFUNCTION("""COMPUTED_VALUE"""),"WI-FI")</f>
        <v>WI-FI</v>
      </c>
      <c r="G60" s="331" t="str">
        <f>IFERROR(__xludf.DUMMYFUNCTION("""COMPUTED_VALUE"""),"NAO")</f>
        <v>NAO</v>
      </c>
      <c r="H60" s="333" t="str">
        <f>IFERROR(__xludf.DUMMYFUNCTION("""COMPUTED_VALUE"""),"NAO")</f>
        <v>NAO</v>
      </c>
      <c r="I60" s="334" t="str">
        <f>IFERROR(__xludf.DUMMYFUNCTION("""COMPUTED_VALUE"""),"AGUARDAR CONTAINER")</f>
        <v>AGUARDAR CONTAINER</v>
      </c>
      <c r="J60" s="335" t="str">
        <f>IFERROR(__xludf.DUMMYFUNCTION("""COMPUTED_VALUE"""),"RETIRA")</f>
        <v>RETIRA</v>
      </c>
      <c r="K60" s="336" t="str">
        <f>IFERROR(__xludf.DUMMYFUNCTION("""COMPUTED_VALUE"""),"SEM REDESPACHO")</f>
        <v>SEM REDESPACHO</v>
      </c>
      <c r="L60" s="337"/>
      <c r="M60" s="338"/>
      <c r="N60" s="339"/>
      <c r="O60" s="340"/>
      <c r="P60"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60" s="342"/>
      <c r="R60" s="342"/>
      <c r="S60" s="342"/>
      <c r="T60" s="343"/>
      <c r="U60" s="342"/>
      <c r="V60" s="342"/>
      <c r="W60" s="344"/>
      <c r="X60" s="344"/>
      <c r="Y60" s="345"/>
      <c r="Z60" s="345"/>
      <c r="AA60" s="345"/>
      <c r="AB60" s="345"/>
      <c r="AC60" s="345"/>
    </row>
    <row r="61" ht="28.5" customHeight="1">
      <c r="A61" s="331" t="str">
        <f>IFERROR(__xludf.DUMMYFUNCTION("""COMPUTED_VALUE"""),"18814-V")</f>
        <v>18814-V</v>
      </c>
      <c r="B61" s="33" t="str">
        <f>IFERROR(__xludf.DUMMYFUNCTION("""COMPUTED_VALUE"""),"W E COMERCIO DE PISCINAS LTDA")</f>
        <v>W E COMERCIO DE PISCINAS LTDA</v>
      </c>
      <c r="C61" s="332">
        <f>IFERROR(__xludf.DUMMYFUNCTION("""COMPUTED_VALUE"""),1.0)</f>
        <v>1</v>
      </c>
      <c r="D61" s="331"/>
      <c r="E61" s="331" t="str">
        <f>IFERROR(__xludf.DUMMYFUNCTION("""COMPUTED_VALUE"""),"FTI25D40PT")</f>
        <v>FTI25D40PT</v>
      </c>
      <c r="F61" s="331" t="str">
        <f>IFERROR(__xludf.DUMMYFUNCTION("""COMPUTED_VALUE"""),"WI-FI")</f>
        <v>WI-FI</v>
      </c>
      <c r="G61" s="331" t="str">
        <f>IFERROR(__xludf.DUMMYFUNCTION("""COMPUTED_VALUE"""),"NAO")</f>
        <v>NAO</v>
      </c>
      <c r="H61" s="333" t="str">
        <f>IFERROR(__xludf.DUMMYFUNCTION("""COMPUTED_VALUE"""),"NAO")</f>
        <v>NAO</v>
      </c>
      <c r="I61" s="334" t="str">
        <f>IFERROR(__xludf.DUMMYFUNCTION("""COMPUTED_VALUE"""),"AGUARDAR CONTAINER")</f>
        <v>AGUARDAR CONTAINER</v>
      </c>
      <c r="J61" s="335" t="str">
        <f>IFERROR(__xludf.DUMMYFUNCTION("""COMPUTED_VALUE"""),"RETIRA")</f>
        <v>RETIRA</v>
      </c>
      <c r="K61" s="336" t="str">
        <f>IFERROR(__xludf.DUMMYFUNCTION("""COMPUTED_VALUE"""),"SEM REDESPACHO")</f>
        <v>SEM REDESPACHO</v>
      </c>
      <c r="L61" s="337"/>
      <c r="M61" s="338"/>
      <c r="N61" s="339"/>
      <c r="O61" s="340"/>
      <c r="P61"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61" s="342"/>
      <c r="R61" s="342"/>
      <c r="S61" s="342"/>
      <c r="T61" s="343"/>
      <c r="U61" s="342"/>
      <c r="V61" s="342"/>
      <c r="W61" s="344"/>
      <c r="X61" s="344"/>
      <c r="Y61" s="345"/>
      <c r="Z61" s="345"/>
      <c r="AA61" s="345"/>
      <c r="AB61" s="345"/>
      <c r="AC61" s="345"/>
    </row>
    <row r="62" ht="28.5" customHeight="1">
      <c r="A62" s="331" t="str">
        <f>IFERROR(__xludf.DUMMYFUNCTION("""COMPUTED_VALUE"""),"18814-X")</f>
        <v>18814-X</v>
      </c>
      <c r="B62" s="33" t="str">
        <f>IFERROR(__xludf.DUMMYFUNCTION("""COMPUTED_VALUE"""),"W E COMERCIO DE PISCINAS LTDA")</f>
        <v>W E COMERCIO DE PISCINAS LTDA</v>
      </c>
      <c r="C62" s="332">
        <f>IFERROR(__xludf.DUMMYFUNCTION("""COMPUTED_VALUE"""),1.0)</f>
        <v>1</v>
      </c>
      <c r="D62" s="331"/>
      <c r="E62" s="331" t="str">
        <f>IFERROR(__xludf.DUMMYFUNCTION("""COMPUTED_VALUE"""),"FTI25D40PT")</f>
        <v>FTI25D40PT</v>
      </c>
      <c r="F62" s="331" t="str">
        <f>IFERROR(__xludf.DUMMYFUNCTION("""COMPUTED_VALUE"""),"WI-FI")</f>
        <v>WI-FI</v>
      </c>
      <c r="G62" s="331" t="str">
        <f>IFERROR(__xludf.DUMMYFUNCTION("""COMPUTED_VALUE"""),"NAO")</f>
        <v>NAO</v>
      </c>
      <c r="H62" s="333" t="str">
        <f>IFERROR(__xludf.DUMMYFUNCTION("""COMPUTED_VALUE"""),"NAO")</f>
        <v>NAO</v>
      </c>
      <c r="I62" s="334" t="str">
        <f>IFERROR(__xludf.DUMMYFUNCTION("""COMPUTED_VALUE"""),"AGUARDAR CONTAINER")</f>
        <v>AGUARDAR CONTAINER</v>
      </c>
      <c r="J62" s="335" t="str">
        <f>IFERROR(__xludf.DUMMYFUNCTION("""COMPUTED_VALUE"""),"RETIRA")</f>
        <v>RETIRA</v>
      </c>
      <c r="K62" s="336" t="str">
        <f>IFERROR(__xludf.DUMMYFUNCTION("""COMPUTED_VALUE"""),"SEM REDESPACHO")</f>
        <v>SEM REDESPACHO</v>
      </c>
      <c r="L62" s="337"/>
      <c r="M62" s="338"/>
      <c r="N62" s="339"/>
      <c r="O62" s="340"/>
      <c r="P62"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62" s="342"/>
      <c r="R62" s="342"/>
      <c r="S62" s="342"/>
      <c r="T62" s="343"/>
      <c r="U62" s="342"/>
      <c r="V62" s="342"/>
      <c r="W62" s="344"/>
      <c r="X62" s="344"/>
      <c r="Y62" s="345"/>
      <c r="Z62" s="345"/>
      <c r="AA62" s="345"/>
      <c r="AB62" s="345"/>
      <c r="AC62" s="345"/>
    </row>
    <row r="63" ht="28.5" customHeight="1">
      <c r="A63" s="331" t="str">
        <f>IFERROR(__xludf.DUMMYFUNCTION("""COMPUTED_VALUE"""),"18814-Z")</f>
        <v>18814-Z</v>
      </c>
      <c r="B63" s="33" t="str">
        <f>IFERROR(__xludf.DUMMYFUNCTION("""COMPUTED_VALUE"""),"W E COMERCIO DE PISCINAS LTDA")</f>
        <v>W E COMERCIO DE PISCINAS LTDA</v>
      </c>
      <c r="C63" s="332">
        <f>IFERROR(__xludf.DUMMYFUNCTION("""COMPUTED_VALUE"""),1.0)</f>
        <v>1</v>
      </c>
      <c r="D63" s="331"/>
      <c r="E63" s="331" t="str">
        <f>IFERROR(__xludf.DUMMYFUNCTION("""COMPUTED_VALUE"""),"FTI25D40PT")</f>
        <v>FTI25D40PT</v>
      </c>
      <c r="F63" s="331" t="str">
        <f>IFERROR(__xludf.DUMMYFUNCTION("""COMPUTED_VALUE"""),"WI-FI")</f>
        <v>WI-FI</v>
      </c>
      <c r="G63" s="331" t="str">
        <f>IFERROR(__xludf.DUMMYFUNCTION("""COMPUTED_VALUE"""),"NAO")</f>
        <v>NAO</v>
      </c>
      <c r="H63" s="333" t="str">
        <f>IFERROR(__xludf.DUMMYFUNCTION("""COMPUTED_VALUE"""),"NAO")</f>
        <v>NAO</v>
      </c>
      <c r="I63" s="334" t="str">
        <f>IFERROR(__xludf.DUMMYFUNCTION("""COMPUTED_VALUE"""),"AGUARDAR CONTAINER")</f>
        <v>AGUARDAR CONTAINER</v>
      </c>
      <c r="J63" s="335" t="str">
        <f>IFERROR(__xludf.DUMMYFUNCTION("""COMPUTED_VALUE"""),"RETIRA")</f>
        <v>RETIRA</v>
      </c>
      <c r="K63" s="336" t="str">
        <f>IFERROR(__xludf.DUMMYFUNCTION("""COMPUTED_VALUE"""),"SEM REDESPACHO")</f>
        <v>SEM REDESPACHO</v>
      </c>
      <c r="L63" s="337"/>
      <c r="M63" s="338"/>
      <c r="N63" s="339"/>
      <c r="O63" s="340"/>
      <c r="P63" s="341" t="str">
        <f>IFERROR(__xludf.DUMMYFUNCTION("""COMPUTED_VALUE"""),"CLIENTE RETIRA / (0) Obs.Interna: valor da maquina R$ 4.845,42
CLIENTE RETIRA - Entrega em DEZEMBRO
PAGAMENTO EM 16/10/25 .  / E-mail para nota fiscal: , E-mail de cobrança: , Telefone para contato")</f>
        <v>CLIENTE RETIRA / (0) Obs.Interna: valor da maquina R$ 4.845,42
CLIENTE RETIRA - Entrega em DEZEMBRO
PAGAMENTO EM 16/10/25 .  / E-mail para nota fiscal: , E-mail de cobrança: , Telefone para contato</v>
      </c>
      <c r="Q63" s="342"/>
      <c r="R63" s="342"/>
      <c r="S63" s="342"/>
      <c r="T63" s="343"/>
      <c r="U63" s="342"/>
      <c r="V63" s="342"/>
      <c r="W63" s="344"/>
      <c r="X63" s="344"/>
      <c r="Y63" s="345"/>
      <c r="Z63" s="345"/>
      <c r="AA63" s="345"/>
      <c r="AB63" s="345"/>
      <c r="AC63" s="345"/>
    </row>
    <row r="64" ht="28.5" customHeight="1">
      <c r="A64" s="331" t="str">
        <f>IFERROR(__xludf.DUMMYFUNCTION("""COMPUTED_VALUE"""),"18842-A")</f>
        <v>18842-A</v>
      </c>
      <c r="B64" s="33" t="str">
        <f>IFERROR(__xludf.DUMMYFUNCTION("""COMPUTED_VALUE"""),"ROYAL BLUE COMERCIO DE PISCINAS")</f>
        <v>ROYAL BLUE COMERCIO DE PISCINAS</v>
      </c>
      <c r="C64" s="332">
        <f>IFERROR(__xludf.DUMMYFUNCTION("""COMPUTED_VALUE"""),1.0)</f>
        <v>1</v>
      </c>
      <c r="D64" s="331"/>
      <c r="E64" s="331" t="str">
        <f>IFERROR(__xludf.DUMMYFUNCTION("""COMPUTED_VALUE"""),"FTI25D40PT")</f>
        <v>FTI25D40PT</v>
      </c>
      <c r="F64" s="331" t="str">
        <f>IFERROR(__xludf.DUMMYFUNCTION("""COMPUTED_VALUE"""),"WI-FI")</f>
        <v>WI-FI</v>
      </c>
      <c r="G64" s="331" t="str">
        <f>IFERROR(__xludf.DUMMYFUNCTION("""COMPUTED_VALUE"""),"NAO")</f>
        <v>NAO</v>
      </c>
      <c r="H64" s="333" t="str">
        <f>IFERROR(__xludf.DUMMYFUNCTION("""COMPUTED_VALUE"""),"NAO")</f>
        <v>NAO</v>
      </c>
      <c r="I64" s="334" t="str">
        <f>IFERROR(__xludf.DUMMYFUNCTION("""COMPUTED_VALUE"""),"AGUARDAR CONTAINER")</f>
        <v>AGUARDAR CONTAINER</v>
      </c>
      <c r="J64" s="335" t="str">
        <f>IFERROR(__xludf.DUMMYFUNCTION("""COMPUTED_VALUE"""),"EXPRESSO SAO MIGUEL")</f>
        <v>EXPRESSO SAO MIGUEL</v>
      </c>
      <c r="K64" s="336" t="str">
        <f>IFERROR(__xludf.DUMMYFUNCTION("""COMPUTED_VALUE"""),"SEM REDESPACHO")</f>
        <v>SEM REDESPACHO</v>
      </c>
      <c r="L64" s="337"/>
      <c r="M64" s="338"/>
      <c r="N64" s="339"/>
      <c r="O64" s="340"/>
      <c r="P64" s="341" t="str">
        <f>IFERROR(__xludf.DUMMYFUNCTION("""COMPUTED_VALUE"""),"14/10
EXPRESSO SAO MIGUEL S/A / (049) 3361-6627Obs.Interna: entrega em inicio de novembro  / E-mail para nota fiscal: , E-mail de cobrança: , Telefone para contato")</f>
        <v>14/10
EXPRESSO SAO MIGUEL S/A / (049) 3361-6627Obs.Interna: entrega em inicio de novembro  / E-mail para nota fiscal: , E-mail de cobrança: , Telefone para contato</v>
      </c>
      <c r="Q64" s="342"/>
      <c r="R64" s="342"/>
      <c r="S64" s="342"/>
      <c r="T64" s="343"/>
      <c r="U64" s="342"/>
      <c r="V64" s="342"/>
      <c r="W64" s="344"/>
      <c r="X64" s="344"/>
      <c r="Y64" s="345"/>
      <c r="Z64" s="345"/>
      <c r="AA64" s="345"/>
      <c r="AB64" s="345"/>
      <c r="AC64" s="345"/>
    </row>
    <row r="65" ht="28.5" customHeight="1">
      <c r="A65" s="331" t="str">
        <f>IFERROR(__xludf.DUMMYFUNCTION("""COMPUTED_VALUE"""),"18842-B")</f>
        <v>18842-B</v>
      </c>
      <c r="B65" s="33" t="str">
        <f>IFERROR(__xludf.DUMMYFUNCTION("""COMPUTED_VALUE"""),"ROYAL BLUE COMERCIO DE PISCINAS")</f>
        <v>ROYAL BLUE COMERCIO DE PISCINAS</v>
      </c>
      <c r="C65" s="332">
        <f>IFERROR(__xludf.DUMMYFUNCTION("""COMPUTED_VALUE"""),1.0)</f>
        <v>1</v>
      </c>
      <c r="D65" s="331"/>
      <c r="E65" s="331" t="str">
        <f>IFERROR(__xludf.DUMMYFUNCTION("""COMPUTED_VALUE"""),"FTI25D40PT")</f>
        <v>FTI25D40PT</v>
      </c>
      <c r="F65" s="331" t="str">
        <f>IFERROR(__xludf.DUMMYFUNCTION("""COMPUTED_VALUE"""),"WI-FI")</f>
        <v>WI-FI</v>
      </c>
      <c r="G65" s="331" t="str">
        <f>IFERROR(__xludf.DUMMYFUNCTION("""COMPUTED_VALUE"""),"NAO")</f>
        <v>NAO</v>
      </c>
      <c r="H65" s="333" t="str">
        <f>IFERROR(__xludf.DUMMYFUNCTION("""COMPUTED_VALUE"""),"NAO")</f>
        <v>NAO</v>
      </c>
      <c r="I65" s="334" t="str">
        <f>IFERROR(__xludf.DUMMYFUNCTION("""COMPUTED_VALUE"""),"AGUARDAR CONTAINER")</f>
        <v>AGUARDAR CONTAINER</v>
      </c>
      <c r="J65" s="335" t="str">
        <f>IFERROR(__xludf.DUMMYFUNCTION("""COMPUTED_VALUE"""),"EXPRESSO SAO MIGUEL")</f>
        <v>EXPRESSO SAO MIGUEL</v>
      </c>
      <c r="K65" s="336" t="str">
        <f>IFERROR(__xludf.DUMMYFUNCTION("""COMPUTED_VALUE"""),"SEM REDESPACHO")</f>
        <v>SEM REDESPACHO</v>
      </c>
      <c r="L65" s="337"/>
      <c r="M65" s="338"/>
      <c r="N65" s="339"/>
      <c r="O65" s="340"/>
      <c r="P65" s="341" t="str">
        <f>IFERROR(__xludf.DUMMYFUNCTION("""COMPUTED_VALUE"""),"14/10
EXPRESSO SAO MIGUEL S/A / (049) 3361-6627Obs.Interna: entrega em inicio de novembro  / E-mail para nota fiscal: , E-mail de cobrança: , Telefone para contato")</f>
        <v>14/10
EXPRESSO SAO MIGUEL S/A / (049) 3361-6627Obs.Interna: entrega em inicio de novembro  / E-mail para nota fiscal: , E-mail de cobrança: , Telefone para contato</v>
      </c>
      <c r="Q65" s="342"/>
      <c r="R65" s="342"/>
      <c r="S65" s="342"/>
      <c r="T65" s="343"/>
      <c r="U65" s="342"/>
      <c r="V65" s="342"/>
      <c r="W65" s="344"/>
      <c r="X65" s="344"/>
      <c r="Y65" s="345"/>
      <c r="Z65" s="345"/>
      <c r="AA65" s="345"/>
      <c r="AB65" s="345"/>
      <c r="AC65" s="345"/>
    </row>
    <row r="66" ht="28.5" customHeight="1">
      <c r="A66" s="331" t="str">
        <f>IFERROR(__xludf.DUMMYFUNCTION("""COMPUTED_VALUE"""),"18878-A")</f>
        <v>18878-A</v>
      </c>
      <c r="B66" s="33" t="str">
        <f>IFERROR(__xludf.DUMMYFUNCTION("""COMPUTED_VALUE"""),"PISCINAS ANDERLE")</f>
        <v>PISCINAS ANDERLE</v>
      </c>
      <c r="C66" s="332">
        <f>IFERROR(__xludf.DUMMYFUNCTION("""COMPUTED_VALUE"""),1.0)</f>
        <v>1</v>
      </c>
      <c r="D66" s="331"/>
      <c r="E66" s="331" t="str">
        <f>IFERROR(__xludf.DUMMYFUNCTION("""COMPUTED_VALUE"""),"FTI25D40PT")</f>
        <v>FTI25D40PT</v>
      </c>
      <c r="F66" s="331" t="str">
        <f>IFERROR(__xludf.DUMMYFUNCTION("""COMPUTED_VALUE"""),"WI-FI")</f>
        <v>WI-FI</v>
      </c>
      <c r="G66" s="331" t="str">
        <f>IFERROR(__xludf.DUMMYFUNCTION("""COMPUTED_VALUE"""),"NAO")</f>
        <v>NAO</v>
      </c>
      <c r="H66" s="333" t="str">
        <f>IFERROR(__xludf.DUMMYFUNCTION("""COMPUTED_VALUE"""),"NAO")</f>
        <v>NAO</v>
      </c>
      <c r="I66" s="334" t="str">
        <f>IFERROR(__xludf.DUMMYFUNCTION("""COMPUTED_VALUE"""),"AGUARDAR CONTAINER")</f>
        <v>AGUARDAR CONTAINER</v>
      </c>
      <c r="J66" s="335" t="str">
        <f>IFERROR(__xludf.DUMMYFUNCTION("""COMPUTED_VALUE"""),"EXPRESSO SAO MIGUEL")</f>
        <v>EXPRESSO SAO MIGUEL</v>
      </c>
      <c r="K66" s="336" t="str">
        <f>IFERROR(__xludf.DUMMYFUNCTION("""COMPUTED_VALUE"""),"SEM REDESPACHO")</f>
        <v>SEM REDESPACHO</v>
      </c>
      <c r="L66" s="337"/>
      <c r="M66" s="338"/>
      <c r="N66" s="339"/>
      <c r="O66" s="340"/>
      <c r="P66" s="341" t="str">
        <f>IFERROR(__xludf.DUMMYFUNCTION("""COMPUTED_VALUE"""),"EXPRESSO SAO MIGUEL S/A / (049) 3361-6666Informação Adicional: ABATER DO VALOR DO CONTRATO EM VIGOR
VALOR NEGOCIADO R$ 4.845,90
/ E-mail para nota fiscal: , E-mail de cobrança: , Telefone para contato")</f>
        <v>EXPRESSO SAO MIGUEL S/A / (049) 3361-6666Informação Adicional: ABATER DO VALOR DO CONTRATO EM VIGOR
VALOR NEGOCIADO R$ 4.845,90
/ E-mail para nota fiscal: , E-mail de cobrança: , Telefone para contato</v>
      </c>
      <c r="Q66" s="342"/>
      <c r="R66" s="342"/>
      <c r="S66" s="342"/>
      <c r="T66" s="343"/>
      <c r="U66" s="342"/>
      <c r="V66" s="342"/>
      <c r="W66" s="344"/>
      <c r="X66" s="344"/>
      <c r="Y66" s="345"/>
      <c r="Z66" s="345"/>
      <c r="AA66" s="345"/>
      <c r="AB66" s="345"/>
      <c r="AC66" s="345"/>
    </row>
    <row r="67" ht="28.5" customHeight="1">
      <c r="A67" s="331" t="str">
        <f>IFERROR(__xludf.DUMMYFUNCTION("""COMPUTED_VALUE"""),"18878-B")</f>
        <v>18878-B</v>
      </c>
      <c r="B67" s="33" t="str">
        <f>IFERROR(__xludf.DUMMYFUNCTION("""COMPUTED_VALUE"""),"PISCINAS ANDERLE")</f>
        <v>PISCINAS ANDERLE</v>
      </c>
      <c r="C67" s="332">
        <f>IFERROR(__xludf.DUMMYFUNCTION("""COMPUTED_VALUE"""),1.0)</f>
        <v>1</v>
      </c>
      <c r="D67" s="331"/>
      <c r="E67" s="331" t="str">
        <f>IFERROR(__xludf.DUMMYFUNCTION("""COMPUTED_VALUE"""),"FTI25D40PT")</f>
        <v>FTI25D40PT</v>
      </c>
      <c r="F67" s="331" t="str">
        <f>IFERROR(__xludf.DUMMYFUNCTION("""COMPUTED_VALUE"""),"WI-FI")</f>
        <v>WI-FI</v>
      </c>
      <c r="G67" s="331" t="str">
        <f>IFERROR(__xludf.DUMMYFUNCTION("""COMPUTED_VALUE"""),"NAO")</f>
        <v>NAO</v>
      </c>
      <c r="H67" s="333" t="str">
        <f>IFERROR(__xludf.DUMMYFUNCTION("""COMPUTED_VALUE"""),"NAO")</f>
        <v>NAO</v>
      </c>
      <c r="I67" s="334" t="str">
        <f>IFERROR(__xludf.DUMMYFUNCTION("""COMPUTED_VALUE"""),"AGUARDAR CONTAINER")</f>
        <v>AGUARDAR CONTAINER</v>
      </c>
      <c r="J67" s="335" t="str">
        <f>IFERROR(__xludf.DUMMYFUNCTION("""COMPUTED_VALUE"""),"EXPRESSO SAO MIGUEL")</f>
        <v>EXPRESSO SAO MIGUEL</v>
      </c>
      <c r="K67" s="336" t="str">
        <f>IFERROR(__xludf.DUMMYFUNCTION("""COMPUTED_VALUE"""),"SEM REDESPACHO")</f>
        <v>SEM REDESPACHO</v>
      </c>
      <c r="L67" s="337"/>
      <c r="M67" s="338"/>
      <c r="N67" s="339"/>
      <c r="O67" s="340"/>
      <c r="P67" s="341" t="str">
        <f>IFERROR(__xludf.DUMMYFUNCTION("""COMPUTED_VALUE"""),"EXPRESSO SAO MIGUEL S/A / (049) 3361-6666Informação Adicional: ABATER DO VALOR DO CONTRATO EM VIGOR
VALOR NEGOCIADO R$ 4.845,90
/ E-mail para nota fiscal: , E-mail de cobrança: , Telefone para contato")</f>
        <v>EXPRESSO SAO MIGUEL S/A / (049) 3361-6666Informação Adicional: ABATER DO VALOR DO CONTRATO EM VIGOR
VALOR NEGOCIADO R$ 4.845,90
/ E-mail para nota fiscal: , E-mail de cobrança: , Telefone para contato</v>
      </c>
      <c r="Q67" s="342"/>
      <c r="R67" s="342"/>
      <c r="S67" s="342"/>
      <c r="T67" s="343"/>
      <c r="U67" s="342"/>
      <c r="V67" s="342"/>
      <c r="W67" s="344"/>
      <c r="X67" s="344"/>
      <c r="Y67" s="345"/>
      <c r="Z67" s="345"/>
      <c r="AA67" s="345"/>
      <c r="AB67" s="345"/>
      <c r="AC67" s="345"/>
    </row>
    <row r="68" ht="28.5" customHeight="1">
      <c r="A68" s="331" t="str">
        <f>IFERROR(__xludf.DUMMYFUNCTION("""COMPUTED_VALUE"""),"18913")</f>
        <v>18913</v>
      </c>
      <c r="B68" s="33" t="str">
        <f>IFERROR(__xludf.DUMMYFUNCTION("""COMPUTED_VALUE"""),"ACQUADEL")</f>
        <v>ACQUADEL</v>
      </c>
      <c r="C68" s="332">
        <f>IFERROR(__xludf.DUMMYFUNCTION("""COMPUTED_VALUE"""),1.0)</f>
        <v>1</v>
      </c>
      <c r="D68" s="331"/>
      <c r="E68" s="331" t="str">
        <f>IFERROR(__xludf.DUMMYFUNCTION("""COMPUTED_VALUE"""),"FTI25D40PT")</f>
        <v>FTI25D40PT</v>
      </c>
      <c r="F68" s="331" t="str">
        <f>IFERROR(__xludf.DUMMYFUNCTION("""COMPUTED_VALUE"""),"WI-FI")</f>
        <v>WI-FI</v>
      </c>
      <c r="G68" s="331" t="str">
        <f>IFERROR(__xludf.DUMMYFUNCTION("""COMPUTED_VALUE"""),"NAO")</f>
        <v>NAO</v>
      </c>
      <c r="H68" s="333" t="str">
        <f>IFERROR(__xludf.DUMMYFUNCTION("""COMPUTED_VALUE"""),"NAO")</f>
        <v>NAO</v>
      </c>
      <c r="I68" s="334" t="str">
        <f>IFERROR(__xludf.DUMMYFUNCTION("""COMPUTED_VALUE"""),"AGUARDAR CONTAINER")</f>
        <v>AGUARDAR CONTAINER</v>
      </c>
      <c r="J68" s="335" t="str">
        <f>IFERROR(__xludf.DUMMYFUNCTION("""COMPUTED_VALUE"""),"FITLOG")</f>
        <v>FITLOG</v>
      </c>
      <c r="K68" s="336" t="str">
        <f>IFERROR(__xludf.DUMMYFUNCTION("""COMPUTED_VALUE"""),"SEM REDESPACHO")</f>
        <v>SEM REDESPACHO</v>
      </c>
      <c r="L68" s="337"/>
      <c r="M68" s="338"/>
      <c r="N68" s="339"/>
      <c r="O68" s="340"/>
      <c r="P68" s="341" t="str">
        <f>IFERROR(__xludf.DUMMYFUNCTION("""COMPUTED_VALUE"""),"Pedido gerado através do PedidoEletronico.com - Transportadora / telefone: FITLOG TRANSPORTES E LOGISTICA LTDA / (048) 996277956Obs.Interna: Entrega para inicio de dezembro .  / E-mail para nota fiscal: , E-mail de cobrança: , Telefone para contato")</f>
        <v>Pedido gerado através do PedidoEletronico.com - Transportadora / telefone: FITLOG TRANSPORTES E LOGISTICA LTDA / (048) 996277956Obs.Interna: Entrega para inicio de dezembro .  / E-mail para nota fiscal: , E-mail de cobrança: , Telefone para contato</v>
      </c>
      <c r="Q68" s="342"/>
      <c r="R68" s="342"/>
      <c r="S68" s="342"/>
      <c r="T68" s="343"/>
      <c r="U68" s="342"/>
      <c r="V68" s="342"/>
      <c r="W68" s="344"/>
      <c r="X68" s="344"/>
      <c r="Y68" s="345"/>
      <c r="Z68" s="345"/>
      <c r="AA68" s="345"/>
      <c r="AB68" s="345"/>
      <c r="AC68" s="345"/>
    </row>
    <row r="69" ht="28.5" customHeight="1">
      <c r="A69" s="331" t="str">
        <f>IFERROR(__xludf.DUMMYFUNCTION("""COMPUTED_VALUE"""),"18918")</f>
        <v>18918</v>
      </c>
      <c r="B69" s="33" t="str">
        <f>IFERROR(__xludf.DUMMYFUNCTION("""COMPUTED_VALUE"""),"VITAL PISCINAS")</f>
        <v>VITAL PISCINAS</v>
      </c>
      <c r="C69" s="332">
        <f>IFERROR(__xludf.DUMMYFUNCTION("""COMPUTED_VALUE"""),1.0)</f>
        <v>1</v>
      </c>
      <c r="D69" s="331"/>
      <c r="E69" s="331" t="str">
        <f>IFERROR(__xludf.DUMMYFUNCTION("""COMPUTED_VALUE"""),"FTI25D40PT")</f>
        <v>FTI25D40PT</v>
      </c>
      <c r="F69" s="331" t="str">
        <f>IFERROR(__xludf.DUMMYFUNCTION("""COMPUTED_VALUE"""),"WI-FI")</f>
        <v>WI-FI</v>
      </c>
      <c r="G69" s="331" t="str">
        <f>IFERROR(__xludf.DUMMYFUNCTION("""COMPUTED_VALUE"""),"NAO")</f>
        <v>NAO</v>
      </c>
      <c r="H69" s="333" t="str">
        <f>IFERROR(__xludf.DUMMYFUNCTION("""COMPUTED_VALUE"""),"NAO")</f>
        <v>NAO</v>
      </c>
      <c r="I69" s="334" t="str">
        <f>IFERROR(__xludf.DUMMYFUNCTION("""COMPUTED_VALUE"""),"AGUARDAR CONTAINER")</f>
        <v>AGUARDAR CONTAINER</v>
      </c>
      <c r="J69" s="335" t="str">
        <f>IFERROR(__xludf.DUMMYFUNCTION("""COMPUTED_VALUE"""),"ACEVILLE")</f>
        <v>ACEVILLE</v>
      </c>
      <c r="K69" s="336" t="str">
        <f>IFERROR(__xludf.DUMMYFUNCTION("""COMPUTED_VALUE"""),"SEM REDESPACHO")</f>
        <v>SEM REDESPACHO</v>
      </c>
      <c r="L69" s="337"/>
      <c r="M69" s="338"/>
      <c r="N69" s="339"/>
      <c r="O69" s="340"/>
      <c r="P69" s="341" t="str">
        <f>IFERROR(__xludf.DUMMYFUNCTION("""COMPUTED_VALUE"""),"APROVADO 21/10
Pedido gerado através do PedidoEletronico.com - Transportadora / telefone: ACEVILLE TRANSPORTES LTDA / (048) 99823-5770Informação Adicional: valor autorizado pelo Mario / E-mail para nota fiscal: , E-mail de cobrança: , Telefone para conta"&amp;"to")</f>
        <v>APROVADO 21/10
Pedido gerado através do PedidoEletronico.com - Transportadora / telefone: ACEVILLE TRANSPORTES LTDA / (048) 99823-5770Informação Adicional: valor autorizado pelo Mario / E-mail para nota fiscal: , E-mail de cobrança: , Telefone para contato</v>
      </c>
      <c r="Q69" s="342"/>
      <c r="R69" s="342"/>
      <c r="S69" s="342"/>
      <c r="T69" s="343"/>
      <c r="U69" s="342"/>
      <c r="V69" s="342"/>
      <c r="W69" s="344"/>
      <c r="X69" s="344"/>
      <c r="Y69" s="345"/>
      <c r="Z69" s="345"/>
      <c r="AA69" s="345"/>
      <c r="AB69" s="345"/>
      <c r="AC69" s="345"/>
    </row>
    <row r="70" ht="28.5" customHeight="1">
      <c r="A70" s="331" t="str">
        <f>IFERROR(__xludf.DUMMYFUNCTION("""COMPUTED_VALUE"""),"18926")</f>
        <v>18926</v>
      </c>
      <c r="B70" s="33" t="str">
        <f>IFERROR(__xludf.DUMMYFUNCTION("""COMPUTED_VALUE"""),"SO PISCINAS COMERCIO E PRESTACAO DE SERVICOS LTDA")</f>
        <v>SO PISCINAS COMERCIO E PRESTACAO DE SERVICOS LTDA</v>
      </c>
      <c r="C70" s="332">
        <f>IFERROR(__xludf.DUMMYFUNCTION("""COMPUTED_VALUE"""),1.0)</f>
        <v>1</v>
      </c>
      <c r="D70" s="331"/>
      <c r="E70" s="331" t="str">
        <f>IFERROR(__xludf.DUMMYFUNCTION("""COMPUTED_VALUE"""),"FTI25D40PT")</f>
        <v>FTI25D40PT</v>
      </c>
      <c r="F70" s="331" t="str">
        <f>IFERROR(__xludf.DUMMYFUNCTION("""COMPUTED_VALUE"""),"WI-FI")</f>
        <v>WI-FI</v>
      </c>
      <c r="G70" s="331" t="str">
        <f>IFERROR(__xludf.DUMMYFUNCTION("""COMPUTED_VALUE"""),"NAO")</f>
        <v>NAO</v>
      </c>
      <c r="H70" s="333" t="str">
        <f>IFERROR(__xludf.DUMMYFUNCTION("""COMPUTED_VALUE"""),"NAO")</f>
        <v>NAO</v>
      </c>
      <c r="I70" s="334" t="str">
        <f>IFERROR(__xludf.DUMMYFUNCTION("""COMPUTED_VALUE"""),"AGUARDAR CONTAINER")</f>
        <v>AGUARDAR CONTAINER</v>
      </c>
      <c r="J70" s="335" t="str">
        <f>IFERROR(__xludf.DUMMYFUNCTION("""COMPUTED_VALUE"""),"FITLOG")</f>
        <v>FITLOG</v>
      </c>
      <c r="K70" s="336" t="str">
        <f>IFERROR(__xludf.DUMMYFUNCTION("""COMPUTED_VALUE"""),"THEIAR Transportadora e Logística")</f>
        <v>THEIAR Transportadora e Logística</v>
      </c>
      <c r="L70" s="337">
        <f>IFERROR(__xludf.DUMMYFUNCTION("""COMPUTED_VALUE"""),-14244.0)</f>
        <v>-14244</v>
      </c>
      <c r="M70" s="338"/>
      <c r="N70" s="339"/>
      <c r="O70" s="340"/>
      <c r="P70" s="341" t="str">
        <f>IFERROR(__xludf.DUMMYFUNCTION("""COMPUTED_VALUE"""),"Pedido gerado através do PedidoEletronico.com - Transportadora / telefone: FITLOG TRANSPORTES E LOGISTICA LTDA / (048) 996277956Informação Adicional: Frete FOB com redespacho pela THEIAR
CNPJ SP - 04.607.157/0001-30 INSCR. ESTADUAL : 116.224.163.114 RUA "&amp;"SOLDADO JOSE VIVANCO SOLANO, 01 - BAIRRO PARQUE NOVO MUNDO - SAO PAULO - SP - CEP 02144-040  / Obs.Interna: Mario- Priorizar o envio, quando chegar próxima lote .  / E-mail para nota fiscal: , E-mail de cobrança: , Telefone para contato")</f>
        <v>Pedido gerado através do PedidoEletronico.com - Transportadora / telefone: FITLOG TRANSPORTES E LOGISTICA LTDA / (048) 996277956Informação Adicional: Frete FOB com redespacho pela THEIAR
CNPJ SP - 04.607.157/0001-30 INSCR. ESTADUAL : 116.224.163.114 RUA SOLDADO JOSE VIVANCO SOLANO, 01 - BAIRRO PARQUE NOVO MUNDO - SAO PAULO - SP - CEP 02144-040  / Obs.Interna: Mario- Priorizar o envio, quando chegar próxima lote .  / E-mail para nota fiscal: , E-mail de cobrança: , Telefone para contato</v>
      </c>
      <c r="Q70" s="342"/>
      <c r="R70" s="342"/>
      <c r="S70" s="342"/>
      <c r="T70" s="343"/>
      <c r="U70" s="342"/>
      <c r="V70" s="342"/>
      <c r="W70" s="344"/>
      <c r="X70" s="344"/>
      <c r="Y70" s="345"/>
      <c r="Z70" s="345"/>
      <c r="AA70" s="345"/>
      <c r="AB70" s="345"/>
      <c r="AC70" s="345"/>
    </row>
    <row r="71" ht="28.5" customHeight="1">
      <c r="A71" s="331" t="str">
        <f>IFERROR(__xludf.DUMMYFUNCTION("""COMPUTED_VALUE"""),"18382")</f>
        <v>18382</v>
      </c>
      <c r="B71" s="33" t="str">
        <f>IFERROR(__xludf.DUMMYFUNCTION("""COMPUTED_VALUE"""),"BRUNA PAOLA DEBONA ARENHART")</f>
        <v>BRUNA PAOLA DEBONA ARENHART</v>
      </c>
      <c r="C71" s="332">
        <f>IFERROR(__xludf.DUMMYFUNCTION("""COMPUTED_VALUE"""),0.0)</f>
        <v>0</v>
      </c>
      <c r="D71" s="331"/>
      <c r="E71" s="331" t="str">
        <f>IFERROR(__xludf.DUMMYFUNCTION("""COMPUTED_VALUE"""),"FTI35D40PT")</f>
        <v>FTI35D40PT</v>
      </c>
      <c r="F71" s="331" t="str">
        <f>IFERROR(__xludf.DUMMYFUNCTION("""COMPUTED_VALUE"""),"WI-FI")</f>
        <v>WI-FI</v>
      </c>
      <c r="G71" s="331" t="str">
        <f>IFERROR(__xludf.DUMMYFUNCTION("""COMPUTED_VALUE"""),"NAO")</f>
        <v>NAO</v>
      </c>
      <c r="H71" s="333" t="str">
        <f>IFERROR(__xludf.DUMMYFUNCTION("""COMPUTED_VALUE"""),"NAO")</f>
        <v>NAO</v>
      </c>
      <c r="I71" s="334" t="str">
        <f>IFERROR(__xludf.DUMMYFUNCTION("""COMPUTED_VALUE"""),"AGUARDAR CONTAINER")</f>
        <v>AGUARDAR CONTAINER</v>
      </c>
      <c r="J71" s="335" t="str">
        <f>IFERROR(__xludf.DUMMYFUNCTION("""COMPUTED_VALUE"""),"RETIRA")</f>
        <v>RETIRA</v>
      </c>
      <c r="K71" s="336" t="str">
        <f>IFERROR(__xludf.DUMMYFUNCTION("""COMPUTED_VALUE"""),"SEM REDESPACHO")</f>
        <v>SEM REDESPACHO</v>
      </c>
      <c r="L71" s="337"/>
      <c r="M71" s="338"/>
      <c r="N71" s="339"/>
      <c r="O71" s="340"/>
      <c r="P71" s="341" t="str">
        <f>IFERROR(__xludf.DUMMYFUNCTION("""COMPUTED_VALUE"""),"CLIENTE RETIRA / (0) Obs.Interna: VENDA REALIZADA PELA HIDROESTE PISCINAS / E-mail para nota fiscal: , E-mail de cobrança: , Telefone para contato")</f>
        <v>CLIENTE RETIRA / (0) Obs.Interna: VENDA REALIZADA PELA HIDROESTE PISCINAS / E-mail para nota fiscal: , E-mail de cobrança: , Telefone para contato</v>
      </c>
      <c r="Q71" s="342"/>
      <c r="R71" s="342"/>
      <c r="S71" s="342"/>
      <c r="T71" s="343"/>
      <c r="U71" s="342"/>
      <c r="V71" s="342"/>
      <c r="W71" s="344"/>
      <c r="X71" s="344"/>
      <c r="Y71" s="345"/>
      <c r="Z71" s="345"/>
      <c r="AA71" s="345"/>
      <c r="AB71" s="345"/>
      <c r="AC71" s="345"/>
    </row>
    <row r="72" ht="28.5" customHeight="1">
      <c r="A72" s="331" t="str">
        <f>IFERROR(__xludf.DUMMYFUNCTION("""COMPUTED_VALUE"""),"18447-A")</f>
        <v>18447-A</v>
      </c>
      <c r="B72" s="33" t="str">
        <f>IFERROR(__xludf.DUMMYFUNCTION("""COMPUTED_VALUE"""),"H2O PISCINAS")</f>
        <v>H2O PISCINAS</v>
      </c>
      <c r="C72" s="332">
        <f>IFERROR(__xludf.DUMMYFUNCTION("""COMPUTED_VALUE"""),0.0)</f>
        <v>0</v>
      </c>
      <c r="D72" s="331"/>
      <c r="E72" s="331" t="str">
        <f>IFERROR(__xludf.DUMMYFUNCTION("""COMPUTED_VALUE"""),"FTI35D40PT")</f>
        <v>FTI35D40PT</v>
      </c>
      <c r="F72" s="331" t="str">
        <f>IFERROR(__xludf.DUMMYFUNCTION("""COMPUTED_VALUE"""),"WI-FI")</f>
        <v>WI-FI</v>
      </c>
      <c r="G72" s="331" t="str">
        <f>IFERROR(__xludf.DUMMYFUNCTION("""COMPUTED_VALUE"""),"NAO")</f>
        <v>NAO</v>
      </c>
      <c r="H72" s="333" t="str">
        <f>IFERROR(__xludf.DUMMYFUNCTION("""COMPUTED_VALUE"""),"NAO")</f>
        <v>NAO</v>
      </c>
      <c r="I72" s="334" t="str">
        <f>IFERROR(__xludf.DUMMYFUNCTION("""COMPUTED_VALUE"""),"AGUARDAR CONTAINER")</f>
        <v>AGUARDAR CONTAINER</v>
      </c>
      <c r="J72" s="335" t="str">
        <f>IFERROR(__xludf.DUMMYFUNCTION("""COMPUTED_VALUE"""),"FITLOG")</f>
        <v>FITLOG</v>
      </c>
      <c r="K72" s="336" t="str">
        <f>IFERROR(__xludf.DUMMYFUNCTION("""COMPUTED_VALUE"""),"CARVALIMA")</f>
        <v>CARVALIMA</v>
      </c>
      <c r="L72" s="337">
        <f>IFERROR(__xludf.DUMMYFUNCTION("""COMPUTED_VALUE"""),-14205.0)</f>
        <v>-14205</v>
      </c>
      <c r="M72" s="338"/>
      <c r="N72" s="339"/>
      <c r="O72" s="340"/>
      <c r="P72" s="341" t="str">
        <f>IFERROR(__xludf.DUMMYFUNCTION("""COMPUTED_VALUE"""),"FITLOG TRANSPORTES E LOGISTICA LTDA / (048) 996277956E-mail para nota fiscal: , E-mail de cobrança: , Telefone para contato.")</f>
        <v>FITLOG TRANSPORTES E LOGISTICA LTDA / (048) 996277956E-mail para nota fiscal: , E-mail de cobrança: , Telefone para contato.</v>
      </c>
      <c r="Q72" s="342"/>
      <c r="R72" s="342"/>
      <c r="S72" s="342"/>
      <c r="T72" s="343"/>
      <c r="U72" s="342"/>
      <c r="V72" s="342"/>
      <c r="W72" s="344"/>
      <c r="X72" s="344"/>
      <c r="Y72" s="345"/>
      <c r="Z72" s="345"/>
      <c r="AA72" s="345"/>
      <c r="AB72" s="345"/>
      <c r="AC72" s="345"/>
    </row>
    <row r="73" ht="28.5" customHeight="1">
      <c r="A73" s="331" t="str">
        <f>IFERROR(__xludf.DUMMYFUNCTION("""COMPUTED_VALUE"""),"18504")</f>
        <v>18504</v>
      </c>
      <c r="B73" s="33" t="str">
        <f>IFERROR(__xludf.DUMMYFUNCTION("""COMPUTED_VALUE"""),"DJA COMERCIO DE PISCINAS LTDA - ME")</f>
        <v>DJA COMERCIO DE PISCINAS LTDA - ME</v>
      </c>
      <c r="C73" s="332">
        <f>IFERROR(__xludf.DUMMYFUNCTION("""COMPUTED_VALUE"""),0.0)</f>
        <v>0</v>
      </c>
      <c r="D73" s="331"/>
      <c r="E73" s="331" t="str">
        <f>IFERROR(__xludf.DUMMYFUNCTION("""COMPUTED_VALUE"""),"FTI35D40PT")</f>
        <v>FTI35D40PT</v>
      </c>
      <c r="F73" s="331" t="str">
        <f>IFERROR(__xludf.DUMMYFUNCTION("""COMPUTED_VALUE"""),"WI-FI")</f>
        <v>WI-FI</v>
      </c>
      <c r="G73" s="331" t="str">
        <f>IFERROR(__xludf.DUMMYFUNCTION("""COMPUTED_VALUE"""),"NAO")</f>
        <v>NAO</v>
      </c>
      <c r="H73" s="333" t="str">
        <f>IFERROR(__xludf.DUMMYFUNCTION("""COMPUTED_VALUE"""),"NAO")</f>
        <v>NAO</v>
      </c>
      <c r="I73" s="334" t="str">
        <f>IFERROR(__xludf.DUMMYFUNCTION("""COMPUTED_VALUE"""),"AGUARDAR CONTAINER")</f>
        <v>AGUARDAR CONTAINER</v>
      </c>
      <c r="J73" s="335" t="str">
        <f>IFERROR(__xludf.DUMMYFUNCTION("""COMPUTED_VALUE"""),"FITLOG")</f>
        <v>FITLOG</v>
      </c>
      <c r="K73" s="336" t="str">
        <f>IFERROR(__xludf.DUMMYFUNCTION("""COMPUTED_VALUE"""),"SEM REDESPACHO")</f>
        <v>SEM REDESPACHO</v>
      </c>
      <c r="L73" s="337"/>
      <c r="M73" s="338"/>
      <c r="N73" s="339"/>
      <c r="O73" s="340"/>
      <c r="P73" s="341" t="str">
        <f>IFERROR(__xludf.DUMMYFUNCTION("""COMPUTED_VALUE"""),"OUTUBRO
FITLOG TRANSPORTES E LOGISTICA LTDA / (048) 996277956Informação Adicional: PAGAMENTO: 50% sinal + 50% boleto para 30 dias
Frete CIF / E-mail para nota fiscal: , E-mail de cobrança: , Telefone para contato")</f>
        <v>OUTUBRO
FITLOG TRANSPORTES E LOGISTICA LTDA / (048) 996277956Informação Adicional: PAGAMENTO: 50% sinal + 50% boleto para 30 dias
Frete CIF / E-mail para nota fiscal: , E-mail de cobrança: , Telefone para contato</v>
      </c>
      <c r="Q73" s="342"/>
      <c r="R73" s="342"/>
      <c r="S73" s="342"/>
      <c r="T73" s="343"/>
      <c r="U73" s="342"/>
      <c r="V73" s="342"/>
      <c r="W73" s="344"/>
      <c r="X73" s="344"/>
      <c r="Y73" s="345"/>
      <c r="Z73" s="345"/>
      <c r="AA73" s="345"/>
      <c r="AB73" s="345"/>
      <c r="AC73" s="345"/>
    </row>
    <row r="74" ht="28.5" customHeight="1">
      <c r="A74" s="331" t="str">
        <f>IFERROR(__xludf.DUMMYFUNCTION("""COMPUTED_VALUE"""),"18535-D")</f>
        <v>18535-D</v>
      </c>
      <c r="B74" s="33" t="str">
        <f>IFERROR(__xludf.DUMMYFUNCTION("""COMPUTED_VALUE"""),"ELITON PISCINAS")</f>
        <v>ELITON PISCINAS</v>
      </c>
      <c r="C74" s="332">
        <f>IFERROR(__xludf.DUMMYFUNCTION("""COMPUTED_VALUE"""),0.0)</f>
        <v>0</v>
      </c>
      <c r="D74" s="331"/>
      <c r="E74" s="331" t="str">
        <f>IFERROR(__xludf.DUMMYFUNCTION("""COMPUTED_VALUE"""),"FTI35D40PT")</f>
        <v>FTI35D40PT</v>
      </c>
      <c r="F74" s="331" t="str">
        <f>IFERROR(__xludf.DUMMYFUNCTION("""COMPUTED_VALUE"""),"WI-FI")</f>
        <v>WI-FI</v>
      </c>
      <c r="G74" s="331" t="str">
        <f>IFERROR(__xludf.DUMMYFUNCTION("""COMPUTED_VALUE"""),"NAO")</f>
        <v>NAO</v>
      </c>
      <c r="H74" s="333" t="str">
        <f>IFERROR(__xludf.DUMMYFUNCTION("""COMPUTED_VALUE"""),"NAO")</f>
        <v>NAO</v>
      </c>
      <c r="I74" s="334" t="str">
        <f>IFERROR(__xludf.DUMMYFUNCTION("""COMPUTED_VALUE"""),"AGUARDAR CONTAINER")</f>
        <v>AGUARDAR CONTAINER</v>
      </c>
      <c r="J74" s="335" t="str">
        <f>IFERROR(__xludf.DUMMYFUNCTION("""COMPUTED_VALUE"""),"EXPRESSO SAO MIGUEL")</f>
        <v>EXPRESSO SAO MIGUEL</v>
      </c>
      <c r="K74" s="336" t="str">
        <f>IFERROR(__xludf.DUMMYFUNCTION("""COMPUTED_VALUE"""),"SEM REDESPACHO")</f>
        <v>SEM REDESPACHO</v>
      </c>
      <c r="L74" s="337">
        <f>IFERROR(__xludf.DUMMYFUNCTION("""COMPUTED_VALUE"""),-13976.0)</f>
        <v>-13976</v>
      </c>
      <c r="M74" s="338"/>
      <c r="N74" s="339"/>
      <c r="O74" s="340"/>
      <c r="P74" s="341" t="str">
        <f>IFERROR(__xludf.DUMMYFUNCTION("""COMPUTED_VALUE"""),"Favor enviar brindes para o cliente.
EXPRESSO SAO MIGUEL S/A / (049) 3361-6627Informação Adicional: Favor enviar brindes para o cliente. / E-mail para nota fiscal: , E-mail de cobrança: , Telefone para contato")</f>
        <v>Favor enviar brindes para o cliente.
EXPRESSO SAO MIGUEL S/A / (049) 3361-6627Informação Adicional: Favor enviar brindes para o cliente. / E-mail para nota fiscal: , E-mail de cobrança: , Telefone para contato</v>
      </c>
      <c r="Q74" s="342"/>
      <c r="R74" s="342"/>
      <c r="S74" s="342"/>
      <c r="T74" s="343"/>
      <c r="U74" s="342"/>
      <c r="V74" s="342"/>
      <c r="W74" s="344"/>
      <c r="X74" s="344"/>
      <c r="Y74" s="345"/>
      <c r="Z74" s="345"/>
      <c r="AA74" s="345"/>
      <c r="AB74" s="345"/>
      <c r="AC74" s="345"/>
    </row>
    <row r="75" ht="28.5" customHeight="1">
      <c r="A75" s="331" t="str">
        <f>IFERROR(__xludf.DUMMYFUNCTION("""COMPUTED_VALUE"""),"18591-C")</f>
        <v>18591-C</v>
      </c>
      <c r="B75" s="33" t="str">
        <f>IFERROR(__xludf.DUMMYFUNCTION("""COMPUTED_VALUE"""),"NERCI MOREIRA")</f>
        <v>NERCI MOREIRA</v>
      </c>
      <c r="C75" s="332">
        <f>IFERROR(__xludf.DUMMYFUNCTION("""COMPUTED_VALUE"""),0.0)</f>
        <v>0</v>
      </c>
      <c r="D75" s="331"/>
      <c r="E75" s="331" t="str">
        <f>IFERROR(__xludf.DUMMYFUNCTION("""COMPUTED_VALUE"""),"FTI35D40PT")</f>
        <v>FTI35D40PT</v>
      </c>
      <c r="F75" s="331" t="str">
        <f>IFERROR(__xludf.DUMMYFUNCTION("""COMPUTED_VALUE"""),"WI-FI")</f>
        <v>WI-FI</v>
      </c>
      <c r="G75" s="331" t="str">
        <f>IFERROR(__xludf.DUMMYFUNCTION("""COMPUTED_VALUE"""),"NAO")</f>
        <v>NAO</v>
      </c>
      <c r="H75" s="333" t="str">
        <f>IFERROR(__xludf.DUMMYFUNCTION("""COMPUTED_VALUE"""),"NAO")</f>
        <v>NAO</v>
      </c>
      <c r="I75" s="334" t="str">
        <f>IFERROR(__xludf.DUMMYFUNCTION("""COMPUTED_VALUE"""),"AGUARDAR CONTAINER")</f>
        <v>AGUARDAR CONTAINER</v>
      </c>
      <c r="J75" s="335" t="str">
        <f>IFERROR(__xludf.DUMMYFUNCTION("""COMPUTED_VALUE"""),"EXPRESSO SAO MIGUEL")</f>
        <v>EXPRESSO SAO MIGUEL</v>
      </c>
      <c r="K75" s="336" t="str">
        <f>IFERROR(__xludf.DUMMYFUNCTION("""COMPUTED_VALUE"""),"SEM REDESPACHO")</f>
        <v>SEM REDESPACHO</v>
      </c>
      <c r="L75" s="337">
        <f>IFERROR(__xludf.DUMMYFUNCTION("""COMPUTED_VALUE"""),-13985.0)</f>
        <v>-13985</v>
      </c>
      <c r="M75" s="338"/>
      <c r="N75" s="339"/>
      <c r="O75" s="340"/>
      <c r="P75" s="341" t="str">
        <f>IFERROR(__xludf.DUMMYFUNCTION("""COMPUTED_VALUE"""),"EXPRESSO SAO MIGUEL S/A / (049) 3361-6627Informação Adicional: 50% antecipado +50% faturado / Obs.Interna: Mario- Autorizado .  / E-mail para nota fiscal: , E-mail de cobrança: , Telefone para contato")</f>
        <v>EXPRESSO SAO MIGUEL S/A / (049) 3361-6627Informação Adicional: 50% antecipado +50% faturado / Obs.Interna: Mario- Autorizado .  / E-mail para nota fiscal: , E-mail de cobrança: , Telefone para contato</v>
      </c>
      <c r="Q75" s="342"/>
      <c r="R75" s="342"/>
      <c r="S75" s="342"/>
      <c r="T75" s="343"/>
      <c r="U75" s="342"/>
      <c r="V75" s="342"/>
      <c r="W75" s="344"/>
      <c r="X75" s="344"/>
      <c r="Y75" s="345"/>
      <c r="Z75" s="345"/>
      <c r="AA75" s="345"/>
      <c r="AB75" s="345"/>
      <c r="AC75" s="345"/>
    </row>
    <row r="76" ht="28.5" customHeight="1">
      <c r="A76" s="331" t="str">
        <f>IFERROR(__xludf.DUMMYFUNCTION("""COMPUTED_VALUE"""),"18622")</f>
        <v>18622</v>
      </c>
      <c r="B76" s="33" t="str">
        <f>IFERROR(__xludf.DUMMYFUNCTION("""COMPUTED_VALUE"""),"AQUAVIL PISCINAS LTDA")</f>
        <v>AQUAVIL PISCINAS LTDA</v>
      </c>
      <c r="C76" s="332">
        <f>IFERROR(__xludf.DUMMYFUNCTION("""COMPUTED_VALUE"""),0.0)</f>
        <v>0</v>
      </c>
      <c r="D76" s="331"/>
      <c r="E76" s="331" t="str">
        <f>IFERROR(__xludf.DUMMYFUNCTION("""COMPUTED_VALUE"""),"FTI35D40PT")</f>
        <v>FTI35D40PT</v>
      </c>
      <c r="F76" s="331" t="str">
        <f>IFERROR(__xludf.DUMMYFUNCTION("""COMPUTED_VALUE"""),"WI-FI")</f>
        <v>WI-FI</v>
      </c>
      <c r="G76" s="331" t="str">
        <f>IFERROR(__xludf.DUMMYFUNCTION("""COMPUTED_VALUE"""),"NAO")</f>
        <v>NAO</v>
      </c>
      <c r="H76" s="333" t="str">
        <f>IFERROR(__xludf.DUMMYFUNCTION("""COMPUTED_VALUE"""),"NAO")</f>
        <v>NAO</v>
      </c>
      <c r="I76" s="334" t="str">
        <f>IFERROR(__xludf.DUMMYFUNCTION("""COMPUTED_VALUE"""),"AGUARDAR CONTAINER")</f>
        <v>AGUARDAR CONTAINER</v>
      </c>
      <c r="J76" s="335" t="str">
        <f>IFERROR(__xludf.DUMMYFUNCTION("""COMPUTED_VALUE"""),"FITLOG")</f>
        <v>FITLOG</v>
      </c>
      <c r="K76" s="336" t="str">
        <f>IFERROR(__xludf.DUMMYFUNCTION("""COMPUTED_VALUE"""),"SEM REDESPACHO")</f>
        <v>SEM REDESPACHO</v>
      </c>
      <c r="L76" s="337"/>
      <c r="M76" s="338"/>
      <c r="N76" s="339"/>
      <c r="O76" s="340"/>
      <c r="P76" s="341" t="str">
        <f>IFERROR(__xludf.DUMMYFUNCTION("""COMPUTED_VALUE"""),"OUTUBRO
FITLOG TRANSPORTES E LOGISTICA LTDA / (048) 996277956E-mail para nota fiscal: , E-mail de cobrança: , Telefone para contato")</f>
        <v>OUTUBRO
FITLOG TRANSPORTES E LOGISTICA LTDA / (048) 996277956E-mail para nota fiscal: , E-mail de cobrança: , Telefone para contato</v>
      </c>
      <c r="Q76" s="342"/>
      <c r="R76" s="342"/>
      <c r="S76" s="342"/>
      <c r="T76" s="343"/>
      <c r="U76" s="342"/>
      <c r="V76" s="342"/>
      <c r="W76" s="344"/>
      <c r="X76" s="344"/>
      <c r="Y76" s="345"/>
      <c r="Z76" s="345"/>
      <c r="AA76" s="345"/>
      <c r="AB76" s="345"/>
      <c r="AC76" s="345"/>
    </row>
    <row r="77" ht="28.5" customHeight="1">
      <c r="A77" s="331" t="str">
        <f>IFERROR(__xludf.DUMMYFUNCTION("""COMPUTED_VALUE"""),"18632-A")</f>
        <v>18632-A</v>
      </c>
      <c r="B77" s="33" t="str">
        <f>IFERROR(__xludf.DUMMYFUNCTION("""COMPUTED_VALUE"""),"PISCINAS ANDERLE")</f>
        <v>PISCINAS ANDERLE</v>
      </c>
      <c r="C77" s="332">
        <f>IFERROR(__xludf.DUMMYFUNCTION("""COMPUTED_VALUE"""),0.0)</f>
        <v>0</v>
      </c>
      <c r="D77" s="331"/>
      <c r="E77" s="331" t="str">
        <f>IFERROR(__xludf.DUMMYFUNCTION("""COMPUTED_VALUE"""),"FTI35D40PT")</f>
        <v>FTI35D40PT</v>
      </c>
      <c r="F77" s="331" t="str">
        <f>IFERROR(__xludf.DUMMYFUNCTION("""COMPUTED_VALUE"""),"WI-FI")</f>
        <v>WI-FI</v>
      </c>
      <c r="G77" s="331" t="str">
        <f>IFERROR(__xludf.DUMMYFUNCTION("""COMPUTED_VALUE"""),"NAO")</f>
        <v>NAO</v>
      </c>
      <c r="H77" s="333" t="str">
        <f>IFERROR(__xludf.DUMMYFUNCTION("""COMPUTED_VALUE"""),"NAO")</f>
        <v>NAO</v>
      </c>
      <c r="I77" s="334" t="str">
        <f>IFERROR(__xludf.DUMMYFUNCTION("""COMPUTED_VALUE"""),"AGUARDAR CONTAINER")</f>
        <v>AGUARDAR CONTAINER</v>
      </c>
      <c r="J77" s="335" t="str">
        <f>IFERROR(__xludf.DUMMYFUNCTION("""COMPUTED_VALUE"""),"ACEVILLE")</f>
        <v>ACEVILLE</v>
      </c>
      <c r="K77" s="336" t="str">
        <f>IFERROR(__xludf.DUMMYFUNCTION("""COMPUTED_VALUE"""),"SEM REDESPACHO")</f>
        <v>SEM REDESPACHO</v>
      </c>
      <c r="L77" s="337"/>
      <c r="M77" s="338"/>
      <c r="N77" s="339"/>
      <c r="O77" s="340"/>
      <c r="P77" s="341" t="str">
        <f>IFERROR(__xludf.DUMMYFUNCTION("""COMPUTED_VALUE"""),"ACEVILLE TRANSPORTES LTDA / (048) 99823-5770Informação Adicional: ABATER VALOR DO CONTRATO EM VIGOR  / Obs.Interna: Guilherme -Liberar essa que está no estoque de segurança .  / E-mail para nota fiscal: , E-mail de cobrança: , Telefone para contato")</f>
        <v>ACEVILLE TRANSPORTES LTDA / (048) 99823-5770Informação Adicional: ABATER VALOR DO CONTRATO EM VIGOR  / Obs.Interna: Guilherme -Liberar essa que está no estoque de segurança .  / E-mail para nota fiscal: , E-mail de cobrança: , Telefone para contato</v>
      </c>
      <c r="Q77" s="342"/>
      <c r="R77" s="342"/>
      <c r="S77" s="342"/>
      <c r="T77" s="343"/>
      <c r="U77" s="342"/>
      <c r="V77" s="342"/>
      <c r="W77" s="344"/>
      <c r="X77" s="344"/>
      <c r="Y77" s="345"/>
      <c r="Z77" s="345"/>
      <c r="AA77" s="345"/>
      <c r="AB77" s="345"/>
      <c r="AC77" s="345"/>
    </row>
    <row r="78" ht="28.5" customHeight="1">
      <c r="A78" s="331" t="str">
        <f>IFERROR(__xludf.DUMMYFUNCTION("""COMPUTED_VALUE"""),"18632-B")</f>
        <v>18632-B</v>
      </c>
      <c r="B78" s="33" t="str">
        <f>IFERROR(__xludf.DUMMYFUNCTION("""COMPUTED_VALUE"""),"PISCINAS ANDERLE")</f>
        <v>PISCINAS ANDERLE</v>
      </c>
      <c r="C78" s="332">
        <f>IFERROR(__xludf.DUMMYFUNCTION("""COMPUTED_VALUE"""),0.0)</f>
        <v>0</v>
      </c>
      <c r="D78" s="331"/>
      <c r="E78" s="331" t="str">
        <f>IFERROR(__xludf.DUMMYFUNCTION("""COMPUTED_VALUE"""),"FTI35D40PT")</f>
        <v>FTI35D40PT</v>
      </c>
      <c r="F78" s="331" t="str">
        <f>IFERROR(__xludf.DUMMYFUNCTION("""COMPUTED_VALUE"""),"WI-FI")</f>
        <v>WI-FI</v>
      </c>
      <c r="G78" s="331" t="str">
        <f>IFERROR(__xludf.DUMMYFUNCTION("""COMPUTED_VALUE"""),"NAO")</f>
        <v>NAO</v>
      </c>
      <c r="H78" s="333" t="str">
        <f>IFERROR(__xludf.DUMMYFUNCTION("""COMPUTED_VALUE"""),"NAO")</f>
        <v>NAO</v>
      </c>
      <c r="I78" s="334" t="str">
        <f>IFERROR(__xludf.DUMMYFUNCTION("""COMPUTED_VALUE"""),"AGUARDAR CONTAINER")</f>
        <v>AGUARDAR CONTAINER</v>
      </c>
      <c r="J78" s="335" t="str">
        <f>IFERROR(__xludf.DUMMYFUNCTION("""COMPUTED_VALUE"""),"ACEVILLE")</f>
        <v>ACEVILLE</v>
      </c>
      <c r="K78" s="336" t="str">
        <f>IFERROR(__xludf.DUMMYFUNCTION("""COMPUTED_VALUE"""),"SEM REDESPACHO")</f>
        <v>SEM REDESPACHO</v>
      </c>
      <c r="L78" s="337"/>
      <c r="M78" s="338"/>
      <c r="N78" s="339"/>
      <c r="O78" s="340"/>
      <c r="P78" s="341" t="str">
        <f>IFERROR(__xludf.DUMMYFUNCTION("""COMPUTED_VALUE"""),"ACEVILLE TRANSPORTES LTDA / (048) 99823-5770Informação Adicional: ABATER VALOR DO CONTRATO EM VIGOR  / Obs.Interna: Guilherme -Liberar essa que está no estoque de segurança .  / E-mail para nota fiscal: , E-mail de cobrança: , Telefone para contato")</f>
        <v>ACEVILLE TRANSPORTES LTDA / (048) 99823-5770Informação Adicional: ABATER VALOR DO CONTRATO EM VIGOR  / Obs.Interna: Guilherme -Liberar essa que está no estoque de segurança .  / E-mail para nota fiscal: , E-mail de cobrança: , Telefone para contato</v>
      </c>
      <c r="Q78" s="342"/>
      <c r="R78" s="342"/>
      <c r="S78" s="342"/>
      <c r="T78" s="343"/>
      <c r="U78" s="342"/>
      <c r="V78" s="342"/>
      <c r="W78" s="344"/>
      <c r="X78" s="344"/>
      <c r="Y78" s="345"/>
      <c r="Z78" s="345"/>
      <c r="AA78" s="345"/>
      <c r="AB78" s="345"/>
      <c r="AC78" s="345"/>
    </row>
    <row r="79" ht="28.5" customHeight="1">
      <c r="A79" s="331" t="str">
        <f>IFERROR(__xludf.DUMMYFUNCTION("""COMPUTED_VALUE"""),"18663")</f>
        <v>18663</v>
      </c>
      <c r="B79" s="33" t="str">
        <f>IFERROR(__xludf.DUMMYFUNCTION("""COMPUTED_VALUE"""),"MULTICOLOR")</f>
        <v>MULTICOLOR</v>
      </c>
      <c r="C79" s="332">
        <f>IFERROR(__xludf.DUMMYFUNCTION("""COMPUTED_VALUE"""),0.0)</f>
        <v>0</v>
      </c>
      <c r="D79" s="331"/>
      <c r="E79" s="331" t="str">
        <f>IFERROR(__xludf.DUMMYFUNCTION("""COMPUTED_VALUE"""),"FTI35D40PT")</f>
        <v>FTI35D40PT</v>
      </c>
      <c r="F79" s="331" t="str">
        <f>IFERROR(__xludf.DUMMYFUNCTION("""COMPUTED_VALUE"""),"WI-FI")</f>
        <v>WI-FI</v>
      </c>
      <c r="G79" s="331" t="str">
        <f>IFERROR(__xludf.DUMMYFUNCTION("""COMPUTED_VALUE"""),"NAO")</f>
        <v>NAO</v>
      </c>
      <c r="H79" s="333" t="str">
        <f>IFERROR(__xludf.DUMMYFUNCTION("""COMPUTED_VALUE"""),"NAO")</f>
        <v>NAO</v>
      </c>
      <c r="I79" s="334" t="str">
        <f>IFERROR(__xludf.DUMMYFUNCTION("""COMPUTED_VALUE"""),"AGUARDAR CONTAINER")</f>
        <v>AGUARDAR CONTAINER</v>
      </c>
      <c r="J79" s="335" t="str">
        <f>IFERROR(__xludf.DUMMYFUNCTION("""COMPUTED_VALUE"""),"FITLOG")</f>
        <v>FITLOG</v>
      </c>
      <c r="K79" s="336" t="str">
        <f>IFERROR(__xludf.DUMMYFUNCTION("""COMPUTED_VALUE"""),"SEM REDESPACHO")</f>
        <v>SEM REDESPACHO</v>
      </c>
      <c r="L79" s="337"/>
      <c r="M79" s="338"/>
      <c r="N79" s="339"/>
      <c r="O79" s="340"/>
      <c r="P79" s="341" t="str">
        <f>IFERROR(__xludf.DUMMYFUNCTION("""COMPUTED_VALUE"""),"FITLOG TRANSPORTES E LOGISTICA LTDA / (048) 996277956Obs.Interna: aguardando conteiner  / E-mail para nota fiscal: , E-mail de cobrança: , Telefone para contato")</f>
        <v>FITLOG TRANSPORTES E LOGISTICA LTDA / (048) 996277956Obs.Interna: aguardando conteiner  / E-mail para nota fiscal: , E-mail de cobrança: , Telefone para contato</v>
      </c>
      <c r="Q79" s="342"/>
      <c r="R79" s="342"/>
      <c r="S79" s="342"/>
      <c r="T79" s="343"/>
      <c r="U79" s="342"/>
      <c r="V79" s="342"/>
      <c r="W79" s="344"/>
      <c r="X79" s="344"/>
      <c r="Y79" s="345"/>
      <c r="Z79" s="345"/>
      <c r="AA79" s="345"/>
      <c r="AB79" s="345"/>
      <c r="AC79" s="345"/>
    </row>
    <row r="80" ht="28.5" customHeight="1">
      <c r="A80" s="331" t="str">
        <f>IFERROR(__xludf.DUMMYFUNCTION("""COMPUTED_VALUE"""),"18714-A")</f>
        <v>18714-A</v>
      </c>
      <c r="B80" s="33" t="str">
        <f>IFERROR(__xludf.DUMMYFUNCTION("""COMPUTED_VALUE"""),"AGUA E LAZER")</f>
        <v>AGUA E LAZER</v>
      </c>
      <c r="C80" s="332">
        <f>IFERROR(__xludf.DUMMYFUNCTION("""COMPUTED_VALUE"""),0.0)</f>
        <v>0</v>
      </c>
      <c r="D80" s="331"/>
      <c r="E80" s="331" t="str">
        <f>IFERROR(__xludf.DUMMYFUNCTION("""COMPUTED_VALUE"""),"FTI35D40PT")</f>
        <v>FTI35D40PT</v>
      </c>
      <c r="F80" s="331" t="str">
        <f>IFERROR(__xludf.DUMMYFUNCTION("""COMPUTED_VALUE"""),"WI-FI")</f>
        <v>WI-FI</v>
      </c>
      <c r="G80" s="331" t="str">
        <f>IFERROR(__xludf.DUMMYFUNCTION("""COMPUTED_VALUE"""),"NAO")</f>
        <v>NAO</v>
      </c>
      <c r="H80" s="333" t="str">
        <f>IFERROR(__xludf.DUMMYFUNCTION("""COMPUTED_VALUE"""),"NAO")</f>
        <v>NAO</v>
      </c>
      <c r="I80" s="334" t="str">
        <f>IFERROR(__xludf.DUMMYFUNCTION("""COMPUTED_VALUE"""),"AGUARDAR CONTAINER")</f>
        <v>AGUARDAR CONTAINER</v>
      </c>
      <c r="J80" s="335" t="str">
        <f>IFERROR(__xludf.DUMMYFUNCTION("""COMPUTED_VALUE"""),"FITLOG")</f>
        <v>FITLOG</v>
      </c>
      <c r="K80" s="336" t="str">
        <f>IFERROR(__xludf.DUMMYFUNCTION("""COMPUTED_VALUE"""),"SETE LAGOS")</f>
        <v>SETE LAGOS</v>
      </c>
      <c r="L80" s="337"/>
      <c r="M80" s="338"/>
      <c r="N80" s="339"/>
      <c r="O80" s="340"/>
      <c r="P80" s="341" t="str">
        <f>IFERROR(__xludf.DUMMYFUNCTION("""COMPUTED_VALUE"""),"FITLOG TRANSPORTES E LOGISTICA LTDA / (048) 996277956Informação Adicional: Valor correto do total pedido : R$ 13.770,14 (FTI55 - 7.700,00) aprovado pelo Mário Dick
Frete Fob com redespacho pela Sete Lagos SP - CNPJ : 03.098.929/0005-17 - End. : RUA PEDRO"&amp;" DE TOLEDO, 407 - JARDIM SANTA LIDIA - GUARULHOS - SP - CEP 07140-000 / Obs.Interna: PEDIDO DE LIBERAÇÃO , POIS NO DIA 30/08 CLIENTE ESTAVA COM LOJA DESTELHADA.CONFIRMADO PELO REPRESENTANTE DA REGIÃO -MINAS  / E-mail para nota fiscal: , E-mail de cobrança"&amp;": , Telefone para contato
O REDESPACHO SERA FOB - TRANSP. SETE LAGOS - CNPJ:03.098.929/0005-17 - END: R PEDRO TOLEDO, 407, CEP: 07.140-000")</f>
        <v>FITLOG TRANSPORTES E LOGISTICA LTDA / (048) 996277956Informação Adicional: Valor correto do total pedido : R$ 13.770,14 (FTI55 - 7.700,00) aprovado pelo Mário Dick
Frete Fob com redespacho pela Sete Lagos SP - CNPJ : 03.098.929/0005-17 - End. : RUA PEDRO DE TOLEDO, 407 - JARDIM SANTA LIDIA - GUARULHOS - SP - CEP 07140-000 / Obs.Interna: PEDIDO DE LIBERAÇÃO , POIS NO DIA 30/08 CLIENTE ESTAVA COM LOJA DESTELHADA.CONFIRMADO PELO REPRESENTANTE DA REGIÃO -MINAS  / E-mail para nota fiscal: , E-mail de cobrança: , Telefone para contato
O REDESPACHO SERA FOB - TRANSP. SETE LAGOS - CNPJ:03.098.929/0005-17 - END: R PEDRO TOLEDO, 407, CEP: 07.140-000</v>
      </c>
      <c r="Q80" s="342"/>
      <c r="R80" s="342"/>
      <c r="S80" s="342"/>
      <c r="T80" s="343"/>
      <c r="U80" s="342"/>
      <c r="V80" s="342"/>
      <c r="W80" s="344"/>
      <c r="X80" s="344"/>
      <c r="Y80" s="345"/>
      <c r="Z80" s="345"/>
      <c r="AA80" s="345"/>
      <c r="AB80" s="345"/>
      <c r="AC80" s="345"/>
    </row>
    <row r="81" ht="28.5" customHeight="1">
      <c r="A81" s="331" t="str">
        <f>IFERROR(__xludf.DUMMYFUNCTION("""COMPUTED_VALUE"""),"18728-A")</f>
        <v>18728-A</v>
      </c>
      <c r="B81" s="33" t="str">
        <f>IFERROR(__xludf.DUMMYFUNCTION("""COMPUTED_VALUE"""),"PISCINAS MUNDIAL")</f>
        <v>PISCINAS MUNDIAL</v>
      </c>
      <c r="C81" s="332">
        <f>IFERROR(__xludf.DUMMYFUNCTION("""COMPUTED_VALUE"""),0.0)</f>
        <v>0</v>
      </c>
      <c r="D81" s="331"/>
      <c r="E81" s="331" t="str">
        <f>IFERROR(__xludf.DUMMYFUNCTION("""COMPUTED_VALUE"""),"FTI35D40PT")</f>
        <v>FTI35D40PT</v>
      </c>
      <c r="F81" s="331" t="str">
        <f>IFERROR(__xludf.DUMMYFUNCTION("""COMPUTED_VALUE"""),"WI-FI")</f>
        <v>WI-FI</v>
      </c>
      <c r="G81" s="331" t="str">
        <f>IFERROR(__xludf.DUMMYFUNCTION("""COMPUTED_VALUE"""),"NAO")</f>
        <v>NAO</v>
      </c>
      <c r="H81" s="333" t="str">
        <f>IFERROR(__xludf.DUMMYFUNCTION("""COMPUTED_VALUE"""),"NAO")</f>
        <v>NAO</v>
      </c>
      <c r="I81" s="334" t="str">
        <f>IFERROR(__xludf.DUMMYFUNCTION("""COMPUTED_VALUE"""),"AGUARDAR CONTAINER")</f>
        <v>AGUARDAR CONTAINER</v>
      </c>
      <c r="J81" s="335" t="str">
        <f>IFERROR(__xludf.DUMMYFUNCTION("""COMPUTED_VALUE"""),"EXPRESSO SAO MIGUEL")</f>
        <v>EXPRESSO SAO MIGUEL</v>
      </c>
      <c r="K81" s="336" t="str">
        <f>IFERROR(__xludf.DUMMYFUNCTION("""COMPUTED_VALUE"""),"SEM REDESPACHO")</f>
        <v>SEM REDESPACHO</v>
      </c>
      <c r="L81" s="337">
        <f>IFERROR(__xludf.DUMMYFUNCTION("""COMPUTED_VALUE"""),-14104.0)</f>
        <v>-14104</v>
      </c>
      <c r="M81" s="338"/>
      <c r="N81" s="339"/>
      <c r="O81" s="340"/>
      <c r="P81" s="341" t="str">
        <f>IFERROR(__xludf.DUMMYFUNCTION("""COMPUTED_VALUE"""),"EXPRESSO SAO MIGUEL S/A / (049) 3361-6627Obs.Interna: entrega próximo lote outubro  / E-mail para nota fiscal: , E-mail de cobrança: , Telefone para contato")</f>
        <v>EXPRESSO SAO MIGUEL S/A / (049) 3361-6627Obs.Interna: entrega próximo lote outubro  / E-mail para nota fiscal: , E-mail de cobrança: , Telefone para contato</v>
      </c>
      <c r="Q81" s="342"/>
      <c r="R81" s="342"/>
      <c r="S81" s="342"/>
      <c r="T81" s="343"/>
      <c r="U81" s="342"/>
      <c r="V81" s="342"/>
      <c r="W81" s="344"/>
      <c r="X81" s="344"/>
      <c r="Y81" s="345"/>
      <c r="Z81" s="345"/>
      <c r="AA81" s="345"/>
      <c r="AB81" s="345"/>
      <c r="AC81" s="345"/>
    </row>
    <row r="82" ht="28.5" customHeight="1">
      <c r="A82" s="331" t="str">
        <f>IFERROR(__xludf.DUMMYFUNCTION("""COMPUTED_VALUE"""),"18728-B")</f>
        <v>18728-B</v>
      </c>
      <c r="B82" s="33" t="str">
        <f>IFERROR(__xludf.DUMMYFUNCTION("""COMPUTED_VALUE"""),"PISCINAS MUNDIAL")</f>
        <v>PISCINAS MUNDIAL</v>
      </c>
      <c r="C82" s="332">
        <f>IFERROR(__xludf.DUMMYFUNCTION("""COMPUTED_VALUE"""),0.0)</f>
        <v>0</v>
      </c>
      <c r="D82" s="331"/>
      <c r="E82" s="331" t="str">
        <f>IFERROR(__xludf.DUMMYFUNCTION("""COMPUTED_VALUE"""),"FTI35D40PT")</f>
        <v>FTI35D40PT</v>
      </c>
      <c r="F82" s="331" t="str">
        <f>IFERROR(__xludf.DUMMYFUNCTION("""COMPUTED_VALUE"""),"WI-FI")</f>
        <v>WI-FI</v>
      </c>
      <c r="G82" s="331" t="str">
        <f>IFERROR(__xludf.DUMMYFUNCTION("""COMPUTED_VALUE"""),"NAO")</f>
        <v>NAO</v>
      </c>
      <c r="H82" s="333" t="str">
        <f>IFERROR(__xludf.DUMMYFUNCTION("""COMPUTED_VALUE"""),"NAO")</f>
        <v>NAO</v>
      </c>
      <c r="I82" s="334" t="str">
        <f>IFERROR(__xludf.DUMMYFUNCTION("""COMPUTED_VALUE"""),"AGUARDAR CONTAINER")</f>
        <v>AGUARDAR CONTAINER</v>
      </c>
      <c r="J82" s="335" t="str">
        <f>IFERROR(__xludf.DUMMYFUNCTION("""COMPUTED_VALUE"""),"EXPRESSO SAO MIGUEL")</f>
        <v>EXPRESSO SAO MIGUEL</v>
      </c>
      <c r="K82" s="336" t="str">
        <f>IFERROR(__xludf.DUMMYFUNCTION("""COMPUTED_VALUE"""),"SEM REDESPACHO")</f>
        <v>SEM REDESPACHO</v>
      </c>
      <c r="L82" s="337">
        <f>IFERROR(__xludf.DUMMYFUNCTION("""COMPUTED_VALUE"""),-14104.0)</f>
        <v>-14104</v>
      </c>
      <c r="M82" s="338"/>
      <c r="N82" s="339"/>
      <c r="O82" s="340"/>
      <c r="P82" s="341" t="str">
        <f>IFERROR(__xludf.DUMMYFUNCTION("""COMPUTED_VALUE"""),"EXPRESSO SAO MIGUEL S/A / (049) 3361-6627Obs.Interna: entrega próximo lote outubro  / E-mail para nota fiscal: , E-mail de cobrança: , Telefone para contato")</f>
        <v>EXPRESSO SAO MIGUEL S/A / (049) 3361-6627Obs.Interna: entrega próximo lote outubro  / E-mail para nota fiscal: , E-mail de cobrança: , Telefone para contato</v>
      </c>
      <c r="Q82" s="342"/>
      <c r="R82" s="342"/>
      <c r="S82" s="342"/>
      <c r="T82" s="343"/>
      <c r="U82" s="342"/>
      <c r="V82" s="342"/>
      <c r="W82" s="344"/>
      <c r="X82" s="344"/>
      <c r="Y82" s="345"/>
      <c r="Z82" s="345"/>
      <c r="AA82" s="345"/>
      <c r="AB82" s="345"/>
      <c r="AC82" s="345"/>
    </row>
    <row r="83" ht="28.5" customHeight="1">
      <c r="A83" s="331" t="str">
        <f>IFERROR(__xludf.DUMMYFUNCTION("""COMPUTED_VALUE"""),"18730")</f>
        <v>18730</v>
      </c>
      <c r="B83" s="33" t="str">
        <f>IFERROR(__xludf.DUMMYFUNCTION("""COMPUTED_VALUE"""),"POOL ARARAS")</f>
        <v>POOL ARARAS</v>
      </c>
      <c r="C83" s="332">
        <f>IFERROR(__xludf.DUMMYFUNCTION("""COMPUTED_VALUE"""),0.0)</f>
        <v>0</v>
      </c>
      <c r="D83" s="331"/>
      <c r="E83" s="331" t="str">
        <f>IFERROR(__xludf.DUMMYFUNCTION("""COMPUTED_VALUE"""),"FTI35D40PT")</f>
        <v>FTI35D40PT</v>
      </c>
      <c r="F83" s="331" t="str">
        <f>IFERROR(__xludf.DUMMYFUNCTION("""COMPUTED_VALUE"""),"WI-FI")</f>
        <v>WI-FI</v>
      </c>
      <c r="G83" s="331" t="str">
        <f>IFERROR(__xludf.DUMMYFUNCTION("""COMPUTED_VALUE"""),"NAO")</f>
        <v>NAO</v>
      </c>
      <c r="H83" s="333" t="str">
        <f>IFERROR(__xludf.DUMMYFUNCTION("""COMPUTED_VALUE"""),"NAO")</f>
        <v>NAO</v>
      </c>
      <c r="I83" s="334" t="str">
        <f>IFERROR(__xludf.DUMMYFUNCTION("""COMPUTED_VALUE"""),"AGUARDAR CONTAINER")</f>
        <v>AGUARDAR CONTAINER</v>
      </c>
      <c r="J83" s="335" t="str">
        <f>IFERROR(__xludf.DUMMYFUNCTION("""COMPUTED_VALUE"""),"FITLOG")</f>
        <v>FITLOG</v>
      </c>
      <c r="K83" s="336" t="str">
        <f>IFERROR(__xludf.DUMMYFUNCTION("""COMPUTED_VALUE"""),"SEM REDESPACHO")</f>
        <v>SEM REDESPACHO</v>
      </c>
      <c r="L83" s="337">
        <f>IFERROR(__xludf.DUMMYFUNCTION("""COMPUTED_VALUE"""),-14103.0)</f>
        <v>-14103</v>
      </c>
      <c r="M83" s="338"/>
      <c r="N83" s="339"/>
      <c r="O83" s="340"/>
      <c r="P83" s="341" t="str">
        <f>IFERROR(__xludf.DUMMYFUNCTION("""COMPUTED_VALUE"""),"FITLOG TRANSPORTES E LOGISTICA LTDA / (048) 996277956Informação Adicional: Frete CIF / E-mail para nota fiscal: , E-mail de cobrança: , Telefone para contato")</f>
        <v>FITLOG TRANSPORTES E LOGISTICA LTDA / (048) 996277956Informação Adicional: Frete CIF / E-mail para nota fiscal: , E-mail de cobrança: , Telefone para contato</v>
      </c>
      <c r="Q83" s="342"/>
      <c r="R83" s="342"/>
      <c r="S83" s="342"/>
      <c r="T83" s="343"/>
      <c r="U83" s="342"/>
      <c r="V83" s="342"/>
      <c r="W83" s="344"/>
      <c r="X83" s="344"/>
      <c r="Y83" s="345"/>
      <c r="Z83" s="345"/>
      <c r="AA83" s="345"/>
      <c r="AB83" s="345"/>
      <c r="AC83" s="345"/>
    </row>
    <row r="84" ht="28.5" customHeight="1">
      <c r="A84" s="331" t="str">
        <f>IFERROR(__xludf.DUMMYFUNCTION("""COMPUTED_VALUE"""),"18741")</f>
        <v>18741</v>
      </c>
      <c r="B84" s="33" t="str">
        <f>IFERROR(__xludf.DUMMYFUNCTION("""COMPUTED_VALUE"""),"TECNOSOL")</f>
        <v>TECNOSOL</v>
      </c>
      <c r="C84" s="332">
        <f>IFERROR(__xludf.DUMMYFUNCTION("""COMPUTED_VALUE"""),0.0)</f>
        <v>0</v>
      </c>
      <c r="D84" s="331"/>
      <c r="E84" s="331" t="str">
        <f>IFERROR(__xludf.DUMMYFUNCTION("""COMPUTED_VALUE"""),"FTI35D40PT")</f>
        <v>FTI35D40PT</v>
      </c>
      <c r="F84" s="331" t="str">
        <f>IFERROR(__xludf.DUMMYFUNCTION("""COMPUTED_VALUE"""),"WI-FI")</f>
        <v>WI-FI</v>
      </c>
      <c r="G84" s="331" t="str">
        <f>IFERROR(__xludf.DUMMYFUNCTION("""COMPUTED_VALUE"""),"NAO")</f>
        <v>NAO</v>
      </c>
      <c r="H84" s="333" t="str">
        <f>IFERROR(__xludf.DUMMYFUNCTION("""COMPUTED_VALUE"""),"NAO")</f>
        <v>NAO</v>
      </c>
      <c r="I84" s="334" t="str">
        <f>IFERROR(__xludf.DUMMYFUNCTION("""COMPUTED_VALUE"""),"AGUARDAR CONTAINER")</f>
        <v>AGUARDAR CONTAINER</v>
      </c>
      <c r="J84" s="335" t="str">
        <f>IFERROR(__xludf.DUMMYFUNCTION("""COMPUTED_VALUE"""),"EXPRESSO SAO MIGUEL")</f>
        <v>EXPRESSO SAO MIGUEL</v>
      </c>
      <c r="K84" s="336" t="str">
        <f>IFERROR(__xludf.DUMMYFUNCTION("""COMPUTED_VALUE"""),"SEM REDESPACHO")</f>
        <v>SEM REDESPACHO</v>
      </c>
      <c r="L84" s="337"/>
      <c r="M84" s="338"/>
      <c r="N84" s="339"/>
      <c r="O84" s="340"/>
      <c r="P84" s="341" t="str">
        <f>IFERROR(__xludf.DUMMYFUNCTION("""COMPUTED_VALUE"""),"EXPRESSO SAO MIGUEL S/A / (049) 3361-6666Informação Adicional: PEDIDO COMPRA 24267 / E-mail para nota fiscal: , E-mail de cobrança: , Telefone para contato")</f>
        <v>EXPRESSO SAO MIGUEL S/A / (049) 3361-6666Informação Adicional: PEDIDO COMPRA 24267 / E-mail para nota fiscal: , E-mail de cobrança: , Telefone para contato</v>
      </c>
      <c r="Q84" s="342"/>
      <c r="R84" s="342"/>
      <c r="S84" s="342"/>
      <c r="T84" s="343"/>
      <c r="U84" s="342"/>
      <c r="V84" s="342"/>
      <c r="W84" s="344"/>
      <c r="X84" s="344"/>
      <c r="Y84" s="345"/>
      <c r="Z84" s="345"/>
      <c r="AA84" s="345"/>
      <c r="AB84" s="345"/>
      <c r="AC84" s="345"/>
    </row>
    <row r="85" ht="28.5" customHeight="1">
      <c r="A85" s="331" t="str">
        <f>IFERROR(__xludf.DUMMYFUNCTION("""COMPUTED_VALUE"""),"18745-A")</f>
        <v>18745-A</v>
      </c>
      <c r="B85" s="33" t="str">
        <f>IFERROR(__xludf.DUMMYFUNCTION("""COMPUTED_VALUE"""),"GT AQUECEDORES")</f>
        <v>GT AQUECEDORES</v>
      </c>
      <c r="C85" s="332">
        <f>IFERROR(__xludf.DUMMYFUNCTION("""COMPUTED_VALUE"""),0.0)</f>
        <v>0</v>
      </c>
      <c r="D85" s="331"/>
      <c r="E85" s="331" t="str">
        <f>IFERROR(__xludf.DUMMYFUNCTION("""COMPUTED_VALUE"""),"FTI35D40PT")</f>
        <v>FTI35D40PT</v>
      </c>
      <c r="F85" s="331" t="str">
        <f>IFERROR(__xludf.DUMMYFUNCTION("""COMPUTED_VALUE"""),"WI-FI")</f>
        <v>WI-FI</v>
      </c>
      <c r="G85" s="331" t="str">
        <f>IFERROR(__xludf.DUMMYFUNCTION("""COMPUTED_VALUE"""),"NAO")</f>
        <v>NAO</v>
      </c>
      <c r="H85" s="333" t="str">
        <f>IFERROR(__xludf.DUMMYFUNCTION("""COMPUTED_VALUE"""),"NAO")</f>
        <v>NAO</v>
      </c>
      <c r="I85" s="334" t="str">
        <f>IFERROR(__xludf.DUMMYFUNCTION("""COMPUTED_VALUE"""),"AGUARDAR CONTAINER")</f>
        <v>AGUARDAR CONTAINER</v>
      </c>
      <c r="J85" s="335" t="str">
        <f>IFERROR(__xludf.DUMMYFUNCTION("""COMPUTED_VALUE"""),"TRANSP BAUER EXPRESS")</f>
        <v>TRANSP BAUER EXPRESS</v>
      </c>
      <c r="K85" s="336" t="str">
        <f>IFERROR(__xludf.DUMMYFUNCTION("""COMPUTED_VALUE"""),"SEM REDESPACHO")</f>
        <v>SEM REDESPACHO</v>
      </c>
      <c r="L85" s="337">
        <f>IFERROR(__xludf.DUMMYFUNCTION("""COMPUTED_VALUE"""),-14189.0)</f>
        <v>-14189</v>
      </c>
      <c r="M85" s="338"/>
      <c r="N85" s="339"/>
      <c r="O85" s="340"/>
      <c r="P85" s="341" t="str">
        <f>IFERROR(__xludf.DUMMYFUNCTION("""COMPUTED_VALUE"""),"Transportadora Bauer / (048) 9943-3665Obs.Interna: Parte no cartão em 3x R$5.428,13(Comprovante com a Bruna )e restante pix.  / E-mail para nota fiscal: , E-mail de cobrança: , Telefone para contato")</f>
        <v>Transportadora Bauer / (048) 9943-3665Obs.Interna: Parte no cartão em 3x R$5.428,13(Comprovante com a Bruna )e restante pix.  / E-mail para nota fiscal: , E-mail de cobrança: , Telefone para contato</v>
      </c>
      <c r="Q85" s="342"/>
      <c r="R85" s="342"/>
      <c r="S85" s="342"/>
      <c r="T85" s="343"/>
      <c r="U85" s="342"/>
      <c r="V85" s="342"/>
      <c r="W85" s="344"/>
      <c r="X85" s="344"/>
      <c r="Y85" s="345"/>
      <c r="Z85" s="345"/>
      <c r="AA85" s="345"/>
      <c r="AB85" s="345"/>
      <c r="AC85" s="345"/>
    </row>
    <row r="86" ht="28.5" customHeight="1">
      <c r="A86" s="331" t="str">
        <f>IFERROR(__xludf.DUMMYFUNCTION("""COMPUTED_VALUE"""),"18757")</f>
        <v>18757</v>
      </c>
      <c r="B86" s="33" t="str">
        <f>IFERROR(__xludf.DUMMYFUNCTION("""COMPUTED_VALUE"""),"13.717.133 VALCIR PINTO BOZOLA")</f>
        <v>13.717.133 VALCIR PINTO BOZOLA</v>
      </c>
      <c r="C86" s="332">
        <f>IFERROR(__xludf.DUMMYFUNCTION("""COMPUTED_VALUE"""),0.0)</f>
        <v>0</v>
      </c>
      <c r="D86" s="331"/>
      <c r="E86" s="331" t="str">
        <f>IFERROR(__xludf.DUMMYFUNCTION("""COMPUTED_VALUE"""),"FTI35D40PT")</f>
        <v>FTI35D40PT</v>
      </c>
      <c r="F86" s="331" t="str">
        <f>IFERROR(__xludf.DUMMYFUNCTION("""COMPUTED_VALUE"""),"WI-FI")</f>
        <v>WI-FI</v>
      </c>
      <c r="G86" s="331" t="str">
        <f>IFERROR(__xludf.DUMMYFUNCTION("""COMPUTED_VALUE"""),"NAO")</f>
        <v>NAO</v>
      </c>
      <c r="H86" s="333" t="str">
        <f>IFERROR(__xludf.DUMMYFUNCTION("""COMPUTED_VALUE"""),"NAO")</f>
        <v>NAO</v>
      </c>
      <c r="I86" s="334" t="str">
        <f>IFERROR(__xludf.DUMMYFUNCTION("""COMPUTED_VALUE"""),"AGUARDAR CONTAINER")</f>
        <v>AGUARDAR CONTAINER</v>
      </c>
      <c r="J86" s="335" t="str">
        <f>IFERROR(__xludf.DUMMYFUNCTION("""COMPUTED_VALUE"""),"EXPRESSO SAO MIGUEL")</f>
        <v>EXPRESSO SAO MIGUEL</v>
      </c>
      <c r="K86" s="336" t="str">
        <f>IFERROR(__xludf.DUMMYFUNCTION("""COMPUTED_VALUE"""),"SEM REDESPACHO")</f>
        <v>SEM REDESPACHO</v>
      </c>
      <c r="L86" s="337">
        <f>IFERROR(__xludf.DUMMYFUNCTION("""COMPUTED_VALUE"""),-14102.0)</f>
        <v>-14102</v>
      </c>
      <c r="M86" s="338"/>
      <c r="N86" s="339"/>
      <c r="O86" s="340"/>
      <c r="P86" s="341" t="str">
        <f>IFERROR(__xludf.DUMMYFUNCTION("""COMPUTED_VALUE"""),"EXPRESSO SAO MIGUEL S/A / (051) 3586-2013Informação Adicional: ENETREGA EM INICIO DE NOVEMBRO  / E-mail para nota fiscal: , E-mail de cobrança: , Telefone para contato")</f>
        <v>EXPRESSO SAO MIGUEL S/A / (051) 3586-2013Informação Adicional: ENETREGA EM INICIO DE NOVEMBRO  / E-mail para nota fiscal: , E-mail de cobrança: , Telefone para contato</v>
      </c>
      <c r="Q86" s="342"/>
      <c r="R86" s="342"/>
      <c r="S86" s="342"/>
      <c r="T86" s="343"/>
      <c r="U86" s="342"/>
      <c r="V86" s="342"/>
      <c r="W86" s="344"/>
      <c r="X86" s="344"/>
      <c r="Y86" s="345"/>
      <c r="Z86" s="345"/>
      <c r="AA86" s="345"/>
      <c r="AB86" s="345"/>
      <c r="AC86" s="345"/>
    </row>
    <row r="87" ht="28.5" customHeight="1">
      <c r="A87" s="331" t="str">
        <f>IFERROR(__xludf.DUMMYFUNCTION("""COMPUTED_VALUE"""),"18758-A")</f>
        <v>18758-A</v>
      </c>
      <c r="B87" s="33" t="str">
        <f>IFERROR(__xludf.DUMMYFUNCTION("""COMPUTED_VALUE"""),"HELUX")</f>
        <v>HELUX</v>
      </c>
      <c r="C87" s="332">
        <f>IFERROR(__xludf.DUMMYFUNCTION("""COMPUTED_VALUE"""),0.0)</f>
        <v>0</v>
      </c>
      <c r="D87" s="331"/>
      <c r="E87" s="331" t="str">
        <f>IFERROR(__xludf.DUMMYFUNCTION("""COMPUTED_VALUE"""),"FTI35D40PT")</f>
        <v>FTI35D40PT</v>
      </c>
      <c r="F87" s="331" t="str">
        <f>IFERROR(__xludf.DUMMYFUNCTION("""COMPUTED_VALUE"""),"WI-FI")</f>
        <v>WI-FI</v>
      </c>
      <c r="G87" s="331" t="str">
        <f>IFERROR(__xludf.DUMMYFUNCTION("""COMPUTED_VALUE"""),"NAO")</f>
        <v>NAO</v>
      </c>
      <c r="H87" s="333" t="str">
        <f>IFERROR(__xludf.DUMMYFUNCTION("""COMPUTED_VALUE"""),"NAO")</f>
        <v>NAO</v>
      </c>
      <c r="I87" s="334" t="str">
        <f>IFERROR(__xludf.DUMMYFUNCTION("""COMPUTED_VALUE"""),"AGUARDAR CONTAINER")</f>
        <v>AGUARDAR CONTAINER</v>
      </c>
      <c r="J87" s="335" t="str">
        <f>IFERROR(__xludf.DUMMYFUNCTION("""COMPUTED_VALUE"""),"EXPRESSO SAO MIGUEL")</f>
        <v>EXPRESSO SAO MIGUEL</v>
      </c>
      <c r="K87" s="336" t="str">
        <f>IFERROR(__xludf.DUMMYFUNCTION("""COMPUTED_VALUE"""),"SEM REDESPACHO")</f>
        <v>SEM REDESPACHO</v>
      </c>
      <c r="L87" s="337">
        <f>IFERROR(__xludf.DUMMYFUNCTION("""COMPUTED_VALUE"""),-14112.0)</f>
        <v>-14112</v>
      </c>
      <c r="M87" s="338"/>
      <c r="N87" s="339"/>
      <c r="O87" s="340"/>
      <c r="P87" s="341" t="str">
        <f>IFERROR(__xludf.DUMMYFUNCTION("""COMPUTED_VALUE"""),"EXPRESSO SAO MIGUEL S/A / (049) 3361-6627Obs.Interna: 35 = R$ 6544 * 75 = R$ 8.915,67 * 125 = R$ 14.400,18 = entrada depósito fromtherm + saldo nubank 30 dias deposito agendado para 06/11 / E-mail para nota fiscal: , E-mail de cobrança: , Telefone para co"&amp;"ntato")</f>
        <v>EXPRESSO SAO MIGUEL S/A / (049) 3361-6627Obs.Interna: 35 = R$ 6544 * 75 = R$ 8.915,67 * 125 = R$ 14.400,18 = entrada depósito fromtherm + saldo nubank 30 dias deposito agendado para 06/11 / E-mail para nota fiscal: , E-mail de cobrança: , Telefone para contato</v>
      </c>
      <c r="Q87" s="342"/>
      <c r="R87" s="342"/>
      <c r="S87" s="342"/>
      <c r="T87" s="343"/>
      <c r="U87" s="342"/>
      <c r="V87" s="342"/>
      <c r="W87" s="344"/>
      <c r="X87" s="344"/>
      <c r="Y87" s="345"/>
      <c r="Z87" s="345"/>
      <c r="AA87" s="345"/>
      <c r="AB87" s="345"/>
      <c r="AC87" s="345"/>
    </row>
    <row r="88" ht="28.5" customHeight="1">
      <c r="A88" s="331" t="str">
        <f>IFERROR(__xludf.DUMMYFUNCTION("""COMPUTED_VALUE"""),"18758-B")</f>
        <v>18758-B</v>
      </c>
      <c r="B88" s="33" t="str">
        <f>IFERROR(__xludf.DUMMYFUNCTION("""COMPUTED_VALUE"""),"HELUX")</f>
        <v>HELUX</v>
      </c>
      <c r="C88" s="332">
        <f>IFERROR(__xludf.DUMMYFUNCTION("""COMPUTED_VALUE"""),0.0)</f>
        <v>0</v>
      </c>
      <c r="D88" s="331"/>
      <c r="E88" s="331" t="str">
        <f>IFERROR(__xludf.DUMMYFUNCTION("""COMPUTED_VALUE"""),"FTI35D40PT")</f>
        <v>FTI35D40PT</v>
      </c>
      <c r="F88" s="331" t="str">
        <f>IFERROR(__xludf.DUMMYFUNCTION("""COMPUTED_VALUE"""),"WI-FI")</f>
        <v>WI-FI</v>
      </c>
      <c r="G88" s="331" t="str">
        <f>IFERROR(__xludf.DUMMYFUNCTION("""COMPUTED_VALUE"""),"NAO")</f>
        <v>NAO</v>
      </c>
      <c r="H88" s="333" t="str">
        <f>IFERROR(__xludf.DUMMYFUNCTION("""COMPUTED_VALUE"""),"NAO")</f>
        <v>NAO</v>
      </c>
      <c r="I88" s="334" t="str">
        <f>IFERROR(__xludf.DUMMYFUNCTION("""COMPUTED_VALUE"""),"AGUARDAR CONTAINER")</f>
        <v>AGUARDAR CONTAINER</v>
      </c>
      <c r="J88" s="335" t="str">
        <f>IFERROR(__xludf.DUMMYFUNCTION("""COMPUTED_VALUE"""),"EXPRESSO SAO MIGUEL")</f>
        <v>EXPRESSO SAO MIGUEL</v>
      </c>
      <c r="K88" s="336" t="str">
        <f>IFERROR(__xludf.DUMMYFUNCTION("""COMPUTED_VALUE"""),"SEM REDESPACHO")</f>
        <v>SEM REDESPACHO</v>
      </c>
      <c r="L88" s="337">
        <f>IFERROR(__xludf.DUMMYFUNCTION("""COMPUTED_VALUE"""),-14112.0)</f>
        <v>-14112</v>
      </c>
      <c r="M88" s="338"/>
      <c r="N88" s="339"/>
      <c r="O88" s="340"/>
      <c r="P88" s="341" t="str">
        <f>IFERROR(__xludf.DUMMYFUNCTION("""COMPUTED_VALUE"""),"EXPRESSO SAO MIGUEL S/A / (049) 3361-6627Obs.Interna: 35 = R$ 6544 * 75 = R$ 8.915,67 * 125 = R$ 14.400,18 = entrada depósito fromtherm + saldo nubank 30 dias deposito agendado para 06/11 / E-mail para nota fiscal: , E-mail de cobrança: , Telefone para co"&amp;"ntato")</f>
        <v>EXPRESSO SAO MIGUEL S/A / (049) 3361-6627Obs.Interna: 35 = R$ 6544 * 75 = R$ 8.915,67 * 125 = R$ 14.400,18 = entrada depósito fromtherm + saldo nubank 30 dias deposito agendado para 06/11 / E-mail para nota fiscal: , E-mail de cobrança: , Telefone para contato</v>
      </c>
      <c r="Q88" s="342"/>
      <c r="R88" s="342"/>
      <c r="S88" s="342"/>
      <c r="T88" s="343"/>
      <c r="U88" s="342"/>
      <c r="V88" s="342"/>
      <c r="W88" s="344"/>
      <c r="X88" s="344"/>
      <c r="Y88" s="345"/>
      <c r="Z88" s="345"/>
      <c r="AA88" s="345"/>
      <c r="AB88" s="345"/>
      <c r="AC88" s="345"/>
    </row>
    <row r="89" ht="28.5" customHeight="1">
      <c r="A89" s="331" t="str">
        <f>IFERROR(__xludf.DUMMYFUNCTION("""COMPUTED_VALUE"""),"18760")</f>
        <v>18760</v>
      </c>
      <c r="B89" s="33" t="str">
        <f>IFERROR(__xludf.DUMMYFUNCTION("""COMPUTED_VALUE"""),"SPA PISCINAS")</f>
        <v>SPA PISCINAS</v>
      </c>
      <c r="C89" s="332">
        <f>IFERROR(__xludf.DUMMYFUNCTION("""COMPUTED_VALUE"""),0.0)</f>
        <v>0</v>
      </c>
      <c r="D89" s="331"/>
      <c r="E89" s="331" t="str">
        <f>IFERROR(__xludf.DUMMYFUNCTION("""COMPUTED_VALUE"""),"FTI35D40PT")</f>
        <v>FTI35D40PT</v>
      </c>
      <c r="F89" s="331" t="str">
        <f>IFERROR(__xludf.DUMMYFUNCTION("""COMPUTED_VALUE"""),"WI-FI")</f>
        <v>WI-FI</v>
      </c>
      <c r="G89" s="331" t="str">
        <f>IFERROR(__xludf.DUMMYFUNCTION("""COMPUTED_VALUE"""),"NAO")</f>
        <v>NAO</v>
      </c>
      <c r="H89" s="333" t="str">
        <f>IFERROR(__xludf.DUMMYFUNCTION("""COMPUTED_VALUE"""),"NAO")</f>
        <v>NAO</v>
      </c>
      <c r="I89" s="334" t="str">
        <f>IFERROR(__xludf.DUMMYFUNCTION("""COMPUTED_VALUE"""),"AGUARDAR CONTAINER")</f>
        <v>AGUARDAR CONTAINER</v>
      </c>
      <c r="J89" s="335" t="str">
        <f>IFERROR(__xludf.DUMMYFUNCTION("""COMPUTED_VALUE"""),"FITLOG")</f>
        <v>FITLOG</v>
      </c>
      <c r="K89" s="336" t="str">
        <f>IFERROR(__xludf.DUMMYFUNCTION("""COMPUTED_VALUE""")," SPP TRANSPORTE RODOVIARIO DE CARGAS")</f>
        <v> SPP TRANSPORTE RODOVIARIO DE CARGAS</v>
      </c>
      <c r="L89" s="337">
        <f>IFERROR(__xludf.DUMMYFUNCTION("""COMPUTED_VALUE"""),-14101.0)</f>
        <v>-14101</v>
      </c>
      <c r="M89" s="338"/>
      <c r="N89" s="339"/>
      <c r="O89" s="340"/>
      <c r="P89" s="341" t="str">
        <f>IFERROR(__xludf.DUMMYFUNCTION("""COMPUTED_VALUE"""),"FITLOG TRANSPORTES E LOGISTICA LTDA / (048) 996277956Informação Adicional: ENTREGA EM INICIO DE NOVEMBRO  / E-mail para nota fiscal: , E-mail de cobrança: , Telefone para contato
&lt;br&gt;")</f>
        <v>FITLOG TRANSPORTES E LOGISTICA LTDA / (048) 996277956Informação Adicional: ENTREGA EM INICIO DE NOVEMBRO  / E-mail para nota fiscal: , E-mail de cobrança: , Telefone para contato
&lt;br&gt;</v>
      </c>
      <c r="Q89" s="342"/>
      <c r="R89" s="342"/>
      <c r="S89" s="342"/>
      <c r="T89" s="343"/>
      <c r="U89" s="342"/>
      <c r="V89" s="342"/>
      <c r="W89" s="344"/>
      <c r="X89" s="344"/>
      <c r="Y89" s="345"/>
      <c r="Z89" s="345"/>
      <c r="AA89" s="345"/>
      <c r="AB89" s="345"/>
      <c r="AC89" s="345"/>
    </row>
    <row r="90" ht="28.5" customHeight="1">
      <c r="A90" s="331" t="str">
        <f>IFERROR(__xludf.DUMMYFUNCTION("""COMPUTED_VALUE"""),"18766-B")</f>
        <v>18766-B</v>
      </c>
      <c r="B90" s="33" t="str">
        <f>IFERROR(__xludf.DUMMYFUNCTION("""COMPUTED_VALUE"""),"MSR ENGENHARIA")</f>
        <v>MSR ENGENHARIA</v>
      </c>
      <c r="C90" s="332">
        <f>IFERROR(__xludf.DUMMYFUNCTION("""COMPUTED_VALUE"""),0.0)</f>
        <v>0</v>
      </c>
      <c r="D90" s="331"/>
      <c r="E90" s="331" t="str">
        <f>IFERROR(__xludf.DUMMYFUNCTION("""COMPUTED_VALUE"""),"FTI35D40PT")</f>
        <v>FTI35D40PT</v>
      </c>
      <c r="F90" s="331" t="str">
        <f>IFERROR(__xludf.DUMMYFUNCTION("""COMPUTED_VALUE"""),"WI-FI")</f>
        <v>WI-FI</v>
      </c>
      <c r="G90" s="331" t="str">
        <f>IFERROR(__xludf.DUMMYFUNCTION("""COMPUTED_VALUE"""),"NAO")</f>
        <v>NAO</v>
      </c>
      <c r="H90" s="333" t="str">
        <f>IFERROR(__xludf.DUMMYFUNCTION("""COMPUTED_VALUE"""),"NAO")</f>
        <v>NAO</v>
      </c>
      <c r="I90" s="334" t="str">
        <f>IFERROR(__xludf.DUMMYFUNCTION("""COMPUTED_VALUE"""),"AGUARDAR CONTAINER")</f>
        <v>AGUARDAR CONTAINER</v>
      </c>
      <c r="J90" s="335" t="str">
        <f>IFERROR(__xludf.DUMMYFUNCTION("""COMPUTED_VALUE"""),"FITLOG")</f>
        <v>FITLOG</v>
      </c>
      <c r="K90" s="336" t="str">
        <f>IFERROR(__xludf.DUMMYFUNCTION("""COMPUTED_VALUE"""),"IVY LOGISTICA E TRANSPORTES EIRELI")</f>
        <v>IVY LOGISTICA E TRANSPORTES EIRELI</v>
      </c>
      <c r="L90" s="337">
        <f>IFERROR(__xludf.DUMMYFUNCTION("""COMPUTED_VALUE"""),-14141.0)</f>
        <v>-14141</v>
      </c>
      <c r="M90" s="338"/>
      <c r="N90" s="339"/>
      <c r="O90" s="340"/>
      <c r="P90" s="341" t="str">
        <f>IFERROR(__xludf.DUMMYFUNCTION("""COMPUTED_VALUE"""),"EXPRESSO SAO MIGUEL S/A / (051) 3586-2013Informação Adicional: Frete FOB com redespacho pela IVY LOGISTICA
CNPJ 32.381.000.0002-56 - RUA: URUGUAIANA,197 - CID IND SATELITE DE SP - CEP 07223-230 - GUARULHOS-SP - IE - 1515169831-19 / E-mail para nota fisca"&amp;"l: , E-mail de cobrança: , Telefone para contato")</f>
        <v>EXPRESSO SAO MIGUEL S/A / (051) 3586-2013Informação Adicional: Frete FOB com redespacho pela IVY LOGISTICA
CNPJ 32.381.000.0002-56 - RUA: URUGUAIANA,197 - CID IND SATELITE DE SP - CEP 07223-230 - GUARULHOS-SP - IE - 1515169831-19 / E-mail para nota fiscal: , E-mail de cobrança: , Telefone para contato</v>
      </c>
      <c r="Q90" s="342"/>
      <c r="R90" s="342"/>
      <c r="S90" s="342"/>
      <c r="T90" s="343"/>
      <c r="U90" s="342"/>
      <c r="V90" s="342"/>
      <c r="W90" s="344"/>
      <c r="X90" s="344"/>
      <c r="Y90" s="345"/>
      <c r="Z90" s="345"/>
      <c r="AA90" s="345"/>
      <c r="AB90" s="345"/>
      <c r="AC90" s="345"/>
    </row>
    <row r="91" ht="28.5" customHeight="1">
      <c r="A91" s="331" t="str">
        <f>IFERROR(__xludf.DUMMYFUNCTION("""COMPUTED_VALUE"""),"18766-C")</f>
        <v>18766-C</v>
      </c>
      <c r="B91" s="33" t="str">
        <f>IFERROR(__xludf.DUMMYFUNCTION("""COMPUTED_VALUE"""),"MSR ENGENHARIA")</f>
        <v>MSR ENGENHARIA</v>
      </c>
      <c r="C91" s="332">
        <f>IFERROR(__xludf.DUMMYFUNCTION("""COMPUTED_VALUE"""),0.0)</f>
        <v>0</v>
      </c>
      <c r="D91" s="331"/>
      <c r="E91" s="331" t="str">
        <f>IFERROR(__xludf.DUMMYFUNCTION("""COMPUTED_VALUE"""),"FTI35D40PT")</f>
        <v>FTI35D40PT</v>
      </c>
      <c r="F91" s="331" t="str">
        <f>IFERROR(__xludf.DUMMYFUNCTION("""COMPUTED_VALUE"""),"WI-FI")</f>
        <v>WI-FI</v>
      </c>
      <c r="G91" s="331" t="str">
        <f>IFERROR(__xludf.DUMMYFUNCTION("""COMPUTED_VALUE"""),"NAO")</f>
        <v>NAO</v>
      </c>
      <c r="H91" s="333" t="str">
        <f>IFERROR(__xludf.DUMMYFUNCTION("""COMPUTED_VALUE"""),"NAO")</f>
        <v>NAO</v>
      </c>
      <c r="I91" s="334" t="str">
        <f>IFERROR(__xludf.DUMMYFUNCTION("""COMPUTED_VALUE"""),"AGUARDAR CONTAINER")</f>
        <v>AGUARDAR CONTAINER</v>
      </c>
      <c r="J91" s="335" t="str">
        <f>IFERROR(__xludf.DUMMYFUNCTION("""COMPUTED_VALUE"""),"FITLOG")</f>
        <v>FITLOG</v>
      </c>
      <c r="K91" s="336" t="str">
        <f>IFERROR(__xludf.DUMMYFUNCTION("""COMPUTED_VALUE"""),"IVY LOGISTICA E TRANSPORTES EIRELI")</f>
        <v>IVY LOGISTICA E TRANSPORTES EIRELI</v>
      </c>
      <c r="L91" s="337">
        <f>IFERROR(__xludf.DUMMYFUNCTION("""COMPUTED_VALUE"""),-14141.0)</f>
        <v>-14141</v>
      </c>
      <c r="M91" s="338"/>
      <c r="N91" s="339"/>
      <c r="O91" s="340"/>
      <c r="P91" s="341" t="str">
        <f>IFERROR(__xludf.DUMMYFUNCTION("""COMPUTED_VALUE"""),"EXPRESSO SAO MIGUEL S/A / (051) 3586-2013Informação Adicional: Frete FOB com redespacho pela IVY LOGISTICA
CNPJ 32.381.000.0002-56 - RUA: URUGUAIANA,197 - CID IND SATELITE DE SP - CEP 07223-230 - GUARULHOS-SP - IE - 1515169831-19 / E-mail para nota fisca"&amp;"l: , E-mail de cobrança: , Telefone para contato")</f>
        <v>EXPRESSO SAO MIGUEL S/A / (051) 3586-2013Informação Adicional: Frete FOB com redespacho pela IVY LOGISTICA
CNPJ 32.381.000.0002-56 - RUA: URUGUAIANA,197 - CID IND SATELITE DE SP - CEP 07223-230 - GUARULHOS-SP - IE - 1515169831-19 / E-mail para nota fiscal: , E-mail de cobrança: , Telefone para contato</v>
      </c>
      <c r="Q91" s="342"/>
      <c r="R91" s="342"/>
      <c r="S91" s="342"/>
      <c r="T91" s="343"/>
      <c r="U91" s="342"/>
      <c r="V91" s="342"/>
      <c r="W91" s="344"/>
      <c r="X91" s="344"/>
      <c r="Y91" s="345"/>
      <c r="Z91" s="345"/>
      <c r="AA91" s="345"/>
      <c r="AB91" s="345"/>
      <c r="AC91" s="345"/>
    </row>
    <row r="92" ht="28.5" customHeight="1">
      <c r="A92" s="331" t="str">
        <f>IFERROR(__xludf.DUMMYFUNCTION("""COMPUTED_VALUE"""),"18767")</f>
        <v>18767</v>
      </c>
      <c r="B92" s="33" t="str">
        <f>IFERROR(__xludf.DUMMYFUNCTION("""COMPUTED_VALUE"""),"MSR ENGENHARIA")</f>
        <v>MSR ENGENHARIA</v>
      </c>
      <c r="C92" s="332">
        <f>IFERROR(__xludf.DUMMYFUNCTION("""COMPUTED_VALUE"""),0.0)</f>
        <v>0</v>
      </c>
      <c r="D92" s="331"/>
      <c r="E92" s="331" t="str">
        <f>IFERROR(__xludf.DUMMYFUNCTION("""COMPUTED_VALUE"""),"FTI35D40PT")</f>
        <v>FTI35D40PT</v>
      </c>
      <c r="F92" s="331" t="str">
        <f>IFERROR(__xludf.DUMMYFUNCTION("""COMPUTED_VALUE"""),"WI-FI")</f>
        <v>WI-FI</v>
      </c>
      <c r="G92" s="331" t="str">
        <f>IFERROR(__xludf.DUMMYFUNCTION("""COMPUTED_VALUE"""),"NAO")</f>
        <v>NAO</v>
      </c>
      <c r="H92" s="333" t="str">
        <f>IFERROR(__xludf.DUMMYFUNCTION("""COMPUTED_VALUE"""),"NAO")</f>
        <v>NAO</v>
      </c>
      <c r="I92" s="334" t="str">
        <f>IFERROR(__xludf.DUMMYFUNCTION("""COMPUTED_VALUE"""),"AGUARDAR CONTAINER")</f>
        <v>AGUARDAR CONTAINER</v>
      </c>
      <c r="J92" s="335" t="str">
        <f>IFERROR(__xludf.DUMMYFUNCTION("""COMPUTED_VALUE"""),"FITLOG")</f>
        <v>FITLOG</v>
      </c>
      <c r="K92" s="336" t="str">
        <f>IFERROR(__xludf.DUMMYFUNCTION("""COMPUTED_VALUE"""),"IVY LOGISTICA E TRANSPORTES EIRELI")</f>
        <v>IVY LOGISTICA E TRANSPORTES EIRELI</v>
      </c>
      <c r="L92" s="337"/>
      <c r="M92" s="338"/>
      <c r="N92" s="339"/>
      <c r="O92" s="340"/>
      <c r="P92" s="341" t="str">
        <f>IFERROR(__xludf.DUMMYFUNCTION("""COMPUTED_VALUE"""),"EXPRESSO SAO MIGUEL S/A / (051) 3586-2013Informação Adicional: Frete FOB com redespacho pela IVY Logistica
CNPJ 32.381.000.0002-56 - RUA: URUGUAIANA,197 - CID IND SATELITE DE SP - CEP 07223-230 - GUARULHOS-SP - IE - 1515169831-19 / Obs.Interna: ENTREGA I"&amp;"NICIO DE NOVEMBRO / E-mail para nota fiscal: , E-mail de cobrança: , Telefone para contato")</f>
        <v>EXPRESSO SAO MIGUEL S/A / (051) 3586-2013Informação Adicional: Frete FOB com redespacho pela IVY Logistica
CNPJ 32.381.000.0002-56 - RUA: URUGUAIANA,197 - CID IND SATELITE DE SP - CEP 07223-230 - GUARULHOS-SP - IE - 1515169831-19 / Obs.Interna: ENTREGA INICIO DE NOVEMBRO / E-mail para nota fiscal: , E-mail de cobrança: , Telefone para contato</v>
      </c>
      <c r="Q92" s="342"/>
      <c r="R92" s="342"/>
      <c r="S92" s="342"/>
      <c r="T92" s="343"/>
      <c r="U92" s="342"/>
      <c r="V92" s="342"/>
      <c r="W92" s="344"/>
      <c r="X92" s="344"/>
      <c r="Y92" s="345"/>
      <c r="Z92" s="345"/>
      <c r="AA92" s="345"/>
      <c r="AB92" s="345"/>
      <c r="AC92" s="345"/>
    </row>
    <row r="93" ht="28.5" customHeight="1">
      <c r="A93" s="331" t="str">
        <f>IFERROR(__xludf.DUMMYFUNCTION("""COMPUTED_VALUE"""),"18798")</f>
        <v>18798</v>
      </c>
      <c r="B93" s="33" t="str">
        <f>IFERROR(__xludf.DUMMYFUNCTION("""COMPUTED_VALUE"""),"STILLO D'AGUA")</f>
        <v>STILLO D'AGUA</v>
      </c>
      <c r="C93" s="332">
        <f>IFERROR(__xludf.DUMMYFUNCTION("""COMPUTED_VALUE"""),0.0)</f>
        <v>0</v>
      </c>
      <c r="D93" s="331"/>
      <c r="E93" s="331" t="str">
        <f>IFERROR(__xludf.DUMMYFUNCTION("""COMPUTED_VALUE"""),"FTI35D40PT")</f>
        <v>FTI35D40PT</v>
      </c>
      <c r="F93" s="331" t="str">
        <f>IFERROR(__xludf.DUMMYFUNCTION("""COMPUTED_VALUE"""),"WI-FI")</f>
        <v>WI-FI</v>
      </c>
      <c r="G93" s="331" t="str">
        <f>IFERROR(__xludf.DUMMYFUNCTION("""COMPUTED_VALUE"""),"NAO")</f>
        <v>NAO</v>
      </c>
      <c r="H93" s="333" t="str">
        <f>IFERROR(__xludf.DUMMYFUNCTION("""COMPUTED_VALUE"""),"NAO")</f>
        <v>NAO</v>
      </c>
      <c r="I93" s="334" t="str">
        <f>IFERROR(__xludf.DUMMYFUNCTION("""COMPUTED_VALUE"""),"AGUARDAR CONTAINER")</f>
        <v>AGUARDAR CONTAINER</v>
      </c>
      <c r="J93" s="335" t="str">
        <f>IFERROR(__xludf.DUMMYFUNCTION("""COMPUTED_VALUE"""),"RETIRA")</f>
        <v>RETIRA</v>
      </c>
      <c r="K93" s="336" t="str">
        <f>IFERROR(__xludf.DUMMYFUNCTION("""COMPUTED_VALUE"""),"SEM REDESPACHO")</f>
        <v>SEM REDESPACHO</v>
      </c>
      <c r="L93" s="337"/>
      <c r="M93" s="338"/>
      <c r="N93" s="339"/>
      <c r="O93" s="340"/>
      <c r="P93" s="341"/>
      <c r="Q93" s="342"/>
      <c r="R93" s="342"/>
      <c r="S93" s="342"/>
      <c r="T93" s="343"/>
      <c r="U93" s="342"/>
      <c r="V93" s="342"/>
      <c r="W93" s="344"/>
      <c r="X93" s="344"/>
      <c r="Y93" s="345"/>
      <c r="Z93" s="345"/>
      <c r="AA93" s="345"/>
      <c r="AB93" s="345"/>
      <c r="AC93" s="345"/>
    </row>
    <row r="94" ht="28.5" customHeight="1">
      <c r="A94" s="331" t="str">
        <f>IFERROR(__xludf.DUMMYFUNCTION("""COMPUTED_VALUE"""),"18799")</f>
        <v>18799</v>
      </c>
      <c r="B94" s="33" t="str">
        <f>IFERROR(__xludf.DUMMYFUNCTION("""COMPUTED_VALUE"""),"STILLO D'AGUA")</f>
        <v>STILLO D'AGUA</v>
      </c>
      <c r="C94" s="332">
        <f>IFERROR(__xludf.DUMMYFUNCTION("""COMPUTED_VALUE"""),0.0)</f>
        <v>0</v>
      </c>
      <c r="D94" s="331"/>
      <c r="E94" s="331" t="str">
        <f>IFERROR(__xludf.DUMMYFUNCTION("""COMPUTED_VALUE"""),"FTI35D40PT")</f>
        <v>FTI35D40PT</v>
      </c>
      <c r="F94" s="331" t="str">
        <f>IFERROR(__xludf.DUMMYFUNCTION("""COMPUTED_VALUE"""),"WI-FI")</f>
        <v>WI-FI</v>
      </c>
      <c r="G94" s="331" t="str">
        <f>IFERROR(__xludf.DUMMYFUNCTION("""COMPUTED_VALUE"""),"NAO")</f>
        <v>NAO</v>
      </c>
      <c r="H94" s="333" t="str">
        <f>IFERROR(__xludf.DUMMYFUNCTION("""COMPUTED_VALUE"""),"NAO")</f>
        <v>NAO</v>
      </c>
      <c r="I94" s="334" t="str">
        <f>IFERROR(__xludf.DUMMYFUNCTION("""COMPUTED_VALUE"""),"AGUARDAR CONTAINER")</f>
        <v>AGUARDAR CONTAINER</v>
      </c>
      <c r="J94" s="335" t="str">
        <f>IFERROR(__xludf.DUMMYFUNCTION("""COMPUTED_VALUE"""),"RETIRA")</f>
        <v>RETIRA</v>
      </c>
      <c r="K94" s="336" t="str">
        <f>IFERROR(__xludf.DUMMYFUNCTION("""COMPUTED_VALUE"""),"SEM REDESPACHO")</f>
        <v>SEM REDESPACHO</v>
      </c>
      <c r="L94" s="337"/>
      <c r="M94" s="338"/>
      <c r="N94" s="339"/>
      <c r="O94" s="340"/>
      <c r="P94" s="341" t="str">
        <f>IFERROR(__xludf.DUMMYFUNCTION("""COMPUTED_VALUE"""),"CLIENTE RETIRA / (0) Informação Adicional: ABATER VALOR DO CONTRATO EM VIGOR
PEDIDO 20942 - ONE/ NUMBER ONE  / E-mail para nota fiscal: , E-mail de cobrança: , Telefone para contato")</f>
        <v>CLIENTE RETIRA / (0) Informação Adicional: ABATER VALOR DO CONTRATO EM VIGOR
PEDIDO 20942 - ONE/ NUMBER ONE  / E-mail para nota fiscal: , E-mail de cobrança: , Telefone para contato</v>
      </c>
      <c r="Q94" s="342"/>
      <c r="R94" s="342"/>
      <c r="S94" s="342"/>
      <c r="T94" s="343"/>
      <c r="U94" s="342"/>
      <c r="V94" s="342"/>
      <c r="W94" s="344"/>
      <c r="X94" s="344"/>
      <c r="Y94" s="345"/>
      <c r="Z94" s="345"/>
      <c r="AA94" s="345"/>
      <c r="AB94" s="345"/>
      <c r="AC94" s="345"/>
    </row>
    <row r="95" ht="28.5" customHeight="1">
      <c r="A95" s="331" t="str">
        <f>IFERROR(__xludf.DUMMYFUNCTION("""COMPUTED_VALUE"""),"18800-C")</f>
        <v>18800-C</v>
      </c>
      <c r="B95" s="33" t="str">
        <f>IFERROR(__xludf.DUMMYFUNCTION("""COMPUTED_VALUE"""),"DE LARA PISCINAS")</f>
        <v>DE LARA PISCINAS</v>
      </c>
      <c r="C95" s="332">
        <f>IFERROR(__xludf.DUMMYFUNCTION("""COMPUTED_VALUE"""),0.0)</f>
        <v>0</v>
      </c>
      <c r="D95" s="331"/>
      <c r="E95" s="331" t="str">
        <f>IFERROR(__xludf.DUMMYFUNCTION("""COMPUTED_VALUE"""),"FTI35D40PT")</f>
        <v>FTI35D40PT</v>
      </c>
      <c r="F95" s="331" t="str">
        <f>IFERROR(__xludf.DUMMYFUNCTION("""COMPUTED_VALUE"""),"WI-FI")</f>
        <v>WI-FI</v>
      </c>
      <c r="G95" s="331" t="str">
        <f>IFERROR(__xludf.DUMMYFUNCTION("""COMPUTED_VALUE"""),"NAO")</f>
        <v>NAO</v>
      </c>
      <c r="H95" s="333" t="str">
        <f>IFERROR(__xludf.DUMMYFUNCTION("""COMPUTED_VALUE"""),"NAO")</f>
        <v>NAO</v>
      </c>
      <c r="I95" s="334" t="str">
        <f>IFERROR(__xludf.DUMMYFUNCTION("""COMPUTED_VALUE"""),"AGUARDAR CONTAINER")</f>
        <v>AGUARDAR CONTAINER</v>
      </c>
      <c r="J95" s="335" t="str">
        <f>IFERROR(__xludf.DUMMYFUNCTION("""COMPUTED_VALUE"""),"EXPRESSO SAO MIGUEL")</f>
        <v>EXPRESSO SAO MIGUEL</v>
      </c>
      <c r="K95" s="336" t="str">
        <f>IFERROR(__xludf.DUMMYFUNCTION("""COMPUTED_VALUE"""),"SEM REDESPACHO")</f>
        <v>SEM REDESPACHO</v>
      </c>
      <c r="L95" s="337">
        <f>IFERROR(__xludf.DUMMYFUNCTION("""COMPUTED_VALUE"""),-14130.0)</f>
        <v>-14130</v>
      </c>
      <c r="M95" s="338"/>
      <c r="N95" s="339"/>
      <c r="O95" s="340"/>
      <c r="P95" s="341" t="str">
        <f>IFERROR(__xludf.DUMMYFUNCTION("""COMPUTED_VALUE"""),"EXPRESSO SAO MIGUEL S/A / (049) 3361-6627E-mail para nota fiscal: , E-mail de cobrança: , Telefone para contato")</f>
        <v>EXPRESSO SAO MIGUEL S/A / (049) 3361-6627E-mail para nota fiscal: , E-mail de cobrança: , Telefone para contato</v>
      </c>
      <c r="Q95" s="342"/>
      <c r="R95" s="342"/>
      <c r="S95" s="342"/>
      <c r="T95" s="343"/>
      <c r="U95" s="342"/>
      <c r="V95" s="342"/>
      <c r="W95" s="344"/>
      <c r="X95" s="344"/>
      <c r="Y95" s="345"/>
      <c r="Z95" s="345"/>
      <c r="AA95" s="345"/>
      <c r="AB95" s="345"/>
      <c r="AC95" s="345"/>
    </row>
    <row r="96" ht="28.5" customHeight="1">
      <c r="A96" s="331" t="str">
        <f>IFERROR(__xludf.DUMMYFUNCTION("""COMPUTED_VALUE"""),"18852")</f>
        <v>18852</v>
      </c>
      <c r="B96" s="33" t="str">
        <f>IFERROR(__xludf.DUMMYFUNCTION("""COMPUTED_VALUE"""),"GT AQUECEDORES")</f>
        <v>GT AQUECEDORES</v>
      </c>
      <c r="C96" s="332">
        <f>IFERROR(__xludf.DUMMYFUNCTION("""COMPUTED_VALUE"""),0.0)</f>
        <v>0</v>
      </c>
      <c r="D96" s="331"/>
      <c r="E96" s="331" t="str">
        <f>IFERROR(__xludf.DUMMYFUNCTION("""COMPUTED_VALUE"""),"FTI35D40PT")</f>
        <v>FTI35D40PT</v>
      </c>
      <c r="F96" s="331" t="str">
        <f>IFERROR(__xludf.DUMMYFUNCTION("""COMPUTED_VALUE"""),"WI-FI")</f>
        <v>WI-FI</v>
      </c>
      <c r="G96" s="331" t="str">
        <f>IFERROR(__xludf.DUMMYFUNCTION("""COMPUTED_VALUE"""),"NAO")</f>
        <v>NAO</v>
      </c>
      <c r="H96" s="333" t="str">
        <f>IFERROR(__xludf.DUMMYFUNCTION("""COMPUTED_VALUE"""),"NAO")</f>
        <v>NAO</v>
      </c>
      <c r="I96" s="334" t="str">
        <f>IFERROR(__xludf.DUMMYFUNCTION("""COMPUTED_VALUE"""),"AGUARDAR CONTAINER")</f>
        <v>AGUARDAR CONTAINER</v>
      </c>
      <c r="J96" s="335" t="str">
        <f>IFERROR(__xludf.DUMMYFUNCTION("""COMPUTED_VALUE"""),"EXPRESSO SAO MIGUEL")</f>
        <v>EXPRESSO SAO MIGUEL</v>
      </c>
      <c r="K96" s="336" t="str">
        <f>IFERROR(__xludf.DUMMYFUNCTION("""COMPUTED_VALUE"""),"SEM REDESPACHO")</f>
        <v>SEM REDESPACHO</v>
      </c>
      <c r="L96" s="337"/>
      <c r="M96" s="338"/>
      <c r="N96" s="339"/>
      <c r="O96" s="340"/>
      <c r="P96" s="341" t="str">
        <f>IFERROR(__xludf.DUMMYFUNCTION("""COMPUTED_VALUE"""),"PAGO 14/10
EXPRESSO SAO MIGUEL S/A / (051) 3586-2013Obs.Interna: ENTREGA EM NOVEMBRO  / E-mail para nota fiscal: , E-mail de cobrança: , Telefone para contato")</f>
        <v>PAGO 14/10
EXPRESSO SAO MIGUEL S/A / (051) 3586-2013Obs.Interna: ENTREGA EM NOVEMBRO  / E-mail para nota fiscal: , E-mail de cobrança: , Telefone para contato</v>
      </c>
      <c r="Q96" s="342"/>
      <c r="R96" s="342"/>
      <c r="S96" s="342"/>
      <c r="T96" s="343"/>
      <c r="U96" s="342"/>
      <c r="V96" s="342"/>
      <c r="W96" s="344"/>
      <c r="X96" s="344"/>
      <c r="Y96" s="345"/>
      <c r="Z96" s="345"/>
      <c r="AA96" s="345"/>
      <c r="AB96" s="345"/>
      <c r="AC96" s="345"/>
    </row>
    <row r="97" ht="28.5" customHeight="1">
      <c r="A97" s="331" t="str">
        <f>IFERROR(__xludf.DUMMYFUNCTION("""COMPUTED_VALUE"""),"18868")</f>
        <v>18868</v>
      </c>
      <c r="B97" s="33" t="str">
        <f>IFERROR(__xludf.DUMMYFUNCTION("""COMPUTED_VALUE"""),"PISCINAS MUNDIAL")</f>
        <v>PISCINAS MUNDIAL</v>
      </c>
      <c r="C97" s="332">
        <f>IFERROR(__xludf.DUMMYFUNCTION("""COMPUTED_VALUE"""),0.0)</f>
        <v>0</v>
      </c>
      <c r="D97" s="331"/>
      <c r="E97" s="331" t="str">
        <f>IFERROR(__xludf.DUMMYFUNCTION("""COMPUTED_VALUE"""),"FTI35D40PT")</f>
        <v>FTI35D40PT</v>
      </c>
      <c r="F97" s="331" t="str">
        <f>IFERROR(__xludf.DUMMYFUNCTION("""COMPUTED_VALUE"""),"WI-FI")</f>
        <v>WI-FI</v>
      </c>
      <c r="G97" s="331" t="str">
        <f>IFERROR(__xludf.DUMMYFUNCTION("""COMPUTED_VALUE"""),"NAO")</f>
        <v>NAO</v>
      </c>
      <c r="H97" s="333" t="str">
        <f>IFERROR(__xludf.DUMMYFUNCTION("""COMPUTED_VALUE"""),"NAO")</f>
        <v>NAO</v>
      </c>
      <c r="I97" s="334" t="str">
        <f>IFERROR(__xludf.DUMMYFUNCTION("""COMPUTED_VALUE"""),"AGUARDAR CONTAINER")</f>
        <v>AGUARDAR CONTAINER</v>
      </c>
      <c r="J97" s="335" t="str">
        <f>IFERROR(__xludf.DUMMYFUNCTION("""COMPUTED_VALUE"""),"EXPRESSO SAO MIGUEL")</f>
        <v>EXPRESSO SAO MIGUEL</v>
      </c>
      <c r="K97" s="336" t="str">
        <f>IFERROR(__xludf.DUMMYFUNCTION("""COMPUTED_VALUE"""),"SEM REDESPACHO")</f>
        <v>SEM REDESPACHO</v>
      </c>
      <c r="L97" s="337"/>
      <c r="M97" s="338"/>
      <c r="N97" s="339"/>
      <c r="O97" s="340"/>
      <c r="P97" s="341" t="str">
        <f>IFERROR(__xludf.DUMMYFUNCTION("""COMPUTED_VALUE"""),"PAGO 16/10/2025
EXPRESSO SAO MIGUEL S/A / (049) 3361-6627Obs.Interna: entrega em novembro  / E-mail para nota fiscal: , E-mail de cobrança: , Telefone para contato")</f>
        <v>PAGO 16/10/2025
EXPRESSO SAO MIGUEL S/A / (049) 3361-6627Obs.Interna: entrega em novembro  / E-mail para nota fiscal: , E-mail de cobrança: , Telefone para contato</v>
      </c>
      <c r="Q97" s="342"/>
      <c r="R97" s="342"/>
      <c r="S97" s="342"/>
      <c r="T97" s="343"/>
      <c r="U97" s="342"/>
      <c r="V97" s="342"/>
      <c r="W97" s="344"/>
      <c r="X97" s="344"/>
      <c r="Y97" s="345"/>
      <c r="Z97" s="345"/>
      <c r="AA97" s="345"/>
      <c r="AB97" s="345"/>
      <c r="AC97" s="345"/>
    </row>
    <row r="98" ht="28.5" customHeight="1">
      <c r="A98" s="331" t="str">
        <f>IFERROR(__xludf.DUMMYFUNCTION("""COMPUTED_VALUE"""),"18879-A")</f>
        <v>18879-A</v>
      </c>
      <c r="B98" s="33" t="str">
        <f>IFERROR(__xludf.DUMMYFUNCTION("""COMPUTED_VALUE"""),"PISCINAS ANDERLE")</f>
        <v>PISCINAS ANDERLE</v>
      </c>
      <c r="C98" s="332">
        <f>IFERROR(__xludf.DUMMYFUNCTION("""COMPUTED_VALUE"""),0.0)</f>
        <v>0</v>
      </c>
      <c r="D98" s="331"/>
      <c r="E98" s="331" t="str">
        <f>IFERROR(__xludf.DUMMYFUNCTION("""COMPUTED_VALUE"""),"FTI35D40PT")</f>
        <v>FTI35D40PT</v>
      </c>
      <c r="F98" s="331" t="str">
        <f>IFERROR(__xludf.DUMMYFUNCTION("""COMPUTED_VALUE"""),"WI-FI")</f>
        <v>WI-FI</v>
      </c>
      <c r="G98" s="331" t="str">
        <f>IFERROR(__xludf.DUMMYFUNCTION("""COMPUTED_VALUE"""),"NAO")</f>
        <v>NAO</v>
      </c>
      <c r="H98" s="333" t="str">
        <f>IFERROR(__xludf.DUMMYFUNCTION("""COMPUTED_VALUE"""),"NAO")</f>
        <v>NAO</v>
      </c>
      <c r="I98" s="334" t="str">
        <f>IFERROR(__xludf.DUMMYFUNCTION("""COMPUTED_VALUE"""),"AGUARDAR CONTAINER")</f>
        <v>AGUARDAR CONTAINER</v>
      </c>
      <c r="J98" s="335" t="str">
        <f>IFERROR(__xludf.DUMMYFUNCTION("""COMPUTED_VALUE"""),"EXPRESSO SAO MIGUEL")</f>
        <v>EXPRESSO SAO MIGUEL</v>
      </c>
      <c r="K98" s="336" t="str">
        <f>IFERROR(__xludf.DUMMYFUNCTION("""COMPUTED_VALUE"""),"SEM REDESPACHO")</f>
        <v>SEM REDESPACHO</v>
      </c>
      <c r="L98" s="337"/>
      <c r="M98" s="338"/>
      <c r="N98" s="339"/>
      <c r="O98" s="340"/>
      <c r="P98" s="341" t="str">
        <f>IFERROR(__xludf.DUMMYFUNCTION("""COMPUTED_VALUE"""),"EXPRESSO SAO MIGUEL S/A / (049) 3361-6666Informação Adicional: ABATER DO VALOR DO CONTRATO EM VIGOR  / E-mail para nota fiscal: , E-mail de cobrança: , Telefone para contato")</f>
        <v>EXPRESSO SAO MIGUEL S/A / (049) 3361-6666Informação Adicional: ABATER DO VALOR DO CONTRATO EM VIGOR  / E-mail para nota fiscal: , E-mail de cobrança: , Telefone para contato</v>
      </c>
      <c r="Q98" s="342"/>
      <c r="R98" s="342"/>
      <c r="S98" s="342"/>
      <c r="T98" s="343"/>
      <c r="U98" s="342"/>
      <c r="V98" s="342"/>
      <c r="W98" s="344"/>
      <c r="X98" s="344"/>
      <c r="Y98" s="345"/>
      <c r="Z98" s="345"/>
      <c r="AA98" s="345"/>
      <c r="AB98" s="345"/>
      <c r="AC98" s="345"/>
    </row>
    <row r="99" ht="28.5" customHeight="1">
      <c r="A99" s="331" t="str">
        <f>IFERROR(__xludf.DUMMYFUNCTION("""COMPUTED_VALUE"""),"18879-B")</f>
        <v>18879-B</v>
      </c>
      <c r="B99" s="33" t="str">
        <f>IFERROR(__xludf.DUMMYFUNCTION("""COMPUTED_VALUE"""),"PISCINAS ANDERLE")</f>
        <v>PISCINAS ANDERLE</v>
      </c>
      <c r="C99" s="332">
        <f>IFERROR(__xludf.DUMMYFUNCTION("""COMPUTED_VALUE"""),0.0)</f>
        <v>0</v>
      </c>
      <c r="D99" s="331"/>
      <c r="E99" s="331" t="str">
        <f>IFERROR(__xludf.DUMMYFUNCTION("""COMPUTED_VALUE"""),"FTI35D40PT")</f>
        <v>FTI35D40PT</v>
      </c>
      <c r="F99" s="331" t="str">
        <f>IFERROR(__xludf.DUMMYFUNCTION("""COMPUTED_VALUE"""),"WI-FI")</f>
        <v>WI-FI</v>
      </c>
      <c r="G99" s="331" t="str">
        <f>IFERROR(__xludf.DUMMYFUNCTION("""COMPUTED_VALUE"""),"NAO")</f>
        <v>NAO</v>
      </c>
      <c r="H99" s="333" t="str">
        <f>IFERROR(__xludf.DUMMYFUNCTION("""COMPUTED_VALUE"""),"NAO")</f>
        <v>NAO</v>
      </c>
      <c r="I99" s="334" t="str">
        <f>IFERROR(__xludf.DUMMYFUNCTION("""COMPUTED_VALUE"""),"AGUARDAR CONTAINER")</f>
        <v>AGUARDAR CONTAINER</v>
      </c>
      <c r="J99" s="335" t="str">
        <f>IFERROR(__xludf.DUMMYFUNCTION("""COMPUTED_VALUE"""),"EXPRESSO SAO MIGUEL")</f>
        <v>EXPRESSO SAO MIGUEL</v>
      </c>
      <c r="K99" s="336" t="str">
        <f>IFERROR(__xludf.DUMMYFUNCTION("""COMPUTED_VALUE"""),"SEM REDESPACHO")</f>
        <v>SEM REDESPACHO</v>
      </c>
      <c r="L99" s="337"/>
      <c r="M99" s="338"/>
      <c r="N99" s="339"/>
      <c r="O99" s="340"/>
      <c r="P99" s="341" t="str">
        <f>IFERROR(__xludf.DUMMYFUNCTION("""COMPUTED_VALUE"""),"EXPRESSO SAO MIGUEL S/A / (049) 3361-6666Informação Adicional: ABATER DO VALOR DO CONTRATO EM VIGOR  / E-mail para nota fiscal: , E-mail de cobrança: , Telefone para contato")</f>
        <v>EXPRESSO SAO MIGUEL S/A / (049) 3361-6666Informação Adicional: ABATER DO VALOR DO CONTRATO EM VIGOR  / E-mail para nota fiscal: , E-mail de cobrança: , Telefone para contato</v>
      </c>
      <c r="Q99" s="342"/>
      <c r="R99" s="342"/>
      <c r="S99" s="342"/>
      <c r="T99" s="343"/>
      <c r="U99" s="342"/>
      <c r="V99" s="342"/>
      <c r="W99" s="344"/>
      <c r="X99" s="344"/>
      <c r="Y99" s="345"/>
      <c r="Z99" s="345"/>
      <c r="AA99" s="345"/>
      <c r="AB99" s="345"/>
      <c r="AC99" s="345"/>
    </row>
    <row r="100" ht="28.5" customHeight="1">
      <c r="A100" s="331" t="str">
        <f>IFERROR(__xludf.DUMMYFUNCTION("""COMPUTED_VALUE"""),"18914")</f>
        <v>18914</v>
      </c>
      <c r="B100" s="33" t="str">
        <f>IFERROR(__xludf.DUMMYFUNCTION("""COMPUTED_VALUE"""),"S&amp;F PISCINAS LTDA")</f>
        <v>S&amp;F PISCINAS LTDA</v>
      </c>
      <c r="C100" s="332">
        <f>IFERROR(__xludf.DUMMYFUNCTION("""COMPUTED_VALUE"""),0.0)</f>
        <v>0</v>
      </c>
      <c r="D100" s="331"/>
      <c r="E100" s="331" t="str">
        <f>IFERROR(__xludf.DUMMYFUNCTION("""COMPUTED_VALUE"""),"FTI35D40PT")</f>
        <v>FTI35D40PT</v>
      </c>
      <c r="F100" s="331" t="str">
        <f>IFERROR(__xludf.DUMMYFUNCTION("""COMPUTED_VALUE"""),"WI-FI")</f>
        <v>WI-FI</v>
      </c>
      <c r="G100" s="331" t="str">
        <f>IFERROR(__xludf.DUMMYFUNCTION("""COMPUTED_VALUE"""),"NAO")</f>
        <v>NAO</v>
      </c>
      <c r="H100" s="333" t="str">
        <f>IFERROR(__xludf.DUMMYFUNCTION("""COMPUTED_VALUE"""),"NAO")</f>
        <v>NAO</v>
      </c>
      <c r="I100" s="334" t="str">
        <f>IFERROR(__xludf.DUMMYFUNCTION("""COMPUTED_VALUE"""),"AGUARDAR CONTAINER")</f>
        <v>AGUARDAR CONTAINER</v>
      </c>
      <c r="J100" s="335" t="str">
        <f>IFERROR(__xludf.DUMMYFUNCTION("""COMPUTED_VALUE"""),"EXPRESSO SAO MIGUEL")</f>
        <v>EXPRESSO SAO MIGUEL</v>
      </c>
      <c r="K100" s="336" t="str">
        <f>IFERROR(__xludf.DUMMYFUNCTION("""COMPUTED_VALUE"""),"SEM REDESPACHO")</f>
        <v>SEM REDESPACHO</v>
      </c>
      <c r="L100" s="337"/>
      <c r="M100" s="338"/>
      <c r="N100" s="339"/>
      <c r="O100" s="340"/>
      <c r="P100" s="341" t="str">
        <f>IFERROR(__xludf.DUMMYFUNCTION("""COMPUTED_VALUE"""),"APROVADO 21/10
Pedido gerado através do PedidoEletronico.com - Transportadora / telefone: EXPRESSO SAO MIGUEL S/A / (051) 3586-2013Informação Adicional: ENDEREÇO DE ENTREGA :AV SIQUEIRA CAMPOS, 1749 - UVARANAS - CEP 84033000 / E-mail para nota fiscal: , "&amp;"E-mail de cobrança: , Telefone para contato")</f>
        <v>APROVADO 21/10
Pedido gerado através do PedidoEletronico.com - Transportadora / telefone: EXPRESSO SAO MIGUEL S/A / (051) 3586-2013Informação Adicional: ENDEREÇO DE ENTREGA :AV SIQUEIRA CAMPOS, 1749 - UVARANAS - CEP 84033000 / E-mail para nota fiscal: , E-mail de cobrança: , Telefone para contato</v>
      </c>
      <c r="Q100" s="342"/>
      <c r="R100" s="342"/>
      <c r="S100" s="342"/>
      <c r="T100" s="343"/>
      <c r="U100" s="342"/>
      <c r="V100" s="342"/>
      <c r="W100" s="344"/>
      <c r="X100" s="344"/>
      <c r="Y100" s="345"/>
      <c r="Z100" s="345"/>
      <c r="AA100" s="345"/>
      <c r="AB100" s="345"/>
      <c r="AC100" s="345"/>
    </row>
    <row r="101" ht="28.5" customHeight="1">
      <c r="A101" s="331" t="str">
        <f>IFERROR(__xludf.DUMMYFUNCTION("""COMPUTED_VALUE"""),"18942")</f>
        <v>18942</v>
      </c>
      <c r="B101" s="33" t="str">
        <f>IFERROR(__xludf.DUMMYFUNCTION("""COMPUTED_VALUE"""),"DE LARA PISCINAS")</f>
        <v>DE LARA PISCINAS</v>
      </c>
      <c r="C101" s="332">
        <f>IFERROR(__xludf.DUMMYFUNCTION("""COMPUTED_VALUE"""),0.0)</f>
        <v>0</v>
      </c>
      <c r="D101" s="331"/>
      <c r="E101" s="331" t="str">
        <f>IFERROR(__xludf.DUMMYFUNCTION("""COMPUTED_VALUE"""),"FTI35D40PT")</f>
        <v>FTI35D40PT</v>
      </c>
      <c r="F101" s="331" t="str">
        <f>IFERROR(__xludf.DUMMYFUNCTION("""COMPUTED_VALUE"""),"WI-FI")</f>
        <v>WI-FI</v>
      </c>
      <c r="G101" s="331" t="str">
        <f>IFERROR(__xludf.DUMMYFUNCTION("""COMPUTED_VALUE"""),"NAO")</f>
        <v>NAO</v>
      </c>
      <c r="H101" s="333" t="str">
        <f>IFERROR(__xludf.DUMMYFUNCTION("""COMPUTED_VALUE"""),"NAO")</f>
        <v>NAO</v>
      </c>
      <c r="I101" s="334" t="str">
        <f>IFERROR(__xludf.DUMMYFUNCTION("""COMPUTED_VALUE"""),"AGUARDAR CONTAINER")</f>
        <v>AGUARDAR CONTAINER</v>
      </c>
      <c r="J101" s="335" t="str">
        <f>IFERROR(__xludf.DUMMYFUNCTION("""COMPUTED_VALUE"""),"EXPRESSO SAO MIGUEL")</f>
        <v>EXPRESSO SAO MIGUEL</v>
      </c>
      <c r="K101" s="336" t="str">
        <f>IFERROR(__xludf.DUMMYFUNCTION("""COMPUTED_VALUE"""),"SEM REDESPACHO")</f>
        <v>SEM REDESPACHO</v>
      </c>
      <c r="L101" s="337"/>
      <c r="M101" s="338"/>
      <c r="N101" s="339"/>
      <c r="O101" s="340"/>
      <c r="P101" s="341" t="str">
        <f>IFERROR(__xludf.DUMMYFUNCTION("""COMPUTED_VALUE"""),"aprovado 21/10
Pedido gerado através do PedidoEletronico.com - Transportadora / telefone: EXPRESSO SAO MIGUEL S/A / (049) 3361-6627Obs.Interna: ENTREGA EM NOVEMBRO  / E-mail para nota fiscal: , E-mail de cobrança: , Telefone para contato")</f>
        <v>aprovado 21/10
Pedido gerado através do PedidoEletronico.com - Transportadora / telefone: EXPRESSO SAO MIGUEL S/A / (049) 3361-6627Obs.Interna: ENTREGA EM NOVEMBRO  / E-mail para nota fiscal: , E-mail de cobrança: , Telefone para contato</v>
      </c>
      <c r="Q101" s="342"/>
      <c r="R101" s="342"/>
      <c r="S101" s="342"/>
      <c r="T101" s="343"/>
      <c r="U101" s="342"/>
      <c r="V101" s="342"/>
      <c r="W101" s="344"/>
      <c r="X101" s="344"/>
      <c r="Y101" s="345"/>
      <c r="Z101" s="345"/>
      <c r="AA101" s="345"/>
      <c r="AB101" s="345"/>
      <c r="AC101" s="345"/>
    </row>
    <row r="102" ht="28.5" customHeight="1">
      <c r="A102" s="331"/>
      <c r="B102" s="33"/>
      <c r="C102" s="332"/>
      <c r="D102" s="331"/>
      <c r="E102" s="331"/>
      <c r="F102" s="331"/>
      <c r="G102" s="331"/>
      <c r="H102" s="333"/>
      <c r="I102" s="334"/>
      <c r="J102" s="335"/>
      <c r="K102" s="336"/>
      <c r="L102" s="337"/>
      <c r="M102" s="338"/>
      <c r="N102" s="339"/>
      <c r="O102" s="340"/>
      <c r="P102" s="341"/>
      <c r="Q102" s="342"/>
      <c r="R102" s="342"/>
      <c r="S102" s="342"/>
      <c r="T102" s="343"/>
      <c r="U102" s="342"/>
      <c r="V102" s="342"/>
      <c r="W102" s="344"/>
      <c r="X102" s="344"/>
      <c r="Y102" s="345"/>
      <c r="Z102" s="345"/>
      <c r="AA102" s="345"/>
      <c r="AB102" s="345"/>
      <c r="AC102" s="345"/>
    </row>
    <row r="103" ht="28.5" customHeight="1">
      <c r="A103" s="331"/>
      <c r="B103" s="33"/>
      <c r="C103" s="332"/>
      <c r="D103" s="331"/>
      <c r="E103" s="331"/>
      <c r="F103" s="331"/>
      <c r="G103" s="331"/>
      <c r="H103" s="333"/>
      <c r="I103" s="334"/>
      <c r="J103" s="335"/>
      <c r="K103" s="336"/>
      <c r="L103" s="337"/>
      <c r="M103" s="338"/>
      <c r="N103" s="339"/>
      <c r="O103" s="340"/>
      <c r="P103" s="341"/>
      <c r="Q103" s="342"/>
      <c r="R103" s="342"/>
      <c r="S103" s="342"/>
      <c r="T103" s="343"/>
      <c r="U103" s="342"/>
      <c r="V103" s="342"/>
      <c r="W103" s="344"/>
      <c r="X103" s="344"/>
      <c r="Y103" s="345"/>
      <c r="Z103" s="345"/>
      <c r="AA103" s="345"/>
      <c r="AB103" s="345"/>
      <c r="AC103" s="345"/>
    </row>
    <row r="104" ht="28.5" customHeight="1">
      <c r="A104" s="331"/>
      <c r="B104" s="33"/>
      <c r="C104" s="332"/>
      <c r="D104" s="331"/>
      <c r="E104" s="331"/>
      <c r="F104" s="331"/>
      <c r="G104" s="331"/>
      <c r="H104" s="333"/>
      <c r="I104" s="334"/>
      <c r="J104" s="335"/>
      <c r="K104" s="336"/>
      <c r="L104" s="337"/>
      <c r="M104" s="338"/>
      <c r="N104" s="339"/>
      <c r="O104" s="340"/>
      <c r="P104" s="341"/>
      <c r="Q104" s="342"/>
      <c r="R104" s="342"/>
      <c r="S104" s="342"/>
      <c r="T104" s="343"/>
      <c r="U104" s="342"/>
      <c r="V104" s="342"/>
      <c r="W104" s="344"/>
      <c r="X104" s="344"/>
      <c r="Y104" s="345"/>
      <c r="Z104" s="345"/>
      <c r="AA104" s="345"/>
      <c r="AB104" s="345"/>
      <c r="AC104" s="345"/>
    </row>
    <row r="105" ht="28.5" customHeight="1">
      <c r="A105" s="331"/>
      <c r="B105" s="33"/>
      <c r="C105" s="332"/>
      <c r="D105" s="331"/>
      <c r="E105" s="331"/>
      <c r="F105" s="331"/>
      <c r="G105" s="331"/>
      <c r="H105" s="333"/>
      <c r="I105" s="334"/>
      <c r="J105" s="335"/>
      <c r="K105" s="336"/>
      <c r="L105" s="337"/>
      <c r="M105" s="338"/>
      <c r="N105" s="339"/>
      <c r="O105" s="340"/>
      <c r="P105" s="341"/>
      <c r="Q105" s="342"/>
      <c r="R105" s="342"/>
      <c r="S105" s="342"/>
      <c r="T105" s="343"/>
      <c r="U105" s="342"/>
      <c r="V105" s="342"/>
      <c r="W105" s="344"/>
      <c r="X105" s="344"/>
      <c r="Y105" s="345"/>
      <c r="Z105" s="345"/>
      <c r="AA105" s="345"/>
      <c r="AB105" s="345"/>
      <c r="AC105" s="345"/>
    </row>
    <row r="106" ht="28.5" customHeight="1">
      <c r="A106" s="331"/>
      <c r="B106" s="33"/>
      <c r="C106" s="332"/>
      <c r="D106" s="331"/>
      <c r="E106" s="331"/>
      <c r="F106" s="331"/>
      <c r="G106" s="331"/>
      <c r="H106" s="333"/>
      <c r="I106" s="334"/>
      <c r="J106" s="335"/>
      <c r="K106" s="336"/>
      <c r="L106" s="337"/>
      <c r="M106" s="338"/>
      <c r="N106" s="339"/>
      <c r="O106" s="340"/>
      <c r="P106" s="341"/>
      <c r="Q106" s="342"/>
      <c r="R106" s="342"/>
      <c r="S106" s="342"/>
      <c r="T106" s="343"/>
      <c r="U106" s="342"/>
      <c r="V106" s="342"/>
      <c r="W106" s="344"/>
      <c r="X106" s="344"/>
      <c r="Y106" s="345"/>
      <c r="Z106" s="345"/>
      <c r="AA106" s="345"/>
      <c r="AB106" s="345"/>
      <c r="AC106" s="345"/>
    </row>
    <row r="107" ht="28.5" customHeight="1">
      <c r="A107" s="331"/>
      <c r="B107" s="33"/>
      <c r="C107" s="332"/>
      <c r="D107" s="331"/>
      <c r="E107" s="331"/>
      <c r="F107" s="331"/>
      <c r="G107" s="331"/>
      <c r="H107" s="333"/>
      <c r="I107" s="334"/>
      <c r="J107" s="335"/>
      <c r="K107" s="336"/>
      <c r="L107" s="337"/>
      <c r="M107" s="338"/>
      <c r="N107" s="339"/>
      <c r="O107" s="340"/>
      <c r="P107" s="341"/>
      <c r="Q107" s="342"/>
      <c r="R107" s="342"/>
      <c r="S107" s="342"/>
      <c r="T107" s="343"/>
      <c r="U107" s="342"/>
      <c r="V107" s="342"/>
      <c r="W107" s="344"/>
      <c r="X107" s="344"/>
      <c r="Y107" s="345"/>
      <c r="Z107" s="345"/>
      <c r="AA107" s="345"/>
      <c r="AB107" s="345"/>
      <c r="AC107" s="345"/>
    </row>
    <row r="108" ht="28.5" customHeight="1">
      <c r="A108" s="331"/>
      <c r="B108" s="33"/>
      <c r="C108" s="332"/>
      <c r="D108" s="331"/>
      <c r="E108" s="331"/>
      <c r="F108" s="331"/>
      <c r="G108" s="331"/>
      <c r="H108" s="333"/>
      <c r="I108" s="334"/>
      <c r="J108" s="335"/>
      <c r="K108" s="336"/>
      <c r="L108" s="337"/>
      <c r="M108" s="338"/>
      <c r="N108" s="339"/>
      <c r="O108" s="340"/>
      <c r="P108" s="341"/>
      <c r="Q108" s="342"/>
      <c r="R108" s="342"/>
      <c r="S108" s="342"/>
      <c r="T108" s="343"/>
      <c r="U108" s="342"/>
      <c r="V108" s="342"/>
      <c r="W108" s="344"/>
      <c r="X108" s="344"/>
      <c r="Y108" s="345"/>
      <c r="Z108" s="345"/>
      <c r="AA108" s="345"/>
      <c r="AB108" s="345"/>
      <c r="AC108" s="345"/>
    </row>
    <row r="109" ht="28.5" customHeight="1">
      <c r="A109" s="331"/>
      <c r="B109" s="33"/>
      <c r="C109" s="332"/>
      <c r="D109" s="331"/>
      <c r="E109" s="331"/>
      <c r="F109" s="331"/>
      <c r="G109" s="331"/>
      <c r="H109" s="333"/>
      <c r="I109" s="334"/>
      <c r="J109" s="335"/>
      <c r="K109" s="336"/>
      <c r="L109" s="337"/>
      <c r="M109" s="338"/>
      <c r="N109" s="339"/>
      <c r="O109" s="340"/>
      <c r="P109" s="341"/>
      <c r="Q109" s="342"/>
      <c r="R109" s="342"/>
      <c r="S109" s="342"/>
      <c r="T109" s="343"/>
      <c r="U109" s="342"/>
      <c r="V109" s="342"/>
      <c r="W109" s="344"/>
      <c r="X109" s="344"/>
      <c r="Y109" s="345"/>
      <c r="Z109" s="345"/>
      <c r="AA109" s="345"/>
      <c r="AB109" s="345"/>
      <c r="AC109" s="345"/>
    </row>
    <row r="110" ht="28.5" customHeight="1">
      <c r="A110" s="331"/>
      <c r="B110" s="33"/>
      <c r="C110" s="332"/>
      <c r="D110" s="331"/>
      <c r="E110" s="331"/>
      <c r="F110" s="331"/>
      <c r="G110" s="331"/>
      <c r="H110" s="333"/>
      <c r="I110" s="334"/>
      <c r="J110" s="335"/>
      <c r="K110" s="336"/>
      <c r="L110" s="337"/>
      <c r="M110" s="338"/>
      <c r="N110" s="339"/>
      <c r="O110" s="340"/>
      <c r="P110" s="341"/>
      <c r="Q110" s="342"/>
      <c r="R110" s="342"/>
      <c r="S110" s="342"/>
      <c r="T110" s="343"/>
      <c r="U110" s="342"/>
      <c r="V110" s="342"/>
      <c r="W110" s="344"/>
      <c r="X110" s="344"/>
      <c r="Y110" s="345"/>
      <c r="Z110" s="345"/>
      <c r="AA110" s="345"/>
      <c r="AB110" s="345"/>
      <c r="AC110" s="345"/>
    </row>
    <row r="111" ht="28.5" customHeight="1">
      <c r="A111" s="331"/>
      <c r="B111" s="33"/>
      <c r="C111" s="332"/>
      <c r="D111" s="331"/>
      <c r="E111" s="331"/>
      <c r="F111" s="331"/>
      <c r="G111" s="331"/>
      <c r="H111" s="333"/>
      <c r="I111" s="334"/>
      <c r="J111" s="335"/>
      <c r="K111" s="336"/>
      <c r="L111" s="337"/>
      <c r="M111" s="338"/>
      <c r="N111" s="339"/>
      <c r="O111" s="340"/>
      <c r="P111" s="341"/>
      <c r="Q111" s="342"/>
      <c r="R111" s="342"/>
      <c r="S111" s="342"/>
      <c r="T111" s="343"/>
      <c r="U111" s="342"/>
      <c r="V111" s="342"/>
      <c r="W111" s="344"/>
      <c r="X111" s="344"/>
      <c r="Y111" s="345"/>
      <c r="Z111" s="345"/>
      <c r="AA111" s="345"/>
      <c r="AB111" s="345"/>
      <c r="AC111" s="345"/>
    </row>
    <row r="112" ht="28.5" customHeight="1">
      <c r="A112" s="331"/>
      <c r="B112" s="33"/>
      <c r="C112" s="332"/>
      <c r="D112" s="331"/>
      <c r="E112" s="331"/>
      <c r="F112" s="331"/>
      <c r="G112" s="331"/>
      <c r="H112" s="333"/>
      <c r="I112" s="334"/>
      <c r="J112" s="335"/>
      <c r="K112" s="336"/>
      <c r="L112" s="337"/>
      <c r="M112" s="338"/>
      <c r="N112" s="339"/>
      <c r="O112" s="340"/>
      <c r="P112" s="341"/>
      <c r="Q112" s="342"/>
      <c r="R112" s="342"/>
      <c r="S112" s="342"/>
      <c r="T112" s="343"/>
      <c r="U112" s="342"/>
      <c r="V112" s="342"/>
      <c r="W112" s="344"/>
      <c r="X112" s="344"/>
      <c r="Y112" s="345"/>
      <c r="Z112" s="345"/>
      <c r="AA112" s="345"/>
      <c r="AB112" s="345"/>
      <c r="AC112" s="345"/>
    </row>
    <row r="113" ht="28.5" customHeight="1">
      <c r="A113" s="331"/>
      <c r="B113" s="33"/>
      <c r="C113" s="332"/>
      <c r="D113" s="331"/>
      <c r="E113" s="331"/>
      <c r="F113" s="331"/>
      <c r="G113" s="331"/>
      <c r="H113" s="333"/>
      <c r="I113" s="334"/>
      <c r="J113" s="335"/>
      <c r="K113" s="336"/>
      <c r="L113" s="337"/>
      <c r="M113" s="338"/>
      <c r="N113" s="339"/>
      <c r="O113" s="340"/>
      <c r="P113" s="341"/>
      <c r="Q113" s="342"/>
      <c r="R113" s="342"/>
      <c r="S113" s="342"/>
      <c r="T113" s="343"/>
      <c r="U113" s="342"/>
      <c r="V113" s="342"/>
      <c r="W113" s="344"/>
      <c r="X113" s="344"/>
      <c r="Y113" s="345"/>
      <c r="Z113" s="345"/>
      <c r="AA113" s="345"/>
      <c r="AB113" s="345"/>
      <c r="AC113" s="345"/>
    </row>
    <row r="114" ht="28.5" customHeight="1">
      <c r="A114" s="331"/>
      <c r="B114" s="33"/>
      <c r="C114" s="332"/>
      <c r="D114" s="331"/>
      <c r="E114" s="331"/>
      <c r="F114" s="331"/>
      <c r="G114" s="331"/>
      <c r="H114" s="333"/>
      <c r="I114" s="334"/>
      <c r="J114" s="335"/>
      <c r="K114" s="336"/>
      <c r="L114" s="337"/>
      <c r="M114" s="338"/>
      <c r="N114" s="339"/>
      <c r="O114" s="340"/>
      <c r="P114" s="341"/>
      <c r="Q114" s="342"/>
      <c r="R114" s="342"/>
      <c r="S114" s="342"/>
      <c r="T114" s="343"/>
      <c r="U114" s="342"/>
      <c r="V114" s="342"/>
      <c r="W114" s="344"/>
      <c r="X114" s="344"/>
      <c r="Y114" s="345"/>
      <c r="Z114" s="345"/>
      <c r="AA114" s="345"/>
      <c r="AB114" s="345"/>
      <c r="AC114" s="345"/>
    </row>
    <row r="115" ht="28.5" customHeight="1">
      <c r="A115" s="331"/>
      <c r="B115" s="33"/>
      <c r="C115" s="332"/>
      <c r="D115" s="331"/>
      <c r="E115" s="331"/>
      <c r="F115" s="331"/>
      <c r="G115" s="331"/>
      <c r="H115" s="333"/>
      <c r="I115" s="334"/>
      <c r="J115" s="335"/>
      <c r="K115" s="336"/>
      <c r="L115" s="337"/>
      <c r="M115" s="338"/>
      <c r="N115" s="339"/>
      <c r="O115" s="340"/>
      <c r="P115" s="341"/>
      <c r="Q115" s="342"/>
      <c r="R115" s="342"/>
      <c r="S115" s="342"/>
      <c r="T115" s="343"/>
      <c r="U115" s="342"/>
      <c r="V115" s="342"/>
      <c r="W115" s="344"/>
      <c r="X115" s="344"/>
      <c r="Y115" s="345"/>
      <c r="Z115" s="345"/>
      <c r="AA115" s="345"/>
      <c r="AB115" s="345"/>
      <c r="AC115" s="345"/>
    </row>
    <row r="116" ht="28.5" customHeight="1">
      <c r="A116" s="331"/>
      <c r="B116" s="33"/>
      <c r="C116" s="332"/>
      <c r="D116" s="331"/>
      <c r="E116" s="331"/>
      <c r="F116" s="331"/>
      <c r="G116" s="331"/>
      <c r="H116" s="333"/>
      <c r="I116" s="334"/>
      <c r="J116" s="335"/>
      <c r="K116" s="336"/>
      <c r="L116" s="337"/>
      <c r="M116" s="338"/>
      <c r="N116" s="339"/>
      <c r="O116" s="340"/>
      <c r="P116" s="341"/>
      <c r="Q116" s="342"/>
      <c r="R116" s="342"/>
      <c r="S116" s="342"/>
      <c r="T116" s="343"/>
      <c r="U116" s="342"/>
      <c r="V116" s="342"/>
      <c r="W116" s="344"/>
      <c r="X116" s="344"/>
      <c r="Y116" s="345"/>
      <c r="Z116" s="345"/>
      <c r="AA116" s="345"/>
      <c r="AB116" s="345"/>
      <c r="AC116" s="345"/>
    </row>
    <row r="117" ht="28.5" customHeight="1">
      <c r="A117" s="331"/>
      <c r="B117" s="33"/>
      <c r="C117" s="332"/>
      <c r="D117" s="331"/>
      <c r="E117" s="331"/>
      <c r="F117" s="331"/>
      <c r="G117" s="331"/>
      <c r="H117" s="333"/>
      <c r="I117" s="334"/>
      <c r="J117" s="335"/>
      <c r="K117" s="336"/>
      <c r="L117" s="337"/>
      <c r="M117" s="338"/>
      <c r="N117" s="339"/>
      <c r="O117" s="340"/>
      <c r="P117" s="341"/>
      <c r="Q117" s="342"/>
      <c r="R117" s="342"/>
      <c r="S117" s="342"/>
      <c r="T117" s="343"/>
      <c r="U117" s="342"/>
      <c r="V117" s="342"/>
      <c r="W117" s="344"/>
      <c r="X117" s="344"/>
      <c r="Y117" s="345"/>
      <c r="Z117" s="345"/>
      <c r="AA117" s="345"/>
      <c r="AB117" s="345"/>
      <c r="AC117" s="345"/>
    </row>
    <row r="118" ht="28.5" customHeight="1">
      <c r="A118" s="331"/>
      <c r="B118" s="33"/>
      <c r="C118" s="332"/>
      <c r="D118" s="331"/>
      <c r="E118" s="331"/>
      <c r="F118" s="331"/>
      <c r="G118" s="331"/>
      <c r="H118" s="333"/>
      <c r="I118" s="334"/>
      <c r="J118" s="335"/>
      <c r="K118" s="336"/>
      <c r="L118" s="337"/>
      <c r="M118" s="338"/>
      <c r="N118" s="339"/>
      <c r="O118" s="340"/>
      <c r="P118" s="341"/>
      <c r="Q118" s="342"/>
      <c r="R118" s="342"/>
      <c r="S118" s="342"/>
      <c r="T118" s="343"/>
      <c r="U118" s="342"/>
      <c r="V118" s="342"/>
      <c r="W118" s="344"/>
      <c r="X118" s="344"/>
      <c r="Y118" s="345"/>
      <c r="Z118" s="345"/>
      <c r="AA118" s="345"/>
      <c r="AB118" s="345"/>
      <c r="AC118" s="345"/>
    </row>
    <row r="119" ht="28.5" customHeight="1">
      <c r="A119" s="331"/>
      <c r="B119" s="33"/>
      <c r="C119" s="332"/>
      <c r="D119" s="331"/>
      <c r="E119" s="331"/>
      <c r="F119" s="331"/>
      <c r="G119" s="331"/>
      <c r="H119" s="333"/>
      <c r="I119" s="334"/>
      <c r="J119" s="335"/>
      <c r="K119" s="336"/>
      <c r="L119" s="337"/>
      <c r="M119" s="338"/>
      <c r="N119" s="339"/>
      <c r="O119" s="340"/>
      <c r="P119" s="341"/>
      <c r="Q119" s="342"/>
      <c r="R119" s="342"/>
      <c r="S119" s="342"/>
      <c r="T119" s="343"/>
      <c r="U119" s="342"/>
      <c r="V119" s="342"/>
      <c r="W119" s="344"/>
      <c r="X119" s="344"/>
      <c r="Y119" s="345"/>
      <c r="Z119" s="345"/>
      <c r="AA119" s="345"/>
      <c r="AB119" s="345"/>
      <c r="AC119" s="345"/>
    </row>
    <row r="120" ht="28.5" customHeight="1">
      <c r="A120" s="331"/>
      <c r="B120" s="33"/>
      <c r="C120" s="332"/>
      <c r="D120" s="331"/>
      <c r="E120" s="331"/>
      <c r="F120" s="331"/>
      <c r="G120" s="331"/>
      <c r="H120" s="333"/>
      <c r="I120" s="334"/>
      <c r="J120" s="335"/>
      <c r="K120" s="336"/>
      <c r="L120" s="337"/>
      <c r="M120" s="338"/>
      <c r="N120" s="339"/>
      <c r="O120" s="340"/>
      <c r="P120" s="341"/>
      <c r="Q120" s="342"/>
      <c r="R120" s="342"/>
      <c r="S120" s="342"/>
      <c r="T120" s="343"/>
      <c r="U120" s="342"/>
      <c r="V120" s="342"/>
      <c r="W120" s="344"/>
      <c r="X120" s="344"/>
      <c r="Y120" s="345"/>
      <c r="Z120" s="345"/>
      <c r="AA120" s="345"/>
      <c r="AB120" s="345"/>
      <c r="AC120" s="345"/>
    </row>
    <row r="121" ht="28.5" customHeight="1">
      <c r="A121" s="331"/>
      <c r="B121" s="33"/>
      <c r="C121" s="332"/>
      <c r="D121" s="331"/>
      <c r="E121" s="331"/>
      <c r="F121" s="331"/>
      <c r="G121" s="331"/>
      <c r="H121" s="333"/>
      <c r="I121" s="334"/>
      <c r="J121" s="335"/>
      <c r="K121" s="336"/>
      <c r="L121" s="337"/>
      <c r="M121" s="338"/>
      <c r="N121" s="339"/>
      <c r="O121" s="340"/>
      <c r="P121" s="341"/>
      <c r="Q121" s="342"/>
      <c r="R121" s="342"/>
      <c r="S121" s="342"/>
      <c r="T121" s="343"/>
      <c r="U121" s="342"/>
      <c r="V121" s="342"/>
      <c r="W121" s="344"/>
      <c r="X121" s="344"/>
      <c r="Y121" s="345"/>
      <c r="Z121" s="345"/>
      <c r="AA121" s="345"/>
      <c r="AB121" s="345"/>
      <c r="AC121" s="345"/>
    </row>
    <row r="122" ht="28.5" customHeight="1">
      <c r="A122" s="331"/>
      <c r="B122" s="33"/>
      <c r="C122" s="332"/>
      <c r="D122" s="331"/>
      <c r="E122" s="331"/>
      <c r="F122" s="331"/>
      <c r="G122" s="331"/>
      <c r="H122" s="333"/>
      <c r="I122" s="334"/>
      <c r="J122" s="335"/>
      <c r="K122" s="336"/>
      <c r="L122" s="337"/>
      <c r="M122" s="338"/>
      <c r="N122" s="339"/>
      <c r="O122" s="340"/>
      <c r="P122" s="341"/>
      <c r="Q122" s="342"/>
      <c r="R122" s="342"/>
      <c r="S122" s="342"/>
      <c r="T122" s="343"/>
      <c r="U122" s="342"/>
      <c r="V122" s="342"/>
      <c r="W122" s="344"/>
      <c r="X122" s="344"/>
      <c r="Y122" s="345"/>
      <c r="Z122" s="345"/>
      <c r="AA122" s="345"/>
      <c r="AB122" s="345"/>
      <c r="AC122" s="345"/>
    </row>
    <row r="123" ht="28.5" customHeight="1">
      <c r="A123" s="331"/>
      <c r="B123" s="33"/>
      <c r="C123" s="332"/>
      <c r="D123" s="331"/>
      <c r="E123" s="331"/>
      <c r="F123" s="331"/>
      <c r="G123" s="331"/>
      <c r="H123" s="333"/>
      <c r="I123" s="334"/>
      <c r="J123" s="335"/>
      <c r="K123" s="336"/>
      <c r="L123" s="337"/>
      <c r="M123" s="338"/>
      <c r="N123" s="339"/>
      <c r="O123" s="340"/>
      <c r="P123" s="341"/>
      <c r="Q123" s="342"/>
      <c r="R123" s="342"/>
      <c r="S123" s="342"/>
      <c r="T123" s="343"/>
      <c r="U123" s="342"/>
      <c r="V123" s="342"/>
      <c r="W123" s="344"/>
      <c r="X123" s="344"/>
      <c r="Y123" s="345"/>
      <c r="Z123" s="345"/>
      <c r="AA123" s="345"/>
      <c r="AB123" s="345"/>
      <c r="AC123" s="345"/>
    </row>
    <row r="124" ht="28.5" customHeight="1">
      <c r="A124" s="331"/>
      <c r="B124" s="33"/>
      <c r="C124" s="332"/>
      <c r="D124" s="331"/>
      <c r="E124" s="331"/>
      <c r="F124" s="331"/>
      <c r="G124" s="331"/>
      <c r="H124" s="333"/>
      <c r="I124" s="334"/>
      <c r="J124" s="335"/>
      <c r="K124" s="336"/>
      <c r="L124" s="337"/>
      <c r="M124" s="338"/>
      <c r="N124" s="339"/>
      <c r="O124" s="340"/>
      <c r="P124" s="341"/>
      <c r="Q124" s="342"/>
      <c r="R124" s="342"/>
      <c r="S124" s="342"/>
      <c r="T124" s="343"/>
      <c r="U124" s="342"/>
      <c r="V124" s="342"/>
      <c r="W124" s="344"/>
      <c r="X124" s="344"/>
      <c r="Y124" s="345"/>
      <c r="Z124" s="345"/>
      <c r="AA124" s="345"/>
      <c r="AB124" s="345"/>
      <c r="AC124" s="345"/>
    </row>
    <row r="125" ht="28.5" customHeight="1">
      <c r="A125" s="331"/>
      <c r="B125" s="33"/>
      <c r="C125" s="332"/>
      <c r="D125" s="331"/>
      <c r="E125" s="331"/>
      <c r="F125" s="331"/>
      <c r="G125" s="331"/>
      <c r="H125" s="333"/>
      <c r="I125" s="334"/>
      <c r="J125" s="335"/>
      <c r="K125" s="336"/>
      <c r="L125" s="337"/>
      <c r="M125" s="338"/>
      <c r="N125" s="339"/>
      <c r="O125" s="340"/>
      <c r="P125" s="341"/>
      <c r="Q125" s="342"/>
      <c r="R125" s="342"/>
      <c r="S125" s="342"/>
      <c r="T125" s="343"/>
      <c r="U125" s="342"/>
      <c r="V125" s="342"/>
      <c r="W125" s="344"/>
      <c r="X125" s="344"/>
      <c r="Y125" s="345"/>
      <c r="Z125" s="345"/>
      <c r="AA125" s="345"/>
      <c r="AB125" s="345"/>
      <c r="AC125" s="345"/>
    </row>
    <row r="126" ht="28.5" customHeight="1">
      <c r="A126" s="331"/>
      <c r="B126" s="33"/>
      <c r="C126" s="332"/>
      <c r="D126" s="331"/>
      <c r="E126" s="331"/>
      <c r="F126" s="331"/>
      <c r="G126" s="331"/>
      <c r="H126" s="333"/>
      <c r="I126" s="334"/>
      <c r="J126" s="335"/>
      <c r="K126" s="336"/>
      <c r="L126" s="337"/>
      <c r="M126" s="338"/>
      <c r="N126" s="339"/>
      <c r="O126" s="340"/>
      <c r="P126" s="341"/>
      <c r="Q126" s="342"/>
      <c r="R126" s="342"/>
      <c r="S126" s="342"/>
      <c r="T126" s="343"/>
      <c r="U126" s="342"/>
      <c r="V126" s="342"/>
      <c r="W126" s="344"/>
      <c r="X126" s="344"/>
      <c r="Y126" s="345"/>
      <c r="Z126" s="345"/>
      <c r="AA126" s="345"/>
      <c r="AB126" s="345"/>
      <c r="AC126" s="345"/>
    </row>
    <row r="127" ht="28.5" customHeight="1">
      <c r="A127" s="331"/>
      <c r="B127" s="33"/>
      <c r="C127" s="332"/>
      <c r="D127" s="331"/>
      <c r="E127" s="331"/>
      <c r="F127" s="331"/>
      <c r="G127" s="331"/>
      <c r="H127" s="333"/>
      <c r="I127" s="334"/>
      <c r="J127" s="335"/>
      <c r="K127" s="336"/>
      <c r="L127" s="337"/>
      <c r="M127" s="338"/>
      <c r="N127" s="339"/>
      <c r="O127" s="340"/>
      <c r="P127" s="341"/>
      <c r="Q127" s="342"/>
      <c r="R127" s="342"/>
      <c r="S127" s="342"/>
      <c r="T127" s="343"/>
      <c r="U127" s="342"/>
      <c r="V127" s="342"/>
      <c r="W127" s="344"/>
      <c r="X127" s="344"/>
      <c r="Y127" s="345"/>
      <c r="Z127" s="345"/>
      <c r="AA127" s="345"/>
      <c r="AB127" s="345"/>
      <c r="AC127" s="345"/>
    </row>
    <row r="128" ht="28.5" customHeight="1">
      <c r="A128" s="331"/>
      <c r="B128" s="33"/>
      <c r="C128" s="332"/>
      <c r="D128" s="331"/>
      <c r="E128" s="331"/>
      <c r="F128" s="331"/>
      <c r="G128" s="331"/>
      <c r="H128" s="333"/>
      <c r="I128" s="334"/>
      <c r="J128" s="335"/>
      <c r="K128" s="336"/>
      <c r="L128" s="337"/>
      <c r="M128" s="338"/>
      <c r="N128" s="339"/>
      <c r="O128" s="340"/>
      <c r="P128" s="341"/>
      <c r="Q128" s="342"/>
      <c r="R128" s="342"/>
      <c r="S128" s="342"/>
      <c r="T128" s="343"/>
      <c r="U128" s="342"/>
      <c r="V128" s="342"/>
      <c r="W128" s="344"/>
      <c r="X128" s="344"/>
      <c r="Y128" s="345"/>
      <c r="Z128" s="345"/>
      <c r="AA128" s="345"/>
      <c r="AB128" s="345"/>
      <c r="AC128" s="345"/>
    </row>
    <row r="129" ht="28.5" customHeight="1">
      <c r="A129" s="331"/>
      <c r="B129" s="33"/>
      <c r="C129" s="332"/>
      <c r="D129" s="331"/>
      <c r="E129" s="331"/>
      <c r="F129" s="331"/>
      <c r="G129" s="331"/>
      <c r="H129" s="333"/>
      <c r="I129" s="334"/>
      <c r="J129" s="335"/>
      <c r="K129" s="336"/>
      <c r="L129" s="337"/>
      <c r="M129" s="338"/>
      <c r="N129" s="339"/>
      <c r="O129" s="340"/>
      <c r="P129" s="341"/>
      <c r="Q129" s="342"/>
      <c r="R129" s="342"/>
      <c r="S129" s="342"/>
      <c r="T129" s="343"/>
      <c r="U129" s="342"/>
      <c r="V129" s="342"/>
      <c r="W129" s="344"/>
      <c r="X129" s="344"/>
      <c r="Y129" s="345"/>
      <c r="Z129" s="345"/>
      <c r="AA129" s="345"/>
      <c r="AB129" s="345"/>
      <c r="AC129" s="345"/>
    </row>
    <row r="130" ht="28.5" customHeight="1">
      <c r="A130" s="331"/>
      <c r="B130" s="33"/>
      <c r="C130" s="332"/>
      <c r="D130" s="331"/>
      <c r="E130" s="331"/>
      <c r="F130" s="331"/>
      <c r="G130" s="331"/>
      <c r="H130" s="333"/>
      <c r="I130" s="334"/>
      <c r="J130" s="335"/>
      <c r="K130" s="336"/>
      <c r="L130" s="337"/>
      <c r="M130" s="338"/>
      <c r="N130" s="339"/>
      <c r="O130" s="340"/>
      <c r="P130" s="341"/>
      <c r="Q130" s="342"/>
      <c r="R130" s="342"/>
      <c r="S130" s="342"/>
      <c r="T130" s="343"/>
      <c r="U130" s="342"/>
      <c r="V130" s="342"/>
      <c r="W130" s="344"/>
      <c r="X130" s="344"/>
      <c r="Y130" s="345"/>
      <c r="Z130" s="345"/>
      <c r="AA130" s="345"/>
      <c r="AB130" s="345"/>
      <c r="AC130" s="345"/>
    </row>
    <row r="131" ht="28.5" customHeight="1">
      <c r="A131" s="331"/>
      <c r="B131" s="33"/>
      <c r="C131" s="332"/>
      <c r="D131" s="331"/>
      <c r="E131" s="331"/>
      <c r="F131" s="331"/>
      <c r="G131" s="331"/>
      <c r="H131" s="333"/>
      <c r="I131" s="334"/>
      <c r="J131" s="335"/>
      <c r="K131" s="336"/>
      <c r="L131" s="337"/>
      <c r="M131" s="338"/>
      <c r="N131" s="339"/>
      <c r="O131" s="340"/>
      <c r="P131" s="341"/>
      <c r="Q131" s="342"/>
      <c r="R131" s="342"/>
      <c r="S131" s="342"/>
      <c r="T131" s="343"/>
      <c r="U131" s="342"/>
      <c r="V131" s="342"/>
      <c r="W131" s="344"/>
      <c r="X131" s="344"/>
      <c r="Y131" s="345"/>
      <c r="Z131" s="345"/>
      <c r="AA131" s="345"/>
      <c r="AB131" s="345"/>
      <c r="AC131" s="345"/>
    </row>
    <row r="132" ht="28.5" customHeight="1">
      <c r="A132" s="331"/>
      <c r="B132" s="33"/>
      <c r="C132" s="332"/>
      <c r="D132" s="331"/>
      <c r="E132" s="331"/>
      <c r="F132" s="331"/>
      <c r="G132" s="331"/>
      <c r="H132" s="333"/>
      <c r="I132" s="334"/>
      <c r="J132" s="335"/>
      <c r="K132" s="336"/>
      <c r="L132" s="337"/>
      <c r="M132" s="338"/>
      <c r="N132" s="339"/>
      <c r="O132" s="340"/>
      <c r="P132" s="341"/>
      <c r="Q132" s="342"/>
      <c r="R132" s="342"/>
      <c r="S132" s="342"/>
      <c r="T132" s="343"/>
      <c r="U132" s="342"/>
      <c r="V132" s="342"/>
      <c r="W132" s="344"/>
      <c r="X132" s="344"/>
      <c r="Y132" s="345"/>
      <c r="Z132" s="345"/>
      <c r="AA132" s="345"/>
      <c r="AB132" s="345"/>
      <c r="AC132" s="345"/>
    </row>
    <row r="133" ht="28.5" customHeight="1">
      <c r="A133" s="331"/>
      <c r="B133" s="33"/>
      <c r="C133" s="332"/>
      <c r="D133" s="331"/>
      <c r="E133" s="331"/>
      <c r="F133" s="331"/>
      <c r="G133" s="331"/>
      <c r="H133" s="333"/>
      <c r="I133" s="334"/>
      <c r="J133" s="335"/>
      <c r="K133" s="336"/>
      <c r="L133" s="337"/>
      <c r="M133" s="338"/>
      <c r="N133" s="339"/>
      <c r="O133" s="340"/>
      <c r="P133" s="341"/>
      <c r="Q133" s="342"/>
      <c r="R133" s="342"/>
      <c r="S133" s="342"/>
      <c r="T133" s="343"/>
      <c r="U133" s="342"/>
      <c r="V133" s="342"/>
      <c r="W133" s="344"/>
      <c r="X133" s="344"/>
      <c r="Y133" s="345"/>
      <c r="Z133" s="345"/>
      <c r="AA133" s="345"/>
      <c r="AB133" s="345"/>
      <c r="AC133" s="345"/>
    </row>
    <row r="134" ht="28.5" customHeight="1">
      <c r="A134" s="331"/>
      <c r="B134" s="33"/>
      <c r="C134" s="332"/>
      <c r="D134" s="331"/>
      <c r="E134" s="331"/>
      <c r="F134" s="331"/>
      <c r="G134" s="331"/>
      <c r="H134" s="333"/>
      <c r="I134" s="334"/>
      <c r="J134" s="335"/>
      <c r="K134" s="336"/>
      <c r="L134" s="337"/>
      <c r="M134" s="338"/>
      <c r="N134" s="339"/>
      <c r="O134" s="340"/>
      <c r="P134" s="341"/>
      <c r="Q134" s="342"/>
      <c r="R134" s="342"/>
      <c r="S134" s="342"/>
      <c r="T134" s="343"/>
      <c r="U134" s="342"/>
      <c r="V134" s="342"/>
      <c r="W134" s="344"/>
      <c r="X134" s="344"/>
      <c r="Y134" s="345"/>
      <c r="Z134" s="345"/>
      <c r="AA134" s="345"/>
      <c r="AB134" s="345"/>
      <c r="AC134" s="345"/>
    </row>
    <row r="135" ht="28.5" customHeight="1">
      <c r="A135" s="331"/>
      <c r="B135" s="33"/>
      <c r="C135" s="332"/>
      <c r="D135" s="331"/>
      <c r="E135" s="331"/>
      <c r="F135" s="331"/>
      <c r="G135" s="331"/>
      <c r="H135" s="333"/>
      <c r="I135" s="334"/>
      <c r="J135" s="335"/>
      <c r="K135" s="336"/>
      <c r="L135" s="337"/>
      <c r="M135" s="338"/>
      <c r="N135" s="339"/>
      <c r="O135" s="340"/>
      <c r="P135" s="341"/>
      <c r="Q135" s="342"/>
      <c r="R135" s="342"/>
      <c r="S135" s="342"/>
      <c r="T135" s="343"/>
      <c r="U135" s="342"/>
      <c r="V135" s="342"/>
      <c r="W135" s="344"/>
      <c r="X135" s="344"/>
      <c r="Y135" s="345"/>
      <c r="Z135" s="345"/>
      <c r="AA135" s="345"/>
      <c r="AB135" s="345"/>
      <c r="AC135" s="345"/>
    </row>
    <row r="136" ht="28.5" customHeight="1">
      <c r="A136" s="331"/>
      <c r="B136" s="33"/>
      <c r="C136" s="332"/>
      <c r="D136" s="331"/>
      <c r="E136" s="331"/>
      <c r="F136" s="331"/>
      <c r="G136" s="331"/>
      <c r="H136" s="333"/>
      <c r="I136" s="334"/>
      <c r="J136" s="335"/>
      <c r="K136" s="336"/>
      <c r="L136" s="337"/>
      <c r="M136" s="338"/>
      <c r="N136" s="339"/>
      <c r="O136" s="340"/>
      <c r="P136" s="341"/>
      <c r="Q136" s="342"/>
      <c r="R136" s="342"/>
      <c r="S136" s="342"/>
      <c r="T136" s="343"/>
      <c r="U136" s="342"/>
      <c r="V136" s="342"/>
      <c r="W136" s="344"/>
      <c r="X136" s="344"/>
      <c r="Y136" s="345"/>
      <c r="Z136" s="345"/>
      <c r="AA136" s="345"/>
      <c r="AB136" s="345"/>
      <c r="AC136" s="345"/>
    </row>
    <row r="137" ht="28.5" customHeight="1">
      <c r="A137" s="331"/>
      <c r="B137" s="33"/>
      <c r="C137" s="332"/>
      <c r="D137" s="331"/>
      <c r="E137" s="331"/>
      <c r="F137" s="331"/>
      <c r="G137" s="331"/>
      <c r="H137" s="333"/>
      <c r="I137" s="334"/>
      <c r="J137" s="335"/>
      <c r="K137" s="336"/>
      <c r="L137" s="337"/>
      <c r="M137" s="338"/>
      <c r="N137" s="339"/>
      <c r="O137" s="340"/>
      <c r="P137" s="341"/>
      <c r="Q137" s="342"/>
      <c r="R137" s="342"/>
      <c r="S137" s="342"/>
      <c r="T137" s="343"/>
      <c r="U137" s="342"/>
      <c r="V137" s="342"/>
      <c r="W137" s="344"/>
      <c r="X137" s="344"/>
      <c r="Y137" s="345"/>
      <c r="Z137" s="345"/>
      <c r="AA137" s="345"/>
      <c r="AB137" s="345"/>
      <c r="AC137" s="345"/>
    </row>
    <row r="138" ht="28.5" customHeight="1">
      <c r="A138" s="331"/>
      <c r="B138" s="33"/>
      <c r="C138" s="332"/>
      <c r="D138" s="331"/>
      <c r="E138" s="331"/>
      <c r="F138" s="331"/>
      <c r="G138" s="331"/>
      <c r="H138" s="333"/>
      <c r="I138" s="334"/>
      <c r="J138" s="335"/>
      <c r="K138" s="336"/>
      <c r="L138" s="337"/>
      <c r="M138" s="338"/>
      <c r="N138" s="339"/>
      <c r="O138" s="340"/>
      <c r="P138" s="341"/>
      <c r="Q138" s="342"/>
      <c r="R138" s="342"/>
      <c r="S138" s="342"/>
      <c r="T138" s="343"/>
      <c r="U138" s="342"/>
      <c r="V138" s="342"/>
      <c r="W138" s="344"/>
      <c r="X138" s="344"/>
      <c r="Y138" s="345"/>
      <c r="Z138" s="345"/>
      <c r="AA138" s="345"/>
      <c r="AB138" s="345"/>
      <c r="AC138" s="345"/>
    </row>
    <row r="139" ht="28.5" customHeight="1">
      <c r="A139" s="331"/>
      <c r="B139" s="33"/>
      <c r="C139" s="332"/>
      <c r="D139" s="331"/>
      <c r="E139" s="331"/>
      <c r="F139" s="331"/>
      <c r="G139" s="331"/>
      <c r="H139" s="333"/>
      <c r="I139" s="334"/>
      <c r="J139" s="335"/>
      <c r="K139" s="336"/>
      <c r="L139" s="337"/>
      <c r="M139" s="338"/>
      <c r="N139" s="339"/>
      <c r="O139" s="340"/>
      <c r="P139" s="341"/>
      <c r="Q139" s="342"/>
      <c r="R139" s="342"/>
      <c r="S139" s="342"/>
      <c r="T139" s="343"/>
      <c r="U139" s="342"/>
      <c r="V139" s="342"/>
      <c r="W139" s="344"/>
      <c r="X139" s="344"/>
      <c r="Y139" s="345"/>
      <c r="Z139" s="345"/>
      <c r="AA139" s="345"/>
      <c r="AB139" s="345"/>
      <c r="AC139" s="345"/>
    </row>
    <row r="140" ht="28.5" customHeight="1">
      <c r="A140" s="331"/>
      <c r="B140" s="33"/>
      <c r="C140" s="332"/>
      <c r="D140" s="331"/>
      <c r="E140" s="331"/>
      <c r="F140" s="331"/>
      <c r="G140" s="331"/>
      <c r="H140" s="333"/>
      <c r="I140" s="334"/>
      <c r="J140" s="335"/>
      <c r="K140" s="336"/>
      <c r="L140" s="337"/>
      <c r="M140" s="338"/>
      <c r="N140" s="339"/>
      <c r="O140" s="340"/>
      <c r="P140" s="341"/>
      <c r="Q140" s="342"/>
      <c r="R140" s="342"/>
      <c r="S140" s="342"/>
      <c r="T140" s="343"/>
      <c r="U140" s="342"/>
      <c r="V140" s="342"/>
      <c r="W140" s="344"/>
      <c r="X140" s="344"/>
      <c r="Y140" s="345"/>
      <c r="Z140" s="345"/>
      <c r="AA140" s="345"/>
      <c r="AB140" s="345"/>
      <c r="AC140" s="345"/>
    </row>
    <row r="141" ht="28.5" customHeight="1">
      <c r="A141" s="331"/>
      <c r="B141" s="33"/>
      <c r="C141" s="332"/>
      <c r="D141" s="331"/>
      <c r="E141" s="331"/>
      <c r="F141" s="331"/>
      <c r="G141" s="331"/>
      <c r="H141" s="333"/>
      <c r="I141" s="334"/>
      <c r="J141" s="335"/>
      <c r="K141" s="336"/>
      <c r="L141" s="337"/>
      <c r="M141" s="338"/>
      <c r="N141" s="339"/>
      <c r="O141" s="340"/>
      <c r="P141" s="341"/>
      <c r="Q141" s="342"/>
      <c r="R141" s="342"/>
      <c r="S141" s="342"/>
      <c r="T141" s="343"/>
      <c r="U141" s="342"/>
      <c r="V141" s="342"/>
      <c r="W141" s="344"/>
      <c r="X141" s="344"/>
      <c r="Y141" s="345"/>
      <c r="Z141" s="345"/>
      <c r="AA141" s="345"/>
      <c r="AB141" s="345"/>
      <c r="AC141" s="345"/>
    </row>
    <row r="142" ht="28.5" customHeight="1">
      <c r="A142" s="331"/>
      <c r="B142" s="33"/>
      <c r="C142" s="332"/>
      <c r="D142" s="331"/>
      <c r="E142" s="331"/>
      <c r="F142" s="331"/>
      <c r="G142" s="331"/>
      <c r="H142" s="333"/>
      <c r="I142" s="334"/>
      <c r="J142" s="335"/>
      <c r="K142" s="336"/>
      <c r="L142" s="337"/>
      <c r="M142" s="338"/>
      <c r="N142" s="339"/>
      <c r="O142" s="340"/>
      <c r="P142" s="341"/>
      <c r="Q142" s="342"/>
      <c r="R142" s="342"/>
      <c r="S142" s="342"/>
      <c r="T142" s="343"/>
      <c r="U142" s="342"/>
      <c r="V142" s="342"/>
      <c r="W142" s="344"/>
      <c r="X142" s="344"/>
      <c r="Y142" s="345"/>
      <c r="Z142" s="345"/>
      <c r="AA142" s="345"/>
      <c r="AB142" s="345"/>
      <c r="AC142" s="345"/>
    </row>
    <row r="143" ht="28.5" customHeight="1">
      <c r="A143" s="331"/>
      <c r="B143" s="33"/>
      <c r="C143" s="332"/>
      <c r="D143" s="331"/>
      <c r="E143" s="331"/>
      <c r="F143" s="331"/>
      <c r="G143" s="331"/>
      <c r="H143" s="333"/>
      <c r="I143" s="334"/>
      <c r="J143" s="335"/>
      <c r="K143" s="336"/>
      <c r="L143" s="337"/>
      <c r="M143" s="338"/>
      <c r="N143" s="339"/>
      <c r="O143" s="340"/>
      <c r="P143" s="341"/>
      <c r="Q143" s="342"/>
      <c r="R143" s="342"/>
      <c r="S143" s="342"/>
      <c r="T143" s="343"/>
      <c r="U143" s="342"/>
      <c r="V143" s="342"/>
      <c r="W143" s="344"/>
      <c r="X143" s="344"/>
      <c r="Y143" s="345"/>
      <c r="Z143" s="345"/>
      <c r="AA143" s="345"/>
      <c r="AB143" s="345"/>
      <c r="AC143" s="345"/>
    </row>
    <row r="144" ht="28.5" customHeight="1">
      <c r="A144" s="331"/>
      <c r="B144" s="33"/>
      <c r="C144" s="332"/>
      <c r="D144" s="331"/>
      <c r="E144" s="331"/>
      <c r="F144" s="331"/>
      <c r="G144" s="331"/>
      <c r="H144" s="333"/>
      <c r="I144" s="334"/>
      <c r="J144" s="335"/>
      <c r="K144" s="336"/>
      <c r="L144" s="337"/>
      <c r="M144" s="338"/>
      <c r="N144" s="339"/>
      <c r="O144" s="340"/>
      <c r="P144" s="341"/>
      <c r="Q144" s="342"/>
      <c r="R144" s="342"/>
      <c r="S144" s="342"/>
      <c r="T144" s="343"/>
      <c r="U144" s="342"/>
      <c r="V144" s="342"/>
      <c r="W144" s="344"/>
      <c r="X144" s="344"/>
      <c r="Y144" s="345"/>
      <c r="Z144" s="345"/>
      <c r="AA144" s="345"/>
      <c r="AB144" s="345"/>
      <c r="AC144" s="345"/>
    </row>
    <row r="145" ht="28.5" customHeight="1">
      <c r="A145" s="331"/>
      <c r="B145" s="33"/>
      <c r="C145" s="332"/>
      <c r="D145" s="331"/>
      <c r="E145" s="331"/>
      <c r="F145" s="331"/>
      <c r="G145" s="331"/>
      <c r="H145" s="333"/>
      <c r="I145" s="334"/>
      <c r="J145" s="335"/>
      <c r="K145" s="336"/>
      <c r="L145" s="337"/>
      <c r="M145" s="338"/>
      <c r="N145" s="339"/>
      <c r="O145" s="340"/>
      <c r="P145" s="341"/>
      <c r="Q145" s="342"/>
      <c r="R145" s="342"/>
      <c r="S145" s="342"/>
      <c r="T145" s="343"/>
      <c r="U145" s="342"/>
      <c r="V145" s="342"/>
      <c r="W145" s="344"/>
      <c r="X145" s="344"/>
      <c r="Y145" s="345"/>
      <c r="Z145" s="345"/>
      <c r="AA145" s="345"/>
      <c r="AB145" s="345"/>
      <c r="AC145" s="345"/>
    </row>
    <row r="146" ht="28.5" customHeight="1">
      <c r="A146" s="331"/>
      <c r="B146" s="33"/>
      <c r="C146" s="332"/>
      <c r="D146" s="331"/>
      <c r="E146" s="331"/>
      <c r="F146" s="331"/>
      <c r="G146" s="331"/>
      <c r="H146" s="333"/>
      <c r="I146" s="334"/>
      <c r="J146" s="335"/>
      <c r="K146" s="336"/>
      <c r="L146" s="337"/>
      <c r="M146" s="338"/>
      <c r="N146" s="339"/>
      <c r="O146" s="340"/>
      <c r="P146" s="341"/>
      <c r="Q146" s="342"/>
      <c r="R146" s="342"/>
      <c r="S146" s="342"/>
      <c r="T146" s="343"/>
      <c r="U146" s="342"/>
      <c r="V146" s="342"/>
      <c r="W146" s="344"/>
      <c r="X146" s="344"/>
      <c r="Y146" s="345"/>
      <c r="Z146" s="345"/>
      <c r="AA146" s="345"/>
      <c r="AB146" s="345"/>
      <c r="AC146" s="345"/>
    </row>
    <row r="147" ht="28.5" customHeight="1">
      <c r="A147" s="331"/>
      <c r="B147" s="33"/>
      <c r="C147" s="332"/>
      <c r="D147" s="331"/>
      <c r="E147" s="331"/>
      <c r="F147" s="331"/>
      <c r="G147" s="331"/>
      <c r="H147" s="333"/>
      <c r="I147" s="334"/>
      <c r="J147" s="335"/>
      <c r="K147" s="336"/>
      <c r="L147" s="337"/>
      <c r="M147" s="338"/>
      <c r="N147" s="339"/>
      <c r="O147" s="340"/>
      <c r="P147" s="341"/>
      <c r="Q147" s="342"/>
      <c r="R147" s="342"/>
      <c r="S147" s="342"/>
      <c r="T147" s="343"/>
      <c r="U147" s="342"/>
      <c r="V147" s="342"/>
      <c r="W147" s="344"/>
      <c r="X147" s="344"/>
      <c r="Y147" s="345"/>
      <c r="Z147" s="345"/>
      <c r="AA147" s="345"/>
      <c r="AB147" s="345"/>
      <c r="AC147" s="345"/>
    </row>
    <row r="148" ht="28.5" customHeight="1">
      <c r="A148" s="331"/>
      <c r="B148" s="33"/>
      <c r="C148" s="332"/>
      <c r="D148" s="331"/>
      <c r="E148" s="331"/>
      <c r="F148" s="331"/>
      <c r="G148" s="331"/>
      <c r="H148" s="333"/>
      <c r="I148" s="334"/>
      <c r="J148" s="335"/>
      <c r="K148" s="336"/>
      <c r="L148" s="337"/>
      <c r="M148" s="338"/>
      <c r="N148" s="339"/>
      <c r="O148" s="340"/>
      <c r="P148" s="341"/>
      <c r="Q148" s="342"/>
      <c r="R148" s="342"/>
      <c r="S148" s="342"/>
      <c r="T148" s="343"/>
      <c r="U148" s="342"/>
      <c r="V148" s="342"/>
      <c r="W148" s="344"/>
      <c r="X148" s="344"/>
      <c r="Y148" s="345"/>
      <c r="Z148" s="345"/>
      <c r="AA148" s="345"/>
      <c r="AB148" s="345"/>
      <c r="AC148" s="345"/>
    </row>
    <row r="149" ht="28.5" customHeight="1">
      <c r="A149" s="331"/>
      <c r="B149" s="33"/>
      <c r="C149" s="332"/>
      <c r="D149" s="331"/>
      <c r="E149" s="331"/>
      <c r="F149" s="331"/>
      <c r="G149" s="331"/>
      <c r="H149" s="333"/>
      <c r="I149" s="334"/>
      <c r="J149" s="335"/>
      <c r="K149" s="336"/>
      <c r="L149" s="337"/>
      <c r="M149" s="338"/>
      <c r="N149" s="339"/>
      <c r="O149" s="340"/>
      <c r="P149" s="341"/>
      <c r="Q149" s="342"/>
      <c r="R149" s="342"/>
      <c r="S149" s="342"/>
      <c r="T149" s="343"/>
      <c r="U149" s="342"/>
      <c r="V149" s="342"/>
      <c r="W149" s="344"/>
      <c r="X149" s="344"/>
      <c r="Y149" s="345"/>
      <c r="Z149" s="345"/>
      <c r="AA149" s="345"/>
      <c r="AB149" s="345"/>
      <c r="AC149" s="345"/>
    </row>
    <row r="150" ht="28.5" customHeight="1">
      <c r="A150" s="331"/>
      <c r="B150" s="33"/>
      <c r="C150" s="332"/>
      <c r="D150" s="331"/>
      <c r="E150" s="331"/>
      <c r="F150" s="331"/>
      <c r="G150" s="331"/>
      <c r="H150" s="333"/>
      <c r="I150" s="334"/>
      <c r="J150" s="335"/>
      <c r="K150" s="336"/>
      <c r="L150" s="337"/>
      <c r="M150" s="338"/>
      <c r="N150" s="339"/>
      <c r="O150" s="340"/>
      <c r="P150" s="341"/>
      <c r="Q150" s="342"/>
      <c r="R150" s="342"/>
      <c r="S150" s="342"/>
      <c r="T150" s="343"/>
      <c r="U150" s="342"/>
      <c r="V150" s="342"/>
      <c r="W150" s="344"/>
      <c r="X150" s="344"/>
      <c r="Y150" s="345"/>
      <c r="Z150" s="345"/>
      <c r="AA150" s="345"/>
      <c r="AB150" s="345"/>
      <c r="AC150" s="345"/>
    </row>
    <row r="151" ht="28.5" customHeight="1">
      <c r="A151" s="331"/>
      <c r="B151" s="33"/>
      <c r="C151" s="332"/>
      <c r="D151" s="331"/>
      <c r="E151" s="331"/>
      <c r="F151" s="331"/>
      <c r="G151" s="331"/>
      <c r="H151" s="333"/>
      <c r="I151" s="334"/>
      <c r="J151" s="335"/>
      <c r="K151" s="336"/>
      <c r="L151" s="337"/>
      <c r="M151" s="338"/>
      <c r="N151" s="339"/>
      <c r="O151" s="340"/>
      <c r="P151" s="341"/>
      <c r="Q151" s="342"/>
      <c r="R151" s="342"/>
      <c r="S151" s="342"/>
      <c r="T151" s="343"/>
      <c r="U151" s="342"/>
      <c r="V151" s="342"/>
      <c r="W151" s="344"/>
      <c r="X151" s="344"/>
      <c r="Y151" s="345"/>
      <c r="Z151" s="345"/>
      <c r="AA151" s="345"/>
      <c r="AB151" s="345"/>
      <c r="AC151" s="345"/>
    </row>
    <row r="152" ht="28.5" customHeight="1">
      <c r="A152" s="331"/>
      <c r="B152" s="33"/>
      <c r="C152" s="332"/>
      <c r="D152" s="331"/>
      <c r="E152" s="331"/>
      <c r="F152" s="331"/>
      <c r="G152" s="331"/>
      <c r="H152" s="333"/>
      <c r="I152" s="334"/>
      <c r="J152" s="335"/>
      <c r="K152" s="336"/>
      <c r="L152" s="337"/>
      <c r="M152" s="338"/>
      <c r="N152" s="339"/>
      <c r="O152" s="340"/>
      <c r="P152" s="341"/>
      <c r="Q152" s="342"/>
      <c r="R152" s="342"/>
      <c r="S152" s="342"/>
      <c r="T152" s="343"/>
      <c r="U152" s="342"/>
      <c r="V152" s="342"/>
      <c r="W152" s="344"/>
      <c r="X152" s="344"/>
      <c r="Y152" s="345"/>
      <c r="Z152" s="345"/>
      <c r="AA152" s="345"/>
      <c r="AB152" s="345"/>
      <c r="AC152" s="345"/>
    </row>
    <row r="153" ht="28.5" customHeight="1">
      <c r="A153" s="331"/>
      <c r="B153" s="33"/>
      <c r="C153" s="332"/>
      <c r="D153" s="331"/>
      <c r="E153" s="331"/>
      <c r="F153" s="331"/>
      <c r="G153" s="331"/>
      <c r="H153" s="333"/>
      <c r="I153" s="334"/>
      <c r="J153" s="335"/>
      <c r="K153" s="336"/>
      <c r="L153" s="337"/>
      <c r="M153" s="338"/>
      <c r="N153" s="339"/>
      <c r="O153" s="340"/>
      <c r="P153" s="341"/>
      <c r="Q153" s="342"/>
      <c r="R153" s="342"/>
      <c r="S153" s="342"/>
      <c r="T153" s="343"/>
      <c r="U153" s="342"/>
      <c r="V153" s="342"/>
      <c r="W153" s="344"/>
      <c r="X153" s="344"/>
      <c r="Y153" s="345"/>
      <c r="Z153" s="345"/>
      <c r="AA153" s="345"/>
      <c r="AB153" s="345"/>
      <c r="AC153" s="345"/>
    </row>
    <row r="154" ht="28.5" customHeight="1">
      <c r="A154" s="331"/>
      <c r="B154" s="33"/>
      <c r="C154" s="332"/>
      <c r="D154" s="331"/>
      <c r="E154" s="331"/>
      <c r="F154" s="331"/>
      <c r="G154" s="331"/>
      <c r="H154" s="333"/>
      <c r="I154" s="334"/>
      <c r="J154" s="335"/>
      <c r="K154" s="336"/>
      <c r="L154" s="337"/>
      <c r="M154" s="338"/>
      <c r="N154" s="339"/>
      <c r="O154" s="340"/>
      <c r="P154" s="341"/>
      <c r="Q154" s="342"/>
      <c r="R154" s="342"/>
      <c r="S154" s="342"/>
      <c r="T154" s="343"/>
      <c r="U154" s="342"/>
      <c r="V154" s="342"/>
      <c r="W154" s="344"/>
      <c r="X154" s="344"/>
      <c r="Y154" s="345"/>
      <c r="Z154" s="345"/>
      <c r="AA154" s="345"/>
      <c r="AB154" s="345"/>
      <c r="AC154" s="345"/>
    </row>
    <row r="155" ht="28.5" customHeight="1">
      <c r="A155" s="331"/>
      <c r="B155" s="33"/>
      <c r="C155" s="332"/>
      <c r="D155" s="331"/>
      <c r="E155" s="331"/>
      <c r="F155" s="331"/>
      <c r="G155" s="331"/>
      <c r="H155" s="333"/>
      <c r="I155" s="334"/>
      <c r="J155" s="335"/>
      <c r="K155" s="336"/>
      <c r="L155" s="337"/>
      <c r="M155" s="338"/>
      <c r="N155" s="339"/>
      <c r="O155" s="340"/>
      <c r="P155" s="341"/>
      <c r="Q155" s="342"/>
      <c r="R155" s="342"/>
      <c r="S155" s="342"/>
      <c r="T155" s="343"/>
      <c r="U155" s="342"/>
      <c r="V155" s="342"/>
      <c r="W155" s="344"/>
      <c r="X155" s="344"/>
      <c r="Y155" s="345"/>
      <c r="Z155" s="345"/>
      <c r="AA155" s="345"/>
      <c r="AB155" s="345"/>
      <c r="AC155" s="345"/>
    </row>
    <row r="156" ht="28.5" customHeight="1">
      <c r="A156" s="331"/>
      <c r="B156" s="33"/>
      <c r="C156" s="332"/>
      <c r="D156" s="331"/>
      <c r="E156" s="331"/>
      <c r="F156" s="331"/>
      <c r="G156" s="331"/>
      <c r="H156" s="333"/>
      <c r="I156" s="334"/>
      <c r="J156" s="335"/>
      <c r="K156" s="336"/>
      <c r="L156" s="337"/>
      <c r="M156" s="338"/>
      <c r="N156" s="339"/>
      <c r="O156" s="340"/>
      <c r="P156" s="341"/>
      <c r="Q156" s="342"/>
      <c r="R156" s="342"/>
      <c r="S156" s="342"/>
      <c r="T156" s="343"/>
      <c r="U156" s="342"/>
      <c r="V156" s="342"/>
      <c r="W156" s="344"/>
      <c r="X156" s="344"/>
      <c r="Y156" s="345"/>
      <c r="Z156" s="345"/>
      <c r="AA156" s="345"/>
      <c r="AB156" s="345"/>
      <c r="AC156" s="345"/>
    </row>
    <row r="157" ht="28.5" customHeight="1">
      <c r="A157" s="331"/>
      <c r="B157" s="33"/>
      <c r="C157" s="332"/>
      <c r="D157" s="331"/>
      <c r="E157" s="331"/>
      <c r="F157" s="331"/>
      <c r="G157" s="331"/>
      <c r="H157" s="333"/>
      <c r="I157" s="334"/>
      <c r="J157" s="335"/>
      <c r="K157" s="336"/>
      <c r="L157" s="337"/>
      <c r="M157" s="338"/>
      <c r="N157" s="339"/>
      <c r="O157" s="340"/>
      <c r="P157" s="341"/>
      <c r="Q157" s="342"/>
      <c r="R157" s="342"/>
      <c r="S157" s="342"/>
      <c r="T157" s="343"/>
      <c r="U157" s="342"/>
      <c r="V157" s="342"/>
      <c r="W157" s="344"/>
      <c r="X157" s="344"/>
      <c r="Y157" s="345"/>
      <c r="Z157" s="345"/>
      <c r="AA157" s="345"/>
      <c r="AB157" s="345"/>
      <c r="AC157" s="345"/>
    </row>
    <row r="158" ht="28.5" customHeight="1">
      <c r="A158" s="331"/>
      <c r="B158" s="33"/>
      <c r="C158" s="332"/>
      <c r="D158" s="331"/>
      <c r="E158" s="331"/>
      <c r="F158" s="331"/>
      <c r="G158" s="331"/>
      <c r="H158" s="333"/>
      <c r="I158" s="334"/>
      <c r="J158" s="335"/>
      <c r="K158" s="336"/>
      <c r="L158" s="337"/>
      <c r="M158" s="338"/>
      <c r="N158" s="339"/>
      <c r="O158" s="340"/>
      <c r="P158" s="341"/>
      <c r="Q158" s="342"/>
      <c r="R158" s="342"/>
      <c r="S158" s="342"/>
      <c r="T158" s="343"/>
      <c r="U158" s="342"/>
      <c r="V158" s="342"/>
      <c r="W158" s="344"/>
      <c r="X158" s="344"/>
      <c r="Y158" s="345"/>
      <c r="Z158" s="345"/>
      <c r="AA158" s="345"/>
      <c r="AB158" s="345"/>
      <c r="AC158" s="345"/>
    </row>
    <row r="159" ht="28.5" customHeight="1">
      <c r="A159" s="331"/>
      <c r="B159" s="33"/>
      <c r="C159" s="332"/>
      <c r="D159" s="331"/>
      <c r="E159" s="331"/>
      <c r="F159" s="331"/>
      <c r="G159" s="331"/>
      <c r="H159" s="333"/>
      <c r="I159" s="334"/>
      <c r="J159" s="335"/>
      <c r="K159" s="336"/>
      <c r="L159" s="337"/>
      <c r="M159" s="338"/>
      <c r="N159" s="339"/>
      <c r="O159" s="340"/>
      <c r="P159" s="341"/>
      <c r="Q159" s="342"/>
      <c r="R159" s="342"/>
      <c r="S159" s="342"/>
      <c r="T159" s="343"/>
      <c r="U159" s="342"/>
      <c r="V159" s="342"/>
      <c r="W159" s="344"/>
      <c r="X159" s="344"/>
      <c r="Y159" s="345"/>
      <c r="Z159" s="345"/>
      <c r="AA159" s="345"/>
      <c r="AB159" s="345"/>
      <c r="AC159" s="345"/>
    </row>
    <row r="160" ht="28.5" customHeight="1">
      <c r="A160" s="331"/>
      <c r="B160" s="33"/>
      <c r="C160" s="332"/>
      <c r="D160" s="331"/>
      <c r="E160" s="331"/>
      <c r="F160" s="331"/>
      <c r="G160" s="331"/>
      <c r="H160" s="333"/>
      <c r="I160" s="334"/>
      <c r="J160" s="335"/>
      <c r="K160" s="336"/>
      <c r="L160" s="337"/>
      <c r="M160" s="338"/>
      <c r="N160" s="339"/>
      <c r="O160" s="340"/>
      <c r="P160" s="341"/>
      <c r="Q160" s="342"/>
      <c r="R160" s="342"/>
      <c r="S160" s="342"/>
      <c r="T160" s="343"/>
      <c r="U160" s="342"/>
      <c r="V160" s="342"/>
      <c r="W160" s="344"/>
      <c r="X160" s="344"/>
      <c r="Y160" s="345"/>
      <c r="Z160" s="345"/>
      <c r="AA160" s="345"/>
      <c r="AB160" s="345"/>
      <c r="AC160" s="345"/>
    </row>
    <row r="161" ht="28.5" customHeight="1">
      <c r="A161" s="331"/>
      <c r="B161" s="33"/>
      <c r="C161" s="332"/>
      <c r="D161" s="331"/>
      <c r="E161" s="331"/>
      <c r="F161" s="331"/>
      <c r="G161" s="331"/>
      <c r="H161" s="333"/>
      <c r="I161" s="334"/>
      <c r="J161" s="335"/>
      <c r="K161" s="336"/>
      <c r="L161" s="337"/>
      <c r="M161" s="338"/>
      <c r="N161" s="339"/>
      <c r="O161" s="340"/>
      <c r="P161" s="341"/>
      <c r="Q161" s="342"/>
      <c r="R161" s="342"/>
      <c r="S161" s="342"/>
      <c r="T161" s="343"/>
      <c r="U161" s="342"/>
      <c r="V161" s="342"/>
      <c r="W161" s="344"/>
      <c r="X161" s="344"/>
      <c r="Y161" s="345"/>
      <c r="Z161" s="345"/>
      <c r="AA161" s="345"/>
      <c r="AB161" s="345"/>
      <c r="AC161" s="345"/>
    </row>
    <row r="162" ht="28.5" customHeight="1">
      <c r="A162" s="331"/>
      <c r="B162" s="33"/>
      <c r="C162" s="332"/>
      <c r="D162" s="331"/>
      <c r="E162" s="331"/>
      <c r="F162" s="331"/>
      <c r="G162" s="331"/>
      <c r="H162" s="333"/>
      <c r="I162" s="334"/>
      <c r="J162" s="335"/>
      <c r="K162" s="336"/>
      <c r="L162" s="337"/>
      <c r="M162" s="338"/>
      <c r="N162" s="339"/>
      <c r="O162" s="340"/>
      <c r="P162" s="341"/>
      <c r="Q162" s="342"/>
      <c r="R162" s="342"/>
      <c r="S162" s="342"/>
      <c r="T162" s="343"/>
      <c r="U162" s="342"/>
      <c r="V162" s="342"/>
      <c r="W162" s="344"/>
      <c r="X162" s="344"/>
      <c r="Y162" s="345"/>
      <c r="Z162" s="345"/>
      <c r="AA162" s="345"/>
      <c r="AB162" s="345"/>
      <c r="AC162" s="345"/>
    </row>
    <row r="163" ht="28.5" customHeight="1">
      <c r="A163" s="331"/>
      <c r="B163" s="33"/>
      <c r="C163" s="332"/>
      <c r="D163" s="331"/>
      <c r="E163" s="331"/>
      <c r="F163" s="331"/>
      <c r="G163" s="331"/>
      <c r="H163" s="333"/>
      <c r="I163" s="334"/>
      <c r="J163" s="335"/>
      <c r="K163" s="336"/>
      <c r="L163" s="337"/>
      <c r="M163" s="338"/>
      <c r="N163" s="339"/>
      <c r="O163" s="340"/>
      <c r="P163" s="341"/>
      <c r="Q163" s="342"/>
      <c r="R163" s="342"/>
      <c r="S163" s="342"/>
      <c r="T163" s="343"/>
      <c r="U163" s="342"/>
      <c r="V163" s="342"/>
      <c r="W163" s="344"/>
      <c r="X163" s="344"/>
      <c r="Y163" s="345"/>
      <c r="Z163" s="345"/>
      <c r="AA163" s="345"/>
      <c r="AB163" s="345"/>
      <c r="AC163" s="345"/>
    </row>
    <row r="164" ht="28.5" customHeight="1">
      <c r="A164" s="331"/>
      <c r="B164" s="33"/>
      <c r="C164" s="332"/>
      <c r="D164" s="331"/>
      <c r="E164" s="331"/>
      <c r="F164" s="331"/>
      <c r="G164" s="331"/>
      <c r="H164" s="333"/>
      <c r="I164" s="334"/>
      <c r="J164" s="335"/>
      <c r="K164" s="336"/>
      <c r="L164" s="337"/>
      <c r="M164" s="338"/>
      <c r="N164" s="339"/>
      <c r="O164" s="340"/>
      <c r="P164" s="341"/>
      <c r="Q164" s="342"/>
      <c r="R164" s="342"/>
      <c r="S164" s="342"/>
      <c r="T164" s="343"/>
      <c r="U164" s="342"/>
      <c r="V164" s="342"/>
      <c r="W164" s="344"/>
      <c r="X164" s="344"/>
      <c r="Y164" s="345"/>
      <c r="Z164" s="345"/>
      <c r="AA164" s="345"/>
      <c r="AB164" s="345"/>
      <c r="AC164" s="345"/>
    </row>
    <row r="165" ht="28.5" customHeight="1">
      <c r="A165" s="331"/>
      <c r="B165" s="33"/>
      <c r="C165" s="332"/>
      <c r="D165" s="331"/>
      <c r="E165" s="331"/>
      <c r="F165" s="331"/>
      <c r="G165" s="331"/>
      <c r="H165" s="333"/>
      <c r="I165" s="334"/>
      <c r="J165" s="335"/>
      <c r="K165" s="336"/>
      <c r="L165" s="337"/>
      <c r="M165" s="338"/>
      <c r="N165" s="339"/>
      <c r="O165" s="340"/>
      <c r="P165" s="341"/>
      <c r="Q165" s="342"/>
      <c r="R165" s="342"/>
      <c r="S165" s="342"/>
      <c r="T165" s="343"/>
      <c r="U165" s="342"/>
      <c r="V165" s="342"/>
      <c r="W165" s="344"/>
      <c r="X165" s="344"/>
      <c r="Y165" s="345"/>
      <c r="Z165" s="345"/>
      <c r="AA165" s="345"/>
      <c r="AB165" s="345"/>
      <c r="AC165" s="345"/>
    </row>
    <row r="166" ht="28.5" customHeight="1">
      <c r="A166" s="331"/>
      <c r="B166" s="33"/>
      <c r="C166" s="332"/>
      <c r="D166" s="331"/>
      <c r="E166" s="331"/>
      <c r="F166" s="331"/>
      <c r="G166" s="331"/>
      <c r="H166" s="333"/>
      <c r="I166" s="334"/>
      <c r="J166" s="335"/>
      <c r="K166" s="336"/>
      <c r="L166" s="337"/>
      <c r="M166" s="338"/>
      <c r="N166" s="339"/>
      <c r="O166" s="340"/>
      <c r="P166" s="341"/>
      <c r="Q166" s="342"/>
      <c r="R166" s="342"/>
      <c r="S166" s="342"/>
      <c r="T166" s="343"/>
      <c r="U166" s="342"/>
      <c r="V166" s="342"/>
      <c r="W166" s="344"/>
      <c r="X166" s="344"/>
      <c r="Y166" s="345"/>
      <c r="Z166" s="345"/>
      <c r="AA166" s="345"/>
      <c r="AB166" s="345"/>
      <c r="AC166" s="345"/>
    </row>
    <row r="167" ht="28.5" customHeight="1">
      <c r="A167" s="331"/>
      <c r="B167" s="33"/>
      <c r="C167" s="332"/>
      <c r="D167" s="331"/>
      <c r="E167" s="331"/>
      <c r="F167" s="331"/>
      <c r="G167" s="331"/>
      <c r="H167" s="333"/>
      <c r="I167" s="334"/>
      <c r="J167" s="335"/>
      <c r="K167" s="336"/>
      <c r="L167" s="337"/>
      <c r="M167" s="338"/>
      <c r="N167" s="339"/>
      <c r="O167" s="340"/>
      <c r="P167" s="341"/>
      <c r="Q167" s="342"/>
      <c r="R167" s="342"/>
      <c r="S167" s="342"/>
      <c r="T167" s="343"/>
      <c r="U167" s="342"/>
      <c r="V167" s="342"/>
      <c r="W167" s="344"/>
      <c r="X167" s="344"/>
      <c r="Y167" s="345"/>
      <c r="Z167" s="345"/>
      <c r="AA167" s="345"/>
      <c r="AB167" s="345"/>
      <c r="AC167" s="345"/>
    </row>
    <row r="168" ht="28.5" customHeight="1">
      <c r="A168" s="331"/>
      <c r="B168" s="33"/>
      <c r="C168" s="332"/>
      <c r="D168" s="331"/>
      <c r="E168" s="331"/>
      <c r="F168" s="331"/>
      <c r="G168" s="331"/>
      <c r="H168" s="333"/>
      <c r="I168" s="334"/>
      <c r="J168" s="335"/>
      <c r="K168" s="336"/>
      <c r="L168" s="337"/>
      <c r="M168" s="338"/>
      <c r="N168" s="339"/>
      <c r="O168" s="340"/>
      <c r="P168" s="341"/>
      <c r="Q168" s="342"/>
      <c r="R168" s="342"/>
      <c r="S168" s="342"/>
      <c r="T168" s="343"/>
      <c r="U168" s="342"/>
      <c r="V168" s="342"/>
      <c r="W168" s="344"/>
      <c r="X168" s="344"/>
      <c r="Y168" s="345"/>
      <c r="Z168" s="345"/>
      <c r="AA168" s="345"/>
      <c r="AB168" s="345"/>
      <c r="AC168" s="345"/>
    </row>
    <row r="169" ht="28.5" customHeight="1">
      <c r="A169" s="331"/>
      <c r="B169" s="33"/>
      <c r="C169" s="332"/>
      <c r="D169" s="331"/>
      <c r="E169" s="331"/>
      <c r="F169" s="331"/>
      <c r="G169" s="331"/>
      <c r="H169" s="333"/>
      <c r="I169" s="334"/>
      <c r="J169" s="335"/>
      <c r="K169" s="336"/>
      <c r="L169" s="337"/>
      <c r="M169" s="338"/>
      <c r="N169" s="339"/>
      <c r="O169" s="340"/>
      <c r="P169" s="341"/>
      <c r="Q169" s="342"/>
      <c r="R169" s="342"/>
      <c r="S169" s="342"/>
      <c r="T169" s="343"/>
      <c r="U169" s="342"/>
      <c r="V169" s="342"/>
      <c r="W169" s="344"/>
      <c r="X169" s="344"/>
      <c r="Y169" s="345"/>
      <c r="Z169" s="345"/>
      <c r="AA169" s="345"/>
      <c r="AB169" s="345"/>
      <c r="AC169" s="345"/>
    </row>
    <row r="170" ht="28.5" customHeight="1">
      <c r="A170" s="331"/>
      <c r="B170" s="33"/>
      <c r="C170" s="332"/>
      <c r="D170" s="331"/>
      <c r="E170" s="331"/>
      <c r="F170" s="331"/>
      <c r="G170" s="331"/>
      <c r="H170" s="333"/>
      <c r="I170" s="334"/>
      <c r="J170" s="335"/>
      <c r="K170" s="336"/>
      <c r="L170" s="337"/>
      <c r="M170" s="338"/>
      <c r="N170" s="339"/>
      <c r="O170" s="340"/>
      <c r="P170" s="341"/>
      <c r="Q170" s="342"/>
      <c r="R170" s="342"/>
      <c r="S170" s="342"/>
      <c r="T170" s="343"/>
      <c r="U170" s="342"/>
      <c r="V170" s="342"/>
      <c r="W170" s="344"/>
      <c r="X170" s="344"/>
      <c r="Y170" s="345"/>
      <c r="Z170" s="345"/>
      <c r="AA170" s="345"/>
      <c r="AB170" s="345"/>
      <c r="AC170" s="345"/>
    </row>
    <row r="171" ht="28.5" customHeight="1">
      <c r="A171" s="331"/>
      <c r="B171" s="33"/>
      <c r="C171" s="332"/>
      <c r="D171" s="331"/>
      <c r="E171" s="331"/>
      <c r="F171" s="331"/>
      <c r="G171" s="331"/>
      <c r="H171" s="333"/>
      <c r="I171" s="334"/>
      <c r="J171" s="335"/>
      <c r="K171" s="336"/>
      <c r="L171" s="337"/>
      <c r="M171" s="338"/>
      <c r="N171" s="339"/>
      <c r="O171" s="340"/>
      <c r="P171" s="341"/>
      <c r="Q171" s="342"/>
      <c r="R171" s="342"/>
      <c r="S171" s="342"/>
      <c r="T171" s="343"/>
      <c r="U171" s="342"/>
      <c r="V171" s="342"/>
      <c r="W171" s="344"/>
      <c r="X171" s="344"/>
      <c r="Y171" s="345"/>
      <c r="Z171" s="345"/>
      <c r="AA171" s="345"/>
      <c r="AB171" s="345"/>
      <c r="AC171" s="345"/>
    </row>
    <row r="172" ht="28.5" customHeight="1">
      <c r="A172" s="331"/>
      <c r="B172" s="33"/>
      <c r="C172" s="332"/>
      <c r="D172" s="331"/>
      <c r="E172" s="331"/>
      <c r="F172" s="331"/>
      <c r="G172" s="331"/>
      <c r="H172" s="333"/>
      <c r="I172" s="334"/>
      <c r="J172" s="335"/>
      <c r="K172" s="336"/>
      <c r="L172" s="337"/>
      <c r="M172" s="338"/>
      <c r="N172" s="339"/>
      <c r="O172" s="340"/>
      <c r="P172" s="341"/>
      <c r="Q172" s="342"/>
      <c r="R172" s="342"/>
      <c r="S172" s="342"/>
      <c r="T172" s="343"/>
      <c r="U172" s="342"/>
      <c r="V172" s="342"/>
      <c r="W172" s="344"/>
      <c r="X172" s="344"/>
      <c r="Y172" s="345"/>
      <c r="Z172" s="345"/>
      <c r="AA172" s="345"/>
      <c r="AB172" s="345"/>
      <c r="AC172" s="345"/>
    </row>
    <row r="173" ht="28.5" customHeight="1">
      <c r="A173" s="331"/>
      <c r="B173" s="33"/>
      <c r="C173" s="332"/>
      <c r="D173" s="331"/>
      <c r="E173" s="331"/>
      <c r="F173" s="331"/>
      <c r="G173" s="331"/>
      <c r="H173" s="333"/>
      <c r="I173" s="334"/>
      <c r="J173" s="335"/>
      <c r="K173" s="336"/>
      <c r="L173" s="337"/>
      <c r="M173" s="338"/>
      <c r="N173" s="339"/>
      <c r="O173" s="340"/>
      <c r="P173" s="341"/>
      <c r="Q173" s="342"/>
      <c r="R173" s="342"/>
      <c r="S173" s="342"/>
      <c r="T173" s="343"/>
      <c r="U173" s="342"/>
      <c r="V173" s="342"/>
      <c r="W173" s="344"/>
      <c r="X173" s="344"/>
      <c r="Y173" s="345"/>
      <c r="Z173" s="345"/>
      <c r="AA173" s="345"/>
      <c r="AB173" s="345"/>
      <c r="AC173" s="345"/>
    </row>
    <row r="174" ht="24.75" customHeight="1">
      <c r="A174" s="344"/>
      <c r="B174" s="346"/>
      <c r="C174" s="344"/>
      <c r="D174" s="344"/>
      <c r="E174" s="344"/>
      <c r="F174" s="344"/>
      <c r="G174" s="344"/>
      <c r="H174" s="344"/>
      <c r="I174" s="344"/>
      <c r="J174" s="344"/>
      <c r="K174" s="344"/>
      <c r="L174" s="344"/>
      <c r="M174" s="344"/>
      <c r="N174" s="344"/>
      <c r="O174" s="344"/>
      <c r="P174" s="346"/>
      <c r="Q174" s="344"/>
      <c r="R174" s="344"/>
      <c r="S174" s="344"/>
      <c r="T174" s="344"/>
      <c r="U174" s="344"/>
      <c r="V174" s="344"/>
      <c r="W174" s="344"/>
      <c r="X174" s="344"/>
      <c r="Y174" s="344"/>
      <c r="Z174" s="344"/>
      <c r="AA174" s="344"/>
      <c r="AB174" s="344"/>
      <c r="AC174" s="344"/>
    </row>
    <row r="175" ht="24.75" customHeight="1">
      <c r="A175" s="344"/>
      <c r="B175" s="346"/>
      <c r="C175" s="344"/>
      <c r="D175" s="344"/>
      <c r="E175" s="344"/>
      <c r="F175" s="344"/>
      <c r="G175" s="344"/>
      <c r="H175" s="344"/>
      <c r="I175" s="344"/>
      <c r="J175" s="344"/>
      <c r="K175" s="344"/>
      <c r="L175" s="344"/>
      <c r="M175" s="344"/>
      <c r="N175" s="344"/>
      <c r="O175" s="344"/>
      <c r="P175" s="346"/>
      <c r="Q175" s="344"/>
      <c r="R175" s="344"/>
      <c r="S175" s="344"/>
      <c r="T175" s="344"/>
      <c r="U175" s="344"/>
      <c r="V175" s="344"/>
      <c r="W175" s="344"/>
      <c r="X175" s="344"/>
      <c r="Y175" s="344"/>
      <c r="Z175" s="344"/>
      <c r="AA175" s="344"/>
      <c r="AB175" s="344"/>
      <c r="AC175" s="344"/>
    </row>
    <row r="176" ht="24.75" customHeight="1">
      <c r="A176" s="344"/>
      <c r="B176" s="346"/>
      <c r="C176" s="344"/>
      <c r="D176" s="344"/>
      <c r="E176" s="344"/>
      <c r="F176" s="344"/>
      <c r="G176" s="344"/>
      <c r="H176" s="344"/>
      <c r="I176" s="344"/>
      <c r="J176" s="344"/>
      <c r="K176" s="344"/>
      <c r="L176" s="344"/>
      <c r="M176" s="344"/>
      <c r="N176" s="344"/>
      <c r="O176" s="344"/>
      <c r="P176" s="346"/>
      <c r="Q176" s="344"/>
      <c r="R176" s="344"/>
      <c r="S176" s="344"/>
      <c r="T176" s="344"/>
      <c r="U176" s="344"/>
      <c r="V176" s="344"/>
      <c r="W176" s="344"/>
      <c r="X176" s="344"/>
      <c r="Y176" s="344"/>
      <c r="Z176" s="344"/>
      <c r="AA176" s="344"/>
      <c r="AB176" s="344"/>
      <c r="AC176" s="344"/>
    </row>
    <row r="177" ht="24.75" customHeight="1">
      <c r="A177" s="344"/>
      <c r="B177" s="346"/>
      <c r="C177" s="344"/>
      <c r="D177" s="344"/>
      <c r="E177" s="344"/>
      <c r="F177" s="344"/>
      <c r="G177" s="344"/>
      <c r="H177" s="344"/>
      <c r="I177" s="344"/>
      <c r="J177" s="344"/>
      <c r="K177" s="344"/>
      <c r="L177" s="344"/>
      <c r="M177" s="344"/>
      <c r="N177" s="344"/>
      <c r="O177" s="344"/>
      <c r="P177" s="346"/>
      <c r="Q177" s="344"/>
      <c r="R177" s="344"/>
      <c r="S177" s="344"/>
      <c r="T177" s="344"/>
      <c r="U177" s="344"/>
      <c r="V177" s="344"/>
      <c r="W177" s="344"/>
      <c r="X177" s="344"/>
      <c r="Y177" s="344"/>
      <c r="Z177" s="344"/>
      <c r="AA177" s="344"/>
      <c r="AB177" s="344"/>
      <c r="AC177" s="344"/>
    </row>
    <row r="178" ht="24.75" customHeight="1">
      <c r="A178" s="344"/>
      <c r="B178" s="346"/>
      <c r="C178" s="344"/>
      <c r="D178" s="344"/>
      <c r="E178" s="344"/>
      <c r="F178" s="344"/>
      <c r="G178" s="344"/>
      <c r="H178" s="344"/>
      <c r="I178" s="344"/>
      <c r="J178" s="344"/>
      <c r="K178" s="344"/>
      <c r="L178" s="344"/>
      <c r="M178" s="344"/>
      <c r="N178" s="344"/>
      <c r="O178" s="344"/>
      <c r="P178" s="346"/>
      <c r="Q178" s="344"/>
      <c r="R178" s="344"/>
      <c r="S178" s="344"/>
      <c r="T178" s="344"/>
      <c r="U178" s="344"/>
      <c r="V178" s="344"/>
      <c r="W178" s="344"/>
      <c r="X178" s="344"/>
      <c r="Y178" s="344"/>
      <c r="Z178" s="344"/>
      <c r="AA178" s="344"/>
      <c r="AB178" s="344"/>
      <c r="AC178" s="344"/>
    </row>
    <row r="179" ht="24.75" customHeight="1">
      <c r="A179" s="344"/>
      <c r="B179" s="346"/>
      <c r="C179" s="344"/>
      <c r="D179" s="344"/>
      <c r="E179" s="344"/>
      <c r="F179" s="344"/>
      <c r="G179" s="344"/>
      <c r="H179" s="344"/>
      <c r="I179" s="344"/>
      <c r="J179" s="344"/>
      <c r="K179" s="344"/>
      <c r="L179" s="344"/>
      <c r="M179" s="344"/>
      <c r="N179" s="344"/>
      <c r="O179" s="344"/>
      <c r="P179" s="346"/>
      <c r="Q179" s="344"/>
      <c r="R179" s="344"/>
      <c r="S179" s="344"/>
      <c r="T179" s="344"/>
      <c r="U179" s="344"/>
      <c r="V179" s="344"/>
      <c r="W179" s="344"/>
      <c r="X179" s="344"/>
      <c r="Y179" s="344"/>
      <c r="Z179" s="344"/>
      <c r="AA179" s="344"/>
      <c r="AB179" s="344"/>
      <c r="AC179" s="344"/>
    </row>
    <row r="180" ht="24.75" customHeight="1">
      <c r="A180" s="344"/>
      <c r="B180" s="346"/>
      <c r="C180" s="344"/>
      <c r="D180" s="344"/>
      <c r="E180" s="344"/>
      <c r="F180" s="344"/>
      <c r="G180" s="344"/>
      <c r="H180" s="344"/>
      <c r="I180" s="344"/>
      <c r="J180" s="344"/>
      <c r="K180" s="344"/>
      <c r="L180" s="344"/>
      <c r="M180" s="344"/>
      <c r="N180" s="344"/>
      <c r="O180" s="344"/>
      <c r="P180" s="346"/>
      <c r="Q180" s="344"/>
      <c r="R180" s="344"/>
      <c r="S180" s="344"/>
      <c r="T180" s="344"/>
      <c r="U180" s="344"/>
      <c r="V180" s="344"/>
      <c r="W180" s="344"/>
      <c r="X180" s="344"/>
      <c r="Y180" s="344"/>
      <c r="Z180" s="344"/>
      <c r="AA180" s="344"/>
      <c r="AB180" s="344"/>
      <c r="AC180" s="344"/>
    </row>
    <row r="181" ht="24.75" customHeight="1">
      <c r="A181" s="344"/>
      <c r="B181" s="346"/>
      <c r="C181" s="344"/>
      <c r="D181" s="344"/>
      <c r="E181" s="344"/>
      <c r="F181" s="344"/>
      <c r="G181" s="344"/>
      <c r="H181" s="344"/>
      <c r="I181" s="344"/>
      <c r="J181" s="344"/>
      <c r="K181" s="344"/>
      <c r="L181" s="344"/>
      <c r="M181" s="344"/>
      <c r="N181" s="344"/>
      <c r="O181" s="344"/>
      <c r="P181" s="346"/>
      <c r="Q181" s="344"/>
      <c r="R181" s="344"/>
      <c r="S181" s="344"/>
      <c r="T181" s="344"/>
      <c r="U181" s="344"/>
      <c r="V181" s="344"/>
      <c r="W181" s="344"/>
      <c r="X181" s="344"/>
      <c r="Y181" s="344"/>
      <c r="Z181" s="344"/>
      <c r="AA181" s="344"/>
      <c r="AB181" s="344"/>
      <c r="AC181" s="344"/>
    </row>
    <row r="182" ht="24.75" customHeight="1">
      <c r="A182" s="344"/>
      <c r="B182" s="346"/>
      <c r="C182" s="344"/>
      <c r="D182" s="344"/>
      <c r="E182" s="344"/>
      <c r="F182" s="344"/>
      <c r="G182" s="344"/>
      <c r="H182" s="344"/>
      <c r="I182" s="344"/>
      <c r="J182" s="344"/>
      <c r="K182" s="344"/>
      <c r="L182" s="344"/>
      <c r="M182" s="344"/>
      <c r="N182" s="344"/>
      <c r="O182" s="344"/>
      <c r="P182" s="346"/>
      <c r="Q182" s="344"/>
      <c r="R182" s="344"/>
      <c r="S182" s="344"/>
      <c r="T182" s="344"/>
      <c r="U182" s="344"/>
      <c r="V182" s="344"/>
      <c r="W182" s="344"/>
      <c r="X182" s="344"/>
      <c r="Y182" s="344"/>
      <c r="Z182" s="344"/>
      <c r="AA182" s="344"/>
      <c r="AB182" s="344"/>
      <c r="AC182" s="344"/>
    </row>
    <row r="183" ht="24.75" customHeight="1">
      <c r="A183" s="344"/>
      <c r="B183" s="346"/>
      <c r="C183" s="344"/>
      <c r="D183" s="344"/>
      <c r="E183" s="344"/>
      <c r="F183" s="344"/>
      <c r="G183" s="344"/>
      <c r="H183" s="344"/>
      <c r="I183" s="344"/>
      <c r="J183" s="344"/>
      <c r="K183" s="344"/>
      <c r="L183" s="344"/>
      <c r="M183" s="344"/>
      <c r="N183" s="344"/>
      <c r="O183" s="344"/>
      <c r="P183" s="346"/>
      <c r="Q183" s="344"/>
      <c r="R183" s="344"/>
      <c r="S183" s="344"/>
      <c r="T183" s="344"/>
      <c r="U183" s="344"/>
      <c r="V183" s="344"/>
      <c r="W183" s="344"/>
      <c r="X183" s="344"/>
      <c r="Y183" s="344"/>
      <c r="Z183" s="344"/>
      <c r="AA183" s="344"/>
      <c r="AB183" s="344"/>
      <c r="AC183" s="344"/>
    </row>
    <row r="184" ht="24.75" customHeight="1">
      <c r="A184" s="344"/>
      <c r="B184" s="346"/>
      <c r="C184" s="344"/>
      <c r="D184" s="344"/>
      <c r="E184" s="344"/>
      <c r="F184" s="344"/>
      <c r="G184" s="344"/>
      <c r="H184" s="344"/>
      <c r="I184" s="344"/>
      <c r="J184" s="344"/>
      <c r="K184" s="344"/>
      <c r="L184" s="344"/>
      <c r="M184" s="344"/>
      <c r="N184" s="344"/>
      <c r="O184" s="344"/>
      <c r="P184" s="346"/>
      <c r="Q184" s="344"/>
      <c r="R184" s="344"/>
      <c r="S184" s="344"/>
      <c r="T184" s="344"/>
      <c r="U184" s="344"/>
      <c r="V184" s="344"/>
      <c r="W184" s="344"/>
      <c r="X184" s="344"/>
      <c r="Y184" s="344"/>
      <c r="Z184" s="344"/>
      <c r="AA184" s="344"/>
      <c r="AB184" s="344"/>
      <c r="AC184" s="344"/>
    </row>
    <row r="185" ht="24.75" customHeight="1">
      <c r="A185" s="344"/>
      <c r="B185" s="346"/>
      <c r="C185" s="344"/>
      <c r="D185" s="344"/>
      <c r="E185" s="344"/>
      <c r="F185" s="344"/>
      <c r="G185" s="344"/>
      <c r="H185" s="344"/>
      <c r="I185" s="344"/>
      <c r="J185" s="344"/>
      <c r="K185" s="344"/>
      <c r="L185" s="344"/>
      <c r="M185" s="344"/>
      <c r="N185" s="344"/>
      <c r="O185" s="344"/>
      <c r="P185" s="346"/>
      <c r="Q185" s="344"/>
      <c r="R185" s="344"/>
      <c r="S185" s="344"/>
      <c r="T185" s="344"/>
      <c r="U185" s="344"/>
      <c r="V185" s="344"/>
      <c r="W185" s="344"/>
      <c r="X185" s="344"/>
      <c r="Y185" s="344"/>
      <c r="Z185" s="344"/>
      <c r="AA185" s="344"/>
      <c r="AB185" s="344"/>
      <c r="AC185" s="344"/>
    </row>
    <row r="186" ht="24.75" customHeight="1">
      <c r="A186" s="344"/>
      <c r="B186" s="346"/>
      <c r="C186" s="344"/>
      <c r="D186" s="344"/>
      <c r="E186" s="344"/>
      <c r="F186" s="344"/>
      <c r="G186" s="344"/>
      <c r="H186" s="344"/>
      <c r="I186" s="344"/>
      <c r="J186" s="344"/>
      <c r="K186" s="344"/>
      <c r="L186" s="344"/>
      <c r="M186" s="344"/>
      <c r="N186" s="344"/>
      <c r="O186" s="344"/>
      <c r="P186" s="346"/>
      <c r="Q186" s="344"/>
      <c r="R186" s="344"/>
      <c r="S186" s="344"/>
      <c r="T186" s="344"/>
      <c r="U186" s="344"/>
      <c r="V186" s="344"/>
      <c r="W186" s="344"/>
      <c r="X186" s="344"/>
      <c r="Y186" s="344"/>
      <c r="Z186" s="344"/>
      <c r="AA186" s="344"/>
      <c r="AB186" s="344"/>
      <c r="AC186" s="344"/>
    </row>
    <row r="187" ht="24.75" customHeight="1">
      <c r="A187" s="344"/>
      <c r="B187" s="346"/>
      <c r="C187" s="344"/>
      <c r="D187" s="344"/>
      <c r="E187" s="344"/>
      <c r="F187" s="344"/>
      <c r="G187" s="344"/>
      <c r="H187" s="344"/>
      <c r="I187" s="344"/>
      <c r="J187" s="344"/>
      <c r="K187" s="344"/>
      <c r="L187" s="344"/>
      <c r="M187" s="344"/>
      <c r="N187" s="344"/>
      <c r="O187" s="344"/>
      <c r="P187" s="346"/>
      <c r="Q187" s="344"/>
      <c r="R187" s="344"/>
      <c r="S187" s="344"/>
      <c r="T187" s="344"/>
      <c r="U187" s="344"/>
      <c r="V187" s="344"/>
      <c r="W187" s="344"/>
      <c r="X187" s="344"/>
      <c r="Y187" s="344"/>
      <c r="Z187" s="344"/>
      <c r="AA187" s="344"/>
      <c r="AB187" s="344"/>
      <c r="AC187" s="344"/>
    </row>
    <row r="188" ht="24.75" customHeight="1">
      <c r="A188" s="344"/>
      <c r="B188" s="346"/>
      <c r="C188" s="344"/>
      <c r="D188" s="344"/>
      <c r="E188" s="344"/>
      <c r="F188" s="344"/>
      <c r="G188" s="344"/>
      <c r="H188" s="344"/>
      <c r="I188" s="344"/>
      <c r="J188" s="344"/>
      <c r="K188" s="344"/>
      <c r="L188" s="344"/>
      <c r="M188" s="344"/>
      <c r="N188" s="344"/>
      <c r="O188" s="344"/>
      <c r="P188" s="346"/>
      <c r="Q188" s="344"/>
      <c r="R188" s="344"/>
      <c r="S188" s="344"/>
      <c r="T188" s="344"/>
      <c r="U188" s="344"/>
      <c r="V188" s="344"/>
      <c r="W188" s="344"/>
      <c r="X188" s="344"/>
      <c r="Y188" s="344"/>
      <c r="Z188" s="344"/>
      <c r="AA188" s="344"/>
      <c r="AB188" s="344"/>
      <c r="AC188" s="344"/>
    </row>
    <row r="189" ht="24.75" customHeight="1">
      <c r="A189" s="344"/>
      <c r="B189" s="346"/>
      <c r="C189" s="344"/>
      <c r="D189" s="344"/>
      <c r="E189" s="344"/>
      <c r="F189" s="344"/>
      <c r="G189" s="344"/>
      <c r="H189" s="344"/>
      <c r="I189" s="344"/>
      <c r="J189" s="344"/>
      <c r="K189" s="344"/>
      <c r="L189" s="344"/>
      <c r="M189" s="344"/>
      <c r="N189" s="344"/>
      <c r="O189" s="344"/>
      <c r="P189" s="346"/>
      <c r="Q189" s="344"/>
      <c r="R189" s="344"/>
      <c r="S189" s="344"/>
      <c r="T189" s="344"/>
      <c r="U189" s="344"/>
      <c r="V189" s="344"/>
      <c r="W189" s="344"/>
      <c r="X189" s="344"/>
      <c r="Y189" s="344"/>
      <c r="Z189" s="344"/>
      <c r="AA189" s="344"/>
      <c r="AB189" s="344"/>
      <c r="AC189" s="344"/>
    </row>
    <row r="190" ht="24.75" customHeight="1">
      <c r="A190" s="344"/>
      <c r="B190" s="346"/>
      <c r="C190" s="344"/>
      <c r="D190" s="344"/>
      <c r="E190" s="344"/>
      <c r="F190" s="344"/>
      <c r="G190" s="344"/>
      <c r="H190" s="344"/>
      <c r="I190" s="344"/>
      <c r="J190" s="344"/>
      <c r="K190" s="344"/>
      <c r="L190" s="344"/>
      <c r="M190" s="344"/>
      <c r="N190" s="344"/>
      <c r="O190" s="344"/>
      <c r="P190" s="346"/>
      <c r="Q190" s="344"/>
      <c r="R190" s="344"/>
      <c r="S190" s="344"/>
      <c r="T190" s="344"/>
      <c r="U190" s="344"/>
      <c r="V190" s="344"/>
      <c r="W190" s="344"/>
      <c r="X190" s="344"/>
      <c r="Y190" s="344"/>
      <c r="Z190" s="344"/>
      <c r="AA190" s="344"/>
      <c r="AB190" s="344"/>
      <c r="AC190" s="344"/>
    </row>
    <row r="191" ht="24.75" customHeight="1">
      <c r="A191" s="344"/>
      <c r="B191" s="346"/>
      <c r="C191" s="344"/>
      <c r="D191" s="344"/>
      <c r="E191" s="344"/>
      <c r="F191" s="344"/>
      <c r="G191" s="344"/>
      <c r="H191" s="344"/>
      <c r="I191" s="344"/>
      <c r="J191" s="344"/>
      <c r="K191" s="344"/>
      <c r="L191" s="344"/>
      <c r="M191" s="344"/>
      <c r="N191" s="344"/>
      <c r="O191" s="344"/>
      <c r="P191" s="346"/>
      <c r="Q191" s="344"/>
      <c r="R191" s="344"/>
      <c r="S191" s="344"/>
      <c r="T191" s="344"/>
      <c r="U191" s="344"/>
      <c r="V191" s="344"/>
      <c r="W191" s="344"/>
      <c r="X191" s="344"/>
      <c r="Y191" s="344"/>
      <c r="Z191" s="344"/>
      <c r="AA191" s="344"/>
      <c r="AB191" s="344"/>
      <c r="AC191" s="344"/>
    </row>
    <row r="192" ht="24.75" customHeight="1">
      <c r="A192" s="344"/>
      <c r="B192" s="346"/>
      <c r="C192" s="344"/>
      <c r="D192" s="344"/>
      <c r="E192" s="344"/>
      <c r="F192" s="344"/>
      <c r="G192" s="344"/>
      <c r="H192" s="344"/>
      <c r="I192" s="344"/>
      <c r="J192" s="344"/>
      <c r="K192" s="344"/>
      <c r="L192" s="344"/>
      <c r="M192" s="344"/>
      <c r="N192" s="344"/>
      <c r="O192" s="344"/>
      <c r="P192" s="346"/>
      <c r="Q192" s="344"/>
      <c r="R192" s="344"/>
      <c r="S192" s="344"/>
      <c r="T192" s="344"/>
      <c r="U192" s="344"/>
      <c r="V192" s="344"/>
      <c r="W192" s="344"/>
      <c r="X192" s="344"/>
      <c r="Y192" s="344"/>
      <c r="Z192" s="344"/>
      <c r="AA192" s="344"/>
      <c r="AB192" s="344"/>
      <c r="AC192" s="344"/>
    </row>
    <row r="193" ht="24.75" customHeight="1">
      <c r="A193" s="344"/>
      <c r="B193" s="346"/>
      <c r="C193" s="344"/>
      <c r="D193" s="344"/>
      <c r="E193" s="344"/>
      <c r="F193" s="344"/>
      <c r="G193" s="344"/>
      <c r="H193" s="344"/>
      <c r="I193" s="344"/>
      <c r="J193" s="344"/>
      <c r="K193" s="344"/>
      <c r="L193" s="344"/>
      <c r="M193" s="344"/>
      <c r="N193" s="344"/>
      <c r="O193" s="344"/>
      <c r="P193" s="346"/>
      <c r="Q193" s="344"/>
      <c r="R193" s="344"/>
      <c r="S193" s="344"/>
      <c r="T193" s="344"/>
      <c r="U193" s="344"/>
      <c r="V193" s="344"/>
      <c r="W193" s="344"/>
      <c r="X193" s="344"/>
      <c r="Y193" s="344"/>
      <c r="Z193" s="344"/>
      <c r="AA193" s="344"/>
      <c r="AB193" s="344"/>
      <c r="AC193" s="344"/>
    </row>
    <row r="194" ht="24.75" customHeight="1">
      <c r="A194" s="344"/>
      <c r="B194" s="346"/>
      <c r="C194" s="344"/>
      <c r="D194" s="344"/>
      <c r="E194" s="344"/>
      <c r="F194" s="344"/>
      <c r="G194" s="344"/>
      <c r="H194" s="344"/>
      <c r="I194" s="344"/>
      <c r="J194" s="344"/>
      <c r="K194" s="344"/>
      <c r="L194" s="344"/>
      <c r="M194" s="344"/>
      <c r="N194" s="344"/>
      <c r="O194" s="344"/>
      <c r="P194" s="346"/>
      <c r="Q194" s="344"/>
      <c r="R194" s="344"/>
      <c r="S194" s="344"/>
      <c r="T194" s="344"/>
      <c r="U194" s="344"/>
      <c r="V194" s="344"/>
      <c r="W194" s="344"/>
      <c r="X194" s="344"/>
      <c r="Y194" s="344"/>
      <c r="Z194" s="344"/>
      <c r="AA194" s="344"/>
      <c r="AB194" s="344"/>
      <c r="AC194" s="344"/>
    </row>
    <row r="195" ht="24.75" customHeight="1">
      <c r="A195" s="344"/>
      <c r="B195" s="346"/>
      <c r="C195" s="344"/>
      <c r="D195" s="344"/>
      <c r="E195" s="344"/>
      <c r="F195" s="344"/>
      <c r="G195" s="344"/>
      <c r="H195" s="344"/>
      <c r="I195" s="344"/>
      <c r="J195" s="344"/>
      <c r="K195" s="344"/>
      <c r="L195" s="344"/>
      <c r="M195" s="344"/>
      <c r="N195" s="344"/>
      <c r="O195" s="344"/>
      <c r="P195" s="346"/>
      <c r="Q195" s="344"/>
      <c r="R195" s="344"/>
      <c r="S195" s="344"/>
      <c r="T195" s="344"/>
      <c r="U195" s="344"/>
      <c r="V195" s="344"/>
      <c r="W195" s="344"/>
      <c r="X195" s="344"/>
      <c r="Y195" s="344"/>
      <c r="Z195" s="344"/>
      <c r="AA195" s="344"/>
      <c r="AB195" s="344"/>
      <c r="AC195" s="344"/>
    </row>
    <row r="196" ht="24.75" customHeight="1">
      <c r="A196" s="344"/>
      <c r="B196" s="346"/>
      <c r="C196" s="344"/>
      <c r="D196" s="344"/>
      <c r="E196" s="344"/>
      <c r="F196" s="344"/>
      <c r="G196" s="344"/>
      <c r="H196" s="344"/>
      <c r="I196" s="344"/>
      <c r="J196" s="344"/>
      <c r="K196" s="344"/>
      <c r="L196" s="344"/>
      <c r="M196" s="344"/>
      <c r="N196" s="344"/>
      <c r="O196" s="344"/>
      <c r="P196" s="346"/>
      <c r="Q196" s="344"/>
      <c r="R196" s="344"/>
      <c r="S196" s="344"/>
      <c r="T196" s="344"/>
      <c r="U196" s="344"/>
      <c r="V196" s="344"/>
      <c r="W196" s="344"/>
      <c r="X196" s="344"/>
      <c r="Y196" s="344"/>
      <c r="Z196" s="344"/>
      <c r="AA196" s="344"/>
      <c r="AB196" s="344"/>
      <c r="AC196" s="344"/>
    </row>
    <row r="197" ht="24.75" customHeight="1">
      <c r="A197" s="344"/>
      <c r="B197" s="346"/>
      <c r="C197" s="344"/>
      <c r="D197" s="344"/>
      <c r="E197" s="344"/>
      <c r="F197" s="344"/>
      <c r="G197" s="344"/>
      <c r="H197" s="344"/>
      <c r="I197" s="344"/>
      <c r="J197" s="344"/>
      <c r="K197" s="344"/>
      <c r="L197" s="344"/>
      <c r="M197" s="344"/>
      <c r="N197" s="344"/>
      <c r="O197" s="344"/>
      <c r="P197" s="346"/>
      <c r="Q197" s="344"/>
      <c r="R197" s="344"/>
      <c r="S197" s="344"/>
      <c r="T197" s="344"/>
      <c r="U197" s="344"/>
      <c r="V197" s="344"/>
      <c r="W197" s="344"/>
      <c r="X197" s="344"/>
      <c r="Y197" s="344"/>
      <c r="Z197" s="344"/>
      <c r="AA197" s="344"/>
      <c r="AB197" s="344"/>
      <c r="AC197" s="344"/>
    </row>
    <row r="198" ht="24.75" customHeight="1">
      <c r="A198" s="344"/>
      <c r="B198" s="346"/>
      <c r="C198" s="344"/>
      <c r="D198" s="344"/>
      <c r="E198" s="344"/>
      <c r="F198" s="344"/>
      <c r="G198" s="344"/>
      <c r="H198" s="344"/>
      <c r="I198" s="344"/>
      <c r="J198" s="344"/>
      <c r="K198" s="344"/>
      <c r="L198" s="344"/>
      <c r="M198" s="344"/>
      <c r="N198" s="344"/>
      <c r="O198" s="344"/>
      <c r="P198" s="346"/>
      <c r="Q198" s="344"/>
      <c r="R198" s="344"/>
      <c r="S198" s="344"/>
      <c r="T198" s="344"/>
      <c r="U198" s="344"/>
      <c r="V198" s="344"/>
      <c r="W198" s="344"/>
      <c r="X198" s="344"/>
      <c r="Y198" s="344"/>
      <c r="Z198" s="344"/>
      <c r="AA198" s="344"/>
      <c r="AB198" s="344"/>
      <c r="AC198" s="344"/>
    </row>
    <row r="199" ht="24.75" customHeight="1">
      <c r="A199" s="344"/>
      <c r="B199" s="346"/>
      <c r="C199" s="344"/>
      <c r="D199" s="344"/>
      <c r="E199" s="344"/>
      <c r="F199" s="344"/>
      <c r="G199" s="344"/>
      <c r="H199" s="344"/>
      <c r="I199" s="344"/>
      <c r="J199" s="344"/>
      <c r="K199" s="344"/>
      <c r="L199" s="344"/>
      <c r="M199" s="344"/>
      <c r="N199" s="344"/>
      <c r="O199" s="344"/>
      <c r="P199" s="346"/>
      <c r="Q199" s="344"/>
      <c r="R199" s="344"/>
      <c r="S199" s="344"/>
      <c r="T199" s="344"/>
      <c r="U199" s="344"/>
      <c r="V199" s="344"/>
      <c r="W199" s="344"/>
      <c r="X199" s="344"/>
      <c r="Y199" s="344"/>
      <c r="Z199" s="344"/>
      <c r="AA199" s="344"/>
      <c r="AB199" s="344"/>
      <c r="AC199" s="344"/>
    </row>
    <row r="200" ht="24.75" customHeight="1">
      <c r="A200" s="344"/>
      <c r="B200" s="346"/>
      <c r="C200" s="344"/>
      <c r="D200" s="344"/>
      <c r="E200" s="344"/>
      <c r="F200" s="344"/>
      <c r="G200" s="344"/>
      <c r="H200" s="344"/>
      <c r="I200" s="344"/>
      <c r="J200" s="344"/>
      <c r="K200" s="344"/>
      <c r="L200" s="344"/>
      <c r="M200" s="344"/>
      <c r="N200" s="344"/>
      <c r="O200" s="344"/>
      <c r="P200" s="346"/>
      <c r="Q200" s="344"/>
      <c r="R200" s="344"/>
      <c r="S200" s="344"/>
      <c r="T200" s="344"/>
      <c r="U200" s="344"/>
      <c r="V200" s="344"/>
      <c r="W200" s="344"/>
      <c r="X200" s="344"/>
      <c r="Y200" s="344"/>
      <c r="Z200" s="344"/>
      <c r="AA200" s="344"/>
      <c r="AB200" s="344"/>
      <c r="AC200" s="344"/>
    </row>
    <row r="201" ht="24.75" customHeight="1">
      <c r="A201" s="344"/>
      <c r="B201" s="346"/>
      <c r="C201" s="344"/>
      <c r="D201" s="344"/>
      <c r="E201" s="344"/>
      <c r="F201" s="344"/>
      <c r="G201" s="344"/>
      <c r="H201" s="344"/>
      <c r="I201" s="344"/>
      <c r="J201" s="344"/>
      <c r="K201" s="344"/>
      <c r="L201" s="344"/>
      <c r="M201" s="344"/>
      <c r="N201" s="344"/>
      <c r="O201" s="344"/>
      <c r="P201" s="346"/>
      <c r="Q201" s="344"/>
      <c r="R201" s="344"/>
      <c r="S201" s="344"/>
      <c r="T201" s="344"/>
      <c r="U201" s="344"/>
      <c r="V201" s="344"/>
      <c r="W201" s="344"/>
      <c r="X201" s="344"/>
      <c r="Y201" s="344"/>
      <c r="Z201" s="344"/>
      <c r="AA201" s="344"/>
      <c r="AB201" s="344"/>
      <c r="AC201" s="344"/>
    </row>
    <row r="202" ht="24.75" customHeight="1">
      <c r="A202" s="344"/>
      <c r="B202" s="346"/>
      <c r="C202" s="344"/>
      <c r="D202" s="344"/>
      <c r="E202" s="344"/>
      <c r="F202" s="344"/>
      <c r="G202" s="344"/>
      <c r="H202" s="344"/>
      <c r="I202" s="344"/>
      <c r="J202" s="344"/>
      <c r="K202" s="344"/>
      <c r="L202" s="344"/>
      <c r="M202" s="344"/>
      <c r="N202" s="344"/>
      <c r="O202" s="344"/>
      <c r="P202" s="346"/>
      <c r="Q202" s="344"/>
      <c r="R202" s="344"/>
      <c r="S202" s="344"/>
      <c r="T202" s="344"/>
      <c r="U202" s="344"/>
      <c r="V202" s="344"/>
      <c r="W202" s="344"/>
      <c r="X202" s="344"/>
      <c r="Y202" s="344"/>
      <c r="Z202" s="344"/>
      <c r="AA202" s="344"/>
      <c r="AB202" s="344"/>
      <c r="AC202" s="344"/>
    </row>
    <row r="203" ht="24.75" customHeight="1">
      <c r="A203" s="344"/>
      <c r="B203" s="346"/>
      <c r="C203" s="344"/>
      <c r="D203" s="344"/>
      <c r="E203" s="344"/>
      <c r="F203" s="344"/>
      <c r="G203" s="344"/>
      <c r="H203" s="344"/>
      <c r="I203" s="344"/>
      <c r="J203" s="344"/>
      <c r="K203" s="344"/>
      <c r="L203" s="344"/>
      <c r="M203" s="344"/>
      <c r="N203" s="344"/>
      <c r="O203" s="344"/>
      <c r="P203" s="346"/>
      <c r="Q203" s="344"/>
      <c r="R203" s="344"/>
      <c r="S203" s="344"/>
      <c r="T203" s="344"/>
      <c r="U203" s="344"/>
      <c r="V203" s="344"/>
      <c r="W203" s="344"/>
      <c r="X203" s="344"/>
      <c r="Y203" s="344"/>
      <c r="Z203" s="344"/>
      <c r="AA203" s="344"/>
      <c r="AB203" s="344"/>
      <c r="AC203" s="344"/>
    </row>
    <row r="204" ht="24.75" customHeight="1">
      <c r="A204" s="344"/>
      <c r="B204" s="346"/>
      <c r="C204" s="344"/>
      <c r="D204" s="344"/>
      <c r="E204" s="344"/>
      <c r="F204" s="344"/>
      <c r="G204" s="344"/>
      <c r="H204" s="344"/>
      <c r="I204" s="344"/>
      <c r="J204" s="344"/>
      <c r="K204" s="344"/>
      <c r="L204" s="344"/>
      <c r="M204" s="344"/>
      <c r="N204" s="344"/>
      <c r="O204" s="344"/>
      <c r="P204" s="346"/>
      <c r="Q204" s="344"/>
      <c r="R204" s="344"/>
      <c r="S204" s="344"/>
      <c r="T204" s="344"/>
      <c r="U204" s="344"/>
      <c r="V204" s="344"/>
      <c r="W204" s="344"/>
      <c r="X204" s="344"/>
      <c r="Y204" s="344"/>
      <c r="Z204" s="344"/>
      <c r="AA204" s="344"/>
      <c r="AB204" s="344"/>
      <c r="AC204" s="344"/>
    </row>
    <row r="205" ht="24.75" customHeight="1">
      <c r="A205" s="344"/>
      <c r="B205" s="346"/>
      <c r="C205" s="344"/>
      <c r="D205" s="344"/>
      <c r="E205" s="344"/>
      <c r="F205" s="344"/>
      <c r="G205" s="344"/>
      <c r="H205" s="344"/>
      <c r="I205" s="344"/>
      <c r="J205" s="344"/>
      <c r="K205" s="344"/>
      <c r="L205" s="344"/>
      <c r="M205" s="344"/>
      <c r="N205" s="344"/>
      <c r="O205" s="344"/>
      <c r="P205" s="346"/>
      <c r="Q205" s="344"/>
      <c r="R205" s="344"/>
      <c r="S205" s="344"/>
      <c r="T205" s="344"/>
      <c r="U205" s="344"/>
      <c r="V205" s="344"/>
      <c r="W205" s="344"/>
      <c r="X205" s="344"/>
      <c r="Y205" s="344"/>
      <c r="Z205" s="344"/>
      <c r="AA205" s="344"/>
      <c r="AB205" s="344"/>
      <c r="AC205" s="344"/>
    </row>
    <row r="206" ht="24.75" customHeight="1">
      <c r="A206" s="344"/>
      <c r="B206" s="346"/>
      <c r="C206" s="344"/>
      <c r="D206" s="344"/>
      <c r="E206" s="344"/>
      <c r="F206" s="344"/>
      <c r="G206" s="344"/>
      <c r="H206" s="344"/>
      <c r="I206" s="344"/>
      <c r="J206" s="344"/>
      <c r="K206" s="344"/>
      <c r="L206" s="344"/>
      <c r="M206" s="344"/>
      <c r="N206" s="344"/>
      <c r="O206" s="344"/>
      <c r="P206" s="346"/>
      <c r="Q206" s="344"/>
      <c r="R206" s="344"/>
      <c r="S206" s="344"/>
      <c r="T206" s="344"/>
      <c r="U206" s="344"/>
      <c r="V206" s="344"/>
      <c r="W206" s="344"/>
      <c r="X206" s="344"/>
      <c r="Y206" s="344"/>
      <c r="Z206" s="344"/>
      <c r="AA206" s="344"/>
      <c r="AB206" s="344"/>
      <c r="AC206" s="344"/>
    </row>
    <row r="207" ht="24.75" customHeight="1">
      <c r="A207" s="344"/>
      <c r="B207" s="346"/>
      <c r="C207" s="344"/>
      <c r="D207" s="344"/>
      <c r="E207" s="344"/>
      <c r="F207" s="344"/>
      <c r="G207" s="344"/>
      <c r="H207" s="344"/>
      <c r="I207" s="344"/>
      <c r="J207" s="344"/>
      <c r="K207" s="344"/>
      <c r="L207" s="344"/>
      <c r="M207" s="344"/>
      <c r="N207" s="344"/>
      <c r="O207" s="344"/>
      <c r="P207" s="346"/>
      <c r="Q207" s="344"/>
      <c r="R207" s="344"/>
      <c r="S207" s="344"/>
      <c r="T207" s="344"/>
      <c r="U207" s="344"/>
      <c r="V207" s="344"/>
      <c r="W207" s="344"/>
      <c r="X207" s="344"/>
      <c r="Y207" s="344"/>
      <c r="Z207" s="344"/>
      <c r="AA207" s="344"/>
      <c r="AB207" s="344"/>
      <c r="AC207" s="344"/>
    </row>
    <row r="208" ht="24.75" customHeight="1">
      <c r="A208" s="344"/>
      <c r="B208" s="346"/>
      <c r="C208" s="344"/>
      <c r="D208" s="344"/>
      <c r="E208" s="344"/>
      <c r="F208" s="344"/>
      <c r="G208" s="344"/>
      <c r="H208" s="344"/>
      <c r="I208" s="344"/>
      <c r="J208" s="344"/>
      <c r="K208" s="344"/>
      <c r="L208" s="344"/>
      <c r="M208" s="344"/>
      <c r="N208" s="344"/>
      <c r="O208" s="344"/>
      <c r="P208" s="346"/>
      <c r="Q208" s="344"/>
      <c r="R208" s="344"/>
      <c r="S208" s="344"/>
      <c r="T208" s="344"/>
      <c r="U208" s="344"/>
      <c r="V208" s="344"/>
      <c r="W208" s="344"/>
      <c r="X208" s="344"/>
      <c r="Y208" s="344"/>
      <c r="Z208" s="344"/>
      <c r="AA208" s="344"/>
      <c r="AB208" s="344"/>
      <c r="AC208" s="344"/>
    </row>
    <row r="209" ht="24.75" customHeight="1">
      <c r="A209" s="344"/>
      <c r="B209" s="346"/>
      <c r="C209" s="344"/>
      <c r="D209" s="344"/>
      <c r="E209" s="344"/>
      <c r="F209" s="344"/>
      <c r="G209" s="344"/>
      <c r="H209" s="344"/>
      <c r="I209" s="344"/>
      <c r="J209" s="344"/>
      <c r="K209" s="344"/>
      <c r="L209" s="344"/>
      <c r="M209" s="344"/>
      <c r="N209" s="344"/>
      <c r="O209" s="344"/>
      <c r="P209" s="346"/>
      <c r="Q209" s="344"/>
      <c r="R209" s="344"/>
      <c r="S209" s="344"/>
      <c r="T209" s="344"/>
      <c r="U209" s="344"/>
      <c r="V209" s="344"/>
      <c r="W209" s="344"/>
      <c r="X209" s="344"/>
      <c r="Y209" s="344"/>
      <c r="Z209" s="344"/>
      <c r="AA209" s="344"/>
      <c r="AB209" s="344"/>
      <c r="AC209" s="344"/>
    </row>
    <row r="210" ht="24.75" customHeight="1">
      <c r="A210" s="344"/>
      <c r="B210" s="346"/>
      <c r="C210" s="344"/>
      <c r="D210" s="344"/>
      <c r="E210" s="344"/>
      <c r="F210" s="344"/>
      <c r="G210" s="344"/>
      <c r="H210" s="344"/>
      <c r="I210" s="344"/>
      <c r="J210" s="344"/>
      <c r="K210" s="344"/>
      <c r="L210" s="344"/>
      <c r="M210" s="344"/>
      <c r="N210" s="344"/>
      <c r="O210" s="344"/>
      <c r="P210" s="346"/>
      <c r="Q210" s="344"/>
      <c r="R210" s="344"/>
      <c r="S210" s="344"/>
      <c r="T210" s="344"/>
      <c r="U210" s="344"/>
      <c r="V210" s="344"/>
      <c r="W210" s="344"/>
      <c r="X210" s="344"/>
      <c r="Y210" s="344"/>
      <c r="Z210" s="344"/>
      <c r="AA210" s="344"/>
      <c r="AB210" s="344"/>
      <c r="AC210" s="344"/>
    </row>
    <row r="211" ht="24.75" customHeight="1">
      <c r="A211" s="344"/>
      <c r="B211" s="346"/>
      <c r="C211" s="344"/>
      <c r="D211" s="344"/>
      <c r="E211" s="344"/>
      <c r="F211" s="344"/>
      <c r="G211" s="344"/>
      <c r="H211" s="344"/>
      <c r="I211" s="344"/>
      <c r="J211" s="344"/>
      <c r="K211" s="344"/>
      <c r="L211" s="344"/>
      <c r="M211" s="344"/>
      <c r="N211" s="344"/>
      <c r="O211" s="344"/>
      <c r="P211" s="346"/>
      <c r="Q211" s="344"/>
      <c r="R211" s="344"/>
      <c r="S211" s="344"/>
      <c r="T211" s="344"/>
      <c r="U211" s="344"/>
      <c r="V211" s="344"/>
      <c r="W211" s="344"/>
      <c r="X211" s="344"/>
      <c r="Y211" s="344"/>
      <c r="Z211" s="344"/>
      <c r="AA211" s="344"/>
      <c r="AB211" s="344"/>
      <c r="AC211" s="344"/>
    </row>
    <row r="212" ht="24.75" customHeight="1">
      <c r="A212" s="344"/>
      <c r="B212" s="346"/>
      <c r="C212" s="344"/>
      <c r="D212" s="344"/>
      <c r="E212" s="344"/>
      <c r="F212" s="344"/>
      <c r="G212" s="344"/>
      <c r="H212" s="344"/>
      <c r="I212" s="344"/>
      <c r="J212" s="344"/>
      <c r="K212" s="344"/>
      <c r="L212" s="344"/>
      <c r="M212" s="344"/>
      <c r="N212" s="344"/>
      <c r="O212" s="344"/>
      <c r="P212" s="346"/>
      <c r="Q212" s="344"/>
      <c r="R212" s="344"/>
      <c r="S212" s="344"/>
      <c r="T212" s="344"/>
      <c r="U212" s="344"/>
      <c r="V212" s="344"/>
      <c r="W212" s="344"/>
      <c r="X212" s="344"/>
      <c r="Y212" s="344"/>
      <c r="Z212" s="344"/>
      <c r="AA212" s="344"/>
      <c r="AB212" s="344"/>
      <c r="AC212" s="344"/>
    </row>
    <row r="213" ht="24.75" customHeight="1">
      <c r="A213" s="344"/>
      <c r="B213" s="346"/>
      <c r="C213" s="344"/>
      <c r="D213" s="344"/>
      <c r="E213" s="344"/>
      <c r="F213" s="344"/>
      <c r="G213" s="344"/>
      <c r="H213" s="344"/>
      <c r="I213" s="344"/>
      <c r="J213" s="344"/>
      <c r="K213" s="344"/>
      <c r="L213" s="344"/>
      <c r="M213" s="344"/>
      <c r="N213" s="344"/>
      <c r="O213" s="344"/>
      <c r="P213" s="346"/>
      <c r="Q213" s="344"/>
      <c r="R213" s="344"/>
      <c r="S213" s="344"/>
      <c r="T213" s="344"/>
      <c r="U213" s="344"/>
      <c r="V213" s="344"/>
      <c r="W213" s="344"/>
      <c r="X213" s="344"/>
      <c r="Y213" s="344"/>
      <c r="Z213" s="344"/>
      <c r="AA213" s="344"/>
      <c r="AB213" s="344"/>
      <c r="AC213" s="344"/>
    </row>
    <row r="214" ht="24.75" customHeight="1">
      <c r="A214" s="344"/>
      <c r="B214" s="346"/>
      <c r="C214" s="344"/>
      <c r="D214" s="344"/>
      <c r="E214" s="344"/>
      <c r="F214" s="344"/>
      <c r="G214" s="344"/>
      <c r="H214" s="344"/>
      <c r="I214" s="344"/>
      <c r="J214" s="344"/>
      <c r="K214" s="344"/>
      <c r="L214" s="344"/>
      <c r="M214" s="344"/>
      <c r="N214" s="344"/>
      <c r="O214" s="344"/>
      <c r="P214" s="346"/>
      <c r="Q214" s="344"/>
      <c r="R214" s="344"/>
      <c r="S214" s="344"/>
      <c r="T214" s="344"/>
      <c r="U214" s="344"/>
      <c r="V214" s="344"/>
      <c r="W214" s="344"/>
      <c r="X214" s="344"/>
      <c r="Y214" s="344"/>
      <c r="Z214" s="344"/>
      <c r="AA214" s="344"/>
      <c r="AB214" s="344"/>
      <c r="AC214" s="344"/>
    </row>
    <row r="215" ht="24.75" customHeight="1">
      <c r="A215" s="344"/>
      <c r="B215" s="346"/>
      <c r="C215" s="344"/>
      <c r="D215" s="344"/>
      <c r="E215" s="344"/>
      <c r="F215" s="344"/>
      <c r="G215" s="344"/>
      <c r="H215" s="344"/>
      <c r="I215" s="344"/>
      <c r="J215" s="344"/>
      <c r="K215" s="344"/>
      <c r="L215" s="344"/>
      <c r="M215" s="344"/>
      <c r="N215" s="344"/>
      <c r="O215" s="344"/>
      <c r="P215" s="346"/>
      <c r="Q215" s="344"/>
      <c r="R215" s="344"/>
      <c r="S215" s="344"/>
      <c r="T215" s="344"/>
      <c r="U215" s="344"/>
      <c r="V215" s="344"/>
      <c r="W215" s="344"/>
      <c r="X215" s="344"/>
      <c r="Y215" s="344"/>
      <c r="Z215" s="344"/>
      <c r="AA215" s="344"/>
      <c r="AB215" s="344"/>
      <c r="AC215" s="344"/>
    </row>
    <row r="216" ht="24.75" customHeight="1">
      <c r="A216" s="344"/>
      <c r="B216" s="346"/>
      <c r="C216" s="344"/>
      <c r="D216" s="344"/>
      <c r="E216" s="344"/>
      <c r="F216" s="344"/>
      <c r="G216" s="344"/>
      <c r="H216" s="344"/>
      <c r="I216" s="344"/>
      <c r="J216" s="344"/>
      <c r="K216" s="344"/>
      <c r="L216" s="344"/>
      <c r="M216" s="344"/>
      <c r="N216" s="344"/>
      <c r="O216" s="344"/>
      <c r="P216" s="346"/>
      <c r="Q216" s="344"/>
      <c r="R216" s="344"/>
      <c r="S216" s="344"/>
      <c r="T216" s="344"/>
      <c r="U216" s="344"/>
      <c r="V216" s="344"/>
      <c r="W216" s="344"/>
      <c r="X216" s="344"/>
      <c r="Y216" s="344"/>
      <c r="Z216" s="344"/>
      <c r="AA216" s="344"/>
      <c r="AB216" s="344"/>
      <c r="AC216" s="344"/>
    </row>
    <row r="217" ht="24.75" customHeight="1">
      <c r="A217" s="344"/>
      <c r="B217" s="346"/>
      <c r="C217" s="344"/>
      <c r="D217" s="344"/>
      <c r="E217" s="344"/>
      <c r="F217" s="344"/>
      <c r="G217" s="344"/>
      <c r="H217" s="344"/>
      <c r="I217" s="344"/>
      <c r="J217" s="344"/>
      <c r="K217" s="344"/>
      <c r="L217" s="344"/>
      <c r="M217" s="344"/>
      <c r="N217" s="344"/>
      <c r="O217" s="344"/>
      <c r="P217" s="346"/>
      <c r="Q217" s="344"/>
      <c r="R217" s="344"/>
      <c r="S217" s="344"/>
      <c r="T217" s="344"/>
      <c r="U217" s="344"/>
      <c r="V217" s="344"/>
      <c r="W217" s="344"/>
      <c r="X217" s="344"/>
      <c r="Y217" s="344"/>
      <c r="Z217" s="344"/>
      <c r="AA217" s="344"/>
      <c r="AB217" s="344"/>
      <c r="AC217" s="344"/>
    </row>
    <row r="218" ht="24.75" customHeight="1">
      <c r="A218" s="344"/>
      <c r="B218" s="346"/>
      <c r="C218" s="344"/>
      <c r="D218" s="344"/>
      <c r="E218" s="344"/>
      <c r="F218" s="344"/>
      <c r="G218" s="344"/>
      <c r="H218" s="344"/>
      <c r="I218" s="344"/>
      <c r="J218" s="344"/>
      <c r="K218" s="344"/>
      <c r="L218" s="344"/>
      <c r="M218" s="344"/>
      <c r="N218" s="344"/>
      <c r="O218" s="344"/>
      <c r="P218" s="346"/>
      <c r="Q218" s="344"/>
      <c r="R218" s="344"/>
      <c r="S218" s="344"/>
      <c r="T218" s="344"/>
      <c r="U218" s="344"/>
      <c r="V218" s="344"/>
      <c r="W218" s="344"/>
      <c r="X218" s="344"/>
      <c r="Y218" s="344"/>
      <c r="Z218" s="344"/>
      <c r="AA218" s="344"/>
      <c r="AB218" s="344"/>
      <c r="AC218" s="344"/>
    </row>
    <row r="219" ht="24.75" customHeight="1">
      <c r="A219" s="344"/>
      <c r="B219" s="346"/>
      <c r="C219" s="344"/>
      <c r="D219" s="344"/>
      <c r="E219" s="344"/>
      <c r="F219" s="344"/>
      <c r="G219" s="344"/>
      <c r="H219" s="344"/>
      <c r="I219" s="344"/>
      <c r="J219" s="344"/>
      <c r="K219" s="344"/>
      <c r="L219" s="344"/>
      <c r="M219" s="344"/>
      <c r="N219" s="344"/>
      <c r="O219" s="344"/>
      <c r="P219" s="346"/>
      <c r="Q219" s="344"/>
      <c r="R219" s="344"/>
      <c r="S219" s="344"/>
      <c r="T219" s="344"/>
      <c r="U219" s="344"/>
      <c r="V219" s="344"/>
      <c r="W219" s="344"/>
      <c r="X219" s="344"/>
      <c r="Y219" s="344"/>
      <c r="Z219" s="344"/>
      <c r="AA219" s="344"/>
      <c r="AB219" s="344"/>
      <c r="AC219" s="344"/>
    </row>
    <row r="220" ht="24.75" customHeight="1">
      <c r="A220" s="344"/>
      <c r="B220" s="346"/>
      <c r="C220" s="344"/>
      <c r="D220" s="344"/>
      <c r="E220" s="344"/>
      <c r="F220" s="344"/>
      <c r="G220" s="344"/>
      <c r="H220" s="344"/>
      <c r="I220" s="344"/>
      <c r="J220" s="344"/>
      <c r="K220" s="344"/>
      <c r="L220" s="344"/>
      <c r="M220" s="344"/>
      <c r="N220" s="344"/>
      <c r="O220" s="344"/>
      <c r="P220" s="346"/>
      <c r="Q220" s="344"/>
      <c r="R220" s="344"/>
      <c r="S220" s="344"/>
      <c r="T220" s="344"/>
      <c r="U220" s="344"/>
      <c r="V220" s="344"/>
      <c r="W220" s="344"/>
      <c r="X220" s="344"/>
      <c r="Y220" s="344"/>
      <c r="Z220" s="344"/>
      <c r="AA220" s="344"/>
      <c r="AB220" s="344"/>
      <c r="AC220" s="344"/>
    </row>
    <row r="221" ht="24.75" customHeight="1">
      <c r="A221" s="344"/>
      <c r="B221" s="346"/>
      <c r="C221" s="344"/>
      <c r="D221" s="344"/>
      <c r="E221" s="344"/>
      <c r="F221" s="344"/>
      <c r="G221" s="344"/>
      <c r="H221" s="344"/>
      <c r="I221" s="344"/>
      <c r="J221" s="344"/>
      <c r="K221" s="344"/>
      <c r="L221" s="344"/>
      <c r="M221" s="344"/>
      <c r="N221" s="344"/>
      <c r="O221" s="344"/>
      <c r="P221" s="346"/>
      <c r="Q221" s="344"/>
      <c r="R221" s="344"/>
      <c r="S221" s="344"/>
      <c r="T221" s="344"/>
      <c r="U221" s="344"/>
      <c r="V221" s="344"/>
      <c r="W221" s="344"/>
      <c r="X221" s="344"/>
      <c r="Y221" s="344"/>
      <c r="Z221" s="344"/>
      <c r="AA221" s="344"/>
      <c r="AB221" s="344"/>
      <c r="AC221" s="344"/>
    </row>
    <row r="222" ht="24.75" customHeight="1">
      <c r="A222" s="344"/>
      <c r="B222" s="346"/>
      <c r="C222" s="344"/>
      <c r="D222" s="344"/>
      <c r="E222" s="344"/>
      <c r="F222" s="344"/>
      <c r="G222" s="344"/>
      <c r="H222" s="344"/>
      <c r="I222" s="344"/>
      <c r="J222" s="344"/>
      <c r="K222" s="344"/>
      <c r="L222" s="344"/>
      <c r="M222" s="344"/>
      <c r="N222" s="344"/>
      <c r="O222" s="344"/>
      <c r="P222" s="346"/>
      <c r="Q222" s="344"/>
      <c r="R222" s="344"/>
      <c r="S222" s="344"/>
      <c r="T222" s="344"/>
      <c r="U222" s="344"/>
      <c r="V222" s="344"/>
      <c r="W222" s="344"/>
      <c r="X222" s="344"/>
      <c r="Y222" s="344"/>
      <c r="Z222" s="344"/>
      <c r="AA222" s="344"/>
      <c r="AB222" s="344"/>
      <c r="AC222" s="344"/>
    </row>
    <row r="223" ht="24.75" customHeight="1">
      <c r="A223" s="344"/>
      <c r="B223" s="346"/>
      <c r="C223" s="344"/>
      <c r="D223" s="344"/>
      <c r="E223" s="344"/>
      <c r="F223" s="344"/>
      <c r="G223" s="344"/>
      <c r="H223" s="344"/>
      <c r="I223" s="344"/>
      <c r="J223" s="344"/>
      <c r="K223" s="344"/>
      <c r="L223" s="344"/>
      <c r="M223" s="344"/>
      <c r="N223" s="344"/>
      <c r="O223" s="344"/>
      <c r="P223" s="346"/>
      <c r="Q223" s="344"/>
      <c r="R223" s="344"/>
      <c r="S223" s="344"/>
      <c r="T223" s="344"/>
      <c r="U223" s="344"/>
      <c r="V223" s="344"/>
      <c r="W223" s="344"/>
      <c r="X223" s="344"/>
      <c r="Y223" s="344"/>
      <c r="Z223" s="344"/>
      <c r="AA223" s="344"/>
      <c r="AB223" s="344"/>
      <c r="AC223" s="344"/>
    </row>
    <row r="224" ht="24.75" customHeight="1">
      <c r="A224" s="344"/>
      <c r="B224" s="346"/>
      <c r="C224" s="344"/>
      <c r="D224" s="344"/>
      <c r="E224" s="344"/>
      <c r="F224" s="344"/>
      <c r="G224" s="344"/>
      <c r="H224" s="344"/>
      <c r="I224" s="344"/>
      <c r="J224" s="344"/>
      <c r="K224" s="344"/>
      <c r="L224" s="344"/>
      <c r="M224" s="344"/>
      <c r="N224" s="344"/>
      <c r="O224" s="344"/>
      <c r="P224" s="346"/>
      <c r="Q224" s="344"/>
      <c r="R224" s="344"/>
      <c r="S224" s="344"/>
      <c r="T224" s="344"/>
      <c r="U224" s="344"/>
      <c r="V224" s="344"/>
      <c r="W224" s="344"/>
      <c r="X224" s="344"/>
      <c r="Y224" s="344"/>
      <c r="Z224" s="344"/>
      <c r="AA224" s="344"/>
      <c r="AB224" s="344"/>
      <c r="AC224" s="344"/>
    </row>
    <row r="225" ht="24.75" customHeight="1">
      <c r="A225" s="344"/>
      <c r="B225" s="346"/>
      <c r="C225" s="344"/>
      <c r="D225" s="344"/>
      <c r="E225" s="344"/>
      <c r="F225" s="344"/>
      <c r="G225" s="344"/>
      <c r="H225" s="344"/>
      <c r="I225" s="344"/>
      <c r="J225" s="344"/>
      <c r="K225" s="344"/>
      <c r="L225" s="344"/>
      <c r="M225" s="344"/>
      <c r="N225" s="344"/>
      <c r="O225" s="344"/>
      <c r="P225" s="346"/>
      <c r="Q225" s="344"/>
      <c r="R225" s="344"/>
      <c r="S225" s="344"/>
      <c r="T225" s="344"/>
      <c r="U225" s="344"/>
      <c r="V225" s="344"/>
      <c r="W225" s="344"/>
      <c r="X225" s="344"/>
      <c r="Y225" s="344"/>
      <c r="Z225" s="344"/>
      <c r="AA225" s="344"/>
      <c r="AB225" s="344"/>
      <c r="AC225" s="344"/>
    </row>
    <row r="226" ht="24.75" customHeight="1">
      <c r="A226" s="344"/>
      <c r="B226" s="346"/>
      <c r="C226" s="344"/>
      <c r="D226" s="344"/>
      <c r="E226" s="344"/>
      <c r="F226" s="344"/>
      <c r="G226" s="344"/>
      <c r="H226" s="344"/>
      <c r="I226" s="344"/>
      <c r="J226" s="344"/>
      <c r="K226" s="344"/>
      <c r="L226" s="344"/>
      <c r="M226" s="344"/>
      <c r="N226" s="344"/>
      <c r="O226" s="344"/>
      <c r="P226" s="346"/>
      <c r="Q226" s="344"/>
      <c r="R226" s="344"/>
      <c r="S226" s="344"/>
      <c r="T226" s="344"/>
      <c r="U226" s="344"/>
      <c r="V226" s="344"/>
      <c r="W226" s="344"/>
      <c r="X226" s="344"/>
      <c r="Y226" s="344"/>
      <c r="Z226" s="344"/>
      <c r="AA226" s="344"/>
      <c r="AB226" s="344"/>
      <c r="AC226" s="344"/>
    </row>
    <row r="227" ht="24.75" customHeight="1">
      <c r="A227" s="344"/>
      <c r="B227" s="346"/>
      <c r="C227" s="344"/>
      <c r="D227" s="344"/>
      <c r="E227" s="344"/>
      <c r="F227" s="344"/>
      <c r="G227" s="344"/>
      <c r="H227" s="344"/>
      <c r="I227" s="344"/>
      <c r="J227" s="344"/>
      <c r="K227" s="344"/>
      <c r="L227" s="344"/>
      <c r="M227" s="344"/>
      <c r="N227" s="344"/>
      <c r="O227" s="344"/>
      <c r="P227" s="346"/>
      <c r="Q227" s="344"/>
      <c r="R227" s="344"/>
      <c r="S227" s="344"/>
      <c r="T227" s="344"/>
      <c r="U227" s="344"/>
      <c r="V227" s="344"/>
      <c r="W227" s="344"/>
      <c r="X227" s="344"/>
      <c r="Y227" s="344"/>
      <c r="Z227" s="344"/>
      <c r="AA227" s="344"/>
      <c r="AB227" s="344"/>
      <c r="AC227" s="344"/>
    </row>
    <row r="228" ht="24.75" customHeight="1">
      <c r="A228" s="344"/>
      <c r="B228" s="346"/>
      <c r="C228" s="344"/>
      <c r="D228" s="344"/>
      <c r="E228" s="344"/>
      <c r="F228" s="344"/>
      <c r="G228" s="344"/>
      <c r="H228" s="344"/>
      <c r="I228" s="344"/>
      <c r="J228" s="344"/>
      <c r="K228" s="344"/>
      <c r="L228" s="344"/>
      <c r="M228" s="344"/>
      <c r="N228" s="344"/>
      <c r="O228" s="344"/>
      <c r="P228" s="346"/>
      <c r="Q228" s="344"/>
      <c r="R228" s="344"/>
      <c r="S228" s="344"/>
      <c r="T228" s="344"/>
      <c r="U228" s="344"/>
      <c r="V228" s="344"/>
      <c r="W228" s="344"/>
      <c r="X228" s="344"/>
      <c r="Y228" s="344"/>
      <c r="Z228" s="344"/>
      <c r="AA228" s="344"/>
      <c r="AB228" s="344"/>
      <c r="AC228" s="344"/>
    </row>
    <row r="229" ht="24.75" customHeight="1">
      <c r="A229" s="344"/>
      <c r="B229" s="346"/>
      <c r="C229" s="344"/>
      <c r="D229" s="344"/>
      <c r="E229" s="344"/>
      <c r="F229" s="344"/>
      <c r="G229" s="344"/>
      <c r="H229" s="344"/>
      <c r="I229" s="344"/>
      <c r="J229" s="344"/>
      <c r="K229" s="344"/>
      <c r="L229" s="344"/>
      <c r="M229" s="344"/>
      <c r="N229" s="344"/>
      <c r="O229" s="344"/>
      <c r="P229" s="346"/>
      <c r="Q229" s="344"/>
      <c r="R229" s="344"/>
      <c r="S229" s="344"/>
      <c r="T229" s="344"/>
      <c r="U229" s="344"/>
      <c r="V229" s="344"/>
      <c r="W229" s="344"/>
      <c r="X229" s="344"/>
      <c r="Y229" s="344"/>
      <c r="Z229" s="344"/>
      <c r="AA229" s="344"/>
      <c r="AB229" s="344"/>
      <c r="AC229" s="344"/>
    </row>
    <row r="230" ht="24.75" customHeight="1">
      <c r="A230" s="344"/>
      <c r="B230" s="346"/>
      <c r="C230" s="344"/>
      <c r="D230" s="344"/>
      <c r="E230" s="344"/>
      <c r="F230" s="344"/>
      <c r="G230" s="344"/>
      <c r="H230" s="344"/>
      <c r="I230" s="344"/>
      <c r="J230" s="344"/>
      <c r="K230" s="344"/>
      <c r="L230" s="344"/>
      <c r="M230" s="344"/>
      <c r="N230" s="344"/>
      <c r="O230" s="344"/>
      <c r="P230" s="346"/>
      <c r="Q230" s="344"/>
      <c r="R230" s="344"/>
      <c r="S230" s="344"/>
      <c r="T230" s="344"/>
      <c r="U230" s="344"/>
      <c r="V230" s="344"/>
      <c r="W230" s="344"/>
      <c r="X230" s="344"/>
      <c r="Y230" s="344"/>
      <c r="Z230" s="344"/>
      <c r="AA230" s="344"/>
      <c r="AB230" s="344"/>
      <c r="AC230" s="344"/>
    </row>
    <row r="231" ht="24.75" customHeight="1">
      <c r="A231" s="344"/>
      <c r="B231" s="346"/>
      <c r="C231" s="344"/>
      <c r="D231" s="344"/>
      <c r="E231" s="344"/>
      <c r="F231" s="344"/>
      <c r="G231" s="344"/>
      <c r="H231" s="344"/>
      <c r="I231" s="344"/>
      <c r="J231" s="344"/>
      <c r="K231" s="344"/>
      <c r="L231" s="344"/>
      <c r="M231" s="344"/>
      <c r="N231" s="344"/>
      <c r="O231" s="344"/>
      <c r="P231" s="346"/>
      <c r="Q231" s="344"/>
      <c r="R231" s="344"/>
      <c r="S231" s="344"/>
      <c r="T231" s="344"/>
      <c r="U231" s="344"/>
      <c r="V231" s="344"/>
      <c r="W231" s="344"/>
      <c r="X231" s="344"/>
      <c r="Y231" s="344"/>
      <c r="Z231" s="344"/>
      <c r="AA231" s="344"/>
      <c r="AB231" s="344"/>
      <c r="AC231" s="344"/>
    </row>
    <row r="232" ht="24.75" customHeight="1">
      <c r="A232" s="344"/>
      <c r="B232" s="346"/>
      <c r="C232" s="344"/>
      <c r="D232" s="344"/>
      <c r="E232" s="344"/>
      <c r="F232" s="344"/>
      <c r="G232" s="344"/>
      <c r="H232" s="344"/>
      <c r="I232" s="344"/>
      <c r="J232" s="344"/>
      <c r="K232" s="344"/>
      <c r="L232" s="344"/>
      <c r="M232" s="344"/>
      <c r="N232" s="344"/>
      <c r="O232" s="344"/>
      <c r="P232" s="346"/>
      <c r="Q232" s="344"/>
      <c r="R232" s="344"/>
      <c r="S232" s="344"/>
      <c r="T232" s="344"/>
      <c r="U232" s="344"/>
      <c r="V232" s="344"/>
      <c r="W232" s="344"/>
      <c r="X232" s="344"/>
      <c r="Y232" s="344"/>
      <c r="Z232" s="344"/>
      <c r="AA232" s="344"/>
      <c r="AB232" s="344"/>
      <c r="AC232" s="344"/>
    </row>
    <row r="233" ht="24.75" customHeight="1">
      <c r="A233" s="344"/>
      <c r="B233" s="346"/>
      <c r="C233" s="344"/>
      <c r="D233" s="344"/>
      <c r="E233" s="344"/>
      <c r="F233" s="344"/>
      <c r="G233" s="344"/>
      <c r="H233" s="344"/>
      <c r="I233" s="344"/>
      <c r="J233" s="344"/>
      <c r="K233" s="344"/>
      <c r="L233" s="344"/>
      <c r="M233" s="344"/>
      <c r="N233" s="344"/>
      <c r="O233" s="344"/>
      <c r="P233" s="346"/>
      <c r="Q233" s="344"/>
      <c r="R233" s="344"/>
      <c r="S233" s="344"/>
      <c r="T233" s="344"/>
      <c r="U233" s="344"/>
      <c r="V233" s="344"/>
      <c r="W233" s="344"/>
      <c r="X233" s="344"/>
      <c r="Y233" s="344"/>
      <c r="Z233" s="344"/>
      <c r="AA233" s="344"/>
      <c r="AB233" s="344"/>
      <c r="AC233" s="344"/>
    </row>
    <row r="234" ht="24.75" customHeight="1">
      <c r="A234" s="344"/>
      <c r="B234" s="346"/>
      <c r="C234" s="344"/>
      <c r="D234" s="344"/>
      <c r="E234" s="344"/>
      <c r="F234" s="344"/>
      <c r="G234" s="344"/>
      <c r="H234" s="344"/>
      <c r="I234" s="344"/>
      <c r="J234" s="344"/>
      <c r="K234" s="344"/>
      <c r="L234" s="344"/>
      <c r="M234" s="344"/>
      <c r="N234" s="344"/>
      <c r="O234" s="344"/>
      <c r="P234" s="346"/>
      <c r="Q234" s="344"/>
      <c r="R234" s="344"/>
      <c r="S234" s="344"/>
      <c r="T234" s="344"/>
      <c r="U234" s="344"/>
      <c r="V234" s="344"/>
      <c r="W234" s="344"/>
      <c r="X234" s="344"/>
      <c r="Y234" s="344"/>
      <c r="Z234" s="344"/>
      <c r="AA234" s="344"/>
      <c r="AB234" s="344"/>
      <c r="AC234" s="344"/>
    </row>
    <row r="235" ht="24.75" customHeight="1">
      <c r="A235" s="344"/>
      <c r="B235" s="346"/>
      <c r="C235" s="344"/>
      <c r="D235" s="344"/>
      <c r="E235" s="344"/>
      <c r="F235" s="344"/>
      <c r="G235" s="344"/>
      <c r="H235" s="344"/>
      <c r="I235" s="344"/>
      <c r="J235" s="344"/>
      <c r="K235" s="344"/>
      <c r="L235" s="344"/>
      <c r="M235" s="344"/>
      <c r="N235" s="344"/>
      <c r="O235" s="344"/>
      <c r="P235" s="346"/>
      <c r="Q235" s="344"/>
      <c r="R235" s="344"/>
      <c r="S235" s="344"/>
      <c r="T235" s="344"/>
      <c r="U235" s="344"/>
      <c r="V235" s="344"/>
      <c r="W235" s="344"/>
      <c r="X235" s="344"/>
      <c r="Y235" s="344"/>
      <c r="Z235" s="344"/>
      <c r="AA235" s="344"/>
      <c r="AB235" s="344"/>
      <c r="AC235" s="344"/>
    </row>
    <row r="236" ht="24.75" customHeight="1">
      <c r="A236" s="344"/>
      <c r="B236" s="346"/>
      <c r="C236" s="344"/>
      <c r="D236" s="344"/>
      <c r="E236" s="344"/>
      <c r="F236" s="344"/>
      <c r="G236" s="344"/>
      <c r="H236" s="344"/>
      <c r="I236" s="344"/>
      <c r="J236" s="344"/>
      <c r="K236" s="344"/>
      <c r="L236" s="344"/>
      <c r="M236" s="344"/>
      <c r="N236" s="344"/>
      <c r="O236" s="344"/>
      <c r="P236" s="346"/>
      <c r="Q236" s="344"/>
      <c r="R236" s="344"/>
      <c r="S236" s="344"/>
      <c r="T236" s="344"/>
      <c r="U236" s="344"/>
      <c r="V236" s="344"/>
      <c r="W236" s="344"/>
      <c r="X236" s="344"/>
      <c r="Y236" s="344"/>
      <c r="Z236" s="344"/>
      <c r="AA236" s="344"/>
      <c r="AB236" s="344"/>
      <c r="AC236" s="344"/>
    </row>
    <row r="237" ht="24.75" customHeight="1">
      <c r="A237" s="344"/>
      <c r="B237" s="346"/>
      <c r="C237" s="344"/>
      <c r="D237" s="344"/>
      <c r="E237" s="344"/>
      <c r="F237" s="344"/>
      <c r="G237" s="344"/>
      <c r="H237" s="344"/>
      <c r="I237" s="344"/>
      <c r="J237" s="344"/>
      <c r="K237" s="344"/>
      <c r="L237" s="344"/>
      <c r="M237" s="344"/>
      <c r="N237" s="344"/>
      <c r="O237" s="344"/>
      <c r="P237" s="346"/>
      <c r="Q237" s="344"/>
      <c r="R237" s="344"/>
      <c r="S237" s="344"/>
      <c r="T237" s="344"/>
      <c r="U237" s="344"/>
      <c r="V237" s="344"/>
      <c r="W237" s="344"/>
      <c r="X237" s="344"/>
      <c r="Y237" s="344"/>
      <c r="Z237" s="344"/>
      <c r="AA237" s="344"/>
      <c r="AB237" s="344"/>
      <c r="AC237" s="344"/>
    </row>
    <row r="238" ht="24.75" customHeight="1">
      <c r="A238" s="344"/>
      <c r="B238" s="346"/>
      <c r="C238" s="344"/>
      <c r="D238" s="344"/>
      <c r="E238" s="344"/>
      <c r="F238" s="344"/>
      <c r="G238" s="344"/>
      <c r="H238" s="344"/>
      <c r="I238" s="344"/>
      <c r="J238" s="344"/>
      <c r="K238" s="344"/>
      <c r="L238" s="344"/>
      <c r="M238" s="344"/>
      <c r="N238" s="344"/>
      <c r="O238" s="344"/>
      <c r="P238" s="346"/>
      <c r="Q238" s="344"/>
      <c r="R238" s="344"/>
      <c r="S238" s="344"/>
      <c r="T238" s="344"/>
      <c r="U238" s="344"/>
      <c r="V238" s="344"/>
      <c r="W238" s="344"/>
      <c r="X238" s="344"/>
      <c r="Y238" s="344"/>
      <c r="Z238" s="344"/>
      <c r="AA238" s="344"/>
      <c r="AB238" s="344"/>
      <c r="AC238" s="344"/>
    </row>
    <row r="239" ht="24.75" customHeight="1">
      <c r="A239" s="344"/>
      <c r="B239" s="346"/>
      <c r="C239" s="344"/>
      <c r="D239" s="344"/>
      <c r="E239" s="344"/>
      <c r="F239" s="344"/>
      <c r="G239" s="344"/>
      <c r="H239" s="344"/>
      <c r="I239" s="344"/>
      <c r="J239" s="344"/>
      <c r="K239" s="344"/>
      <c r="L239" s="344"/>
      <c r="M239" s="344"/>
      <c r="N239" s="344"/>
      <c r="O239" s="344"/>
      <c r="P239" s="346"/>
      <c r="Q239" s="344"/>
      <c r="R239" s="344"/>
      <c r="S239" s="344"/>
      <c r="T239" s="344"/>
      <c r="U239" s="344"/>
      <c r="V239" s="344"/>
      <c r="W239" s="344"/>
      <c r="X239" s="344"/>
      <c r="Y239" s="344"/>
      <c r="Z239" s="344"/>
      <c r="AA239" s="344"/>
      <c r="AB239" s="344"/>
      <c r="AC239" s="344"/>
    </row>
    <row r="240" ht="24.75" customHeight="1">
      <c r="A240" s="344"/>
      <c r="B240" s="346"/>
      <c r="C240" s="344"/>
      <c r="D240" s="344"/>
      <c r="E240" s="344"/>
      <c r="F240" s="344"/>
      <c r="G240" s="344"/>
      <c r="H240" s="344"/>
      <c r="I240" s="344"/>
      <c r="J240" s="344"/>
      <c r="K240" s="344"/>
      <c r="L240" s="344"/>
      <c r="M240" s="344"/>
      <c r="N240" s="344"/>
      <c r="O240" s="344"/>
      <c r="P240" s="346"/>
      <c r="Q240" s="344"/>
      <c r="R240" s="344"/>
      <c r="S240" s="344"/>
      <c r="T240" s="344"/>
      <c r="U240" s="344"/>
      <c r="V240" s="344"/>
      <c r="W240" s="344"/>
      <c r="X240" s="344"/>
      <c r="Y240" s="344"/>
      <c r="Z240" s="344"/>
      <c r="AA240" s="344"/>
      <c r="AB240" s="344"/>
      <c r="AC240" s="344"/>
    </row>
    <row r="241" ht="24.75" customHeight="1">
      <c r="A241" s="344"/>
      <c r="B241" s="346"/>
      <c r="C241" s="344"/>
      <c r="D241" s="344"/>
      <c r="E241" s="344"/>
      <c r="F241" s="344"/>
      <c r="G241" s="344"/>
      <c r="H241" s="344"/>
      <c r="I241" s="344"/>
      <c r="J241" s="344"/>
      <c r="K241" s="344"/>
      <c r="L241" s="344"/>
      <c r="M241" s="344"/>
      <c r="N241" s="344"/>
      <c r="O241" s="344"/>
      <c r="P241" s="346"/>
      <c r="Q241" s="344"/>
      <c r="R241" s="344"/>
      <c r="S241" s="344"/>
      <c r="T241" s="344"/>
      <c r="U241" s="344"/>
      <c r="V241" s="344"/>
      <c r="W241" s="344"/>
      <c r="X241" s="344"/>
      <c r="Y241" s="344"/>
      <c r="Z241" s="344"/>
      <c r="AA241" s="344"/>
      <c r="AB241" s="344"/>
      <c r="AC241" s="344"/>
    </row>
    <row r="242" ht="24.75" customHeight="1">
      <c r="A242" s="344"/>
      <c r="B242" s="346"/>
      <c r="C242" s="344"/>
      <c r="D242" s="344"/>
      <c r="E242" s="344"/>
      <c r="F242" s="344"/>
      <c r="G242" s="344"/>
      <c r="H242" s="344"/>
      <c r="I242" s="344"/>
      <c r="J242" s="344"/>
      <c r="K242" s="344"/>
      <c r="L242" s="344"/>
      <c r="M242" s="344"/>
      <c r="N242" s="344"/>
      <c r="O242" s="344"/>
      <c r="P242" s="346"/>
      <c r="Q242" s="344"/>
      <c r="R242" s="344"/>
      <c r="S242" s="344"/>
      <c r="T242" s="344"/>
      <c r="U242" s="344"/>
      <c r="V242" s="344"/>
      <c r="W242" s="344"/>
      <c r="X242" s="344"/>
      <c r="Y242" s="344"/>
      <c r="Z242" s="344"/>
      <c r="AA242" s="344"/>
      <c r="AB242" s="344"/>
      <c r="AC242" s="344"/>
    </row>
    <row r="243" ht="24.75" customHeight="1">
      <c r="A243" s="344"/>
      <c r="B243" s="346"/>
      <c r="C243" s="344"/>
      <c r="D243" s="344"/>
      <c r="E243" s="344"/>
      <c r="F243" s="344"/>
      <c r="G243" s="344"/>
      <c r="H243" s="344"/>
      <c r="I243" s="344"/>
      <c r="J243" s="344"/>
      <c r="K243" s="344"/>
      <c r="L243" s="344"/>
      <c r="M243" s="344"/>
      <c r="N243" s="344"/>
      <c r="O243" s="344"/>
      <c r="P243" s="346"/>
      <c r="Q243" s="344"/>
      <c r="R243" s="344"/>
      <c r="S243" s="344"/>
      <c r="T243" s="344"/>
      <c r="U243" s="344"/>
      <c r="V243" s="344"/>
      <c r="W243" s="344"/>
      <c r="X243" s="344"/>
      <c r="Y243" s="344"/>
      <c r="Z243" s="344"/>
      <c r="AA243" s="344"/>
      <c r="AB243" s="344"/>
      <c r="AC243" s="344"/>
    </row>
    <row r="244" ht="24.75" customHeight="1">
      <c r="A244" s="344"/>
      <c r="B244" s="346"/>
      <c r="C244" s="344"/>
      <c r="D244" s="344"/>
      <c r="E244" s="344"/>
      <c r="F244" s="344"/>
      <c r="G244" s="344"/>
      <c r="H244" s="344"/>
      <c r="I244" s="344"/>
      <c r="J244" s="344"/>
      <c r="K244" s="344"/>
      <c r="L244" s="344"/>
      <c r="M244" s="344"/>
      <c r="N244" s="344"/>
      <c r="O244" s="344"/>
      <c r="P244" s="346"/>
      <c r="Q244" s="344"/>
      <c r="R244" s="344"/>
      <c r="S244" s="344"/>
      <c r="T244" s="344"/>
      <c r="U244" s="344"/>
      <c r="V244" s="344"/>
      <c r="W244" s="344"/>
      <c r="X244" s="344"/>
      <c r="Y244" s="344"/>
      <c r="Z244" s="344"/>
      <c r="AA244" s="344"/>
      <c r="AB244" s="344"/>
      <c r="AC244" s="344"/>
    </row>
    <row r="245" ht="24.75" customHeight="1">
      <c r="A245" s="344"/>
      <c r="B245" s="346"/>
      <c r="C245" s="344"/>
      <c r="D245" s="344"/>
      <c r="E245" s="344"/>
      <c r="F245" s="344"/>
      <c r="G245" s="344"/>
      <c r="H245" s="344"/>
      <c r="I245" s="344"/>
      <c r="J245" s="344"/>
      <c r="K245" s="344"/>
      <c r="L245" s="344"/>
      <c r="M245" s="344"/>
      <c r="N245" s="344"/>
      <c r="O245" s="344"/>
      <c r="P245" s="346"/>
      <c r="Q245" s="344"/>
      <c r="R245" s="344"/>
      <c r="S245" s="344"/>
      <c r="T245" s="344"/>
      <c r="U245" s="344"/>
      <c r="V245" s="344"/>
      <c r="W245" s="344"/>
      <c r="X245" s="344"/>
      <c r="Y245" s="344"/>
      <c r="Z245" s="344"/>
      <c r="AA245" s="344"/>
      <c r="AB245" s="344"/>
      <c r="AC245" s="344"/>
    </row>
    <row r="246" ht="24.75" customHeight="1">
      <c r="A246" s="344"/>
      <c r="B246" s="346"/>
      <c r="C246" s="344"/>
      <c r="D246" s="344"/>
      <c r="E246" s="344"/>
      <c r="F246" s="344"/>
      <c r="G246" s="344"/>
      <c r="H246" s="344"/>
      <c r="I246" s="344"/>
      <c r="J246" s="344"/>
      <c r="K246" s="344"/>
      <c r="L246" s="344"/>
      <c r="M246" s="344"/>
      <c r="N246" s="344"/>
      <c r="O246" s="344"/>
      <c r="P246" s="346"/>
      <c r="Q246" s="344"/>
      <c r="R246" s="344"/>
      <c r="S246" s="344"/>
      <c r="T246" s="344"/>
      <c r="U246" s="344"/>
      <c r="V246" s="344"/>
      <c r="W246" s="344"/>
      <c r="X246" s="344"/>
      <c r="Y246" s="344"/>
      <c r="Z246" s="344"/>
      <c r="AA246" s="344"/>
      <c r="AB246" s="344"/>
      <c r="AC246" s="344"/>
    </row>
    <row r="247" ht="24.75" customHeight="1">
      <c r="A247" s="344"/>
      <c r="B247" s="346"/>
      <c r="C247" s="344"/>
      <c r="D247" s="344"/>
      <c r="E247" s="344"/>
      <c r="F247" s="344"/>
      <c r="G247" s="344"/>
      <c r="H247" s="344"/>
      <c r="I247" s="344"/>
      <c r="J247" s="344"/>
      <c r="K247" s="344"/>
      <c r="L247" s="344"/>
      <c r="M247" s="344"/>
      <c r="N247" s="344"/>
      <c r="O247" s="344"/>
      <c r="P247" s="346"/>
      <c r="Q247" s="344"/>
      <c r="R247" s="344"/>
      <c r="S247" s="344"/>
      <c r="T247" s="344"/>
      <c r="U247" s="344"/>
      <c r="V247" s="344"/>
      <c r="W247" s="344"/>
      <c r="X247" s="344"/>
      <c r="Y247" s="344"/>
      <c r="Z247" s="344"/>
      <c r="AA247" s="344"/>
      <c r="AB247" s="344"/>
      <c r="AC247" s="344"/>
    </row>
    <row r="248" ht="24.75" customHeight="1">
      <c r="A248" s="344"/>
      <c r="B248" s="346"/>
      <c r="C248" s="344"/>
      <c r="D248" s="344"/>
      <c r="E248" s="344"/>
      <c r="F248" s="344"/>
      <c r="G248" s="344"/>
      <c r="H248" s="344"/>
      <c r="I248" s="344"/>
      <c r="J248" s="344"/>
      <c r="K248" s="344"/>
      <c r="L248" s="344"/>
      <c r="M248" s="344"/>
      <c r="N248" s="344"/>
      <c r="O248" s="344"/>
      <c r="P248" s="346"/>
      <c r="Q248" s="344"/>
      <c r="R248" s="344"/>
      <c r="S248" s="344"/>
      <c r="T248" s="344"/>
      <c r="U248" s="344"/>
      <c r="V248" s="344"/>
      <c r="W248" s="344"/>
      <c r="X248" s="344"/>
      <c r="Y248" s="344"/>
      <c r="Z248" s="344"/>
      <c r="AA248" s="344"/>
      <c r="AB248" s="344"/>
      <c r="AC248" s="344"/>
    </row>
    <row r="249" ht="24.75" customHeight="1">
      <c r="A249" s="344"/>
      <c r="B249" s="346"/>
      <c r="C249" s="344"/>
      <c r="D249" s="344"/>
      <c r="E249" s="344"/>
      <c r="F249" s="344"/>
      <c r="G249" s="344"/>
      <c r="H249" s="344"/>
      <c r="I249" s="344"/>
      <c r="J249" s="344"/>
      <c r="K249" s="344"/>
      <c r="L249" s="344"/>
      <c r="M249" s="344"/>
      <c r="N249" s="344"/>
      <c r="O249" s="344"/>
      <c r="P249" s="346"/>
      <c r="Q249" s="344"/>
      <c r="R249" s="344"/>
      <c r="S249" s="344"/>
      <c r="T249" s="344"/>
      <c r="U249" s="344"/>
      <c r="V249" s="344"/>
      <c r="W249" s="344"/>
      <c r="X249" s="344"/>
      <c r="Y249" s="344"/>
      <c r="Z249" s="344"/>
      <c r="AA249" s="344"/>
      <c r="AB249" s="344"/>
      <c r="AC249" s="344"/>
    </row>
    <row r="250" ht="24.75" customHeight="1">
      <c r="A250" s="344"/>
      <c r="B250" s="346"/>
      <c r="C250" s="344"/>
      <c r="D250" s="344"/>
      <c r="E250" s="344"/>
      <c r="F250" s="344"/>
      <c r="G250" s="344"/>
      <c r="H250" s="344"/>
      <c r="I250" s="344"/>
      <c r="J250" s="344"/>
      <c r="K250" s="344"/>
      <c r="L250" s="344"/>
      <c r="M250" s="344"/>
      <c r="N250" s="344"/>
      <c r="O250" s="344"/>
      <c r="P250" s="346"/>
      <c r="Q250" s="344"/>
      <c r="R250" s="344"/>
      <c r="S250" s="344"/>
      <c r="T250" s="344"/>
      <c r="U250" s="344"/>
      <c r="V250" s="344"/>
      <c r="W250" s="344"/>
      <c r="X250" s="344"/>
      <c r="Y250" s="344"/>
      <c r="Z250" s="344"/>
      <c r="AA250" s="344"/>
      <c r="AB250" s="344"/>
      <c r="AC250" s="344"/>
    </row>
    <row r="251" ht="24.75" customHeight="1">
      <c r="A251" s="344"/>
      <c r="B251" s="346"/>
      <c r="C251" s="344"/>
      <c r="D251" s="344"/>
      <c r="E251" s="344"/>
      <c r="F251" s="344"/>
      <c r="G251" s="344"/>
      <c r="H251" s="344"/>
      <c r="I251" s="344"/>
      <c r="J251" s="344"/>
      <c r="K251" s="344"/>
      <c r="L251" s="344"/>
      <c r="M251" s="344"/>
      <c r="N251" s="344"/>
      <c r="O251" s="344"/>
      <c r="P251" s="346"/>
      <c r="Q251" s="344"/>
      <c r="R251" s="344"/>
      <c r="S251" s="344"/>
      <c r="T251" s="344"/>
      <c r="U251" s="344"/>
      <c r="V251" s="344"/>
      <c r="W251" s="344"/>
      <c r="X251" s="344"/>
      <c r="Y251" s="344"/>
      <c r="Z251" s="344"/>
      <c r="AA251" s="344"/>
      <c r="AB251" s="344"/>
      <c r="AC251" s="344"/>
    </row>
    <row r="252" ht="24.75" customHeight="1">
      <c r="A252" s="344"/>
      <c r="B252" s="346"/>
      <c r="C252" s="344"/>
      <c r="D252" s="344"/>
      <c r="E252" s="344"/>
      <c r="F252" s="344"/>
      <c r="G252" s="344"/>
      <c r="H252" s="344"/>
      <c r="I252" s="344"/>
      <c r="J252" s="344"/>
      <c r="K252" s="344"/>
      <c r="L252" s="344"/>
      <c r="M252" s="344"/>
      <c r="N252" s="344"/>
      <c r="O252" s="344"/>
      <c r="P252" s="346"/>
      <c r="Q252" s="344"/>
      <c r="R252" s="344"/>
      <c r="S252" s="344"/>
      <c r="T252" s="344"/>
      <c r="U252" s="344"/>
      <c r="V252" s="344"/>
      <c r="W252" s="344"/>
      <c r="X252" s="344"/>
      <c r="Y252" s="344"/>
      <c r="Z252" s="344"/>
      <c r="AA252" s="344"/>
      <c r="AB252" s="344"/>
      <c r="AC252" s="344"/>
    </row>
    <row r="253" ht="24.75" customHeight="1">
      <c r="A253" s="344"/>
      <c r="B253" s="346"/>
      <c r="C253" s="344"/>
      <c r="D253" s="344"/>
      <c r="E253" s="344"/>
      <c r="F253" s="344"/>
      <c r="G253" s="344"/>
      <c r="H253" s="344"/>
      <c r="I253" s="344"/>
      <c r="J253" s="344"/>
      <c r="K253" s="344"/>
      <c r="L253" s="344"/>
      <c r="M253" s="344"/>
      <c r="N253" s="344"/>
      <c r="O253" s="344"/>
      <c r="P253" s="346"/>
      <c r="Q253" s="344"/>
      <c r="R253" s="344"/>
      <c r="S253" s="344"/>
      <c r="T253" s="344"/>
      <c r="U253" s="344"/>
      <c r="V253" s="344"/>
      <c r="W253" s="344"/>
      <c r="X253" s="344"/>
      <c r="Y253" s="344"/>
      <c r="Z253" s="344"/>
      <c r="AA253" s="344"/>
      <c r="AB253" s="344"/>
      <c r="AC253" s="344"/>
    </row>
    <row r="254" ht="24.75" customHeight="1">
      <c r="A254" s="344"/>
      <c r="B254" s="346"/>
      <c r="C254" s="344"/>
      <c r="D254" s="344"/>
      <c r="E254" s="344"/>
      <c r="F254" s="344"/>
      <c r="G254" s="344"/>
      <c r="H254" s="344"/>
      <c r="I254" s="344"/>
      <c r="J254" s="344"/>
      <c r="K254" s="344"/>
      <c r="L254" s="344"/>
      <c r="M254" s="344"/>
      <c r="N254" s="344"/>
      <c r="O254" s="344"/>
      <c r="P254" s="346"/>
      <c r="Q254" s="344"/>
      <c r="R254" s="344"/>
      <c r="S254" s="344"/>
      <c r="T254" s="344"/>
      <c r="U254" s="344"/>
      <c r="V254" s="344"/>
      <c r="W254" s="344"/>
      <c r="X254" s="344"/>
      <c r="Y254" s="344"/>
      <c r="Z254" s="344"/>
      <c r="AA254" s="344"/>
      <c r="AB254" s="344"/>
      <c r="AC254" s="344"/>
    </row>
    <row r="255" ht="24.75" customHeight="1">
      <c r="A255" s="344"/>
      <c r="B255" s="346"/>
      <c r="C255" s="344"/>
      <c r="D255" s="344"/>
      <c r="E255" s="344"/>
      <c r="F255" s="344"/>
      <c r="G255" s="344"/>
      <c r="H255" s="344"/>
      <c r="I255" s="344"/>
      <c r="J255" s="344"/>
      <c r="K255" s="344"/>
      <c r="L255" s="344"/>
      <c r="M255" s="344"/>
      <c r="N255" s="344"/>
      <c r="O255" s="344"/>
      <c r="P255" s="346"/>
      <c r="Q255" s="344"/>
      <c r="R255" s="344"/>
      <c r="S255" s="344"/>
      <c r="T255" s="344"/>
      <c r="U255" s="344"/>
      <c r="V255" s="344"/>
      <c r="W255" s="344"/>
      <c r="X255" s="344"/>
      <c r="Y255" s="344"/>
      <c r="Z255" s="344"/>
      <c r="AA255" s="344"/>
      <c r="AB255" s="344"/>
      <c r="AC255" s="344"/>
    </row>
    <row r="256" ht="24.75" customHeight="1">
      <c r="A256" s="344"/>
      <c r="B256" s="346"/>
      <c r="C256" s="344"/>
      <c r="D256" s="344"/>
      <c r="E256" s="344"/>
      <c r="F256" s="344"/>
      <c r="G256" s="344"/>
      <c r="H256" s="344"/>
      <c r="I256" s="344"/>
      <c r="J256" s="344"/>
      <c r="K256" s="344"/>
      <c r="L256" s="344"/>
      <c r="M256" s="344"/>
      <c r="N256" s="344"/>
      <c r="O256" s="344"/>
      <c r="P256" s="346"/>
      <c r="Q256" s="344"/>
      <c r="R256" s="344"/>
      <c r="S256" s="344"/>
      <c r="T256" s="344"/>
      <c r="U256" s="344"/>
      <c r="V256" s="344"/>
      <c r="W256" s="344"/>
      <c r="X256" s="344"/>
      <c r="Y256" s="344"/>
      <c r="Z256" s="344"/>
      <c r="AA256" s="344"/>
      <c r="AB256" s="344"/>
      <c r="AC256" s="344"/>
    </row>
    <row r="257" ht="24.75" customHeight="1">
      <c r="A257" s="344"/>
      <c r="B257" s="346"/>
      <c r="C257" s="344"/>
      <c r="D257" s="344"/>
      <c r="E257" s="344"/>
      <c r="F257" s="344"/>
      <c r="G257" s="344"/>
      <c r="H257" s="344"/>
      <c r="I257" s="344"/>
      <c r="J257" s="344"/>
      <c r="K257" s="344"/>
      <c r="L257" s="344"/>
      <c r="M257" s="344"/>
      <c r="N257" s="344"/>
      <c r="O257" s="344"/>
      <c r="P257" s="346"/>
      <c r="Q257" s="344"/>
      <c r="R257" s="344"/>
      <c r="S257" s="344"/>
      <c r="T257" s="344"/>
      <c r="U257" s="344"/>
      <c r="V257" s="344"/>
      <c r="W257" s="344"/>
      <c r="X257" s="344"/>
      <c r="Y257" s="344"/>
      <c r="Z257" s="344"/>
      <c r="AA257" s="344"/>
      <c r="AB257" s="344"/>
      <c r="AC257" s="344"/>
    </row>
    <row r="258" ht="24.75" customHeight="1">
      <c r="A258" s="344"/>
      <c r="B258" s="346"/>
      <c r="C258" s="344"/>
      <c r="D258" s="344"/>
      <c r="E258" s="344"/>
      <c r="F258" s="344"/>
      <c r="G258" s="344"/>
      <c r="H258" s="344"/>
      <c r="I258" s="344"/>
      <c r="J258" s="344"/>
      <c r="K258" s="344"/>
      <c r="L258" s="344"/>
      <c r="M258" s="344"/>
      <c r="N258" s="344"/>
      <c r="O258" s="344"/>
      <c r="P258" s="346"/>
      <c r="Q258" s="344"/>
      <c r="R258" s="344"/>
      <c r="S258" s="344"/>
      <c r="T258" s="344"/>
      <c r="U258" s="344"/>
      <c r="V258" s="344"/>
      <c r="W258" s="344"/>
      <c r="X258" s="344"/>
      <c r="Y258" s="344"/>
      <c r="Z258" s="344"/>
      <c r="AA258" s="344"/>
      <c r="AB258" s="344"/>
      <c r="AC258" s="344"/>
    </row>
    <row r="259" ht="24.75" customHeight="1">
      <c r="A259" s="344"/>
      <c r="B259" s="346"/>
      <c r="C259" s="344"/>
      <c r="D259" s="344"/>
      <c r="E259" s="344"/>
      <c r="F259" s="344"/>
      <c r="G259" s="344"/>
      <c r="H259" s="344"/>
      <c r="I259" s="344"/>
      <c r="J259" s="344"/>
      <c r="K259" s="344"/>
      <c r="L259" s="344"/>
      <c r="M259" s="344"/>
      <c r="N259" s="344"/>
      <c r="O259" s="344"/>
      <c r="P259" s="346"/>
      <c r="Q259" s="344"/>
      <c r="R259" s="344"/>
      <c r="S259" s="344"/>
      <c r="T259" s="344"/>
      <c r="U259" s="344"/>
      <c r="V259" s="344"/>
      <c r="W259" s="344"/>
      <c r="X259" s="344"/>
      <c r="Y259" s="344"/>
      <c r="Z259" s="344"/>
      <c r="AA259" s="344"/>
      <c r="AB259" s="344"/>
      <c r="AC259" s="344"/>
    </row>
    <row r="260" ht="24.75" customHeight="1">
      <c r="A260" s="344"/>
      <c r="B260" s="346"/>
      <c r="C260" s="344"/>
      <c r="D260" s="344"/>
      <c r="E260" s="344"/>
      <c r="F260" s="344"/>
      <c r="G260" s="344"/>
      <c r="H260" s="344"/>
      <c r="I260" s="344"/>
      <c r="J260" s="344"/>
      <c r="K260" s="344"/>
      <c r="L260" s="344"/>
      <c r="M260" s="344"/>
      <c r="N260" s="344"/>
      <c r="O260" s="344"/>
      <c r="P260" s="346"/>
      <c r="Q260" s="344"/>
      <c r="R260" s="344"/>
      <c r="S260" s="344"/>
      <c r="T260" s="344"/>
      <c r="U260" s="344"/>
      <c r="V260" s="344"/>
      <c r="W260" s="344"/>
      <c r="X260" s="344"/>
      <c r="Y260" s="344"/>
      <c r="Z260" s="344"/>
      <c r="AA260" s="344"/>
      <c r="AB260" s="344"/>
      <c r="AC260" s="344"/>
    </row>
    <row r="261" ht="24.75" customHeight="1">
      <c r="A261" s="344"/>
      <c r="B261" s="346"/>
      <c r="C261" s="344"/>
      <c r="D261" s="344"/>
      <c r="E261" s="344"/>
      <c r="F261" s="344"/>
      <c r="G261" s="344"/>
      <c r="H261" s="344"/>
      <c r="I261" s="344"/>
      <c r="J261" s="344"/>
      <c r="K261" s="344"/>
      <c r="L261" s="344"/>
      <c r="M261" s="344"/>
      <c r="N261" s="344"/>
      <c r="O261" s="344"/>
      <c r="P261" s="346"/>
      <c r="Q261" s="344"/>
      <c r="R261" s="344"/>
      <c r="S261" s="344"/>
      <c r="T261" s="344"/>
      <c r="U261" s="344"/>
      <c r="V261" s="344"/>
      <c r="W261" s="344"/>
      <c r="X261" s="344"/>
      <c r="Y261" s="344"/>
      <c r="Z261" s="344"/>
      <c r="AA261" s="344"/>
      <c r="AB261" s="344"/>
      <c r="AC261" s="344"/>
    </row>
    <row r="262" ht="24.75" customHeight="1">
      <c r="A262" s="344"/>
      <c r="B262" s="346"/>
      <c r="C262" s="344"/>
      <c r="D262" s="344"/>
      <c r="E262" s="344"/>
      <c r="F262" s="344"/>
      <c r="G262" s="344"/>
      <c r="H262" s="344"/>
      <c r="I262" s="344"/>
      <c r="J262" s="344"/>
      <c r="K262" s="344"/>
      <c r="L262" s="344"/>
      <c r="M262" s="344"/>
      <c r="N262" s="344"/>
      <c r="O262" s="344"/>
      <c r="P262" s="346"/>
      <c r="Q262" s="344"/>
      <c r="R262" s="344"/>
      <c r="S262" s="344"/>
      <c r="T262" s="344"/>
      <c r="U262" s="344"/>
      <c r="V262" s="344"/>
      <c r="W262" s="344"/>
      <c r="X262" s="344"/>
      <c r="Y262" s="344"/>
      <c r="Z262" s="344"/>
      <c r="AA262" s="344"/>
      <c r="AB262" s="344"/>
      <c r="AC262" s="344"/>
    </row>
    <row r="263" ht="24.75" customHeight="1">
      <c r="A263" s="344"/>
      <c r="B263" s="346"/>
      <c r="C263" s="344"/>
      <c r="D263" s="344"/>
      <c r="E263" s="344"/>
      <c r="F263" s="344"/>
      <c r="G263" s="344"/>
      <c r="H263" s="344"/>
      <c r="I263" s="344"/>
      <c r="J263" s="344"/>
      <c r="K263" s="344"/>
      <c r="L263" s="344"/>
      <c r="M263" s="344"/>
      <c r="N263" s="344"/>
      <c r="O263" s="344"/>
      <c r="P263" s="346"/>
      <c r="Q263" s="344"/>
      <c r="R263" s="344"/>
      <c r="S263" s="344"/>
      <c r="T263" s="344"/>
      <c r="U263" s="344"/>
      <c r="V263" s="344"/>
      <c r="W263" s="344"/>
      <c r="X263" s="344"/>
      <c r="Y263" s="344"/>
      <c r="Z263" s="344"/>
      <c r="AA263" s="344"/>
      <c r="AB263" s="344"/>
      <c r="AC263" s="344"/>
    </row>
    <row r="264" ht="24.75" customHeight="1">
      <c r="A264" s="344"/>
      <c r="B264" s="346"/>
      <c r="C264" s="344"/>
      <c r="D264" s="344"/>
      <c r="E264" s="344"/>
      <c r="F264" s="344"/>
      <c r="G264" s="344"/>
      <c r="H264" s="344"/>
      <c r="I264" s="344"/>
      <c r="J264" s="344"/>
      <c r="K264" s="344"/>
      <c r="L264" s="344"/>
      <c r="M264" s="344"/>
      <c r="N264" s="344"/>
      <c r="O264" s="344"/>
      <c r="P264" s="346"/>
      <c r="Q264" s="344"/>
      <c r="R264" s="344"/>
      <c r="S264" s="344"/>
      <c r="T264" s="344"/>
      <c r="U264" s="344"/>
      <c r="V264" s="344"/>
      <c r="W264" s="344"/>
      <c r="X264" s="344"/>
      <c r="Y264" s="344"/>
      <c r="Z264" s="344"/>
      <c r="AA264" s="344"/>
      <c r="AB264" s="344"/>
      <c r="AC264" s="344"/>
    </row>
    <row r="265" ht="24.75" customHeight="1">
      <c r="A265" s="344"/>
      <c r="B265" s="346"/>
      <c r="C265" s="344"/>
      <c r="D265" s="344"/>
      <c r="E265" s="344"/>
      <c r="F265" s="344"/>
      <c r="G265" s="344"/>
      <c r="H265" s="344"/>
      <c r="I265" s="344"/>
      <c r="J265" s="344"/>
      <c r="K265" s="344"/>
      <c r="L265" s="344"/>
      <c r="M265" s="344"/>
      <c r="N265" s="344"/>
      <c r="O265" s="344"/>
      <c r="P265" s="346"/>
      <c r="Q265" s="344"/>
      <c r="R265" s="344"/>
      <c r="S265" s="344"/>
      <c r="T265" s="344"/>
      <c r="U265" s="344"/>
      <c r="V265" s="344"/>
      <c r="W265" s="344"/>
      <c r="X265" s="344"/>
      <c r="Y265" s="344"/>
      <c r="Z265" s="344"/>
      <c r="AA265" s="344"/>
      <c r="AB265" s="344"/>
      <c r="AC265" s="344"/>
    </row>
    <row r="266" ht="24.75" customHeight="1">
      <c r="A266" s="344"/>
      <c r="B266" s="346"/>
      <c r="C266" s="344"/>
      <c r="D266" s="344"/>
      <c r="E266" s="344"/>
      <c r="F266" s="344"/>
      <c r="G266" s="344"/>
      <c r="H266" s="344"/>
      <c r="I266" s="344"/>
      <c r="J266" s="344"/>
      <c r="K266" s="344"/>
      <c r="L266" s="344"/>
      <c r="M266" s="344"/>
      <c r="N266" s="344"/>
      <c r="O266" s="344"/>
      <c r="P266" s="346"/>
      <c r="Q266" s="344"/>
      <c r="R266" s="344"/>
      <c r="S266" s="344"/>
      <c r="T266" s="344"/>
      <c r="U266" s="344"/>
      <c r="V266" s="344"/>
      <c r="W266" s="344"/>
      <c r="X266" s="344"/>
      <c r="Y266" s="344"/>
      <c r="Z266" s="344"/>
      <c r="AA266" s="344"/>
      <c r="AB266" s="344"/>
      <c r="AC266" s="344"/>
    </row>
    <row r="267" ht="24.75" customHeight="1">
      <c r="A267" s="344"/>
      <c r="B267" s="346"/>
      <c r="C267" s="344"/>
      <c r="D267" s="344"/>
      <c r="E267" s="344"/>
      <c r="F267" s="344"/>
      <c r="G267" s="344"/>
      <c r="H267" s="344"/>
      <c r="I267" s="344"/>
      <c r="J267" s="344"/>
      <c r="K267" s="344"/>
      <c r="L267" s="344"/>
      <c r="M267" s="344"/>
      <c r="N267" s="344"/>
      <c r="O267" s="344"/>
      <c r="P267" s="346"/>
      <c r="Q267" s="344"/>
      <c r="R267" s="344"/>
      <c r="S267" s="344"/>
      <c r="T267" s="344"/>
      <c r="U267" s="344"/>
      <c r="V267" s="344"/>
      <c r="W267" s="344"/>
      <c r="X267" s="344"/>
      <c r="Y267" s="344"/>
      <c r="Z267" s="344"/>
      <c r="AA267" s="344"/>
      <c r="AB267" s="344"/>
      <c r="AC267" s="344"/>
    </row>
    <row r="268" ht="24.75" customHeight="1">
      <c r="A268" s="344"/>
      <c r="B268" s="346"/>
      <c r="C268" s="344"/>
      <c r="D268" s="344"/>
      <c r="E268" s="344"/>
      <c r="F268" s="344"/>
      <c r="G268" s="344"/>
      <c r="H268" s="344"/>
      <c r="I268" s="344"/>
      <c r="J268" s="344"/>
      <c r="K268" s="344"/>
      <c r="L268" s="344"/>
      <c r="M268" s="344"/>
      <c r="N268" s="344"/>
      <c r="O268" s="344"/>
      <c r="P268" s="346"/>
      <c r="Q268" s="344"/>
      <c r="R268" s="344"/>
      <c r="S268" s="344"/>
      <c r="T268" s="344"/>
      <c r="U268" s="344"/>
      <c r="V268" s="344"/>
      <c r="W268" s="344"/>
      <c r="X268" s="344"/>
      <c r="Y268" s="344"/>
      <c r="Z268" s="344"/>
      <c r="AA268" s="344"/>
      <c r="AB268" s="344"/>
      <c r="AC268" s="344"/>
    </row>
    <row r="269" ht="24.75" customHeight="1">
      <c r="A269" s="344"/>
      <c r="B269" s="346"/>
      <c r="C269" s="344"/>
      <c r="D269" s="344"/>
      <c r="E269" s="344"/>
      <c r="F269" s="344"/>
      <c r="G269" s="344"/>
      <c r="H269" s="344"/>
      <c r="I269" s="344"/>
      <c r="J269" s="344"/>
      <c r="K269" s="344"/>
      <c r="L269" s="344"/>
      <c r="M269" s="344"/>
      <c r="N269" s="344"/>
      <c r="O269" s="344"/>
      <c r="P269" s="346"/>
      <c r="Q269" s="344"/>
      <c r="R269" s="344"/>
      <c r="S269" s="344"/>
      <c r="T269" s="344"/>
      <c r="U269" s="344"/>
      <c r="V269" s="344"/>
      <c r="W269" s="344"/>
      <c r="X269" s="344"/>
      <c r="Y269" s="344"/>
      <c r="Z269" s="344"/>
      <c r="AA269" s="344"/>
      <c r="AB269" s="344"/>
      <c r="AC269" s="344"/>
    </row>
    <row r="270" ht="24.75" customHeight="1">
      <c r="A270" s="344"/>
      <c r="B270" s="346"/>
      <c r="C270" s="344"/>
      <c r="D270" s="344"/>
      <c r="E270" s="344"/>
      <c r="F270" s="344"/>
      <c r="G270" s="344"/>
      <c r="H270" s="344"/>
      <c r="I270" s="344"/>
      <c r="J270" s="344"/>
      <c r="K270" s="344"/>
      <c r="L270" s="344"/>
      <c r="M270" s="344"/>
      <c r="N270" s="344"/>
      <c r="O270" s="344"/>
      <c r="P270" s="346"/>
      <c r="Q270" s="344"/>
      <c r="R270" s="344"/>
      <c r="S270" s="344"/>
      <c r="T270" s="344"/>
      <c r="U270" s="344"/>
      <c r="V270" s="344"/>
      <c r="W270" s="344"/>
      <c r="X270" s="344"/>
      <c r="Y270" s="344"/>
      <c r="Z270" s="344"/>
      <c r="AA270" s="344"/>
      <c r="AB270" s="344"/>
      <c r="AC270" s="344"/>
    </row>
    <row r="271" ht="24.75" customHeight="1">
      <c r="A271" s="344"/>
      <c r="B271" s="346"/>
      <c r="C271" s="344"/>
      <c r="D271" s="344"/>
      <c r="E271" s="344"/>
      <c r="F271" s="344"/>
      <c r="G271" s="344"/>
      <c r="H271" s="344"/>
      <c r="I271" s="344"/>
      <c r="J271" s="344"/>
      <c r="K271" s="344"/>
      <c r="L271" s="344"/>
      <c r="M271" s="344"/>
      <c r="N271" s="344"/>
      <c r="O271" s="344"/>
      <c r="P271" s="346"/>
      <c r="Q271" s="344"/>
      <c r="R271" s="344"/>
      <c r="S271" s="344"/>
      <c r="T271" s="344"/>
      <c r="U271" s="344"/>
      <c r="V271" s="344"/>
      <c r="W271" s="344"/>
      <c r="X271" s="344"/>
      <c r="Y271" s="344"/>
      <c r="Z271" s="344"/>
      <c r="AA271" s="344"/>
      <c r="AB271" s="344"/>
      <c r="AC271" s="344"/>
    </row>
    <row r="272" ht="24.75" customHeight="1">
      <c r="A272" s="344"/>
      <c r="B272" s="346"/>
      <c r="C272" s="344"/>
      <c r="D272" s="344"/>
      <c r="E272" s="344"/>
      <c r="F272" s="344"/>
      <c r="G272" s="344"/>
      <c r="H272" s="344"/>
      <c r="I272" s="344"/>
      <c r="J272" s="344"/>
      <c r="K272" s="344"/>
      <c r="L272" s="344"/>
      <c r="M272" s="344"/>
      <c r="N272" s="344"/>
      <c r="O272" s="344"/>
      <c r="P272" s="346"/>
      <c r="Q272" s="344"/>
      <c r="R272" s="344"/>
      <c r="S272" s="344"/>
      <c r="T272" s="344"/>
      <c r="U272" s="344"/>
      <c r="V272" s="344"/>
      <c r="W272" s="344"/>
      <c r="X272" s="344"/>
      <c r="Y272" s="344"/>
      <c r="Z272" s="344"/>
      <c r="AA272" s="344"/>
      <c r="AB272" s="344"/>
      <c r="AC272" s="344"/>
    </row>
    <row r="273" ht="24.75" customHeight="1">
      <c r="A273" s="344"/>
      <c r="B273" s="346"/>
      <c r="C273" s="344"/>
      <c r="D273" s="344"/>
      <c r="E273" s="344"/>
      <c r="F273" s="344"/>
      <c r="G273" s="344"/>
      <c r="H273" s="344"/>
      <c r="I273" s="344"/>
      <c r="J273" s="344"/>
      <c r="K273" s="344"/>
      <c r="L273" s="344"/>
      <c r="M273" s="344"/>
      <c r="N273" s="344"/>
      <c r="O273" s="344"/>
      <c r="P273" s="346"/>
      <c r="Q273" s="344"/>
      <c r="R273" s="344"/>
      <c r="S273" s="344"/>
      <c r="T273" s="344"/>
      <c r="U273" s="344"/>
      <c r="V273" s="344"/>
      <c r="W273" s="344"/>
      <c r="X273" s="344"/>
      <c r="Y273" s="344"/>
      <c r="Z273" s="344"/>
      <c r="AA273" s="344"/>
      <c r="AB273" s="344"/>
      <c r="AC273" s="344"/>
    </row>
    <row r="274" ht="24.75" customHeight="1">
      <c r="A274" s="344"/>
      <c r="B274" s="346"/>
      <c r="C274" s="344"/>
      <c r="D274" s="344"/>
      <c r="E274" s="344"/>
      <c r="F274" s="344"/>
      <c r="G274" s="344"/>
      <c r="H274" s="344"/>
      <c r="I274" s="344"/>
      <c r="J274" s="344"/>
      <c r="K274" s="344"/>
      <c r="L274" s="344"/>
      <c r="M274" s="344"/>
      <c r="N274" s="344"/>
      <c r="O274" s="344"/>
      <c r="P274" s="346"/>
      <c r="Q274" s="344"/>
      <c r="R274" s="344"/>
      <c r="S274" s="344"/>
      <c r="T274" s="344"/>
      <c r="U274" s="344"/>
      <c r="V274" s="344"/>
      <c r="W274" s="344"/>
      <c r="X274" s="344"/>
      <c r="Y274" s="344"/>
      <c r="Z274" s="344"/>
      <c r="AA274" s="344"/>
      <c r="AB274" s="344"/>
      <c r="AC274" s="344"/>
    </row>
    <row r="275" ht="24.75" customHeight="1">
      <c r="A275" s="344"/>
      <c r="B275" s="346"/>
      <c r="C275" s="344"/>
      <c r="D275" s="344"/>
      <c r="E275" s="344"/>
      <c r="F275" s="344"/>
      <c r="G275" s="344"/>
      <c r="H275" s="344"/>
      <c r="I275" s="344"/>
      <c r="J275" s="344"/>
      <c r="K275" s="344"/>
      <c r="L275" s="344"/>
      <c r="M275" s="344"/>
      <c r="N275" s="344"/>
      <c r="O275" s="344"/>
      <c r="P275" s="346"/>
      <c r="Q275" s="344"/>
      <c r="R275" s="344"/>
      <c r="S275" s="344"/>
      <c r="T275" s="344"/>
      <c r="U275" s="344"/>
      <c r="V275" s="344"/>
      <c r="W275" s="344"/>
      <c r="X275" s="344"/>
      <c r="Y275" s="344"/>
      <c r="Z275" s="344"/>
      <c r="AA275" s="344"/>
      <c r="AB275" s="344"/>
      <c r="AC275" s="344"/>
    </row>
    <row r="276" ht="24.75" customHeight="1">
      <c r="A276" s="344"/>
      <c r="B276" s="346"/>
      <c r="C276" s="344"/>
      <c r="D276" s="344"/>
      <c r="E276" s="344"/>
      <c r="F276" s="344"/>
      <c r="G276" s="344"/>
      <c r="H276" s="344"/>
      <c r="I276" s="344"/>
      <c r="J276" s="344"/>
      <c r="K276" s="344"/>
      <c r="L276" s="344"/>
      <c r="M276" s="344"/>
      <c r="N276" s="344"/>
      <c r="O276" s="344"/>
      <c r="P276" s="346"/>
      <c r="Q276" s="344"/>
      <c r="R276" s="344"/>
      <c r="S276" s="344"/>
      <c r="T276" s="344"/>
      <c r="U276" s="344"/>
      <c r="V276" s="344"/>
      <c r="W276" s="344"/>
      <c r="X276" s="344"/>
      <c r="Y276" s="344"/>
      <c r="Z276" s="344"/>
      <c r="AA276" s="344"/>
      <c r="AB276" s="344"/>
      <c r="AC276" s="344"/>
    </row>
    <row r="277" ht="24.75" customHeight="1">
      <c r="A277" s="344"/>
      <c r="B277" s="346"/>
      <c r="C277" s="344"/>
      <c r="D277" s="344"/>
      <c r="E277" s="344"/>
      <c r="F277" s="344"/>
      <c r="G277" s="344"/>
      <c r="H277" s="344"/>
      <c r="I277" s="344"/>
      <c r="J277" s="344"/>
      <c r="K277" s="344"/>
      <c r="L277" s="344"/>
      <c r="M277" s="344"/>
      <c r="N277" s="344"/>
      <c r="O277" s="344"/>
      <c r="P277" s="346"/>
      <c r="Q277" s="344"/>
      <c r="R277" s="344"/>
      <c r="S277" s="344"/>
      <c r="T277" s="344"/>
      <c r="U277" s="344"/>
      <c r="V277" s="344"/>
      <c r="W277" s="344"/>
      <c r="X277" s="344"/>
      <c r="Y277" s="344"/>
      <c r="Z277" s="344"/>
      <c r="AA277" s="344"/>
      <c r="AB277" s="344"/>
      <c r="AC277" s="344"/>
    </row>
    <row r="278" ht="24.75" customHeight="1">
      <c r="A278" s="344"/>
      <c r="B278" s="346"/>
      <c r="C278" s="344"/>
      <c r="D278" s="344"/>
      <c r="E278" s="344"/>
      <c r="F278" s="344"/>
      <c r="G278" s="344"/>
      <c r="H278" s="344"/>
      <c r="I278" s="344"/>
      <c r="J278" s="344"/>
      <c r="K278" s="344"/>
      <c r="L278" s="344"/>
      <c r="M278" s="344"/>
      <c r="N278" s="344"/>
      <c r="O278" s="344"/>
      <c r="P278" s="346"/>
      <c r="Q278" s="344"/>
      <c r="R278" s="344"/>
      <c r="S278" s="344"/>
      <c r="T278" s="344"/>
      <c r="U278" s="344"/>
      <c r="V278" s="344"/>
      <c r="W278" s="344"/>
      <c r="X278" s="344"/>
      <c r="Y278" s="344"/>
      <c r="Z278" s="344"/>
      <c r="AA278" s="344"/>
      <c r="AB278" s="344"/>
      <c r="AC278" s="344"/>
    </row>
    <row r="279" ht="24.75" customHeight="1">
      <c r="A279" s="344"/>
      <c r="B279" s="346"/>
      <c r="C279" s="344"/>
      <c r="D279" s="344"/>
      <c r="E279" s="344"/>
      <c r="F279" s="344"/>
      <c r="G279" s="344"/>
      <c r="H279" s="344"/>
      <c r="I279" s="344"/>
      <c r="J279" s="344"/>
      <c r="K279" s="344"/>
      <c r="L279" s="344"/>
      <c r="M279" s="344"/>
      <c r="N279" s="344"/>
      <c r="O279" s="344"/>
      <c r="P279" s="346"/>
      <c r="Q279" s="344"/>
      <c r="R279" s="344"/>
      <c r="S279" s="344"/>
      <c r="T279" s="344"/>
      <c r="U279" s="344"/>
      <c r="V279" s="344"/>
      <c r="W279" s="344"/>
      <c r="X279" s="344"/>
      <c r="Y279" s="344"/>
      <c r="Z279" s="344"/>
      <c r="AA279" s="344"/>
      <c r="AB279" s="344"/>
      <c r="AC279" s="344"/>
    </row>
    <row r="280" ht="24.75" customHeight="1">
      <c r="A280" s="344"/>
      <c r="B280" s="346"/>
      <c r="C280" s="344"/>
      <c r="D280" s="344"/>
      <c r="E280" s="344"/>
      <c r="F280" s="344"/>
      <c r="G280" s="344"/>
      <c r="H280" s="344"/>
      <c r="I280" s="344"/>
      <c r="J280" s="344"/>
      <c r="K280" s="344"/>
      <c r="L280" s="344"/>
      <c r="M280" s="344"/>
      <c r="N280" s="344"/>
      <c r="O280" s="344"/>
      <c r="P280" s="346"/>
      <c r="Q280" s="344"/>
      <c r="R280" s="344"/>
      <c r="S280" s="344"/>
      <c r="T280" s="344"/>
      <c r="U280" s="344"/>
      <c r="V280" s="344"/>
      <c r="W280" s="344"/>
      <c r="X280" s="344"/>
      <c r="Y280" s="344"/>
      <c r="Z280" s="344"/>
      <c r="AA280" s="344"/>
      <c r="AB280" s="344"/>
      <c r="AC280" s="344"/>
    </row>
    <row r="281" ht="24.75" customHeight="1">
      <c r="A281" s="344"/>
      <c r="B281" s="346"/>
      <c r="C281" s="344"/>
      <c r="D281" s="344"/>
      <c r="E281" s="344"/>
      <c r="F281" s="344"/>
      <c r="G281" s="344"/>
      <c r="H281" s="344"/>
      <c r="I281" s="344"/>
      <c r="J281" s="344"/>
      <c r="K281" s="344"/>
      <c r="L281" s="344"/>
      <c r="M281" s="344"/>
      <c r="N281" s="344"/>
      <c r="O281" s="344"/>
      <c r="P281" s="346"/>
      <c r="Q281" s="344"/>
      <c r="R281" s="344"/>
      <c r="S281" s="344"/>
      <c r="T281" s="344"/>
      <c r="U281" s="344"/>
      <c r="V281" s="344"/>
      <c r="W281" s="344"/>
      <c r="X281" s="344"/>
      <c r="Y281" s="344"/>
      <c r="Z281" s="344"/>
      <c r="AA281" s="344"/>
      <c r="AB281" s="344"/>
      <c r="AC281" s="344"/>
    </row>
    <row r="282" ht="24.75" customHeight="1">
      <c r="A282" s="344"/>
      <c r="B282" s="346"/>
      <c r="C282" s="344"/>
      <c r="D282" s="344"/>
      <c r="E282" s="344"/>
      <c r="F282" s="344"/>
      <c r="G282" s="344"/>
      <c r="H282" s="344"/>
      <c r="I282" s="344"/>
      <c r="J282" s="344"/>
      <c r="K282" s="344"/>
      <c r="L282" s="344"/>
      <c r="M282" s="344"/>
      <c r="N282" s="344"/>
      <c r="O282" s="344"/>
      <c r="P282" s="346"/>
      <c r="Q282" s="344"/>
      <c r="R282" s="344"/>
      <c r="S282" s="344"/>
      <c r="T282" s="344"/>
      <c r="U282" s="344"/>
      <c r="V282" s="344"/>
      <c r="W282" s="344"/>
      <c r="X282" s="344"/>
      <c r="Y282" s="344"/>
      <c r="Z282" s="344"/>
      <c r="AA282" s="344"/>
      <c r="AB282" s="344"/>
      <c r="AC282" s="344"/>
    </row>
    <row r="283" ht="24.75" customHeight="1">
      <c r="A283" s="344"/>
      <c r="B283" s="346"/>
      <c r="C283" s="344"/>
      <c r="D283" s="344"/>
      <c r="E283" s="344"/>
      <c r="F283" s="344"/>
      <c r="G283" s="344"/>
      <c r="H283" s="344"/>
      <c r="I283" s="344"/>
      <c r="J283" s="344"/>
      <c r="K283" s="344"/>
      <c r="L283" s="344"/>
      <c r="M283" s="344"/>
      <c r="N283" s="344"/>
      <c r="O283" s="344"/>
      <c r="P283" s="346"/>
      <c r="Q283" s="344"/>
      <c r="R283" s="344"/>
      <c r="S283" s="344"/>
      <c r="T283" s="344"/>
      <c r="U283" s="344"/>
      <c r="V283" s="344"/>
      <c r="W283" s="344"/>
      <c r="X283" s="344"/>
      <c r="Y283" s="344"/>
      <c r="Z283" s="344"/>
      <c r="AA283" s="344"/>
      <c r="AB283" s="344"/>
      <c r="AC283" s="344"/>
    </row>
    <row r="284" ht="24.75" customHeight="1">
      <c r="A284" s="344"/>
      <c r="B284" s="346"/>
      <c r="C284" s="344"/>
      <c r="D284" s="344"/>
      <c r="E284" s="344"/>
      <c r="F284" s="344"/>
      <c r="G284" s="344"/>
      <c r="H284" s="344"/>
      <c r="I284" s="344"/>
      <c r="J284" s="344"/>
      <c r="K284" s="344"/>
      <c r="L284" s="344"/>
      <c r="M284" s="344"/>
      <c r="N284" s="344"/>
      <c r="O284" s="344"/>
      <c r="P284" s="346"/>
      <c r="Q284" s="344"/>
      <c r="R284" s="344"/>
      <c r="S284" s="344"/>
      <c r="T284" s="344"/>
      <c r="U284" s="344"/>
      <c r="V284" s="344"/>
      <c r="W284" s="344"/>
      <c r="X284" s="344"/>
      <c r="Y284" s="344"/>
      <c r="Z284" s="344"/>
      <c r="AA284" s="344"/>
      <c r="AB284" s="344"/>
      <c r="AC284" s="344"/>
    </row>
    <row r="285" ht="24.75" customHeight="1">
      <c r="A285" s="344"/>
      <c r="B285" s="346"/>
      <c r="C285" s="344"/>
      <c r="D285" s="344"/>
      <c r="E285" s="344"/>
      <c r="F285" s="344"/>
      <c r="G285" s="344"/>
      <c r="H285" s="344"/>
      <c r="I285" s="344"/>
      <c r="J285" s="344"/>
      <c r="K285" s="344"/>
      <c r="L285" s="344"/>
      <c r="M285" s="344"/>
      <c r="N285" s="344"/>
      <c r="O285" s="344"/>
      <c r="P285" s="346"/>
      <c r="Q285" s="344"/>
      <c r="R285" s="344"/>
      <c r="S285" s="344"/>
      <c r="T285" s="344"/>
      <c r="U285" s="344"/>
      <c r="V285" s="344"/>
      <c r="W285" s="344"/>
      <c r="X285" s="344"/>
      <c r="Y285" s="344"/>
      <c r="Z285" s="344"/>
      <c r="AA285" s="344"/>
      <c r="AB285" s="344"/>
      <c r="AC285" s="344"/>
    </row>
    <row r="286" ht="24.75" customHeight="1">
      <c r="A286" s="344"/>
      <c r="B286" s="346"/>
      <c r="C286" s="344"/>
      <c r="D286" s="344"/>
      <c r="E286" s="344"/>
      <c r="F286" s="344"/>
      <c r="G286" s="344"/>
      <c r="H286" s="344"/>
      <c r="I286" s="344"/>
      <c r="J286" s="344"/>
      <c r="K286" s="344"/>
      <c r="L286" s="344"/>
      <c r="M286" s="344"/>
      <c r="N286" s="344"/>
      <c r="O286" s="344"/>
      <c r="P286" s="346"/>
      <c r="Q286" s="344"/>
      <c r="R286" s="344"/>
      <c r="S286" s="344"/>
      <c r="T286" s="344"/>
      <c r="U286" s="344"/>
      <c r="V286" s="344"/>
      <c r="W286" s="344"/>
      <c r="X286" s="344"/>
      <c r="Y286" s="344"/>
      <c r="Z286" s="344"/>
      <c r="AA286" s="344"/>
      <c r="AB286" s="344"/>
      <c r="AC286" s="344"/>
    </row>
    <row r="287" ht="24.75" customHeight="1">
      <c r="A287" s="344"/>
      <c r="B287" s="346"/>
      <c r="C287" s="344"/>
      <c r="D287" s="344"/>
      <c r="E287" s="344"/>
      <c r="F287" s="344"/>
      <c r="G287" s="344"/>
      <c r="H287" s="344"/>
      <c r="I287" s="344"/>
      <c r="J287" s="344"/>
      <c r="K287" s="344"/>
      <c r="L287" s="344"/>
      <c r="M287" s="344"/>
      <c r="N287" s="344"/>
      <c r="O287" s="344"/>
      <c r="P287" s="346"/>
      <c r="Q287" s="344"/>
      <c r="R287" s="344"/>
      <c r="S287" s="344"/>
      <c r="T287" s="344"/>
      <c r="U287" s="344"/>
      <c r="V287" s="344"/>
      <c r="W287" s="344"/>
      <c r="X287" s="344"/>
      <c r="Y287" s="344"/>
      <c r="Z287" s="344"/>
      <c r="AA287" s="344"/>
      <c r="AB287" s="344"/>
      <c r="AC287" s="344"/>
    </row>
    <row r="288" ht="24.75" customHeight="1">
      <c r="A288" s="344"/>
      <c r="B288" s="346"/>
      <c r="C288" s="344"/>
      <c r="D288" s="344"/>
      <c r="E288" s="344"/>
      <c r="F288" s="344"/>
      <c r="G288" s="344"/>
      <c r="H288" s="344"/>
      <c r="I288" s="344"/>
      <c r="J288" s="344"/>
      <c r="K288" s="344"/>
      <c r="L288" s="344"/>
      <c r="M288" s="344"/>
      <c r="N288" s="344"/>
      <c r="O288" s="344"/>
      <c r="P288" s="346"/>
      <c r="Q288" s="344"/>
      <c r="R288" s="344"/>
      <c r="S288" s="344"/>
      <c r="T288" s="344"/>
      <c r="U288" s="344"/>
      <c r="V288" s="344"/>
      <c r="W288" s="344"/>
      <c r="X288" s="344"/>
      <c r="Y288" s="344"/>
      <c r="Z288" s="344"/>
      <c r="AA288" s="344"/>
      <c r="AB288" s="344"/>
      <c r="AC288" s="344"/>
    </row>
    <row r="289" ht="24.75" customHeight="1">
      <c r="A289" s="344"/>
      <c r="B289" s="346"/>
      <c r="C289" s="344"/>
      <c r="D289" s="344"/>
      <c r="E289" s="344"/>
      <c r="F289" s="344"/>
      <c r="G289" s="344"/>
      <c r="H289" s="344"/>
      <c r="I289" s="344"/>
      <c r="J289" s="344"/>
      <c r="K289" s="344"/>
      <c r="L289" s="344"/>
      <c r="M289" s="344"/>
      <c r="N289" s="344"/>
      <c r="O289" s="344"/>
      <c r="P289" s="346"/>
      <c r="Q289" s="344"/>
      <c r="R289" s="344"/>
      <c r="S289" s="344"/>
      <c r="T289" s="344"/>
      <c r="U289" s="344"/>
      <c r="V289" s="344"/>
      <c r="W289" s="344"/>
      <c r="X289" s="344"/>
      <c r="Y289" s="344"/>
      <c r="Z289" s="344"/>
      <c r="AA289" s="344"/>
      <c r="AB289" s="344"/>
      <c r="AC289" s="344"/>
    </row>
    <row r="290" ht="24.75" customHeight="1">
      <c r="A290" s="344"/>
      <c r="B290" s="346"/>
      <c r="C290" s="344"/>
      <c r="D290" s="344"/>
      <c r="E290" s="344"/>
      <c r="F290" s="344"/>
      <c r="G290" s="344"/>
      <c r="H290" s="344"/>
      <c r="I290" s="344"/>
      <c r="J290" s="344"/>
      <c r="K290" s="344"/>
      <c r="L290" s="344"/>
      <c r="M290" s="344"/>
      <c r="N290" s="344"/>
      <c r="O290" s="344"/>
      <c r="P290" s="346"/>
      <c r="Q290" s="344"/>
      <c r="R290" s="344"/>
      <c r="S290" s="344"/>
      <c r="T290" s="344"/>
      <c r="U290" s="344"/>
      <c r="V290" s="344"/>
      <c r="W290" s="344"/>
      <c r="X290" s="344"/>
      <c r="Y290" s="344"/>
      <c r="Z290" s="344"/>
      <c r="AA290" s="344"/>
      <c r="AB290" s="344"/>
      <c r="AC290" s="344"/>
    </row>
    <row r="291" ht="24.75" customHeight="1">
      <c r="A291" s="344"/>
      <c r="B291" s="346"/>
      <c r="C291" s="344"/>
      <c r="D291" s="344"/>
      <c r="E291" s="344"/>
      <c r="F291" s="344"/>
      <c r="G291" s="344"/>
      <c r="H291" s="344"/>
      <c r="I291" s="344"/>
      <c r="J291" s="344"/>
      <c r="K291" s="344"/>
      <c r="L291" s="344"/>
      <c r="M291" s="344"/>
      <c r="N291" s="344"/>
      <c r="O291" s="344"/>
      <c r="P291" s="346"/>
      <c r="Q291" s="344"/>
      <c r="R291" s="344"/>
      <c r="S291" s="344"/>
      <c r="T291" s="344"/>
      <c r="U291" s="344"/>
      <c r="V291" s="344"/>
      <c r="W291" s="344"/>
      <c r="X291" s="344"/>
      <c r="Y291" s="344"/>
      <c r="Z291" s="344"/>
      <c r="AA291" s="344"/>
      <c r="AB291" s="344"/>
      <c r="AC291" s="344"/>
    </row>
    <row r="292" ht="24.75" customHeight="1">
      <c r="A292" s="344"/>
      <c r="B292" s="346"/>
      <c r="C292" s="344"/>
      <c r="D292" s="344"/>
      <c r="E292" s="344"/>
      <c r="F292" s="344"/>
      <c r="G292" s="344"/>
      <c r="H292" s="344"/>
      <c r="I292" s="344"/>
      <c r="J292" s="344"/>
      <c r="K292" s="344"/>
      <c r="L292" s="344"/>
      <c r="M292" s="344"/>
      <c r="N292" s="344"/>
      <c r="O292" s="344"/>
      <c r="P292" s="346"/>
      <c r="Q292" s="344"/>
      <c r="R292" s="344"/>
      <c r="S292" s="344"/>
      <c r="T292" s="344"/>
      <c r="U292" s="344"/>
      <c r="V292" s="344"/>
      <c r="W292" s="344"/>
      <c r="X292" s="344"/>
      <c r="Y292" s="344"/>
      <c r="Z292" s="344"/>
      <c r="AA292" s="344"/>
      <c r="AB292" s="344"/>
      <c r="AC292" s="344"/>
    </row>
    <row r="293" ht="24.75" customHeight="1">
      <c r="A293" s="344"/>
      <c r="B293" s="346"/>
      <c r="C293" s="344"/>
      <c r="D293" s="344"/>
      <c r="E293" s="344"/>
      <c r="F293" s="344"/>
      <c r="G293" s="344"/>
      <c r="H293" s="344"/>
      <c r="I293" s="344"/>
      <c r="J293" s="344"/>
      <c r="K293" s="344"/>
      <c r="L293" s="344"/>
      <c r="M293" s="344"/>
      <c r="N293" s="344"/>
      <c r="O293" s="344"/>
      <c r="P293" s="346"/>
      <c r="Q293" s="344"/>
      <c r="R293" s="344"/>
      <c r="S293" s="344"/>
      <c r="T293" s="344"/>
      <c r="U293" s="344"/>
      <c r="V293" s="344"/>
      <c r="W293" s="344"/>
      <c r="X293" s="344"/>
      <c r="Y293" s="344"/>
      <c r="Z293" s="344"/>
      <c r="AA293" s="344"/>
      <c r="AB293" s="344"/>
      <c r="AC293" s="344"/>
    </row>
    <row r="294" ht="24.75" customHeight="1">
      <c r="A294" s="344"/>
      <c r="B294" s="346"/>
      <c r="C294" s="344"/>
      <c r="D294" s="344"/>
      <c r="E294" s="344"/>
      <c r="F294" s="344"/>
      <c r="G294" s="344"/>
      <c r="H294" s="344"/>
      <c r="I294" s="344"/>
      <c r="J294" s="344"/>
      <c r="K294" s="344"/>
      <c r="L294" s="344"/>
      <c r="M294" s="344"/>
      <c r="N294" s="344"/>
      <c r="O294" s="344"/>
      <c r="P294" s="346"/>
      <c r="Q294" s="344"/>
      <c r="R294" s="344"/>
      <c r="S294" s="344"/>
      <c r="T294" s="344"/>
      <c r="U294" s="344"/>
      <c r="V294" s="344"/>
      <c r="W294" s="344"/>
      <c r="X294" s="344"/>
      <c r="Y294" s="344"/>
      <c r="Z294" s="344"/>
      <c r="AA294" s="344"/>
      <c r="AB294" s="344"/>
      <c r="AC294" s="344"/>
    </row>
    <row r="295" ht="24.75" customHeight="1">
      <c r="A295" s="344"/>
      <c r="B295" s="346"/>
      <c r="C295" s="344"/>
      <c r="D295" s="344"/>
      <c r="E295" s="344"/>
      <c r="F295" s="344"/>
      <c r="G295" s="344"/>
      <c r="H295" s="344"/>
      <c r="I295" s="344"/>
      <c r="J295" s="344"/>
      <c r="K295" s="344"/>
      <c r="L295" s="344"/>
      <c r="M295" s="344"/>
      <c r="N295" s="344"/>
      <c r="O295" s="344"/>
      <c r="P295" s="346"/>
      <c r="Q295" s="344"/>
      <c r="R295" s="344"/>
      <c r="S295" s="344"/>
      <c r="T295" s="344"/>
      <c r="U295" s="344"/>
      <c r="V295" s="344"/>
      <c r="W295" s="344"/>
      <c r="X295" s="344"/>
      <c r="Y295" s="344"/>
      <c r="Z295" s="344"/>
      <c r="AA295" s="344"/>
      <c r="AB295" s="344"/>
      <c r="AC295" s="344"/>
    </row>
    <row r="296" ht="24.75" customHeight="1">
      <c r="A296" s="344"/>
      <c r="B296" s="346"/>
      <c r="C296" s="344"/>
      <c r="D296" s="344"/>
      <c r="E296" s="344"/>
      <c r="F296" s="344"/>
      <c r="G296" s="344"/>
      <c r="H296" s="344"/>
      <c r="I296" s="344"/>
      <c r="J296" s="344"/>
      <c r="K296" s="344"/>
      <c r="L296" s="344"/>
      <c r="M296" s="344"/>
      <c r="N296" s="344"/>
      <c r="O296" s="344"/>
      <c r="P296" s="346"/>
      <c r="Q296" s="344"/>
      <c r="R296" s="344"/>
      <c r="S296" s="344"/>
      <c r="T296" s="344"/>
      <c r="U296" s="344"/>
      <c r="V296" s="344"/>
      <c r="W296" s="344"/>
      <c r="X296" s="344"/>
      <c r="Y296" s="344"/>
      <c r="Z296" s="344"/>
      <c r="AA296" s="344"/>
      <c r="AB296" s="344"/>
      <c r="AC296" s="344"/>
    </row>
    <row r="297" ht="24.75" customHeight="1">
      <c r="A297" s="344"/>
      <c r="B297" s="346"/>
      <c r="C297" s="344"/>
      <c r="D297" s="344"/>
      <c r="E297" s="344"/>
      <c r="F297" s="344"/>
      <c r="G297" s="344"/>
      <c r="H297" s="344"/>
      <c r="I297" s="344"/>
      <c r="J297" s="344"/>
      <c r="K297" s="344"/>
      <c r="L297" s="344"/>
      <c r="M297" s="344"/>
      <c r="N297" s="344"/>
      <c r="O297" s="344"/>
      <c r="P297" s="346"/>
      <c r="Q297" s="344"/>
      <c r="R297" s="344"/>
      <c r="S297" s="344"/>
      <c r="T297" s="344"/>
      <c r="U297" s="344"/>
      <c r="V297" s="344"/>
      <c r="W297" s="344"/>
      <c r="X297" s="344"/>
      <c r="Y297" s="344"/>
      <c r="Z297" s="344"/>
      <c r="AA297" s="344"/>
      <c r="AB297" s="344"/>
      <c r="AC297" s="344"/>
    </row>
    <row r="298" ht="24.75" customHeight="1">
      <c r="A298" s="344"/>
      <c r="B298" s="346"/>
      <c r="C298" s="344"/>
      <c r="D298" s="344"/>
      <c r="E298" s="344"/>
      <c r="F298" s="344"/>
      <c r="G298" s="344"/>
      <c r="H298" s="344"/>
      <c r="I298" s="344"/>
      <c r="J298" s="344"/>
      <c r="K298" s="344"/>
      <c r="L298" s="344"/>
      <c r="M298" s="344"/>
      <c r="N298" s="344"/>
      <c r="O298" s="344"/>
      <c r="P298" s="346"/>
      <c r="Q298" s="344"/>
      <c r="R298" s="344"/>
      <c r="S298" s="344"/>
      <c r="T298" s="344"/>
      <c r="U298" s="344"/>
      <c r="V298" s="344"/>
      <c r="W298" s="344"/>
      <c r="X298" s="344"/>
      <c r="Y298" s="344"/>
      <c r="Z298" s="344"/>
      <c r="AA298" s="344"/>
      <c r="AB298" s="344"/>
      <c r="AC298" s="344"/>
    </row>
    <row r="299" ht="24.75" customHeight="1">
      <c r="A299" s="344"/>
      <c r="B299" s="346"/>
      <c r="C299" s="344"/>
      <c r="D299" s="344"/>
      <c r="E299" s="344"/>
      <c r="F299" s="344"/>
      <c r="G299" s="344"/>
      <c r="H299" s="344"/>
      <c r="I299" s="344"/>
      <c r="J299" s="344"/>
      <c r="K299" s="344"/>
      <c r="L299" s="344"/>
      <c r="M299" s="344"/>
      <c r="N299" s="344"/>
      <c r="O299" s="344"/>
      <c r="P299" s="346"/>
      <c r="Q299" s="344"/>
      <c r="R299" s="344"/>
      <c r="S299" s="344"/>
      <c r="T299" s="344"/>
      <c r="U299" s="344"/>
      <c r="V299" s="344"/>
      <c r="W299" s="344"/>
      <c r="X299" s="344"/>
      <c r="Y299" s="344"/>
      <c r="Z299" s="344"/>
      <c r="AA299" s="344"/>
      <c r="AB299" s="344"/>
      <c r="AC299" s="344"/>
    </row>
    <row r="300" ht="24.75" customHeight="1">
      <c r="A300" s="344"/>
      <c r="B300" s="346"/>
      <c r="C300" s="344"/>
      <c r="D300" s="344"/>
      <c r="E300" s="344"/>
      <c r="F300" s="344"/>
      <c r="G300" s="344"/>
      <c r="H300" s="344"/>
      <c r="I300" s="344"/>
      <c r="J300" s="344"/>
      <c r="K300" s="344"/>
      <c r="L300" s="344"/>
      <c r="M300" s="344"/>
      <c r="N300" s="344"/>
      <c r="O300" s="344"/>
      <c r="P300" s="346"/>
      <c r="Q300" s="344"/>
      <c r="R300" s="344"/>
      <c r="S300" s="344"/>
      <c r="T300" s="344"/>
      <c r="U300" s="344"/>
      <c r="V300" s="344"/>
      <c r="W300" s="344"/>
      <c r="X300" s="344"/>
      <c r="Y300" s="344"/>
      <c r="Z300" s="344"/>
      <c r="AA300" s="344"/>
      <c r="AB300" s="344"/>
      <c r="AC300" s="344"/>
    </row>
    <row r="301" ht="24.75" customHeight="1">
      <c r="A301" s="344"/>
      <c r="B301" s="346"/>
      <c r="C301" s="344"/>
      <c r="D301" s="344"/>
      <c r="E301" s="344"/>
      <c r="F301" s="344"/>
      <c r="G301" s="344"/>
      <c r="H301" s="344"/>
      <c r="I301" s="344"/>
      <c r="J301" s="344"/>
      <c r="K301" s="344"/>
      <c r="L301" s="344"/>
      <c r="M301" s="344"/>
      <c r="N301" s="344"/>
      <c r="O301" s="344"/>
      <c r="P301" s="346"/>
      <c r="Q301" s="344"/>
      <c r="R301" s="344"/>
      <c r="S301" s="344"/>
      <c r="T301" s="344"/>
      <c r="U301" s="344"/>
      <c r="V301" s="344"/>
      <c r="W301" s="344"/>
      <c r="X301" s="344"/>
      <c r="Y301" s="344"/>
      <c r="Z301" s="344"/>
      <c r="AA301" s="344"/>
      <c r="AB301" s="344"/>
      <c r="AC301" s="344"/>
    </row>
    <row r="302" ht="24.75" customHeight="1">
      <c r="A302" s="344"/>
      <c r="B302" s="346"/>
      <c r="C302" s="344"/>
      <c r="D302" s="344"/>
      <c r="E302" s="344"/>
      <c r="F302" s="344"/>
      <c r="G302" s="344"/>
      <c r="H302" s="344"/>
      <c r="I302" s="344"/>
      <c r="J302" s="344"/>
      <c r="K302" s="344"/>
      <c r="L302" s="344"/>
      <c r="M302" s="344"/>
      <c r="N302" s="344"/>
      <c r="O302" s="344"/>
      <c r="P302" s="346"/>
      <c r="Q302" s="344"/>
      <c r="R302" s="344"/>
      <c r="S302" s="344"/>
      <c r="T302" s="344"/>
      <c r="U302" s="344"/>
      <c r="V302" s="344"/>
      <c r="W302" s="344"/>
      <c r="X302" s="344"/>
      <c r="Y302" s="344"/>
      <c r="Z302" s="344"/>
      <c r="AA302" s="344"/>
      <c r="AB302" s="344"/>
      <c r="AC302" s="344"/>
    </row>
    <row r="303" ht="24.75" customHeight="1">
      <c r="A303" s="344"/>
      <c r="B303" s="346"/>
      <c r="C303" s="344"/>
      <c r="D303" s="344"/>
      <c r="E303" s="344"/>
      <c r="F303" s="344"/>
      <c r="G303" s="344"/>
      <c r="H303" s="344"/>
      <c r="I303" s="344"/>
      <c r="J303" s="344"/>
      <c r="K303" s="344"/>
      <c r="L303" s="344"/>
      <c r="M303" s="344"/>
      <c r="N303" s="344"/>
      <c r="O303" s="344"/>
      <c r="P303" s="346"/>
      <c r="Q303" s="344"/>
      <c r="R303" s="344"/>
      <c r="S303" s="344"/>
      <c r="T303" s="344"/>
      <c r="U303" s="344"/>
      <c r="V303" s="344"/>
      <c r="W303" s="344"/>
      <c r="X303" s="344"/>
      <c r="Y303" s="344"/>
      <c r="Z303" s="344"/>
      <c r="AA303" s="344"/>
      <c r="AB303" s="344"/>
      <c r="AC303" s="344"/>
    </row>
    <row r="304" ht="24.75" customHeight="1">
      <c r="A304" s="344"/>
      <c r="B304" s="346"/>
      <c r="C304" s="344"/>
      <c r="D304" s="344"/>
      <c r="E304" s="344"/>
      <c r="F304" s="344"/>
      <c r="G304" s="344"/>
      <c r="H304" s="344"/>
      <c r="I304" s="344"/>
      <c r="J304" s="344"/>
      <c r="K304" s="344"/>
      <c r="L304" s="344"/>
      <c r="M304" s="344"/>
      <c r="N304" s="344"/>
      <c r="O304" s="344"/>
      <c r="P304" s="346"/>
      <c r="Q304" s="344"/>
      <c r="R304" s="344"/>
      <c r="S304" s="344"/>
      <c r="T304" s="344"/>
      <c r="U304" s="344"/>
      <c r="V304" s="344"/>
      <c r="W304" s="344"/>
      <c r="X304" s="344"/>
      <c r="Y304" s="344"/>
      <c r="Z304" s="344"/>
      <c r="AA304" s="344"/>
      <c r="AB304" s="344"/>
      <c r="AC304" s="344"/>
    </row>
    <row r="305" ht="24.75" customHeight="1">
      <c r="A305" s="344"/>
      <c r="B305" s="346"/>
      <c r="C305" s="344"/>
      <c r="D305" s="344"/>
      <c r="E305" s="344"/>
      <c r="F305" s="344"/>
      <c r="G305" s="344"/>
      <c r="H305" s="344"/>
      <c r="I305" s="344"/>
      <c r="J305" s="344"/>
      <c r="K305" s="344"/>
      <c r="L305" s="344"/>
      <c r="M305" s="344"/>
      <c r="N305" s="344"/>
      <c r="O305" s="344"/>
      <c r="P305" s="346"/>
      <c r="Q305" s="344"/>
      <c r="R305" s="344"/>
      <c r="S305" s="344"/>
      <c r="T305" s="344"/>
      <c r="U305" s="344"/>
      <c r="V305" s="344"/>
      <c r="W305" s="344"/>
      <c r="X305" s="344"/>
      <c r="Y305" s="344"/>
      <c r="Z305" s="344"/>
      <c r="AA305" s="344"/>
      <c r="AB305" s="344"/>
      <c r="AC305" s="344"/>
    </row>
    <row r="306" ht="24.75" customHeight="1">
      <c r="A306" s="344"/>
      <c r="B306" s="346"/>
      <c r="C306" s="344"/>
      <c r="D306" s="344"/>
      <c r="E306" s="344"/>
      <c r="F306" s="344"/>
      <c r="G306" s="344"/>
      <c r="H306" s="344"/>
      <c r="I306" s="344"/>
      <c r="J306" s="344"/>
      <c r="K306" s="344"/>
      <c r="L306" s="344"/>
      <c r="M306" s="344"/>
      <c r="N306" s="344"/>
      <c r="O306" s="344"/>
      <c r="P306" s="346"/>
      <c r="Q306" s="344"/>
      <c r="R306" s="344"/>
      <c r="S306" s="344"/>
      <c r="T306" s="344"/>
      <c r="U306" s="344"/>
      <c r="V306" s="344"/>
      <c r="W306" s="344"/>
      <c r="X306" s="344"/>
      <c r="Y306" s="344"/>
      <c r="Z306" s="344"/>
      <c r="AA306" s="344"/>
      <c r="AB306" s="344"/>
      <c r="AC306" s="344"/>
    </row>
    <row r="307" ht="24.75" customHeight="1">
      <c r="A307" s="344"/>
      <c r="B307" s="346"/>
      <c r="C307" s="344"/>
      <c r="D307" s="344"/>
      <c r="E307" s="344"/>
      <c r="F307" s="344"/>
      <c r="G307" s="344"/>
      <c r="H307" s="344"/>
      <c r="I307" s="344"/>
      <c r="J307" s="344"/>
      <c r="K307" s="344"/>
      <c r="L307" s="344"/>
      <c r="M307" s="344"/>
      <c r="N307" s="344"/>
      <c r="O307" s="344"/>
      <c r="P307" s="346"/>
      <c r="Q307" s="344"/>
      <c r="R307" s="344"/>
      <c r="S307" s="344"/>
      <c r="T307" s="344"/>
      <c r="U307" s="344"/>
      <c r="V307" s="344"/>
      <c r="W307" s="344"/>
      <c r="X307" s="344"/>
      <c r="Y307" s="344"/>
      <c r="Z307" s="344"/>
      <c r="AA307" s="344"/>
      <c r="AB307" s="344"/>
      <c r="AC307" s="344"/>
    </row>
    <row r="308" ht="24.75" customHeight="1">
      <c r="A308" s="344"/>
      <c r="B308" s="346"/>
      <c r="C308" s="344"/>
      <c r="D308" s="344"/>
      <c r="E308" s="344"/>
      <c r="F308" s="344"/>
      <c r="G308" s="344"/>
      <c r="H308" s="344"/>
      <c r="I308" s="344"/>
      <c r="J308" s="344"/>
      <c r="K308" s="344"/>
      <c r="L308" s="344"/>
      <c r="M308" s="344"/>
      <c r="N308" s="344"/>
      <c r="O308" s="344"/>
      <c r="P308" s="346"/>
      <c r="Q308" s="344"/>
      <c r="R308" s="344"/>
      <c r="S308" s="344"/>
      <c r="T308" s="344"/>
      <c r="U308" s="344"/>
      <c r="V308" s="344"/>
      <c r="W308" s="344"/>
      <c r="X308" s="344"/>
      <c r="Y308" s="344"/>
      <c r="Z308" s="344"/>
      <c r="AA308" s="344"/>
      <c r="AB308" s="344"/>
      <c r="AC308" s="344"/>
    </row>
    <row r="309" ht="24.75" customHeight="1">
      <c r="A309" s="344"/>
      <c r="B309" s="346"/>
      <c r="C309" s="344"/>
      <c r="D309" s="344"/>
      <c r="E309" s="344"/>
      <c r="F309" s="344"/>
      <c r="G309" s="344"/>
      <c r="H309" s="344"/>
      <c r="I309" s="344"/>
      <c r="J309" s="344"/>
      <c r="K309" s="344"/>
      <c r="L309" s="344"/>
      <c r="M309" s="344"/>
      <c r="N309" s="344"/>
      <c r="O309" s="344"/>
      <c r="P309" s="346"/>
      <c r="Q309" s="344"/>
      <c r="R309" s="344"/>
      <c r="S309" s="344"/>
      <c r="T309" s="344"/>
      <c r="U309" s="344"/>
      <c r="V309" s="344"/>
      <c r="W309" s="344"/>
      <c r="X309" s="344"/>
      <c r="Y309" s="344"/>
      <c r="Z309" s="344"/>
      <c r="AA309" s="344"/>
      <c r="AB309" s="344"/>
      <c r="AC309" s="344"/>
    </row>
    <row r="310" ht="24.75" customHeight="1">
      <c r="A310" s="344"/>
      <c r="B310" s="346"/>
      <c r="C310" s="344"/>
      <c r="D310" s="344"/>
      <c r="E310" s="344"/>
      <c r="F310" s="344"/>
      <c r="G310" s="344"/>
      <c r="H310" s="344"/>
      <c r="I310" s="344"/>
      <c r="J310" s="344"/>
      <c r="K310" s="344"/>
      <c r="L310" s="344"/>
      <c r="M310" s="344"/>
      <c r="N310" s="344"/>
      <c r="O310" s="344"/>
      <c r="P310" s="346"/>
      <c r="Q310" s="344"/>
      <c r="R310" s="344"/>
      <c r="S310" s="344"/>
      <c r="T310" s="344"/>
      <c r="U310" s="344"/>
      <c r="V310" s="344"/>
      <c r="W310" s="344"/>
      <c r="X310" s="344"/>
      <c r="Y310" s="344"/>
      <c r="Z310" s="344"/>
      <c r="AA310" s="344"/>
      <c r="AB310" s="344"/>
      <c r="AC310" s="344"/>
    </row>
    <row r="311" ht="24.75" customHeight="1">
      <c r="A311" s="344"/>
      <c r="B311" s="346"/>
      <c r="C311" s="344"/>
      <c r="D311" s="344"/>
      <c r="E311" s="344"/>
      <c r="F311" s="344"/>
      <c r="G311" s="344"/>
      <c r="H311" s="344"/>
      <c r="I311" s="344"/>
      <c r="J311" s="344"/>
      <c r="K311" s="344"/>
      <c r="L311" s="344"/>
      <c r="M311" s="344"/>
      <c r="N311" s="344"/>
      <c r="O311" s="344"/>
      <c r="P311" s="346"/>
      <c r="Q311" s="344"/>
      <c r="R311" s="344"/>
      <c r="S311" s="344"/>
      <c r="T311" s="344"/>
      <c r="U311" s="344"/>
      <c r="V311" s="344"/>
      <c r="W311" s="344"/>
      <c r="X311" s="344"/>
      <c r="Y311" s="344"/>
      <c r="Z311" s="344"/>
      <c r="AA311" s="344"/>
      <c r="AB311" s="344"/>
      <c r="AC311" s="344"/>
    </row>
    <row r="312" ht="24.75" customHeight="1">
      <c r="A312" s="344"/>
      <c r="B312" s="346"/>
      <c r="C312" s="344"/>
      <c r="D312" s="344"/>
      <c r="E312" s="344"/>
      <c r="F312" s="344"/>
      <c r="G312" s="344"/>
      <c r="H312" s="344"/>
      <c r="I312" s="344"/>
      <c r="J312" s="344"/>
      <c r="K312" s="344"/>
      <c r="L312" s="344"/>
      <c r="M312" s="344"/>
      <c r="N312" s="344"/>
      <c r="O312" s="344"/>
      <c r="P312" s="346"/>
      <c r="Q312" s="344"/>
      <c r="R312" s="344"/>
      <c r="S312" s="344"/>
      <c r="T312" s="344"/>
      <c r="U312" s="344"/>
      <c r="V312" s="344"/>
      <c r="W312" s="344"/>
      <c r="X312" s="344"/>
      <c r="Y312" s="344"/>
      <c r="Z312" s="344"/>
      <c r="AA312" s="344"/>
      <c r="AB312" s="344"/>
      <c r="AC312" s="344"/>
    </row>
    <row r="313" ht="24.75" customHeight="1">
      <c r="A313" s="344"/>
      <c r="B313" s="346"/>
      <c r="C313" s="344"/>
      <c r="D313" s="344"/>
      <c r="E313" s="344"/>
      <c r="F313" s="344"/>
      <c r="G313" s="344"/>
      <c r="H313" s="344"/>
      <c r="I313" s="344"/>
      <c r="J313" s="344"/>
      <c r="K313" s="344"/>
      <c r="L313" s="344"/>
      <c r="M313" s="344"/>
      <c r="N313" s="344"/>
      <c r="O313" s="344"/>
      <c r="P313" s="346"/>
      <c r="Q313" s="344"/>
      <c r="R313" s="344"/>
      <c r="S313" s="344"/>
      <c r="T313" s="344"/>
      <c r="U313" s="344"/>
      <c r="V313" s="344"/>
      <c r="W313" s="344"/>
      <c r="X313" s="344"/>
      <c r="Y313" s="344"/>
      <c r="Z313" s="344"/>
      <c r="AA313" s="344"/>
      <c r="AB313" s="344"/>
      <c r="AC313" s="344"/>
    </row>
    <row r="314" ht="24.75" customHeight="1">
      <c r="A314" s="344"/>
      <c r="B314" s="346"/>
      <c r="C314" s="344"/>
      <c r="D314" s="344"/>
      <c r="E314" s="344"/>
      <c r="F314" s="344"/>
      <c r="G314" s="344"/>
      <c r="H314" s="344"/>
      <c r="I314" s="344"/>
      <c r="J314" s="344"/>
      <c r="K314" s="344"/>
      <c r="L314" s="344"/>
      <c r="M314" s="344"/>
      <c r="N314" s="344"/>
      <c r="O314" s="344"/>
      <c r="P314" s="346"/>
      <c r="Q314" s="344"/>
      <c r="R314" s="344"/>
      <c r="S314" s="344"/>
      <c r="T314" s="344"/>
      <c r="U314" s="344"/>
      <c r="V314" s="344"/>
      <c r="W314" s="344"/>
      <c r="X314" s="344"/>
      <c r="Y314" s="344"/>
      <c r="Z314" s="344"/>
      <c r="AA314" s="344"/>
      <c r="AB314" s="344"/>
      <c r="AC314" s="344"/>
    </row>
    <row r="315" ht="24.75" customHeight="1">
      <c r="A315" s="344"/>
      <c r="B315" s="346"/>
      <c r="C315" s="344"/>
      <c r="D315" s="344"/>
      <c r="E315" s="344"/>
      <c r="F315" s="344"/>
      <c r="G315" s="344"/>
      <c r="H315" s="344"/>
      <c r="I315" s="344"/>
      <c r="J315" s="344"/>
      <c r="K315" s="344"/>
      <c r="L315" s="344"/>
      <c r="M315" s="344"/>
      <c r="N315" s="344"/>
      <c r="O315" s="344"/>
      <c r="P315" s="346"/>
      <c r="Q315" s="344"/>
      <c r="R315" s="344"/>
      <c r="S315" s="344"/>
      <c r="T315" s="344"/>
      <c r="U315" s="344"/>
      <c r="V315" s="344"/>
      <c r="W315" s="344"/>
      <c r="X315" s="344"/>
      <c r="Y315" s="344"/>
      <c r="Z315" s="344"/>
      <c r="AA315" s="344"/>
      <c r="AB315" s="344"/>
      <c r="AC315" s="344"/>
    </row>
    <row r="316" ht="24.75" customHeight="1">
      <c r="A316" s="344"/>
      <c r="B316" s="346"/>
      <c r="C316" s="344"/>
      <c r="D316" s="344"/>
      <c r="E316" s="344"/>
      <c r="F316" s="344"/>
      <c r="G316" s="344"/>
      <c r="H316" s="344"/>
      <c r="I316" s="344"/>
      <c r="J316" s="344"/>
      <c r="K316" s="344"/>
      <c r="L316" s="344"/>
      <c r="M316" s="344"/>
      <c r="N316" s="344"/>
      <c r="O316" s="344"/>
      <c r="P316" s="346"/>
      <c r="Q316" s="344"/>
      <c r="R316" s="344"/>
      <c r="S316" s="344"/>
      <c r="T316" s="344"/>
      <c r="U316" s="344"/>
      <c r="V316" s="344"/>
      <c r="W316" s="344"/>
      <c r="X316" s="344"/>
      <c r="Y316" s="344"/>
      <c r="Z316" s="344"/>
      <c r="AA316" s="344"/>
      <c r="AB316" s="344"/>
      <c r="AC316" s="344"/>
    </row>
    <row r="317" ht="24.75" customHeight="1">
      <c r="A317" s="344"/>
      <c r="B317" s="346"/>
      <c r="C317" s="344"/>
      <c r="D317" s="344"/>
      <c r="E317" s="344"/>
      <c r="F317" s="344"/>
      <c r="G317" s="344"/>
      <c r="H317" s="344"/>
      <c r="I317" s="344"/>
      <c r="J317" s="344"/>
      <c r="K317" s="344"/>
      <c r="L317" s="344"/>
      <c r="M317" s="344"/>
      <c r="N317" s="344"/>
      <c r="O317" s="344"/>
      <c r="P317" s="346"/>
      <c r="Q317" s="344"/>
      <c r="R317" s="344"/>
      <c r="S317" s="344"/>
      <c r="T317" s="344"/>
      <c r="U317" s="344"/>
      <c r="V317" s="344"/>
      <c r="W317" s="344"/>
      <c r="X317" s="344"/>
      <c r="Y317" s="344"/>
      <c r="Z317" s="344"/>
      <c r="AA317" s="344"/>
      <c r="AB317" s="344"/>
      <c r="AC317" s="344"/>
    </row>
    <row r="318" ht="24.75" customHeight="1">
      <c r="A318" s="344"/>
      <c r="B318" s="346"/>
      <c r="C318" s="344"/>
      <c r="D318" s="344"/>
      <c r="E318" s="344"/>
      <c r="F318" s="344"/>
      <c r="G318" s="344"/>
      <c r="H318" s="344"/>
      <c r="I318" s="344"/>
      <c r="J318" s="344"/>
      <c r="K318" s="344"/>
      <c r="L318" s="344"/>
      <c r="M318" s="344"/>
      <c r="N318" s="344"/>
      <c r="O318" s="344"/>
      <c r="P318" s="346"/>
      <c r="Q318" s="344"/>
      <c r="R318" s="344"/>
      <c r="S318" s="344"/>
      <c r="T318" s="344"/>
      <c r="U318" s="344"/>
      <c r="V318" s="344"/>
      <c r="W318" s="344"/>
      <c r="X318" s="344"/>
      <c r="Y318" s="344"/>
      <c r="Z318" s="344"/>
      <c r="AA318" s="344"/>
      <c r="AB318" s="344"/>
      <c r="AC318" s="344"/>
    </row>
    <row r="319" ht="24.75" customHeight="1">
      <c r="A319" s="344"/>
      <c r="B319" s="346"/>
      <c r="C319" s="344"/>
      <c r="D319" s="344"/>
      <c r="E319" s="344"/>
      <c r="F319" s="344"/>
      <c r="G319" s="344"/>
      <c r="H319" s="344"/>
      <c r="I319" s="344"/>
      <c r="J319" s="344"/>
      <c r="K319" s="344"/>
      <c r="L319" s="344"/>
      <c r="M319" s="344"/>
      <c r="N319" s="344"/>
      <c r="O319" s="344"/>
      <c r="P319" s="346"/>
      <c r="Q319" s="344"/>
      <c r="R319" s="344"/>
      <c r="S319" s="344"/>
      <c r="T319" s="344"/>
      <c r="U319" s="344"/>
      <c r="V319" s="344"/>
      <c r="W319" s="344"/>
      <c r="X319" s="344"/>
      <c r="Y319" s="344"/>
      <c r="Z319" s="344"/>
      <c r="AA319" s="344"/>
      <c r="AB319" s="344"/>
      <c r="AC319" s="344"/>
    </row>
    <row r="320" ht="24.75" customHeight="1">
      <c r="A320" s="344"/>
      <c r="B320" s="346"/>
      <c r="C320" s="344"/>
      <c r="D320" s="344"/>
      <c r="E320" s="344"/>
      <c r="F320" s="344"/>
      <c r="G320" s="344"/>
      <c r="H320" s="344"/>
      <c r="I320" s="344"/>
      <c r="J320" s="344"/>
      <c r="K320" s="344"/>
      <c r="L320" s="344"/>
      <c r="M320" s="344"/>
      <c r="N320" s="344"/>
      <c r="O320" s="344"/>
      <c r="P320" s="346"/>
      <c r="Q320" s="344"/>
      <c r="R320" s="344"/>
      <c r="S320" s="344"/>
      <c r="T320" s="344"/>
      <c r="U320" s="344"/>
      <c r="V320" s="344"/>
      <c r="W320" s="344"/>
      <c r="X320" s="344"/>
      <c r="Y320" s="344"/>
      <c r="Z320" s="344"/>
      <c r="AA320" s="344"/>
      <c r="AB320" s="344"/>
      <c r="AC320" s="344"/>
    </row>
    <row r="321" ht="24.75" customHeight="1">
      <c r="A321" s="344"/>
      <c r="B321" s="346"/>
      <c r="C321" s="344"/>
      <c r="D321" s="344"/>
      <c r="E321" s="344"/>
      <c r="F321" s="344"/>
      <c r="G321" s="344"/>
      <c r="H321" s="344"/>
      <c r="I321" s="344"/>
      <c r="J321" s="344"/>
      <c r="K321" s="344"/>
      <c r="L321" s="344"/>
      <c r="M321" s="344"/>
      <c r="N321" s="344"/>
      <c r="O321" s="344"/>
      <c r="P321" s="346"/>
      <c r="Q321" s="344"/>
      <c r="R321" s="344"/>
      <c r="S321" s="344"/>
      <c r="T321" s="344"/>
      <c r="U321" s="344"/>
      <c r="V321" s="344"/>
      <c r="W321" s="344"/>
      <c r="X321" s="344"/>
      <c r="Y321" s="344"/>
      <c r="Z321" s="344"/>
      <c r="AA321" s="344"/>
      <c r="AB321" s="344"/>
      <c r="AC321" s="344"/>
    </row>
    <row r="322" ht="24.75" customHeight="1">
      <c r="A322" s="344"/>
      <c r="B322" s="346"/>
      <c r="C322" s="344"/>
      <c r="D322" s="344"/>
      <c r="E322" s="344"/>
      <c r="F322" s="344"/>
      <c r="G322" s="344"/>
      <c r="H322" s="344"/>
      <c r="I322" s="344"/>
      <c r="J322" s="344"/>
      <c r="K322" s="344"/>
      <c r="L322" s="344"/>
      <c r="M322" s="344"/>
      <c r="N322" s="344"/>
      <c r="O322" s="344"/>
      <c r="P322" s="346"/>
      <c r="Q322" s="344"/>
      <c r="R322" s="344"/>
      <c r="S322" s="344"/>
      <c r="T322" s="344"/>
      <c r="U322" s="344"/>
      <c r="V322" s="344"/>
      <c r="W322" s="344"/>
      <c r="X322" s="344"/>
      <c r="Y322" s="344"/>
      <c r="Z322" s="344"/>
      <c r="AA322" s="344"/>
      <c r="AB322" s="344"/>
      <c r="AC322" s="344"/>
    </row>
    <row r="323" ht="24.75" customHeight="1">
      <c r="A323" s="344"/>
      <c r="B323" s="346"/>
      <c r="C323" s="344"/>
      <c r="D323" s="344"/>
      <c r="E323" s="344"/>
      <c r="F323" s="344"/>
      <c r="G323" s="344"/>
      <c r="H323" s="344"/>
      <c r="I323" s="344"/>
      <c r="J323" s="344"/>
      <c r="K323" s="344"/>
      <c r="L323" s="344"/>
      <c r="M323" s="344"/>
      <c r="N323" s="344"/>
      <c r="O323" s="344"/>
      <c r="P323" s="346"/>
      <c r="Q323" s="344"/>
      <c r="R323" s="344"/>
      <c r="S323" s="344"/>
      <c r="T323" s="344"/>
      <c r="U323" s="344"/>
      <c r="V323" s="344"/>
      <c r="W323" s="344"/>
      <c r="X323" s="344"/>
      <c r="Y323" s="344"/>
      <c r="Z323" s="344"/>
      <c r="AA323" s="344"/>
      <c r="AB323" s="344"/>
      <c r="AC323" s="344"/>
    </row>
    <row r="324" ht="24.75" customHeight="1">
      <c r="A324" s="344"/>
      <c r="B324" s="346"/>
      <c r="C324" s="344"/>
      <c r="D324" s="344"/>
      <c r="E324" s="344"/>
      <c r="F324" s="344"/>
      <c r="G324" s="344"/>
      <c r="H324" s="344"/>
      <c r="I324" s="344"/>
      <c r="J324" s="344"/>
      <c r="K324" s="344"/>
      <c r="L324" s="344"/>
      <c r="M324" s="344"/>
      <c r="N324" s="344"/>
      <c r="O324" s="344"/>
      <c r="P324" s="346"/>
      <c r="Q324" s="344"/>
      <c r="R324" s="344"/>
      <c r="S324" s="344"/>
      <c r="T324" s="344"/>
      <c r="U324" s="344"/>
      <c r="V324" s="344"/>
      <c r="W324" s="344"/>
      <c r="X324" s="344"/>
      <c r="Y324" s="344"/>
      <c r="Z324" s="344"/>
      <c r="AA324" s="344"/>
      <c r="AB324" s="344"/>
      <c r="AC324" s="344"/>
    </row>
    <row r="325" ht="24.75" customHeight="1">
      <c r="A325" s="344"/>
      <c r="B325" s="346"/>
      <c r="C325" s="344"/>
      <c r="D325" s="344"/>
      <c r="E325" s="344"/>
      <c r="F325" s="344"/>
      <c r="G325" s="344"/>
      <c r="H325" s="344"/>
      <c r="I325" s="344"/>
      <c r="J325" s="344"/>
      <c r="K325" s="344"/>
      <c r="L325" s="344"/>
      <c r="M325" s="344"/>
      <c r="N325" s="344"/>
      <c r="O325" s="344"/>
      <c r="P325" s="346"/>
      <c r="Q325" s="344"/>
      <c r="R325" s="344"/>
      <c r="S325" s="344"/>
      <c r="T325" s="344"/>
      <c r="U325" s="344"/>
      <c r="V325" s="344"/>
      <c r="W325" s="344"/>
      <c r="X325" s="344"/>
      <c r="Y325" s="344"/>
      <c r="Z325" s="344"/>
      <c r="AA325" s="344"/>
      <c r="AB325" s="344"/>
      <c r="AC325" s="344"/>
    </row>
    <row r="326" ht="24.75" customHeight="1">
      <c r="A326" s="344"/>
      <c r="B326" s="346"/>
      <c r="C326" s="344"/>
      <c r="D326" s="344"/>
      <c r="E326" s="344"/>
      <c r="F326" s="344"/>
      <c r="G326" s="344"/>
      <c r="H326" s="344"/>
      <c r="I326" s="344"/>
      <c r="J326" s="344"/>
      <c r="K326" s="344"/>
      <c r="L326" s="344"/>
      <c r="M326" s="344"/>
      <c r="N326" s="344"/>
      <c r="O326" s="344"/>
      <c r="P326" s="346"/>
      <c r="Q326" s="344"/>
      <c r="R326" s="344"/>
      <c r="S326" s="344"/>
      <c r="T326" s="344"/>
      <c r="U326" s="344"/>
      <c r="V326" s="344"/>
      <c r="W326" s="344"/>
      <c r="X326" s="344"/>
      <c r="Y326" s="344"/>
      <c r="Z326" s="344"/>
      <c r="AA326" s="344"/>
      <c r="AB326" s="344"/>
      <c r="AC326" s="344"/>
    </row>
    <row r="327" ht="24.75" customHeight="1">
      <c r="A327" s="344"/>
      <c r="B327" s="346"/>
      <c r="C327" s="344"/>
      <c r="D327" s="344"/>
      <c r="E327" s="344"/>
      <c r="F327" s="344"/>
      <c r="G327" s="344"/>
      <c r="H327" s="344"/>
      <c r="I327" s="344"/>
      <c r="J327" s="344"/>
      <c r="K327" s="344"/>
      <c r="L327" s="344"/>
      <c r="M327" s="344"/>
      <c r="N327" s="344"/>
      <c r="O327" s="344"/>
      <c r="P327" s="346"/>
      <c r="Q327" s="344"/>
      <c r="R327" s="344"/>
      <c r="S327" s="344"/>
      <c r="T327" s="344"/>
      <c r="U327" s="344"/>
      <c r="V327" s="344"/>
      <c r="W327" s="344"/>
      <c r="X327" s="344"/>
      <c r="Y327" s="344"/>
      <c r="Z327" s="344"/>
      <c r="AA327" s="344"/>
      <c r="AB327" s="344"/>
      <c r="AC327" s="344"/>
    </row>
    <row r="328" ht="24.75" customHeight="1">
      <c r="A328" s="344"/>
      <c r="B328" s="346"/>
      <c r="C328" s="344"/>
      <c r="D328" s="344"/>
      <c r="E328" s="344"/>
      <c r="F328" s="344"/>
      <c r="G328" s="344"/>
      <c r="H328" s="344"/>
      <c r="I328" s="344"/>
      <c r="J328" s="344"/>
      <c r="K328" s="344"/>
      <c r="L328" s="344"/>
      <c r="M328" s="344"/>
      <c r="N328" s="344"/>
      <c r="O328" s="344"/>
      <c r="P328" s="346"/>
      <c r="Q328" s="344"/>
      <c r="R328" s="344"/>
      <c r="S328" s="344"/>
      <c r="T328" s="344"/>
      <c r="U328" s="344"/>
      <c r="V328" s="344"/>
      <c r="W328" s="344"/>
      <c r="X328" s="344"/>
      <c r="Y328" s="344"/>
      <c r="Z328" s="344"/>
      <c r="AA328" s="344"/>
      <c r="AB328" s="344"/>
      <c r="AC328" s="344"/>
    </row>
    <row r="329" ht="24.75" customHeight="1">
      <c r="A329" s="344"/>
      <c r="B329" s="346"/>
      <c r="C329" s="344"/>
      <c r="D329" s="344"/>
      <c r="E329" s="344"/>
      <c r="F329" s="344"/>
      <c r="G329" s="344"/>
      <c r="H329" s="344"/>
      <c r="I329" s="344"/>
      <c r="J329" s="344"/>
      <c r="K329" s="344"/>
      <c r="L329" s="344"/>
      <c r="M329" s="344"/>
      <c r="N329" s="344"/>
      <c r="O329" s="344"/>
      <c r="P329" s="346"/>
      <c r="Q329" s="344"/>
      <c r="R329" s="344"/>
      <c r="S329" s="344"/>
      <c r="T329" s="344"/>
      <c r="U329" s="344"/>
      <c r="V329" s="344"/>
      <c r="W329" s="344"/>
      <c r="X329" s="344"/>
      <c r="Y329" s="344"/>
      <c r="Z329" s="344"/>
      <c r="AA329" s="344"/>
      <c r="AB329" s="344"/>
      <c r="AC329" s="344"/>
    </row>
    <row r="330" ht="24.75" customHeight="1">
      <c r="A330" s="344"/>
      <c r="B330" s="346"/>
      <c r="C330" s="344"/>
      <c r="D330" s="344"/>
      <c r="E330" s="344"/>
      <c r="F330" s="344"/>
      <c r="G330" s="344"/>
      <c r="H330" s="344"/>
      <c r="I330" s="344"/>
      <c r="J330" s="344"/>
      <c r="K330" s="344"/>
      <c r="L330" s="344"/>
      <c r="M330" s="344"/>
      <c r="N330" s="344"/>
      <c r="O330" s="344"/>
      <c r="P330" s="346"/>
      <c r="Q330" s="344"/>
      <c r="R330" s="344"/>
      <c r="S330" s="344"/>
      <c r="T330" s="344"/>
      <c r="U330" s="344"/>
      <c r="V330" s="344"/>
      <c r="W330" s="344"/>
      <c r="X330" s="344"/>
      <c r="Y330" s="344"/>
      <c r="Z330" s="344"/>
      <c r="AA330" s="344"/>
      <c r="AB330" s="344"/>
      <c r="AC330" s="344"/>
    </row>
    <row r="331" ht="24.75" customHeight="1">
      <c r="A331" s="344"/>
      <c r="B331" s="346"/>
      <c r="C331" s="344"/>
      <c r="D331" s="344"/>
      <c r="E331" s="344"/>
      <c r="F331" s="344"/>
      <c r="G331" s="344"/>
      <c r="H331" s="344"/>
      <c r="I331" s="344"/>
      <c r="J331" s="344"/>
      <c r="K331" s="344"/>
      <c r="L331" s="344"/>
      <c r="M331" s="344"/>
      <c r="N331" s="344"/>
      <c r="O331" s="344"/>
      <c r="P331" s="346"/>
      <c r="Q331" s="344"/>
      <c r="R331" s="344"/>
      <c r="S331" s="344"/>
      <c r="T331" s="344"/>
      <c r="U331" s="344"/>
      <c r="V331" s="344"/>
      <c r="W331" s="344"/>
      <c r="X331" s="344"/>
      <c r="Y331" s="344"/>
      <c r="Z331" s="344"/>
      <c r="AA331" s="344"/>
      <c r="AB331" s="344"/>
      <c r="AC331" s="344"/>
    </row>
    <row r="332" ht="24.75" customHeight="1">
      <c r="A332" s="344"/>
      <c r="B332" s="346"/>
      <c r="C332" s="344"/>
      <c r="D332" s="344"/>
      <c r="E332" s="344"/>
      <c r="F332" s="344"/>
      <c r="G332" s="344"/>
      <c r="H332" s="344"/>
      <c r="I332" s="344"/>
      <c r="J332" s="344"/>
      <c r="K332" s="344"/>
      <c r="L332" s="344"/>
      <c r="M332" s="344"/>
      <c r="N332" s="344"/>
      <c r="O332" s="344"/>
      <c r="P332" s="346"/>
      <c r="Q332" s="344"/>
      <c r="R332" s="344"/>
      <c r="S332" s="344"/>
      <c r="T332" s="344"/>
      <c r="U332" s="344"/>
      <c r="V332" s="344"/>
      <c r="W332" s="344"/>
      <c r="X332" s="344"/>
      <c r="Y332" s="344"/>
      <c r="Z332" s="344"/>
      <c r="AA332" s="344"/>
      <c r="AB332" s="344"/>
      <c r="AC332" s="344"/>
    </row>
    <row r="333" ht="24.75" customHeight="1">
      <c r="A333" s="344"/>
      <c r="B333" s="346"/>
      <c r="C333" s="344"/>
      <c r="D333" s="344"/>
      <c r="E333" s="344"/>
      <c r="F333" s="344"/>
      <c r="G333" s="344"/>
      <c r="H333" s="344"/>
      <c r="I333" s="344"/>
      <c r="J333" s="344"/>
      <c r="K333" s="344"/>
      <c r="L333" s="344"/>
      <c r="M333" s="344"/>
      <c r="N333" s="344"/>
      <c r="O333" s="344"/>
      <c r="P333" s="346"/>
      <c r="Q333" s="344"/>
      <c r="R333" s="344"/>
      <c r="S333" s="344"/>
      <c r="T333" s="344"/>
      <c r="U333" s="344"/>
      <c r="V333" s="344"/>
      <c r="W333" s="344"/>
      <c r="X333" s="344"/>
      <c r="Y333" s="344"/>
      <c r="Z333" s="344"/>
      <c r="AA333" s="344"/>
      <c r="AB333" s="344"/>
      <c r="AC333" s="344"/>
    </row>
    <row r="334" ht="24.75" customHeight="1">
      <c r="A334" s="344"/>
      <c r="B334" s="346"/>
      <c r="C334" s="344"/>
      <c r="D334" s="344"/>
      <c r="E334" s="344"/>
      <c r="F334" s="344"/>
      <c r="G334" s="344"/>
      <c r="H334" s="344"/>
      <c r="I334" s="344"/>
      <c r="J334" s="344"/>
      <c r="K334" s="344"/>
      <c r="L334" s="344"/>
      <c r="M334" s="344"/>
      <c r="N334" s="344"/>
      <c r="O334" s="344"/>
      <c r="P334" s="346"/>
      <c r="Q334" s="344"/>
      <c r="R334" s="344"/>
      <c r="S334" s="344"/>
      <c r="T334" s="344"/>
      <c r="U334" s="344"/>
      <c r="V334" s="344"/>
      <c r="W334" s="344"/>
      <c r="X334" s="344"/>
      <c r="Y334" s="344"/>
      <c r="Z334" s="344"/>
      <c r="AA334" s="344"/>
      <c r="AB334" s="344"/>
      <c r="AC334" s="344"/>
    </row>
    <row r="335" ht="24.75" customHeight="1">
      <c r="A335" s="344"/>
      <c r="B335" s="346"/>
      <c r="C335" s="344"/>
      <c r="D335" s="344"/>
      <c r="E335" s="344"/>
      <c r="F335" s="344"/>
      <c r="G335" s="344"/>
      <c r="H335" s="344"/>
      <c r="I335" s="344"/>
      <c r="J335" s="344"/>
      <c r="K335" s="344"/>
      <c r="L335" s="344"/>
      <c r="M335" s="344"/>
      <c r="N335" s="344"/>
      <c r="O335" s="344"/>
      <c r="P335" s="346"/>
      <c r="Q335" s="344"/>
      <c r="R335" s="344"/>
      <c r="S335" s="344"/>
      <c r="T335" s="344"/>
      <c r="U335" s="344"/>
      <c r="V335" s="344"/>
      <c r="W335" s="344"/>
      <c r="X335" s="344"/>
      <c r="Y335" s="344"/>
      <c r="Z335" s="344"/>
      <c r="AA335" s="344"/>
      <c r="AB335" s="344"/>
      <c r="AC335" s="344"/>
    </row>
    <row r="336" ht="24.75" customHeight="1">
      <c r="A336" s="344"/>
      <c r="B336" s="346"/>
      <c r="C336" s="344"/>
      <c r="D336" s="344"/>
      <c r="E336" s="344"/>
      <c r="F336" s="344"/>
      <c r="G336" s="344"/>
      <c r="H336" s="344"/>
      <c r="I336" s="344"/>
      <c r="J336" s="344"/>
      <c r="K336" s="344"/>
      <c r="L336" s="344"/>
      <c r="M336" s="344"/>
      <c r="N336" s="344"/>
      <c r="O336" s="344"/>
      <c r="P336" s="346"/>
      <c r="Q336" s="344"/>
      <c r="R336" s="344"/>
      <c r="S336" s="344"/>
      <c r="T336" s="344"/>
      <c r="U336" s="344"/>
      <c r="V336" s="344"/>
      <c r="W336" s="344"/>
      <c r="X336" s="344"/>
      <c r="Y336" s="344"/>
      <c r="Z336" s="344"/>
      <c r="AA336" s="344"/>
      <c r="AB336" s="344"/>
      <c r="AC336" s="344"/>
    </row>
    <row r="337" ht="24.75" customHeight="1">
      <c r="A337" s="344"/>
      <c r="B337" s="346"/>
      <c r="C337" s="344"/>
      <c r="D337" s="344"/>
      <c r="E337" s="344"/>
      <c r="F337" s="344"/>
      <c r="G337" s="344"/>
      <c r="H337" s="344"/>
      <c r="I337" s="344"/>
      <c r="J337" s="344"/>
      <c r="K337" s="344"/>
      <c r="L337" s="344"/>
      <c r="M337" s="344"/>
      <c r="N337" s="344"/>
      <c r="O337" s="344"/>
      <c r="P337" s="346"/>
      <c r="Q337" s="344"/>
      <c r="R337" s="344"/>
      <c r="S337" s="344"/>
      <c r="T337" s="344"/>
      <c r="U337" s="344"/>
      <c r="V337" s="344"/>
      <c r="W337" s="344"/>
      <c r="X337" s="344"/>
      <c r="Y337" s="344"/>
      <c r="Z337" s="344"/>
      <c r="AA337" s="344"/>
      <c r="AB337" s="344"/>
      <c r="AC337" s="344"/>
    </row>
    <row r="338" ht="24.75" customHeight="1">
      <c r="A338" s="344"/>
      <c r="B338" s="346"/>
      <c r="C338" s="344"/>
      <c r="D338" s="344"/>
      <c r="E338" s="344"/>
      <c r="F338" s="344"/>
      <c r="G338" s="344"/>
      <c r="H338" s="344"/>
      <c r="I338" s="344"/>
      <c r="J338" s="344"/>
      <c r="K338" s="344"/>
      <c r="L338" s="344"/>
      <c r="M338" s="344"/>
      <c r="N338" s="344"/>
      <c r="O338" s="344"/>
      <c r="P338" s="346"/>
      <c r="Q338" s="344"/>
      <c r="R338" s="344"/>
      <c r="S338" s="344"/>
      <c r="T338" s="344"/>
      <c r="U338" s="344"/>
      <c r="V338" s="344"/>
      <c r="W338" s="344"/>
      <c r="X338" s="344"/>
      <c r="Y338" s="344"/>
      <c r="Z338" s="344"/>
      <c r="AA338" s="344"/>
      <c r="AB338" s="344"/>
      <c r="AC338" s="344"/>
    </row>
    <row r="339" ht="24.75" customHeight="1">
      <c r="A339" s="344"/>
      <c r="B339" s="346"/>
      <c r="C339" s="344"/>
      <c r="D339" s="344"/>
      <c r="E339" s="344"/>
      <c r="F339" s="344"/>
      <c r="G339" s="344"/>
      <c r="H339" s="344"/>
      <c r="I339" s="344"/>
      <c r="J339" s="344"/>
      <c r="K339" s="344"/>
      <c r="L339" s="344"/>
      <c r="M339" s="344"/>
      <c r="N339" s="344"/>
      <c r="O339" s="344"/>
      <c r="P339" s="346"/>
      <c r="Q339" s="344"/>
      <c r="R339" s="344"/>
      <c r="S339" s="344"/>
      <c r="T339" s="344"/>
      <c r="U339" s="344"/>
      <c r="V339" s="344"/>
      <c r="W339" s="344"/>
      <c r="X339" s="344"/>
      <c r="Y339" s="344"/>
      <c r="Z339" s="344"/>
      <c r="AA339" s="344"/>
      <c r="AB339" s="344"/>
      <c r="AC339" s="344"/>
    </row>
    <row r="340" ht="24.75" customHeight="1">
      <c r="A340" s="344"/>
      <c r="B340" s="346"/>
      <c r="C340" s="344"/>
      <c r="D340" s="344"/>
      <c r="E340" s="344"/>
      <c r="F340" s="344"/>
      <c r="G340" s="344"/>
      <c r="H340" s="344"/>
      <c r="I340" s="344"/>
      <c r="J340" s="344"/>
      <c r="K340" s="344"/>
      <c r="L340" s="344"/>
      <c r="M340" s="344"/>
      <c r="N340" s="344"/>
      <c r="O340" s="344"/>
      <c r="P340" s="346"/>
      <c r="Q340" s="344"/>
      <c r="R340" s="344"/>
      <c r="S340" s="344"/>
      <c r="T340" s="344"/>
      <c r="U340" s="344"/>
      <c r="V340" s="344"/>
      <c r="W340" s="344"/>
      <c r="X340" s="344"/>
      <c r="Y340" s="344"/>
      <c r="Z340" s="344"/>
      <c r="AA340" s="344"/>
      <c r="AB340" s="344"/>
      <c r="AC340" s="344"/>
    </row>
    <row r="341" ht="24.75" customHeight="1">
      <c r="A341" s="344"/>
      <c r="B341" s="346"/>
      <c r="C341" s="344"/>
      <c r="D341" s="344"/>
      <c r="E341" s="344"/>
      <c r="F341" s="344"/>
      <c r="G341" s="344"/>
      <c r="H341" s="344"/>
      <c r="I341" s="344"/>
      <c r="J341" s="344"/>
      <c r="K341" s="344"/>
      <c r="L341" s="344"/>
      <c r="M341" s="344"/>
      <c r="N341" s="344"/>
      <c r="O341" s="344"/>
      <c r="P341" s="346"/>
      <c r="Q341" s="344"/>
      <c r="R341" s="344"/>
      <c r="S341" s="344"/>
      <c r="T341" s="344"/>
      <c r="U341" s="344"/>
      <c r="V341" s="344"/>
      <c r="W341" s="344"/>
      <c r="X341" s="344"/>
      <c r="Y341" s="344"/>
      <c r="Z341" s="344"/>
      <c r="AA341" s="344"/>
      <c r="AB341" s="344"/>
      <c r="AC341" s="344"/>
    </row>
    <row r="342" ht="24.75" customHeight="1">
      <c r="A342" s="344"/>
      <c r="B342" s="346"/>
      <c r="C342" s="344"/>
      <c r="D342" s="344"/>
      <c r="E342" s="344"/>
      <c r="F342" s="344"/>
      <c r="G342" s="344"/>
      <c r="H342" s="344"/>
      <c r="I342" s="344"/>
      <c r="J342" s="344"/>
      <c r="K342" s="344"/>
      <c r="L342" s="344"/>
      <c r="M342" s="344"/>
      <c r="N342" s="344"/>
      <c r="O342" s="344"/>
      <c r="P342" s="346"/>
      <c r="Q342" s="344"/>
      <c r="R342" s="344"/>
      <c r="S342" s="344"/>
      <c r="T342" s="344"/>
      <c r="U342" s="344"/>
      <c r="V342" s="344"/>
      <c r="W342" s="344"/>
      <c r="X342" s="344"/>
      <c r="Y342" s="344"/>
      <c r="Z342" s="344"/>
      <c r="AA342" s="344"/>
      <c r="AB342" s="344"/>
      <c r="AC342" s="344"/>
    </row>
    <row r="343" ht="24.75" customHeight="1">
      <c r="A343" s="344"/>
      <c r="B343" s="346"/>
      <c r="C343" s="344"/>
      <c r="D343" s="344"/>
      <c r="E343" s="344"/>
      <c r="F343" s="344"/>
      <c r="G343" s="344"/>
      <c r="H343" s="344"/>
      <c r="I343" s="344"/>
      <c r="J343" s="344"/>
      <c r="K343" s="344"/>
      <c r="L343" s="344"/>
      <c r="M343" s="344"/>
      <c r="N343" s="344"/>
      <c r="O343" s="344"/>
      <c r="P343" s="346"/>
      <c r="Q343" s="344"/>
      <c r="R343" s="344"/>
      <c r="S343" s="344"/>
      <c r="T343" s="344"/>
      <c r="U343" s="344"/>
      <c r="V343" s="344"/>
      <c r="W343" s="344"/>
      <c r="X343" s="344"/>
      <c r="Y343" s="344"/>
      <c r="Z343" s="344"/>
      <c r="AA343" s="344"/>
      <c r="AB343" s="344"/>
      <c r="AC343" s="344"/>
    </row>
    <row r="344" ht="24.75" customHeight="1">
      <c r="A344" s="344"/>
      <c r="B344" s="346"/>
      <c r="C344" s="344"/>
      <c r="D344" s="344"/>
      <c r="E344" s="344"/>
      <c r="F344" s="344"/>
      <c r="G344" s="344"/>
      <c r="H344" s="344"/>
      <c r="I344" s="344"/>
      <c r="J344" s="344"/>
      <c r="K344" s="344"/>
      <c r="L344" s="344"/>
      <c r="M344" s="344"/>
      <c r="N344" s="344"/>
      <c r="O344" s="344"/>
      <c r="P344" s="346"/>
      <c r="Q344" s="344"/>
      <c r="R344" s="344"/>
      <c r="S344" s="344"/>
      <c r="T344" s="344"/>
      <c r="U344" s="344"/>
      <c r="V344" s="344"/>
      <c r="W344" s="344"/>
      <c r="X344" s="344"/>
      <c r="Y344" s="344"/>
      <c r="Z344" s="344"/>
      <c r="AA344" s="344"/>
      <c r="AB344" s="344"/>
      <c r="AC344" s="344"/>
    </row>
    <row r="345" ht="24.75" customHeight="1">
      <c r="A345" s="344"/>
      <c r="B345" s="346"/>
      <c r="C345" s="344"/>
      <c r="D345" s="344"/>
      <c r="E345" s="344"/>
      <c r="F345" s="344"/>
      <c r="G345" s="344"/>
      <c r="H345" s="344"/>
      <c r="I345" s="344"/>
      <c r="J345" s="344"/>
      <c r="K345" s="344"/>
      <c r="L345" s="344"/>
      <c r="M345" s="344"/>
      <c r="N345" s="344"/>
      <c r="O345" s="344"/>
      <c r="P345" s="346"/>
      <c r="Q345" s="344"/>
      <c r="R345" s="344"/>
      <c r="S345" s="344"/>
      <c r="T345" s="344"/>
      <c r="U345" s="344"/>
      <c r="V345" s="344"/>
      <c r="W345" s="344"/>
      <c r="X345" s="344"/>
      <c r="Y345" s="344"/>
      <c r="Z345" s="344"/>
      <c r="AA345" s="344"/>
      <c r="AB345" s="344"/>
      <c r="AC345" s="344"/>
    </row>
    <row r="346" ht="24.75" customHeight="1">
      <c r="A346" s="344"/>
      <c r="B346" s="346"/>
      <c r="C346" s="344"/>
      <c r="D346" s="344"/>
      <c r="E346" s="344"/>
      <c r="F346" s="344"/>
      <c r="G346" s="344"/>
      <c r="H346" s="344"/>
      <c r="I346" s="344"/>
      <c r="J346" s="344"/>
      <c r="K346" s="344"/>
      <c r="L346" s="344"/>
      <c r="M346" s="344"/>
      <c r="N346" s="344"/>
      <c r="O346" s="344"/>
      <c r="P346" s="346"/>
      <c r="Q346" s="344"/>
      <c r="R346" s="344"/>
      <c r="S346" s="344"/>
      <c r="T346" s="344"/>
      <c r="U346" s="344"/>
      <c r="V346" s="344"/>
      <c r="W346" s="344"/>
      <c r="X346" s="344"/>
      <c r="Y346" s="344"/>
      <c r="Z346" s="344"/>
      <c r="AA346" s="344"/>
      <c r="AB346" s="344"/>
      <c r="AC346" s="344"/>
    </row>
    <row r="347" ht="24.75" customHeight="1">
      <c r="A347" s="344"/>
      <c r="B347" s="346"/>
      <c r="C347" s="344"/>
      <c r="D347" s="344"/>
      <c r="E347" s="344"/>
      <c r="F347" s="344"/>
      <c r="G347" s="344"/>
      <c r="H347" s="344"/>
      <c r="I347" s="344"/>
      <c r="J347" s="344"/>
      <c r="K347" s="344"/>
      <c r="L347" s="344"/>
      <c r="M347" s="344"/>
      <c r="N347" s="344"/>
      <c r="O347" s="344"/>
      <c r="P347" s="346"/>
      <c r="Q347" s="344"/>
      <c r="R347" s="344"/>
      <c r="S347" s="344"/>
      <c r="T347" s="344"/>
      <c r="U347" s="344"/>
      <c r="V347" s="344"/>
      <c r="W347" s="344"/>
      <c r="X347" s="344"/>
      <c r="Y347" s="344"/>
      <c r="Z347" s="344"/>
      <c r="AA347" s="344"/>
      <c r="AB347" s="344"/>
      <c r="AC347" s="344"/>
    </row>
    <row r="348" ht="24.75" customHeight="1">
      <c r="A348" s="344"/>
      <c r="B348" s="346"/>
      <c r="C348" s="344"/>
      <c r="D348" s="344"/>
      <c r="E348" s="344"/>
      <c r="F348" s="344"/>
      <c r="G348" s="344"/>
      <c r="H348" s="344"/>
      <c r="I348" s="344"/>
      <c r="J348" s="344"/>
      <c r="K348" s="344"/>
      <c r="L348" s="344"/>
      <c r="M348" s="344"/>
      <c r="N348" s="344"/>
      <c r="O348" s="344"/>
      <c r="P348" s="346"/>
      <c r="Q348" s="344"/>
      <c r="R348" s="344"/>
      <c r="S348" s="344"/>
      <c r="T348" s="344"/>
      <c r="U348" s="344"/>
      <c r="V348" s="344"/>
      <c r="W348" s="344"/>
      <c r="X348" s="344"/>
      <c r="Y348" s="344"/>
      <c r="Z348" s="344"/>
      <c r="AA348" s="344"/>
      <c r="AB348" s="344"/>
      <c r="AC348" s="344"/>
    </row>
    <row r="349" ht="24.75" customHeight="1">
      <c r="A349" s="344"/>
      <c r="B349" s="346"/>
      <c r="C349" s="344"/>
      <c r="D349" s="344"/>
      <c r="E349" s="344"/>
      <c r="F349" s="344"/>
      <c r="G349" s="344"/>
      <c r="H349" s="344"/>
      <c r="I349" s="344"/>
      <c r="J349" s="344"/>
      <c r="K349" s="344"/>
      <c r="L349" s="344"/>
      <c r="M349" s="344"/>
      <c r="N349" s="344"/>
      <c r="O349" s="344"/>
      <c r="P349" s="346"/>
      <c r="Q349" s="344"/>
      <c r="R349" s="344"/>
      <c r="S349" s="344"/>
      <c r="T349" s="344"/>
      <c r="U349" s="344"/>
      <c r="V349" s="344"/>
      <c r="W349" s="344"/>
      <c r="X349" s="344"/>
      <c r="Y349" s="344"/>
      <c r="Z349" s="344"/>
      <c r="AA349" s="344"/>
      <c r="AB349" s="344"/>
      <c r="AC349" s="344"/>
    </row>
    <row r="350" ht="24.75" customHeight="1">
      <c r="A350" s="344"/>
      <c r="B350" s="346"/>
      <c r="C350" s="344"/>
      <c r="D350" s="344"/>
      <c r="E350" s="344"/>
      <c r="F350" s="344"/>
      <c r="G350" s="344"/>
      <c r="H350" s="344"/>
      <c r="I350" s="344"/>
      <c r="J350" s="344"/>
      <c r="K350" s="344"/>
      <c r="L350" s="344"/>
      <c r="M350" s="344"/>
      <c r="N350" s="344"/>
      <c r="O350" s="344"/>
      <c r="P350" s="346"/>
      <c r="Q350" s="344"/>
      <c r="R350" s="344"/>
      <c r="S350" s="344"/>
      <c r="T350" s="344"/>
      <c r="U350" s="344"/>
      <c r="V350" s="344"/>
      <c r="W350" s="344"/>
      <c r="X350" s="344"/>
      <c r="Y350" s="344"/>
      <c r="Z350" s="344"/>
      <c r="AA350" s="344"/>
      <c r="AB350" s="344"/>
      <c r="AC350" s="344"/>
    </row>
    <row r="351" ht="24.75" customHeight="1">
      <c r="A351" s="344"/>
      <c r="B351" s="346"/>
      <c r="C351" s="344"/>
      <c r="D351" s="344"/>
      <c r="E351" s="344"/>
      <c r="F351" s="344"/>
      <c r="G351" s="344"/>
      <c r="H351" s="344"/>
      <c r="I351" s="344"/>
      <c r="J351" s="344"/>
      <c r="K351" s="344"/>
      <c r="L351" s="344"/>
      <c r="M351" s="344"/>
      <c r="N351" s="344"/>
      <c r="O351" s="344"/>
      <c r="P351" s="346"/>
      <c r="Q351" s="344"/>
      <c r="R351" s="344"/>
      <c r="S351" s="344"/>
      <c r="T351" s="344"/>
      <c r="U351" s="344"/>
      <c r="V351" s="344"/>
      <c r="W351" s="344"/>
      <c r="X351" s="344"/>
      <c r="Y351" s="344"/>
      <c r="Z351" s="344"/>
      <c r="AA351" s="344"/>
      <c r="AB351" s="344"/>
      <c r="AC351" s="344"/>
    </row>
    <row r="352" ht="24.75" customHeight="1">
      <c r="A352" s="344"/>
      <c r="B352" s="346"/>
      <c r="C352" s="344"/>
      <c r="D352" s="344"/>
      <c r="E352" s="344"/>
      <c r="F352" s="344"/>
      <c r="G352" s="344"/>
      <c r="H352" s="344"/>
      <c r="I352" s="344"/>
      <c r="J352" s="344"/>
      <c r="K352" s="344"/>
      <c r="L352" s="344"/>
      <c r="M352" s="344"/>
      <c r="N352" s="344"/>
      <c r="O352" s="344"/>
      <c r="P352" s="346"/>
      <c r="Q352" s="344"/>
      <c r="R352" s="344"/>
      <c r="S352" s="344"/>
      <c r="T352" s="344"/>
      <c r="U352" s="344"/>
      <c r="V352" s="344"/>
      <c r="W352" s="344"/>
      <c r="X352" s="344"/>
      <c r="Y352" s="344"/>
      <c r="Z352" s="344"/>
      <c r="AA352" s="344"/>
      <c r="AB352" s="344"/>
      <c r="AC352" s="344"/>
    </row>
    <row r="353" ht="24.75" customHeight="1">
      <c r="A353" s="344"/>
      <c r="B353" s="346"/>
      <c r="C353" s="344"/>
      <c r="D353" s="344"/>
      <c r="E353" s="344"/>
      <c r="F353" s="344"/>
      <c r="G353" s="344"/>
      <c r="H353" s="344"/>
      <c r="I353" s="344"/>
      <c r="J353" s="344"/>
      <c r="K353" s="344"/>
      <c r="L353" s="344"/>
      <c r="M353" s="344"/>
      <c r="N353" s="344"/>
      <c r="O353" s="344"/>
      <c r="P353" s="346"/>
      <c r="Q353" s="344"/>
      <c r="R353" s="344"/>
      <c r="S353" s="344"/>
      <c r="T353" s="344"/>
      <c r="U353" s="344"/>
      <c r="V353" s="344"/>
      <c r="W353" s="344"/>
      <c r="X353" s="344"/>
      <c r="Y353" s="344"/>
      <c r="Z353" s="344"/>
      <c r="AA353" s="344"/>
      <c r="AB353" s="344"/>
      <c r="AC353" s="344"/>
    </row>
    <row r="354" ht="24.75" customHeight="1">
      <c r="A354" s="344"/>
      <c r="B354" s="346"/>
      <c r="C354" s="344"/>
      <c r="D354" s="344"/>
      <c r="E354" s="344"/>
      <c r="F354" s="344"/>
      <c r="G354" s="344"/>
      <c r="H354" s="344"/>
      <c r="I354" s="344"/>
      <c r="J354" s="344"/>
      <c r="K354" s="344"/>
      <c r="L354" s="344"/>
      <c r="M354" s="344"/>
      <c r="N354" s="344"/>
      <c r="O354" s="344"/>
      <c r="P354" s="346"/>
      <c r="Q354" s="344"/>
      <c r="R354" s="344"/>
      <c r="S354" s="344"/>
      <c r="T354" s="344"/>
      <c r="U354" s="344"/>
      <c r="V354" s="344"/>
      <c r="W354" s="344"/>
      <c r="X354" s="344"/>
      <c r="Y354" s="344"/>
      <c r="Z354" s="344"/>
      <c r="AA354" s="344"/>
      <c r="AB354" s="344"/>
      <c r="AC354" s="344"/>
    </row>
    <row r="355" ht="24.75" customHeight="1">
      <c r="A355" s="344"/>
      <c r="B355" s="346"/>
      <c r="C355" s="344"/>
      <c r="D355" s="344"/>
      <c r="E355" s="344"/>
      <c r="F355" s="344"/>
      <c r="G355" s="344"/>
      <c r="H355" s="344"/>
      <c r="I355" s="344"/>
      <c r="J355" s="344"/>
      <c r="K355" s="344"/>
      <c r="L355" s="344"/>
      <c r="M355" s="344"/>
      <c r="N355" s="344"/>
      <c r="O355" s="344"/>
      <c r="P355" s="346"/>
      <c r="Q355" s="344"/>
      <c r="R355" s="344"/>
      <c r="S355" s="344"/>
      <c r="T355" s="344"/>
      <c r="U355" s="344"/>
      <c r="V355" s="344"/>
      <c r="W355" s="344"/>
      <c r="X355" s="344"/>
      <c r="Y355" s="344"/>
      <c r="Z355" s="344"/>
      <c r="AA355" s="344"/>
      <c r="AB355" s="344"/>
      <c r="AC355" s="344"/>
    </row>
    <row r="356" ht="24.75" customHeight="1">
      <c r="A356" s="344"/>
      <c r="B356" s="346"/>
      <c r="C356" s="344"/>
      <c r="D356" s="344"/>
      <c r="E356" s="344"/>
      <c r="F356" s="344"/>
      <c r="G356" s="344"/>
      <c r="H356" s="344"/>
      <c r="I356" s="344"/>
      <c r="J356" s="344"/>
      <c r="K356" s="344"/>
      <c r="L356" s="344"/>
      <c r="M356" s="344"/>
      <c r="N356" s="344"/>
      <c r="O356" s="344"/>
      <c r="P356" s="346"/>
      <c r="Q356" s="344"/>
      <c r="R356" s="344"/>
      <c r="S356" s="344"/>
      <c r="T356" s="344"/>
      <c r="U356" s="344"/>
      <c r="V356" s="344"/>
      <c r="W356" s="344"/>
      <c r="X356" s="344"/>
      <c r="Y356" s="344"/>
      <c r="Z356" s="344"/>
      <c r="AA356" s="344"/>
      <c r="AB356" s="344"/>
      <c r="AC356" s="344"/>
    </row>
    <row r="357" ht="24.75" customHeight="1">
      <c r="A357" s="344"/>
      <c r="B357" s="346"/>
      <c r="C357" s="344"/>
      <c r="D357" s="344"/>
      <c r="E357" s="344"/>
      <c r="F357" s="344"/>
      <c r="G357" s="344"/>
      <c r="H357" s="344"/>
      <c r="I357" s="344"/>
      <c r="J357" s="344"/>
      <c r="K357" s="344"/>
      <c r="L357" s="344"/>
      <c r="M357" s="344"/>
      <c r="N357" s="344"/>
      <c r="O357" s="344"/>
      <c r="P357" s="346"/>
      <c r="Q357" s="344"/>
      <c r="R357" s="344"/>
      <c r="S357" s="344"/>
      <c r="T357" s="344"/>
      <c r="U357" s="344"/>
      <c r="V357" s="344"/>
      <c r="W357" s="344"/>
      <c r="X357" s="344"/>
      <c r="Y357" s="344"/>
      <c r="Z357" s="344"/>
      <c r="AA357" s="344"/>
      <c r="AB357" s="344"/>
      <c r="AC357" s="344"/>
    </row>
    <row r="358" ht="24.75" customHeight="1">
      <c r="A358" s="344"/>
      <c r="B358" s="346"/>
      <c r="C358" s="344"/>
      <c r="D358" s="344"/>
      <c r="E358" s="344"/>
      <c r="F358" s="344"/>
      <c r="G358" s="344"/>
      <c r="H358" s="344"/>
      <c r="I358" s="344"/>
      <c r="J358" s="344"/>
      <c r="K358" s="344"/>
      <c r="L358" s="344"/>
      <c r="M358" s="344"/>
      <c r="N358" s="344"/>
      <c r="O358" s="344"/>
      <c r="P358" s="346"/>
      <c r="Q358" s="344"/>
      <c r="R358" s="344"/>
      <c r="S358" s="344"/>
      <c r="T358" s="344"/>
      <c r="U358" s="344"/>
      <c r="V358" s="344"/>
      <c r="W358" s="344"/>
      <c r="X358" s="344"/>
      <c r="Y358" s="344"/>
      <c r="Z358" s="344"/>
      <c r="AA358" s="344"/>
      <c r="AB358" s="344"/>
      <c r="AC358" s="344"/>
    </row>
    <row r="359" ht="24.75" customHeight="1">
      <c r="A359" s="344"/>
      <c r="B359" s="346"/>
      <c r="C359" s="344"/>
      <c r="D359" s="344"/>
      <c r="E359" s="344"/>
      <c r="F359" s="344"/>
      <c r="G359" s="344"/>
      <c r="H359" s="344"/>
      <c r="I359" s="344"/>
      <c r="J359" s="344"/>
      <c r="K359" s="344"/>
      <c r="L359" s="344"/>
      <c r="M359" s="344"/>
      <c r="N359" s="344"/>
      <c r="O359" s="344"/>
      <c r="P359" s="346"/>
      <c r="Q359" s="344"/>
      <c r="R359" s="344"/>
      <c r="S359" s="344"/>
      <c r="T359" s="344"/>
      <c r="U359" s="344"/>
      <c r="V359" s="344"/>
      <c r="W359" s="344"/>
      <c r="X359" s="344"/>
      <c r="Y359" s="344"/>
      <c r="Z359" s="344"/>
      <c r="AA359" s="344"/>
      <c r="AB359" s="344"/>
      <c r="AC359" s="344"/>
    </row>
    <row r="360" ht="24.75" customHeight="1">
      <c r="A360" s="344"/>
      <c r="B360" s="346"/>
      <c r="C360" s="344"/>
      <c r="D360" s="344"/>
      <c r="E360" s="344"/>
      <c r="F360" s="344"/>
      <c r="G360" s="344"/>
      <c r="H360" s="344"/>
      <c r="I360" s="344"/>
      <c r="J360" s="344"/>
      <c r="K360" s="344"/>
      <c r="L360" s="344"/>
      <c r="M360" s="344"/>
      <c r="N360" s="344"/>
      <c r="O360" s="344"/>
      <c r="P360" s="346"/>
      <c r="Q360" s="344"/>
      <c r="R360" s="344"/>
      <c r="S360" s="344"/>
      <c r="T360" s="344"/>
      <c r="U360" s="344"/>
      <c r="V360" s="344"/>
      <c r="W360" s="344"/>
      <c r="X360" s="344"/>
      <c r="Y360" s="344"/>
      <c r="Z360" s="344"/>
      <c r="AA360" s="344"/>
      <c r="AB360" s="344"/>
      <c r="AC360" s="344"/>
    </row>
    <row r="361" ht="24.75" customHeight="1">
      <c r="A361" s="344"/>
      <c r="B361" s="346"/>
      <c r="C361" s="344"/>
      <c r="D361" s="344"/>
      <c r="E361" s="344"/>
      <c r="F361" s="344"/>
      <c r="G361" s="344"/>
      <c r="H361" s="344"/>
      <c r="I361" s="344"/>
      <c r="J361" s="344"/>
      <c r="K361" s="344"/>
      <c r="L361" s="344"/>
      <c r="M361" s="344"/>
      <c r="N361" s="344"/>
      <c r="O361" s="344"/>
      <c r="P361" s="346"/>
      <c r="Q361" s="344"/>
      <c r="R361" s="344"/>
      <c r="S361" s="344"/>
      <c r="T361" s="344"/>
      <c r="U361" s="344"/>
      <c r="V361" s="344"/>
      <c r="W361" s="344"/>
      <c r="X361" s="344"/>
      <c r="Y361" s="344"/>
      <c r="Z361" s="344"/>
      <c r="AA361" s="344"/>
      <c r="AB361" s="344"/>
      <c r="AC361" s="344"/>
    </row>
    <row r="362" ht="24.75" customHeight="1">
      <c r="A362" s="344"/>
      <c r="B362" s="346"/>
      <c r="C362" s="344"/>
      <c r="D362" s="344"/>
      <c r="E362" s="344"/>
      <c r="F362" s="344"/>
      <c r="G362" s="344"/>
      <c r="H362" s="344"/>
      <c r="I362" s="344"/>
      <c r="J362" s="344"/>
      <c r="K362" s="344"/>
      <c r="L362" s="344"/>
      <c r="M362" s="344"/>
      <c r="N362" s="344"/>
      <c r="O362" s="344"/>
      <c r="P362" s="346"/>
      <c r="Q362" s="344"/>
      <c r="R362" s="344"/>
      <c r="S362" s="344"/>
      <c r="T362" s="344"/>
      <c r="U362" s="344"/>
      <c r="V362" s="344"/>
      <c r="W362" s="344"/>
      <c r="X362" s="344"/>
      <c r="Y362" s="344"/>
      <c r="Z362" s="344"/>
      <c r="AA362" s="344"/>
      <c r="AB362" s="344"/>
      <c r="AC362" s="344"/>
    </row>
    <row r="363" ht="24.75" customHeight="1">
      <c r="A363" s="344"/>
      <c r="B363" s="346"/>
      <c r="C363" s="344"/>
      <c r="D363" s="344"/>
      <c r="E363" s="344"/>
      <c r="F363" s="344"/>
      <c r="G363" s="344"/>
      <c r="H363" s="344"/>
      <c r="I363" s="344"/>
      <c r="J363" s="344"/>
      <c r="K363" s="344"/>
      <c r="L363" s="344"/>
      <c r="M363" s="344"/>
      <c r="N363" s="344"/>
      <c r="O363" s="344"/>
      <c r="P363" s="346"/>
      <c r="Q363" s="344"/>
      <c r="R363" s="344"/>
      <c r="S363" s="344"/>
      <c r="T363" s="344"/>
      <c r="U363" s="344"/>
      <c r="V363" s="344"/>
      <c r="W363" s="344"/>
      <c r="X363" s="344"/>
      <c r="Y363" s="344"/>
      <c r="Z363" s="344"/>
      <c r="AA363" s="344"/>
      <c r="AB363" s="344"/>
      <c r="AC363" s="344"/>
    </row>
    <row r="364" ht="24.75" customHeight="1">
      <c r="A364" s="344"/>
      <c r="B364" s="346"/>
      <c r="C364" s="344"/>
      <c r="D364" s="344"/>
      <c r="E364" s="344"/>
      <c r="F364" s="344"/>
      <c r="G364" s="344"/>
      <c r="H364" s="344"/>
      <c r="I364" s="344"/>
      <c r="J364" s="344"/>
      <c r="K364" s="344"/>
      <c r="L364" s="344"/>
      <c r="M364" s="344"/>
      <c r="N364" s="344"/>
      <c r="O364" s="344"/>
      <c r="P364" s="346"/>
      <c r="Q364" s="344"/>
      <c r="R364" s="344"/>
      <c r="S364" s="344"/>
      <c r="T364" s="344"/>
      <c r="U364" s="344"/>
      <c r="V364" s="344"/>
      <c r="W364" s="344"/>
      <c r="X364" s="344"/>
      <c r="Y364" s="344"/>
      <c r="Z364" s="344"/>
      <c r="AA364" s="344"/>
      <c r="AB364" s="344"/>
      <c r="AC364" s="344"/>
    </row>
    <row r="365" ht="24.75" customHeight="1">
      <c r="A365" s="344"/>
      <c r="B365" s="346"/>
      <c r="C365" s="344"/>
      <c r="D365" s="344"/>
      <c r="E365" s="344"/>
      <c r="F365" s="344"/>
      <c r="G365" s="344"/>
      <c r="H365" s="344"/>
      <c r="I365" s="344"/>
      <c r="J365" s="344"/>
      <c r="K365" s="344"/>
      <c r="L365" s="344"/>
      <c r="M365" s="344"/>
      <c r="N365" s="344"/>
      <c r="O365" s="344"/>
      <c r="P365" s="346"/>
      <c r="Q365" s="344"/>
      <c r="R365" s="344"/>
      <c r="S365" s="344"/>
      <c r="T365" s="344"/>
      <c r="U365" s="344"/>
      <c r="V365" s="344"/>
      <c r="W365" s="344"/>
      <c r="X365" s="344"/>
      <c r="Y365" s="344"/>
      <c r="Z365" s="344"/>
      <c r="AA365" s="344"/>
      <c r="AB365" s="344"/>
      <c r="AC365" s="344"/>
    </row>
    <row r="366" ht="24.75" customHeight="1">
      <c r="A366" s="344"/>
      <c r="B366" s="346"/>
      <c r="C366" s="344"/>
      <c r="D366" s="344"/>
      <c r="E366" s="344"/>
      <c r="F366" s="344"/>
      <c r="G366" s="344"/>
      <c r="H366" s="344"/>
      <c r="I366" s="344"/>
      <c r="J366" s="344"/>
      <c r="K366" s="344"/>
      <c r="L366" s="344"/>
      <c r="M366" s="344"/>
      <c r="N366" s="344"/>
      <c r="O366" s="344"/>
      <c r="P366" s="346"/>
      <c r="Q366" s="344"/>
      <c r="R366" s="344"/>
      <c r="S366" s="344"/>
      <c r="T366" s="344"/>
      <c r="U366" s="344"/>
      <c r="V366" s="344"/>
      <c r="W366" s="344"/>
      <c r="X366" s="344"/>
      <c r="Y366" s="344"/>
      <c r="Z366" s="344"/>
      <c r="AA366" s="344"/>
      <c r="AB366" s="344"/>
      <c r="AC366" s="344"/>
    </row>
    <row r="367" ht="24.75" customHeight="1">
      <c r="A367" s="344"/>
      <c r="B367" s="346"/>
      <c r="C367" s="344"/>
      <c r="D367" s="344"/>
      <c r="E367" s="344"/>
      <c r="F367" s="344"/>
      <c r="G367" s="344"/>
      <c r="H367" s="344"/>
      <c r="I367" s="344"/>
      <c r="J367" s="344"/>
      <c r="K367" s="344"/>
      <c r="L367" s="344"/>
      <c r="M367" s="344"/>
      <c r="N367" s="344"/>
      <c r="O367" s="344"/>
      <c r="P367" s="346"/>
      <c r="Q367" s="344"/>
      <c r="R367" s="344"/>
      <c r="S367" s="344"/>
      <c r="T367" s="344"/>
      <c r="U367" s="344"/>
      <c r="V367" s="344"/>
      <c r="W367" s="344"/>
      <c r="X367" s="344"/>
      <c r="Y367" s="344"/>
      <c r="Z367" s="344"/>
      <c r="AA367" s="344"/>
      <c r="AB367" s="344"/>
      <c r="AC367" s="344"/>
    </row>
    <row r="368" ht="24.75" customHeight="1">
      <c r="A368" s="344"/>
      <c r="B368" s="346"/>
      <c r="C368" s="344"/>
      <c r="D368" s="344"/>
      <c r="E368" s="344"/>
      <c r="F368" s="344"/>
      <c r="G368" s="344"/>
      <c r="H368" s="344"/>
      <c r="I368" s="344"/>
      <c r="J368" s="344"/>
      <c r="K368" s="344"/>
      <c r="L368" s="344"/>
      <c r="M368" s="344"/>
      <c r="N368" s="344"/>
      <c r="O368" s="344"/>
      <c r="P368" s="346"/>
      <c r="Q368" s="344"/>
      <c r="R368" s="344"/>
      <c r="S368" s="344"/>
      <c r="T368" s="344"/>
      <c r="U368" s="344"/>
      <c r="V368" s="344"/>
      <c r="W368" s="344"/>
      <c r="X368" s="344"/>
      <c r="Y368" s="344"/>
      <c r="Z368" s="344"/>
      <c r="AA368" s="344"/>
      <c r="AB368" s="344"/>
      <c r="AC368" s="344"/>
    </row>
    <row r="369" ht="24.75" customHeight="1">
      <c r="A369" s="344"/>
      <c r="B369" s="346"/>
      <c r="C369" s="344"/>
      <c r="D369" s="344"/>
      <c r="E369" s="344"/>
      <c r="F369" s="344"/>
      <c r="G369" s="344"/>
      <c r="H369" s="344"/>
      <c r="I369" s="344"/>
      <c r="J369" s="344"/>
      <c r="K369" s="344"/>
      <c r="L369" s="344"/>
      <c r="M369" s="344"/>
      <c r="N369" s="344"/>
      <c r="O369" s="344"/>
      <c r="P369" s="346"/>
      <c r="Q369" s="344"/>
      <c r="R369" s="344"/>
      <c r="S369" s="344"/>
      <c r="T369" s="344"/>
      <c r="U369" s="344"/>
      <c r="V369" s="344"/>
      <c r="W369" s="344"/>
      <c r="X369" s="344"/>
      <c r="Y369" s="344"/>
      <c r="Z369" s="344"/>
      <c r="AA369" s="344"/>
      <c r="AB369" s="344"/>
      <c r="AC369" s="344"/>
    </row>
    <row r="370" ht="24.75" customHeight="1">
      <c r="A370" s="344"/>
      <c r="B370" s="346"/>
      <c r="C370" s="344"/>
      <c r="D370" s="344"/>
      <c r="E370" s="344"/>
      <c r="F370" s="344"/>
      <c r="G370" s="344"/>
      <c r="H370" s="344"/>
      <c r="I370" s="344"/>
      <c r="J370" s="344"/>
      <c r="K370" s="344"/>
      <c r="L370" s="344"/>
      <c r="M370" s="344"/>
      <c r="N370" s="344"/>
      <c r="O370" s="344"/>
      <c r="P370" s="346"/>
      <c r="Q370" s="344"/>
      <c r="R370" s="344"/>
      <c r="S370" s="344"/>
      <c r="T370" s="344"/>
      <c r="U370" s="344"/>
      <c r="V370" s="344"/>
      <c r="W370" s="344"/>
      <c r="X370" s="344"/>
      <c r="Y370" s="344"/>
      <c r="Z370" s="344"/>
      <c r="AA370" s="344"/>
      <c r="AB370" s="344"/>
      <c r="AC370" s="344"/>
    </row>
    <row r="371" ht="24.75" customHeight="1">
      <c r="A371" s="344"/>
      <c r="B371" s="346"/>
      <c r="C371" s="344"/>
      <c r="D371" s="344"/>
      <c r="E371" s="344"/>
      <c r="F371" s="344"/>
      <c r="G371" s="344"/>
      <c r="H371" s="344"/>
      <c r="I371" s="344"/>
      <c r="J371" s="344"/>
      <c r="K371" s="344"/>
      <c r="L371" s="344"/>
      <c r="M371" s="344"/>
      <c r="N371" s="344"/>
      <c r="O371" s="344"/>
      <c r="P371" s="346"/>
      <c r="Q371" s="344"/>
      <c r="R371" s="344"/>
      <c r="S371" s="344"/>
      <c r="T371" s="344"/>
      <c r="U371" s="344"/>
      <c r="V371" s="344"/>
      <c r="W371" s="344"/>
      <c r="X371" s="344"/>
      <c r="Y371" s="344"/>
      <c r="Z371" s="344"/>
      <c r="AA371" s="344"/>
      <c r="AB371" s="344"/>
      <c r="AC371" s="344"/>
    </row>
    <row r="372" ht="24.75" customHeight="1">
      <c r="A372" s="344"/>
      <c r="B372" s="346"/>
      <c r="C372" s="344"/>
      <c r="D372" s="344"/>
      <c r="E372" s="344"/>
      <c r="F372" s="344"/>
      <c r="G372" s="344"/>
      <c r="H372" s="344"/>
      <c r="I372" s="344"/>
      <c r="J372" s="344"/>
      <c r="K372" s="344"/>
      <c r="L372" s="344"/>
      <c r="M372" s="344"/>
      <c r="N372" s="344"/>
      <c r="O372" s="344"/>
      <c r="P372" s="346"/>
      <c r="Q372" s="344"/>
      <c r="R372" s="344"/>
      <c r="S372" s="344"/>
      <c r="T372" s="344"/>
      <c r="U372" s="344"/>
      <c r="V372" s="344"/>
      <c r="W372" s="344"/>
      <c r="X372" s="344"/>
      <c r="Y372" s="344"/>
      <c r="Z372" s="344"/>
      <c r="AA372" s="344"/>
      <c r="AB372" s="344"/>
      <c r="AC372" s="344"/>
    </row>
    <row r="373" ht="24.75" customHeight="1">
      <c r="A373" s="344"/>
      <c r="B373" s="346"/>
      <c r="C373" s="344"/>
      <c r="D373" s="344"/>
      <c r="E373" s="344"/>
      <c r="F373" s="344"/>
      <c r="G373" s="344"/>
      <c r="H373" s="344"/>
      <c r="I373" s="344"/>
      <c r="J373" s="344"/>
      <c r="K373" s="344"/>
      <c r="L373" s="344"/>
      <c r="M373" s="344"/>
      <c r="N373" s="344"/>
      <c r="O373" s="344"/>
      <c r="P373" s="346"/>
      <c r="Q373" s="344"/>
      <c r="R373" s="344"/>
      <c r="S373" s="344"/>
      <c r="T373" s="344"/>
      <c r="U373" s="344"/>
      <c r="V373" s="344"/>
      <c r="W373" s="344"/>
      <c r="X373" s="344"/>
      <c r="Y373" s="344"/>
      <c r="Z373" s="344"/>
      <c r="AA373" s="344"/>
      <c r="AB373" s="344"/>
      <c r="AC373" s="344"/>
    </row>
    <row r="374" ht="24.75" customHeight="1">
      <c r="A374" s="344"/>
      <c r="B374" s="346"/>
      <c r="C374" s="344"/>
      <c r="D374" s="344"/>
      <c r="E374" s="344"/>
      <c r="F374" s="344"/>
      <c r="G374" s="344"/>
      <c r="H374" s="344"/>
      <c r="I374" s="344"/>
      <c r="J374" s="344"/>
      <c r="K374" s="344"/>
      <c r="L374" s="344"/>
      <c r="M374" s="344"/>
      <c r="N374" s="344"/>
      <c r="O374" s="344"/>
      <c r="P374" s="346"/>
      <c r="Q374" s="344"/>
      <c r="R374" s="344"/>
      <c r="S374" s="344"/>
      <c r="T374" s="344"/>
      <c r="U374" s="344"/>
      <c r="V374" s="344"/>
      <c r="W374" s="344"/>
      <c r="X374" s="344"/>
      <c r="Y374" s="344"/>
      <c r="Z374" s="344"/>
      <c r="AA374" s="344"/>
      <c r="AB374" s="344"/>
      <c r="AC374" s="344"/>
    </row>
    <row r="375" ht="24.75" customHeight="1">
      <c r="A375" s="344"/>
      <c r="B375" s="346"/>
      <c r="C375" s="344"/>
      <c r="D375" s="344"/>
      <c r="E375" s="344"/>
      <c r="F375" s="344"/>
      <c r="G375" s="344"/>
      <c r="H375" s="344"/>
      <c r="I375" s="344"/>
      <c r="J375" s="344"/>
      <c r="K375" s="344"/>
      <c r="L375" s="344"/>
      <c r="M375" s="344"/>
      <c r="N375" s="344"/>
      <c r="O375" s="344"/>
      <c r="P375" s="346"/>
      <c r="Q375" s="344"/>
      <c r="R375" s="344"/>
      <c r="S375" s="344"/>
      <c r="T375" s="344"/>
      <c r="U375" s="344"/>
      <c r="V375" s="344"/>
      <c r="W375" s="344"/>
      <c r="X375" s="344"/>
      <c r="Y375" s="344"/>
      <c r="Z375" s="344"/>
      <c r="AA375" s="344"/>
      <c r="AB375" s="344"/>
      <c r="AC375" s="344"/>
    </row>
    <row r="376" ht="24.75" customHeight="1">
      <c r="A376" s="344"/>
      <c r="B376" s="346"/>
      <c r="C376" s="344"/>
      <c r="D376" s="344"/>
      <c r="E376" s="344"/>
      <c r="F376" s="344"/>
      <c r="G376" s="344"/>
      <c r="H376" s="344"/>
      <c r="I376" s="344"/>
      <c r="J376" s="344"/>
      <c r="K376" s="344"/>
      <c r="L376" s="344"/>
      <c r="M376" s="344"/>
      <c r="N376" s="344"/>
      <c r="O376" s="344"/>
      <c r="P376" s="346"/>
      <c r="Q376" s="344"/>
      <c r="R376" s="344"/>
      <c r="S376" s="344"/>
      <c r="T376" s="344"/>
      <c r="U376" s="344"/>
      <c r="V376" s="344"/>
      <c r="W376" s="344"/>
      <c r="X376" s="344"/>
      <c r="Y376" s="344"/>
      <c r="Z376" s="344"/>
      <c r="AA376" s="344"/>
      <c r="AB376" s="344"/>
      <c r="AC376" s="344"/>
    </row>
    <row r="377" ht="24.75" customHeight="1">
      <c r="A377" s="344"/>
      <c r="B377" s="346"/>
      <c r="C377" s="344"/>
      <c r="D377" s="344"/>
      <c r="E377" s="344"/>
      <c r="F377" s="344"/>
      <c r="G377" s="344"/>
      <c r="H377" s="344"/>
      <c r="I377" s="344"/>
      <c r="J377" s="344"/>
      <c r="K377" s="344"/>
      <c r="L377" s="344"/>
      <c r="M377" s="344"/>
      <c r="N377" s="344"/>
      <c r="O377" s="344"/>
      <c r="P377" s="346"/>
      <c r="Q377" s="344"/>
      <c r="R377" s="344"/>
      <c r="S377" s="344"/>
      <c r="T377" s="344"/>
      <c r="U377" s="344"/>
      <c r="V377" s="344"/>
      <c r="W377" s="344"/>
      <c r="X377" s="344"/>
      <c r="Y377" s="344"/>
      <c r="Z377" s="344"/>
      <c r="AA377" s="344"/>
      <c r="AB377" s="344"/>
      <c r="AC377" s="344"/>
    </row>
    <row r="378" ht="24.75" customHeight="1">
      <c r="A378" s="344"/>
      <c r="B378" s="346"/>
      <c r="C378" s="344"/>
      <c r="D378" s="344"/>
      <c r="E378" s="344"/>
      <c r="F378" s="344"/>
      <c r="G378" s="344"/>
      <c r="H378" s="344"/>
      <c r="I378" s="344"/>
      <c r="J378" s="344"/>
      <c r="K378" s="344"/>
      <c r="L378" s="344"/>
      <c r="M378" s="344"/>
      <c r="N378" s="344"/>
      <c r="O378" s="344"/>
      <c r="P378" s="346"/>
      <c r="Q378" s="344"/>
      <c r="R378" s="344"/>
      <c r="S378" s="344"/>
      <c r="T378" s="344"/>
      <c r="U378" s="344"/>
      <c r="V378" s="344"/>
      <c r="W378" s="344"/>
      <c r="X378" s="344"/>
      <c r="Y378" s="344"/>
      <c r="Z378" s="344"/>
      <c r="AA378" s="344"/>
      <c r="AB378" s="344"/>
      <c r="AC378" s="344"/>
    </row>
    <row r="379" ht="24.75" customHeight="1">
      <c r="A379" s="344"/>
      <c r="B379" s="346"/>
      <c r="C379" s="344"/>
      <c r="D379" s="344"/>
      <c r="E379" s="344"/>
      <c r="F379" s="344"/>
      <c r="G379" s="344"/>
      <c r="H379" s="344"/>
      <c r="I379" s="344"/>
      <c r="J379" s="344"/>
      <c r="K379" s="344"/>
      <c r="L379" s="344"/>
      <c r="M379" s="344"/>
      <c r="N379" s="344"/>
      <c r="O379" s="344"/>
      <c r="P379" s="346"/>
      <c r="Q379" s="344"/>
      <c r="R379" s="344"/>
      <c r="S379" s="344"/>
      <c r="T379" s="344"/>
      <c r="U379" s="344"/>
      <c r="V379" s="344"/>
      <c r="W379" s="344"/>
      <c r="X379" s="344"/>
      <c r="Y379" s="344"/>
      <c r="Z379" s="344"/>
      <c r="AA379" s="344"/>
      <c r="AB379" s="344"/>
      <c r="AC379" s="344"/>
    </row>
    <row r="380" ht="24.75" customHeight="1">
      <c r="A380" s="344"/>
      <c r="B380" s="346"/>
      <c r="C380" s="344"/>
      <c r="D380" s="344"/>
      <c r="E380" s="344"/>
      <c r="F380" s="344"/>
      <c r="G380" s="344"/>
      <c r="H380" s="344"/>
      <c r="I380" s="344"/>
      <c r="J380" s="344"/>
      <c r="K380" s="344"/>
      <c r="L380" s="344"/>
      <c r="M380" s="344"/>
      <c r="N380" s="344"/>
      <c r="O380" s="344"/>
      <c r="P380" s="346"/>
      <c r="Q380" s="344"/>
      <c r="R380" s="344"/>
      <c r="S380" s="344"/>
      <c r="T380" s="344"/>
      <c r="U380" s="344"/>
      <c r="V380" s="344"/>
      <c r="W380" s="344"/>
      <c r="X380" s="344"/>
      <c r="Y380" s="344"/>
      <c r="Z380" s="344"/>
      <c r="AA380" s="344"/>
      <c r="AB380" s="344"/>
      <c r="AC380" s="344"/>
    </row>
    <row r="381" ht="24.75" customHeight="1">
      <c r="A381" s="344"/>
      <c r="B381" s="346"/>
      <c r="C381" s="344"/>
      <c r="D381" s="344"/>
      <c r="E381" s="344"/>
      <c r="F381" s="344"/>
      <c r="G381" s="344"/>
      <c r="H381" s="344"/>
      <c r="I381" s="344"/>
      <c r="J381" s="344"/>
      <c r="K381" s="344"/>
      <c r="L381" s="344"/>
      <c r="M381" s="344"/>
      <c r="N381" s="344"/>
      <c r="O381" s="344"/>
      <c r="P381" s="346"/>
      <c r="Q381" s="344"/>
      <c r="R381" s="344"/>
      <c r="S381" s="344"/>
      <c r="T381" s="344"/>
      <c r="U381" s="344"/>
      <c r="V381" s="344"/>
      <c r="W381" s="344"/>
      <c r="X381" s="344"/>
      <c r="Y381" s="344"/>
      <c r="Z381" s="344"/>
      <c r="AA381" s="344"/>
      <c r="AB381" s="344"/>
      <c r="AC381" s="344"/>
    </row>
    <row r="382" ht="24.75" customHeight="1">
      <c r="A382" s="344"/>
      <c r="B382" s="346"/>
      <c r="C382" s="344"/>
      <c r="D382" s="344"/>
      <c r="E382" s="344"/>
      <c r="F382" s="344"/>
      <c r="G382" s="344"/>
      <c r="H382" s="344"/>
      <c r="I382" s="344"/>
      <c r="J382" s="344"/>
      <c r="K382" s="344"/>
      <c r="L382" s="344"/>
      <c r="M382" s="344"/>
      <c r="N382" s="344"/>
      <c r="O382" s="344"/>
      <c r="P382" s="346"/>
      <c r="Q382" s="344"/>
      <c r="R382" s="344"/>
      <c r="S382" s="344"/>
      <c r="T382" s="344"/>
      <c r="U382" s="344"/>
      <c r="V382" s="344"/>
      <c r="W382" s="344"/>
      <c r="X382" s="344"/>
      <c r="Y382" s="344"/>
      <c r="Z382" s="344"/>
      <c r="AA382" s="344"/>
      <c r="AB382" s="344"/>
      <c r="AC382" s="344"/>
    </row>
    <row r="383" ht="24.75" customHeight="1">
      <c r="A383" s="344"/>
      <c r="B383" s="346"/>
      <c r="C383" s="344"/>
      <c r="D383" s="344"/>
      <c r="E383" s="344"/>
      <c r="F383" s="344"/>
      <c r="G383" s="344"/>
      <c r="H383" s="344"/>
      <c r="I383" s="344"/>
      <c r="J383" s="344"/>
      <c r="K383" s="344"/>
      <c r="L383" s="344"/>
      <c r="M383" s="344"/>
      <c r="N383" s="344"/>
      <c r="O383" s="344"/>
      <c r="P383" s="346"/>
      <c r="Q383" s="344"/>
      <c r="R383" s="344"/>
      <c r="S383" s="344"/>
      <c r="T383" s="344"/>
      <c r="U383" s="344"/>
      <c r="V383" s="344"/>
      <c r="W383" s="344"/>
      <c r="X383" s="344"/>
      <c r="Y383" s="344"/>
      <c r="Z383" s="344"/>
      <c r="AA383" s="344"/>
      <c r="AB383" s="344"/>
      <c r="AC383" s="344"/>
    </row>
    <row r="384" ht="24.75" customHeight="1">
      <c r="A384" s="344"/>
      <c r="B384" s="346"/>
      <c r="C384" s="344"/>
      <c r="D384" s="344"/>
      <c r="E384" s="344"/>
      <c r="F384" s="344"/>
      <c r="G384" s="344"/>
      <c r="H384" s="344"/>
      <c r="I384" s="344"/>
      <c r="J384" s="344"/>
      <c r="K384" s="344"/>
      <c r="L384" s="344"/>
      <c r="M384" s="344"/>
      <c r="N384" s="344"/>
      <c r="O384" s="344"/>
      <c r="P384" s="346"/>
      <c r="Q384" s="344"/>
      <c r="R384" s="344"/>
      <c r="S384" s="344"/>
      <c r="T384" s="344"/>
      <c r="U384" s="344"/>
      <c r="V384" s="344"/>
      <c r="W384" s="344"/>
      <c r="X384" s="344"/>
      <c r="Y384" s="344"/>
      <c r="Z384" s="344"/>
      <c r="AA384" s="344"/>
      <c r="AB384" s="344"/>
      <c r="AC384" s="344"/>
    </row>
    <row r="385" ht="24.75" customHeight="1">
      <c r="A385" s="344"/>
      <c r="B385" s="346"/>
      <c r="C385" s="344"/>
      <c r="D385" s="344"/>
      <c r="E385" s="344"/>
      <c r="F385" s="344"/>
      <c r="G385" s="344"/>
      <c r="H385" s="344"/>
      <c r="I385" s="344"/>
      <c r="J385" s="344"/>
      <c r="K385" s="344"/>
      <c r="L385" s="344"/>
      <c r="M385" s="344"/>
      <c r="N385" s="344"/>
      <c r="O385" s="344"/>
      <c r="P385" s="346"/>
      <c r="Q385" s="344"/>
      <c r="R385" s="344"/>
      <c r="S385" s="344"/>
      <c r="T385" s="344"/>
      <c r="U385" s="344"/>
      <c r="V385" s="344"/>
      <c r="W385" s="344"/>
      <c r="X385" s="344"/>
      <c r="Y385" s="344"/>
      <c r="Z385" s="344"/>
      <c r="AA385" s="344"/>
      <c r="AB385" s="344"/>
      <c r="AC385" s="344"/>
    </row>
    <row r="386" ht="24.75" customHeight="1">
      <c r="A386" s="344"/>
      <c r="B386" s="346"/>
      <c r="C386" s="344"/>
      <c r="D386" s="344"/>
      <c r="E386" s="344"/>
      <c r="F386" s="344"/>
      <c r="G386" s="344"/>
      <c r="H386" s="344"/>
      <c r="I386" s="344"/>
      <c r="J386" s="344"/>
      <c r="K386" s="344"/>
      <c r="L386" s="344"/>
      <c r="M386" s="344"/>
      <c r="N386" s="344"/>
      <c r="O386" s="344"/>
      <c r="P386" s="346"/>
      <c r="Q386" s="344"/>
      <c r="R386" s="344"/>
      <c r="S386" s="344"/>
      <c r="T386" s="344"/>
      <c r="U386" s="344"/>
      <c r="V386" s="344"/>
      <c r="W386" s="344"/>
      <c r="X386" s="344"/>
      <c r="Y386" s="344"/>
      <c r="Z386" s="344"/>
      <c r="AA386" s="344"/>
      <c r="AB386" s="344"/>
      <c r="AC386" s="344"/>
    </row>
    <row r="387" ht="24.75" customHeight="1">
      <c r="A387" s="344"/>
      <c r="B387" s="346"/>
      <c r="C387" s="344"/>
      <c r="D387" s="344"/>
      <c r="E387" s="344"/>
      <c r="F387" s="344"/>
      <c r="G387" s="344"/>
      <c r="H387" s="344"/>
      <c r="I387" s="344"/>
      <c r="J387" s="344"/>
      <c r="K387" s="344"/>
      <c r="L387" s="344"/>
      <c r="M387" s="344"/>
      <c r="N387" s="344"/>
      <c r="O387" s="344"/>
      <c r="P387" s="346"/>
      <c r="Q387" s="344"/>
      <c r="R387" s="344"/>
      <c r="S387" s="344"/>
      <c r="T387" s="344"/>
      <c r="U387" s="344"/>
      <c r="V387" s="344"/>
      <c r="W387" s="344"/>
      <c r="X387" s="344"/>
      <c r="Y387" s="344"/>
      <c r="Z387" s="344"/>
      <c r="AA387" s="344"/>
      <c r="AB387" s="344"/>
      <c r="AC387" s="344"/>
    </row>
    <row r="388" ht="24.75" customHeight="1">
      <c r="A388" s="344"/>
      <c r="B388" s="346"/>
      <c r="C388" s="344"/>
      <c r="D388" s="344"/>
      <c r="E388" s="344"/>
      <c r="F388" s="344"/>
      <c r="G388" s="344"/>
      <c r="H388" s="344"/>
      <c r="I388" s="344"/>
      <c r="J388" s="344"/>
      <c r="K388" s="344"/>
      <c r="L388" s="344"/>
      <c r="M388" s="344"/>
      <c r="N388" s="344"/>
      <c r="O388" s="344"/>
      <c r="P388" s="346"/>
      <c r="Q388" s="344"/>
      <c r="R388" s="344"/>
      <c r="S388" s="344"/>
      <c r="T388" s="344"/>
      <c r="U388" s="344"/>
      <c r="V388" s="344"/>
      <c r="W388" s="344"/>
      <c r="X388" s="344"/>
      <c r="Y388" s="344"/>
      <c r="Z388" s="344"/>
      <c r="AA388" s="344"/>
      <c r="AB388" s="344"/>
      <c r="AC388" s="344"/>
    </row>
    <row r="389" ht="24.75" customHeight="1">
      <c r="A389" s="344"/>
      <c r="B389" s="346"/>
      <c r="C389" s="344"/>
      <c r="D389" s="344"/>
      <c r="E389" s="344"/>
      <c r="F389" s="344"/>
      <c r="G389" s="344"/>
      <c r="H389" s="344"/>
      <c r="I389" s="344"/>
      <c r="J389" s="344"/>
      <c r="K389" s="344"/>
      <c r="L389" s="344"/>
      <c r="M389" s="344"/>
      <c r="N389" s="344"/>
      <c r="O389" s="344"/>
      <c r="P389" s="346"/>
      <c r="Q389" s="344"/>
      <c r="R389" s="344"/>
      <c r="S389" s="344"/>
      <c r="T389" s="344"/>
      <c r="U389" s="344"/>
      <c r="V389" s="344"/>
      <c r="W389" s="344"/>
      <c r="X389" s="344"/>
      <c r="Y389" s="344"/>
      <c r="Z389" s="344"/>
      <c r="AA389" s="344"/>
      <c r="AB389" s="344"/>
      <c r="AC389" s="344"/>
    </row>
    <row r="390" ht="24.75" customHeight="1">
      <c r="A390" s="344"/>
      <c r="B390" s="346"/>
      <c r="C390" s="344"/>
      <c r="D390" s="344"/>
      <c r="E390" s="344"/>
      <c r="F390" s="344"/>
      <c r="G390" s="344"/>
      <c r="H390" s="344"/>
      <c r="I390" s="344"/>
      <c r="J390" s="344"/>
      <c r="K390" s="344"/>
      <c r="L390" s="344"/>
      <c r="M390" s="344"/>
      <c r="N390" s="344"/>
      <c r="O390" s="344"/>
      <c r="P390" s="346"/>
      <c r="Q390" s="344"/>
      <c r="R390" s="344"/>
      <c r="S390" s="344"/>
      <c r="T390" s="344"/>
      <c r="U390" s="344"/>
      <c r="V390" s="344"/>
      <c r="W390" s="344"/>
      <c r="X390" s="344"/>
      <c r="Y390" s="344"/>
      <c r="Z390" s="344"/>
      <c r="AA390" s="344"/>
      <c r="AB390" s="344"/>
      <c r="AC390" s="344"/>
    </row>
    <row r="391" ht="24.75" customHeight="1">
      <c r="A391" s="344"/>
      <c r="B391" s="346"/>
      <c r="C391" s="344"/>
      <c r="D391" s="344"/>
      <c r="E391" s="344"/>
      <c r="F391" s="344"/>
      <c r="G391" s="344"/>
      <c r="H391" s="344"/>
      <c r="I391" s="344"/>
      <c r="J391" s="344"/>
      <c r="K391" s="344"/>
      <c r="L391" s="344"/>
      <c r="M391" s="344"/>
      <c r="N391" s="344"/>
      <c r="O391" s="344"/>
      <c r="P391" s="346"/>
      <c r="Q391" s="344"/>
      <c r="R391" s="344"/>
      <c r="S391" s="344"/>
      <c r="T391" s="344"/>
      <c r="U391" s="344"/>
      <c r="V391" s="344"/>
      <c r="W391" s="344"/>
      <c r="X391" s="344"/>
      <c r="Y391" s="344"/>
      <c r="Z391" s="344"/>
      <c r="AA391" s="344"/>
      <c r="AB391" s="344"/>
      <c r="AC391" s="344"/>
    </row>
    <row r="392" ht="24.75" customHeight="1">
      <c r="A392" s="344"/>
      <c r="B392" s="346"/>
      <c r="C392" s="344"/>
      <c r="D392" s="344"/>
      <c r="E392" s="344"/>
      <c r="F392" s="344"/>
      <c r="G392" s="344"/>
      <c r="H392" s="344"/>
      <c r="I392" s="344"/>
      <c r="J392" s="344"/>
      <c r="K392" s="344"/>
      <c r="L392" s="344"/>
      <c r="M392" s="344"/>
      <c r="N392" s="344"/>
      <c r="O392" s="344"/>
      <c r="P392" s="346"/>
      <c r="Q392" s="344"/>
      <c r="R392" s="344"/>
      <c r="S392" s="344"/>
      <c r="T392" s="344"/>
      <c r="U392" s="344"/>
      <c r="V392" s="344"/>
      <c r="W392" s="344"/>
      <c r="X392" s="344"/>
      <c r="Y392" s="344"/>
      <c r="Z392" s="344"/>
      <c r="AA392" s="344"/>
      <c r="AB392" s="344"/>
      <c r="AC392" s="344"/>
    </row>
    <row r="393" ht="24.75" customHeight="1">
      <c r="A393" s="344"/>
      <c r="B393" s="346"/>
      <c r="C393" s="344"/>
      <c r="D393" s="344"/>
      <c r="E393" s="344"/>
      <c r="F393" s="344"/>
      <c r="G393" s="344"/>
      <c r="H393" s="344"/>
      <c r="I393" s="344"/>
      <c r="J393" s="344"/>
      <c r="K393" s="344"/>
      <c r="L393" s="344"/>
      <c r="M393" s="344"/>
      <c r="N393" s="344"/>
      <c r="O393" s="344"/>
      <c r="P393" s="346"/>
      <c r="Q393" s="344"/>
      <c r="R393" s="344"/>
      <c r="S393" s="344"/>
      <c r="T393" s="344"/>
      <c r="U393" s="344"/>
      <c r="V393" s="344"/>
      <c r="W393" s="344"/>
      <c r="X393" s="344"/>
      <c r="Y393" s="344"/>
      <c r="Z393" s="344"/>
      <c r="AA393" s="344"/>
      <c r="AB393" s="344"/>
      <c r="AC393" s="344"/>
    </row>
    <row r="394" ht="24.75" customHeight="1">
      <c r="A394" s="344"/>
      <c r="B394" s="346"/>
      <c r="C394" s="344"/>
      <c r="D394" s="344"/>
      <c r="E394" s="344"/>
      <c r="F394" s="344"/>
      <c r="G394" s="344"/>
      <c r="H394" s="344"/>
      <c r="I394" s="344"/>
      <c r="J394" s="344"/>
      <c r="K394" s="344"/>
      <c r="L394" s="344"/>
      <c r="M394" s="344"/>
      <c r="N394" s="344"/>
      <c r="O394" s="344"/>
      <c r="P394" s="346"/>
      <c r="Q394" s="344"/>
      <c r="R394" s="344"/>
      <c r="S394" s="344"/>
      <c r="T394" s="344"/>
      <c r="U394" s="344"/>
      <c r="V394" s="344"/>
      <c r="W394" s="344"/>
      <c r="X394" s="344"/>
      <c r="Y394" s="344"/>
      <c r="Z394" s="344"/>
      <c r="AA394" s="344"/>
      <c r="AB394" s="344"/>
      <c r="AC394" s="344"/>
    </row>
    <row r="395" ht="24.75" customHeight="1">
      <c r="A395" s="344"/>
      <c r="B395" s="346"/>
      <c r="C395" s="344"/>
      <c r="D395" s="344"/>
      <c r="E395" s="344"/>
      <c r="F395" s="344"/>
      <c r="G395" s="344"/>
      <c r="H395" s="344"/>
      <c r="I395" s="344"/>
      <c r="J395" s="344"/>
      <c r="K395" s="344"/>
      <c r="L395" s="344"/>
      <c r="M395" s="344"/>
      <c r="N395" s="344"/>
      <c r="O395" s="344"/>
      <c r="P395" s="346"/>
      <c r="Q395" s="344"/>
      <c r="R395" s="344"/>
      <c r="S395" s="344"/>
      <c r="T395" s="344"/>
      <c r="U395" s="344"/>
      <c r="V395" s="344"/>
      <c r="W395" s="344"/>
      <c r="X395" s="344"/>
      <c r="Y395" s="344"/>
      <c r="Z395" s="344"/>
      <c r="AA395" s="344"/>
      <c r="AB395" s="344"/>
      <c r="AC395" s="344"/>
    </row>
    <row r="396" ht="24.75" customHeight="1">
      <c r="A396" s="344"/>
      <c r="B396" s="346"/>
      <c r="C396" s="344"/>
      <c r="D396" s="344"/>
      <c r="E396" s="344"/>
      <c r="F396" s="344"/>
      <c r="G396" s="344"/>
      <c r="H396" s="344"/>
      <c r="I396" s="344"/>
      <c r="J396" s="344"/>
      <c r="K396" s="344"/>
      <c r="L396" s="344"/>
      <c r="M396" s="344"/>
      <c r="N396" s="344"/>
      <c r="O396" s="344"/>
      <c r="P396" s="346"/>
      <c r="Q396" s="344"/>
      <c r="R396" s="344"/>
      <c r="S396" s="344"/>
      <c r="T396" s="344"/>
      <c r="U396" s="344"/>
      <c r="V396" s="344"/>
      <c r="W396" s="344"/>
      <c r="X396" s="344"/>
      <c r="Y396" s="344"/>
      <c r="Z396" s="344"/>
      <c r="AA396" s="344"/>
      <c r="AB396" s="344"/>
      <c r="AC396" s="344"/>
    </row>
    <row r="397" ht="24.75" customHeight="1">
      <c r="A397" s="344"/>
      <c r="B397" s="346"/>
      <c r="C397" s="344"/>
      <c r="D397" s="344"/>
      <c r="E397" s="344"/>
      <c r="F397" s="344"/>
      <c r="G397" s="344"/>
      <c r="H397" s="344"/>
      <c r="I397" s="344"/>
      <c r="J397" s="344"/>
      <c r="K397" s="344"/>
      <c r="L397" s="344"/>
      <c r="M397" s="344"/>
      <c r="N397" s="344"/>
      <c r="O397" s="344"/>
      <c r="P397" s="346"/>
      <c r="Q397" s="344"/>
      <c r="R397" s="344"/>
      <c r="S397" s="344"/>
      <c r="T397" s="344"/>
      <c r="U397" s="344"/>
      <c r="V397" s="344"/>
      <c r="W397" s="344"/>
      <c r="X397" s="344"/>
      <c r="Y397" s="344"/>
      <c r="Z397" s="344"/>
      <c r="AA397" s="344"/>
      <c r="AB397" s="344"/>
      <c r="AC397" s="344"/>
    </row>
    <row r="398" ht="24.75" customHeight="1">
      <c r="A398" s="344"/>
      <c r="B398" s="346"/>
      <c r="C398" s="344"/>
      <c r="D398" s="344"/>
      <c r="E398" s="344"/>
      <c r="F398" s="344"/>
      <c r="G398" s="344"/>
      <c r="H398" s="344"/>
      <c r="I398" s="344"/>
      <c r="J398" s="344"/>
      <c r="K398" s="344"/>
      <c r="L398" s="344"/>
      <c r="M398" s="344"/>
      <c r="N398" s="344"/>
      <c r="O398" s="344"/>
      <c r="P398" s="346"/>
      <c r="Q398" s="344"/>
      <c r="R398" s="344"/>
      <c r="S398" s="344"/>
      <c r="T398" s="344"/>
      <c r="U398" s="344"/>
      <c r="V398" s="344"/>
      <c r="W398" s="344"/>
      <c r="X398" s="344"/>
      <c r="Y398" s="344"/>
      <c r="Z398" s="344"/>
      <c r="AA398" s="344"/>
      <c r="AB398" s="344"/>
      <c r="AC398" s="344"/>
    </row>
    <row r="399" ht="24.75" customHeight="1">
      <c r="A399" s="344"/>
      <c r="B399" s="346"/>
      <c r="C399" s="344"/>
      <c r="D399" s="344"/>
      <c r="E399" s="344"/>
      <c r="F399" s="344"/>
      <c r="G399" s="344"/>
      <c r="H399" s="344"/>
      <c r="I399" s="344"/>
      <c r="J399" s="344"/>
      <c r="K399" s="344"/>
      <c r="L399" s="344"/>
      <c r="M399" s="344"/>
      <c r="N399" s="344"/>
      <c r="O399" s="344"/>
      <c r="P399" s="346"/>
      <c r="Q399" s="344"/>
      <c r="R399" s="344"/>
      <c r="S399" s="344"/>
      <c r="T399" s="344"/>
      <c r="U399" s="344"/>
      <c r="V399" s="344"/>
      <c r="W399" s="344"/>
      <c r="X399" s="344"/>
      <c r="Y399" s="344"/>
      <c r="Z399" s="344"/>
      <c r="AA399" s="344"/>
      <c r="AB399" s="344"/>
      <c r="AC399" s="344"/>
    </row>
    <row r="400" ht="24.75" customHeight="1">
      <c r="A400" s="344"/>
      <c r="B400" s="346"/>
      <c r="C400" s="344"/>
      <c r="D400" s="344"/>
      <c r="E400" s="344"/>
      <c r="F400" s="344"/>
      <c r="G400" s="344"/>
      <c r="H400" s="344"/>
      <c r="I400" s="344"/>
      <c r="J400" s="344"/>
      <c r="K400" s="344"/>
      <c r="L400" s="344"/>
      <c r="M400" s="344"/>
      <c r="N400" s="344"/>
      <c r="O400" s="344"/>
      <c r="P400" s="346"/>
      <c r="Q400" s="344"/>
      <c r="R400" s="344"/>
      <c r="S400" s="344"/>
      <c r="T400" s="344"/>
      <c r="U400" s="344"/>
      <c r="V400" s="344"/>
      <c r="W400" s="344"/>
      <c r="X400" s="344"/>
      <c r="Y400" s="344"/>
      <c r="Z400" s="344"/>
      <c r="AA400" s="344"/>
      <c r="AB400" s="344"/>
      <c r="AC400" s="344"/>
    </row>
    <row r="401" ht="24.75" customHeight="1">
      <c r="A401" s="344"/>
      <c r="B401" s="346"/>
      <c r="C401" s="344"/>
      <c r="D401" s="344"/>
      <c r="E401" s="344"/>
      <c r="F401" s="344"/>
      <c r="G401" s="344"/>
      <c r="H401" s="344"/>
      <c r="I401" s="344"/>
      <c r="J401" s="344"/>
      <c r="K401" s="344"/>
      <c r="L401" s="344"/>
      <c r="M401" s="344"/>
      <c r="N401" s="344"/>
      <c r="O401" s="344"/>
      <c r="P401" s="346"/>
      <c r="Q401" s="344"/>
      <c r="R401" s="344"/>
      <c r="S401" s="344"/>
      <c r="T401" s="344"/>
      <c r="U401" s="344"/>
      <c r="V401" s="344"/>
      <c r="W401" s="344"/>
      <c r="X401" s="344"/>
      <c r="Y401" s="344"/>
      <c r="Z401" s="344"/>
      <c r="AA401" s="344"/>
      <c r="AB401" s="344"/>
      <c r="AC401" s="344"/>
    </row>
    <row r="402" ht="24.75" customHeight="1">
      <c r="A402" s="344"/>
      <c r="B402" s="346"/>
      <c r="C402" s="344"/>
      <c r="D402" s="344"/>
      <c r="E402" s="344"/>
      <c r="F402" s="344"/>
      <c r="G402" s="344"/>
      <c r="H402" s="344"/>
      <c r="I402" s="344"/>
      <c r="J402" s="344"/>
      <c r="K402" s="344"/>
      <c r="L402" s="344"/>
      <c r="M402" s="344"/>
      <c r="N402" s="344"/>
      <c r="O402" s="344"/>
      <c r="P402" s="346"/>
      <c r="Q402" s="344"/>
      <c r="R402" s="344"/>
      <c r="S402" s="344"/>
      <c r="T402" s="344"/>
      <c r="U402" s="344"/>
      <c r="V402" s="344"/>
      <c r="W402" s="344"/>
      <c r="X402" s="344"/>
      <c r="Y402" s="344"/>
      <c r="Z402" s="344"/>
      <c r="AA402" s="344"/>
      <c r="AB402" s="344"/>
      <c r="AC402" s="344"/>
    </row>
    <row r="403" ht="24.75" customHeight="1">
      <c r="A403" s="344"/>
      <c r="B403" s="346"/>
      <c r="C403" s="344"/>
      <c r="D403" s="344"/>
      <c r="E403" s="344"/>
      <c r="F403" s="344"/>
      <c r="G403" s="344"/>
      <c r="H403" s="344"/>
      <c r="I403" s="344"/>
      <c r="J403" s="344"/>
      <c r="K403" s="344"/>
      <c r="L403" s="344"/>
      <c r="M403" s="344"/>
      <c r="N403" s="344"/>
      <c r="O403" s="344"/>
      <c r="P403" s="346"/>
      <c r="Q403" s="344"/>
      <c r="R403" s="344"/>
      <c r="S403" s="344"/>
      <c r="T403" s="344"/>
      <c r="U403" s="344"/>
      <c r="V403" s="344"/>
      <c r="W403" s="344"/>
      <c r="X403" s="344"/>
      <c r="Y403" s="344"/>
      <c r="Z403" s="344"/>
      <c r="AA403" s="344"/>
      <c r="AB403" s="344"/>
      <c r="AC403" s="344"/>
    </row>
    <row r="404" ht="24.75" customHeight="1">
      <c r="A404" s="344"/>
      <c r="B404" s="346"/>
      <c r="C404" s="344"/>
      <c r="D404" s="344"/>
      <c r="E404" s="344"/>
      <c r="F404" s="344"/>
      <c r="G404" s="344"/>
      <c r="H404" s="344"/>
      <c r="I404" s="344"/>
      <c r="J404" s="344"/>
      <c r="K404" s="344"/>
      <c r="L404" s="344"/>
      <c r="M404" s="344"/>
      <c r="N404" s="344"/>
      <c r="O404" s="344"/>
      <c r="P404" s="346"/>
      <c r="Q404" s="344"/>
      <c r="R404" s="344"/>
      <c r="S404" s="344"/>
      <c r="T404" s="344"/>
      <c r="U404" s="344"/>
      <c r="V404" s="344"/>
      <c r="W404" s="344"/>
      <c r="X404" s="344"/>
      <c r="Y404" s="344"/>
      <c r="Z404" s="344"/>
      <c r="AA404" s="344"/>
      <c r="AB404" s="344"/>
      <c r="AC404" s="344"/>
    </row>
    <row r="405" ht="24.75" customHeight="1">
      <c r="A405" s="344"/>
      <c r="B405" s="346"/>
      <c r="C405" s="344"/>
      <c r="D405" s="344"/>
      <c r="E405" s="344"/>
      <c r="F405" s="344"/>
      <c r="G405" s="344"/>
      <c r="H405" s="344"/>
      <c r="I405" s="344"/>
      <c r="J405" s="344"/>
      <c r="K405" s="344"/>
      <c r="L405" s="344"/>
      <c r="M405" s="344"/>
      <c r="N405" s="344"/>
      <c r="O405" s="344"/>
      <c r="P405" s="346"/>
      <c r="Q405" s="344"/>
      <c r="R405" s="344"/>
      <c r="S405" s="344"/>
      <c r="T405" s="344"/>
      <c r="U405" s="344"/>
      <c r="V405" s="344"/>
      <c r="W405" s="344"/>
      <c r="X405" s="344"/>
      <c r="Y405" s="344"/>
      <c r="Z405" s="344"/>
      <c r="AA405" s="344"/>
      <c r="AB405" s="344"/>
      <c r="AC405" s="344"/>
    </row>
    <row r="406" ht="24.75" customHeight="1">
      <c r="A406" s="344"/>
      <c r="B406" s="346"/>
      <c r="C406" s="344"/>
      <c r="D406" s="344"/>
      <c r="E406" s="344"/>
      <c r="F406" s="344"/>
      <c r="G406" s="344"/>
      <c r="H406" s="344"/>
      <c r="I406" s="344"/>
      <c r="J406" s="344"/>
      <c r="K406" s="344"/>
      <c r="L406" s="344"/>
      <c r="M406" s="344"/>
      <c r="N406" s="344"/>
      <c r="O406" s="344"/>
      <c r="P406" s="346"/>
      <c r="Q406" s="344"/>
      <c r="R406" s="344"/>
      <c r="S406" s="344"/>
      <c r="T406" s="344"/>
      <c r="U406" s="344"/>
      <c r="V406" s="344"/>
      <c r="W406" s="344"/>
      <c r="X406" s="344"/>
      <c r="Y406" s="344"/>
      <c r="Z406" s="344"/>
      <c r="AA406" s="344"/>
      <c r="AB406" s="344"/>
      <c r="AC406" s="344"/>
    </row>
    <row r="407" ht="24.75" customHeight="1">
      <c r="A407" s="344"/>
      <c r="B407" s="346"/>
      <c r="C407" s="344"/>
      <c r="D407" s="344"/>
      <c r="E407" s="344"/>
      <c r="F407" s="344"/>
      <c r="G407" s="344"/>
      <c r="H407" s="344"/>
      <c r="I407" s="344"/>
      <c r="J407" s="344"/>
      <c r="K407" s="344"/>
      <c r="L407" s="344"/>
      <c r="M407" s="344"/>
      <c r="N407" s="344"/>
      <c r="O407" s="344"/>
      <c r="P407" s="346"/>
      <c r="Q407" s="344"/>
      <c r="R407" s="344"/>
      <c r="S407" s="344"/>
      <c r="T407" s="344"/>
      <c r="U407" s="344"/>
      <c r="V407" s="344"/>
      <c r="W407" s="344"/>
      <c r="X407" s="344"/>
      <c r="Y407" s="344"/>
      <c r="Z407" s="344"/>
      <c r="AA407" s="344"/>
      <c r="AB407" s="344"/>
      <c r="AC407" s="344"/>
    </row>
    <row r="408" ht="24.75" customHeight="1">
      <c r="A408" s="344"/>
      <c r="B408" s="346"/>
      <c r="C408" s="344"/>
      <c r="D408" s="344"/>
      <c r="E408" s="344"/>
      <c r="F408" s="344"/>
      <c r="G408" s="344"/>
      <c r="H408" s="344"/>
      <c r="I408" s="344"/>
      <c r="J408" s="344"/>
      <c r="K408" s="344"/>
      <c r="L408" s="344"/>
      <c r="M408" s="344"/>
      <c r="N408" s="344"/>
      <c r="O408" s="344"/>
      <c r="P408" s="346"/>
      <c r="Q408" s="344"/>
      <c r="R408" s="344"/>
      <c r="S408" s="344"/>
      <c r="T408" s="344"/>
      <c r="U408" s="344"/>
      <c r="V408" s="344"/>
      <c r="W408" s="344"/>
      <c r="X408" s="344"/>
      <c r="Y408" s="344"/>
      <c r="Z408" s="344"/>
      <c r="AA408" s="344"/>
      <c r="AB408" s="344"/>
      <c r="AC408" s="344"/>
    </row>
    <row r="409" ht="24.75" customHeight="1">
      <c r="A409" s="344"/>
      <c r="B409" s="346"/>
      <c r="C409" s="344"/>
      <c r="D409" s="344"/>
      <c r="E409" s="344"/>
      <c r="F409" s="344"/>
      <c r="G409" s="344"/>
      <c r="H409" s="344"/>
      <c r="I409" s="344"/>
      <c r="J409" s="344"/>
      <c r="K409" s="344"/>
      <c r="L409" s="344"/>
      <c r="M409" s="344"/>
      <c r="N409" s="344"/>
      <c r="O409" s="344"/>
      <c r="P409" s="346"/>
      <c r="Q409" s="344"/>
      <c r="R409" s="344"/>
      <c r="S409" s="344"/>
      <c r="T409" s="344"/>
      <c r="U409" s="344"/>
      <c r="V409" s="344"/>
      <c r="W409" s="344"/>
      <c r="X409" s="344"/>
      <c r="Y409" s="344"/>
      <c r="Z409" s="344"/>
      <c r="AA409" s="344"/>
      <c r="AB409" s="344"/>
      <c r="AC409" s="344"/>
    </row>
    <row r="410" ht="24.75" customHeight="1">
      <c r="A410" s="344"/>
      <c r="B410" s="346"/>
      <c r="C410" s="344"/>
      <c r="D410" s="344"/>
      <c r="E410" s="344"/>
      <c r="F410" s="344"/>
      <c r="G410" s="344"/>
      <c r="H410" s="344"/>
      <c r="I410" s="344"/>
      <c r="J410" s="344"/>
      <c r="K410" s="344"/>
      <c r="L410" s="344"/>
      <c r="M410" s="344"/>
      <c r="N410" s="344"/>
      <c r="O410" s="344"/>
      <c r="P410" s="346"/>
      <c r="Q410" s="344"/>
      <c r="R410" s="344"/>
      <c r="S410" s="344"/>
      <c r="T410" s="344"/>
      <c r="U410" s="344"/>
      <c r="V410" s="344"/>
      <c r="W410" s="344"/>
      <c r="X410" s="344"/>
      <c r="Y410" s="344"/>
      <c r="Z410" s="344"/>
      <c r="AA410" s="344"/>
      <c r="AB410" s="344"/>
      <c r="AC410" s="344"/>
    </row>
    <row r="411" ht="24.75" customHeight="1">
      <c r="A411" s="344"/>
      <c r="B411" s="346"/>
      <c r="C411" s="344"/>
      <c r="D411" s="344"/>
      <c r="E411" s="344"/>
      <c r="F411" s="344"/>
      <c r="G411" s="344"/>
      <c r="H411" s="344"/>
      <c r="I411" s="344"/>
      <c r="J411" s="344"/>
      <c r="K411" s="344"/>
      <c r="L411" s="344"/>
      <c r="M411" s="344"/>
      <c r="N411" s="344"/>
      <c r="O411" s="344"/>
      <c r="P411" s="346"/>
      <c r="Q411" s="344"/>
      <c r="R411" s="344"/>
      <c r="S411" s="344"/>
      <c r="T411" s="344"/>
      <c r="U411" s="344"/>
      <c r="V411" s="344"/>
      <c r="W411" s="344"/>
      <c r="X411" s="344"/>
      <c r="Y411" s="344"/>
      <c r="Z411" s="344"/>
      <c r="AA411" s="344"/>
      <c r="AB411" s="344"/>
      <c r="AC411" s="344"/>
    </row>
    <row r="412" ht="24.75" customHeight="1">
      <c r="A412" s="344"/>
      <c r="B412" s="346"/>
      <c r="C412" s="344"/>
      <c r="D412" s="344"/>
      <c r="E412" s="344"/>
      <c r="F412" s="344"/>
      <c r="G412" s="344"/>
      <c r="H412" s="344"/>
      <c r="I412" s="344"/>
      <c r="J412" s="344"/>
      <c r="K412" s="344"/>
      <c r="L412" s="344"/>
      <c r="M412" s="344"/>
      <c r="N412" s="344"/>
      <c r="O412" s="344"/>
      <c r="P412" s="346"/>
      <c r="Q412" s="344"/>
      <c r="R412" s="344"/>
      <c r="S412" s="344"/>
      <c r="T412" s="344"/>
      <c r="U412" s="344"/>
      <c r="V412" s="344"/>
      <c r="W412" s="344"/>
      <c r="X412" s="344"/>
      <c r="Y412" s="344"/>
      <c r="Z412" s="344"/>
      <c r="AA412" s="344"/>
      <c r="AB412" s="344"/>
      <c r="AC412" s="344"/>
    </row>
    <row r="413" ht="24.75" customHeight="1">
      <c r="A413" s="344"/>
      <c r="B413" s="346"/>
      <c r="C413" s="344"/>
      <c r="D413" s="344"/>
      <c r="E413" s="344"/>
      <c r="F413" s="344"/>
      <c r="G413" s="344"/>
      <c r="H413" s="344"/>
      <c r="I413" s="344"/>
      <c r="J413" s="344"/>
      <c r="K413" s="344"/>
      <c r="L413" s="344"/>
      <c r="M413" s="344"/>
      <c r="N413" s="344"/>
      <c r="O413" s="344"/>
      <c r="P413" s="346"/>
      <c r="Q413" s="344"/>
      <c r="R413" s="344"/>
      <c r="S413" s="344"/>
      <c r="T413" s="344"/>
      <c r="U413" s="344"/>
      <c r="V413" s="344"/>
      <c r="W413" s="344"/>
      <c r="X413" s="344"/>
      <c r="Y413" s="344"/>
      <c r="Z413" s="344"/>
      <c r="AA413" s="344"/>
      <c r="AB413" s="344"/>
      <c r="AC413" s="344"/>
    </row>
    <row r="414" ht="24.75" customHeight="1">
      <c r="A414" s="344"/>
      <c r="B414" s="346"/>
      <c r="C414" s="344"/>
      <c r="D414" s="344"/>
      <c r="E414" s="344"/>
      <c r="F414" s="344"/>
      <c r="G414" s="344"/>
      <c r="H414" s="344"/>
      <c r="I414" s="344"/>
      <c r="J414" s="344"/>
      <c r="K414" s="344"/>
      <c r="L414" s="344"/>
      <c r="M414" s="344"/>
      <c r="N414" s="344"/>
      <c r="O414" s="344"/>
      <c r="P414" s="346"/>
      <c r="Q414" s="344"/>
      <c r="R414" s="344"/>
      <c r="S414" s="344"/>
      <c r="T414" s="344"/>
      <c r="U414" s="344"/>
      <c r="V414" s="344"/>
      <c r="W414" s="344"/>
      <c r="X414" s="344"/>
      <c r="Y414" s="344"/>
      <c r="Z414" s="344"/>
      <c r="AA414" s="344"/>
      <c r="AB414" s="344"/>
      <c r="AC414" s="344"/>
    </row>
    <row r="415" ht="24.75" customHeight="1">
      <c r="A415" s="344"/>
      <c r="B415" s="346"/>
      <c r="C415" s="344"/>
      <c r="D415" s="344"/>
      <c r="E415" s="344"/>
      <c r="F415" s="344"/>
      <c r="G415" s="344"/>
      <c r="H415" s="344"/>
      <c r="I415" s="344"/>
      <c r="J415" s="344"/>
      <c r="K415" s="344"/>
      <c r="L415" s="344"/>
      <c r="M415" s="344"/>
      <c r="N415" s="344"/>
      <c r="O415" s="344"/>
      <c r="P415" s="346"/>
      <c r="Q415" s="344"/>
      <c r="R415" s="344"/>
      <c r="S415" s="344"/>
      <c r="T415" s="344"/>
      <c r="U415" s="344"/>
      <c r="V415" s="344"/>
      <c r="W415" s="344"/>
      <c r="X415" s="344"/>
      <c r="Y415" s="344"/>
      <c r="Z415" s="344"/>
      <c r="AA415" s="344"/>
      <c r="AB415" s="344"/>
      <c r="AC415" s="344"/>
    </row>
    <row r="416" ht="24.75" customHeight="1">
      <c r="A416" s="344"/>
      <c r="B416" s="346"/>
      <c r="C416" s="344"/>
      <c r="D416" s="344"/>
      <c r="E416" s="344"/>
      <c r="F416" s="344"/>
      <c r="G416" s="344"/>
      <c r="H416" s="344"/>
      <c r="I416" s="344"/>
      <c r="J416" s="344"/>
      <c r="K416" s="344"/>
      <c r="L416" s="344"/>
      <c r="M416" s="344"/>
      <c r="N416" s="344"/>
      <c r="O416" s="344"/>
      <c r="P416" s="346"/>
      <c r="Q416" s="344"/>
      <c r="R416" s="344"/>
      <c r="S416" s="344"/>
      <c r="T416" s="344"/>
      <c r="U416" s="344"/>
      <c r="V416" s="344"/>
      <c r="W416" s="344"/>
      <c r="X416" s="344"/>
      <c r="Y416" s="344"/>
      <c r="Z416" s="344"/>
      <c r="AA416" s="344"/>
      <c r="AB416" s="344"/>
      <c r="AC416" s="344"/>
    </row>
    <row r="417" ht="24.75" customHeight="1">
      <c r="A417" s="344"/>
      <c r="B417" s="346"/>
      <c r="C417" s="344"/>
      <c r="D417" s="344"/>
      <c r="E417" s="344"/>
      <c r="F417" s="344"/>
      <c r="G417" s="344"/>
      <c r="H417" s="344"/>
      <c r="I417" s="344"/>
      <c r="J417" s="344"/>
      <c r="K417" s="344"/>
      <c r="L417" s="344"/>
      <c r="M417" s="344"/>
      <c r="N417" s="344"/>
      <c r="O417" s="344"/>
      <c r="P417" s="346"/>
      <c r="Q417" s="344"/>
      <c r="R417" s="344"/>
      <c r="S417" s="344"/>
      <c r="T417" s="344"/>
      <c r="U417" s="344"/>
      <c r="V417" s="344"/>
      <c r="W417" s="344"/>
      <c r="X417" s="344"/>
      <c r="Y417" s="344"/>
      <c r="Z417" s="344"/>
      <c r="AA417" s="344"/>
      <c r="AB417" s="344"/>
      <c r="AC417" s="344"/>
    </row>
    <row r="418" ht="24.75" customHeight="1">
      <c r="A418" s="344"/>
      <c r="B418" s="346"/>
      <c r="C418" s="344"/>
      <c r="D418" s="344"/>
      <c r="E418" s="344"/>
      <c r="F418" s="344"/>
      <c r="G418" s="344"/>
      <c r="H418" s="344"/>
      <c r="I418" s="344"/>
      <c r="J418" s="344"/>
      <c r="K418" s="344"/>
      <c r="L418" s="344"/>
      <c r="M418" s="344"/>
      <c r="N418" s="344"/>
      <c r="O418" s="344"/>
      <c r="P418" s="346"/>
      <c r="Q418" s="344"/>
      <c r="R418" s="344"/>
      <c r="S418" s="344"/>
      <c r="T418" s="344"/>
      <c r="U418" s="344"/>
      <c r="V418" s="344"/>
      <c r="W418" s="344"/>
      <c r="X418" s="344"/>
      <c r="Y418" s="344"/>
      <c r="Z418" s="344"/>
      <c r="AA418" s="344"/>
      <c r="AB418" s="344"/>
      <c r="AC418" s="344"/>
    </row>
    <row r="419" ht="24.75" customHeight="1">
      <c r="A419" s="344"/>
      <c r="B419" s="346"/>
      <c r="C419" s="344"/>
      <c r="D419" s="344"/>
      <c r="E419" s="344"/>
      <c r="F419" s="344"/>
      <c r="G419" s="344"/>
      <c r="H419" s="344"/>
      <c r="I419" s="344"/>
      <c r="J419" s="344"/>
      <c r="K419" s="344"/>
      <c r="L419" s="344"/>
      <c r="M419" s="344"/>
      <c r="N419" s="344"/>
      <c r="O419" s="344"/>
      <c r="P419" s="346"/>
      <c r="Q419" s="344"/>
      <c r="R419" s="344"/>
      <c r="S419" s="344"/>
      <c r="T419" s="344"/>
      <c r="U419" s="344"/>
      <c r="V419" s="344"/>
      <c r="W419" s="344"/>
      <c r="X419" s="344"/>
      <c r="Y419" s="344"/>
      <c r="Z419" s="344"/>
      <c r="AA419" s="344"/>
      <c r="AB419" s="344"/>
      <c r="AC419" s="344"/>
    </row>
    <row r="420" ht="24.75" customHeight="1">
      <c r="A420" s="344"/>
      <c r="B420" s="346"/>
      <c r="C420" s="344"/>
      <c r="D420" s="344"/>
      <c r="E420" s="344"/>
      <c r="F420" s="344"/>
      <c r="G420" s="344"/>
      <c r="H420" s="344"/>
      <c r="I420" s="344"/>
      <c r="J420" s="344"/>
      <c r="K420" s="344"/>
      <c r="L420" s="344"/>
      <c r="M420" s="344"/>
      <c r="N420" s="344"/>
      <c r="O420" s="344"/>
      <c r="P420" s="346"/>
      <c r="Q420" s="344"/>
      <c r="R420" s="344"/>
      <c r="S420" s="344"/>
      <c r="T420" s="344"/>
      <c r="U420" s="344"/>
      <c r="V420" s="344"/>
      <c r="W420" s="344"/>
      <c r="X420" s="344"/>
      <c r="Y420" s="344"/>
      <c r="Z420" s="344"/>
      <c r="AA420" s="344"/>
      <c r="AB420" s="344"/>
      <c r="AC420" s="344"/>
    </row>
    <row r="421" ht="24.75" customHeight="1">
      <c r="A421" s="344"/>
      <c r="B421" s="346"/>
      <c r="C421" s="344"/>
      <c r="D421" s="344"/>
      <c r="E421" s="344"/>
      <c r="F421" s="344"/>
      <c r="G421" s="344"/>
      <c r="H421" s="344"/>
      <c r="I421" s="344"/>
      <c r="J421" s="344"/>
      <c r="K421" s="344"/>
      <c r="L421" s="344"/>
      <c r="M421" s="344"/>
      <c r="N421" s="344"/>
      <c r="O421" s="344"/>
      <c r="P421" s="346"/>
      <c r="Q421" s="344"/>
      <c r="R421" s="344"/>
      <c r="S421" s="344"/>
      <c r="T421" s="344"/>
      <c r="U421" s="344"/>
      <c r="V421" s="344"/>
      <c r="W421" s="344"/>
      <c r="X421" s="344"/>
      <c r="Y421" s="344"/>
      <c r="Z421" s="344"/>
      <c r="AA421" s="344"/>
      <c r="AB421" s="344"/>
      <c r="AC421" s="344"/>
    </row>
    <row r="422" ht="24.75" customHeight="1">
      <c r="A422" s="344"/>
      <c r="B422" s="346"/>
      <c r="C422" s="344"/>
      <c r="D422" s="344"/>
      <c r="E422" s="344"/>
      <c r="F422" s="344"/>
      <c r="G422" s="344"/>
      <c r="H422" s="344"/>
      <c r="I422" s="344"/>
      <c r="J422" s="344"/>
      <c r="K422" s="344"/>
      <c r="L422" s="344"/>
      <c r="M422" s="344"/>
      <c r="N422" s="344"/>
      <c r="O422" s="344"/>
      <c r="P422" s="346"/>
      <c r="Q422" s="344"/>
      <c r="R422" s="344"/>
      <c r="S422" s="344"/>
      <c r="T422" s="344"/>
      <c r="U422" s="344"/>
      <c r="V422" s="344"/>
      <c r="W422" s="344"/>
      <c r="X422" s="344"/>
      <c r="Y422" s="344"/>
      <c r="Z422" s="344"/>
      <c r="AA422" s="344"/>
      <c r="AB422" s="344"/>
      <c r="AC422" s="344"/>
    </row>
    <row r="423" ht="24.75" customHeight="1">
      <c r="A423" s="344"/>
      <c r="B423" s="346"/>
      <c r="C423" s="344"/>
      <c r="D423" s="344"/>
      <c r="E423" s="344"/>
      <c r="F423" s="344"/>
      <c r="G423" s="344"/>
      <c r="H423" s="344"/>
      <c r="I423" s="344"/>
      <c r="J423" s="344"/>
      <c r="K423" s="344"/>
      <c r="L423" s="344"/>
      <c r="M423" s="344"/>
      <c r="N423" s="344"/>
      <c r="O423" s="344"/>
      <c r="P423" s="346"/>
      <c r="Q423" s="344"/>
      <c r="R423" s="344"/>
      <c r="S423" s="344"/>
      <c r="T423" s="344"/>
      <c r="U423" s="344"/>
      <c r="V423" s="344"/>
      <c r="W423" s="344"/>
      <c r="X423" s="344"/>
      <c r="Y423" s="344"/>
      <c r="Z423" s="344"/>
      <c r="AA423" s="344"/>
      <c r="AB423" s="344"/>
      <c r="AC423" s="344"/>
    </row>
    <row r="424" ht="24.75" customHeight="1">
      <c r="A424" s="344"/>
      <c r="B424" s="346"/>
      <c r="C424" s="344"/>
      <c r="D424" s="344"/>
      <c r="E424" s="344"/>
      <c r="F424" s="344"/>
      <c r="G424" s="344"/>
      <c r="H424" s="344"/>
      <c r="I424" s="344"/>
      <c r="J424" s="344"/>
      <c r="K424" s="344"/>
      <c r="L424" s="344"/>
      <c r="M424" s="344"/>
      <c r="N424" s="344"/>
      <c r="O424" s="344"/>
      <c r="P424" s="346"/>
      <c r="Q424" s="344"/>
      <c r="R424" s="344"/>
      <c r="S424" s="344"/>
      <c r="T424" s="344"/>
      <c r="U424" s="344"/>
      <c r="V424" s="344"/>
      <c r="W424" s="344"/>
      <c r="X424" s="344"/>
      <c r="Y424" s="344"/>
      <c r="Z424" s="344"/>
      <c r="AA424" s="344"/>
      <c r="AB424" s="344"/>
      <c r="AC424" s="344"/>
    </row>
    <row r="425" ht="24.75" customHeight="1">
      <c r="A425" s="344"/>
      <c r="B425" s="346"/>
      <c r="C425" s="344"/>
      <c r="D425" s="344"/>
      <c r="E425" s="344"/>
      <c r="F425" s="344"/>
      <c r="G425" s="344"/>
      <c r="H425" s="344"/>
      <c r="I425" s="344"/>
      <c r="J425" s="344"/>
      <c r="K425" s="344"/>
      <c r="L425" s="344"/>
      <c r="M425" s="344"/>
      <c r="N425" s="344"/>
      <c r="O425" s="344"/>
      <c r="P425" s="346"/>
      <c r="Q425" s="344"/>
      <c r="R425" s="344"/>
      <c r="S425" s="344"/>
      <c r="T425" s="344"/>
      <c r="U425" s="344"/>
      <c r="V425" s="344"/>
      <c r="W425" s="344"/>
      <c r="X425" s="344"/>
      <c r="Y425" s="344"/>
      <c r="Z425" s="344"/>
      <c r="AA425" s="344"/>
      <c r="AB425" s="344"/>
      <c r="AC425" s="344"/>
    </row>
    <row r="426" ht="24.75" customHeight="1">
      <c r="A426" s="344"/>
      <c r="B426" s="346"/>
      <c r="C426" s="344"/>
      <c r="D426" s="344"/>
      <c r="E426" s="344"/>
      <c r="F426" s="344"/>
      <c r="G426" s="344"/>
      <c r="H426" s="344"/>
      <c r="I426" s="344"/>
      <c r="J426" s="344"/>
      <c r="K426" s="344"/>
      <c r="L426" s="344"/>
      <c r="M426" s="344"/>
      <c r="N426" s="344"/>
      <c r="O426" s="344"/>
      <c r="P426" s="346"/>
      <c r="Q426" s="344"/>
      <c r="R426" s="344"/>
      <c r="S426" s="344"/>
      <c r="T426" s="344"/>
      <c r="U426" s="344"/>
      <c r="V426" s="344"/>
      <c r="W426" s="344"/>
      <c r="X426" s="344"/>
      <c r="Y426" s="344"/>
      <c r="Z426" s="344"/>
      <c r="AA426" s="344"/>
      <c r="AB426" s="344"/>
      <c r="AC426" s="344"/>
    </row>
    <row r="427" ht="24.75" customHeight="1">
      <c r="A427" s="344"/>
      <c r="B427" s="346"/>
      <c r="C427" s="344"/>
      <c r="D427" s="344"/>
      <c r="E427" s="344"/>
      <c r="F427" s="344"/>
      <c r="G427" s="344"/>
      <c r="H427" s="344"/>
      <c r="I427" s="344"/>
      <c r="J427" s="344"/>
      <c r="K427" s="344"/>
      <c r="L427" s="344"/>
      <c r="M427" s="344"/>
      <c r="N427" s="344"/>
      <c r="O427" s="344"/>
      <c r="P427" s="346"/>
      <c r="Q427" s="344"/>
      <c r="R427" s="344"/>
      <c r="S427" s="344"/>
      <c r="T427" s="344"/>
      <c r="U427" s="344"/>
      <c r="V427" s="344"/>
      <c r="W427" s="344"/>
      <c r="X427" s="344"/>
      <c r="Y427" s="344"/>
      <c r="Z427" s="344"/>
      <c r="AA427" s="344"/>
      <c r="AB427" s="344"/>
      <c r="AC427" s="344"/>
    </row>
    <row r="428" ht="24.75" customHeight="1">
      <c r="A428" s="344"/>
      <c r="B428" s="346"/>
      <c r="C428" s="344"/>
      <c r="D428" s="344"/>
      <c r="E428" s="344"/>
      <c r="F428" s="344"/>
      <c r="G428" s="344"/>
      <c r="H428" s="344"/>
      <c r="I428" s="344"/>
      <c r="J428" s="344"/>
      <c r="K428" s="344"/>
      <c r="L428" s="344"/>
      <c r="M428" s="344"/>
      <c r="N428" s="344"/>
      <c r="O428" s="344"/>
      <c r="P428" s="346"/>
      <c r="Q428" s="344"/>
      <c r="R428" s="344"/>
      <c r="S428" s="344"/>
      <c r="T428" s="344"/>
      <c r="U428" s="344"/>
      <c r="V428" s="344"/>
      <c r="W428" s="344"/>
      <c r="X428" s="344"/>
      <c r="Y428" s="344"/>
      <c r="Z428" s="344"/>
      <c r="AA428" s="344"/>
      <c r="AB428" s="344"/>
      <c r="AC428" s="344"/>
    </row>
    <row r="429" ht="24.75" customHeight="1">
      <c r="A429" s="344"/>
      <c r="B429" s="346"/>
      <c r="C429" s="344"/>
      <c r="D429" s="344"/>
      <c r="E429" s="344"/>
      <c r="F429" s="344"/>
      <c r="G429" s="344"/>
      <c r="H429" s="344"/>
      <c r="I429" s="344"/>
      <c r="J429" s="344"/>
      <c r="K429" s="344"/>
      <c r="L429" s="344"/>
      <c r="M429" s="344"/>
      <c r="N429" s="344"/>
      <c r="O429" s="344"/>
      <c r="P429" s="346"/>
      <c r="Q429" s="344"/>
      <c r="R429" s="344"/>
      <c r="S429" s="344"/>
      <c r="T429" s="344"/>
      <c r="U429" s="344"/>
      <c r="V429" s="344"/>
      <c r="W429" s="344"/>
      <c r="X429" s="344"/>
      <c r="Y429" s="344"/>
      <c r="Z429" s="344"/>
      <c r="AA429" s="344"/>
      <c r="AB429" s="344"/>
      <c r="AC429" s="344"/>
    </row>
    <row r="430" ht="24.75" customHeight="1">
      <c r="A430" s="344"/>
      <c r="B430" s="346"/>
      <c r="C430" s="344"/>
      <c r="D430" s="344"/>
      <c r="E430" s="344"/>
      <c r="F430" s="344"/>
      <c r="G430" s="344"/>
      <c r="H430" s="344"/>
      <c r="I430" s="344"/>
      <c r="J430" s="344"/>
      <c r="K430" s="344"/>
      <c r="L430" s="344"/>
      <c r="M430" s="344"/>
      <c r="N430" s="344"/>
      <c r="O430" s="344"/>
      <c r="P430" s="346"/>
      <c r="Q430" s="344"/>
      <c r="R430" s="344"/>
      <c r="S430" s="344"/>
      <c r="T430" s="344"/>
      <c r="U430" s="344"/>
      <c r="V430" s="344"/>
      <c r="W430" s="344"/>
      <c r="X430" s="344"/>
      <c r="Y430" s="344"/>
      <c r="Z430" s="344"/>
      <c r="AA430" s="344"/>
      <c r="AB430" s="344"/>
      <c r="AC430" s="344"/>
    </row>
    <row r="431" ht="24.75" customHeight="1">
      <c r="A431" s="344"/>
      <c r="B431" s="346"/>
      <c r="C431" s="344"/>
      <c r="D431" s="344"/>
      <c r="E431" s="344"/>
      <c r="F431" s="344"/>
      <c r="G431" s="344"/>
      <c r="H431" s="344"/>
      <c r="I431" s="344"/>
      <c r="J431" s="344"/>
      <c r="K431" s="344"/>
      <c r="L431" s="344"/>
      <c r="M431" s="344"/>
      <c r="N431" s="344"/>
      <c r="O431" s="344"/>
      <c r="P431" s="346"/>
      <c r="Q431" s="344"/>
      <c r="R431" s="344"/>
      <c r="S431" s="344"/>
      <c r="T431" s="344"/>
      <c r="U431" s="344"/>
      <c r="V431" s="344"/>
      <c r="W431" s="344"/>
      <c r="X431" s="344"/>
      <c r="Y431" s="344"/>
      <c r="Z431" s="344"/>
      <c r="AA431" s="344"/>
      <c r="AB431" s="344"/>
      <c r="AC431" s="344"/>
    </row>
    <row r="432" ht="24.75" customHeight="1">
      <c r="A432" s="344"/>
      <c r="B432" s="346"/>
      <c r="C432" s="344"/>
      <c r="D432" s="344"/>
      <c r="E432" s="344"/>
      <c r="F432" s="344"/>
      <c r="G432" s="344"/>
      <c r="H432" s="344"/>
      <c r="I432" s="344"/>
      <c r="J432" s="344"/>
      <c r="K432" s="344"/>
      <c r="L432" s="344"/>
      <c r="M432" s="344"/>
      <c r="N432" s="344"/>
      <c r="O432" s="344"/>
      <c r="P432" s="346"/>
      <c r="Q432" s="344"/>
      <c r="R432" s="344"/>
      <c r="S432" s="344"/>
      <c r="T432" s="344"/>
      <c r="U432" s="344"/>
      <c r="V432" s="344"/>
      <c r="W432" s="344"/>
      <c r="X432" s="344"/>
      <c r="Y432" s="344"/>
      <c r="Z432" s="344"/>
      <c r="AA432" s="344"/>
      <c r="AB432" s="344"/>
      <c r="AC432" s="344"/>
    </row>
    <row r="433" ht="24.75" customHeight="1">
      <c r="A433" s="344"/>
      <c r="B433" s="346"/>
      <c r="C433" s="344"/>
      <c r="D433" s="344"/>
      <c r="E433" s="344"/>
      <c r="F433" s="344"/>
      <c r="G433" s="344"/>
      <c r="H433" s="344"/>
      <c r="I433" s="344"/>
      <c r="J433" s="344"/>
      <c r="K433" s="344"/>
      <c r="L433" s="344"/>
      <c r="M433" s="344"/>
      <c r="N433" s="344"/>
      <c r="O433" s="344"/>
      <c r="P433" s="346"/>
      <c r="Q433" s="344"/>
      <c r="R433" s="344"/>
      <c r="S433" s="344"/>
      <c r="T433" s="344"/>
      <c r="U433" s="344"/>
      <c r="V433" s="344"/>
      <c r="W433" s="344"/>
      <c r="X433" s="344"/>
      <c r="Y433" s="344"/>
      <c r="Z433" s="344"/>
      <c r="AA433" s="344"/>
      <c r="AB433" s="344"/>
      <c r="AC433" s="344"/>
    </row>
    <row r="434" ht="24.75" customHeight="1">
      <c r="A434" s="344"/>
      <c r="B434" s="346"/>
      <c r="C434" s="344"/>
      <c r="D434" s="344"/>
      <c r="E434" s="344"/>
      <c r="F434" s="344"/>
      <c r="G434" s="344"/>
      <c r="H434" s="344"/>
      <c r="I434" s="344"/>
      <c r="J434" s="344"/>
      <c r="K434" s="344"/>
      <c r="L434" s="344"/>
      <c r="M434" s="344"/>
      <c r="N434" s="344"/>
      <c r="O434" s="344"/>
      <c r="P434" s="346"/>
      <c r="Q434" s="344"/>
      <c r="R434" s="344"/>
      <c r="S434" s="344"/>
      <c r="T434" s="344"/>
      <c r="U434" s="344"/>
      <c r="V434" s="344"/>
      <c r="W434" s="344"/>
      <c r="X434" s="344"/>
      <c r="Y434" s="344"/>
      <c r="Z434" s="344"/>
      <c r="AA434" s="344"/>
      <c r="AB434" s="344"/>
      <c r="AC434" s="344"/>
    </row>
    <row r="435" ht="24.75" customHeight="1">
      <c r="A435" s="344"/>
      <c r="B435" s="346"/>
      <c r="C435" s="344"/>
      <c r="D435" s="344"/>
      <c r="E435" s="344"/>
      <c r="F435" s="344"/>
      <c r="G435" s="344"/>
      <c r="H435" s="344"/>
      <c r="I435" s="344"/>
      <c r="J435" s="344"/>
      <c r="K435" s="344"/>
      <c r="L435" s="344"/>
      <c r="M435" s="344"/>
      <c r="N435" s="344"/>
      <c r="O435" s="344"/>
      <c r="P435" s="346"/>
      <c r="Q435" s="344"/>
      <c r="R435" s="344"/>
      <c r="S435" s="344"/>
      <c r="T435" s="344"/>
      <c r="U435" s="344"/>
      <c r="V435" s="344"/>
      <c r="W435" s="344"/>
      <c r="X435" s="344"/>
      <c r="Y435" s="344"/>
      <c r="Z435" s="344"/>
      <c r="AA435" s="344"/>
      <c r="AB435" s="344"/>
      <c r="AC435" s="344"/>
    </row>
    <row r="436" ht="24.75" customHeight="1">
      <c r="A436" s="344"/>
      <c r="B436" s="346"/>
      <c r="C436" s="344"/>
      <c r="D436" s="344"/>
      <c r="E436" s="344"/>
      <c r="F436" s="344"/>
      <c r="G436" s="344"/>
      <c r="H436" s="344"/>
      <c r="I436" s="344"/>
      <c r="J436" s="344"/>
      <c r="K436" s="344"/>
      <c r="L436" s="344"/>
      <c r="M436" s="344"/>
      <c r="N436" s="344"/>
      <c r="O436" s="344"/>
      <c r="P436" s="346"/>
      <c r="Q436" s="344"/>
      <c r="R436" s="344"/>
      <c r="S436" s="344"/>
      <c r="T436" s="344"/>
      <c r="U436" s="344"/>
      <c r="V436" s="344"/>
      <c r="W436" s="344"/>
      <c r="X436" s="344"/>
      <c r="Y436" s="344"/>
      <c r="Z436" s="344"/>
      <c r="AA436" s="344"/>
      <c r="AB436" s="344"/>
      <c r="AC436" s="344"/>
    </row>
    <row r="437" ht="24.75" customHeight="1">
      <c r="A437" s="344"/>
      <c r="B437" s="346"/>
      <c r="C437" s="344"/>
      <c r="D437" s="344"/>
      <c r="E437" s="344"/>
      <c r="F437" s="344"/>
      <c r="G437" s="344"/>
      <c r="H437" s="344"/>
      <c r="I437" s="344"/>
      <c r="J437" s="344"/>
      <c r="K437" s="344"/>
      <c r="L437" s="344"/>
      <c r="M437" s="344"/>
      <c r="N437" s="344"/>
      <c r="O437" s="344"/>
      <c r="P437" s="346"/>
      <c r="Q437" s="344"/>
      <c r="R437" s="344"/>
      <c r="S437" s="344"/>
      <c r="T437" s="344"/>
      <c r="U437" s="344"/>
      <c r="V437" s="344"/>
      <c r="W437" s="344"/>
      <c r="X437" s="344"/>
      <c r="Y437" s="344"/>
      <c r="Z437" s="344"/>
      <c r="AA437" s="344"/>
      <c r="AB437" s="344"/>
      <c r="AC437" s="344"/>
    </row>
    <row r="438" ht="24.75" customHeight="1">
      <c r="A438" s="344"/>
      <c r="B438" s="346"/>
      <c r="C438" s="344"/>
      <c r="D438" s="344"/>
      <c r="E438" s="344"/>
      <c r="F438" s="344"/>
      <c r="G438" s="344"/>
      <c r="H438" s="344"/>
      <c r="I438" s="344"/>
      <c r="J438" s="344"/>
      <c r="K438" s="344"/>
      <c r="L438" s="344"/>
      <c r="M438" s="344"/>
      <c r="N438" s="344"/>
      <c r="O438" s="344"/>
      <c r="P438" s="346"/>
      <c r="Q438" s="344"/>
      <c r="R438" s="344"/>
      <c r="S438" s="344"/>
      <c r="T438" s="344"/>
      <c r="U438" s="344"/>
      <c r="V438" s="344"/>
      <c r="W438" s="344"/>
      <c r="X438" s="344"/>
      <c r="Y438" s="344"/>
      <c r="Z438" s="344"/>
      <c r="AA438" s="344"/>
      <c r="AB438" s="344"/>
      <c r="AC438" s="344"/>
    </row>
    <row r="439" ht="24.75" customHeight="1">
      <c r="A439" s="344"/>
      <c r="B439" s="346"/>
      <c r="C439" s="344"/>
      <c r="D439" s="344"/>
      <c r="E439" s="344"/>
      <c r="F439" s="344"/>
      <c r="G439" s="344"/>
      <c r="H439" s="344"/>
      <c r="I439" s="344"/>
      <c r="J439" s="344"/>
      <c r="K439" s="344"/>
      <c r="L439" s="344"/>
      <c r="M439" s="344"/>
      <c r="N439" s="344"/>
      <c r="O439" s="344"/>
      <c r="P439" s="346"/>
      <c r="Q439" s="344"/>
      <c r="R439" s="344"/>
      <c r="S439" s="344"/>
      <c r="T439" s="344"/>
      <c r="U439" s="344"/>
      <c r="V439" s="344"/>
      <c r="W439" s="344"/>
      <c r="X439" s="344"/>
      <c r="Y439" s="344"/>
      <c r="Z439" s="344"/>
      <c r="AA439" s="344"/>
      <c r="AB439" s="344"/>
      <c r="AC439" s="344"/>
    </row>
    <row r="440" ht="24.75" customHeight="1">
      <c r="A440" s="344"/>
      <c r="B440" s="346"/>
      <c r="C440" s="344"/>
      <c r="D440" s="344"/>
      <c r="E440" s="344"/>
      <c r="F440" s="344"/>
      <c r="G440" s="344"/>
      <c r="H440" s="344"/>
      <c r="I440" s="344"/>
      <c r="J440" s="344"/>
      <c r="K440" s="344"/>
      <c r="L440" s="344"/>
      <c r="M440" s="344"/>
      <c r="N440" s="344"/>
      <c r="O440" s="344"/>
      <c r="P440" s="346"/>
      <c r="Q440" s="344"/>
      <c r="R440" s="344"/>
      <c r="S440" s="344"/>
      <c r="T440" s="344"/>
      <c r="U440" s="344"/>
      <c r="V440" s="344"/>
      <c r="W440" s="344"/>
      <c r="X440" s="344"/>
      <c r="Y440" s="344"/>
      <c r="Z440" s="344"/>
      <c r="AA440" s="344"/>
      <c r="AB440" s="344"/>
      <c r="AC440" s="344"/>
    </row>
    <row r="441" ht="24.75" customHeight="1">
      <c r="A441" s="344"/>
      <c r="B441" s="346"/>
      <c r="C441" s="344"/>
      <c r="D441" s="344"/>
      <c r="E441" s="344"/>
      <c r="F441" s="344"/>
      <c r="G441" s="344"/>
      <c r="H441" s="344"/>
      <c r="I441" s="344"/>
      <c r="J441" s="344"/>
      <c r="K441" s="344"/>
      <c r="L441" s="344"/>
      <c r="M441" s="344"/>
      <c r="N441" s="344"/>
      <c r="O441" s="344"/>
      <c r="P441" s="346"/>
      <c r="Q441" s="344"/>
      <c r="R441" s="344"/>
      <c r="S441" s="344"/>
      <c r="T441" s="344"/>
      <c r="U441" s="344"/>
      <c r="V441" s="344"/>
      <c r="W441" s="344"/>
      <c r="X441" s="344"/>
      <c r="Y441" s="344"/>
      <c r="Z441" s="344"/>
      <c r="AA441" s="344"/>
      <c r="AB441" s="344"/>
      <c r="AC441" s="344"/>
    </row>
    <row r="442" ht="24.75" customHeight="1">
      <c r="A442" s="344"/>
      <c r="B442" s="346"/>
      <c r="C442" s="344"/>
      <c r="D442" s="344"/>
      <c r="E442" s="344"/>
      <c r="F442" s="344"/>
      <c r="G442" s="344"/>
      <c r="H442" s="344"/>
      <c r="I442" s="344"/>
      <c r="J442" s="344"/>
      <c r="K442" s="344"/>
      <c r="L442" s="344"/>
      <c r="M442" s="344"/>
      <c r="N442" s="344"/>
      <c r="O442" s="344"/>
      <c r="P442" s="346"/>
      <c r="Q442" s="344"/>
      <c r="R442" s="344"/>
      <c r="S442" s="344"/>
      <c r="T442" s="344"/>
      <c r="U442" s="344"/>
      <c r="V442" s="344"/>
      <c r="W442" s="344"/>
      <c r="X442" s="344"/>
      <c r="Y442" s="344"/>
      <c r="Z442" s="344"/>
      <c r="AA442" s="344"/>
      <c r="AB442" s="344"/>
      <c r="AC442" s="344"/>
    </row>
    <row r="443" ht="24.75" customHeight="1">
      <c r="A443" s="344"/>
      <c r="B443" s="346"/>
      <c r="C443" s="344"/>
      <c r="D443" s="344"/>
      <c r="E443" s="344"/>
      <c r="F443" s="344"/>
      <c r="G443" s="344"/>
      <c r="H443" s="344"/>
      <c r="I443" s="344"/>
      <c r="J443" s="344"/>
      <c r="K443" s="344"/>
      <c r="L443" s="344"/>
      <c r="M443" s="344"/>
      <c r="N443" s="344"/>
      <c r="O443" s="344"/>
      <c r="P443" s="346"/>
      <c r="Q443" s="344"/>
      <c r="R443" s="344"/>
      <c r="S443" s="344"/>
      <c r="T443" s="344"/>
      <c r="U443" s="344"/>
      <c r="V443" s="344"/>
      <c r="W443" s="344"/>
      <c r="X443" s="344"/>
      <c r="Y443" s="344"/>
      <c r="Z443" s="344"/>
      <c r="AA443" s="344"/>
      <c r="AB443" s="344"/>
      <c r="AC443" s="344"/>
    </row>
    <row r="444" ht="24.75" customHeight="1">
      <c r="A444" s="344"/>
      <c r="B444" s="346"/>
      <c r="C444" s="344"/>
      <c r="D444" s="344"/>
      <c r="E444" s="344"/>
      <c r="F444" s="344"/>
      <c r="G444" s="344"/>
      <c r="H444" s="344"/>
      <c r="I444" s="344"/>
      <c r="J444" s="344"/>
      <c r="K444" s="344"/>
      <c r="L444" s="344"/>
      <c r="M444" s="344"/>
      <c r="N444" s="344"/>
      <c r="O444" s="344"/>
      <c r="P444" s="346"/>
      <c r="Q444" s="344"/>
      <c r="R444" s="344"/>
      <c r="S444" s="344"/>
      <c r="T444" s="344"/>
      <c r="U444" s="344"/>
      <c r="V444" s="344"/>
      <c r="W444" s="344"/>
      <c r="X444" s="344"/>
      <c r="Y444" s="344"/>
      <c r="Z444" s="344"/>
      <c r="AA444" s="344"/>
      <c r="AB444" s="344"/>
      <c r="AC444" s="344"/>
    </row>
    <row r="445" ht="24.75" customHeight="1">
      <c r="A445" s="344"/>
      <c r="B445" s="346"/>
      <c r="C445" s="344"/>
      <c r="D445" s="344"/>
      <c r="E445" s="344"/>
      <c r="F445" s="344"/>
      <c r="G445" s="344"/>
      <c r="H445" s="344"/>
      <c r="I445" s="344"/>
      <c r="J445" s="344"/>
      <c r="K445" s="344"/>
      <c r="L445" s="344"/>
      <c r="M445" s="344"/>
      <c r="N445" s="344"/>
      <c r="O445" s="344"/>
      <c r="P445" s="346"/>
      <c r="Q445" s="344"/>
      <c r="R445" s="344"/>
      <c r="S445" s="344"/>
      <c r="T445" s="344"/>
      <c r="U445" s="344"/>
      <c r="V445" s="344"/>
      <c r="W445" s="344"/>
      <c r="X445" s="344"/>
      <c r="Y445" s="344"/>
      <c r="Z445" s="344"/>
      <c r="AA445" s="344"/>
      <c r="AB445" s="344"/>
      <c r="AC445" s="344"/>
    </row>
    <row r="446" ht="24.75" customHeight="1">
      <c r="A446" s="344"/>
      <c r="B446" s="346"/>
      <c r="C446" s="344"/>
      <c r="D446" s="344"/>
      <c r="E446" s="344"/>
      <c r="F446" s="344"/>
      <c r="G446" s="344"/>
      <c r="H446" s="344"/>
      <c r="I446" s="344"/>
      <c r="J446" s="344"/>
      <c r="K446" s="344"/>
      <c r="L446" s="344"/>
      <c r="M446" s="344"/>
      <c r="N446" s="344"/>
      <c r="O446" s="344"/>
      <c r="P446" s="346"/>
      <c r="Q446" s="344"/>
      <c r="R446" s="344"/>
      <c r="S446" s="344"/>
      <c r="T446" s="344"/>
      <c r="U446" s="344"/>
      <c r="V446" s="344"/>
      <c r="W446" s="344"/>
      <c r="X446" s="344"/>
      <c r="Y446" s="344"/>
      <c r="Z446" s="344"/>
      <c r="AA446" s="344"/>
      <c r="AB446" s="344"/>
      <c r="AC446" s="344"/>
    </row>
    <row r="447" ht="24.75" customHeight="1">
      <c r="A447" s="344"/>
      <c r="B447" s="346"/>
      <c r="C447" s="344"/>
      <c r="D447" s="344"/>
      <c r="E447" s="344"/>
      <c r="F447" s="344"/>
      <c r="G447" s="344"/>
      <c r="H447" s="344"/>
      <c r="I447" s="344"/>
      <c r="J447" s="344"/>
      <c r="K447" s="344"/>
      <c r="L447" s="344"/>
      <c r="M447" s="344"/>
      <c r="N447" s="344"/>
      <c r="O447" s="344"/>
      <c r="P447" s="346"/>
      <c r="Q447" s="344"/>
      <c r="R447" s="344"/>
      <c r="S447" s="344"/>
      <c r="T447" s="344"/>
      <c r="U447" s="344"/>
      <c r="V447" s="344"/>
      <c r="W447" s="344"/>
      <c r="X447" s="344"/>
      <c r="Y447" s="344"/>
      <c r="Z447" s="344"/>
      <c r="AA447" s="344"/>
      <c r="AB447" s="344"/>
      <c r="AC447" s="344"/>
    </row>
    <row r="448" ht="24.75" customHeight="1">
      <c r="A448" s="344"/>
      <c r="B448" s="346"/>
      <c r="C448" s="344"/>
      <c r="D448" s="344"/>
      <c r="E448" s="344"/>
      <c r="F448" s="344"/>
      <c r="G448" s="344"/>
      <c r="H448" s="344"/>
      <c r="I448" s="344"/>
      <c r="J448" s="344"/>
      <c r="K448" s="344"/>
      <c r="L448" s="344"/>
      <c r="M448" s="344"/>
      <c r="N448" s="344"/>
      <c r="O448" s="344"/>
      <c r="P448" s="346"/>
      <c r="Q448" s="344"/>
      <c r="R448" s="344"/>
      <c r="S448" s="344"/>
      <c r="T448" s="344"/>
      <c r="U448" s="344"/>
      <c r="V448" s="344"/>
      <c r="W448" s="344"/>
      <c r="X448" s="344"/>
      <c r="Y448" s="344"/>
      <c r="Z448" s="344"/>
      <c r="AA448" s="344"/>
      <c r="AB448" s="344"/>
      <c r="AC448" s="344"/>
    </row>
    <row r="449" ht="24.75" customHeight="1">
      <c r="A449" s="344"/>
      <c r="B449" s="346"/>
      <c r="C449" s="344"/>
      <c r="D449" s="344"/>
      <c r="E449" s="344"/>
      <c r="F449" s="344"/>
      <c r="G449" s="344"/>
      <c r="H449" s="344"/>
      <c r="I449" s="344"/>
      <c r="J449" s="344"/>
      <c r="K449" s="344"/>
      <c r="L449" s="344"/>
      <c r="M449" s="344"/>
      <c r="N449" s="344"/>
      <c r="O449" s="344"/>
      <c r="P449" s="346"/>
      <c r="Q449" s="344"/>
      <c r="R449" s="344"/>
      <c r="S449" s="344"/>
      <c r="T449" s="344"/>
      <c r="U449" s="344"/>
      <c r="V449" s="344"/>
      <c r="W449" s="344"/>
      <c r="X449" s="344"/>
      <c r="Y449" s="344"/>
      <c r="Z449" s="344"/>
      <c r="AA449" s="344"/>
      <c r="AB449" s="344"/>
      <c r="AC449" s="344"/>
    </row>
    <row r="450" ht="24.75" customHeight="1">
      <c r="A450" s="344"/>
      <c r="B450" s="346"/>
      <c r="C450" s="344"/>
      <c r="D450" s="344"/>
      <c r="E450" s="344"/>
      <c r="F450" s="344"/>
      <c r="G450" s="344"/>
      <c r="H450" s="344"/>
      <c r="I450" s="344"/>
      <c r="J450" s="344"/>
      <c r="K450" s="344"/>
      <c r="L450" s="344"/>
      <c r="M450" s="344"/>
      <c r="N450" s="344"/>
      <c r="O450" s="344"/>
      <c r="P450" s="346"/>
      <c r="Q450" s="344"/>
      <c r="R450" s="344"/>
      <c r="S450" s="344"/>
      <c r="T450" s="344"/>
      <c r="U450" s="344"/>
      <c r="V450" s="344"/>
      <c r="W450" s="344"/>
      <c r="X450" s="344"/>
      <c r="Y450" s="344"/>
      <c r="Z450" s="344"/>
      <c r="AA450" s="344"/>
      <c r="AB450" s="344"/>
      <c r="AC450" s="344"/>
    </row>
    <row r="451" ht="24.75" customHeight="1">
      <c r="A451" s="344"/>
      <c r="B451" s="346"/>
      <c r="C451" s="344"/>
      <c r="D451" s="344"/>
      <c r="E451" s="344"/>
      <c r="F451" s="344"/>
      <c r="G451" s="344"/>
      <c r="H451" s="344"/>
      <c r="I451" s="344"/>
      <c r="J451" s="344"/>
      <c r="K451" s="344"/>
      <c r="L451" s="344"/>
      <c r="M451" s="344"/>
      <c r="N451" s="344"/>
      <c r="O451" s="344"/>
      <c r="P451" s="346"/>
      <c r="Q451" s="344"/>
      <c r="R451" s="344"/>
      <c r="S451" s="344"/>
      <c r="T451" s="344"/>
      <c r="U451" s="344"/>
      <c r="V451" s="344"/>
      <c r="W451" s="344"/>
      <c r="X451" s="344"/>
      <c r="Y451" s="344"/>
      <c r="Z451" s="344"/>
      <c r="AA451" s="344"/>
      <c r="AB451" s="344"/>
      <c r="AC451" s="344"/>
    </row>
    <row r="452" ht="24.75" customHeight="1">
      <c r="A452" s="344"/>
      <c r="B452" s="346"/>
      <c r="C452" s="344"/>
      <c r="D452" s="344"/>
      <c r="E452" s="344"/>
      <c r="F452" s="344"/>
      <c r="G452" s="344"/>
      <c r="H452" s="344"/>
      <c r="I452" s="344"/>
      <c r="J452" s="344"/>
      <c r="K452" s="344"/>
      <c r="L452" s="344"/>
      <c r="M452" s="344"/>
      <c r="N452" s="344"/>
      <c r="O452" s="344"/>
      <c r="P452" s="346"/>
      <c r="Q452" s="344"/>
      <c r="R452" s="344"/>
      <c r="S452" s="344"/>
      <c r="T452" s="344"/>
      <c r="U452" s="344"/>
      <c r="V452" s="344"/>
      <c r="W452" s="344"/>
      <c r="X452" s="344"/>
      <c r="Y452" s="344"/>
      <c r="Z452" s="344"/>
      <c r="AA452" s="344"/>
      <c r="AB452" s="344"/>
      <c r="AC452" s="344"/>
    </row>
    <row r="453" ht="24.75" customHeight="1">
      <c r="A453" s="344"/>
      <c r="B453" s="346"/>
      <c r="C453" s="344"/>
      <c r="D453" s="344"/>
      <c r="E453" s="344"/>
      <c r="F453" s="344"/>
      <c r="G453" s="344"/>
      <c r="H453" s="344"/>
      <c r="I453" s="344"/>
      <c r="J453" s="344"/>
      <c r="K453" s="344"/>
      <c r="L453" s="344"/>
      <c r="M453" s="344"/>
      <c r="N453" s="344"/>
      <c r="O453" s="344"/>
      <c r="P453" s="346"/>
      <c r="Q453" s="344"/>
      <c r="R453" s="344"/>
      <c r="S453" s="344"/>
      <c r="T453" s="344"/>
      <c r="U453" s="344"/>
      <c r="V453" s="344"/>
      <c r="W453" s="344"/>
      <c r="X453" s="344"/>
      <c r="Y453" s="344"/>
      <c r="Z453" s="344"/>
      <c r="AA453" s="344"/>
      <c r="AB453" s="344"/>
      <c r="AC453" s="344"/>
    </row>
    <row r="454" ht="24.75" customHeight="1">
      <c r="A454" s="344"/>
      <c r="B454" s="346"/>
      <c r="C454" s="344"/>
      <c r="D454" s="344"/>
      <c r="E454" s="344"/>
      <c r="F454" s="344"/>
      <c r="G454" s="344"/>
      <c r="H454" s="344"/>
      <c r="I454" s="344"/>
      <c r="J454" s="344"/>
      <c r="K454" s="344"/>
      <c r="L454" s="344"/>
      <c r="M454" s="344"/>
      <c r="N454" s="344"/>
      <c r="O454" s="344"/>
      <c r="P454" s="346"/>
      <c r="Q454" s="344"/>
      <c r="R454" s="344"/>
      <c r="S454" s="344"/>
      <c r="T454" s="344"/>
      <c r="U454" s="344"/>
      <c r="V454" s="344"/>
      <c r="W454" s="344"/>
      <c r="X454" s="344"/>
      <c r="Y454" s="344"/>
      <c r="Z454" s="344"/>
      <c r="AA454" s="344"/>
      <c r="AB454" s="344"/>
      <c r="AC454" s="344"/>
    </row>
    <row r="455" ht="24.75" customHeight="1">
      <c r="A455" s="344"/>
      <c r="B455" s="346"/>
      <c r="C455" s="344"/>
      <c r="D455" s="344"/>
      <c r="E455" s="344"/>
      <c r="F455" s="344"/>
      <c r="G455" s="344"/>
      <c r="H455" s="344"/>
      <c r="I455" s="344"/>
      <c r="J455" s="344"/>
      <c r="K455" s="344"/>
      <c r="L455" s="344"/>
      <c r="M455" s="344"/>
      <c r="N455" s="344"/>
      <c r="O455" s="344"/>
      <c r="P455" s="346"/>
      <c r="Q455" s="344"/>
      <c r="R455" s="344"/>
      <c r="S455" s="344"/>
      <c r="T455" s="344"/>
      <c r="U455" s="344"/>
      <c r="V455" s="344"/>
      <c r="W455" s="344"/>
      <c r="X455" s="344"/>
      <c r="Y455" s="344"/>
      <c r="Z455" s="344"/>
      <c r="AA455" s="344"/>
      <c r="AB455" s="344"/>
      <c r="AC455" s="344"/>
    </row>
    <row r="456" ht="24.75" customHeight="1">
      <c r="A456" s="344"/>
      <c r="B456" s="346"/>
      <c r="C456" s="344"/>
      <c r="D456" s="344"/>
      <c r="E456" s="344"/>
      <c r="F456" s="344"/>
      <c r="G456" s="344"/>
      <c r="H456" s="344"/>
      <c r="I456" s="344"/>
      <c r="J456" s="344"/>
      <c r="K456" s="344"/>
      <c r="L456" s="344"/>
      <c r="M456" s="344"/>
      <c r="N456" s="344"/>
      <c r="O456" s="344"/>
      <c r="P456" s="346"/>
      <c r="Q456" s="344"/>
      <c r="R456" s="344"/>
      <c r="S456" s="344"/>
      <c r="T456" s="344"/>
      <c r="U456" s="344"/>
      <c r="V456" s="344"/>
      <c r="W456" s="344"/>
      <c r="X456" s="344"/>
      <c r="Y456" s="344"/>
      <c r="Z456" s="344"/>
      <c r="AA456" s="344"/>
      <c r="AB456" s="344"/>
      <c r="AC456" s="344"/>
    </row>
    <row r="457" ht="24.75" customHeight="1">
      <c r="A457" s="344"/>
      <c r="B457" s="346"/>
      <c r="C457" s="344"/>
      <c r="D457" s="344"/>
      <c r="E457" s="344"/>
      <c r="F457" s="344"/>
      <c r="G457" s="344"/>
      <c r="H457" s="344"/>
      <c r="I457" s="344"/>
      <c r="J457" s="344"/>
      <c r="K457" s="344"/>
      <c r="L457" s="344"/>
      <c r="M457" s="344"/>
      <c r="N457" s="344"/>
      <c r="O457" s="344"/>
      <c r="P457" s="346"/>
      <c r="Q457" s="344"/>
      <c r="R457" s="344"/>
      <c r="S457" s="344"/>
      <c r="T457" s="344"/>
      <c r="U457" s="344"/>
      <c r="V457" s="344"/>
      <c r="W457" s="344"/>
      <c r="X457" s="344"/>
      <c r="Y457" s="344"/>
      <c r="Z457" s="344"/>
      <c r="AA457" s="344"/>
      <c r="AB457" s="344"/>
      <c r="AC457" s="344"/>
    </row>
    <row r="458" ht="24.75" customHeight="1">
      <c r="A458" s="344"/>
      <c r="B458" s="346"/>
      <c r="C458" s="344"/>
      <c r="D458" s="344"/>
      <c r="E458" s="344"/>
      <c r="F458" s="344"/>
      <c r="G458" s="344"/>
      <c r="H458" s="344"/>
      <c r="I458" s="344"/>
      <c r="J458" s="344"/>
      <c r="K458" s="344"/>
      <c r="L458" s="344"/>
      <c r="M458" s="344"/>
      <c r="N458" s="344"/>
      <c r="O458" s="344"/>
      <c r="P458" s="346"/>
      <c r="Q458" s="344"/>
      <c r="R458" s="344"/>
      <c r="S458" s="344"/>
      <c r="T458" s="344"/>
      <c r="U458" s="344"/>
      <c r="V458" s="344"/>
      <c r="W458" s="344"/>
      <c r="X458" s="344"/>
      <c r="Y458" s="344"/>
      <c r="Z458" s="344"/>
      <c r="AA458" s="344"/>
      <c r="AB458" s="344"/>
      <c r="AC458" s="344"/>
    </row>
    <row r="459" ht="24.75" customHeight="1">
      <c r="A459" s="344"/>
      <c r="B459" s="346"/>
      <c r="C459" s="344"/>
      <c r="D459" s="344"/>
      <c r="E459" s="344"/>
      <c r="F459" s="344"/>
      <c r="G459" s="344"/>
      <c r="H459" s="344"/>
      <c r="I459" s="344"/>
      <c r="J459" s="344"/>
      <c r="K459" s="344"/>
      <c r="L459" s="344"/>
      <c r="M459" s="344"/>
      <c r="N459" s="344"/>
      <c r="O459" s="344"/>
      <c r="P459" s="346"/>
      <c r="Q459" s="344"/>
      <c r="R459" s="344"/>
      <c r="S459" s="344"/>
      <c r="T459" s="344"/>
      <c r="U459" s="344"/>
      <c r="V459" s="344"/>
      <c r="W459" s="344"/>
      <c r="X459" s="344"/>
      <c r="Y459" s="344"/>
      <c r="Z459" s="344"/>
      <c r="AA459" s="344"/>
      <c r="AB459" s="344"/>
      <c r="AC459" s="344"/>
    </row>
    <row r="460" ht="24.75" customHeight="1">
      <c r="A460" s="344"/>
      <c r="B460" s="346"/>
      <c r="C460" s="344"/>
      <c r="D460" s="344"/>
      <c r="E460" s="344"/>
      <c r="F460" s="344"/>
      <c r="G460" s="344"/>
      <c r="H460" s="344"/>
      <c r="I460" s="344"/>
      <c r="J460" s="344"/>
      <c r="K460" s="344"/>
      <c r="L460" s="344"/>
      <c r="M460" s="344"/>
      <c r="N460" s="344"/>
      <c r="O460" s="344"/>
      <c r="P460" s="346"/>
      <c r="Q460" s="344"/>
      <c r="R460" s="344"/>
      <c r="S460" s="344"/>
      <c r="T460" s="344"/>
      <c r="U460" s="344"/>
      <c r="V460" s="344"/>
      <c r="W460" s="344"/>
      <c r="X460" s="344"/>
      <c r="Y460" s="344"/>
      <c r="Z460" s="344"/>
      <c r="AA460" s="344"/>
      <c r="AB460" s="344"/>
      <c r="AC460" s="344"/>
    </row>
    <row r="461" ht="24.75" customHeight="1">
      <c r="A461" s="344"/>
      <c r="B461" s="346"/>
      <c r="C461" s="344"/>
      <c r="D461" s="344"/>
      <c r="E461" s="344"/>
      <c r="F461" s="344"/>
      <c r="G461" s="344"/>
      <c r="H461" s="344"/>
      <c r="I461" s="344"/>
      <c r="J461" s="344"/>
      <c r="K461" s="344"/>
      <c r="L461" s="344"/>
      <c r="M461" s="344"/>
      <c r="N461" s="344"/>
      <c r="O461" s="344"/>
      <c r="P461" s="346"/>
      <c r="Q461" s="344"/>
      <c r="R461" s="344"/>
      <c r="S461" s="344"/>
      <c r="T461" s="344"/>
      <c r="U461" s="344"/>
      <c r="V461" s="344"/>
      <c r="W461" s="344"/>
      <c r="X461" s="344"/>
      <c r="Y461" s="344"/>
      <c r="Z461" s="344"/>
      <c r="AA461" s="344"/>
      <c r="AB461" s="344"/>
      <c r="AC461" s="344"/>
    </row>
    <row r="462" ht="24.75" customHeight="1">
      <c r="A462" s="344"/>
      <c r="B462" s="346"/>
      <c r="C462" s="344"/>
      <c r="D462" s="344"/>
      <c r="E462" s="344"/>
      <c r="F462" s="344"/>
      <c r="G462" s="344"/>
      <c r="H462" s="344"/>
      <c r="I462" s="344"/>
      <c r="J462" s="344"/>
      <c r="K462" s="344"/>
      <c r="L462" s="344"/>
      <c r="M462" s="344"/>
      <c r="N462" s="344"/>
      <c r="O462" s="344"/>
      <c r="P462" s="346"/>
      <c r="Q462" s="344"/>
      <c r="R462" s="344"/>
      <c r="S462" s="344"/>
      <c r="T462" s="344"/>
      <c r="U462" s="344"/>
      <c r="V462" s="344"/>
      <c r="W462" s="344"/>
      <c r="X462" s="344"/>
      <c r="Y462" s="344"/>
      <c r="Z462" s="344"/>
      <c r="AA462" s="344"/>
      <c r="AB462" s="344"/>
      <c r="AC462" s="344"/>
    </row>
    <row r="463" ht="24.75" customHeight="1">
      <c r="A463" s="344"/>
      <c r="B463" s="346"/>
      <c r="C463" s="344"/>
      <c r="D463" s="344"/>
      <c r="E463" s="344"/>
      <c r="F463" s="344"/>
      <c r="G463" s="344"/>
      <c r="H463" s="344"/>
      <c r="I463" s="344"/>
      <c r="J463" s="344"/>
      <c r="K463" s="344"/>
      <c r="L463" s="344"/>
      <c r="M463" s="344"/>
      <c r="N463" s="344"/>
      <c r="O463" s="344"/>
      <c r="P463" s="346"/>
      <c r="Q463" s="344"/>
      <c r="R463" s="344"/>
      <c r="S463" s="344"/>
      <c r="T463" s="344"/>
      <c r="U463" s="344"/>
      <c r="V463" s="344"/>
      <c r="W463" s="344"/>
      <c r="X463" s="344"/>
      <c r="Y463" s="344"/>
      <c r="Z463" s="344"/>
      <c r="AA463" s="344"/>
      <c r="AB463" s="344"/>
      <c r="AC463" s="344"/>
    </row>
    <row r="464" ht="24.75" customHeight="1">
      <c r="A464" s="344"/>
      <c r="B464" s="346"/>
      <c r="C464" s="344"/>
      <c r="D464" s="344"/>
      <c r="E464" s="344"/>
      <c r="F464" s="344"/>
      <c r="G464" s="344"/>
      <c r="H464" s="344"/>
      <c r="I464" s="344"/>
      <c r="J464" s="344"/>
      <c r="K464" s="344"/>
      <c r="L464" s="344"/>
      <c r="M464" s="344"/>
      <c r="N464" s="344"/>
      <c r="O464" s="344"/>
      <c r="P464" s="346"/>
      <c r="Q464" s="344"/>
      <c r="R464" s="344"/>
      <c r="S464" s="344"/>
      <c r="T464" s="344"/>
      <c r="U464" s="344"/>
      <c r="V464" s="344"/>
      <c r="W464" s="344"/>
      <c r="X464" s="344"/>
      <c r="Y464" s="344"/>
      <c r="Z464" s="344"/>
      <c r="AA464" s="344"/>
      <c r="AB464" s="344"/>
      <c r="AC464" s="344"/>
    </row>
    <row r="465" ht="24.75" customHeight="1">
      <c r="A465" s="344"/>
      <c r="B465" s="346"/>
      <c r="C465" s="344"/>
      <c r="D465" s="344"/>
      <c r="E465" s="344"/>
      <c r="F465" s="344"/>
      <c r="G465" s="344"/>
      <c r="H465" s="344"/>
      <c r="I465" s="344"/>
      <c r="J465" s="344"/>
      <c r="K465" s="344"/>
      <c r="L465" s="344"/>
      <c r="M465" s="344"/>
      <c r="N465" s="344"/>
      <c r="O465" s="344"/>
      <c r="P465" s="346"/>
      <c r="Q465" s="344"/>
      <c r="R465" s="344"/>
      <c r="S465" s="344"/>
      <c r="T465" s="344"/>
      <c r="U465" s="344"/>
      <c r="V465" s="344"/>
      <c r="W465" s="344"/>
      <c r="X465" s="344"/>
      <c r="Y465" s="344"/>
      <c r="Z465" s="344"/>
      <c r="AA465" s="344"/>
      <c r="AB465" s="344"/>
      <c r="AC465" s="344"/>
    </row>
    <row r="466" ht="24.75" customHeight="1">
      <c r="A466" s="344"/>
      <c r="B466" s="346"/>
      <c r="C466" s="344"/>
      <c r="D466" s="344"/>
      <c r="E466" s="344"/>
      <c r="F466" s="344"/>
      <c r="G466" s="344"/>
      <c r="H466" s="344"/>
      <c r="I466" s="344"/>
      <c r="J466" s="344"/>
      <c r="K466" s="344"/>
      <c r="L466" s="344"/>
      <c r="M466" s="344"/>
      <c r="N466" s="344"/>
      <c r="O466" s="344"/>
      <c r="P466" s="346"/>
      <c r="Q466" s="344"/>
      <c r="R466" s="344"/>
      <c r="S466" s="344"/>
      <c r="T466" s="344"/>
      <c r="U466" s="344"/>
      <c r="V466" s="344"/>
      <c r="W466" s="344"/>
      <c r="X466" s="344"/>
      <c r="Y466" s="344"/>
      <c r="Z466" s="344"/>
      <c r="AA466" s="344"/>
      <c r="AB466" s="344"/>
      <c r="AC466" s="344"/>
    </row>
    <row r="467" ht="24.75" customHeight="1">
      <c r="A467" s="344"/>
      <c r="B467" s="346"/>
      <c r="C467" s="344"/>
      <c r="D467" s="344"/>
      <c r="E467" s="344"/>
      <c r="F467" s="344"/>
      <c r="G467" s="344"/>
      <c r="H467" s="344"/>
      <c r="I467" s="344"/>
      <c r="J467" s="344"/>
      <c r="K467" s="344"/>
      <c r="L467" s="344"/>
      <c r="M467" s="344"/>
      <c r="N467" s="344"/>
      <c r="O467" s="344"/>
      <c r="P467" s="346"/>
      <c r="Q467" s="344"/>
      <c r="R467" s="344"/>
      <c r="S467" s="344"/>
      <c r="T467" s="344"/>
      <c r="U467" s="344"/>
      <c r="V467" s="344"/>
      <c r="W467" s="344"/>
      <c r="X467" s="344"/>
      <c r="Y467" s="344"/>
      <c r="Z467" s="344"/>
      <c r="AA467" s="344"/>
      <c r="AB467" s="344"/>
      <c r="AC467" s="344"/>
    </row>
    <row r="468" ht="24.75" customHeight="1">
      <c r="A468" s="344"/>
      <c r="B468" s="346"/>
      <c r="C468" s="344"/>
      <c r="D468" s="344"/>
      <c r="E468" s="344"/>
      <c r="F468" s="344"/>
      <c r="G468" s="344"/>
      <c r="H468" s="344"/>
      <c r="I468" s="344"/>
      <c r="J468" s="344"/>
      <c r="K468" s="344"/>
      <c r="L468" s="344"/>
      <c r="M468" s="344"/>
      <c r="N468" s="344"/>
      <c r="O468" s="344"/>
      <c r="P468" s="346"/>
      <c r="Q468" s="344"/>
      <c r="R468" s="344"/>
      <c r="S468" s="344"/>
      <c r="T468" s="344"/>
      <c r="U468" s="344"/>
      <c r="V468" s="344"/>
      <c r="W468" s="344"/>
      <c r="X468" s="344"/>
      <c r="Y468" s="344"/>
      <c r="Z468" s="344"/>
      <c r="AA468" s="344"/>
      <c r="AB468" s="344"/>
      <c r="AC468" s="344"/>
    </row>
    <row r="469" ht="24.75" customHeight="1">
      <c r="A469" s="344"/>
      <c r="B469" s="346"/>
      <c r="C469" s="344"/>
      <c r="D469" s="344"/>
      <c r="E469" s="344"/>
      <c r="F469" s="344"/>
      <c r="G469" s="344"/>
      <c r="H469" s="344"/>
      <c r="I469" s="344"/>
      <c r="J469" s="344"/>
      <c r="K469" s="344"/>
      <c r="L469" s="344"/>
      <c r="M469" s="344"/>
      <c r="N469" s="344"/>
      <c r="O469" s="344"/>
      <c r="P469" s="346"/>
      <c r="Q469" s="344"/>
      <c r="R469" s="344"/>
      <c r="S469" s="344"/>
      <c r="T469" s="344"/>
      <c r="U469" s="344"/>
      <c r="V469" s="344"/>
      <c r="W469" s="344"/>
      <c r="X469" s="344"/>
      <c r="Y469" s="344"/>
      <c r="Z469" s="344"/>
      <c r="AA469" s="344"/>
      <c r="AB469" s="344"/>
      <c r="AC469" s="344"/>
    </row>
    <row r="470" ht="24.75" customHeight="1">
      <c r="A470" s="344"/>
      <c r="B470" s="346"/>
      <c r="C470" s="344"/>
      <c r="D470" s="344"/>
      <c r="E470" s="344"/>
      <c r="F470" s="344"/>
      <c r="G470" s="344"/>
      <c r="H470" s="344"/>
      <c r="I470" s="344"/>
      <c r="J470" s="344"/>
      <c r="K470" s="344"/>
      <c r="L470" s="344"/>
      <c r="M470" s="344"/>
      <c r="N470" s="344"/>
      <c r="O470" s="344"/>
      <c r="P470" s="346"/>
      <c r="Q470" s="344"/>
      <c r="R470" s="344"/>
      <c r="S470" s="344"/>
      <c r="T470" s="344"/>
      <c r="U470" s="344"/>
      <c r="V470" s="344"/>
      <c r="W470" s="344"/>
      <c r="X470" s="344"/>
      <c r="Y470" s="344"/>
      <c r="Z470" s="344"/>
      <c r="AA470" s="344"/>
      <c r="AB470" s="344"/>
      <c r="AC470" s="344"/>
    </row>
    <row r="471" ht="24.75" customHeight="1">
      <c r="A471" s="344"/>
      <c r="B471" s="346"/>
      <c r="C471" s="344"/>
      <c r="D471" s="344"/>
      <c r="E471" s="344"/>
      <c r="F471" s="344"/>
      <c r="G471" s="344"/>
      <c r="H471" s="344"/>
      <c r="I471" s="344"/>
      <c r="J471" s="344"/>
      <c r="K471" s="344"/>
      <c r="L471" s="344"/>
      <c r="M471" s="344"/>
      <c r="N471" s="344"/>
      <c r="O471" s="344"/>
      <c r="P471" s="346"/>
      <c r="Q471" s="344"/>
      <c r="R471" s="344"/>
      <c r="S471" s="344"/>
      <c r="T471" s="344"/>
      <c r="U471" s="344"/>
      <c r="V471" s="344"/>
      <c r="W471" s="344"/>
      <c r="X471" s="344"/>
      <c r="Y471" s="344"/>
      <c r="Z471" s="344"/>
      <c r="AA471" s="344"/>
      <c r="AB471" s="344"/>
      <c r="AC471" s="344"/>
    </row>
    <row r="472" ht="24.75" customHeight="1">
      <c r="A472" s="344"/>
      <c r="B472" s="346"/>
      <c r="C472" s="344"/>
      <c r="D472" s="344"/>
      <c r="E472" s="344"/>
      <c r="F472" s="344"/>
      <c r="G472" s="344"/>
      <c r="H472" s="344"/>
      <c r="I472" s="344"/>
      <c r="J472" s="344"/>
      <c r="K472" s="344"/>
      <c r="L472" s="344"/>
      <c r="M472" s="344"/>
      <c r="N472" s="344"/>
      <c r="O472" s="344"/>
      <c r="P472" s="346"/>
      <c r="Q472" s="344"/>
      <c r="R472" s="344"/>
      <c r="S472" s="344"/>
      <c r="T472" s="344"/>
      <c r="U472" s="344"/>
      <c r="V472" s="344"/>
      <c r="W472" s="344"/>
      <c r="X472" s="344"/>
      <c r="Y472" s="344"/>
      <c r="Z472" s="344"/>
      <c r="AA472" s="344"/>
      <c r="AB472" s="344"/>
      <c r="AC472" s="344"/>
    </row>
    <row r="473" ht="24.75" customHeight="1">
      <c r="A473" s="344"/>
      <c r="B473" s="346"/>
      <c r="C473" s="344"/>
      <c r="D473" s="344"/>
      <c r="E473" s="344"/>
      <c r="F473" s="344"/>
      <c r="G473" s="344"/>
      <c r="H473" s="344"/>
      <c r="I473" s="344"/>
      <c r="J473" s="344"/>
      <c r="K473" s="344"/>
      <c r="L473" s="344"/>
      <c r="M473" s="344"/>
      <c r="N473" s="344"/>
      <c r="O473" s="344"/>
      <c r="P473" s="346"/>
      <c r="Q473" s="344"/>
      <c r="R473" s="344"/>
      <c r="S473" s="344"/>
      <c r="T473" s="344"/>
      <c r="U473" s="344"/>
      <c r="V473" s="344"/>
      <c r="W473" s="344"/>
      <c r="X473" s="344"/>
      <c r="Y473" s="344"/>
      <c r="Z473" s="344"/>
      <c r="AA473" s="344"/>
      <c r="AB473" s="344"/>
      <c r="AC473" s="344"/>
    </row>
    <row r="474" ht="24.75" customHeight="1">
      <c r="A474" s="344"/>
      <c r="B474" s="346"/>
      <c r="C474" s="344"/>
      <c r="D474" s="344"/>
      <c r="E474" s="344"/>
      <c r="F474" s="344"/>
      <c r="G474" s="344"/>
      <c r="H474" s="344"/>
      <c r="I474" s="344"/>
      <c r="J474" s="344"/>
      <c r="K474" s="344"/>
      <c r="L474" s="344"/>
      <c r="M474" s="344"/>
      <c r="N474" s="344"/>
      <c r="O474" s="344"/>
      <c r="P474" s="346"/>
      <c r="Q474" s="344"/>
      <c r="R474" s="344"/>
      <c r="S474" s="344"/>
      <c r="T474" s="344"/>
      <c r="U474" s="344"/>
      <c r="V474" s="344"/>
      <c r="W474" s="344"/>
      <c r="X474" s="344"/>
      <c r="Y474" s="344"/>
      <c r="Z474" s="344"/>
      <c r="AA474" s="344"/>
      <c r="AB474" s="344"/>
      <c r="AC474" s="344"/>
    </row>
    <row r="475" ht="24.75" customHeight="1">
      <c r="A475" s="344"/>
      <c r="B475" s="346"/>
      <c r="C475" s="344"/>
      <c r="D475" s="344"/>
      <c r="E475" s="344"/>
      <c r="F475" s="344"/>
      <c r="G475" s="344"/>
      <c r="H475" s="344"/>
      <c r="I475" s="344"/>
      <c r="J475" s="344"/>
      <c r="K475" s="344"/>
      <c r="L475" s="344"/>
      <c r="M475" s="344"/>
      <c r="N475" s="344"/>
      <c r="O475" s="344"/>
      <c r="P475" s="346"/>
      <c r="Q475" s="344"/>
      <c r="R475" s="344"/>
      <c r="S475" s="344"/>
      <c r="T475" s="344"/>
      <c r="U475" s="344"/>
      <c r="V475" s="344"/>
      <c r="W475" s="344"/>
      <c r="X475" s="344"/>
      <c r="Y475" s="344"/>
      <c r="Z475" s="344"/>
      <c r="AA475" s="344"/>
      <c r="AB475" s="344"/>
      <c r="AC475" s="344"/>
    </row>
    <row r="476" ht="24.75" customHeight="1">
      <c r="A476" s="344"/>
      <c r="B476" s="346"/>
      <c r="C476" s="344"/>
      <c r="D476" s="344"/>
      <c r="E476" s="344"/>
      <c r="F476" s="344"/>
      <c r="G476" s="344"/>
      <c r="H476" s="344"/>
      <c r="I476" s="344"/>
      <c r="J476" s="344"/>
      <c r="K476" s="344"/>
      <c r="L476" s="344"/>
      <c r="M476" s="344"/>
      <c r="N476" s="344"/>
      <c r="O476" s="344"/>
      <c r="P476" s="346"/>
      <c r="Q476" s="344"/>
      <c r="R476" s="344"/>
      <c r="S476" s="344"/>
      <c r="T476" s="344"/>
      <c r="U476" s="344"/>
      <c r="V476" s="344"/>
      <c r="W476" s="344"/>
      <c r="X476" s="344"/>
      <c r="Y476" s="344"/>
      <c r="Z476" s="344"/>
      <c r="AA476" s="344"/>
      <c r="AB476" s="344"/>
      <c r="AC476" s="344"/>
    </row>
    <row r="477" ht="24.75" customHeight="1">
      <c r="A477" s="344"/>
      <c r="B477" s="346"/>
      <c r="C477" s="344"/>
      <c r="D477" s="344"/>
      <c r="E477" s="344"/>
      <c r="F477" s="344"/>
      <c r="G477" s="344"/>
      <c r="H477" s="344"/>
      <c r="I477" s="344"/>
      <c r="J477" s="344"/>
      <c r="K477" s="344"/>
      <c r="L477" s="344"/>
      <c r="M477" s="344"/>
      <c r="N477" s="344"/>
      <c r="O477" s="344"/>
      <c r="P477" s="346"/>
      <c r="Q477" s="344"/>
      <c r="R477" s="344"/>
      <c r="S477" s="344"/>
      <c r="T477" s="344"/>
      <c r="U477" s="344"/>
      <c r="V477" s="344"/>
      <c r="W477" s="344"/>
      <c r="X477" s="344"/>
      <c r="Y477" s="344"/>
      <c r="Z477" s="344"/>
      <c r="AA477" s="344"/>
      <c r="AB477" s="344"/>
      <c r="AC477" s="344"/>
    </row>
    <row r="478" ht="24.75" customHeight="1">
      <c r="A478" s="344"/>
      <c r="B478" s="346"/>
      <c r="C478" s="344"/>
      <c r="D478" s="344"/>
      <c r="E478" s="344"/>
      <c r="F478" s="344"/>
      <c r="G478" s="344"/>
      <c r="H478" s="344"/>
      <c r="I478" s="344"/>
      <c r="J478" s="344"/>
      <c r="K478" s="344"/>
      <c r="L478" s="344"/>
      <c r="M478" s="344"/>
      <c r="N478" s="344"/>
      <c r="O478" s="344"/>
      <c r="P478" s="346"/>
      <c r="Q478" s="344"/>
      <c r="R478" s="344"/>
      <c r="S478" s="344"/>
      <c r="T478" s="344"/>
      <c r="U478" s="344"/>
      <c r="V478" s="344"/>
      <c r="W478" s="344"/>
      <c r="X478" s="344"/>
      <c r="Y478" s="344"/>
      <c r="Z478" s="344"/>
      <c r="AA478" s="344"/>
      <c r="AB478" s="344"/>
      <c r="AC478" s="344"/>
    </row>
    <row r="479" ht="24.75" customHeight="1">
      <c r="A479" s="344"/>
      <c r="B479" s="346"/>
      <c r="C479" s="344"/>
      <c r="D479" s="344"/>
      <c r="E479" s="344"/>
      <c r="F479" s="344"/>
      <c r="G479" s="344"/>
      <c r="H479" s="344"/>
      <c r="I479" s="344"/>
      <c r="J479" s="344"/>
      <c r="K479" s="344"/>
      <c r="L479" s="344"/>
      <c r="M479" s="344"/>
      <c r="N479" s="344"/>
      <c r="O479" s="344"/>
      <c r="P479" s="346"/>
      <c r="Q479" s="344"/>
      <c r="R479" s="344"/>
      <c r="S479" s="344"/>
      <c r="T479" s="344"/>
      <c r="U479" s="344"/>
      <c r="V479" s="344"/>
      <c r="W479" s="344"/>
      <c r="X479" s="344"/>
      <c r="Y479" s="344"/>
      <c r="Z479" s="344"/>
      <c r="AA479" s="344"/>
      <c r="AB479" s="344"/>
      <c r="AC479" s="344"/>
    </row>
    <row r="480" ht="24.75" customHeight="1">
      <c r="A480" s="344"/>
      <c r="B480" s="346"/>
      <c r="C480" s="344"/>
      <c r="D480" s="344"/>
      <c r="E480" s="344"/>
      <c r="F480" s="344"/>
      <c r="G480" s="344"/>
      <c r="H480" s="344"/>
      <c r="I480" s="344"/>
      <c r="J480" s="344"/>
      <c r="K480" s="344"/>
      <c r="L480" s="344"/>
      <c r="M480" s="344"/>
      <c r="N480" s="344"/>
      <c r="O480" s="344"/>
      <c r="P480" s="346"/>
      <c r="Q480" s="344"/>
      <c r="R480" s="344"/>
      <c r="S480" s="344"/>
      <c r="T480" s="344"/>
      <c r="U480" s="344"/>
      <c r="V480" s="344"/>
      <c r="W480" s="344"/>
      <c r="X480" s="344"/>
      <c r="Y480" s="344"/>
      <c r="Z480" s="344"/>
      <c r="AA480" s="344"/>
      <c r="AB480" s="344"/>
      <c r="AC480" s="344"/>
    </row>
    <row r="481" ht="24.75" customHeight="1">
      <c r="A481" s="344"/>
      <c r="B481" s="346"/>
      <c r="C481" s="344"/>
      <c r="D481" s="344"/>
      <c r="E481" s="344"/>
      <c r="F481" s="344"/>
      <c r="G481" s="344"/>
      <c r="H481" s="344"/>
      <c r="I481" s="344"/>
      <c r="J481" s="344"/>
      <c r="K481" s="344"/>
      <c r="L481" s="344"/>
      <c r="M481" s="344"/>
      <c r="N481" s="344"/>
      <c r="O481" s="344"/>
      <c r="P481" s="346"/>
      <c r="Q481" s="344"/>
      <c r="R481" s="344"/>
      <c r="S481" s="344"/>
      <c r="T481" s="344"/>
      <c r="U481" s="344"/>
      <c r="V481" s="344"/>
      <c r="W481" s="344"/>
      <c r="X481" s="344"/>
      <c r="Y481" s="344"/>
      <c r="Z481" s="344"/>
      <c r="AA481" s="344"/>
      <c r="AB481" s="344"/>
      <c r="AC481" s="344"/>
    </row>
    <row r="482" ht="24.75" customHeight="1">
      <c r="A482" s="344"/>
      <c r="B482" s="346"/>
      <c r="C482" s="344"/>
      <c r="D482" s="344"/>
      <c r="E482" s="344"/>
      <c r="F482" s="344"/>
      <c r="G482" s="344"/>
      <c r="H482" s="344"/>
      <c r="I482" s="344"/>
      <c r="J482" s="344"/>
      <c r="K482" s="344"/>
      <c r="L482" s="344"/>
      <c r="M482" s="344"/>
      <c r="N482" s="344"/>
      <c r="O482" s="344"/>
      <c r="P482" s="346"/>
      <c r="Q482" s="344"/>
      <c r="R482" s="344"/>
      <c r="S482" s="344"/>
      <c r="T482" s="344"/>
      <c r="U482" s="344"/>
      <c r="V482" s="344"/>
      <c r="W482" s="344"/>
      <c r="X482" s="344"/>
      <c r="Y482" s="344"/>
      <c r="Z482" s="344"/>
      <c r="AA482" s="344"/>
      <c r="AB482" s="344"/>
      <c r="AC482" s="344"/>
    </row>
    <row r="483" ht="24.75" customHeight="1">
      <c r="A483" s="344"/>
      <c r="B483" s="346"/>
      <c r="C483" s="344"/>
      <c r="D483" s="344"/>
      <c r="E483" s="344"/>
      <c r="F483" s="344"/>
      <c r="G483" s="344"/>
      <c r="H483" s="344"/>
      <c r="I483" s="344"/>
      <c r="J483" s="344"/>
      <c r="K483" s="344"/>
      <c r="L483" s="344"/>
      <c r="M483" s="344"/>
      <c r="N483" s="344"/>
      <c r="O483" s="344"/>
      <c r="P483" s="346"/>
      <c r="Q483" s="344"/>
      <c r="R483" s="344"/>
      <c r="S483" s="344"/>
      <c r="T483" s="344"/>
      <c r="U483" s="344"/>
      <c r="V483" s="344"/>
      <c r="W483" s="344"/>
      <c r="X483" s="344"/>
      <c r="Y483" s="344"/>
      <c r="Z483" s="344"/>
      <c r="AA483" s="344"/>
      <c r="AB483" s="344"/>
      <c r="AC483" s="344"/>
    </row>
    <row r="484" ht="24.75" customHeight="1">
      <c r="A484" s="344"/>
      <c r="B484" s="346"/>
      <c r="C484" s="344"/>
      <c r="D484" s="344"/>
      <c r="E484" s="344"/>
      <c r="F484" s="344"/>
      <c r="G484" s="344"/>
      <c r="H484" s="344"/>
      <c r="I484" s="344"/>
      <c r="J484" s="344"/>
      <c r="K484" s="344"/>
      <c r="L484" s="344"/>
      <c r="M484" s="344"/>
      <c r="N484" s="344"/>
      <c r="O484" s="344"/>
      <c r="P484" s="346"/>
      <c r="Q484" s="344"/>
      <c r="R484" s="344"/>
      <c r="S484" s="344"/>
      <c r="T484" s="344"/>
      <c r="U484" s="344"/>
      <c r="V484" s="344"/>
      <c r="W484" s="344"/>
      <c r="X484" s="344"/>
      <c r="Y484" s="344"/>
      <c r="Z484" s="344"/>
      <c r="AA484" s="344"/>
      <c r="AB484" s="344"/>
      <c r="AC484" s="344"/>
    </row>
    <row r="485" ht="24.75" customHeight="1">
      <c r="A485" s="344"/>
      <c r="B485" s="346"/>
      <c r="C485" s="344"/>
      <c r="D485" s="344"/>
      <c r="E485" s="344"/>
      <c r="F485" s="344"/>
      <c r="G485" s="344"/>
      <c r="H485" s="344"/>
      <c r="I485" s="344"/>
      <c r="J485" s="344"/>
      <c r="K485" s="344"/>
      <c r="L485" s="344"/>
      <c r="M485" s="344"/>
      <c r="N485" s="344"/>
      <c r="O485" s="344"/>
      <c r="P485" s="346"/>
      <c r="Q485" s="344"/>
      <c r="R485" s="344"/>
      <c r="S485" s="344"/>
      <c r="T485" s="344"/>
      <c r="U485" s="344"/>
      <c r="V485" s="344"/>
      <c r="W485" s="344"/>
      <c r="X485" s="344"/>
      <c r="Y485" s="344"/>
      <c r="Z485" s="344"/>
      <c r="AA485" s="344"/>
      <c r="AB485" s="344"/>
      <c r="AC485" s="344"/>
    </row>
    <row r="486" ht="24.75" customHeight="1">
      <c r="A486" s="344"/>
      <c r="B486" s="346"/>
      <c r="C486" s="344"/>
      <c r="D486" s="344"/>
      <c r="E486" s="344"/>
      <c r="F486" s="344"/>
      <c r="G486" s="344"/>
      <c r="H486" s="344"/>
      <c r="I486" s="344"/>
      <c r="J486" s="344"/>
      <c r="K486" s="344"/>
      <c r="L486" s="344"/>
      <c r="M486" s="344"/>
      <c r="N486" s="344"/>
      <c r="O486" s="344"/>
      <c r="P486" s="346"/>
      <c r="Q486" s="344"/>
      <c r="R486" s="344"/>
      <c r="S486" s="344"/>
      <c r="T486" s="344"/>
      <c r="U486" s="344"/>
      <c r="V486" s="344"/>
      <c r="W486" s="344"/>
      <c r="X486" s="344"/>
      <c r="Y486" s="344"/>
      <c r="Z486" s="344"/>
      <c r="AA486" s="344"/>
      <c r="AB486" s="344"/>
      <c r="AC486" s="344"/>
    </row>
    <row r="487" ht="24.75" customHeight="1">
      <c r="A487" s="344"/>
      <c r="B487" s="346"/>
      <c r="C487" s="344"/>
      <c r="D487" s="344"/>
      <c r="E487" s="344"/>
      <c r="F487" s="344"/>
      <c r="G487" s="344"/>
      <c r="H487" s="344"/>
      <c r="I487" s="344"/>
      <c r="J487" s="344"/>
      <c r="K487" s="344"/>
      <c r="L487" s="344"/>
      <c r="M487" s="344"/>
      <c r="N487" s="344"/>
      <c r="O487" s="344"/>
      <c r="P487" s="346"/>
      <c r="Q487" s="344"/>
      <c r="R487" s="344"/>
      <c r="S487" s="344"/>
      <c r="T487" s="344"/>
      <c r="U487" s="344"/>
      <c r="V487" s="344"/>
      <c r="W487" s="344"/>
      <c r="X487" s="344"/>
      <c r="Y487" s="344"/>
      <c r="Z487" s="344"/>
      <c r="AA487" s="344"/>
      <c r="AB487" s="344"/>
      <c r="AC487" s="344"/>
    </row>
    <row r="488" ht="24.75" customHeight="1">
      <c r="A488" s="344"/>
      <c r="B488" s="346"/>
      <c r="C488" s="344"/>
      <c r="D488" s="344"/>
      <c r="E488" s="344"/>
      <c r="F488" s="344"/>
      <c r="G488" s="344"/>
      <c r="H488" s="344"/>
      <c r="I488" s="344"/>
      <c r="J488" s="344"/>
      <c r="K488" s="344"/>
      <c r="L488" s="344"/>
      <c r="M488" s="344"/>
      <c r="N488" s="344"/>
      <c r="O488" s="344"/>
      <c r="P488" s="346"/>
      <c r="Q488" s="344"/>
      <c r="R488" s="344"/>
      <c r="S488" s="344"/>
      <c r="T488" s="344"/>
      <c r="U488" s="344"/>
      <c r="V488" s="344"/>
      <c r="W488" s="344"/>
      <c r="X488" s="344"/>
      <c r="Y488" s="344"/>
      <c r="Z488" s="344"/>
      <c r="AA488" s="344"/>
      <c r="AB488" s="344"/>
      <c r="AC488" s="344"/>
    </row>
    <row r="489" ht="24.75" customHeight="1">
      <c r="A489" s="344"/>
      <c r="B489" s="346"/>
      <c r="C489" s="344"/>
      <c r="D489" s="344"/>
      <c r="E489" s="344"/>
      <c r="F489" s="344"/>
      <c r="G489" s="344"/>
      <c r="H489" s="344"/>
      <c r="I489" s="344"/>
      <c r="J489" s="344"/>
      <c r="K489" s="344"/>
      <c r="L489" s="344"/>
      <c r="M489" s="344"/>
      <c r="N489" s="344"/>
      <c r="O489" s="344"/>
      <c r="P489" s="346"/>
      <c r="Q489" s="344"/>
      <c r="R489" s="344"/>
      <c r="S489" s="344"/>
      <c r="T489" s="344"/>
      <c r="U489" s="344"/>
      <c r="V489" s="344"/>
      <c r="W489" s="344"/>
      <c r="X489" s="344"/>
      <c r="Y489" s="344"/>
      <c r="Z489" s="344"/>
      <c r="AA489" s="344"/>
      <c r="AB489" s="344"/>
      <c r="AC489" s="344"/>
    </row>
    <row r="490" ht="24.75" customHeight="1">
      <c r="A490" s="344"/>
      <c r="B490" s="346"/>
      <c r="C490" s="344"/>
      <c r="D490" s="344"/>
      <c r="E490" s="344"/>
      <c r="F490" s="344"/>
      <c r="G490" s="344"/>
      <c r="H490" s="344"/>
      <c r="I490" s="344"/>
      <c r="J490" s="344"/>
      <c r="K490" s="344"/>
      <c r="L490" s="344"/>
      <c r="M490" s="344"/>
      <c r="N490" s="344"/>
      <c r="O490" s="344"/>
      <c r="P490" s="346"/>
      <c r="Q490" s="344"/>
      <c r="R490" s="344"/>
      <c r="S490" s="344"/>
      <c r="T490" s="344"/>
      <c r="U490" s="344"/>
      <c r="V490" s="344"/>
      <c r="W490" s="344"/>
      <c r="X490" s="344"/>
      <c r="Y490" s="344"/>
      <c r="Z490" s="344"/>
      <c r="AA490" s="344"/>
      <c r="AB490" s="344"/>
      <c r="AC490" s="344"/>
    </row>
    <row r="491" ht="24.75" customHeight="1">
      <c r="A491" s="344"/>
      <c r="B491" s="346"/>
      <c r="C491" s="344"/>
      <c r="D491" s="344"/>
      <c r="E491" s="344"/>
      <c r="F491" s="344"/>
      <c r="G491" s="344"/>
      <c r="H491" s="344"/>
      <c r="I491" s="344"/>
      <c r="J491" s="344"/>
      <c r="K491" s="344"/>
      <c r="L491" s="344"/>
      <c r="M491" s="344"/>
      <c r="N491" s="344"/>
      <c r="O491" s="344"/>
      <c r="P491" s="346"/>
      <c r="Q491" s="344"/>
      <c r="R491" s="344"/>
      <c r="S491" s="344"/>
      <c r="T491" s="344"/>
      <c r="U491" s="344"/>
      <c r="V491" s="344"/>
      <c r="W491" s="344"/>
      <c r="X491" s="344"/>
      <c r="Y491" s="344"/>
      <c r="Z491" s="344"/>
      <c r="AA491" s="344"/>
      <c r="AB491" s="344"/>
      <c r="AC491" s="344"/>
    </row>
    <row r="492" ht="24.75" customHeight="1">
      <c r="A492" s="344"/>
      <c r="B492" s="346"/>
      <c r="C492" s="344"/>
      <c r="D492" s="344"/>
      <c r="E492" s="344"/>
      <c r="F492" s="344"/>
      <c r="G492" s="344"/>
      <c r="H492" s="344"/>
      <c r="I492" s="344"/>
      <c r="J492" s="344"/>
      <c r="K492" s="344"/>
      <c r="L492" s="344"/>
      <c r="M492" s="344"/>
      <c r="N492" s="344"/>
      <c r="O492" s="344"/>
      <c r="P492" s="346"/>
      <c r="Q492" s="344"/>
      <c r="R492" s="344"/>
      <c r="S492" s="344"/>
      <c r="T492" s="344"/>
      <c r="U492" s="344"/>
      <c r="V492" s="344"/>
      <c r="W492" s="344"/>
      <c r="X492" s="344"/>
      <c r="Y492" s="344"/>
      <c r="Z492" s="344"/>
      <c r="AA492" s="344"/>
      <c r="AB492" s="344"/>
      <c r="AC492" s="344"/>
    </row>
    <row r="493" ht="24.75" customHeight="1">
      <c r="A493" s="344"/>
      <c r="B493" s="346"/>
      <c r="C493" s="344"/>
      <c r="D493" s="344"/>
      <c r="E493" s="344"/>
      <c r="F493" s="344"/>
      <c r="G493" s="344"/>
      <c r="H493" s="344"/>
      <c r="I493" s="344"/>
      <c r="J493" s="344"/>
      <c r="K493" s="344"/>
      <c r="L493" s="344"/>
      <c r="M493" s="344"/>
      <c r="N493" s="344"/>
      <c r="O493" s="344"/>
      <c r="P493" s="346"/>
      <c r="Q493" s="344"/>
      <c r="R493" s="344"/>
      <c r="S493" s="344"/>
      <c r="T493" s="344"/>
      <c r="U493" s="344"/>
      <c r="V493" s="344"/>
      <c r="W493" s="344"/>
      <c r="X493" s="344"/>
      <c r="Y493" s="344"/>
      <c r="Z493" s="344"/>
      <c r="AA493" s="344"/>
      <c r="AB493" s="344"/>
      <c r="AC493" s="344"/>
    </row>
    <row r="494" ht="24.75" customHeight="1">
      <c r="A494" s="344"/>
      <c r="B494" s="346"/>
      <c r="C494" s="344"/>
      <c r="D494" s="344"/>
      <c r="E494" s="344"/>
      <c r="F494" s="344"/>
      <c r="G494" s="344"/>
      <c r="H494" s="344"/>
      <c r="I494" s="344"/>
      <c r="J494" s="344"/>
      <c r="K494" s="344"/>
      <c r="L494" s="344"/>
      <c r="M494" s="344"/>
      <c r="N494" s="344"/>
      <c r="O494" s="344"/>
      <c r="P494" s="346"/>
      <c r="Q494" s="344"/>
      <c r="R494" s="344"/>
      <c r="S494" s="344"/>
      <c r="T494" s="344"/>
      <c r="U494" s="344"/>
      <c r="V494" s="344"/>
      <c r="W494" s="344"/>
      <c r="X494" s="344"/>
      <c r="Y494" s="344"/>
      <c r="Z494" s="344"/>
      <c r="AA494" s="344"/>
      <c r="AB494" s="344"/>
      <c r="AC494" s="344"/>
    </row>
    <row r="495" ht="24.75" customHeight="1">
      <c r="A495" s="344"/>
      <c r="B495" s="346"/>
      <c r="C495" s="344"/>
      <c r="D495" s="344"/>
      <c r="E495" s="344"/>
      <c r="F495" s="344"/>
      <c r="G495" s="344"/>
      <c r="H495" s="344"/>
      <c r="I495" s="344"/>
      <c r="J495" s="344"/>
      <c r="K495" s="344"/>
      <c r="L495" s="344"/>
      <c r="M495" s="344"/>
      <c r="N495" s="344"/>
      <c r="O495" s="344"/>
      <c r="P495" s="346"/>
      <c r="Q495" s="344"/>
      <c r="R495" s="344"/>
      <c r="S495" s="344"/>
      <c r="T495" s="344"/>
      <c r="U495" s="344"/>
      <c r="V495" s="344"/>
      <c r="W495" s="344"/>
      <c r="X495" s="344"/>
      <c r="Y495" s="344"/>
      <c r="Z495" s="344"/>
      <c r="AA495" s="344"/>
      <c r="AB495" s="344"/>
      <c r="AC495" s="344"/>
    </row>
    <row r="496" ht="24.75" customHeight="1">
      <c r="A496" s="344"/>
      <c r="B496" s="346"/>
      <c r="C496" s="344"/>
      <c r="D496" s="344"/>
      <c r="E496" s="344"/>
      <c r="F496" s="344"/>
      <c r="G496" s="344"/>
      <c r="H496" s="344"/>
      <c r="I496" s="344"/>
      <c r="J496" s="344"/>
      <c r="K496" s="344"/>
      <c r="L496" s="344"/>
      <c r="M496" s="344"/>
      <c r="N496" s="344"/>
      <c r="O496" s="344"/>
      <c r="P496" s="346"/>
      <c r="Q496" s="344"/>
      <c r="R496" s="344"/>
      <c r="S496" s="344"/>
      <c r="T496" s="344"/>
      <c r="U496" s="344"/>
      <c r="V496" s="344"/>
      <c r="W496" s="344"/>
      <c r="X496" s="344"/>
      <c r="Y496" s="344"/>
      <c r="Z496" s="344"/>
      <c r="AA496" s="344"/>
      <c r="AB496" s="344"/>
      <c r="AC496" s="344"/>
    </row>
    <row r="497" ht="24.75" customHeight="1">
      <c r="A497" s="344"/>
      <c r="B497" s="346"/>
      <c r="C497" s="344"/>
      <c r="D497" s="344"/>
      <c r="E497" s="344"/>
      <c r="F497" s="344"/>
      <c r="G497" s="344"/>
      <c r="H497" s="344"/>
      <c r="I497" s="344"/>
      <c r="J497" s="344"/>
      <c r="K497" s="344"/>
      <c r="L497" s="344"/>
      <c r="M497" s="344"/>
      <c r="N497" s="344"/>
      <c r="O497" s="344"/>
      <c r="P497" s="346"/>
      <c r="Q497" s="344"/>
      <c r="R497" s="344"/>
      <c r="S497" s="344"/>
      <c r="T497" s="344"/>
      <c r="U497" s="344"/>
      <c r="V497" s="344"/>
      <c r="W497" s="344"/>
      <c r="X497" s="344"/>
      <c r="Y497" s="344"/>
      <c r="Z497" s="344"/>
      <c r="AA497" s="344"/>
      <c r="AB497" s="344"/>
      <c r="AC497" s="344"/>
    </row>
    <row r="498" ht="24.75" customHeight="1">
      <c r="A498" s="344"/>
      <c r="B498" s="346"/>
      <c r="C498" s="344"/>
      <c r="D498" s="344"/>
      <c r="E498" s="344"/>
      <c r="F498" s="344"/>
      <c r="G498" s="344"/>
      <c r="H498" s="344"/>
      <c r="I498" s="344"/>
      <c r="J498" s="344"/>
      <c r="K498" s="344"/>
      <c r="L498" s="344"/>
      <c r="M498" s="344"/>
      <c r="N498" s="344"/>
      <c r="O498" s="344"/>
      <c r="P498" s="346"/>
      <c r="Q498" s="344"/>
      <c r="R498" s="344"/>
      <c r="S498" s="344"/>
      <c r="T498" s="344"/>
      <c r="U498" s="344"/>
      <c r="V498" s="344"/>
      <c r="W498" s="344"/>
      <c r="X498" s="344"/>
      <c r="Y498" s="344"/>
      <c r="Z498" s="344"/>
      <c r="AA498" s="344"/>
      <c r="AB498" s="344"/>
      <c r="AC498" s="344"/>
    </row>
    <row r="499" ht="24.75" customHeight="1">
      <c r="A499" s="344"/>
      <c r="B499" s="346"/>
      <c r="C499" s="344"/>
      <c r="D499" s="344"/>
      <c r="E499" s="344"/>
      <c r="F499" s="344"/>
      <c r="G499" s="344"/>
      <c r="H499" s="344"/>
      <c r="I499" s="344"/>
      <c r="J499" s="344"/>
      <c r="K499" s="344"/>
      <c r="L499" s="344"/>
      <c r="M499" s="344"/>
      <c r="N499" s="344"/>
      <c r="O499" s="344"/>
      <c r="P499" s="346"/>
      <c r="Q499" s="344"/>
      <c r="R499" s="344"/>
      <c r="S499" s="344"/>
      <c r="T499" s="344"/>
      <c r="U499" s="344"/>
      <c r="V499" s="344"/>
      <c r="W499" s="344"/>
      <c r="X499" s="344"/>
      <c r="Y499" s="344"/>
      <c r="Z499" s="344"/>
      <c r="AA499" s="344"/>
      <c r="AB499" s="344"/>
      <c r="AC499" s="344"/>
    </row>
    <row r="500" ht="24.75" customHeight="1">
      <c r="A500" s="344"/>
      <c r="B500" s="346"/>
      <c r="C500" s="344"/>
      <c r="D500" s="344"/>
      <c r="E500" s="344"/>
      <c r="F500" s="344"/>
      <c r="G500" s="344"/>
      <c r="H500" s="344"/>
      <c r="I500" s="344"/>
      <c r="J500" s="344"/>
      <c r="K500" s="344"/>
      <c r="L500" s="344"/>
      <c r="M500" s="344"/>
      <c r="N500" s="344"/>
      <c r="O500" s="344"/>
      <c r="P500" s="346"/>
      <c r="Q500" s="344"/>
      <c r="R500" s="344"/>
      <c r="S500" s="344"/>
      <c r="T500" s="344"/>
      <c r="U500" s="344"/>
      <c r="V500" s="344"/>
      <c r="W500" s="344"/>
      <c r="X500" s="344"/>
      <c r="Y500" s="344"/>
      <c r="Z500" s="344"/>
      <c r="AA500" s="344"/>
      <c r="AB500" s="344"/>
      <c r="AC500" s="344"/>
    </row>
    <row r="501" ht="24.75" customHeight="1">
      <c r="A501" s="344"/>
      <c r="B501" s="346"/>
      <c r="C501" s="344"/>
      <c r="D501" s="344"/>
      <c r="E501" s="344"/>
      <c r="F501" s="344"/>
      <c r="G501" s="344"/>
      <c r="H501" s="344"/>
      <c r="I501" s="344"/>
      <c r="J501" s="344"/>
      <c r="K501" s="344"/>
      <c r="L501" s="344"/>
      <c r="M501" s="344"/>
      <c r="N501" s="344"/>
      <c r="O501" s="344"/>
      <c r="P501" s="346"/>
      <c r="Q501" s="344"/>
      <c r="R501" s="344"/>
      <c r="S501" s="344"/>
      <c r="T501" s="344"/>
      <c r="U501" s="344"/>
      <c r="V501" s="344"/>
      <c r="W501" s="344"/>
      <c r="X501" s="344"/>
      <c r="Y501" s="344"/>
      <c r="Z501" s="344"/>
      <c r="AA501" s="344"/>
      <c r="AB501" s="344"/>
      <c r="AC501" s="344"/>
    </row>
    <row r="502" ht="24.75" customHeight="1">
      <c r="A502" s="344"/>
      <c r="B502" s="346"/>
      <c r="C502" s="344"/>
      <c r="D502" s="344"/>
      <c r="E502" s="344"/>
      <c r="F502" s="344"/>
      <c r="G502" s="344"/>
      <c r="H502" s="344"/>
      <c r="I502" s="344"/>
      <c r="J502" s="344"/>
      <c r="K502" s="344"/>
      <c r="L502" s="344"/>
      <c r="M502" s="344"/>
      <c r="N502" s="344"/>
      <c r="O502" s="344"/>
      <c r="P502" s="346"/>
      <c r="Q502" s="344"/>
      <c r="R502" s="344"/>
      <c r="S502" s="344"/>
      <c r="T502" s="344"/>
      <c r="U502" s="344"/>
      <c r="V502" s="344"/>
      <c r="W502" s="344"/>
      <c r="X502" s="344"/>
      <c r="Y502" s="344"/>
      <c r="Z502" s="344"/>
      <c r="AA502" s="344"/>
      <c r="AB502" s="344"/>
      <c r="AC502" s="344"/>
    </row>
    <row r="503" ht="24.75" customHeight="1">
      <c r="A503" s="344"/>
      <c r="B503" s="346"/>
      <c r="C503" s="344"/>
      <c r="D503" s="344"/>
      <c r="E503" s="344"/>
      <c r="F503" s="344"/>
      <c r="G503" s="344"/>
      <c r="H503" s="344"/>
      <c r="I503" s="344"/>
      <c r="J503" s="344"/>
      <c r="K503" s="344"/>
      <c r="L503" s="344"/>
      <c r="M503" s="344"/>
      <c r="N503" s="344"/>
      <c r="O503" s="344"/>
      <c r="P503" s="346"/>
      <c r="Q503" s="344"/>
      <c r="R503" s="344"/>
      <c r="S503" s="344"/>
      <c r="T503" s="344"/>
      <c r="U503" s="344"/>
      <c r="V503" s="344"/>
      <c r="W503" s="344"/>
      <c r="X503" s="344"/>
      <c r="Y503" s="344"/>
      <c r="Z503" s="344"/>
      <c r="AA503" s="344"/>
      <c r="AB503" s="344"/>
      <c r="AC503" s="344"/>
    </row>
    <row r="504" ht="24.75" customHeight="1">
      <c r="A504" s="344"/>
      <c r="B504" s="346"/>
      <c r="C504" s="344"/>
      <c r="D504" s="344"/>
      <c r="E504" s="344"/>
      <c r="F504" s="344"/>
      <c r="G504" s="344"/>
      <c r="H504" s="344"/>
      <c r="I504" s="344"/>
      <c r="J504" s="344"/>
      <c r="K504" s="344"/>
      <c r="L504" s="344"/>
      <c r="M504" s="344"/>
      <c r="N504" s="344"/>
      <c r="O504" s="344"/>
      <c r="P504" s="346"/>
      <c r="Q504" s="344"/>
      <c r="R504" s="344"/>
      <c r="S504" s="344"/>
      <c r="T504" s="344"/>
      <c r="U504" s="344"/>
      <c r="V504" s="344"/>
      <c r="W504" s="344"/>
      <c r="X504" s="344"/>
      <c r="Y504" s="344"/>
      <c r="Z504" s="344"/>
      <c r="AA504" s="344"/>
      <c r="AB504" s="344"/>
      <c r="AC504" s="344"/>
    </row>
    <row r="505" ht="24.75" customHeight="1">
      <c r="A505" s="344"/>
      <c r="B505" s="346"/>
      <c r="C505" s="344"/>
      <c r="D505" s="344"/>
      <c r="E505" s="344"/>
      <c r="F505" s="344"/>
      <c r="G505" s="344"/>
      <c r="H505" s="344"/>
      <c r="I505" s="344"/>
      <c r="J505" s="344"/>
      <c r="K505" s="344"/>
      <c r="L505" s="344"/>
      <c r="M505" s="344"/>
      <c r="N505" s="344"/>
      <c r="O505" s="344"/>
      <c r="P505" s="346"/>
      <c r="Q505" s="344"/>
      <c r="R505" s="344"/>
      <c r="S505" s="344"/>
      <c r="T505" s="344"/>
      <c r="U505" s="344"/>
      <c r="V505" s="344"/>
      <c r="W505" s="344"/>
      <c r="X505" s="344"/>
      <c r="Y505" s="344"/>
      <c r="Z505" s="344"/>
      <c r="AA505" s="344"/>
      <c r="AB505" s="344"/>
      <c r="AC505" s="344"/>
    </row>
    <row r="506" ht="24.75" customHeight="1">
      <c r="A506" s="344"/>
      <c r="B506" s="346"/>
      <c r="C506" s="344"/>
      <c r="D506" s="344"/>
      <c r="E506" s="344"/>
      <c r="F506" s="344"/>
      <c r="G506" s="344"/>
      <c r="H506" s="344"/>
      <c r="I506" s="344"/>
      <c r="J506" s="344"/>
      <c r="K506" s="344"/>
      <c r="L506" s="344"/>
      <c r="M506" s="344"/>
      <c r="N506" s="344"/>
      <c r="O506" s="344"/>
      <c r="P506" s="346"/>
      <c r="Q506" s="344"/>
      <c r="R506" s="344"/>
      <c r="S506" s="344"/>
      <c r="T506" s="344"/>
      <c r="U506" s="344"/>
      <c r="V506" s="344"/>
      <c r="W506" s="344"/>
      <c r="X506" s="344"/>
      <c r="Y506" s="344"/>
      <c r="Z506" s="344"/>
      <c r="AA506" s="344"/>
      <c r="AB506" s="344"/>
      <c r="AC506" s="344"/>
    </row>
    <row r="507" ht="24.75" customHeight="1">
      <c r="A507" s="344"/>
      <c r="B507" s="346"/>
      <c r="C507" s="344"/>
      <c r="D507" s="344"/>
      <c r="E507" s="344"/>
      <c r="F507" s="344"/>
      <c r="G507" s="344"/>
      <c r="H507" s="344"/>
      <c r="I507" s="344"/>
      <c r="J507" s="344"/>
      <c r="K507" s="344"/>
      <c r="L507" s="344"/>
      <c r="M507" s="344"/>
      <c r="N507" s="344"/>
      <c r="O507" s="344"/>
      <c r="P507" s="346"/>
      <c r="Q507" s="344"/>
      <c r="R507" s="344"/>
      <c r="S507" s="344"/>
      <c r="T507" s="344"/>
      <c r="U507" s="344"/>
      <c r="V507" s="344"/>
      <c r="W507" s="344"/>
      <c r="X507" s="344"/>
      <c r="Y507" s="344"/>
      <c r="Z507" s="344"/>
      <c r="AA507" s="344"/>
      <c r="AB507" s="344"/>
      <c r="AC507" s="344"/>
    </row>
    <row r="508" ht="24.75" customHeight="1">
      <c r="A508" s="344"/>
      <c r="B508" s="346"/>
      <c r="C508" s="344"/>
      <c r="D508" s="344"/>
      <c r="E508" s="344"/>
      <c r="F508" s="344"/>
      <c r="G508" s="344"/>
      <c r="H508" s="344"/>
      <c r="I508" s="344"/>
      <c r="J508" s="344"/>
      <c r="K508" s="344"/>
      <c r="L508" s="344"/>
      <c r="M508" s="344"/>
      <c r="N508" s="344"/>
      <c r="O508" s="344"/>
      <c r="P508" s="346"/>
      <c r="Q508" s="344"/>
      <c r="R508" s="344"/>
      <c r="S508" s="344"/>
      <c r="T508" s="344"/>
      <c r="U508" s="344"/>
      <c r="V508" s="344"/>
      <c r="W508" s="344"/>
      <c r="X508" s="344"/>
      <c r="Y508" s="344"/>
      <c r="Z508" s="344"/>
      <c r="AA508" s="344"/>
      <c r="AB508" s="344"/>
      <c r="AC508" s="344"/>
    </row>
    <row r="509" ht="24.75" customHeight="1">
      <c r="A509" s="344"/>
      <c r="B509" s="346"/>
      <c r="C509" s="344"/>
      <c r="D509" s="344"/>
      <c r="E509" s="344"/>
      <c r="F509" s="344"/>
      <c r="G509" s="344"/>
      <c r="H509" s="344"/>
      <c r="I509" s="344"/>
      <c r="J509" s="344"/>
      <c r="K509" s="344"/>
      <c r="L509" s="344"/>
      <c r="M509" s="344"/>
      <c r="N509" s="344"/>
      <c r="O509" s="344"/>
      <c r="P509" s="346"/>
      <c r="Q509" s="344"/>
      <c r="R509" s="344"/>
      <c r="S509" s="344"/>
      <c r="T509" s="344"/>
      <c r="U509" s="344"/>
      <c r="V509" s="344"/>
      <c r="W509" s="344"/>
      <c r="X509" s="344"/>
      <c r="Y509" s="344"/>
      <c r="Z509" s="344"/>
      <c r="AA509" s="344"/>
      <c r="AB509" s="344"/>
      <c r="AC509" s="344"/>
    </row>
    <row r="510" ht="24.75" customHeight="1">
      <c r="A510" s="344"/>
      <c r="B510" s="346"/>
      <c r="C510" s="344"/>
      <c r="D510" s="344"/>
      <c r="E510" s="344"/>
      <c r="F510" s="344"/>
      <c r="G510" s="344"/>
      <c r="H510" s="344"/>
      <c r="I510" s="344"/>
      <c r="J510" s="344"/>
      <c r="K510" s="344"/>
      <c r="L510" s="344"/>
      <c r="M510" s="344"/>
      <c r="N510" s="344"/>
      <c r="O510" s="344"/>
      <c r="P510" s="346"/>
      <c r="Q510" s="344"/>
      <c r="R510" s="344"/>
      <c r="S510" s="344"/>
      <c r="T510" s="344"/>
      <c r="U510" s="344"/>
      <c r="V510" s="344"/>
      <c r="W510" s="344"/>
      <c r="X510" s="344"/>
      <c r="Y510" s="344"/>
      <c r="Z510" s="344"/>
      <c r="AA510" s="344"/>
      <c r="AB510" s="344"/>
      <c r="AC510" s="344"/>
    </row>
    <row r="511" ht="24.75" customHeight="1">
      <c r="A511" s="344"/>
      <c r="B511" s="346"/>
      <c r="C511" s="344"/>
      <c r="D511" s="344"/>
      <c r="E511" s="344"/>
      <c r="F511" s="344"/>
      <c r="G511" s="344"/>
      <c r="H511" s="344"/>
      <c r="I511" s="344"/>
      <c r="J511" s="344"/>
      <c r="K511" s="344"/>
      <c r="L511" s="344"/>
      <c r="M511" s="344"/>
      <c r="N511" s="344"/>
      <c r="O511" s="344"/>
      <c r="P511" s="346"/>
      <c r="Q511" s="344"/>
      <c r="R511" s="344"/>
      <c r="S511" s="344"/>
      <c r="T511" s="344"/>
      <c r="U511" s="344"/>
      <c r="V511" s="344"/>
      <c r="W511" s="344"/>
      <c r="X511" s="344"/>
      <c r="Y511" s="344"/>
      <c r="Z511" s="344"/>
      <c r="AA511" s="344"/>
      <c r="AB511" s="344"/>
      <c r="AC511" s="344"/>
    </row>
    <row r="512" ht="24.75" customHeight="1">
      <c r="A512" s="344"/>
      <c r="B512" s="346"/>
      <c r="C512" s="344"/>
      <c r="D512" s="344"/>
      <c r="E512" s="344"/>
      <c r="F512" s="344"/>
      <c r="G512" s="344"/>
      <c r="H512" s="344"/>
      <c r="I512" s="344"/>
      <c r="J512" s="344"/>
      <c r="K512" s="344"/>
      <c r="L512" s="344"/>
      <c r="M512" s="344"/>
      <c r="N512" s="344"/>
      <c r="O512" s="344"/>
      <c r="P512" s="346"/>
      <c r="Q512" s="344"/>
      <c r="R512" s="344"/>
      <c r="S512" s="344"/>
      <c r="T512" s="344"/>
      <c r="U512" s="344"/>
      <c r="V512" s="344"/>
      <c r="W512" s="344"/>
      <c r="X512" s="344"/>
      <c r="Y512" s="344"/>
      <c r="Z512" s="344"/>
      <c r="AA512" s="344"/>
      <c r="AB512" s="344"/>
      <c r="AC512" s="344"/>
    </row>
    <row r="513" ht="24.75" customHeight="1">
      <c r="A513" s="344"/>
      <c r="B513" s="346"/>
      <c r="C513" s="344"/>
      <c r="D513" s="344"/>
      <c r="E513" s="344"/>
      <c r="F513" s="344"/>
      <c r="G513" s="344"/>
      <c r="H513" s="344"/>
      <c r="I513" s="344"/>
      <c r="J513" s="344"/>
      <c r="K513" s="344"/>
      <c r="L513" s="344"/>
      <c r="M513" s="344"/>
      <c r="N513" s="344"/>
      <c r="O513" s="344"/>
      <c r="P513" s="346"/>
      <c r="Q513" s="344"/>
      <c r="R513" s="344"/>
      <c r="S513" s="344"/>
      <c r="T513" s="344"/>
      <c r="U513" s="344"/>
      <c r="V513" s="344"/>
      <c r="W513" s="344"/>
      <c r="X513" s="344"/>
      <c r="Y513" s="344"/>
      <c r="Z513" s="344"/>
      <c r="AA513" s="344"/>
      <c r="AB513" s="344"/>
      <c r="AC513" s="344"/>
    </row>
    <row r="514" ht="24.75" customHeight="1">
      <c r="A514" s="344"/>
      <c r="B514" s="346"/>
      <c r="C514" s="344"/>
      <c r="D514" s="344"/>
      <c r="E514" s="344"/>
      <c r="F514" s="344"/>
      <c r="G514" s="344"/>
      <c r="H514" s="344"/>
      <c r="I514" s="344"/>
      <c r="J514" s="344"/>
      <c r="K514" s="344"/>
      <c r="L514" s="344"/>
      <c r="M514" s="344"/>
      <c r="N514" s="344"/>
      <c r="O514" s="344"/>
      <c r="P514" s="346"/>
      <c r="Q514" s="344"/>
      <c r="R514" s="344"/>
      <c r="S514" s="344"/>
      <c r="T514" s="344"/>
      <c r="U514" s="344"/>
      <c r="V514" s="344"/>
      <c r="W514" s="344"/>
      <c r="X514" s="344"/>
      <c r="Y514" s="344"/>
      <c r="Z514" s="344"/>
      <c r="AA514" s="344"/>
      <c r="AB514" s="344"/>
      <c r="AC514" s="344"/>
    </row>
    <row r="515" ht="24.75" customHeight="1">
      <c r="A515" s="344"/>
      <c r="B515" s="346"/>
      <c r="C515" s="344"/>
      <c r="D515" s="344"/>
      <c r="E515" s="344"/>
      <c r="F515" s="344"/>
      <c r="G515" s="344"/>
      <c r="H515" s="344"/>
      <c r="I515" s="344"/>
      <c r="J515" s="344"/>
      <c r="K515" s="344"/>
      <c r="L515" s="344"/>
      <c r="M515" s="344"/>
      <c r="N515" s="344"/>
      <c r="O515" s="344"/>
      <c r="P515" s="346"/>
      <c r="Q515" s="344"/>
      <c r="R515" s="344"/>
      <c r="S515" s="344"/>
      <c r="T515" s="344"/>
      <c r="U515" s="344"/>
      <c r="V515" s="344"/>
      <c r="W515" s="344"/>
      <c r="X515" s="344"/>
      <c r="Y515" s="344"/>
      <c r="Z515" s="344"/>
      <c r="AA515" s="344"/>
      <c r="AB515" s="344"/>
      <c r="AC515" s="344"/>
    </row>
    <row r="516" ht="24.75" customHeight="1">
      <c r="A516" s="344"/>
      <c r="B516" s="346"/>
      <c r="C516" s="344"/>
      <c r="D516" s="344"/>
      <c r="E516" s="344"/>
      <c r="F516" s="344"/>
      <c r="G516" s="344"/>
      <c r="H516" s="344"/>
      <c r="I516" s="344"/>
      <c r="J516" s="344"/>
      <c r="K516" s="344"/>
      <c r="L516" s="344"/>
      <c r="M516" s="344"/>
      <c r="N516" s="344"/>
      <c r="O516" s="344"/>
      <c r="P516" s="346"/>
      <c r="Q516" s="344"/>
      <c r="R516" s="344"/>
      <c r="S516" s="344"/>
      <c r="T516" s="344"/>
      <c r="U516" s="344"/>
      <c r="V516" s="344"/>
      <c r="W516" s="344"/>
      <c r="X516" s="344"/>
      <c r="Y516" s="344"/>
      <c r="Z516" s="344"/>
      <c r="AA516" s="344"/>
      <c r="AB516" s="344"/>
      <c r="AC516" s="344"/>
    </row>
    <row r="517" ht="24.75" customHeight="1">
      <c r="A517" s="344"/>
      <c r="B517" s="346"/>
      <c r="C517" s="344"/>
      <c r="D517" s="344"/>
      <c r="E517" s="344"/>
      <c r="F517" s="344"/>
      <c r="G517" s="344"/>
      <c r="H517" s="344"/>
      <c r="I517" s="344"/>
      <c r="J517" s="344"/>
      <c r="K517" s="344"/>
      <c r="L517" s="344"/>
      <c r="M517" s="344"/>
      <c r="N517" s="344"/>
      <c r="O517" s="344"/>
      <c r="P517" s="346"/>
      <c r="Q517" s="344"/>
      <c r="R517" s="344"/>
      <c r="S517" s="344"/>
      <c r="T517" s="344"/>
      <c r="U517" s="344"/>
      <c r="V517" s="344"/>
      <c r="W517" s="344"/>
      <c r="X517" s="344"/>
      <c r="Y517" s="344"/>
      <c r="Z517" s="344"/>
      <c r="AA517" s="344"/>
      <c r="AB517" s="344"/>
      <c r="AC517" s="344"/>
    </row>
    <row r="518" ht="24.75" customHeight="1">
      <c r="A518" s="344"/>
      <c r="B518" s="346"/>
      <c r="C518" s="344"/>
      <c r="D518" s="344"/>
      <c r="E518" s="344"/>
      <c r="F518" s="344"/>
      <c r="G518" s="344"/>
      <c r="H518" s="344"/>
      <c r="I518" s="344"/>
      <c r="J518" s="344"/>
      <c r="K518" s="344"/>
      <c r="L518" s="344"/>
      <c r="M518" s="344"/>
      <c r="N518" s="344"/>
      <c r="O518" s="344"/>
      <c r="P518" s="346"/>
      <c r="Q518" s="344"/>
      <c r="R518" s="344"/>
      <c r="S518" s="344"/>
      <c r="T518" s="344"/>
      <c r="U518" s="344"/>
      <c r="V518" s="344"/>
      <c r="W518" s="344"/>
      <c r="X518" s="344"/>
      <c r="Y518" s="344"/>
      <c r="Z518" s="344"/>
      <c r="AA518" s="344"/>
      <c r="AB518" s="344"/>
      <c r="AC518" s="344"/>
    </row>
    <row r="519" ht="24.75" customHeight="1">
      <c r="A519" s="344"/>
      <c r="B519" s="346"/>
      <c r="C519" s="344"/>
      <c r="D519" s="344"/>
      <c r="E519" s="344"/>
      <c r="F519" s="344"/>
      <c r="G519" s="344"/>
      <c r="H519" s="344"/>
      <c r="I519" s="344"/>
      <c r="J519" s="344"/>
      <c r="K519" s="344"/>
      <c r="L519" s="344"/>
      <c r="M519" s="344"/>
      <c r="N519" s="344"/>
      <c r="O519" s="344"/>
      <c r="P519" s="346"/>
      <c r="Q519" s="344"/>
      <c r="R519" s="344"/>
      <c r="S519" s="344"/>
      <c r="T519" s="344"/>
      <c r="U519" s="344"/>
      <c r="V519" s="344"/>
      <c r="W519" s="344"/>
      <c r="X519" s="344"/>
      <c r="Y519" s="344"/>
      <c r="Z519" s="344"/>
      <c r="AA519" s="344"/>
      <c r="AB519" s="344"/>
      <c r="AC519" s="344"/>
    </row>
    <row r="520" ht="24.75" customHeight="1">
      <c r="A520" s="344"/>
      <c r="B520" s="346"/>
      <c r="C520" s="344"/>
      <c r="D520" s="344"/>
      <c r="E520" s="344"/>
      <c r="F520" s="344"/>
      <c r="G520" s="344"/>
      <c r="H520" s="344"/>
      <c r="I520" s="344"/>
      <c r="J520" s="344"/>
      <c r="K520" s="344"/>
      <c r="L520" s="344"/>
      <c r="M520" s="344"/>
      <c r="N520" s="344"/>
      <c r="O520" s="344"/>
      <c r="P520" s="346"/>
      <c r="Q520" s="344"/>
      <c r="R520" s="344"/>
      <c r="S520" s="344"/>
      <c r="T520" s="344"/>
      <c r="U520" s="344"/>
      <c r="V520" s="344"/>
      <c r="W520" s="344"/>
      <c r="X520" s="344"/>
      <c r="Y520" s="344"/>
      <c r="Z520" s="344"/>
      <c r="AA520" s="344"/>
      <c r="AB520" s="344"/>
      <c r="AC520" s="344"/>
    </row>
    <row r="521" ht="24.75" customHeight="1">
      <c r="A521" s="344"/>
      <c r="B521" s="346"/>
      <c r="C521" s="344"/>
      <c r="D521" s="344"/>
      <c r="E521" s="344"/>
      <c r="F521" s="344"/>
      <c r="G521" s="344"/>
      <c r="H521" s="344"/>
      <c r="I521" s="344"/>
      <c r="J521" s="344"/>
      <c r="K521" s="344"/>
      <c r="L521" s="344"/>
      <c r="M521" s="344"/>
      <c r="N521" s="344"/>
      <c r="O521" s="344"/>
      <c r="P521" s="346"/>
      <c r="Q521" s="344"/>
      <c r="R521" s="344"/>
      <c r="S521" s="344"/>
      <c r="T521" s="344"/>
      <c r="U521" s="344"/>
      <c r="V521" s="344"/>
      <c r="W521" s="344"/>
      <c r="X521" s="344"/>
      <c r="Y521" s="344"/>
      <c r="Z521" s="344"/>
      <c r="AA521" s="344"/>
      <c r="AB521" s="344"/>
      <c r="AC521" s="344"/>
    </row>
    <row r="522" ht="24.75" customHeight="1">
      <c r="A522" s="344"/>
      <c r="B522" s="346"/>
      <c r="C522" s="344"/>
      <c r="D522" s="344"/>
      <c r="E522" s="344"/>
      <c r="F522" s="344"/>
      <c r="G522" s="344"/>
      <c r="H522" s="344"/>
      <c r="I522" s="344"/>
      <c r="J522" s="344"/>
      <c r="K522" s="344"/>
      <c r="L522" s="344"/>
      <c r="M522" s="344"/>
      <c r="N522" s="344"/>
      <c r="O522" s="344"/>
      <c r="P522" s="346"/>
      <c r="Q522" s="344"/>
      <c r="R522" s="344"/>
      <c r="S522" s="344"/>
      <c r="T522" s="344"/>
      <c r="U522" s="344"/>
      <c r="V522" s="344"/>
      <c r="W522" s="344"/>
      <c r="X522" s="344"/>
      <c r="Y522" s="344"/>
      <c r="Z522" s="344"/>
      <c r="AA522" s="344"/>
      <c r="AB522" s="344"/>
      <c r="AC522" s="344"/>
    </row>
    <row r="523" ht="24.75" customHeight="1">
      <c r="A523" s="344"/>
      <c r="B523" s="346"/>
      <c r="C523" s="344"/>
      <c r="D523" s="344"/>
      <c r="E523" s="344"/>
      <c r="F523" s="344"/>
      <c r="G523" s="344"/>
      <c r="H523" s="344"/>
      <c r="I523" s="344"/>
      <c r="J523" s="344"/>
      <c r="K523" s="344"/>
      <c r="L523" s="344"/>
      <c r="M523" s="344"/>
      <c r="N523" s="344"/>
      <c r="O523" s="344"/>
      <c r="P523" s="346"/>
      <c r="Q523" s="344"/>
      <c r="R523" s="344"/>
      <c r="S523" s="344"/>
      <c r="T523" s="344"/>
      <c r="U523" s="344"/>
      <c r="V523" s="344"/>
      <c r="W523" s="344"/>
      <c r="X523" s="344"/>
      <c r="Y523" s="344"/>
      <c r="Z523" s="344"/>
      <c r="AA523" s="344"/>
      <c r="AB523" s="344"/>
      <c r="AC523" s="344"/>
    </row>
    <row r="524" ht="24.75" customHeight="1">
      <c r="A524" s="344"/>
      <c r="B524" s="346"/>
      <c r="C524" s="344"/>
      <c r="D524" s="344"/>
      <c r="E524" s="344"/>
      <c r="F524" s="344"/>
      <c r="G524" s="344"/>
      <c r="H524" s="344"/>
      <c r="I524" s="344"/>
      <c r="J524" s="344"/>
      <c r="K524" s="344"/>
      <c r="L524" s="344"/>
      <c r="M524" s="344"/>
      <c r="N524" s="344"/>
      <c r="O524" s="344"/>
      <c r="P524" s="346"/>
      <c r="Q524" s="344"/>
      <c r="R524" s="344"/>
      <c r="S524" s="344"/>
      <c r="T524" s="344"/>
      <c r="U524" s="344"/>
      <c r="V524" s="344"/>
      <c r="W524" s="344"/>
      <c r="X524" s="344"/>
      <c r="Y524" s="344"/>
      <c r="Z524" s="344"/>
      <c r="AA524" s="344"/>
      <c r="AB524" s="344"/>
      <c r="AC524" s="344"/>
    </row>
    <row r="525" ht="24.75" customHeight="1">
      <c r="A525" s="344"/>
      <c r="B525" s="346"/>
      <c r="C525" s="344"/>
      <c r="D525" s="344"/>
      <c r="E525" s="344"/>
      <c r="F525" s="344"/>
      <c r="G525" s="344"/>
      <c r="H525" s="344"/>
      <c r="I525" s="344"/>
      <c r="J525" s="344"/>
      <c r="K525" s="344"/>
      <c r="L525" s="344"/>
      <c r="M525" s="344"/>
      <c r="N525" s="344"/>
      <c r="O525" s="344"/>
      <c r="P525" s="346"/>
      <c r="Q525" s="344"/>
      <c r="R525" s="344"/>
      <c r="S525" s="344"/>
      <c r="T525" s="344"/>
      <c r="U525" s="344"/>
      <c r="V525" s="344"/>
      <c r="W525" s="344"/>
      <c r="X525" s="344"/>
      <c r="Y525" s="344"/>
      <c r="Z525" s="344"/>
      <c r="AA525" s="344"/>
      <c r="AB525" s="344"/>
      <c r="AC525" s="344"/>
    </row>
    <row r="526" ht="24.75" customHeight="1">
      <c r="A526" s="344"/>
      <c r="B526" s="346"/>
      <c r="C526" s="344"/>
      <c r="D526" s="344"/>
      <c r="E526" s="344"/>
      <c r="F526" s="344"/>
      <c r="G526" s="344"/>
      <c r="H526" s="344"/>
      <c r="I526" s="344"/>
      <c r="J526" s="344"/>
      <c r="K526" s="344"/>
      <c r="L526" s="344"/>
      <c r="M526" s="344"/>
      <c r="N526" s="344"/>
      <c r="O526" s="344"/>
      <c r="P526" s="346"/>
      <c r="Q526" s="344"/>
      <c r="R526" s="344"/>
      <c r="S526" s="344"/>
      <c r="T526" s="344"/>
      <c r="U526" s="344"/>
      <c r="V526" s="344"/>
      <c r="W526" s="344"/>
      <c r="X526" s="344"/>
      <c r="Y526" s="344"/>
      <c r="Z526" s="344"/>
      <c r="AA526" s="344"/>
      <c r="AB526" s="344"/>
      <c r="AC526" s="344"/>
    </row>
    <row r="527" ht="24.75" customHeight="1">
      <c r="A527" s="344"/>
      <c r="B527" s="346"/>
      <c r="C527" s="344"/>
      <c r="D527" s="344"/>
      <c r="E527" s="344"/>
      <c r="F527" s="344"/>
      <c r="G527" s="344"/>
      <c r="H527" s="344"/>
      <c r="I527" s="344"/>
      <c r="J527" s="344"/>
      <c r="K527" s="344"/>
      <c r="L527" s="344"/>
      <c r="M527" s="344"/>
      <c r="N527" s="344"/>
      <c r="O527" s="344"/>
      <c r="P527" s="346"/>
      <c r="Q527" s="344"/>
      <c r="R527" s="344"/>
      <c r="S527" s="344"/>
      <c r="T527" s="344"/>
      <c r="U527" s="344"/>
      <c r="V527" s="344"/>
      <c r="W527" s="344"/>
      <c r="X527" s="344"/>
      <c r="Y527" s="344"/>
      <c r="Z527" s="344"/>
      <c r="AA527" s="344"/>
      <c r="AB527" s="344"/>
      <c r="AC527" s="344"/>
    </row>
    <row r="528" ht="24.75" customHeight="1">
      <c r="A528" s="344"/>
      <c r="B528" s="346"/>
      <c r="C528" s="344"/>
      <c r="D528" s="344"/>
      <c r="E528" s="344"/>
      <c r="F528" s="344"/>
      <c r="G528" s="344"/>
      <c r="H528" s="344"/>
      <c r="I528" s="344"/>
      <c r="J528" s="344"/>
      <c r="K528" s="344"/>
      <c r="L528" s="344"/>
      <c r="M528" s="344"/>
      <c r="N528" s="344"/>
      <c r="O528" s="344"/>
      <c r="P528" s="346"/>
      <c r="Q528" s="344"/>
      <c r="R528" s="344"/>
      <c r="S528" s="344"/>
      <c r="T528" s="344"/>
      <c r="U528" s="344"/>
      <c r="V528" s="344"/>
      <c r="W528" s="344"/>
      <c r="X528" s="344"/>
      <c r="Y528" s="344"/>
      <c r="Z528" s="344"/>
      <c r="AA528" s="344"/>
      <c r="AB528" s="344"/>
      <c r="AC528" s="344"/>
    </row>
    <row r="529" ht="24.75" customHeight="1">
      <c r="A529" s="344"/>
      <c r="B529" s="346"/>
      <c r="C529" s="344"/>
      <c r="D529" s="344"/>
      <c r="E529" s="344"/>
      <c r="F529" s="344"/>
      <c r="G529" s="344"/>
      <c r="H529" s="344"/>
      <c r="I529" s="344"/>
      <c r="J529" s="344"/>
      <c r="K529" s="344"/>
      <c r="L529" s="344"/>
      <c r="M529" s="344"/>
      <c r="N529" s="344"/>
      <c r="O529" s="344"/>
      <c r="P529" s="346"/>
      <c r="Q529" s="344"/>
      <c r="R529" s="344"/>
      <c r="S529" s="344"/>
      <c r="T529" s="344"/>
      <c r="U529" s="344"/>
      <c r="V529" s="344"/>
      <c r="W529" s="344"/>
      <c r="X529" s="344"/>
      <c r="Y529" s="344"/>
      <c r="Z529" s="344"/>
      <c r="AA529" s="344"/>
      <c r="AB529" s="344"/>
      <c r="AC529" s="344"/>
    </row>
    <row r="530" ht="24.75" customHeight="1">
      <c r="A530" s="344"/>
      <c r="B530" s="346"/>
      <c r="C530" s="344"/>
      <c r="D530" s="344"/>
      <c r="E530" s="344"/>
      <c r="F530" s="344"/>
      <c r="G530" s="344"/>
      <c r="H530" s="344"/>
      <c r="I530" s="344"/>
      <c r="J530" s="344"/>
      <c r="K530" s="344"/>
      <c r="L530" s="344"/>
      <c r="M530" s="344"/>
      <c r="N530" s="344"/>
      <c r="O530" s="344"/>
      <c r="P530" s="346"/>
      <c r="Q530" s="344"/>
      <c r="R530" s="344"/>
      <c r="S530" s="344"/>
      <c r="T530" s="344"/>
      <c r="U530" s="344"/>
      <c r="V530" s="344"/>
      <c r="W530" s="344"/>
      <c r="X530" s="344"/>
      <c r="Y530" s="344"/>
      <c r="Z530" s="344"/>
      <c r="AA530" s="344"/>
      <c r="AB530" s="344"/>
      <c r="AC530" s="344"/>
    </row>
    <row r="531" ht="24.75" customHeight="1">
      <c r="A531" s="344"/>
      <c r="B531" s="346"/>
      <c r="C531" s="344"/>
      <c r="D531" s="344"/>
      <c r="E531" s="344"/>
      <c r="F531" s="344"/>
      <c r="G531" s="344"/>
      <c r="H531" s="344"/>
      <c r="I531" s="344"/>
      <c r="J531" s="344"/>
      <c r="K531" s="344"/>
      <c r="L531" s="344"/>
      <c r="M531" s="344"/>
      <c r="N531" s="344"/>
      <c r="O531" s="344"/>
      <c r="P531" s="346"/>
      <c r="Q531" s="344"/>
      <c r="R531" s="344"/>
      <c r="S531" s="344"/>
      <c r="T531" s="344"/>
      <c r="U531" s="344"/>
      <c r="V531" s="344"/>
      <c r="W531" s="344"/>
      <c r="X531" s="344"/>
      <c r="Y531" s="344"/>
      <c r="Z531" s="344"/>
      <c r="AA531" s="344"/>
      <c r="AB531" s="344"/>
      <c r="AC531" s="344"/>
    </row>
    <row r="532" ht="24.75" customHeight="1">
      <c r="A532" s="344"/>
      <c r="B532" s="346"/>
      <c r="C532" s="344"/>
      <c r="D532" s="344"/>
      <c r="E532" s="344"/>
      <c r="F532" s="344"/>
      <c r="G532" s="344"/>
      <c r="H532" s="344"/>
      <c r="I532" s="344"/>
      <c r="J532" s="344"/>
      <c r="K532" s="344"/>
      <c r="L532" s="344"/>
      <c r="M532" s="344"/>
      <c r="N532" s="344"/>
      <c r="O532" s="344"/>
      <c r="P532" s="346"/>
      <c r="Q532" s="344"/>
      <c r="R532" s="344"/>
      <c r="S532" s="344"/>
      <c r="T532" s="344"/>
      <c r="U532" s="344"/>
      <c r="V532" s="344"/>
      <c r="W532" s="344"/>
      <c r="X532" s="344"/>
      <c r="Y532" s="344"/>
      <c r="Z532" s="344"/>
      <c r="AA532" s="344"/>
      <c r="AB532" s="344"/>
      <c r="AC532" s="344"/>
    </row>
    <row r="533" ht="24.75" customHeight="1">
      <c r="A533" s="344"/>
      <c r="B533" s="346"/>
      <c r="C533" s="344"/>
      <c r="D533" s="344"/>
      <c r="E533" s="344"/>
      <c r="F533" s="344"/>
      <c r="G533" s="344"/>
      <c r="H533" s="344"/>
      <c r="I533" s="344"/>
      <c r="J533" s="344"/>
      <c r="K533" s="344"/>
      <c r="L533" s="344"/>
      <c r="M533" s="344"/>
      <c r="N533" s="344"/>
      <c r="O533" s="344"/>
      <c r="P533" s="346"/>
      <c r="Q533" s="344"/>
      <c r="R533" s="344"/>
      <c r="S533" s="344"/>
      <c r="T533" s="344"/>
      <c r="U533" s="344"/>
      <c r="V533" s="344"/>
      <c r="W533" s="344"/>
      <c r="X533" s="344"/>
      <c r="Y533" s="344"/>
      <c r="Z533" s="344"/>
      <c r="AA533" s="344"/>
      <c r="AB533" s="344"/>
      <c r="AC533" s="344"/>
    </row>
    <row r="534" ht="24.75" customHeight="1">
      <c r="A534" s="344"/>
      <c r="B534" s="346"/>
      <c r="C534" s="344"/>
      <c r="D534" s="344"/>
      <c r="E534" s="344"/>
      <c r="F534" s="344"/>
      <c r="G534" s="344"/>
      <c r="H534" s="344"/>
      <c r="I534" s="344"/>
      <c r="J534" s="344"/>
      <c r="K534" s="344"/>
      <c r="L534" s="344"/>
      <c r="M534" s="344"/>
      <c r="N534" s="344"/>
      <c r="O534" s="344"/>
      <c r="P534" s="346"/>
      <c r="Q534" s="344"/>
      <c r="R534" s="344"/>
      <c r="S534" s="344"/>
      <c r="T534" s="344"/>
      <c r="U534" s="344"/>
      <c r="V534" s="344"/>
      <c r="W534" s="344"/>
      <c r="X534" s="344"/>
      <c r="Y534" s="344"/>
      <c r="Z534" s="344"/>
      <c r="AA534" s="344"/>
      <c r="AB534" s="344"/>
      <c r="AC534" s="344"/>
    </row>
    <row r="535" ht="24.75" customHeight="1">
      <c r="A535" s="344"/>
      <c r="B535" s="346"/>
      <c r="C535" s="344"/>
      <c r="D535" s="344"/>
      <c r="E535" s="344"/>
      <c r="F535" s="344"/>
      <c r="G535" s="344"/>
      <c r="H535" s="344"/>
      <c r="I535" s="344"/>
      <c r="J535" s="344"/>
      <c r="K535" s="344"/>
      <c r="L535" s="344"/>
      <c r="M535" s="344"/>
      <c r="N535" s="344"/>
      <c r="O535" s="344"/>
      <c r="P535" s="346"/>
      <c r="Q535" s="344"/>
      <c r="R535" s="344"/>
      <c r="S535" s="344"/>
      <c r="T535" s="344"/>
      <c r="U535" s="344"/>
      <c r="V535" s="344"/>
      <c r="W535" s="344"/>
      <c r="X535" s="344"/>
      <c r="Y535" s="344"/>
      <c r="Z535" s="344"/>
      <c r="AA535" s="344"/>
      <c r="AB535" s="344"/>
      <c r="AC535" s="344"/>
    </row>
    <row r="536" ht="24.75" customHeight="1">
      <c r="A536" s="344"/>
      <c r="B536" s="346"/>
      <c r="C536" s="344"/>
      <c r="D536" s="344"/>
      <c r="E536" s="344"/>
      <c r="F536" s="344"/>
      <c r="G536" s="344"/>
      <c r="H536" s="344"/>
      <c r="I536" s="344"/>
      <c r="J536" s="344"/>
      <c r="K536" s="344"/>
      <c r="L536" s="344"/>
      <c r="M536" s="344"/>
      <c r="N536" s="344"/>
      <c r="O536" s="344"/>
      <c r="P536" s="346"/>
      <c r="Q536" s="344"/>
      <c r="R536" s="344"/>
      <c r="S536" s="344"/>
      <c r="T536" s="344"/>
      <c r="U536" s="344"/>
      <c r="V536" s="344"/>
      <c r="W536" s="344"/>
      <c r="X536" s="344"/>
      <c r="Y536" s="344"/>
      <c r="Z536" s="344"/>
      <c r="AA536" s="344"/>
      <c r="AB536" s="344"/>
      <c r="AC536" s="344"/>
    </row>
    <row r="537" ht="24.75" customHeight="1">
      <c r="A537" s="344"/>
      <c r="B537" s="346"/>
      <c r="C537" s="344"/>
      <c r="D537" s="344"/>
      <c r="E537" s="344"/>
      <c r="F537" s="344"/>
      <c r="G537" s="344"/>
      <c r="H537" s="344"/>
      <c r="I537" s="344"/>
      <c r="J537" s="344"/>
      <c r="K537" s="344"/>
      <c r="L537" s="344"/>
      <c r="M537" s="344"/>
      <c r="N537" s="344"/>
      <c r="O537" s="344"/>
      <c r="P537" s="346"/>
      <c r="Q537" s="344"/>
      <c r="R537" s="344"/>
      <c r="S537" s="344"/>
      <c r="T537" s="344"/>
      <c r="U537" s="344"/>
      <c r="V537" s="344"/>
      <c r="W537" s="344"/>
      <c r="X537" s="344"/>
      <c r="Y537" s="344"/>
      <c r="Z537" s="344"/>
      <c r="AA537" s="344"/>
      <c r="AB537" s="344"/>
      <c r="AC537" s="344"/>
    </row>
    <row r="538" ht="24.75" customHeight="1">
      <c r="A538" s="344"/>
      <c r="B538" s="346"/>
      <c r="C538" s="344"/>
      <c r="D538" s="344"/>
      <c r="E538" s="344"/>
      <c r="F538" s="344"/>
      <c r="G538" s="344"/>
      <c r="H538" s="344"/>
      <c r="I538" s="344"/>
      <c r="J538" s="344"/>
      <c r="K538" s="344"/>
      <c r="L538" s="344"/>
      <c r="M538" s="344"/>
      <c r="N538" s="344"/>
      <c r="O538" s="344"/>
      <c r="P538" s="346"/>
      <c r="Q538" s="344"/>
      <c r="R538" s="344"/>
      <c r="S538" s="344"/>
      <c r="T538" s="344"/>
      <c r="U538" s="344"/>
      <c r="V538" s="344"/>
      <c r="W538" s="344"/>
      <c r="X538" s="344"/>
      <c r="Y538" s="344"/>
      <c r="Z538" s="344"/>
      <c r="AA538" s="344"/>
      <c r="AB538" s="344"/>
      <c r="AC538" s="344"/>
    </row>
    <row r="539" ht="24.75" customHeight="1">
      <c r="A539" s="344"/>
      <c r="B539" s="346"/>
      <c r="C539" s="344"/>
      <c r="D539" s="344"/>
      <c r="E539" s="344"/>
      <c r="F539" s="344"/>
      <c r="G539" s="344"/>
      <c r="H539" s="344"/>
      <c r="I539" s="344"/>
      <c r="J539" s="344"/>
      <c r="K539" s="344"/>
      <c r="L539" s="344"/>
      <c r="M539" s="344"/>
      <c r="N539" s="344"/>
      <c r="O539" s="344"/>
      <c r="P539" s="346"/>
      <c r="Q539" s="344"/>
      <c r="R539" s="344"/>
      <c r="S539" s="344"/>
      <c r="T539" s="344"/>
      <c r="U539" s="344"/>
      <c r="V539" s="344"/>
      <c r="W539" s="344"/>
      <c r="X539" s="344"/>
      <c r="Y539" s="344"/>
      <c r="Z539" s="344"/>
      <c r="AA539" s="344"/>
      <c r="AB539" s="344"/>
      <c r="AC539" s="344"/>
    </row>
    <row r="540" ht="24.75" customHeight="1">
      <c r="A540" s="344"/>
      <c r="B540" s="346"/>
      <c r="C540" s="344"/>
      <c r="D540" s="344"/>
      <c r="E540" s="344"/>
      <c r="F540" s="344"/>
      <c r="G540" s="344"/>
      <c r="H540" s="344"/>
      <c r="I540" s="344"/>
      <c r="J540" s="344"/>
      <c r="K540" s="344"/>
      <c r="L540" s="344"/>
      <c r="M540" s="344"/>
      <c r="N540" s="344"/>
      <c r="O540" s="344"/>
      <c r="P540" s="346"/>
      <c r="Q540" s="344"/>
      <c r="R540" s="344"/>
      <c r="S540" s="344"/>
      <c r="T540" s="344"/>
      <c r="U540" s="344"/>
      <c r="V540" s="344"/>
      <c r="W540" s="344"/>
      <c r="X540" s="344"/>
      <c r="Y540" s="344"/>
      <c r="Z540" s="344"/>
      <c r="AA540" s="344"/>
      <c r="AB540" s="344"/>
      <c r="AC540" s="344"/>
    </row>
    <row r="541" ht="24.75" customHeight="1">
      <c r="A541" s="344"/>
      <c r="B541" s="346"/>
      <c r="C541" s="344"/>
      <c r="D541" s="344"/>
      <c r="E541" s="344"/>
      <c r="F541" s="344"/>
      <c r="G541" s="344"/>
      <c r="H541" s="344"/>
      <c r="I541" s="344"/>
      <c r="J541" s="344"/>
      <c r="K541" s="344"/>
      <c r="L541" s="344"/>
      <c r="M541" s="344"/>
      <c r="N541" s="344"/>
      <c r="O541" s="344"/>
      <c r="P541" s="346"/>
      <c r="Q541" s="344"/>
      <c r="R541" s="344"/>
      <c r="S541" s="344"/>
      <c r="T541" s="344"/>
      <c r="U541" s="344"/>
      <c r="V541" s="344"/>
      <c r="W541" s="344"/>
      <c r="X541" s="344"/>
      <c r="Y541" s="344"/>
      <c r="Z541" s="344"/>
      <c r="AA541" s="344"/>
      <c r="AB541" s="344"/>
      <c r="AC541" s="344"/>
    </row>
    <row r="542" ht="24.75" customHeight="1">
      <c r="A542" s="344"/>
      <c r="B542" s="346"/>
      <c r="C542" s="344"/>
      <c r="D542" s="344"/>
      <c r="E542" s="344"/>
      <c r="F542" s="344"/>
      <c r="G542" s="344"/>
      <c r="H542" s="344"/>
      <c r="I542" s="344"/>
      <c r="J542" s="344"/>
      <c r="K542" s="344"/>
      <c r="L542" s="344"/>
      <c r="M542" s="344"/>
      <c r="N542" s="344"/>
      <c r="O542" s="344"/>
      <c r="P542" s="346"/>
      <c r="Q542" s="344"/>
      <c r="R542" s="344"/>
      <c r="S542" s="344"/>
      <c r="T542" s="344"/>
      <c r="U542" s="344"/>
      <c r="V542" s="344"/>
      <c r="W542" s="344"/>
      <c r="X542" s="344"/>
      <c r="Y542" s="344"/>
      <c r="Z542" s="344"/>
      <c r="AA542" s="344"/>
      <c r="AB542" s="344"/>
      <c r="AC542" s="344"/>
    </row>
    <row r="543" ht="24.75" customHeight="1">
      <c r="A543" s="344"/>
      <c r="B543" s="346"/>
      <c r="C543" s="344"/>
      <c r="D543" s="344"/>
      <c r="E543" s="344"/>
      <c r="F543" s="344"/>
      <c r="G543" s="344"/>
      <c r="H543" s="344"/>
      <c r="I543" s="344"/>
      <c r="J543" s="344"/>
      <c r="K543" s="344"/>
      <c r="L543" s="344"/>
      <c r="M543" s="344"/>
      <c r="N543" s="344"/>
      <c r="O543" s="344"/>
      <c r="P543" s="346"/>
      <c r="Q543" s="344"/>
      <c r="R543" s="344"/>
      <c r="S543" s="344"/>
      <c r="T543" s="344"/>
      <c r="U543" s="344"/>
      <c r="V543" s="344"/>
      <c r="W543" s="344"/>
      <c r="X543" s="344"/>
      <c r="Y543" s="344"/>
      <c r="Z543" s="344"/>
      <c r="AA543" s="344"/>
      <c r="AB543" s="344"/>
      <c r="AC543" s="344"/>
    </row>
    <row r="544" ht="24.75" customHeight="1">
      <c r="A544" s="344"/>
      <c r="B544" s="346"/>
      <c r="C544" s="344"/>
      <c r="D544" s="344"/>
      <c r="E544" s="344"/>
      <c r="F544" s="344"/>
      <c r="G544" s="344"/>
      <c r="H544" s="344"/>
      <c r="I544" s="344"/>
      <c r="J544" s="344"/>
      <c r="K544" s="344"/>
      <c r="L544" s="344"/>
      <c r="M544" s="344"/>
      <c r="N544" s="344"/>
      <c r="O544" s="344"/>
      <c r="P544" s="346"/>
      <c r="Q544" s="344"/>
      <c r="R544" s="344"/>
      <c r="S544" s="344"/>
      <c r="T544" s="344"/>
      <c r="U544" s="344"/>
      <c r="V544" s="344"/>
      <c r="W544" s="344"/>
      <c r="X544" s="344"/>
      <c r="Y544" s="344"/>
      <c r="Z544" s="344"/>
      <c r="AA544" s="344"/>
      <c r="AB544" s="344"/>
      <c r="AC544" s="344"/>
    </row>
    <row r="545" ht="24.75" customHeight="1">
      <c r="A545" s="344"/>
      <c r="B545" s="346"/>
      <c r="C545" s="344"/>
      <c r="D545" s="344"/>
      <c r="E545" s="344"/>
      <c r="F545" s="344"/>
      <c r="G545" s="344"/>
      <c r="H545" s="344"/>
      <c r="I545" s="344"/>
      <c r="J545" s="344"/>
      <c r="K545" s="344"/>
      <c r="L545" s="344"/>
      <c r="M545" s="344"/>
      <c r="N545" s="344"/>
      <c r="O545" s="344"/>
      <c r="P545" s="346"/>
      <c r="Q545" s="344"/>
      <c r="R545" s="344"/>
      <c r="S545" s="344"/>
      <c r="T545" s="344"/>
      <c r="U545" s="344"/>
      <c r="V545" s="344"/>
      <c r="W545" s="344"/>
      <c r="X545" s="344"/>
      <c r="Y545" s="344"/>
      <c r="Z545" s="344"/>
      <c r="AA545" s="344"/>
      <c r="AB545" s="344"/>
      <c r="AC545" s="344"/>
    </row>
    <row r="546" ht="24.75" customHeight="1">
      <c r="A546" s="344"/>
      <c r="B546" s="346"/>
      <c r="C546" s="344"/>
      <c r="D546" s="344"/>
      <c r="E546" s="344"/>
      <c r="F546" s="344"/>
      <c r="G546" s="344"/>
      <c r="H546" s="344"/>
      <c r="I546" s="344"/>
      <c r="J546" s="344"/>
      <c r="K546" s="344"/>
      <c r="L546" s="344"/>
      <c r="M546" s="344"/>
      <c r="N546" s="344"/>
      <c r="O546" s="344"/>
      <c r="P546" s="346"/>
      <c r="Q546" s="344"/>
      <c r="R546" s="344"/>
      <c r="S546" s="344"/>
      <c r="T546" s="344"/>
      <c r="U546" s="344"/>
      <c r="V546" s="344"/>
      <c r="W546" s="344"/>
      <c r="X546" s="344"/>
      <c r="Y546" s="344"/>
      <c r="Z546" s="344"/>
      <c r="AA546" s="344"/>
      <c r="AB546" s="344"/>
      <c r="AC546" s="344"/>
    </row>
    <row r="547" ht="24.75" customHeight="1">
      <c r="A547" s="344"/>
      <c r="B547" s="346"/>
      <c r="C547" s="344"/>
      <c r="D547" s="344"/>
      <c r="E547" s="344"/>
      <c r="F547" s="344"/>
      <c r="G547" s="344"/>
      <c r="H547" s="344"/>
      <c r="I547" s="344"/>
      <c r="J547" s="344"/>
      <c r="K547" s="344"/>
      <c r="L547" s="344"/>
      <c r="M547" s="344"/>
      <c r="N547" s="344"/>
      <c r="O547" s="344"/>
      <c r="P547" s="346"/>
      <c r="Q547" s="344"/>
      <c r="R547" s="344"/>
      <c r="S547" s="344"/>
      <c r="T547" s="344"/>
      <c r="U547" s="344"/>
      <c r="V547" s="344"/>
      <c r="W547" s="344"/>
      <c r="X547" s="344"/>
      <c r="Y547" s="344"/>
      <c r="Z547" s="344"/>
      <c r="AA547" s="344"/>
      <c r="AB547" s="344"/>
      <c r="AC547" s="344"/>
    </row>
    <row r="548" ht="24.75" customHeight="1">
      <c r="A548" s="344"/>
      <c r="B548" s="346"/>
      <c r="C548" s="344"/>
      <c r="D548" s="344"/>
      <c r="E548" s="344"/>
      <c r="F548" s="344"/>
      <c r="G548" s="344"/>
      <c r="H548" s="344"/>
      <c r="I548" s="344"/>
      <c r="J548" s="344"/>
      <c r="K548" s="344"/>
      <c r="L548" s="344"/>
      <c r="M548" s="344"/>
      <c r="N548" s="344"/>
      <c r="O548" s="344"/>
      <c r="P548" s="346"/>
      <c r="Q548" s="344"/>
      <c r="R548" s="344"/>
      <c r="S548" s="344"/>
      <c r="T548" s="344"/>
      <c r="U548" s="344"/>
      <c r="V548" s="344"/>
      <c r="W548" s="344"/>
      <c r="X548" s="344"/>
      <c r="Y548" s="344"/>
      <c r="Z548" s="344"/>
      <c r="AA548" s="344"/>
      <c r="AB548" s="344"/>
      <c r="AC548" s="344"/>
    </row>
    <row r="549" ht="24.75" customHeight="1">
      <c r="A549" s="344"/>
      <c r="B549" s="346"/>
      <c r="C549" s="344"/>
      <c r="D549" s="344"/>
      <c r="E549" s="344"/>
      <c r="F549" s="344"/>
      <c r="G549" s="344"/>
      <c r="H549" s="344"/>
      <c r="I549" s="344"/>
      <c r="J549" s="344"/>
      <c r="K549" s="344"/>
      <c r="L549" s="344"/>
      <c r="M549" s="344"/>
      <c r="N549" s="344"/>
      <c r="O549" s="344"/>
      <c r="P549" s="346"/>
      <c r="Q549" s="344"/>
      <c r="R549" s="344"/>
      <c r="S549" s="344"/>
      <c r="T549" s="344"/>
      <c r="U549" s="344"/>
      <c r="V549" s="344"/>
      <c r="W549" s="344"/>
      <c r="X549" s="344"/>
      <c r="Y549" s="344"/>
      <c r="Z549" s="344"/>
      <c r="AA549" s="344"/>
      <c r="AB549" s="344"/>
      <c r="AC549" s="344"/>
    </row>
    <row r="550" ht="24.75" customHeight="1">
      <c r="A550" s="344"/>
      <c r="B550" s="346"/>
      <c r="C550" s="344"/>
      <c r="D550" s="344"/>
      <c r="E550" s="344"/>
      <c r="F550" s="344"/>
      <c r="G550" s="344"/>
      <c r="H550" s="344"/>
      <c r="I550" s="344"/>
      <c r="J550" s="344"/>
      <c r="K550" s="344"/>
      <c r="L550" s="344"/>
      <c r="M550" s="344"/>
      <c r="N550" s="344"/>
      <c r="O550" s="344"/>
      <c r="P550" s="346"/>
      <c r="Q550" s="344"/>
      <c r="R550" s="344"/>
      <c r="S550" s="344"/>
      <c r="T550" s="344"/>
      <c r="U550" s="344"/>
      <c r="V550" s="344"/>
      <c r="W550" s="344"/>
      <c r="X550" s="344"/>
      <c r="Y550" s="344"/>
      <c r="Z550" s="344"/>
      <c r="AA550" s="344"/>
      <c r="AB550" s="344"/>
      <c r="AC550" s="344"/>
    </row>
    <row r="551" ht="24.75" customHeight="1">
      <c r="A551" s="344"/>
      <c r="B551" s="346"/>
      <c r="C551" s="344"/>
      <c r="D551" s="344"/>
      <c r="E551" s="344"/>
      <c r="F551" s="344"/>
      <c r="G551" s="344"/>
      <c r="H551" s="344"/>
      <c r="I551" s="344"/>
      <c r="J551" s="344"/>
      <c r="K551" s="344"/>
      <c r="L551" s="344"/>
      <c r="M551" s="344"/>
      <c r="N551" s="344"/>
      <c r="O551" s="344"/>
      <c r="P551" s="346"/>
      <c r="Q551" s="344"/>
      <c r="R551" s="344"/>
      <c r="S551" s="344"/>
      <c r="T551" s="344"/>
      <c r="U551" s="344"/>
      <c r="V551" s="344"/>
      <c r="W551" s="344"/>
      <c r="X551" s="344"/>
      <c r="Y551" s="344"/>
      <c r="Z551" s="344"/>
      <c r="AA551" s="344"/>
      <c r="AB551" s="344"/>
      <c r="AC551" s="344"/>
    </row>
    <row r="552" ht="24.75" customHeight="1">
      <c r="A552" s="344"/>
      <c r="B552" s="346"/>
      <c r="C552" s="344"/>
      <c r="D552" s="344"/>
      <c r="E552" s="344"/>
      <c r="F552" s="344"/>
      <c r="G552" s="344"/>
      <c r="H552" s="344"/>
      <c r="I552" s="344"/>
      <c r="J552" s="344"/>
      <c r="K552" s="344"/>
      <c r="L552" s="344"/>
      <c r="M552" s="344"/>
      <c r="N552" s="344"/>
      <c r="O552" s="344"/>
      <c r="P552" s="346"/>
      <c r="Q552" s="344"/>
      <c r="R552" s="344"/>
      <c r="S552" s="344"/>
      <c r="T552" s="344"/>
      <c r="U552" s="344"/>
      <c r="V552" s="344"/>
      <c r="W552" s="344"/>
      <c r="X552" s="344"/>
      <c r="Y552" s="344"/>
      <c r="Z552" s="344"/>
      <c r="AA552" s="344"/>
      <c r="AB552" s="344"/>
      <c r="AC552" s="344"/>
    </row>
    <row r="553" ht="24.75" customHeight="1">
      <c r="A553" s="344"/>
      <c r="B553" s="346"/>
      <c r="C553" s="344"/>
      <c r="D553" s="344"/>
      <c r="E553" s="344"/>
      <c r="F553" s="344"/>
      <c r="G553" s="344"/>
      <c r="H553" s="344"/>
      <c r="I553" s="344"/>
      <c r="J553" s="344"/>
      <c r="K553" s="344"/>
      <c r="L553" s="344"/>
      <c r="M553" s="344"/>
      <c r="N553" s="344"/>
      <c r="O553" s="344"/>
      <c r="P553" s="346"/>
      <c r="Q553" s="344"/>
      <c r="R553" s="344"/>
      <c r="S553" s="344"/>
      <c r="T553" s="344"/>
      <c r="U553" s="344"/>
      <c r="V553" s="344"/>
      <c r="W553" s="344"/>
      <c r="X553" s="344"/>
      <c r="Y553" s="344"/>
      <c r="Z553" s="344"/>
      <c r="AA553" s="344"/>
      <c r="AB553" s="344"/>
      <c r="AC553" s="344"/>
    </row>
    <row r="554" ht="24.75" customHeight="1">
      <c r="A554" s="344"/>
      <c r="B554" s="346"/>
      <c r="C554" s="344"/>
      <c r="D554" s="344"/>
      <c r="E554" s="344"/>
      <c r="F554" s="344"/>
      <c r="G554" s="344"/>
      <c r="H554" s="344"/>
      <c r="I554" s="344"/>
      <c r="J554" s="344"/>
      <c r="K554" s="344"/>
      <c r="L554" s="344"/>
      <c r="M554" s="344"/>
      <c r="N554" s="344"/>
      <c r="O554" s="344"/>
      <c r="P554" s="346"/>
      <c r="Q554" s="344"/>
      <c r="R554" s="344"/>
      <c r="S554" s="344"/>
      <c r="T554" s="344"/>
      <c r="U554" s="344"/>
      <c r="V554" s="344"/>
      <c r="W554" s="344"/>
      <c r="X554" s="344"/>
      <c r="Y554" s="344"/>
      <c r="Z554" s="344"/>
      <c r="AA554" s="344"/>
      <c r="AB554" s="344"/>
      <c r="AC554" s="344"/>
    </row>
    <row r="555" ht="24.75" customHeight="1">
      <c r="A555" s="344"/>
      <c r="B555" s="346"/>
      <c r="C555" s="344"/>
      <c r="D555" s="344"/>
      <c r="E555" s="344"/>
      <c r="F555" s="344"/>
      <c r="G555" s="344"/>
      <c r="H555" s="344"/>
      <c r="I555" s="344"/>
      <c r="J555" s="344"/>
      <c r="K555" s="344"/>
      <c r="L555" s="344"/>
      <c r="M555" s="344"/>
      <c r="N555" s="344"/>
      <c r="O555" s="344"/>
      <c r="P555" s="346"/>
      <c r="Q555" s="344"/>
      <c r="R555" s="344"/>
      <c r="S555" s="344"/>
      <c r="T555" s="344"/>
      <c r="U555" s="344"/>
      <c r="V555" s="344"/>
      <c r="W555" s="344"/>
      <c r="X555" s="344"/>
      <c r="Y555" s="344"/>
      <c r="Z555" s="344"/>
      <c r="AA555" s="344"/>
      <c r="AB555" s="344"/>
      <c r="AC555" s="344"/>
    </row>
    <row r="556" ht="24.75" customHeight="1">
      <c r="A556" s="344"/>
      <c r="B556" s="346"/>
      <c r="C556" s="344"/>
      <c r="D556" s="344"/>
      <c r="E556" s="344"/>
      <c r="F556" s="344"/>
      <c r="G556" s="344"/>
      <c r="H556" s="344"/>
      <c r="I556" s="344"/>
      <c r="J556" s="344"/>
      <c r="K556" s="344"/>
      <c r="L556" s="344"/>
      <c r="M556" s="344"/>
      <c r="N556" s="344"/>
      <c r="O556" s="344"/>
      <c r="P556" s="346"/>
      <c r="Q556" s="344"/>
      <c r="R556" s="344"/>
      <c r="S556" s="344"/>
      <c r="T556" s="344"/>
      <c r="U556" s="344"/>
      <c r="V556" s="344"/>
      <c r="W556" s="344"/>
      <c r="X556" s="344"/>
      <c r="Y556" s="344"/>
      <c r="Z556" s="344"/>
      <c r="AA556" s="344"/>
      <c r="AB556" s="344"/>
      <c r="AC556" s="344"/>
    </row>
    <row r="557" ht="24.75" customHeight="1">
      <c r="A557" s="344"/>
      <c r="B557" s="346"/>
      <c r="C557" s="344"/>
      <c r="D557" s="344"/>
      <c r="E557" s="344"/>
      <c r="F557" s="344"/>
      <c r="G557" s="344"/>
      <c r="H557" s="344"/>
      <c r="I557" s="344"/>
      <c r="J557" s="344"/>
      <c r="K557" s="344"/>
      <c r="L557" s="344"/>
      <c r="M557" s="344"/>
      <c r="N557" s="344"/>
      <c r="O557" s="344"/>
      <c r="P557" s="346"/>
      <c r="Q557" s="344"/>
      <c r="R557" s="344"/>
      <c r="S557" s="344"/>
      <c r="T557" s="344"/>
      <c r="U557" s="344"/>
      <c r="V557" s="344"/>
      <c r="W557" s="344"/>
      <c r="X557" s="344"/>
      <c r="Y557" s="344"/>
      <c r="Z557" s="344"/>
      <c r="AA557" s="344"/>
      <c r="AB557" s="344"/>
      <c r="AC557" s="344"/>
    </row>
    <row r="558" ht="24.75" customHeight="1">
      <c r="A558" s="344"/>
      <c r="B558" s="346"/>
      <c r="C558" s="344"/>
      <c r="D558" s="344"/>
      <c r="E558" s="344"/>
      <c r="F558" s="344"/>
      <c r="G558" s="344"/>
      <c r="H558" s="344"/>
      <c r="I558" s="344"/>
      <c r="J558" s="344"/>
      <c r="K558" s="344"/>
      <c r="L558" s="344"/>
      <c r="M558" s="344"/>
      <c r="N558" s="344"/>
      <c r="O558" s="344"/>
      <c r="P558" s="346"/>
      <c r="Q558" s="344"/>
      <c r="R558" s="344"/>
      <c r="S558" s="344"/>
      <c r="T558" s="344"/>
      <c r="U558" s="344"/>
      <c r="V558" s="344"/>
      <c r="W558" s="344"/>
      <c r="X558" s="344"/>
      <c r="Y558" s="344"/>
      <c r="Z558" s="344"/>
      <c r="AA558" s="344"/>
      <c r="AB558" s="344"/>
      <c r="AC558" s="344"/>
    </row>
    <row r="559" ht="24.75" customHeight="1">
      <c r="A559" s="344"/>
      <c r="B559" s="346"/>
      <c r="C559" s="344"/>
      <c r="D559" s="344"/>
      <c r="E559" s="344"/>
      <c r="F559" s="344"/>
      <c r="G559" s="344"/>
      <c r="H559" s="344"/>
      <c r="I559" s="344"/>
      <c r="J559" s="344"/>
      <c r="K559" s="344"/>
      <c r="L559" s="344"/>
      <c r="M559" s="344"/>
      <c r="N559" s="344"/>
      <c r="O559" s="344"/>
      <c r="P559" s="346"/>
      <c r="Q559" s="344"/>
      <c r="R559" s="344"/>
      <c r="S559" s="344"/>
      <c r="T559" s="344"/>
      <c r="U559" s="344"/>
      <c r="V559" s="344"/>
      <c r="W559" s="344"/>
      <c r="X559" s="344"/>
      <c r="Y559" s="344"/>
      <c r="Z559" s="344"/>
      <c r="AA559" s="344"/>
      <c r="AB559" s="344"/>
      <c r="AC559" s="344"/>
    </row>
    <row r="560" ht="24.75" customHeight="1">
      <c r="A560" s="344"/>
      <c r="B560" s="346"/>
      <c r="C560" s="344"/>
      <c r="D560" s="344"/>
      <c r="E560" s="344"/>
      <c r="F560" s="344"/>
      <c r="G560" s="344"/>
      <c r="H560" s="344"/>
      <c r="I560" s="344"/>
      <c r="J560" s="344"/>
      <c r="K560" s="344"/>
      <c r="L560" s="344"/>
      <c r="M560" s="344"/>
      <c r="N560" s="344"/>
      <c r="O560" s="344"/>
      <c r="P560" s="346"/>
      <c r="Q560" s="344"/>
      <c r="R560" s="344"/>
      <c r="S560" s="344"/>
      <c r="T560" s="344"/>
      <c r="U560" s="344"/>
      <c r="V560" s="344"/>
      <c r="W560" s="344"/>
      <c r="X560" s="344"/>
      <c r="Y560" s="344"/>
      <c r="Z560" s="344"/>
      <c r="AA560" s="344"/>
      <c r="AB560" s="344"/>
      <c r="AC560" s="344"/>
    </row>
    <row r="561" ht="24.75" customHeight="1">
      <c r="A561" s="344"/>
      <c r="B561" s="346"/>
      <c r="C561" s="344"/>
      <c r="D561" s="344"/>
      <c r="E561" s="344"/>
      <c r="F561" s="344"/>
      <c r="G561" s="344"/>
      <c r="H561" s="344"/>
      <c r="I561" s="344"/>
      <c r="J561" s="344"/>
      <c r="K561" s="344"/>
      <c r="L561" s="344"/>
      <c r="M561" s="344"/>
      <c r="N561" s="344"/>
      <c r="O561" s="344"/>
      <c r="P561" s="346"/>
      <c r="Q561" s="344"/>
      <c r="R561" s="344"/>
      <c r="S561" s="344"/>
      <c r="T561" s="344"/>
      <c r="U561" s="344"/>
      <c r="V561" s="344"/>
      <c r="W561" s="344"/>
      <c r="X561" s="344"/>
      <c r="Y561" s="344"/>
      <c r="Z561" s="344"/>
      <c r="AA561" s="344"/>
      <c r="AB561" s="344"/>
      <c r="AC561" s="344"/>
    </row>
    <row r="562" ht="24.75" customHeight="1">
      <c r="A562" s="344"/>
      <c r="B562" s="346"/>
      <c r="C562" s="344"/>
      <c r="D562" s="344"/>
      <c r="E562" s="344"/>
      <c r="F562" s="344"/>
      <c r="G562" s="344"/>
      <c r="H562" s="344"/>
      <c r="I562" s="344"/>
      <c r="J562" s="344"/>
      <c r="K562" s="344"/>
      <c r="L562" s="344"/>
      <c r="M562" s="344"/>
      <c r="N562" s="344"/>
      <c r="O562" s="344"/>
      <c r="P562" s="346"/>
      <c r="Q562" s="344"/>
      <c r="R562" s="344"/>
      <c r="S562" s="344"/>
      <c r="T562" s="344"/>
      <c r="U562" s="344"/>
      <c r="V562" s="344"/>
      <c r="W562" s="344"/>
      <c r="X562" s="344"/>
      <c r="Y562" s="344"/>
      <c r="Z562" s="344"/>
      <c r="AA562" s="344"/>
      <c r="AB562" s="344"/>
      <c r="AC562" s="344"/>
    </row>
    <row r="563" ht="24.75" customHeight="1">
      <c r="A563" s="344"/>
      <c r="B563" s="346"/>
      <c r="C563" s="344"/>
      <c r="D563" s="344"/>
      <c r="E563" s="344"/>
      <c r="F563" s="344"/>
      <c r="G563" s="344"/>
      <c r="H563" s="344"/>
      <c r="I563" s="344"/>
      <c r="J563" s="344"/>
      <c r="K563" s="344"/>
      <c r="L563" s="344"/>
      <c r="M563" s="344"/>
      <c r="N563" s="344"/>
      <c r="O563" s="344"/>
      <c r="P563" s="346"/>
      <c r="Q563" s="344"/>
      <c r="R563" s="344"/>
      <c r="S563" s="344"/>
      <c r="T563" s="344"/>
      <c r="U563" s="344"/>
      <c r="V563" s="344"/>
      <c r="W563" s="344"/>
      <c r="X563" s="344"/>
      <c r="Y563" s="344"/>
      <c r="Z563" s="344"/>
      <c r="AA563" s="344"/>
      <c r="AB563" s="344"/>
      <c r="AC563" s="344"/>
    </row>
    <row r="564" ht="24.75" customHeight="1">
      <c r="A564" s="344"/>
      <c r="B564" s="346"/>
      <c r="C564" s="344"/>
      <c r="D564" s="344"/>
      <c r="E564" s="344"/>
      <c r="F564" s="344"/>
      <c r="G564" s="344"/>
      <c r="H564" s="344"/>
      <c r="I564" s="344"/>
      <c r="J564" s="344"/>
      <c r="K564" s="344"/>
      <c r="L564" s="344"/>
      <c r="M564" s="344"/>
      <c r="N564" s="344"/>
      <c r="O564" s="344"/>
      <c r="P564" s="346"/>
      <c r="Q564" s="344"/>
      <c r="R564" s="344"/>
      <c r="S564" s="344"/>
      <c r="T564" s="344"/>
      <c r="U564" s="344"/>
      <c r="V564" s="344"/>
      <c r="W564" s="344"/>
      <c r="X564" s="344"/>
      <c r="Y564" s="344"/>
      <c r="Z564" s="344"/>
      <c r="AA564" s="344"/>
      <c r="AB564" s="344"/>
      <c r="AC564" s="344"/>
    </row>
    <row r="565" ht="24.75" customHeight="1">
      <c r="A565" s="344"/>
      <c r="B565" s="346"/>
      <c r="C565" s="344"/>
      <c r="D565" s="344"/>
      <c r="E565" s="344"/>
      <c r="F565" s="344"/>
      <c r="G565" s="344"/>
      <c r="H565" s="344"/>
      <c r="I565" s="344"/>
      <c r="J565" s="344"/>
      <c r="K565" s="344"/>
      <c r="L565" s="344"/>
      <c r="M565" s="344"/>
      <c r="N565" s="344"/>
      <c r="O565" s="344"/>
      <c r="P565" s="346"/>
      <c r="Q565" s="344"/>
      <c r="R565" s="344"/>
      <c r="S565" s="344"/>
      <c r="T565" s="344"/>
      <c r="U565" s="344"/>
      <c r="V565" s="344"/>
      <c r="W565" s="344"/>
      <c r="X565" s="344"/>
      <c r="Y565" s="344"/>
      <c r="Z565" s="344"/>
      <c r="AA565" s="344"/>
      <c r="AB565" s="344"/>
      <c r="AC565" s="344"/>
    </row>
    <row r="566" ht="24.75" customHeight="1">
      <c r="A566" s="344"/>
      <c r="B566" s="346"/>
      <c r="C566" s="344"/>
      <c r="D566" s="344"/>
      <c r="E566" s="344"/>
      <c r="F566" s="344"/>
      <c r="G566" s="344"/>
      <c r="H566" s="344"/>
      <c r="I566" s="344"/>
      <c r="J566" s="344"/>
      <c r="K566" s="344"/>
      <c r="L566" s="344"/>
      <c r="M566" s="344"/>
      <c r="N566" s="344"/>
      <c r="O566" s="344"/>
      <c r="P566" s="346"/>
      <c r="Q566" s="344"/>
      <c r="R566" s="344"/>
      <c r="S566" s="344"/>
      <c r="T566" s="344"/>
      <c r="U566" s="344"/>
      <c r="V566" s="344"/>
      <c r="W566" s="344"/>
      <c r="X566" s="344"/>
      <c r="Y566" s="344"/>
      <c r="Z566" s="344"/>
      <c r="AA566" s="344"/>
      <c r="AB566" s="344"/>
      <c r="AC566" s="344"/>
    </row>
    <row r="567" ht="24.75" customHeight="1">
      <c r="A567" s="344"/>
      <c r="B567" s="346"/>
      <c r="C567" s="344"/>
      <c r="D567" s="344"/>
      <c r="E567" s="344"/>
      <c r="F567" s="344"/>
      <c r="G567" s="344"/>
      <c r="H567" s="344"/>
      <c r="I567" s="344"/>
      <c r="J567" s="344"/>
      <c r="K567" s="344"/>
      <c r="L567" s="344"/>
      <c r="M567" s="344"/>
      <c r="N567" s="344"/>
      <c r="O567" s="344"/>
      <c r="P567" s="346"/>
      <c r="Q567" s="344"/>
      <c r="R567" s="344"/>
      <c r="S567" s="344"/>
      <c r="T567" s="344"/>
      <c r="U567" s="344"/>
      <c r="V567" s="344"/>
      <c r="W567" s="344"/>
      <c r="X567" s="344"/>
      <c r="Y567" s="344"/>
      <c r="Z567" s="344"/>
      <c r="AA567" s="344"/>
      <c r="AB567" s="344"/>
      <c r="AC567" s="344"/>
    </row>
    <row r="568" ht="24.75" customHeight="1">
      <c r="A568" s="344"/>
      <c r="B568" s="346"/>
      <c r="C568" s="344"/>
      <c r="D568" s="344"/>
      <c r="E568" s="344"/>
      <c r="F568" s="344"/>
      <c r="G568" s="344"/>
      <c r="H568" s="344"/>
      <c r="I568" s="344"/>
      <c r="J568" s="344"/>
      <c r="K568" s="344"/>
      <c r="L568" s="344"/>
      <c r="M568" s="344"/>
      <c r="N568" s="344"/>
      <c r="O568" s="344"/>
      <c r="P568" s="346"/>
      <c r="Q568" s="344"/>
      <c r="R568" s="344"/>
      <c r="S568" s="344"/>
      <c r="T568" s="344"/>
      <c r="U568" s="344"/>
      <c r="V568" s="344"/>
      <c r="W568" s="344"/>
      <c r="X568" s="344"/>
      <c r="Y568" s="344"/>
      <c r="Z568" s="344"/>
      <c r="AA568" s="344"/>
      <c r="AB568" s="344"/>
      <c r="AC568" s="344"/>
    </row>
    <row r="569" ht="24.75" customHeight="1">
      <c r="A569" s="344"/>
      <c r="B569" s="346"/>
      <c r="C569" s="344"/>
      <c r="D569" s="344"/>
      <c r="E569" s="344"/>
      <c r="F569" s="344"/>
      <c r="G569" s="344"/>
      <c r="H569" s="344"/>
      <c r="I569" s="344"/>
      <c r="J569" s="344"/>
      <c r="K569" s="344"/>
      <c r="L569" s="344"/>
      <c r="M569" s="344"/>
      <c r="N569" s="344"/>
      <c r="O569" s="344"/>
      <c r="P569" s="346"/>
      <c r="Q569" s="344"/>
      <c r="R569" s="344"/>
      <c r="S569" s="344"/>
      <c r="T569" s="344"/>
      <c r="U569" s="344"/>
      <c r="V569" s="344"/>
      <c r="W569" s="344"/>
      <c r="X569" s="344"/>
      <c r="Y569" s="344"/>
      <c r="Z569" s="344"/>
      <c r="AA569" s="344"/>
      <c r="AB569" s="344"/>
      <c r="AC569" s="344"/>
    </row>
    <row r="570" ht="24.75" customHeight="1">
      <c r="A570" s="344"/>
      <c r="B570" s="346"/>
      <c r="C570" s="344"/>
      <c r="D570" s="344"/>
      <c r="E570" s="344"/>
      <c r="F570" s="344"/>
      <c r="G570" s="344"/>
      <c r="H570" s="344"/>
      <c r="I570" s="344"/>
      <c r="J570" s="344"/>
      <c r="K570" s="344"/>
      <c r="L570" s="344"/>
      <c r="M570" s="344"/>
      <c r="N570" s="344"/>
      <c r="O570" s="344"/>
      <c r="P570" s="346"/>
      <c r="Q570" s="344"/>
      <c r="R570" s="344"/>
      <c r="S570" s="344"/>
      <c r="T570" s="344"/>
      <c r="U570" s="344"/>
      <c r="V570" s="344"/>
      <c r="W570" s="344"/>
      <c r="X570" s="344"/>
      <c r="Y570" s="344"/>
      <c r="Z570" s="344"/>
      <c r="AA570" s="344"/>
      <c r="AB570" s="344"/>
      <c r="AC570" s="344"/>
    </row>
    <row r="571" ht="24.75" customHeight="1">
      <c r="A571" s="344"/>
      <c r="B571" s="346"/>
      <c r="C571" s="344"/>
      <c r="D571" s="344"/>
      <c r="E571" s="344"/>
      <c r="F571" s="344"/>
      <c r="G571" s="344"/>
      <c r="H571" s="344"/>
      <c r="I571" s="344"/>
      <c r="J571" s="344"/>
      <c r="K571" s="344"/>
      <c r="L571" s="344"/>
      <c r="M571" s="344"/>
      <c r="N571" s="344"/>
      <c r="O571" s="344"/>
      <c r="P571" s="346"/>
      <c r="Q571" s="344"/>
      <c r="R571" s="344"/>
      <c r="S571" s="344"/>
      <c r="T571" s="344"/>
      <c r="U571" s="344"/>
      <c r="V571" s="344"/>
      <c r="W571" s="344"/>
      <c r="X571" s="344"/>
      <c r="Y571" s="344"/>
      <c r="Z571" s="344"/>
      <c r="AA571" s="344"/>
      <c r="AB571" s="344"/>
      <c r="AC571" s="344"/>
    </row>
    <row r="572" ht="24.75" customHeight="1">
      <c r="A572" s="344"/>
      <c r="B572" s="346"/>
      <c r="C572" s="344"/>
      <c r="D572" s="344"/>
      <c r="E572" s="344"/>
      <c r="F572" s="344"/>
      <c r="G572" s="344"/>
      <c r="H572" s="344"/>
      <c r="I572" s="344"/>
      <c r="J572" s="344"/>
      <c r="K572" s="344"/>
      <c r="L572" s="344"/>
      <c r="M572" s="344"/>
      <c r="N572" s="344"/>
      <c r="O572" s="344"/>
      <c r="P572" s="346"/>
      <c r="Q572" s="344"/>
      <c r="R572" s="344"/>
      <c r="S572" s="344"/>
      <c r="T572" s="344"/>
      <c r="U572" s="344"/>
      <c r="V572" s="344"/>
      <c r="W572" s="344"/>
      <c r="X572" s="344"/>
      <c r="Y572" s="344"/>
      <c r="Z572" s="344"/>
      <c r="AA572" s="344"/>
      <c r="AB572" s="344"/>
      <c r="AC572" s="344"/>
    </row>
    <row r="573" ht="24.75" customHeight="1">
      <c r="A573" s="344"/>
      <c r="B573" s="346"/>
      <c r="C573" s="344"/>
      <c r="D573" s="344"/>
      <c r="E573" s="344"/>
      <c r="F573" s="344"/>
      <c r="G573" s="344"/>
      <c r="H573" s="344"/>
      <c r="I573" s="344"/>
      <c r="J573" s="344"/>
      <c r="K573" s="344"/>
      <c r="L573" s="344"/>
      <c r="M573" s="344"/>
      <c r="N573" s="344"/>
      <c r="O573" s="344"/>
      <c r="P573" s="346"/>
      <c r="Q573" s="344"/>
      <c r="R573" s="344"/>
      <c r="S573" s="344"/>
      <c r="T573" s="344"/>
      <c r="U573" s="344"/>
      <c r="V573" s="344"/>
      <c r="W573" s="344"/>
      <c r="X573" s="344"/>
      <c r="Y573" s="344"/>
      <c r="Z573" s="344"/>
      <c r="AA573" s="344"/>
      <c r="AB573" s="344"/>
      <c r="AC573" s="344"/>
    </row>
    <row r="574" ht="24.75" customHeight="1">
      <c r="A574" s="344"/>
      <c r="B574" s="346"/>
      <c r="C574" s="344"/>
      <c r="D574" s="344"/>
      <c r="E574" s="344"/>
      <c r="F574" s="344"/>
      <c r="G574" s="344"/>
      <c r="H574" s="344"/>
      <c r="I574" s="344"/>
      <c r="J574" s="344"/>
      <c r="K574" s="344"/>
      <c r="L574" s="344"/>
      <c r="M574" s="344"/>
      <c r="N574" s="344"/>
      <c r="O574" s="344"/>
      <c r="P574" s="346"/>
      <c r="Q574" s="344"/>
      <c r="R574" s="344"/>
      <c r="S574" s="344"/>
      <c r="T574" s="344"/>
      <c r="U574" s="344"/>
      <c r="V574" s="344"/>
      <c r="W574" s="344"/>
      <c r="X574" s="344"/>
      <c r="Y574" s="344"/>
      <c r="Z574" s="344"/>
      <c r="AA574" s="344"/>
      <c r="AB574" s="344"/>
      <c r="AC574" s="344"/>
    </row>
    <row r="575" ht="24.75" customHeight="1">
      <c r="A575" s="344"/>
      <c r="B575" s="346"/>
      <c r="C575" s="344"/>
      <c r="D575" s="344"/>
      <c r="E575" s="344"/>
      <c r="F575" s="344"/>
      <c r="G575" s="344"/>
      <c r="H575" s="344"/>
      <c r="I575" s="344"/>
      <c r="J575" s="344"/>
      <c r="K575" s="344"/>
      <c r="L575" s="344"/>
      <c r="M575" s="344"/>
      <c r="N575" s="344"/>
      <c r="O575" s="344"/>
      <c r="P575" s="346"/>
      <c r="Q575" s="344"/>
      <c r="R575" s="344"/>
      <c r="S575" s="344"/>
      <c r="T575" s="344"/>
      <c r="U575" s="344"/>
      <c r="V575" s="344"/>
      <c r="W575" s="344"/>
      <c r="X575" s="344"/>
      <c r="Y575" s="344"/>
      <c r="Z575" s="344"/>
      <c r="AA575" s="344"/>
      <c r="AB575" s="344"/>
      <c r="AC575" s="344"/>
    </row>
    <row r="576" ht="24.75" customHeight="1">
      <c r="A576" s="344"/>
      <c r="B576" s="346"/>
      <c r="C576" s="344"/>
      <c r="D576" s="344"/>
      <c r="E576" s="344"/>
      <c r="F576" s="344"/>
      <c r="G576" s="344"/>
      <c r="H576" s="344"/>
      <c r="I576" s="344"/>
      <c r="J576" s="344"/>
      <c r="K576" s="344"/>
      <c r="L576" s="344"/>
      <c r="M576" s="344"/>
      <c r="N576" s="344"/>
      <c r="O576" s="344"/>
      <c r="P576" s="346"/>
      <c r="Q576" s="344"/>
      <c r="R576" s="344"/>
      <c r="S576" s="344"/>
      <c r="T576" s="344"/>
      <c r="U576" s="344"/>
      <c r="V576" s="344"/>
      <c r="W576" s="344"/>
      <c r="X576" s="344"/>
      <c r="Y576" s="344"/>
      <c r="Z576" s="344"/>
      <c r="AA576" s="344"/>
      <c r="AB576" s="344"/>
      <c r="AC576" s="344"/>
    </row>
    <row r="577" ht="24.75" customHeight="1">
      <c r="A577" s="344"/>
      <c r="B577" s="346"/>
      <c r="C577" s="344"/>
      <c r="D577" s="344"/>
      <c r="E577" s="344"/>
      <c r="F577" s="344"/>
      <c r="G577" s="344"/>
      <c r="H577" s="344"/>
      <c r="I577" s="344"/>
      <c r="J577" s="344"/>
      <c r="K577" s="344"/>
      <c r="L577" s="344"/>
      <c r="M577" s="344"/>
      <c r="N577" s="344"/>
      <c r="O577" s="344"/>
      <c r="P577" s="346"/>
      <c r="Q577" s="344"/>
      <c r="R577" s="344"/>
      <c r="S577" s="344"/>
      <c r="T577" s="344"/>
      <c r="U577" s="344"/>
      <c r="V577" s="344"/>
      <c r="W577" s="344"/>
      <c r="X577" s="344"/>
      <c r="Y577" s="344"/>
      <c r="Z577" s="344"/>
      <c r="AA577" s="344"/>
      <c r="AB577" s="344"/>
      <c r="AC577" s="344"/>
    </row>
    <row r="578" ht="24.75" customHeight="1">
      <c r="A578" s="344"/>
      <c r="B578" s="346"/>
      <c r="C578" s="344"/>
      <c r="D578" s="344"/>
      <c r="E578" s="344"/>
      <c r="F578" s="344"/>
      <c r="G578" s="344"/>
      <c r="H578" s="344"/>
      <c r="I578" s="344"/>
      <c r="J578" s="344"/>
      <c r="K578" s="344"/>
      <c r="L578" s="344"/>
      <c r="M578" s="344"/>
      <c r="N578" s="344"/>
      <c r="O578" s="344"/>
      <c r="P578" s="346"/>
      <c r="Q578" s="344"/>
      <c r="R578" s="344"/>
      <c r="S578" s="344"/>
      <c r="T578" s="344"/>
      <c r="U578" s="344"/>
      <c r="V578" s="344"/>
      <c r="W578" s="344"/>
      <c r="X578" s="344"/>
      <c r="Y578" s="344"/>
      <c r="Z578" s="344"/>
      <c r="AA578" s="344"/>
      <c r="AB578" s="344"/>
      <c r="AC578" s="344"/>
    </row>
    <row r="579" ht="24.75" customHeight="1">
      <c r="A579" s="344"/>
      <c r="B579" s="346"/>
      <c r="C579" s="344"/>
      <c r="D579" s="344"/>
      <c r="E579" s="344"/>
      <c r="F579" s="344"/>
      <c r="G579" s="344"/>
      <c r="H579" s="344"/>
      <c r="I579" s="344"/>
      <c r="J579" s="344"/>
      <c r="K579" s="344"/>
      <c r="L579" s="344"/>
      <c r="M579" s="344"/>
      <c r="N579" s="344"/>
      <c r="O579" s="344"/>
      <c r="P579" s="346"/>
      <c r="Q579" s="344"/>
      <c r="R579" s="344"/>
      <c r="S579" s="344"/>
      <c r="T579" s="344"/>
      <c r="U579" s="344"/>
      <c r="V579" s="344"/>
      <c r="W579" s="344"/>
      <c r="X579" s="344"/>
      <c r="Y579" s="344"/>
      <c r="Z579" s="344"/>
      <c r="AA579" s="344"/>
      <c r="AB579" s="344"/>
      <c r="AC579" s="344"/>
    </row>
    <row r="580" ht="24.75" customHeight="1">
      <c r="A580" s="344"/>
      <c r="B580" s="346"/>
      <c r="C580" s="344"/>
      <c r="D580" s="344"/>
      <c r="E580" s="344"/>
      <c r="F580" s="344"/>
      <c r="G580" s="344"/>
      <c r="H580" s="344"/>
      <c r="I580" s="344"/>
      <c r="J580" s="344"/>
      <c r="K580" s="344"/>
      <c r="L580" s="344"/>
      <c r="M580" s="344"/>
      <c r="N580" s="344"/>
      <c r="O580" s="344"/>
      <c r="P580" s="346"/>
      <c r="Q580" s="344"/>
      <c r="R580" s="344"/>
      <c r="S580" s="344"/>
      <c r="T580" s="344"/>
      <c r="U580" s="344"/>
      <c r="V580" s="344"/>
      <c r="W580" s="344"/>
      <c r="X580" s="344"/>
      <c r="Y580" s="344"/>
      <c r="Z580" s="344"/>
      <c r="AA580" s="344"/>
      <c r="AB580" s="344"/>
      <c r="AC580" s="344"/>
    </row>
    <row r="581" ht="24.75" customHeight="1">
      <c r="A581" s="344"/>
      <c r="B581" s="346"/>
      <c r="C581" s="344"/>
      <c r="D581" s="344"/>
      <c r="E581" s="344"/>
      <c r="F581" s="344"/>
      <c r="G581" s="344"/>
      <c r="H581" s="344"/>
      <c r="I581" s="344"/>
      <c r="J581" s="344"/>
      <c r="K581" s="344"/>
      <c r="L581" s="344"/>
      <c r="M581" s="344"/>
      <c r="N581" s="344"/>
      <c r="O581" s="344"/>
      <c r="P581" s="346"/>
      <c r="Q581" s="344"/>
      <c r="R581" s="344"/>
      <c r="S581" s="344"/>
      <c r="T581" s="344"/>
      <c r="U581" s="344"/>
      <c r="V581" s="344"/>
      <c r="W581" s="344"/>
      <c r="X581" s="344"/>
      <c r="Y581" s="344"/>
      <c r="Z581" s="344"/>
      <c r="AA581" s="344"/>
      <c r="AB581" s="344"/>
      <c r="AC581" s="344"/>
    </row>
    <row r="582" ht="24.75" customHeight="1">
      <c r="A582" s="344"/>
      <c r="B582" s="346"/>
      <c r="C582" s="344"/>
      <c r="D582" s="344"/>
      <c r="E582" s="344"/>
      <c r="F582" s="344"/>
      <c r="G582" s="344"/>
      <c r="H582" s="344"/>
      <c r="I582" s="344"/>
      <c r="J582" s="344"/>
      <c r="K582" s="344"/>
      <c r="L582" s="344"/>
      <c r="M582" s="344"/>
      <c r="N582" s="344"/>
      <c r="O582" s="344"/>
      <c r="P582" s="346"/>
      <c r="Q582" s="344"/>
      <c r="R582" s="344"/>
      <c r="S582" s="344"/>
      <c r="T582" s="344"/>
      <c r="U582" s="344"/>
      <c r="V582" s="344"/>
      <c r="W582" s="344"/>
      <c r="X582" s="344"/>
      <c r="Y582" s="344"/>
      <c r="Z582" s="344"/>
      <c r="AA582" s="344"/>
      <c r="AB582" s="344"/>
      <c r="AC582" s="344"/>
    </row>
    <row r="583" ht="24.75" customHeight="1">
      <c r="A583" s="344"/>
      <c r="B583" s="346"/>
      <c r="C583" s="344"/>
      <c r="D583" s="344"/>
      <c r="E583" s="344"/>
      <c r="F583" s="344"/>
      <c r="G583" s="344"/>
      <c r="H583" s="344"/>
      <c r="I583" s="344"/>
      <c r="J583" s="344"/>
      <c r="K583" s="344"/>
      <c r="L583" s="344"/>
      <c r="M583" s="344"/>
      <c r="N583" s="344"/>
      <c r="O583" s="344"/>
      <c r="P583" s="346"/>
      <c r="Q583" s="344"/>
      <c r="R583" s="344"/>
      <c r="S583" s="344"/>
      <c r="T583" s="344"/>
      <c r="U583" s="344"/>
      <c r="V583" s="344"/>
      <c r="W583" s="344"/>
      <c r="X583" s="344"/>
      <c r="Y583" s="344"/>
      <c r="Z583" s="344"/>
      <c r="AA583" s="344"/>
      <c r="AB583" s="344"/>
      <c r="AC583" s="344"/>
    </row>
    <row r="584" ht="24.75" customHeight="1">
      <c r="A584" s="344"/>
      <c r="B584" s="346"/>
      <c r="C584" s="344"/>
      <c r="D584" s="344"/>
      <c r="E584" s="344"/>
      <c r="F584" s="344"/>
      <c r="G584" s="344"/>
      <c r="H584" s="344"/>
      <c r="I584" s="344"/>
      <c r="J584" s="344"/>
      <c r="K584" s="344"/>
      <c r="L584" s="344"/>
      <c r="M584" s="344"/>
      <c r="N584" s="344"/>
      <c r="O584" s="344"/>
      <c r="P584" s="346"/>
      <c r="Q584" s="344"/>
      <c r="R584" s="344"/>
      <c r="S584" s="344"/>
      <c r="T584" s="344"/>
      <c r="U584" s="344"/>
      <c r="V584" s="344"/>
      <c r="W584" s="344"/>
      <c r="X584" s="344"/>
      <c r="Y584" s="344"/>
      <c r="Z584" s="344"/>
      <c r="AA584" s="344"/>
      <c r="AB584" s="344"/>
      <c r="AC584" s="344"/>
    </row>
    <row r="585" ht="24.75" customHeight="1">
      <c r="A585" s="344"/>
      <c r="B585" s="346"/>
      <c r="C585" s="344"/>
      <c r="D585" s="344"/>
      <c r="E585" s="344"/>
      <c r="F585" s="344"/>
      <c r="G585" s="344"/>
      <c r="H585" s="344"/>
      <c r="I585" s="344"/>
      <c r="J585" s="344"/>
      <c r="K585" s="344"/>
      <c r="L585" s="344"/>
      <c r="M585" s="344"/>
      <c r="N585" s="344"/>
      <c r="O585" s="344"/>
      <c r="P585" s="346"/>
      <c r="Q585" s="344"/>
      <c r="R585" s="344"/>
      <c r="S585" s="344"/>
      <c r="T585" s="344"/>
      <c r="U585" s="344"/>
      <c r="V585" s="344"/>
      <c r="W585" s="344"/>
      <c r="X585" s="344"/>
      <c r="Y585" s="344"/>
      <c r="Z585" s="344"/>
      <c r="AA585" s="344"/>
      <c r="AB585" s="344"/>
      <c r="AC585" s="344"/>
    </row>
    <row r="586" ht="24.75" customHeight="1">
      <c r="A586" s="344"/>
      <c r="B586" s="346"/>
      <c r="C586" s="344"/>
      <c r="D586" s="344"/>
      <c r="E586" s="344"/>
      <c r="F586" s="344"/>
      <c r="G586" s="344"/>
      <c r="H586" s="344"/>
      <c r="I586" s="344"/>
      <c r="J586" s="344"/>
      <c r="K586" s="344"/>
      <c r="L586" s="344"/>
      <c r="M586" s="344"/>
      <c r="N586" s="344"/>
      <c r="O586" s="344"/>
      <c r="P586" s="346"/>
      <c r="Q586" s="344"/>
      <c r="R586" s="344"/>
      <c r="S586" s="344"/>
      <c r="T586" s="344"/>
      <c r="U586" s="344"/>
      <c r="V586" s="344"/>
      <c r="W586" s="344"/>
      <c r="X586" s="344"/>
      <c r="Y586" s="344"/>
      <c r="Z586" s="344"/>
      <c r="AA586" s="344"/>
      <c r="AB586" s="344"/>
      <c r="AC586" s="344"/>
    </row>
    <row r="587" ht="24.75" customHeight="1">
      <c r="A587" s="344"/>
      <c r="B587" s="346"/>
      <c r="C587" s="344"/>
      <c r="D587" s="344"/>
      <c r="E587" s="344"/>
      <c r="F587" s="344"/>
      <c r="G587" s="344"/>
      <c r="H587" s="344"/>
      <c r="I587" s="344"/>
      <c r="J587" s="344"/>
      <c r="K587" s="344"/>
      <c r="L587" s="344"/>
      <c r="M587" s="344"/>
      <c r="N587" s="344"/>
      <c r="O587" s="344"/>
      <c r="P587" s="346"/>
      <c r="Q587" s="344"/>
      <c r="R587" s="344"/>
      <c r="S587" s="344"/>
      <c r="T587" s="344"/>
      <c r="U587" s="344"/>
      <c r="V587" s="344"/>
      <c r="W587" s="344"/>
      <c r="X587" s="344"/>
      <c r="Y587" s="344"/>
      <c r="Z587" s="344"/>
      <c r="AA587" s="344"/>
      <c r="AB587" s="344"/>
      <c r="AC587" s="344"/>
    </row>
    <row r="588" ht="24.75" customHeight="1">
      <c r="A588" s="344"/>
      <c r="B588" s="346"/>
      <c r="C588" s="344"/>
      <c r="D588" s="344"/>
      <c r="E588" s="344"/>
      <c r="F588" s="344"/>
      <c r="G588" s="344"/>
      <c r="H588" s="344"/>
      <c r="I588" s="344"/>
      <c r="J588" s="344"/>
      <c r="K588" s="344"/>
      <c r="L588" s="344"/>
      <c r="M588" s="344"/>
      <c r="N588" s="344"/>
      <c r="O588" s="344"/>
      <c r="P588" s="346"/>
      <c r="Q588" s="344"/>
      <c r="R588" s="344"/>
      <c r="S588" s="344"/>
      <c r="T588" s="344"/>
      <c r="U588" s="344"/>
      <c r="V588" s="344"/>
      <c r="W588" s="344"/>
      <c r="X588" s="344"/>
      <c r="Y588" s="344"/>
      <c r="Z588" s="344"/>
      <c r="AA588" s="344"/>
      <c r="AB588" s="344"/>
      <c r="AC588" s="344"/>
    </row>
    <row r="589" ht="24.75" customHeight="1">
      <c r="A589" s="344"/>
      <c r="B589" s="346"/>
      <c r="C589" s="344"/>
      <c r="D589" s="344"/>
      <c r="E589" s="344"/>
      <c r="F589" s="344"/>
      <c r="G589" s="344"/>
      <c r="H589" s="344"/>
      <c r="I589" s="344"/>
      <c r="J589" s="344"/>
      <c r="K589" s="344"/>
      <c r="L589" s="344"/>
      <c r="M589" s="344"/>
      <c r="N589" s="344"/>
      <c r="O589" s="344"/>
      <c r="P589" s="346"/>
      <c r="Q589" s="344"/>
      <c r="R589" s="344"/>
      <c r="S589" s="344"/>
      <c r="T589" s="344"/>
      <c r="U589" s="344"/>
      <c r="V589" s="344"/>
      <c r="W589" s="344"/>
      <c r="X589" s="344"/>
      <c r="Y589" s="344"/>
      <c r="Z589" s="344"/>
      <c r="AA589" s="344"/>
      <c r="AB589" s="344"/>
      <c r="AC589" s="344"/>
    </row>
    <row r="590" ht="24.75" customHeight="1">
      <c r="A590" s="344"/>
      <c r="B590" s="346"/>
      <c r="C590" s="344"/>
      <c r="D590" s="344"/>
      <c r="E590" s="344"/>
      <c r="F590" s="344"/>
      <c r="G590" s="344"/>
      <c r="H590" s="344"/>
      <c r="I590" s="344"/>
      <c r="J590" s="344"/>
      <c r="K590" s="344"/>
      <c r="L590" s="344"/>
      <c r="M590" s="344"/>
      <c r="N590" s="344"/>
      <c r="O590" s="344"/>
      <c r="P590" s="346"/>
      <c r="Q590" s="344"/>
      <c r="R590" s="344"/>
      <c r="S590" s="344"/>
      <c r="T590" s="344"/>
      <c r="U590" s="344"/>
      <c r="V590" s="344"/>
      <c r="W590" s="344"/>
      <c r="X590" s="344"/>
      <c r="Y590" s="344"/>
      <c r="Z590" s="344"/>
      <c r="AA590" s="344"/>
      <c r="AB590" s="344"/>
      <c r="AC590" s="344"/>
    </row>
    <row r="591" ht="24.75" customHeight="1">
      <c r="A591" s="344"/>
      <c r="B591" s="346"/>
      <c r="C591" s="344"/>
      <c r="D591" s="344"/>
      <c r="E591" s="344"/>
      <c r="F591" s="344"/>
      <c r="G591" s="344"/>
      <c r="H591" s="344"/>
      <c r="I591" s="344"/>
      <c r="J591" s="344"/>
      <c r="K591" s="344"/>
      <c r="L591" s="344"/>
      <c r="M591" s="344"/>
      <c r="N591" s="344"/>
      <c r="O591" s="344"/>
      <c r="P591" s="346"/>
      <c r="Q591" s="344"/>
      <c r="R591" s="344"/>
      <c r="S591" s="344"/>
      <c r="T591" s="344"/>
      <c r="U591" s="344"/>
      <c r="V591" s="344"/>
      <c r="W591" s="344"/>
      <c r="X591" s="344"/>
      <c r="Y591" s="344"/>
      <c r="Z591" s="344"/>
      <c r="AA591" s="344"/>
      <c r="AB591" s="344"/>
      <c r="AC591" s="344"/>
    </row>
    <row r="592" ht="24.75" customHeight="1">
      <c r="A592" s="344"/>
      <c r="B592" s="346"/>
      <c r="C592" s="344"/>
      <c r="D592" s="344"/>
      <c r="E592" s="344"/>
      <c r="F592" s="344"/>
      <c r="G592" s="344"/>
      <c r="H592" s="344"/>
      <c r="I592" s="344"/>
      <c r="J592" s="344"/>
      <c r="K592" s="344"/>
      <c r="L592" s="344"/>
      <c r="M592" s="344"/>
      <c r="N592" s="344"/>
      <c r="O592" s="344"/>
      <c r="P592" s="346"/>
      <c r="Q592" s="344"/>
      <c r="R592" s="344"/>
      <c r="S592" s="344"/>
      <c r="T592" s="344"/>
      <c r="U592" s="344"/>
      <c r="V592" s="344"/>
      <c r="W592" s="344"/>
      <c r="X592" s="344"/>
      <c r="Y592" s="344"/>
      <c r="Z592" s="344"/>
      <c r="AA592" s="344"/>
      <c r="AB592" s="344"/>
      <c r="AC592" s="344"/>
    </row>
    <row r="593" ht="24.75" customHeight="1">
      <c r="A593" s="344"/>
      <c r="B593" s="346"/>
      <c r="C593" s="344"/>
      <c r="D593" s="344"/>
      <c r="E593" s="344"/>
      <c r="F593" s="344"/>
      <c r="G593" s="344"/>
      <c r="H593" s="344"/>
      <c r="I593" s="344"/>
      <c r="J593" s="344"/>
      <c r="K593" s="344"/>
      <c r="L593" s="344"/>
      <c r="M593" s="344"/>
      <c r="N593" s="344"/>
      <c r="O593" s="344"/>
      <c r="P593" s="346"/>
      <c r="Q593" s="344"/>
      <c r="R593" s="344"/>
      <c r="S593" s="344"/>
      <c r="T593" s="344"/>
      <c r="U593" s="344"/>
      <c r="V593" s="344"/>
      <c r="W593" s="344"/>
      <c r="X593" s="344"/>
      <c r="Y593" s="344"/>
      <c r="Z593" s="344"/>
      <c r="AA593" s="344"/>
      <c r="AB593" s="344"/>
      <c r="AC593" s="344"/>
    </row>
    <row r="594" ht="24.75" customHeight="1">
      <c r="A594" s="344"/>
      <c r="B594" s="346"/>
      <c r="C594" s="344"/>
      <c r="D594" s="344"/>
      <c r="E594" s="344"/>
      <c r="F594" s="344"/>
      <c r="G594" s="344"/>
      <c r="H594" s="344"/>
      <c r="I594" s="344"/>
      <c r="J594" s="344"/>
      <c r="K594" s="344"/>
      <c r="L594" s="344"/>
      <c r="M594" s="344"/>
      <c r="N594" s="344"/>
      <c r="O594" s="344"/>
      <c r="P594" s="346"/>
      <c r="Q594" s="344"/>
      <c r="R594" s="344"/>
      <c r="S594" s="344"/>
      <c r="T594" s="344"/>
      <c r="U594" s="344"/>
      <c r="V594" s="344"/>
      <c r="W594" s="344"/>
      <c r="X594" s="344"/>
      <c r="Y594" s="344"/>
      <c r="Z594" s="344"/>
      <c r="AA594" s="344"/>
      <c r="AB594" s="344"/>
      <c r="AC594" s="344"/>
    </row>
    <row r="595" ht="24.75" customHeight="1">
      <c r="A595" s="344"/>
      <c r="B595" s="346"/>
      <c r="C595" s="344"/>
      <c r="D595" s="344"/>
      <c r="E595" s="344"/>
      <c r="F595" s="344"/>
      <c r="G595" s="344"/>
      <c r="H595" s="344"/>
      <c r="I595" s="344"/>
      <c r="J595" s="344"/>
      <c r="K595" s="344"/>
      <c r="L595" s="344"/>
      <c r="M595" s="344"/>
      <c r="N595" s="344"/>
      <c r="O595" s="344"/>
      <c r="P595" s="346"/>
      <c r="Q595" s="344"/>
      <c r="R595" s="344"/>
      <c r="S595" s="344"/>
      <c r="T595" s="344"/>
      <c r="U595" s="344"/>
      <c r="V595" s="344"/>
      <c r="W595" s="344"/>
      <c r="X595" s="344"/>
      <c r="Y595" s="344"/>
      <c r="Z595" s="344"/>
      <c r="AA595" s="344"/>
      <c r="AB595" s="344"/>
      <c r="AC595" s="344"/>
    </row>
    <row r="596" ht="24.75" customHeight="1">
      <c r="A596" s="344"/>
      <c r="B596" s="346"/>
      <c r="C596" s="344"/>
      <c r="D596" s="344"/>
      <c r="E596" s="344"/>
      <c r="F596" s="344"/>
      <c r="G596" s="344"/>
      <c r="H596" s="344"/>
      <c r="I596" s="344"/>
      <c r="J596" s="344"/>
      <c r="K596" s="344"/>
      <c r="L596" s="344"/>
      <c r="M596" s="344"/>
      <c r="N596" s="344"/>
      <c r="O596" s="344"/>
      <c r="P596" s="346"/>
      <c r="Q596" s="344"/>
      <c r="R596" s="344"/>
      <c r="S596" s="344"/>
      <c r="T596" s="344"/>
      <c r="U596" s="344"/>
      <c r="V596" s="344"/>
      <c r="W596" s="344"/>
      <c r="X596" s="344"/>
      <c r="Y596" s="344"/>
      <c r="Z596" s="344"/>
      <c r="AA596" s="344"/>
      <c r="AB596" s="344"/>
      <c r="AC596" s="344"/>
    </row>
    <row r="597" ht="24.75" customHeight="1">
      <c r="A597" s="344"/>
      <c r="B597" s="346"/>
      <c r="C597" s="344"/>
      <c r="D597" s="344"/>
      <c r="E597" s="344"/>
      <c r="F597" s="344"/>
      <c r="G597" s="344"/>
      <c r="H597" s="344"/>
      <c r="I597" s="344"/>
      <c r="J597" s="344"/>
      <c r="K597" s="344"/>
      <c r="L597" s="344"/>
      <c r="M597" s="344"/>
      <c r="N597" s="344"/>
      <c r="O597" s="344"/>
      <c r="P597" s="346"/>
      <c r="Q597" s="344"/>
      <c r="R597" s="344"/>
      <c r="S597" s="344"/>
      <c r="T597" s="344"/>
      <c r="U597" s="344"/>
      <c r="V597" s="344"/>
      <c r="W597" s="344"/>
      <c r="X597" s="344"/>
      <c r="Y597" s="344"/>
      <c r="Z597" s="344"/>
      <c r="AA597" s="344"/>
      <c r="AB597" s="344"/>
      <c r="AC597" s="344"/>
    </row>
    <row r="598" ht="24.75" customHeight="1">
      <c r="A598" s="344"/>
      <c r="B598" s="346"/>
      <c r="C598" s="344"/>
      <c r="D598" s="344"/>
      <c r="E598" s="344"/>
      <c r="F598" s="344"/>
      <c r="G598" s="344"/>
      <c r="H598" s="344"/>
      <c r="I598" s="344"/>
      <c r="J598" s="344"/>
      <c r="K598" s="344"/>
      <c r="L598" s="344"/>
      <c r="M598" s="344"/>
      <c r="N598" s="344"/>
      <c r="O598" s="344"/>
      <c r="P598" s="346"/>
      <c r="Q598" s="344"/>
      <c r="R598" s="344"/>
      <c r="S598" s="344"/>
      <c r="T598" s="344"/>
      <c r="U598" s="344"/>
      <c r="V598" s="344"/>
      <c r="W598" s="344"/>
      <c r="X598" s="344"/>
      <c r="Y598" s="344"/>
      <c r="Z598" s="344"/>
      <c r="AA598" s="344"/>
      <c r="AB598" s="344"/>
      <c r="AC598" s="344"/>
    </row>
    <row r="599" ht="24.75" customHeight="1">
      <c r="A599" s="344"/>
      <c r="B599" s="346"/>
      <c r="C599" s="344"/>
      <c r="D599" s="344"/>
      <c r="E599" s="344"/>
      <c r="F599" s="344"/>
      <c r="G599" s="344"/>
      <c r="H599" s="344"/>
      <c r="I599" s="344"/>
      <c r="J599" s="344"/>
      <c r="K599" s="344"/>
      <c r="L599" s="344"/>
      <c r="M599" s="344"/>
      <c r="N599" s="344"/>
      <c r="O599" s="344"/>
      <c r="P599" s="346"/>
      <c r="Q599" s="344"/>
      <c r="R599" s="344"/>
      <c r="S599" s="344"/>
      <c r="T599" s="344"/>
      <c r="U599" s="344"/>
      <c r="V599" s="344"/>
      <c r="W599" s="344"/>
      <c r="X599" s="344"/>
      <c r="Y599" s="344"/>
      <c r="Z599" s="344"/>
      <c r="AA599" s="344"/>
      <c r="AB599" s="344"/>
      <c r="AC599" s="344"/>
    </row>
    <row r="600" ht="24.75" customHeight="1">
      <c r="A600" s="344"/>
      <c r="B600" s="346"/>
      <c r="C600" s="344"/>
      <c r="D600" s="344"/>
      <c r="E600" s="344"/>
      <c r="F600" s="344"/>
      <c r="G600" s="344"/>
      <c r="H600" s="344"/>
      <c r="I600" s="344"/>
      <c r="J600" s="344"/>
      <c r="K600" s="344"/>
      <c r="L600" s="344"/>
      <c r="M600" s="344"/>
      <c r="N600" s="344"/>
      <c r="O600" s="344"/>
      <c r="P600" s="346"/>
      <c r="Q600" s="344"/>
      <c r="R600" s="344"/>
      <c r="S600" s="344"/>
      <c r="T600" s="344"/>
      <c r="U600" s="344"/>
      <c r="V600" s="344"/>
      <c r="W600" s="344"/>
      <c r="X600" s="344"/>
      <c r="Y600" s="344"/>
      <c r="Z600" s="344"/>
      <c r="AA600" s="344"/>
      <c r="AB600" s="344"/>
      <c r="AC600" s="344"/>
    </row>
    <row r="601" ht="24.75" customHeight="1">
      <c r="A601" s="344"/>
      <c r="B601" s="346"/>
      <c r="C601" s="344"/>
      <c r="D601" s="344"/>
      <c r="E601" s="344"/>
      <c r="F601" s="344"/>
      <c r="G601" s="344"/>
      <c r="H601" s="344"/>
      <c r="I601" s="344"/>
      <c r="J601" s="344"/>
      <c r="K601" s="344"/>
      <c r="L601" s="344"/>
      <c r="M601" s="344"/>
      <c r="N601" s="344"/>
      <c r="O601" s="344"/>
      <c r="P601" s="346"/>
      <c r="Q601" s="344"/>
      <c r="R601" s="344"/>
      <c r="S601" s="344"/>
      <c r="T601" s="344"/>
      <c r="U601" s="344"/>
      <c r="V601" s="344"/>
      <c r="W601" s="344"/>
      <c r="X601" s="344"/>
      <c r="Y601" s="344"/>
      <c r="Z601" s="344"/>
      <c r="AA601" s="344"/>
      <c r="AB601" s="344"/>
      <c r="AC601" s="344"/>
    </row>
    <row r="602" ht="24.75" customHeight="1">
      <c r="A602" s="344"/>
      <c r="B602" s="346"/>
      <c r="C602" s="344"/>
      <c r="D602" s="344"/>
      <c r="E602" s="344"/>
      <c r="F602" s="344"/>
      <c r="G602" s="344"/>
      <c r="H602" s="344"/>
      <c r="I602" s="344"/>
      <c r="J602" s="344"/>
      <c r="K602" s="344"/>
      <c r="L602" s="344"/>
      <c r="M602" s="344"/>
      <c r="N602" s="344"/>
      <c r="O602" s="344"/>
      <c r="P602" s="346"/>
      <c r="Q602" s="344"/>
      <c r="R602" s="344"/>
      <c r="S602" s="344"/>
      <c r="T602" s="344"/>
      <c r="U602" s="344"/>
      <c r="V602" s="344"/>
      <c r="W602" s="344"/>
      <c r="X602" s="344"/>
      <c r="Y602" s="344"/>
      <c r="Z602" s="344"/>
      <c r="AA602" s="344"/>
      <c r="AB602" s="344"/>
      <c r="AC602" s="344"/>
    </row>
    <row r="603" ht="24.75" customHeight="1">
      <c r="A603" s="344"/>
      <c r="B603" s="346"/>
      <c r="C603" s="344"/>
      <c r="D603" s="344"/>
      <c r="E603" s="344"/>
      <c r="F603" s="344"/>
      <c r="G603" s="344"/>
      <c r="H603" s="344"/>
      <c r="I603" s="344"/>
      <c r="J603" s="344"/>
      <c r="K603" s="344"/>
      <c r="L603" s="344"/>
      <c r="M603" s="344"/>
      <c r="N603" s="344"/>
      <c r="O603" s="344"/>
      <c r="P603" s="346"/>
      <c r="Q603" s="344"/>
      <c r="R603" s="344"/>
      <c r="S603" s="344"/>
      <c r="T603" s="344"/>
      <c r="U603" s="344"/>
      <c r="V603" s="344"/>
      <c r="W603" s="344"/>
      <c r="X603" s="344"/>
      <c r="Y603" s="344"/>
      <c r="Z603" s="344"/>
      <c r="AA603" s="344"/>
      <c r="AB603" s="344"/>
      <c r="AC603" s="344"/>
    </row>
    <row r="604" ht="24.75" customHeight="1">
      <c r="A604" s="344"/>
      <c r="B604" s="346"/>
      <c r="C604" s="344"/>
      <c r="D604" s="344"/>
      <c r="E604" s="344"/>
      <c r="F604" s="344"/>
      <c r="G604" s="344"/>
      <c r="H604" s="344"/>
      <c r="I604" s="344"/>
      <c r="J604" s="344"/>
      <c r="K604" s="344"/>
      <c r="L604" s="344"/>
      <c r="M604" s="344"/>
      <c r="N604" s="344"/>
      <c r="O604" s="344"/>
      <c r="P604" s="346"/>
      <c r="Q604" s="344"/>
      <c r="R604" s="344"/>
      <c r="S604" s="344"/>
      <c r="T604" s="344"/>
      <c r="U604" s="344"/>
      <c r="V604" s="344"/>
      <c r="W604" s="344"/>
      <c r="X604" s="344"/>
      <c r="Y604" s="344"/>
      <c r="Z604" s="344"/>
      <c r="AA604" s="344"/>
      <c r="AB604" s="344"/>
      <c r="AC604" s="344"/>
    </row>
    <row r="605" ht="24.75" customHeight="1">
      <c r="A605" s="344"/>
      <c r="B605" s="346"/>
      <c r="C605" s="344"/>
      <c r="D605" s="344"/>
      <c r="E605" s="344"/>
      <c r="F605" s="344"/>
      <c r="G605" s="344"/>
      <c r="H605" s="344"/>
      <c r="I605" s="344"/>
      <c r="J605" s="344"/>
      <c r="K605" s="344"/>
      <c r="L605" s="344"/>
      <c r="M605" s="344"/>
      <c r="N605" s="344"/>
      <c r="O605" s="344"/>
      <c r="P605" s="346"/>
      <c r="Q605" s="344"/>
      <c r="R605" s="344"/>
      <c r="S605" s="344"/>
      <c r="T605" s="344"/>
      <c r="U605" s="344"/>
      <c r="V605" s="344"/>
      <c r="W605" s="344"/>
      <c r="X605" s="344"/>
      <c r="Y605" s="344"/>
      <c r="Z605" s="344"/>
      <c r="AA605" s="344"/>
      <c r="AB605" s="344"/>
      <c r="AC605" s="344"/>
    </row>
    <row r="606" ht="24.75" customHeight="1">
      <c r="A606" s="344"/>
      <c r="B606" s="346"/>
      <c r="C606" s="344"/>
      <c r="D606" s="344"/>
      <c r="E606" s="344"/>
      <c r="F606" s="344"/>
      <c r="G606" s="344"/>
      <c r="H606" s="344"/>
      <c r="I606" s="344"/>
      <c r="J606" s="344"/>
      <c r="K606" s="344"/>
      <c r="L606" s="344"/>
      <c r="M606" s="344"/>
      <c r="N606" s="344"/>
      <c r="O606" s="344"/>
      <c r="P606" s="346"/>
      <c r="Q606" s="344"/>
      <c r="R606" s="344"/>
      <c r="S606" s="344"/>
      <c r="T606" s="344"/>
      <c r="U606" s="344"/>
      <c r="V606" s="344"/>
      <c r="W606" s="344"/>
      <c r="X606" s="344"/>
      <c r="Y606" s="344"/>
      <c r="Z606" s="344"/>
      <c r="AA606" s="344"/>
      <c r="AB606" s="344"/>
      <c r="AC606" s="344"/>
    </row>
    <row r="607" ht="24.75" customHeight="1">
      <c r="A607" s="344"/>
      <c r="B607" s="346"/>
      <c r="C607" s="344"/>
      <c r="D607" s="344"/>
      <c r="E607" s="344"/>
      <c r="F607" s="344"/>
      <c r="G607" s="344"/>
      <c r="H607" s="344"/>
      <c r="I607" s="344"/>
      <c r="J607" s="344"/>
      <c r="K607" s="344"/>
      <c r="L607" s="344"/>
      <c r="M607" s="344"/>
      <c r="N607" s="344"/>
      <c r="O607" s="344"/>
      <c r="P607" s="346"/>
      <c r="Q607" s="344"/>
      <c r="R607" s="344"/>
      <c r="S607" s="344"/>
      <c r="T607" s="344"/>
      <c r="U607" s="344"/>
      <c r="V607" s="344"/>
      <c r="W607" s="344"/>
      <c r="X607" s="344"/>
      <c r="Y607" s="344"/>
      <c r="Z607" s="344"/>
      <c r="AA607" s="344"/>
      <c r="AB607" s="344"/>
      <c r="AC607" s="344"/>
    </row>
    <row r="608" ht="24.75" customHeight="1">
      <c r="A608" s="344"/>
      <c r="B608" s="346"/>
      <c r="C608" s="344"/>
      <c r="D608" s="344"/>
      <c r="E608" s="344"/>
      <c r="F608" s="344"/>
      <c r="G608" s="344"/>
      <c r="H608" s="344"/>
      <c r="I608" s="344"/>
      <c r="J608" s="344"/>
      <c r="K608" s="344"/>
      <c r="L608" s="344"/>
      <c r="M608" s="344"/>
      <c r="N608" s="344"/>
      <c r="O608" s="344"/>
      <c r="P608" s="346"/>
      <c r="Q608" s="344"/>
      <c r="R608" s="344"/>
      <c r="S608" s="344"/>
      <c r="T608" s="344"/>
      <c r="U608" s="344"/>
      <c r="V608" s="344"/>
      <c r="W608" s="344"/>
      <c r="X608" s="344"/>
      <c r="Y608" s="344"/>
      <c r="Z608" s="344"/>
      <c r="AA608" s="344"/>
      <c r="AB608" s="344"/>
      <c r="AC608" s="344"/>
    </row>
    <row r="609" ht="24.75" customHeight="1">
      <c r="A609" s="344"/>
      <c r="B609" s="346"/>
      <c r="C609" s="344"/>
      <c r="D609" s="344"/>
      <c r="E609" s="344"/>
      <c r="F609" s="344"/>
      <c r="G609" s="344"/>
      <c r="H609" s="344"/>
      <c r="I609" s="344"/>
      <c r="J609" s="344"/>
      <c r="K609" s="344"/>
      <c r="L609" s="344"/>
      <c r="M609" s="344"/>
      <c r="N609" s="344"/>
      <c r="O609" s="344"/>
      <c r="P609" s="346"/>
      <c r="Q609" s="344"/>
      <c r="R609" s="344"/>
      <c r="S609" s="344"/>
      <c r="T609" s="344"/>
      <c r="U609" s="344"/>
      <c r="V609" s="344"/>
      <c r="W609" s="344"/>
      <c r="X609" s="344"/>
      <c r="Y609" s="344"/>
      <c r="Z609" s="344"/>
      <c r="AA609" s="344"/>
      <c r="AB609" s="344"/>
      <c r="AC609" s="344"/>
    </row>
    <row r="610" ht="24.75" customHeight="1">
      <c r="A610" s="344"/>
      <c r="B610" s="346"/>
      <c r="C610" s="344"/>
      <c r="D610" s="344"/>
      <c r="E610" s="344"/>
      <c r="F610" s="344"/>
      <c r="G610" s="344"/>
      <c r="H610" s="344"/>
      <c r="I610" s="344"/>
      <c r="J610" s="344"/>
      <c r="K610" s="344"/>
      <c r="L610" s="344"/>
      <c r="M610" s="344"/>
      <c r="N610" s="344"/>
      <c r="O610" s="344"/>
      <c r="P610" s="346"/>
      <c r="Q610" s="344"/>
      <c r="R610" s="344"/>
      <c r="S610" s="344"/>
      <c r="T610" s="344"/>
      <c r="U610" s="344"/>
      <c r="V610" s="344"/>
      <c r="W610" s="344"/>
      <c r="X610" s="344"/>
      <c r="Y610" s="344"/>
      <c r="Z610" s="344"/>
      <c r="AA610" s="344"/>
      <c r="AB610" s="344"/>
      <c r="AC610" s="344"/>
    </row>
    <row r="611" ht="24.75" customHeight="1">
      <c r="A611" s="344"/>
      <c r="B611" s="346"/>
      <c r="C611" s="344"/>
      <c r="D611" s="344"/>
      <c r="E611" s="344"/>
      <c r="F611" s="344"/>
      <c r="G611" s="344"/>
      <c r="H611" s="344"/>
      <c r="I611" s="344"/>
      <c r="J611" s="344"/>
      <c r="K611" s="344"/>
      <c r="L611" s="344"/>
      <c r="M611" s="344"/>
      <c r="N611" s="344"/>
      <c r="O611" s="344"/>
      <c r="P611" s="346"/>
      <c r="Q611" s="344"/>
      <c r="R611" s="344"/>
      <c r="S611" s="344"/>
      <c r="T611" s="344"/>
      <c r="U611" s="344"/>
      <c r="V611" s="344"/>
      <c r="W611" s="344"/>
      <c r="X611" s="344"/>
      <c r="Y611" s="344"/>
      <c r="Z611" s="344"/>
      <c r="AA611" s="344"/>
      <c r="AB611" s="344"/>
      <c r="AC611" s="344"/>
    </row>
    <row r="612" ht="24.75" customHeight="1">
      <c r="A612" s="344"/>
      <c r="B612" s="346"/>
      <c r="C612" s="344"/>
      <c r="D612" s="344"/>
      <c r="E612" s="344"/>
      <c r="F612" s="344"/>
      <c r="G612" s="344"/>
      <c r="H612" s="344"/>
      <c r="I612" s="344"/>
      <c r="J612" s="344"/>
      <c r="K612" s="344"/>
      <c r="L612" s="344"/>
      <c r="M612" s="344"/>
      <c r="N612" s="344"/>
      <c r="O612" s="344"/>
      <c r="P612" s="346"/>
      <c r="Q612" s="344"/>
      <c r="R612" s="344"/>
      <c r="S612" s="344"/>
      <c r="T612" s="344"/>
      <c r="U612" s="344"/>
      <c r="V612" s="344"/>
      <c r="W612" s="344"/>
      <c r="X612" s="344"/>
      <c r="Y612" s="344"/>
      <c r="Z612" s="344"/>
      <c r="AA612" s="344"/>
      <c r="AB612" s="344"/>
      <c r="AC612" s="344"/>
    </row>
    <row r="613" ht="24.75" customHeight="1">
      <c r="A613" s="344"/>
      <c r="B613" s="346"/>
      <c r="C613" s="344"/>
      <c r="D613" s="344"/>
      <c r="E613" s="344"/>
      <c r="F613" s="344"/>
      <c r="G613" s="344"/>
      <c r="H613" s="344"/>
      <c r="I613" s="344"/>
      <c r="J613" s="344"/>
      <c r="K613" s="344"/>
      <c r="L613" s="344"/>
      <c r="M613" s="344"/>
      <c r="N613" s="344"/>
      <c r="O613" s="344"/>
      <c r="P613" s="346"/>
      <c r="Q613" s="344"/>
      <c r="R613" s="344"/>
      <c r="S613" s="344"/>
      <c r="T613" s="344"/>
      <c r="U613" s="344"/>
      <c r="V613" s="344"/>
      <c r="W613" s="344"/>
      <c r="X613" s="344"/>
      <c r="Y613" s="344"/>
      <c r="Z613" s="344"/>
      <c r="AA613" s="344"/>
      <c r="AB613" s="344"/>
      <c r="AC613" s="344"/>
    </row>
    <row r="614" ht="24.75" customHeight="1">
      <c r="A614" s="344"/>
      <c r="B614" s="346"/>
      <c r="C614" s="344"/>
      <c r="D614" s="344"/>
      <c r="E614" s="344"/>
      <c r="F614" s="344"/>
      <c r="G614" s="344"/>
      <c r="H614" s="344"/>
      <c r="I614" s="344"/>
      <c r="J614" s="344"/>
      <c r="K614" s="344"/>
      <c r="L614" s="344"/>
      <c r="M614" s="344"/>
      <c r="N614" s="344"/>
      <c r="O614" s="344"/>
      <c r="P614" s="346"/>
      <c r="Q614" s="344"/>
      <c r="R614" s="344"/>
      <c r="S614" s="344"/>
      <c r="T614" s="344"/>
      <c r="U614" s="344"/>
      <c r="V614" s="344"/>
      <c r="W614" s="344"/>
      <c r="X614" s="344"/>
      <c r="Y614" s="344"/>
      <c r="Z614" s="344"/>
      <c r="AA614" s="344"/>
      <c r="AB614" s="344"/>
      <c r="AC614" s="344"/>
    </row>
    <row r="615" ht="24.75" customHeight="1">
      <c r="A615" s="344"/>
      <c r="B615" s="346"/>
      <c r="C615" s="344"/>
      <c r="D615" s="344"/>
      <c r="E615" s="344"/>
      <c r="F615" s="344"/>
      <c r="G615" s="344"/>
      <c r="H615" s="344"/>
      <c r="I615" s="344"/>
      <c r="J615" s="344"/>
      <c r="K615" s="344"/>
      <c r="L615" s="344"/>
      <c r="M615" s="344"/>
      <c r="N615" s="344"/>
      <c r="O615" s="344"/>
      <c r="P615" s="346"/>
      <c r="Q615" s="344"/>
      <c r="R615" s="344"/>
      <c r="S615" s="344"/>
      <c r="T615" s="344"/>
      <c r="U615" s="344"/>
      <c r="V615" s="344"/>
      <c r="W615" s="344"/>
      <c r="X615" s="344"/>
      <c r="Y615" s="344"/>
      <c r="Z615" s="344"/>
      <c r="AA615" s="344"/>
      <c r="AB615" s="344"/>
      <c r="AC615" s="344"/>
    </row>
    <row r="616" ht="24.75" customHeight="1">
      <c r="A616" s="344"/>
      <c r="B616" s="346"/>
      <c r="C616" s="344"/>
      <c r="D616" s="344"/>
      <c r="E616" s="344"/>
      <c r="F616" s="344"/>
      <c r="G616" s="344"/>
      <c r="H616" s="344"/>
      <c r="I616" s="344"/>
      <c r="J616" s="344"/>
      <c r="K616" s="344"/>
      <c r="L616" s="344"/>
      <c r="M616" s="344"/>
      <c r="N616" s="344"/>
      <c r="O616" s="344"/>
      <c r="P616" s="346"/>
      <c r="Q616" s="344"/>
      <c r="R616" s="344"/>
      <c r="S616" s="344"/>
      <c r="T616" s="344"/>
      <c r="U616" s="344"/>
      <c r="V616" s="344"/>
      <c r="W616" s="344"/>
      <c r="X616" s="344"/>
      <c r="Y616" s="344"/>
      <c r="Z616" s="344"/>
      <c r="AA616" s="344"/>
      <c r="AB616" s="344"/>
      <c r="AC616" s="344"/>
    </row>
    <row r="617" ht="24.75" customHeight="1">
      <c r="A617" s="344"/>
      <c r="B617" s="346"/>
      <c r="C617" s="344"/>
      <c r="D617" s="344"/>
      <c r="E617" s="344"/>
      <c r="F617" s="344"/>
      <c r="G617" s="344"/>
      <c r="H617" s="344"/>
      <c r="I617" s="344"/>
      <c r="J617" s="344"/>
      <c r="K617" s="344"/>
      <c r="L617" s="344"/>
      <c r="M617" s="344"/>
      <c r="N617" s="344"/>
      <c r="O617" s="344"/>
      <c r="P617" s="346"/>
      <c r="Q617" s="344"/>
      <c r="R617" s="344"/>
      <c r="S617" s="344"/>
      <c r="T617" s="344"/>
      <c r="U617" s="344"/>
      <c r="V617" s="344"/>
      <c r="W617" s="344"/>
      <c r="X617" s="344"/>
      <c r="Y617" s="344"/>
      <c r="Z617" s="344"/>
      <c r="AA617" s="344"/>
      <c r="AB617" s="344"/>
      <c r="AC617" s="344"/>
    </row>
    <row r="618" ht="24.75" customHeight="1">
      <c r="A618" s="344"/>
      <c r="B618" s="346"/>
      <c r="C618" s="344"/>
      <c r="D618" s="344"/>
      <c r="E618" s="344"/>
      <c r="F618" s="344"/>
      <c r="G618" s="344"/>
      <c r="H618" s="344"/>
      <c r="I618" s="344"/>
      <c r="J618" s="344"/>
      <c r="K618" s="344"/>
      <c r="L618" s="344"/>
      <c r="M618" s="344"/>
      <c r="N618" s="344"/>
      <c r="O618" s="344"/>
      <c r="P618" s="346"/>
      <c r="Q618" s="344"/>
      <c r="R618" s="344"/>
      <c r="S618" s="344"/>
      <c r="T618" s="344"/>
      <c r="U618" s="344"/>
      <c r="V618" s="344"/>
      <c r="W618" s="344"/>
      <c r="X618" s="344"/>
      <c r="Y618" s="344"/>
      <c r="Z618" s="344"/>
      <c r="AA618" s="344"/>
      <c r="AB618" s="344"/>
      <c r="AC618" s="344"/>
    </row>
    <row r="619" ht="24.75" customHeight="1">
      <c r="A619" s="344"/>
      <c r="B619" s="346"/>
      <c r="C619" s="344"/>
      <c r="D619" s="344"/>
      <c r="E619" s="344"/>
      <c r="F619" s="344"/>
      <c r="G619" s="344"/>
      <c r="H619" s="344"/>
      <c r="I619" s="344"/>
      <c r="J619" s="344"/>
      <c r="K619" s="344"/>
      <c r="L619" s="344"/>
      <c r="M619" s="344"/>
      <c r="N619" s="344"/>
      <c r="O619" s="344"/>
      <c r="P619" s="346"/>
      <c r="Q619" s="344"/>
      <c r="R619" s="344"/>
      <c r="S619" s="344"/>
      <c r="T619" s="344"/>
      <c r="U619" s="344"/>
      <c r="V619" s="344"/>
      <c r="W619" s="344"/>
      <c r="X619" s="344"/>
      <c r="Y619" s="344"/>
      <c r="Z619" s="344"/>
      <c r="AA619" s="344"/>
      <c r="AB619" s="344"/>
      <c r="AC619" s="344"/>
    </row>
    <row r="620" ht="24.75" customHeight="1">
      <c r="A620" s="344"/>
      <c r="B620" s="346"/>
      <c r="C620" s="344"/>
      <c r="D620" s="344"/>
      <c r="E620" s="344"/>
      <c r="F620" s="344"/>
      <c r="G620" s="344"/>
      <c r="H620" s="344"/>
      <c r="I620" s="344"/>
      <c r="J620" s="344"/>
      <c r="K620" s="344"/>
      <c r="L620" s="344"/>
      <c r="M620" s="344"/>
      <c r="N620" s="344"/>
      <c r="O620" s="344"/>
      <c r="P620" s="346"/>
      <c r="Q620" s="344"/>
      <c r="R620" s="344"/>
      <c r="S620" s="344"/>
      <c r="T620" s="344"/>
      <c r="U620" s="344"/>
      <c r="V620" s="344"/>
      <c r="W620" s="344"/>
      <c r="X620" s="344"/>
      <c r="Y620" s="344"/>
      <c r="Z620" s="344"/>
      <c r="AA620" s="344"/>
      <c r="AB620" s="344"/>
      <c r="AC620" s="344"/>
    </row>
    <row r="621" ht="24.75" customHeight="1">
      <c r="A621" s="344"/>
      <c r="B621" s="346"/>
      <c r="C621" s="344"/>
      <c r="D621" s="344"/>
      <c r="E621" s="344"/>
      <c r="F621" s="344"/>
      <c r="G621" s="344"/>
      <c r="H621" s="344"/>
      <c r="I621" s="344"/>
      <c r="J621" s="344"/>
      <c r="K621" s="344"/>
      <c r="L621" s="344"/>
      <c r="M621" s="344"/>
      <c r="N621" s="344"/>
      <c r="O621" s="344"/>
      <c r="P621" s="346"/>
      <c r="Q621" s="344"/>
      <c r="R621" s="344"/>
      <c r="S621" s="344"/>
      <c r="T621" s="344"/>
      <c r="U621" s="344"/>
      <c r="V621" s="344"/>
      <c r="W621" s="344"/>
      <c r="X621" s="344"/>
      <c r="Y621" s="344"/>
      <c r="Z621" s="344"/>
      <c r="AA621" s="344"/>
      <c r="AB621" s="344"/>
      <c r="AC621" s="344"/>
    </row>
    <row r="622" ht="24.75" customHeight="1">
      <c r="A622" s="344"/>
      <c r="B622" s="346"/>
      <c r="C622" s="344"/>
      <c r="D622" s="344"/>
      <c r="E622" s="344"/>
      <c r="F622" s="344"/>
      <c r="G622" s="344"/>
      <c r="H622" s="344"/>
      <c r="I622" s="344"/>
      <c r="J622" s="344"/>
      <c r="K622" s="344"/>
      <c r="L622" s="344"/>
      <c r="M622" s="344"/>
      <c r="N622" s="344"/>
      <c r="O622" s="344"/>
      <c r="P622" s="346"/>
      <c r="Q622" s="344"/>
      <c r="R622" s="344"/>
      <c r="S622" s="344"/>
      <c r="T622" s="344"/>
      <c r="U622" s="344"/>
      <c r="V622" s="344"/>
      <c r="W622" s="344"/>
      <c r="X622" s="344"/>
      <c r="Y622" s="344"/>
      <c r="Z622" s="344"/>
      <c r="AA622" s="344"/>
      <c r="AB622" s="344"/>
      <c r="AC622" s="344"/>
    </row>
    <row r="623" ht="24.75" customHeight="1">
      <c r="A623" s="344"/>
      <c r="B623" s="346"/>
      <c r="C623" s="344"/>
      <c r="D623" s="344"/>
      <c r="E623" s="344"/>
      <c r="F623" s="344"/>
      <c r="G623" s="344"/>
      <c r="H623" s="344"/>
      <c r="I623" s="344"/>
      <c r="J623" s="344"/>
      <c r="K623" s="344"/>
      <c r="L623" s="344"/>
      <c r="M623" s="344"/>
      <c r="N623" s="344"/>
      <c r="O623" s="344"/>
      <c r="P623" s="346"/>
      <c r="Q623" s="344"/>
      <c r="R623" s="344"/>
      <c r="S623" s="344"/>
      <c r="T623" s="344"/>
      <c r="U623" s="344"/>
      <c r="V623" s="344"/>
      <c r="W623" s="344"/>
      <c r="X623" s="344"/>
      <c r="Y623" s="344"/>
      <c r="Z623" s="344"/>
      <c r="AA623" s="344"/>
      <c r="AB623" s="344"/>
      <c r="AC623" s="344"/>
    </row>
    <row r="624" ht="24.75" customHeight="1">
      <c r="A624" s="344"/>
      <c r="B624" s="346"/>
      <c r="C624" s="344"/>
      <c r="D624" s="344"/>
      <c r="E624" s="344"/>
      <c r="F624" s="344"/>
      <c r="G624" s="344"/>
      <c r="H624" s="344"/>
      <c r="I624" s="344"/>
      <c r="J624" s="344"/>
      <c r="K624" s="344"/>
      <c r="L624" s="344"/>
      <c r="M624" s="344"/>
      <c r="N624" s="344"/>
      <c r="O624" s="344"/>
      <c r="P624" s="346"/>
      <c r="Q624" s="344"/>
      <c r="R624" s="344"/>
      <c r="S624" s="344"/>
      <c r="T624" s="344"/>
      <c r="U624" s="344"/>
      <c r="V624" s="344"/>
      <c r="W624" s="344"/>
      <c r="X624" s="344"/>
      <c r="Y624" s="344"/>
      <c r="Z624" s="344"/>
      <c r="AA624" s="344"/>
      <c r="AB624" s="344"/>
      <c r="AC624" s="344"/>
    </row>
    <row r="625" ht="24.75" customHeight="1">
      <c r="A625" s="344"/>
      <c r="B625" s="346"/>
      <c r="C625" s="344"/>
      <c r="D625" s="344"/>
      <c r="E625" s="344"/>
      <c r="F625" s="344"/>
      <c r="G625" s="344"/>
      <c r="H625" s="344"/>
      <c r="I625" s="344"/>
      <c r="J625" s="344"/>
      <c r="K625" s="344"/>
      <c r="L625" s="344"/>
      <c r="M625" s="344"/>
      <c r="N625" s="344"/>
      <c r="O625" s="344"/>
      <c r="P625" s="346"/>
      <c r="Q625" s="344"/>
      <c r="R625" s="344"/>
      <c r="S625" s="344"/>
      <c r="T625" s="344"/>
      <c r="U625" s="344"/>
      <c r="V625" s="344"/>
      <c r="W625" s="344"/>
      <c r="X625" s="344"/>
      <c r="Y625" s="344"/>
      <c r="Z625" s="344"/>
      <c r="AA625" s="344"/>
      <c r="AB625" s="344"/>
      <c r="AC625" s="344"/>
    </row>
    <row r="626" ht="24.75" customHeight="1">
      <c r="A626" s="344"/>
      <c r="B626" s="346"/>
      <c r="C626" s="344"/>
      <c r="D626" s="344"/>
      <c r="E626" s="344"/>
      <c r="F626" s="344"/>
      <c r="G626" s="344"/>
      <c r="H626" s="344"/>
      <c r="I626" s="344"/>
      <c r="J626" s="344"/>
      <c r="K626" s="344"/>
      <c r="L626" s="344"/>
      <c r="M626" s="344"/>
      <c r="N626" s="344"/>
      <c r="O626" s="344"/>
      <c r="P626" s="346"/>
      <c r="Q626" s="344"/>
      <c r="R626" s="344"/>
      <c r="S626" s="344"/>
      <c r="T626" s="344"/>
      <c r="U626" s="344"/>
      <c r="V626" s="344"/>
      <c r="W626" s="344"/>
      <c r="X626" s="344"/>
      <c r="Y626" s="344"/>
      <c r="Z626" s="344"/>
      <c r="AA626" s="344"/>
      <c r="AB626" s="344"/>
      <c r="AC626" s="344"/>
    </row>
    <row r="627" ht="24.75" customHeight="1">
      <c r="A627" s="344"/>
      <c r="B627" s="346"/>
      <c r="C627" s="344"/>
      <c r="D627" s="344"/>
      <c r="E627" s="344"/>
      <c r="F627" s="344"/>
      <c r="G627" s="344"/>
      <c r="H627" s="344"/>
      <c r="I627" s="344"/>
      <c r="J627" s="344"/>
      <c r="K627" s="344"/>
      <c r="L627" s="344"/>
      <c r="M627" s="344"/>
      <c r="N627" s="344"/>
      <c r="O627" s="344"/>
      <c r="P627" s="346"/>
      <c r="Q627" s="344"/>
      <c r="R627" s="344"/>
      <c r="S627" s="344"/>
      <c r="T627" s="344"/>
      <c r="U627" s="344"/>
      <c r="V627" s="344"/>
      <c r="W627" s="344"/>
      <c r="X627" s="344"/>
      <c r="Y627" s="344"/>
      <c r="Z627" s="344"/>
      <c r="AA627" s="344"/>
      <c r="AB627" s="344"/>
      <c r="AC627" s="344"/>
    </row>
    <row r="628" ht="24.75" customHeight="1">
      <c r="A628" s="344"/>
      <c r="B628" s="346"/>
      <c r="C628" s="344"/>
      <c r="D628" s="344"/>
      <c r="E628" s="344"/>
      <c r="F628" s="344"/>
      <c r="G628" s="344"/>
      <c r="H628" s="344"/>
      <c r="I628" s="344"/>
      <c r="J628" s="344"/>
      <c r="K628" s="344"/>
      <c r="L628" s="344"/>
      <c r="M628" s="344"/>
      <c r="N628" s="344"/>
      <c r="O628" s="344"/>
      <c r="P628" s="346"/>
      <c r="Q628" s="344"/>
      <c r="R628" s="344"/>
      <c r="S628" s="344"/>
      <c r="T628" s="344"/>
      <c r="U628" s="344"/>
      <c r="V628" s="344"/>
      <c r="W628" s="344"/>
      <c r="X628" s="344"/>
      <c r="Y628" s="344"/>
      <c r="Z628" s="344"/>
      <c r="AA628" s="344"/>
      <c r="AB628" s="344"/>
      <c r="AC628" s="344"/>
    </row>
    <row r="629" ht="24.75" customHeight="1">
      <c r="A629" s="344"/>
      <c r="B629" s="346"/>
      <c r="C629" s="344"/>
      <c r="D629" s="344"/>
      <c r="E629" s="344"/>
      <c r="F629" s="344"/>
      <c r="G629" s="344"/>
      <c r="H629" s="344"/>
      <c r="I629" s="344"/>
      <c r="J629" s="344"/>
      <c r="K629" s="344"/>
      <c r="L629" s="344"/>
      <c r="M629" s="344"/>
      <c r="N629" s="344"/>
      <c r="O629" s="344"/>
      <c r="P629" s="346"/>
      <c r="Q629" s="344"/>
      <c r="R629" s="344"/>
      <c r="S629" s="344"/>
      <c r="T629" s="344"/>
      <c r="U629" s="344"/>
      <c r="V629" s="344"/>
      <c r="W629" s="344"/>
      <c r="X629" s="344"/>
      <c r="Y629" s="344"/>
      <c r="Z629" s="344"/>
      <c r="AA629" s="344"/>
      <c r="AB629" s="344"/>
      <c r="AC629" s="344"/>
    </row>
    <row r="630" ht="24.75" customHeight="1">
      <c r="A630" s="344"/>
      <c r="B630" s="346"/>
      <c r="C630" s="344"/>
      <c r="D630" s="344"/>
      <c r="E630" s="344"/>
      <c r="F630" s="344"/>
      <c r="G630" s="344"/>
      <c r="H630" s="344"/>
      <c r="I630" s="344"/>
      <c r="J630" s="344"/>
      <c r="K630" s="344"/>
      <c r="L630" s="344"/>
      <c r="M630" s="344"/>
      <c r="N630" s="344"/>
      <c r="O630" s="344"/>
      <c r="P630" s="346"/>
      <c r="Q630" s="344"/>
      <c r="R630" s="344"/>
      <c r="S630" s="344"/>
      <c r="T630" s="344"/>
      <c r="U630" s="344"/>
      <c r="V630" s="344"/>
      <c r="W630" s="344"/>
      <c r="X630" s="344"/>
      <c r="Y630" s="344"/>
      <c r="Z630" s="344"/>
      <c r="AA630" s="344"/>
      <c r="AB630" s="344"/>
      <c r="AC630" s="344"/>
    </row>
    <row r="631" ht="24.75" customHeight="1">
      <c r="A631" s="344"/>
      <c r="B631" s="346"/>
      <c r="C631" s="344"/>
      <c r="D631" s="344"/>
      <c r="E631" s="344"/>
      <c r="F631" s="344"/>
      <c r="G631" s="344"/>
      <c r="H631" s="344"/>
      <c r="I631" s="344"/>
      <c r="J631" s="344"/>
      <c r="K631" s="344"/>
      <c r="L631" s="344"/>
      <c r="M631" s="344"/>
      <c r="N631" s="344"/>
      <c r="O631" s="344"/>
      <c r="P631" s="346"/>
      <c r="Q631" s="344"/>
      <c r="R631" s="344"/>
      <c r="S631" s="344"/>
      <c r="T631" s="344"/>
      <c r="U631" s="344"/>
      <c r="V631" s="344"/>
      <c r="W631" s="344"/>
      <c r="X631" s="344"/>
      <c r="Y631" s="344"/>
      <c r="Z631" s="344"/>
      <c r="AA631" s="344"/>
      <c r="AB631" s="344"/>
      <c r="AC631" s="344"/>
    </row>
    <row r="632" ht="24.75" customHeight="1">
      <c r="A632" s="344"/>
      <c r="B632" s="346"/>
      <c r="C632" s="344"/>
      <c r="D632" s="344"/>
      <c r="E632" s="344"/>
      <c r="F632" s="344"/>
      <c r="G632" s="344"/>
      <c r="H632" s="344"/>
      <c r="I632" s="344"/>
      <c r="J632" s="344"/>
      <c r="K632" s="344"/>
      <c r="L632" s="344"/>
      <c r="M632" s="344"/>
      <c r="N632" s="344"/>
      <c r="O632" s="344"/>
      <c r="P632" s="346"/>
      <c r="Q632" s="344"/>
      <c r="R632" s="344"/>
      <c r="S632" s="344"/>
      <c r="T632" s="344"/>
      <c r="U632" s="344"/>
      <c r="V632" s="344"/>
      <c r="W632" s="344"/>
      <c r="X632" s="344"/>
      <c r="Y632" s="344"/>
      <c r="Z632" s="344"/>
      <c r="AA632" s="344"/>
      <c r="AB632" s="344"/>
      <c r="AC632" s="344"/>
    </row>
    <row r="633" ht="24.75" customHeight="1">
      <c r="A633" s="344"/>
      <c r="B633" s="346"/>
      <c r="C633" s="344"/>
      <c r="D633" s="344"/>
      <c r="E633" s="344"/>
      <c r="F633" s="344"/>
      <c r="G633" s="344"/>
      <c r="H633" s="344"/>
      <c r="I633" s="344"/>
      <c r="J633" s="344"/>
      <c r="K633" s="344"/>
      <c r="L633" s="344"/>
      <c r="M633" s="344"/>
      <c r="N633" s="344"/>
      <c r="O633" s="344"/>
      <c r="P633" s="346"/>
      <c r="Q633" s="344"/>
      <c r="R633" s="344"/>
      <c r="S633" s="344"/>
      <c r="T633" s="344"/>
      <c r="U633" s="344"/>
      <c r="V633" s="344"/>
      <c r="W633" s="344"/>
      <c r="X633" s="344"/>
      <c r="Y633" s="344"/>
      <c r="Z633" s="344"/>
      <c r="AA633" s="344"/>
      <c r="AB633" s="344"/>
      <c r="AC633" s="344"/>
    </row>
    <row r="634" ht="24.75" customHeight="1">
      <c r="A634" s="344"/>
      <c r="B634" s="346"/>
      <c r="C634" s="344"/>
      <c r="D634" s="344"/>
      <c r="E634" s="344"/>
      <c r="F634" s="344"/>
      <c r="G634" s="344"/>
      <c r="H634" s="344"/>
      <c r="I634" s="344"/>
      <c r="J634" s="344"/>
      <c r="K634" s="344"/>
      <c r="L634" s="344"/>
      <c r="M634" s="344"/>
      <c r="N634" s="344"/>
      <c r="O634" s="344"/>
      <c r="P634" s="346"/>
      <c r="Q634" s="344"/>
      <c r="R634" s="344"/>
      <c r="S634" s="344"/>
      <c r="T634" s="344"/>
      <c r="U634" s="344"/>
      <c r="V634" s="344"/>
      <c r="W634" s="344"/>
      <c r="X634" s="344"/>
      <c r="Y634" s="344"/>
      <c r="Z634" s="344"/>
      <c r="AA634" s="344"/>
      <c r="AB634" s="344"/>
      <c r="AC634" s="344"/>
    </row>
    <row r="635" ht="24.75" customHeight="1">
      <c r="A635" s="344"/>
      <c r="B635" s="346"/>
      <c r="C635" s="344"/>
      <c r="D635" s="344"/>
      <c r="E635" s="344"/>
      <c r="F635" s="344"/>
      <c r="G635" s="344"/>
      <c r="H635" s="344"/>
      <c r="I635" s="344"/>
      <c r="J635" s="344"/>
      <c r="K635" s="344"/>
      <c r="L635" s="344"/>
      <c r="M635" s="344"/>
      <c r="N635" s="344"/>
      <c r="O635" s="344"/>
      <c r="P635" s="346"/>
      <c r="Q635" s="344"/>
      <c r="R635" s="344"/>
      <c r="S635" s="344"/>
      <c r="T635" s="344"/>
      <c r="U635" s="344"/>
      <c r="V635" s="344"/>
      <c r="W635" s="344"/>
      <c r="X635" s="344"/>
      <c r="Y635" s="344"/>
      <c r="Z635" s="344"/>
      <c r="AA635" s="344"/>
      <c r="AB635" s="344"/>
      <c r="AC635" s="344"/>
    </row>
    <row r="636" ht="24.75" customHeight="1">
      <c r="A636" s="344"/>
      <c r="B636" s="346"/>
      <c r="C636" s="344"/>
      <c r="D636" s="344"/>
      <c r="E636" s="344"/>
      <c r="F636" s="344"/>
      <c r="G636" s="344"/>
      <c r="H636" s="344"/>
      <c r="I636" s="344"/>
      <c r="J636" s="344"/>
      <c r="K636" s="344"/>
      <c r="L636" s="344"/>
      <c r="M636" s="344"/>
      <c r="N636" s="344"/>
      <c r="O636" s="344"/>
      <c r="P636" s="346"/>
      <c r="Q636" s="344"/>
      <c r="R636" s="344"/>
      <c r="S636" s="344"/>
      <c r="T636" s="344"/>
      <c r="U636" s="344"/>
      <c r="V636" s="344"/>
      <c r="W636" s="344"/>
      <c r="X636" s="344"/>
      <c r="Y636" s="344"/>
      <c r="Z636" s="344"/>
      <c r="AA636" s="344"/>
      <c r="AB636" s="344"/>
      <c r="AC636" s="344"/>
    </row>
    <row r="637" ht="24.75" customHeight="1">
      <c r="A637" s="344"/>
      <c r="B637" s="346"/>
      <c r="C637" s="344"/>
      <c r="D637" s="344"/>
      <c r="E637" s="344"/>
      <c r="F637" s="344"/>
      <c r="G637" s="344"/>
      <c r="H637" s="344"/>
      <c r="I637" s="344"/>
      <c r="J637" s="344"/>
      <c r="K637" s="344"/>
      <c r="L637" s="344"/>
      <c r="M637" s="344"/>
      <c r="N637" s="344"/>
      <c r="O637" s="344"/>
      <c r="P637" s="346"/>
      <c r="Q637" s="344"/>
      <c r="R637" s="344"/>
      <c r="S637" s="344"/>
      <c r="T637" s="344"/>
      <c r="U637" s="344"/>
      <c r="V637" s="344"/>
      <c r="W637" s="344"/>
      <c r="X637" s="344"/>
      <c r="Y637" s="344"/>
      <c r="Z637" s="344"/>
      <c r="AA637" s="344"/>
      <c r="AB637" s="344"/>
      <c r="AC637" s="344"/>
    </row>
    <row r="638" ht="24.75" customHeight="1">
      <c r="A638" s="344"/>
      <c r="B638" s="346"/>
      <c r="C638" s="344"/>
      <c r="D638" s="344"/>
      <c r="E638" s="344"/>
      <c r="F638" s="344"/>
      <c r="G638" s="344"/>
      <c r="H638" s="344"/>
      <c r="I638" s="344"/>
      <c r="J638" s="344"/>
      <c r="K638" s="344"/>
      <c r="L638" s="344"/>
      <c r="M638" s="344"/>
      <c r="N638" s="344"/>
      <c r="O638" s="344"/>
      <c r="P638" s="346"/>
      <c r="Q638" s="344"/>
      <c r="R638" s="344"/>
      <c r="S638" s="344"/>
      <c r="T638" s="344"/>
      <c r="U638" s="344"/>
      <c r="V638" s="344"/>
      <c r="W638" s="344"/>
      <c r="X638" s="344"/>
      <c r="Y638" s="344"/>
      <c r="Z638" s="344"/>
      <c r="AA638" s="344"/>
      <c r="AB638" s="344"/>
      <c r="AC638" s="344"/>
    </row>
    <row r="639" ht="24.75" customHeight="1">
      <c r="A639" s="344"/>
      <c r="B639" s="346"/>
      <c r="C639" s="344"/>
      <c r="D639" s="344"/>
      <c r="E639" s="344"/>
      <c r="F639" s="344"/>
      <c r="G639" s="344"/>
      <c r="H639" s="344"/>
      <c r="I639" s="344"/>
      <c r="J639" s="344"/>
      <c r="K639" s="344"/>
      <c r="L639" s="344"/>
      <c r="M639" s="344"/>
      <c r="N639" s="344"/>
      <c r="O639" s="344"/>
      <c r="P639" s="346"/>
      <c r="Q639" s="344"/>
      <c r="R639" s="344"/>
      <c r="S639" s="344"/>
      <c r="T639" s="344"/>
      <c r="U639" s="344"/>
      <c r="V639" s="344"/>
      <c r="W639" s="344"/>
      <c r="X639" s="344"/>
      <c r="Y639" s="344"/>
      <c r="Z639" s="344"/>
      <c r="AA639" s="344"/>
      <c r="AB639" s="344"/>
      <c r="AC639" s="344"/>
    </row>
    <row r="640" ht="24.75" customHeight="1">
      <c r="A640" s="344"/>
      <c r="B640" s="346"/>
      <c r="C640" s="344"/>
      <c r="D640" s="344"/>
      <c r="E640" s="344"/>
      <c r="F640" s="344"/>
      <c r="G640" s="344"/>
      <c r="H640" s="344"/>
      <c r="I640" s="344"/>
      <c r="J640" s="344"/>
      <c r="K640" s="344"/>
      <c r="L640" s="344"/>
      <c r="M640" s="344"/>
      <c r="N640" s="344"/>
      <c r="O640" s="344"/>
      <c r="P640" s="346"/>
      <c r="Q640" s="344"/>
      <c r="R640" s="344"/>
      <c r="S640" s="344"/>
      <c r="T640" s="344"/>
      <c r="U640" s="344"/>
      <c r="V640" s="344"/>
      <c r="W640" s="344"/>
      <c r="X640" s="344"/>
      <c r="Y640" s="344"/>
      <c r="Z640" s="344"/>
      <c r="AA640" s="344"/>
      <c r="AB640" s="344"/>
      <c r="AC640" s="344"/>
    </row>
    <row r="641" ht="24.75" customHeight="1">
      <c r="A641" s="344"/>
      <c r="B641" s="346"/>
      <c r="C641" s="344"/>
      <c r="D641" s="344"/>
      <c r="E641" s="344"/>
      <c r="F641" s="344"/>
      <c r="G641" s="344"/>
      <c r="H641" s="344"/>
      <c r="I641" s="344"/>
      <c r="J641" s="344"/>
      <c r="K641" s="344"/>
      <c r="L641" s="344"/>
      <c r="M641" s="344"/>
      <c r="N641" s="344"/>
      <c r="O641" s="344"/>
      <c r="P641" s="346"/>
      <c r="Q641" s="344"/>
      <c r="R641" s="344"/>
      <c r="S641" s="344"/>
      <c r="T641" s="344"/>
      <c r="U641" s="344"/>
      <c r="V641" s="344"/>
      <c r="W641" s="344"/>
      <c r="X641" s="344"/>
      <c r="Y641" s="344"/>
      <c r="Z641" s="344"/>
      <c r="AA641" s="344"/>
      <c r="AB641" s="344"/>
      <c r="AC641" s="344"/>
    </row>
    <row r="642" ht="24.75" customHeight="1">
      <c r="A642" s="344"/>
      <c r="B642" s="346"/>
      <c r="C642" s="344"/>
      <c r="D642" s="344"/>
      <c r="E642" s="344"/>
      <c r="F642" s="344"/>
      <c r="G642" s="344"/>
      <c r="H642" s="344"/>
      <c r="I642" s="344"/>
      <c r="J642" s="344"/>
      <c r="K642" s="344"/>
      <c r="L642" s="344"/>
      <c r="M642" s="344"/>
      <c r="N642" s="344"/>
      <c r="O642" s="344"/>
      <c r="P642" s="346"/>
      <c r="Q642" s="344"/>
      <c r="R642" s="344"/>
      <c r="S642" s="344"/>
      <c r="T642" s="344"/>
      <c r="U642" s="344"/>
      <c r="V642" s="344"/>
      <c r="W642" s="344"/>
      <c r="X642" s="344"/>
      <c r="Y642" s="344"/>
      <c r="Z642" s="344"/>
      <c r="AA642" s="344"/>
      <c r="AB642" s="344"/>
      <c r="AC642" s="344"/>
    </row>
    <row r="643" ht="24.75" customHeight="1">
      <c r="A643" s="344"/>
      <c r="B643" s="346"/>
      <c r="C643" s="344"/>
      <c r="D643" s="344"/>
      <c r="E643" s="344"/>
      <c r="F643" s="344"/>
      <c r="G643" s="344"/>
      <c r="H643" s="344"/>
      <c r="I643" s="344"/>
      <c r="J643" s="344"/>
      <c r="K643" s="344"/>
      <c r="L643" s="344"/>
      <c r="M643" s="344"/>
      <c r="N643" s="344"/>
      <c r="O643" s="344"/>
      <c r="P643" s="346"/>
      <c r="Q643" s="344"/>
      <c r="R643" s="344"/>
      <c r="S643" s="344"/>
      <c r="T643" s="344"/>
      <c r="U643" s="344"/>
      <c r="V643" s="344"/>
      <c r="W643" s="344"/>
      <c r="X643" s="344"/>
      <c r="Y643" s="344"/>
      <c r="Z643" s="344"/>
      <c r="AA643" s="344"/>
      <c r="AB643" s="344"/>
      <c r="AC643" s="344"/>
    </row>
    <row r="644" ht="24.75" customHeight="1">
      <c r="A644" s="344"/>
      <c r="B644" s="346"/>
      <c r="C644" s="344"/>
      <c r="D644" s="344"/>
      <c r="E644" s="344"/>
      <c r="F644" s="344"/>
      <c r="G644" s="344"/>
      <c r="H644" s="344"/>
      <c r="I644" s="344"/>
      <c r="J644" s="344"/>
      <c r="K644" s="344"/>
      <c r="L644" s="344"/>
      <c r="M644" s="344"/>
      <c r="N644" s="344"/>
      <c r="O644" s="344"/>
      <c r="P644" s="346"/>
      <c r="Q644" s="344"/>
      <c r="R644" s="344"/>
      <c r="S644" s="344"/>
      <c r="T644" s="344"/>
      <c r="U644" s="344"/>
      <c r="V644" s="344"/>
      <c r="W644" s="344"/>
      <c r="X644" s="344"/>
      <c r="Y644" s="344"/>
      <c r="Z644" s="344"/>
      <c r="AA644" s="344"/>
      <c r="AB644" s="344"/>
      <c r="AC644" s="344"/>
    </row>
    <row r="645" ht="24.75" customHeight="1">
      <c r="A645" s="344"/>
      <c r="B645" s="346"/>
      <c r="C645" s="344"/>
      <c r="D645" s="344"/>
      <c r="E645" s="344"/>
      <c r="F645" s="344"/>
      <c r="G645" s="344"/>
      <c r="H645" s="344"/>
      <c r="I645" s="344"/>
      <c r="J645" s="344"/>
      <c r="K645" s="344"/>
      <c r="L645" s="344"/>
      <c r="M645" s="344"/>
      <c r="N645" s="344"/>
      <c r="O645" s="344"/>
      <c r="P645" s="346"/>
      <c r="Q645" s="344"/>
      <c r="R645" s="344"/>
      <c r="S645" s="344"/>
      <c r="T645" s="344"/>
      <c r="U645" s="344"/>
      <c r="V645" s="344"/>
      <c r="W645" s="344"/>
      <c r="X645" s="344"/>
      <c r="Y645" s="344"/>
      <c r="Z645" s="344"/>
      <c r="AA645" s="344"/>
      <c r="AB645" s="344"/>
      <c r="AC645" s="344"/>
    </row>
    <row r="646" ht="24.75" customHeight="1">
      <c r="A646" s="344"/>
      <c r="B646" s="346"/>
      <c r="C646" s="344"/>
      <c r="D646" s="344"/>
      <c r="E646" s="344"/>
      <c r="F646" s="344"/>
      <c r="G646" s="344"/>
      <c r="H646" s="344"/>
      <c r="I646" s="344"/>
      <c r="J646" s="344"/>
      <c r="K646" s="344"/>
      <c r="L646" s="344"/>
      <c r="M646" s="344"/>
      <c r="N646" s="344"/>
      <c r="O646" s="344"/>
      <c r="P646" s="346"/>
      <c r="Q646" s="344"/>
      <c r="R646" s="344"/>
      <c r="S646" s="344"/>
      <c r="T646" s="344"/>
      <c r="U646" s="344"/>
      <c r="V646" s="344"/>
      <c r="W646" s="344"/>
      <c r="X646" s="344"/>
      <c r="Y646" s="344"/>
      <c r="Z646" s="344"/>
      <c r="AA646" s="344"/>
      <c r="AB646" s="344"/>
      <c r="AC646" s="344"/>
    </row>
    <row r="647" ht="24.75" customHeight="1">
      <c r="A647" s="344"/>
      <c r="B647" s="346"/>
      <c r="C647" s="344"/>
      <c r="D647" s="344"/>
      <c r="E647" s="344"/>
      <c r="F647" s="344"/>
      <c r="G647" s="344"/>
      <c r="H647" s="344"/>
      <c r="I647" s="344"/>
      <c r="J647" s="344"/>
      <c r="K647" s="344"/>
      <c r="L647" s="344"/>
      <c r="M647" s="344"/>
      <c r="N647" s="344"/>
      <c r="O647" s="344"/>
      <c r="P647" s="346"/>
      <c r="Q647" s="344"/>
      <c r="R647" s="344"/>
      <c r="S647" s="344"/>
      <c r="T647" s="344"/>
      <c r="U647" s="344"/>
      <c r="V647" s="344"/>
      <c r="W647" s="344"/>
      <c r="X647" s="344"/>
      <c r="Y647" s="344"/>
      <c r="Z647" s="344"/>
      <c r="AA647" s="344"/>
      <c r="AB647" s="344"/>
      <c r="AC647" s="344"/>
    </row>
    <row r="648" ht="24.75" customHeight="1">
      <c r="A648" s="344"/>
      <c r="B648" s="346"/>
      <c r="C648" s="344"/>
      <c r="D648" s="344"/>
      <c r="E648" s="344"/>
      <c r="F648" s="344"/>
      <c r="G648" s="344"/>
      <c r="H648" s="344"/>
      <c r="I648" s="344"/>
      <c r="J648" s="344"/>
      <c r="K648" s="344"/>
      <c r="L648" s="344"/>
      <c r="M648" s="344"/>
      <c r="N648" s="344"/>
      <c r="O648" s="344"/>
      <c r="P648" s="346"/>
      <c r="Q648" s="344"/>
      <c r="R648" s="344"/>
      <c r="S648" s="344"/>
      <c r="T648" s="344"/>
      <c r="U648" s="344"/>
      <c r="V648" s="344"/>
      <c r="W648" s="344"/>
      <c r="X648" s="344"/>
      <c r="Y648" s="344"/>
      <c r="Z648" s="344"/>
      <c r="AA648" s="344"/>
      <c r="AB648" s="344"/>
      <c r="AC648" s="344"/>
    </row>
    <row r="649" ht="24.75" customHeight="1">
      <c r="A649" s="344"/>
      <c r="B649" s="346"/>
      <c r="C649" s="344"/>
      <c r="D649" s="344"/>
      <c r="E649" s="344"/>
      <c r="F649" s="344"/>
      <c r="G649" s="344"/>
      <c r="H649" s="344"/>
      <c r="I649" s="344"/>
      <c r="J649" s="344"/>
      <c r="K649" s="344"/>
      <c r="L649" s="344"/>
      <c r="M649" s="344"/>
      <c r="N649" s="344"/>
      <c r="O649" s="344"/>
      <c r="P649" s="346"/>
      <c r="Q649" s="344"/>
      <c r="R649" s="344"/>
      <c r="S649" s="344"/>
      <c r="T649" s="344"/>
      <c r="U649" s="344"/>
      <c r="V649" s="344"/>
      <c r="W649" s="344"/>
      <c r="X649" s="344"/>
      <c r="Y649" s="344"/>
      <c r="Z649" s="344"/>
      <c r="AA649" s="344"/>
      <c r="AB649" s="344"/>
      <c r="AC649" s="344"/>
    </row>
    <row r="650" ht="24.75" customHeight="1">
      <c r="A650" s="344"/>
      <c r="B650" s="346"/>
      <c r="C650" s="344"/>
      <c r="D650" s="344"/>
      <c r="E650" s="344"/>
      <c r="F650" s="344"/>
      <c r="G650" s="344"/>
      <c r="H650" s="344"/>
      <c r="I650" s="344"/>
      <c r="J650" s="344"/>
      <c r="K650" s="344"/>
      <c r="L650" s="344"/>
      <c r="M650" s="344"/>
      <c r="N650" s="344"/>
      <c r="O650" s="344"/>
      <c r="P650" s="346"/>
      <c r="Q650" s="344"/>
      <c r="R650" s="344"/>
      <c r="S650" s="344"/>
      <c r="T650" s="344"/>
      <c r="U650" s="344"/>
      <c r="V650" s="344"/>
      <c r="W650" s="344"/>
      <c r="X650" s="344"/>
      <c r="Y650" s="344"/>
      <c r="Z650" s="344"/>
      <c r="AA650" s="344"/>
      <c r="AB650" s="344"/>
      <c r="AC650" s="344"/>
    </row>
    <row r="651" ht="24.75" customHeight="1">
      <c r="A651" s="344"/>
      <c r="B651" s="346"/>
      <c r="C651" s="344"/>
      <c r="D651" s="344"/>
      <c r="E651" s="344"/>
      <c r="F651" s="344"/>
      <c r="G651" s="344"/>
      <c r="H651" s="344"/>
      <c r="I651" s="344"/>
      <c r="J651" s="344"/>
      <c r="K651" s="344"/>
      <c r="L651" s="344"/>
      <c r="M651" s="344"/>
      <c r="N651" s="344"/>
      <c r="O651" s="344"/>
      <c r="P651" s="346"/>
      <c r="Q651" s="344"/>
      <c r="R651" s="344"/>
      <c r="S651" s="344"/>
      <c r="T651" s="344"/>
      <c r="U651" s="344"/>
      <c r="V651" s="344"/>
      <c r="W651" s="344"/>
      <c r="X651" s="344"/>
      <c r="Y651" s="344"/>
      <c r="Z651" s="344"/>
      <c r="AA651" s="344"/>
      <c r="AB651" s="344"/>
      <c r="AC651" s="344"/>
    </row>
    <row r="652" ht="24.75" customHeight="1">
      <c r="A652" s="344"/>
      <c r="B652" s="346"/>
      <c r="C652" s="344"/>
      <c r="D652" s="344"/>
      <c r="E652" s="344"/>
      <c r="F652" s="344"/>
      <c r="G652" s="344"/>
      <c r="H652" s="344"/>
      <c r="I652" s="344"/>
      <c r="J652" s="344"/>
      <c r="K652" s="344"/>
      <c r="L652" s="344"/>
      <c r="M652" s="344"/>
      <c r="N652" s="344"/>
      <c r="O652" s="344"/>
      <c r="P652" s="346"/>
      <c r="Q652" s="344"/>
      <c r="R652" s="344"/>
      <c r="S652" s="344"/>
      <c r="T652" s="344"/>
      <c r="U652" s="344"/>
      <c r="V652" s="344"/>
      <c r="W652" s="344"/>
      <c r="X652" s="344"/>
      <c r="Y652" s="344"/>
      <c r="Z652" s="344"/>
      <c r="AA652" s="344"/>
      <c r="AB652" s="344"/>
      <c r="AC652" s="344"/>
    </row>
    <row r="653" ht="24.75" customHeight="1">
      <c r="A653" s="344"/>
      <c r="B653" s="346"/>
      <c r="C653" s="344"/>
      <c r="D653" s="344"/>
      <c r="E653" s="344"/>
      <c r="F653" s="344"/>
      <c r="G653" s="344"/>
      <c r="H653" s="344"/>
      <c r="I653" s="344"/>
      <c r="J653" s="344"/>
      <c r="K653" s="344"/>
      <c r="L653" s="344"/>
      <c r="M653" s="344"/>
      <c r="N653" s="344"/>
      <c r="O653" s="344"/>
      <c r="P653" s="346"/>
      <c r="Q653" s="344"/>
      <c r="R653" s="344"/>
      <c r="S653" s="344"/>
      <c r="T653" s="344"/>
      <c r="U653" s="344"/>
      <c r="V653" s="344"/>
      <c r="W653" s="344"/>
      <c r="X653" s="344"/>
      <c r="Y653" s="344"/>
      <c r="Z653" s="344"/>
      <c r="AA653" s="344"/>
      <c r="AB653" s="344"/>
      <c r="AC653" s="344"/>
    </row>
    <row r="654" ht="24.75" customHeight="1">
      <c r="A654" s="344"/>
      <c r="B654" s="346"/>
      <c r="C654" s="344"/>
      <c r="D654" s="344"/>
      <c r="E654" s="344"/>
      <c r="F654" s="344"/>
      <c r="G654" s="344"/>
      <c r="H654" s="344"/>
      <c r="I654" s="344"/>
      <c r="J654" s="344"/>
      <c r="K654" s="344"/>
      <c r="L654" s="344"/>
      <c r="M654" s="344"/>
      <c r="N654" s="344"/>
      <c r="O654" s="344"/>
      <c r="P654" s="346"/>
      <c r="Q654" s="344"/>
      <c r="R654" s="344"/>
      <c r="S654" s="344"/>
      <c r="T654" s="344"/>
      <c r="U654" s="344"/>
      <c r="V654" s="344"/>
      <c r="W654" s="344"/>
      <c r="X654" s="344"/>
      <c r="Y654" s="344"/>
      <c r="Z654" s="344"/>
      <c r="AA654" s="344"/>
      <c r="AB654" s="344"/>
      <c r="AC654" s="344"/>
    </row>
    <row r="655" ht="24.75" customHeight="1">
      <c r="A655" s="344"/>
      <c r="B655" s="346"/>
      <c r="C655" s="344"/>
      <c r="D655" s="344"/>
      <c r="E655" s="344"/>
      <c r="F655" s="344"/>
      <c r="G655" s="344"/>
      <c r="H655" s="344"/>
      <c r="I655" s="344"/>
      <c r="J655" s="344"/>
      <c r="K655" s="344"/>
      <c r="L655" s="344"/>
      <c r="M655" s="344"/>
      <c r="N655" s="344"/>
      <c r="O655" s="344"/>
      <c r="P655" s="346"/>
      <c r="Q655" s="344"/>
      <c r="R655" s="344"/>
      <c r="S655" s="344"/>
      <c r="T655" s="344"/>
      <c r="U655" s="344"/>
      <c r="V655" s="344"/>
      <c r="W655" s="344"/>
      <c r="X655" s="344"/>
      <c r="Y655" s="344"/>
      <c r="Z655" s="344"/>
      <c r="AA655" s="344"/>
      <c r="AB655" s="344"/>
      <c r="AC655" s="344"/>
    </row>
    <row r="656" ht="24.75" customHeight="1">
      <c r="A656" s="344"/>
      <c r="B656" s="346"/>
      <c r="C656" s="344"/>
      <c r="D656" s="344"/>
      <c r="E656" s="344"/>
      <c r="F656" s="344"/>
      <c r="G656" s="344"/>
      <c r="H656" s="344"/>
      <c r="I656" s="344"/>
      <c r="J656" s="344"/>
      <c r="K656" s="344"/>
      <c r="L656" s="344"/>
      <c r="M656" s="344"/>
      <c r="N656" s="344"/>
      <c r="O656" s="344"/>
      <c r="P656" s="346"/>
      <c r="Q656" s="344"/>
      <c r="R656" s="344"/>
      <c r="S656" s="344"/>
      <c r="T656" s="344"/>
      <c r="U656" s="344"/>
      <c r="V656" s="344"/>
      <c r="W656" s="344"/>
      <c r="X656" s="344"/>
      <c r="Y656" s="344"/>
      <c r="Z656" s="344"/>
      <c r="AA656" s="344"/>
      <c r="AB656" s="344"/>
      <c r="AC656" s="344"/>
    </row>
    <row r="657" ht="24.75" customHeight="1">
      <c r="A657" s="344"/>
      <c r="B657" s="346"/>
      <c r="C657" s="344"/>
      <c r="D657" s="344"/>
      <c r="E657" s="344"/>
      <c r="F657" s="344"/>
      <c r="G657" s="344"/>
      <c r="H657" s="344"/>
      <c r="I657" s="344"/>
      <c r="J657" s="344"/>
      <c r="K657" s="344"/>
      <c r="L657" s="344"/>
      <c r="M657" s="344"/>
      <c r="N657" s="344"/>
      <c r="O657" s="344"/>
      <c r="P657" s="346"/>
      <c r="Q657" s="344"/>
      <c r="R657" s="344"/>
      <c r="S657" s="344"/>
      <c r="T657" s="344"/>
      <c r="U657" s="344"/>
      <c r="V657" s="344"/>
      <c r="W657" s="344"/>
      <c r="X657" s="344"/>
      <c r="Y657" s="344"/>
      <c r="Z657" s="344"/>
      <c r="AA657" s="344"/>
      <c r="AB657" s="344"/>
      <c r="AC657" s="344"/>
    </row>
    <row r="658" ht="24.75" customHeight="1">
      <c r="A658" s="344"/>
      <c r="B658" s="346"/>
      <c r="C658" s="344"/>
      <c r="D658" s="344"/>
      <c r="E658" s="344"/>
      <c r="F658" s="344"/>
      <c r="G658" s="344"/>
      <c r="H658" s="344"/>
      <c r="I658" s="344"/>
      <c r="J658" s="344"/>
      <c r="K658" s="344"/>
      <c r="L658" s="344"/>
      <c r="M658" s="344"/>
      <c r="N658" s="344"/>
      <c r="O658" s="344"/>
      <c r="P658" s="346"/>
      <c r="Q658" s="344"/>
      <c r="R658" s="344"/>
      <c r="S658" s="344"/>
      <c r="T658" s="344"/>
      <c r="U658" s="344"/>
      <c r="V658" s="344"/>
      <c r="W658" s="344"/>
      <c r="X658" s="344"/>
      <c r="Y658" s="344"/>
      <c r="Z658" s="344"/>
      <c r="AA658" s="344"/>
      <c r="AB658" s="344"/>
      <c r="AC658" s="344"/>
    </row>
    <row r="659" ht="24.75" customHeight="1">
      <c r="A659" s="344"/>
      <c r="B659" s="346"/>
      <c r="C659" s="344"/>
      <c r="D659" s="344"/>
      <c r="E659" s="344"/>
      <c r="F659" s="344"/>
      <c r="G659" s="344"/>
      <c r="H659" s="344"/>
      <c r="I659" s="344"/>
      <c r="J659" s="344"/>
      <c r="K659" s="344"/>
      <c r="L659" s="344"/>
      <c r="M659" s="344"/>
      <c r="N659" s="344"/>
      <c r="O659" s="344"/>
      <c r="P659" s="346"/>
      <c r="Q659" s="344"/>
      <c r="R659" s="344"/>
      <c r="S659" s="344"/>
      <c r="T659" s="344"/>
      <c r="U659" s="344"/>
      <c r="V659" s="344"/>
      <c r="W659" s="344"/>
      <c r="X659" s="344"/>
      <c r="Y659" s="344"/>
      <c r="Z659" s="344"/>
      <c r="AA659" s="344"/>
      <c r="AB659" s="344"/>
      <c r="AC659" s="344"/>
    </row>
    <row r="660" ht="24.75" customHeight="1">
      <c r="A660" s="344"/>
      <c r="B660" s="346"/>
      <c r="C660" s="344"/>
      <c r="D660" s="344"/>
      <c r="E660" s="344"/>
      <c r="F660" s="344"/>
      <c r="G660" s="344"/>
      <c r="H660" s="344"/>
      <c r="I660" s="344"/>
      <c r="J660" s="344"/>
      <c r="K660" s="344"/>
      <c r="L660" s="344"/>
      <c r="M660" s="344"/>
      <c r="N660" s="344"/>
      <c r="O660" s="344"/>
      <c r="P660" s="346"/>
      <c r="Q660" s="344"/>
      <c r="R660" s="344"/>
      <c r="S660" s="344"/>
      <c r="T660" s="344"/>
      <c r="U660" s="344"/>
      <c r="V660" s="344"/>
      <c r="W660" s="344"/>
      <c r="X660" s="344"/>
      <c r="Y660" s="344"/>
      <c r="Z660" s="344"/>
      <c r="AA660" s="344"/>
      <c r="AB660" s="344"/>
      <c r="AC660" s="344"/>
    </row>
    <row r="661" ht="24.75" customHeight="1">
      <c r="A661" s="344"/>
      <c r="B661" s="346"/>
      <c r="C661" s="344"/>
      <c r="D661" s="344"/>
      <c r="E661" s="344"/>
      <c r="F661" s="344"/>
      <c r="G661" s="344"/>
      <c r="H661" s="344"/>
      <c r="I661" s="344"/>
      <c r="J661" s="344"/>
      <c r="K661" s="344"/>
      <c r="L661" s="344"/>
      <c r="M661" s="344"/>
      <c r="N661" s="344"/>
      <c r="O661" s="344"/>
      <c r="P661" s="346"/>
      <c r="Q661" s="344"/>
      <c r="R661" s="344"/>
      <c r="S661" s="344"/>
      <c r="T661" s="344"/>
      <c r="U661" s="344"/>
      <c r="V661" s="344"/>
      <c r="W661" s="344"/>
      <c r="X661" s="344"/>
      <c r="Y661" s="344"/>
      <c r="Z661" s="344"/>
      <c r="AA661" s="344"/>
      <c r="AB661" s="344"/>
      <c r="AC661" s="344"/>
    </row>
    <row r="662" ht="24.75" customHeight="1">
      <c r="A662" s="344"/>
      <c r="B662" s="346"/>
      <c r="C662" s="344"/>
      <c r="D662" s="344"/>
      <c r="E662" s="344"/>
      <c r="F662" s="344"/>
      <c r="G662" s="344"/>
      <c r="H662" s="344"/>
      <c r="I662" s="344"/>
      <c r="J662" s="344"/>
      <c r="K662" s="344"/>
      <c r="L662" s="344"/>
      <c r="M662" s="344"/>
      <c r="N662" s="344"/>
      <c r="O662" s="344"/>
      <c r="P662" s="346"/>
      <c r="Q662" s="344"/>
      <c r="R662" s="344"/>
      <c r="S662" s="344"/>
      <c r="T662" s="344"/>
      <c r="U662" s="344"/>
      <c r="V662" s="344"/>
      <c r="W662" s="344"/>
      <c r="X662" s="344"/>
      <c r="Y662" s="344"/>
      <c r="Z662" s="344"/>
      <c r="AA662" s="344"/>
      <c r="AB662" s="344"/>
      <c r="AC662" s="344"/>
    </row>
    <row r="663" ht="24.75" customHeight="1">
      <c r="A663" s="344"/>
      <c r="B663" s="346"/>
      <c r="C663" s="344"/>
      <c r="D663" s="344"/>
      <c r="E663" s="344"/>
      <c r="F663" s="344"/>
      <c r="G663" s="344"/>
      <c r="H663" s="344"/>
      <c r="I663" s="344"/>
      <c r="J663" s="344"/>
      <c r="K663" s="344"/>
      <c r="L663" s="344"/>
      <c r="M663" s="344"/>
      <c r="N663" s="344"/>
      <c r="O663" s="344"/>
      <c r="P663" s="346"/>
      <c r="Q663" s="344"/>
      <c r="R663" s="344"/>
      <c r="S663" s="344"/>
      <c r="T663" s="344"/>
      <c r="U663" s="344"/>
      <c r="V663" s="344"/>
      <c r="W663" s="344"/>
      <c r="X663" s="344"/>
      <c r="Y663" s="344"/>
      <c r="Z663" s="344"/>
      <c r="AA663" s="344"/>
      <c r="AB663" s="344"/>
      <c r="AC663" s="344"/>
    </row>
    <row r="664" ht="24.75" customHeight="1">
      <c r="A664" s="344"/>
      <c r="B664" s="346"/>
      <c r="C664" s="344"/>
      <c r="D664" s="344"/>
      <c r="E664" s="344"/>
      <c r="F664" s="344"/>
      <c r="G664" s="344"/>
      <c r="H664" s="344"/>
      <c r="I664" s="344"/>
      <c r="J664" s="344"/>
      <c r="K664" s="344"/>
      <c r="L664" s="344"/>
      <c r="M664" s="344"/>
      <c r="N664" s="344"/>
      <c r="O664" s="344"/>
      <c r="P664" s="346"/>
      <c r="Q664" s="344"/>
      <c r="R664" s="344"/>
      <c r="S664" s="344"/>
      <c r="T664" s="344"/>
      <c r="U664" s="344"/>
      <c r="V664" s="344"/>
      <c r="W664" s="344"/>
      <c r="X664" s="344"/>
      <c r="Y664" s="344"/>
      <c r="Z664" s="344"/>
      <c r="AA664" s="344"/>
      <c r="AB664" s="344"/>
      <c r="AC664" s="344"/>
    </row>
    <row r="665" ht="24.75" customHeight="1">
      <c r="A665" s="344"/>
      <c r="B665" s="346"/>
      <c r="C665" s="344"/>
      <c r="D665" s="344"/>
      <c r="E665" s="344"/>
      <c r="F665" s="344"/>
      <c r="G665" s="344"/>
      <c r="H665" s="344"/>
      <c r="I665" s="344"/>
      <c r="J665" s="344"/>
      <c r="K665" s="344"/>
      <c r="L665" s="344"/>
      <c r="M665" s="344"/>
      <c r="N665" s="344"/>
      <c r="O665" s="344"/>
      <c r="P665" s="346"/>
      <c r="Q665" s="344"/>
      <c r="R665" s="344"/>
      <c r="S665" s="344"/>
      <c r="T665" s="344"/>
      <c r="U665" s="344"/>
      <c r="V665" s="344"/>
      <c r="W665" s="344"/>
      <c r="X665" s="344"/>
      <c r="Y665" s="344"/>
      <c r="Z665" s="344"/>
      <c r="AA665" s="344"/>
      <c r="AB665" s="344"/>
      <c r="AC665" s="344"/>
    </row>
    <row r="666" ht="24.75" customHeight="1">
      <c r="A666" s="344"/>
      <c r="B666" s="346"/>
      <c r="C666" s="344"/>
      <c r="D666" s="344"/>
      <c r="E666" s="344"/>
      <c r="F666" s="344"/>
      <c r="G666" s="344"/>
      <c r="H666" s="344"/>
      <c r="I666" s="344"/>
      <c r="J666" s="344"/>
      <c r="K666" s="344"/>
      <c r="L666" s="344"/>
      <c r="M666" s="344"/>
      <c r="N666" s="344"/>
      <c r="O666" s="344"/>
      <c r="P666" s="346"/>
      <c r="Q666" s="344"/>
      <c r="R666" s="344"/>
      <c r="S666" s="344"/>
      <c r="T666" s="344"/>
      <c r="U666" s="344"/>
      <c r="V666" s="344"/>
      <c r="W666" s="344"/>
      <c r="X666" s="344"/>
      <c r="Y666" s="344"/>
      <c r="Z666" s="344"/>
      <c r="AA666" s="344"/>
      <c r="AB666" s="344"/>
      <c r="AC666" s="344"/>
    </row>
    <row r="667" ht="24.75" customHeight="1">
      <c r="A667" s="344"/>
      <c r="B667" s="346"/>
      <c r="C667" s="344"/>
      <c r="D667" s="344"/>
      <c r="E667" s="344"/>
      <c r="F667" s="344"/>
      <c r="G667" s="344"/>
      <c r="H667" s="344"/>
      <c r="I667" s="344"/>
      <c r="J667" s="344"/>
      <c r="K667" s="344"/>
      <c r="L667" s="344"/>
      <c r="M667" s="344"/>
      <c r="N667" s="344"/>
      <c r="O667" s="344"/>
      <c r="P667" s="346"/>
      <c r="Q667" s="344"/>
      <c r="R667" s="344"/>
      <c r="S667" s="344"/>
      <c r="T667" s="344"/>
      <c r="U667" s="344"/>
      <c r="V667" s="344"/>
      <c r="W667" s="344"/>
      <c r="X667" s="344"/>
      <c r="Y667" s="344"/>
      <c r="Z667" s="344"/>
      <c r="AA667" s="344"/>
      <c r="AB667" s="344"/>
      <c r="AC667" s="344"/>
    </row>
    <row r="668" ht="24.75" customHeight="1">
      <c r="A668" s="344"/>
      <c r="B668" s="346"/>
      <c r="C668" s="344"/>
      <c r="D668" s="344"/>
      <c r="E668" s="344"/>
      <c r="F668" s="344"/>
      <c r="G668" s="344"/>
      <c r="H668" s="344"/>
      <c r="I668" s="344"/>
      <c r="J668" s="344"/>
      <c r="K668" s="344"/>
      <c r="L668" s="344"/>
      <c r="M668" s="344"/>
      <c r="N668" s="344"/>
      <c r="O668" s="344"/>
      <c r="P668" s="346"/>
      <c r="Q668" s="344"/>
      <c r="R668" s="344"/>
      <c r="S668" s="344"/>
      <c r="T668" s="344"/>
      <c r="U668" s="344"/>
      <c r="V668" s="344"/>
      <c r="W668" s="344"/>
      <c r="X668" s="344"/>
      <c r="Y668" s="344"/>
      <c r="Z668" s="344"/>
      <c r="AA668" s="344"/>
      <c r="AB668" s="344"/>
      <c r="AC668" s="344"/>
    </row>
    <row r="669" ht="24.75" customHeight="1">
      <c r="A669" s="344"/>
      <c r="B669" s="346"/>
      <c r="C669" s="344"/>
      <c r="D669" s="344"/>
      <c r="E669" s="344"/>
      <c r="F669" s="344"/>
      <c r="G669" s="344"/>
      <c r="H669" s="344"/>
      <c r="I669" s="344"/>
      <c r="J669" s="344"/>
      <c r="K669" s="344"/>
      <c r="L669" s="344"/>
      <c r="M669" s="344"/>
      <c r="N669" s="344"/>
      <c r="O669" s="344"/>
      <c r="P669" s="346"/>
      <c r="Q669" s="344"/>
      <c r="R669" s="344"/>
      <c r="S669" s="344"/>
      <c r="T669" s="344"/>
      <c r="U669" s="344"/>
      <c r="V669" s="344"/>
      <c r="W669" s="344"/>
      <c r="X669" s="344"/>
      <c r="Y669" s="344"/>
      <c r="Z669" s="344"/>
      <c r="AA669" s="344"/>
      <c r="AB669" s="344"/>
      <c r="AC669" s="344"/>
    </row>
    <row r="670" ht="24.75" customHeight="1">
      <c r="A670" s="344"/>
      <c r="B670" s="346"/>
      <c r="C670" s="344"/>
      <c r="D670" s="344"/>
      <c r="E670" s="344"/>
      <c r="F670" s="344"/>
      <c r="G670" s="344"/>
      <c r="H670" s="344"/>
      <c r="I670" s="344"/>
      <c r="J670" s="344"/>
      <c r="K670" s="344"/>
      <c r="L670" s="344"/>
      <c r="M670" s="344"/>
      <c r="N670" s="344"/>
      <c r="O670" s="344"/>
      <c r="P670" s="346"/>
      <c r="Q670" s="344"/>
      <c r="R670" s="344"/>
      <c r="S670" s="344"/>
      <c r="T670" s="344"/>
      <c r="U670" s="344"/>
      <c r="V670" s="344"/>
      <c r="W670" s="344"/>
      <c r="X670" s="344"/>
      <c r="Y670" s="344"/>
      <c r="Z670" s="344"/>
      <c r="AA670" s="344"/>
      <c r="AB670" s="344"/>
      <c r="AC670" s="344"/>
    </row>
    <row r="671" ht="24.75" customHeight="1">
      <c r="A671" s="344"/>
      <c r="B671" s="346"/>
      <c r="C671" s="344"/>
      <c r="D671" s="344"/>
      <c r="E671" s="344"/>
      <c r="F671" s="344"/>
      <c r="G671" s="344"/>
      <c r="H671" s="344"/>
      <c r="I671" s="344"/>
      <c r="J671" s="344"/>
      <c r="K671" s="344"/>
      <c r="L671" s="344"/>
      <c r="M671" s="344"/>
      <c r="N671" s="344"/>
      <c r="O671" s="344"/>
      <c r="P671" s="346"/>
      <c r="Q671" s="344"/>
      <c r="R671" s="344"/>
      <c r="S671" s="344"/>
      <c r="T671" s="344"/>
      <c r="U671" s="344"/>
      <c r="V671" s="344"/>
      <c r="W671" s="344"/>
      <c r="X671" s="344"/>
      <c r="Y671" s="344"/>
      <c r="Z671" s="344"/>
      <c r="AA671" s="344"/>
      <c r="AB671" s="344"/>
      <c r="AC671" s="344"/>
    </row>
    <row r="672" ht="24.75" customHeight="1">
      <c r="A672" s="344"/>
      <c r="B672" s="346"/>
      <c r="C672" s="344"/>
      <c r="D672" s="344"/>
      <c r="E672" s="344"/>
      <c r="F672" s="344"/>
      <c r="G672" s="344"/>
      <c r="H672" s="344"/>
      <c r="I672" s="344"/>
      <c r="J672" s="344"/>
      <c r="K672" s="344"/>
      <c r="L672" s="344"/>
      <c r="M672" s="344"/>
      <c r="N672" s="344"/>
      <c r="O672" s="344"/>
      <c r="P672" s="346"/>
      <c r="Q672" s="344"/>
      <c r="R672" s="344"/>
      <c r="S672" s="344"/>
      <c r="T672" s="344"/>
      <c r="U672" s="344"/>
      <c r="V672" s="344"/>
      <c r="W672" s="344"/>
      <c r="X672" s="344"/>
      <c r="Y672" s="344"/>
      <c r="Z672" s="344"/>
      <c r="AA672" s="344"/>
      <c r="AB672" s="344"/>
      <c r="AC672" s="344"/>
    </row>
    <row r="673" ht="24.75" customHeight="1">
      <c r="A673" s="344"/>
      <c r="B673" s="346"/>
      <c r="C673" s="344"/>
      <c r="D673" s="344"/>
      <c r="E673" s="344"/>
      <c r="F673" s="344"/>
      <c r="G673" s="344"/>
      <c r="H673" s="344"/>
      <c r="I673" s="344"/>
      <c r="J673" s="344"/>
      <c r="K673" s="344"/>
      <c r="L673" s="344"/>
      <c r="M673" s="344"/>
      <c r="N673" s="344"/>
      <c r="O673" s="344"/>
      <c r="P673" s="346"/>
      <c r="Q673" s="344"/>
      <c r="R673" s="344"/>
      <c r="S673" s="344"/>
      <c r="T673" s="344"/>
      <c r="U673" s="344"/>
      <c r="V673" s="344"/>
      <c r="W673" s="344"/>
      <c r="X673" s="344"/>
      <c r="Y673" s="344"/>
      <c r="Z673" s="344"/>
      <c r="AA673" s="344"/>
      <c r="AB673" s="344"/>
      <c r="AC673" s="344"/>
    </row>
    <row r="674" ht="24.75" customHeight="1">
      <c r="A674" s="344"/>
      <c r="B674" s="346"/>
      <c r="C674" s="344"/>
      <c r="D674" s="344"/>
      <c r="E674" s="344"/>
      <c r="F674" s="344"/>
      <c r="G674" s="344"/>
      <c r="H674" s="344"/>
      <c r="I674" s="344"/>
      <c r="J674" s="344"/>
      <c r="K674" s="344"/>
      <c r="L674" s="344"/>
      <c r="M674" s="344"/>
      <c r="N674" s="344"/>
      <c r="O674" s="344"/>
      <c r="P674" s="346"/>
      <c r="Q674" s="344"/>
      <c r="R674" s="344"/>
      <c r="S674" s="344"/>
      <c r="T674" s="344"/>
      <c r="U674" s="344"/>
      <c r="V674" s="344"/>
      <c r="W674" s="344"/>
      <c r="X674" s="344"/>
      <c r="Y674" s="344"/>
      <c r="Z674" s="344"/>
      <c r="AA674" s="344"/>
      <c r="AB674" s="344"/>
      <c r="AC674" s="344"/>
    </row>
    <row r="675" ht="24.75" customHeight="1">
      <c r="A675" s="344"/>
      <c r="B675" s="346"/>
      <c r="C675" s="344"/>
      <c r="D675" s="344"/>
      <c r="E675" s="344"/>
      <c r="F675" s="344"/>
      <c r="G675" s="344"/>
      <c r="H675" s="344"/>
      <c r="I675" s="344"/>
      <c r="J675" s="344"/>
      <c r="K675" s="344"/>
      <c r="L675" s="344"/>
      <c r="M675" s="344"/>
      <c r="N675" s="344"/>
      <c r="O675" s="344"/>
      <c r="P675" s="346"/>
      <c r="Q675" s="344"/>
      <c r="R675" s="344"/>
      <c r="S675" s="344"/>
      <c r="T675" s="344"/>
      <c r="U675" s="344"/>
      <c r="V675" s="344"/>
      <c r="W675" s="344"/>
      <c r="X675" s="344"/>
      <c r="Y675" s="344"/>
      <c r="Z675" s="344"/>
      <c r="AA675" s="344"/>
      <c r="AB675" s="344"/>
      <c r="AC675" s="344"/>
    </row>
    <row r="676" ht="24.75" customHeight="1">
      <c r="A676" s="344"/>
      <c r="B676" s="346"/>
      <c r="C676" s="344"/>
      <c r="D676" s="344"/>
      <c r="E676" s="344"/>
      <c r="F676" s="344"/>
      <c r="G676" s="344"/>
      <c r="H676" s="344"/>
      <c r="I676" s="344"/>
      <c r="J676" s="344"/>
      <c r="K676" s="344"/>
      <c r="L676" s="344"/>
      <c r="M676" s="344"/>
      <c r="N676" s="344"/>
      <c r="O676" s="344"/>
      <c r="P676" s="346"/>
      <c r="Q676" s="344"/>
      <c r="R676" s="344"/>
      <c r="S676" s="344"/>
      <c r="T676" s="344"/>
      <c r="U676" s="344"/>
      <c r="V676" s="344"/>
      <c r="W676" s="344"/>
      <c r="X676" s="344"/>
      <c r="Y676" s="344"/>
      <c r="Z676" s="344"/>
      <c r="AA676" s="344"/>
      <c r="AB676" s="344"/>
      <c r="AC676" s="344"/>
    </row>
    <row r="677" ht="24.75" customHeight="1">
      <c r="A677" s="344"/>
      <c r="B677" s="346"/>
      <c r="C677" s="344"/>
      <c r="D677" s="344"/>
      <c r="E677" s="344"/>
      <c r="F677" s="344"/>
      <c r="G677" s="344"/>
      <c r="H677" s="344"/>
      <c r="I677" s="344"/>
      <c r="J677" s="344"/>
      <c r="K677" s="344"/>
      <c r="L677" s="344"/>
      <c r="M677" s="344"/>
      <c r="N677" s="344"/>
      <c r="O677" s="344"/>
      <c r="P677" s="346"/>
      <c r="Q677" s="344"/>
      <c r="R677" s="344"/>
      <c r="S677" s="344"/>
      <c r="T677" s="344"/>
      <c r="U677" s="344"/>
      <c r="V677" s="344"/>
      <c r="W677" s="344"/>
      <c r="X677" s="344"/>
      <c r="Y677" s="344"/>
      <c r="Z677" s="344"/>
      <c r="AA677" s="344"/>
      <c r="AB677" s="344"/>
      <c r="AC677" s="344"/>
    </row>
    <row r="678" ht="24.75" customHeight="1">
      <c r="A678" s="344"/>
      <c r="B678" s="346"/>
      <c r="C678" s="344"/>
      <c r="D678" s="344"/>
      <c r="E678" s="344"/>
      <c r="F678" s="344"/>
      <c r="G678" s="344"/>
      <c r="H678" s="344"/>
      <c r="I678" s="344"/>
      <c r="J678" s="344"/>
      <c r="K678" s="344"/>
      <c r="L678" s="344"/>
      <c r="M678" s="344"/>
      <c r="N678" s="344"/>
      <c r="O678" s="344"/>
      <c r="P678" s="346"/>
      <c r="Q678" s="344"/>
      <c r="R678" s="344"/>
      <c r="S678" s="344"/>
      <c r="T678" s="344"/>
      <c r="U678" s="344"/>
      <c r="V678" s="344"/>
      <c r="W678" s="344"/>
      <c r="X678" s="344"/>
      <c r="Y678" s="344"/>
      <c r="Z678" s="344"/>
      <c r="AA678" s="344"/>
      <c r="AB678" s="344"/>
      <c r="AC678" s="344"/>
    </row>
    <row r="679" ht="24.75" customHeight="1">
      <c r="A679" s="344"/>
      <c r="B679" s="346"/>
      <c r="C679" s="344"/>
      <c r="D679" s="344"/>
      <c r="E679" s="344"/>
      <c r="F679" s="344"/>
      <c r="G679" s="344"/>
      <c r="H679" s="344"/>
      <c r="I679" s="344"/>
      <c r="J679" s="344"/>
      <c r="K679" s="344"/>
      <c r="L679" s="344"/>
      <c r="M679" s="344"/>
      <c r="N679" s="344"/>
      <c r="O679" s="344"/>
      <c r="P679" s="346"/>
      <c r="Q679" s="344"/>
      <c r="R679" s="344"/>
      <c r="S679" s="344"/>
      <c r="T679" s="344"/>
      <c r="U679" s="344"/>
      <c r="V679" s="344"/>
      <c r="W679" s="344"/>
      <c r="X679" s="344"/>
      <c r="Y679" s="344"/>
      <c r="Z679" s="344"/>
      <c r="AA679" s="344"/>
      <c r="AB679" s="344"/>
      <c r="AC679" s="344"/>
    </row>
    <row r="680" ht="24.75" customHeight="1">
      <c r="A680" s="344"/>
      <c r="B680" s="346"/>
      <c r="C680" s="344"/>
      <c r="D680" s="344"/>
      <c r="E680" s="344"/>
      <c r="F680" s="344"/>
      <c r="G680" s="344"/>
      <c r="H680" s="344"/>
      <c r="I680" s="344"/>
      <c r="J680" s="344"/>
      <c r="K680" s="344"/>
      <c r="L680" s="344"/>
      <c r="M680" s="344"/>
      <c r="N680" s="344"/>
      <c r="O680" s="344"/>
      <c r="P680" s="346"/>
      <c r="Q680" s="344"/>
      <c r="R680" s="344"/>
      <c r="S680" s="344"/>
      <c r="T680" s="344"/>
      <c r="U680" s="344"/>
      <c r="V680" s="344"/>
      <c r="W680" s="344"/>
      <c r="X680" s="344"/>
      <c r="Y680" s="344"/>
      <c r="Z680" s="344"/>
      <c r="AA680" s="344"/>
      <c r="AB680" s="344"/>
      <c r="AC680" s="344"/>
    </row>
    <row r="681" ht="24.75" customHeight="1">
      <c r="A681" s="344"/>
      <c r="B681" s="346"/>
      <c r="C681" s="344"/>
      <c r="D681" s="344"/>
      <c r="E681" s="344"/>
      <c r="F681" s="344"/>
      <c r="G681" s="344"/>
      <c r="H681" s="344"/>
      <c r="I681" s="344"/>
      <c r="J681" s="344"/>
      <c r="K681" s="344"/>
      <c r="L681" s="344"/>
      <c r="M681" s="344"/>
      <c r="N681" s="344"/>
      <c r="O681" s="344"/>
      <c r="P681" s="346"/>
      <c r="Q681" s="344"/>
      <c r="R681" s="344"/>
      <c r="S681" s="344"/>
      <c r="T681" s="344"/>
      <c r="U681" s="344"/>
      <c r="V681" s="344"/>
      <c r="W681" s="344"/>
      <c r="X681" s="344"/>
      <c r="Y681" s="344"/>
      <c r="Z681" s="344"/>
      <c r="AA681" s="344"/>
      <c r="AB681" s="344"/>
      <c r="AC681" s="344"/>
    </row>
    <row r="682" ht="24.75" customHeight="1">
      <c r="A682" s="344"/>
      <c r="B682" s="346"/>
      <c r="C682" s="344"/>
      <c r="D682" s="344"/>
      <c r="E682" s="344"/>
      <c r="F682" s="344"/>
      <c r="G682" s="344"/>
      <c r="H682" s="344"/>
      <c r="I682" s="344"/>
      <c r="J682" s="344"/>
      <c r="K682" s="344"/>
      <c r="L682" s="344"/>
      <c r="M682" s="344"/>
      <c r="N682" s="344"/>
      <c r="O682" s="344"/>
      <c r="P682" s="346"/>
      <c r="Q682" s="344"/>
      <c r="R682" s="344"/>
      <c r="S682" s="344"/>
      <c r="T682" s="344"/>
      <c r="U682" s="344"/>
      <c r="V682" s="344"/>
      <c r="W682" s="344"/>
      <c r="X682" s="344"/>
      <c r="Y682" s="344"/>
      <c r="Z682" s="344"/>
      <c r="AA682" s="344"/>
      <c r="AB682" s="344"/>
      <c r="AC682" s="344"/>
    </row>
    <row r="683" ht="24.75" customHeight="1">
      <c r="A683" s="344"/>
      <c r="B683" s="346"/>
      <c r="C683" s="344"/>
      <c r="D683" s="344"/>
      <c r="E683" s="344"/>
      <c r="F683" s="344"/>
      <c r="G683" s="344"/>
      <c r="H683" s="344"/>
      <c r="I683" s="344"/>
      <c r="J683" s="344"/>
      <c r="K683" s="344"/>
      <c r="L683" s="344"/>
      <c r="M683" s="344"/>
      <c r="N683" s="344"/>
      <c r="O683" s="344"/>
      <c r="P683" s="346"/>
      <c r="Q683" s="344"/>
      <c r="R683" s="344"/>
      <c r="S683" s="344"/>
      <c r="T683" s="344"/>
      <c r="U683" s="344"/>
      <c r="V683" s="344"/>
      <c r="W683" s="344"/>
      <c r="X683" s="344"/>
      <c r="Y683" s="344"/>
      <c r="Z683" s="344"/>
      <c r="AA683" s="344"/>
      <c r="AB683" s="344"/>
      <c r="AC683" s="344"/>
    </row>
    <row r="684" ht="24.75" customHeight="1">
      <c r="A684" s="344"/>
      <c r="B684" s="346"/>
      <c r="C684" s="344"/>
      <c r="D684" s="344"/>
      <c r="E684" s="344"/>
      <c r="F684" s="344"/>
      <c r="G684" s="344"/>
      <c r="H684" s="344"/>
      <c r="I684" s="344"/>
      <c r="J684" s="344"/>
      <c r="K684" s="344"/>
      <c r="L684" s="344"/>
      <c r="M684" s="344"/>
      <c r="N684" s="344"/>
      <c r="O684" s="344"/>
      <c r="P684" s="346"/>
      <c r="Q684" s="344"/>
      <c r="R684" s="344"/>
      <c r="S684" s="344"/>
      <c r="T684" s="344"/>
      <c r="U684" s="344"/>
      <c r="V684" s="344"/>
      <c r="W684" s="344"/>
      <c r="X684" s="344"/>
      <c r="Y684" s="344"/>
      <c r="Z684" s="344"/>
      <c r="AA684" s="344"/>
      <c r="AB684" s="344"/>
      <c r="AC684" s="344"/>
    </row>
    <row r="685" ht="24.75" customHeight="1">
      <c r="A685" s="344"/>
      <c r="B685" s="346"/>
      <c r="C685" s="344"/>
      <c r="D685" s="344"/>
      <c r="E685" s="344"/>
      <c r="F685" s="344"/>
      <c r="G685" s="344"/>
      <c r="H685" s="344"/>
      <c r="I685" s="344"/>
      <c r="J685" s="344"/>
      <c r="K685" s="344"/>
      <c r="L685" s="344"/>
      <c r="M685" s="344"/>
      <c r="N685" s="344"/>
      <c r="O685" s="344"/>
      <c r="P685" s="346"/>
      <c r="Q685" s="344"/>
      <c r="R685" s="344"/>
      <c r="S685" s="344"/>
      <c r="T685" s="344"/>
      <c r="U685" s="344"/>
      <c r="V685" s="344"/>
      <c r="W685" s="344"/>
      <c r="X685" s="344"/>
      <c r="Y685" s="344"/>
      <c r="Z685" s="344"/>
      <c r="AA685" s="344"/>
      <c r="AB685" s="344"/>
      <c r="AC685" s="344"/>
    </row>
    <row r="686" ht="24.75" customHeight="1">
      <c r="A686" s="344"/>
      <c r="B686" s="346"/>
      <c r="C686" s="344"/>
      <c r="D686" s="344"/>
      <c r="E686" s="344"/>
      <c r="F686" s="344"/>
      <c r="G686" s="344"/>
      <c r="H686" s="344"/>
      <c r="I686" s="344"/>
      <c r="J686" s="344"/>
      <c r="K686" s="344"/>
      <c r="L686" s="344"/>
      <c r="M686" s="344"/>
      <c r="N686" s="344"/>
      <c r="O686" s="344"/>
      <c r="P686" s="346"/>
      <c r="Q686" s="344"/>
      <c r="R686" s="344"/>
      <c r="S686" s="344"/>
      <c r="T686" s="344"/>
      <c r="U686" s="344"/>
      <c r="V686" s="344"/>
      <c r="W686" s="344"/>
      <c r="X686" s="344"/>
      <c r="Y686" s="344"/>
      <c r="Z686" s="344"/>
      <c r="AA686" s="344"/>
      <c r="AB686" s="344"/>
      <c r="AC686" s="344"/>
    </row>
    <row r="687" ht="24.75" customHeight="1">
      <c r="A687" s="344"/>
      <c r="B687" s="346"/>
      <c r="C687" s="344"/>
      <c r="D687" s="344"/>
      <c r="E687" s="344"/>
      <c r="F687" s="344"/>
      <c r="G687" s="344"/>
      <c r="H687" s="344"/>
      <c r="I687" s="344"/>
      <c r="J687" s="344"/>
      <c r="K687" s="344"/>
      <c r="L687" s="344"/>
      <c r="M687" s="344"/>
      <c r="N687" s="344"/>
      <c r="O687" s="344"/>
      <c r="P687" s="346"/>
      <c r="Q687" s="344"/>
      <c r="R687" s="344"/>
      <c r="S687" s="344"/>
      <c r="T687" s="344"/>
      <c r="U687" s="344"/>
      <c r="V687" s="344"/>
      <c r="W687" s="344"/>
      <c r="X687" s="344"/>
      <c r="Y687" s="344"/>
      <c r="Z687" s="344"/>
      <c r="AA687" s="344"/>
      <c r="AB687" s="344"/>
      <c r="AC687" s="344"/>
    </row>
    <row r="688" ht="24.75" customHeight="1">
      <c r="A688" s="344"/>
      <c r="B688" s="346"/>
      <c r="C688" s="344"/>
      <c r="D688" s="344"/>
      <c r="E688" s="344"/>
      <c r="F688" s="344"/>
      <c r="G688" s="344"/>
      <c r="H688" s="344"/>
      <c r="I688" s="344"/>
      <c r="J688" s="344"/>
      <c r="K688" s="344"/>
      <c r="L688" s="344"/>
      <c r="M688" s="344"/>
      <c r="N688" s="344"/>
      <c r="O688" s="344"/>
      <c r="P688" s="346"/>
      <c r="Q688" s="344"/>
      <c r="R688" s="344"/>
      <c r="S688" s="344"/>
      <c r="T688" s="344"/>
      <c r="U688" s="344"/>
      <c r="V688" s="344"/>
      <c r="W688" s="344"/>
      <c r="X688" s="344"/>
      <c r="Y688" s="344"/>
      <c r="Z688" s="344"/>
      <c r="AA688" s="344"/>
      <c r="AB688" s="344"/>
      <c r="AC688" s="344"/>
    </row>
    <row r="689" ht="24.75" customHeight="1">
      <c r="A689" s="344"/>
      <c r="B689" s="346"/>
      <c r="C689" s="344"/>
      <c r="D689" s="344"/>
      <c r="E689" s="344"/>
      <c r="F689" s="344"/>
      <c r="G689" s="344"/>
      <c r="H689" s="344"/>
      <c r="I689" s="344"/>
      <c r="J689" s="344"/>
      <c r="K689" s="344"/>
      <c r="L689" s="344"/>
      <c r="M689" s="344"/>
      <c r="N689" s="344"/>
      <c r="O689" s="344"/>
      <c r="P689" s="346"/>
      <c r="Q689" s="344"/>
      <c r="R689" s="344"/>
      <c r="S689" s="344"/>
      <c r="T689" s="344"/>
      <c r="U689" s="344"/>
      <c r="V689" s="344"/>
      <c r="W689" s="344"/>
      <c r="X689" s="344"/>
      <c r="Y689" s="344"/>
      <c r="Z689" s="344"/>
      <c r="AA689" s="344"/>
      <c r="AB689" s="344"/>
      <c r="AC689" s="344"/>
    </row>
    <row r="690" ht="24.75" customHeight="1">
      <c r="A690" s="344"/>
      <c r="B690" s="346"/>
      <c r="C690" s="344"/>
      <c r="D690" s="344"/>
      <c r="E690" s="344"/>
      <c r="F690" s="344"/>
      <c r="G690" s="344"/>
      <c r="H690" s="344"/>
      <c r="I690" s="344"/>
      <c r="J690" s="344"/>
      <c r="K690" s="344"/>
      <c r="L690" s="344"/>
      <c r="M690" s="344"/>
      <c r="N690" s="344"/>
      <c r="O690" s="344"/>
      <c r="P690" s="346"/>
      <c r="Q690" s="344"/>
      <c r="R690" s="344"/>
      <c r="S690" s="344"/>
      <c r="T690" s="344"/>
      <c r="U690" s="344"/>
      <c r="V690" s="344"/>
      <c r="W690" s="344"/>
      <c r="X690" s="344"/>
      <c r="Y690" s="344"/>
      <c r="Z690" s="344"/>
      <c r="AA690" s="344"/>
      <c r="AB690" s="344"/>
      <c r="AC690" s="344"/>
    </row>
    <row r="691" ht="24.75" customHeight="1">
      <c r="A691" s="344"/>
      <c r="B691" s="346"/>
      <c r="C691" s="344"/>
      <c r="D691" s="344"/>
      <c r="E691" s="344"/>
      <c r="F691" s="344"/>
      <c r="G691" s="344"/>
      <c r="H691" s="344"/>
      <c r="I691" s="344"/>
      <c r="J691" s="344"/>
      <c r="K691" s="344"/>
      <c r="L691" s="344"/>
      <c r="M691" s="344"/>
      <c r="N691" s="344"/>
      <c r="O691" s="344"/>
      <c r="P691" s="346"/>
      <c r="Q691" s="344"/>
      <c r="R691" s="344"/>
      <c r="S691" s="344"/>
      <c r="T691" s="344"/>
      <c r="U691" s="344"/>
      <c r="V691" s="344"/>
      <c r="W691" s="344"/>
      <c r="X691" s="344"/>
      <c r="Y691" s="344"/>
      <c r="Z691" s="344"/>
      <c r="AA691" s="344"/>
      <c r="AB691" s="344"/>
      <c r="AC691" s="344"/>
    </row>
    <row r="692" ht="24.75" customHeight="1">
      <c r="A692" s="344"/>
      <c r="B692" s="346"/>
      <c r="C692" s="344"/>
      <c r="D692" s="344"/>
      <c r="E692" s="344"/>
      <c r="F692" s="344"/>
      <c r="G692" s="344"/>
      <c r="H692" s="344"/>
      <c r="I692" s="344"/>
      <c r="J692" s="344"/>
      <c r="K692" s="344"/>
      <c r="L692" s="344"/>
      <c r="M692" s="344"/>
      <c r="N692" s="344"/>
      <c r="O692" s="344"/>
      <c r="P692" s="346"/>
      <c r="Q692" s="344"/>
      <c r="R692" s="344"/>
      <c r="S692" s="344"/>
      <c r="T692" s="344"/>
      <c r="U692" s="344"/>
      <c r="V692" s="344"/>
      <c r="W692" s="344"/>
      <c r="X692" s="344"/>
      <c r="Y692" s="344"/>
      <c r="Z692" s="344"/>
      <c r="AA692" s="344"/>
      <c r="AB692" s="344"/>
      <c r="AC692" s="344"/>
    </row>
    <row r="693" ht="24.75" customHeight="1">
      <c r="A693" s="344"/>
      <c r="B693" s="346"/>
      <c r="C693" s="344"/>
      <c r="D693" s="344"/>
      <c r="E693" s="344"/>
      <c r="F693" s="344"/>
      <c r="G693" s="344"/>
      <c r="H693" s="344"/>
      <c r="I693" s="344"/>
      <c r="J693" s="344"/>
      <c r="K693" s="344"/>
      <c r="L693" s="344"/>
      <c r="M693" s="344"/>
      <c r="N693" s="344"/>
      <c r="O693" s="344"/>
      <c r="P693" s="346"/>
      <c r="Q693" s="344"/>
      <c r="R693" s="344"/>
      <c r="S693" s="344"/>
      <c r="T693" s="344"/>
      <c r="U693" s="344"/>
      <c r="V693" s="344"/>
      <c r="W693" s="344"/>
      <c r="X693" s="344"/>
      <c r="Y693" s="344"/>
      <c r="Z693" s="344"/>
      <c r="AA693" s="344"/>
      <c r="AB693" s="344"/>
      <c r="AC693" s="344"/>
    </row>
    <row r="694" ht="24.75" customHeight="1">
      <c r="A694" s="344"/>
      <c r="B694" s="346"/>
      <c r="C694" s="344"/>
      <c r="D694" s="344"/>
      <c r="E694" s="344"/>
      <c r="F694" s="344"/>
      <c r="G694" s="344"/>
      <c r="H694" s="344"/>
      <c r="I694" s="344"/>
      <c r="J694" s="344"/>
      <c r="K694" s="344"/>
      <c r="L694" s="344"/>
      <c r="M694" s="344"/>
      <c r="N694" s="344"/>
      <c r="O694" s="344"/>
      <c r="P694" s="346"/>
      <c r="Q694" s="344"/>
      <c r="R694" s="344"/>
      <c r="S694" s="344"/>
      <c r="T694" s="344"/>
      <c r="U694" s="344"/>
      <c r="V694" s="344"/>
      <c r="W694" s="344"/>
      <c r="X694" s="344"/>
      <c r="Y694" s="344"/>
      <c r="Z694" s="344"/>
      <c r="AA694" s="344"/>
      <c r="AB694" s="344"/>
      <c r="AC694" s="344"/>
    </row>
    <row r="695" ht="24.75" customHeight="1">
      <c r="A695" s="344"/>
      <c r="B695" s="346"/>
      <c r="C695" s="344"/>
      <c r="D695" s="344"/>
      <c r="E695" s="344"/>
      <c r="F695" s="344"/>
      <c r="G695" s="344"/>
      <c r="H695" s="344"/>
      <c r="I695" s="344"/>
      <c r="J695" s="344"/>
      <c r="K695" s="344"/>
      <c r="L695" s="344"/>
      <c r="M695" s="344"/>
      <c r="N695" s="344"/>
      <c r="O695" s="344"/>
      <c r="P695" s="346"/>
      <c r="Q695" s="344"/>
      <c r="R695" s="344"/>
      <c r="S695" s="344"/>
      <c r="T695" s="344"/>
      <c r="U695" s="344"/>
      <c r="V695" s="344"/>
      <c r="W695" s="344"/>
      <c r="X695" s="344"/>
      <c r="Y695" s="344"/>
      <c r="Z695" s="344"/>
      <c r="AA695" s="344"/>
      <c r="AB695" s="344"/>
      <c r="AC695" s="344"/>
    </row>
    <row r="696" ht="24.75" customHeight="1">
      <c r="A696" s="344"/>
      <c r="B696" s="346"/>
      <c r="C696" s="344"/>
      <c r="D696" s="344"/>
      <c r="E696" s="344"/>
      <c r="F696" s="344"/>
      <c r="G696" s="344"/>
      <c r="H696" s="344"/>
      <c r="I696" s="344"/>
      <c r="J696" s="344"/>
      <c r="K696" s="344"/>
      <c r="L696" s="344"/>
      <c r="M696" s="344"/>
      <c r="N696" s="344"/>
      <c r="O696" s="344"/>
      <c r="P696" s="346"/>
      <c r="Q696" s="344"/>
      <c r="R696" s="344"/>
      <c r="S696" s="344"/>
      <c r="T696" s="344"/>
      <c r="U696" s="344"/>
      <c r="V696" s="344"/>
      <c r="W696" s="344"/>
      <c r="X696" s="344"/>
      <c r="Y696" s="344"/>
      <c r="Z696" s="344"/>
      <c r="AA696" s="344"/>
      <c r="AB696" s="344"/>
      <c r="AC696" s="344"/>
    </row>
    <row r="697" ht="24.75" customHeight="1">
      <c r="A697" s="344"/>
      <c r="B697" s="346"/>
      <c r="C697" s="344"/>
      <c r="D697" s="344"/>
      <c r="E697" s="344"/>
      <c r="F697" s="344"/>
      <c r="G697" s="344"/>
      <c r="H697" s="344"/>
      <c r="I697" s="344"/>
      <c r="J697" s="344"/>
      <c r="K697" s="344"/>
      <c r="L697" s="344"/>
      <c r="M697" s="344"/>
      <c r="N697" s="344"/>
      <c r="O697" s="344"/>
      <c r="P697" s="346"/>
      <c r="Q697" s="344"/>
      <c r="R697" s="344"/>
      <c r="S697" s="344"/>
      <c r="T697" s="344"/>
      <c r="U697" s="344"/>
      <c r="V697" s="344"/>
      <c r="W697" s="344"/>
      <c r="X697" s="344"/>
      <c r="Y697" s="344"/>
      <c r="Z697" s="344"/>
      <c r="AA697" s="344"/>
      <c r="AB697" s="344"/>
      <c r="AC697" s="344"/>
    </row>
    <row r="698" ht="24.75" customHeight="1">
      <c r="A698" s="344"/>
      <c r="B698" s="346"/>
      <c r="C698" s="344"/>
      <c r="D698" s="344"/>
      <c r="E698" s="344"/>
      <c r="F698" s="344"/>
      <c r="G698" s="344"/>
      <c r="H698" s="344"/>
      <c r="I698" s="344"/>
      <c r="J698" s="344"/>
      <c r="K698" s="344"/>
      <c r="L698" s="344"/>
      <c r="M698" s="344"/>
      <c r="N698" s="344"/>
      <c r="O698" s="344"/>
      <c r="P698" s="346"/>
      <c r="Q698" s="344"/>
      <c r="R698" s="344"/>
      <c r="S698" s="344"/>
      <c r="T698" s="344"/>
      <c r="U698" s="344"/>
      <c r="V698" s="344"/>
      <c r="W698" s="344"/>
      <c r="X698" s="344"/>
      <c r="Y698" s="344"/>
      <c r="Z698" s="344"/>
      <c r="AA698" s="344"/>
      <c r="AB698" s="344"/>
      <c r="AC698" s="344"/>
    </row>
    <row r="699" ht="24.75" customHeight="1">
      <c r="A699" s="344"/>
      <c r="B699" s="346"/>
      <c r="C699" s="344"/>
      <c r="D699" s="344"/>
      <c r="E699" s="344"/>
      <c r="F699" s="344"/>
      <c r="G699" s="344"/>
      <c r="H699" s="344"/>
      <c r="I699" s="344"/>
      <c r="J699" s="344"/>
      <c r="K699" s="344"/>
      <c r="L699" s="344"/>
      <c r="M699" s="344"/>
      <c r="N699" s="344"/>
      <c r="O699" s="344"/>
      <c r="P699" s="346"/>
      <c r="Q699" s="344"/>
      <c r="R699" s="344"/>
      <c r="S699" s="344"/>
      <c r="T699" s="344"/>
      <c r="U699" s="344"/>
      <c r="V699" s="344"/>
      <c r="W699" s="344"/>
      <c r="X699" s="344"/>
      <c r="Y699" s="344"/>
      <c r="Z699" s="344"/>
      <c r="AA699" s="344"/>
      <c r="AB699" s="344"/>
      <c r="AC699" s="344"/>
    </row>
    <row r="700" ht="24.75" customHeight="1">
      <c r="A700" s="344"/>
      <c r="B700" s="346"/>
      <c r="C700" s="344"/>
      <c r="D700" s="344"/>
      <c r="E700" s="344"/>
      <c r="F700" s="344"/>
      <c r="G700" s="344"/>
      <c r="H700" s="344"/>
      <c r="I700" s="344"/>
      <c r="J700" s="344"/>
      <c r="K700" s="344"/>
      <c r="L700" s="344"/>
      <c r="M700" s="344"/>
      <c r="N700" s="344"/>
      <c r="O700" s="344"/>
      <c r="P700" s="346"/>
      <c r="Q700" s="344"/>
      <c r="R700" s="344"/>
      <c r="S700" s="344"/>
      <c r="T700" s="344"/>
      <c r="U700" s="344"/>
      <c r="V700" s="344"/>
      <c r="W700" s="344"/>
      <c r="X700" s="344"/>
      <c r="Y700" s="344"/>
      <c r="Z700" s="344"/>
      <c r="AA700" s="344"/>
      <c r="AB700" s="344"/>
      <c r="AC700" s="344"/>
    </row>
    <row r="701" ht="24.75" customHeight="1">
      <c r="A701" s="344"/>
      <c r="B701" s="346"/>
      <c r="C701" s="344"/>
      <c r="D701" s="344"/>
      <c r="E701" s="344"/>
      <c r="F701" s="344"/>
      <c r="G701" s="344"/>
      <c r="H701" s="344"/>
      <c r="I701" s="344"/>
      <c r="J701" s="344"/>
      <c r="K701" s="344"/>
      <c r="L701" s="344"/>
      <c r="M701" s="344"/>
      <c r="N701" s="344"/>
      <c r="O701" s="344"/>
      <c r="P701" s="346"/>
      <c r="Q701" s="344"/>
      <c r="R701" s="344"/>
      <c r="S701" s="344"/>
      <c r="T701" s="344"/>
      <c r="U701" s="344"/>
      <c r="V701" s="344"/>
      <c r="W701" s="344"/>
      <c r="X701" s="344"/>
      <c r="Y701" s="344"/>
      <c r="Z701" s="344"/>
      <c r="AA701" s="344"/>
      <c r="AB701" s="344"/>
      <c r="AC701" s="344"/>
    </row>
    <row r="702" ht="24.75" customHeight="1">
      <c r="A702" s="344"/>
      <c r="B702" s="346"/>
      <c r="C702" s="344"/>
      <c r="D702" s="344"/>
      <c r="E702" s="344"/>
      <c r="F702" s="344"/>
      <c r="G702" s="344"/>
      <c r="H702" s="344"/>
      <c r="I702" s="344"/>
      <c r="J702" s="344"/>
      <c r="K702" s="344"/>
      <c r="L702" s="344"/>
      <c r="M702" s="344"/>
      <c r="N702" s="344"/>
      <c r="O702" s="344"/>
      <c r="P702" s="346"/>
      <c r="Q702" s="344"/>
      <c r="R702" s="344"/>
      <c r="S702" s="344"/>
      <c r="T702" s="344"/>
      <c r="U702" s="344"/>
      <c r="V702" s="344"/>
      <c r="W702" s="344"/>
      <c r="X702" s="344"/>
      <c r="Y702" s="344"/>
      <c r="Z702" s="344"/>
      <c r="AA702" s="344"/>
      <c r="AB702" s="344"/>
      <c r="AC702" s="344"/>
    </row>
    <row r="703" ht="24.75" customHeight="1">
      <c r="A703" s="344"/>
      <c r="B703" s="346"/>
      <c r="C703" s="344"/>
      <c r="D703" s="344"/>
      <c r="E703" s="344"/>
      <c r="F703" s="344"/>
      <c r="G703" s="344"/>
      <c r="H703" s="344"/>
      <c r="I703" s="344"/>
      <c r="J703" s="344"/>
      <c r="K703" s="344"/>
      <c r="L703" s="344"/>
      <c r="M703" s="344"/>
      <c r="N703" s="344"/>
      <c r="O703" s="344"/>
      <c r="P703" s="346"/>
      <c r="Q703" s="344"/>
      <c r="R703" s="344"/>
      <c r="S703" s="344"/>
      <c r="T703" s="344"/>
      <c r="U703" s="344"/>
      <c r="V703" s="344"/>
      <c r="W703" s="344"/>
      <c r="X703" s="344"/>
      <c r="Y703" s="344"/>
      <c r="Z703" s="344"/>
      <c r="AA703" s="344"/>
      <c r="AB703" s="344"/>
      <c r="AC703" s="344"/>
    </row>
    <row r="704" ht="24.75" customHeight="1">
      <c r="A704" s="344"/>
      <c r="B704" s="346"/>
      <c r="C704" s="344"/>
      <c r="D704" s="344"/>
      <c r="E704" s="344"/>
      <c r="F704" s="344"/>
      <c r="G704" s="344"/>
      <c r="H704" s="344"/>
      <c r="I704" s="344"/>
      <c r="J704" s="344"/>
      <c r="K704" s="344"/>
      <c r="L704" s="344"/>
      <c r="M704" s="344"/>
      <c r="N704" s="344"/>
      <c r="O704" s="344"/>
      <c r="P704" s="346"/>
      <c r="Q704" s="344"/>
      <c r="R704" s="344"/>
      <c r="S704" s="344"/>
      <c r="T704" s="344"/>
      <c r="U704" s="344"/>
      <c r="V704" s="344"/>
      <c r="W704" s="344"/>
      <c r="X704" s="344"/>
      <c r="Y704" s="344"/>
      <c r="Z704" s="344"/>
      <c r="AA704" s="344"/>
      <c r="AB704" s="344"/>
      <c r="AC704" s="344"/>
    </row>
    <row r="705" ht="24.75" customHeight="1">
      <c r="A705" s="344"/>
      <c r="B705" s="346"/>
      <c r="C705" s="344"/>
      <c r="D705" s="344"/>
      <c r="E705" s="344"/>
      <c r="F705" s="344"/>
      <c r="G705" s="344"/>
      <c r="H705" s="344"/>
      <c r="I705" s="344"/>
      <c r="J705" s="344"/>
      <c r="K705" s="344"/>
      <c r="L705" s="344"/>
      <c r="M705" s="344"/>
      <c r="N705" s="344"/>
      <c r="O705" s="344"/>
      <c r="P705" s="346"/>
      <c r="Q705" s="344"/>
      <c r="R705" s="344"/>
      <c r="S705" s="344"/>
      <c r="T705" s="344"/>
      <c r="U705" s="344"/>
      <c r="V705" s="344"/>
      <c r="W705" s="344"/>
      <c r="X705" s="344"/>
      <c r="Y705" s="344"/>
      <c r="Z705" s="344"/>
      <c r="AA705" s="344"/>
      <c r="AB705" s="344"/>
      <c r="AC705" s="344"/>
    </row>
    <row r="706" ht="24.75" customHeight="1">
      <c r="A706" s="344"/>
      <c r="B706" s="346"/>
      <c r="C706" s="344"/>
      <c r="D706" s="344"/>
      <c r="E706" s="344"/>
      <c r="F706" s="344"/>
      <c r="G706" s="344"/>
      <c r="H706" s="344"/>
      <c r="I706" s="344"/>
      <c r="J706" s="344"/>
      <c r="K706" s="344"/>
      <c r="L706" s="344"/>
      <c r="M706" s="344"/>
      <c r="N706" s="344"/>
      <c r="O706" s="344"/>
      <c r="P706" s="346"/>
      <c r="Q706" s="344"/>
      <c r="R706" s="344"/>
      <c r="S706" s="344"/>
      <c r="T706" s="344"/>
      <c r="U706" s="344"/>
      <c r="V706" s="344"/>
      <c r="W706" s="344"/>
      <c r="X706" s="344"/>
      <c r="Y706" s="344"/>
      <c r="Z706" s="344"/>
      <c r="AA706" s="344"/>
      <c r="AB706" s="344"/>
      <c r="AC706" s="344"/>
    </row>
    <row r="707" ht="24.75" customHeight="1">
      <c r="A707" s="344"/>
      <c r="B707" s="346"/>
      <c r="C707" s="344"/>
      <c r="D707" s="344"/>
      <c r="E707" s="344"/>
      <c r="F707" s="344"/>
      <c r="G707" s="344"/>
      <c r="H707" s="344"/>
      <c r="I707" s="344"/>
      <c r="J707" s="344"/>
      <c r="K707" s="344"/>
      <c r="L707" s="344"/>
      <c r="M707" s="344"/>
      <c r="N707" s="344"/>
      <c r="O707" s="344"/>
      <c r="P707" s="346"/>
      <c r="Q707" s="344"/>
      <c r="R707" s="344"/>
      <c r="S707" s="344"/>
      <c r="T707" s="344"/>
      <c r="U707" s="344"/>
      <c r="V707" s="344"/>
      <c r="W707" s="344"/>
      <c r="X707" s="344"/>
      <c r="Y707" s="344"/>
      <c r="Z707" s="344"/>
      <c r="AA707" s="344"/>
      <c r="AB707" s="344"/>
      <c r="AC707" s="344"/>
    </row>
    <row r="708" ht="24.75" customHeight="1">
      <c r="A708" s="344"/>
      <c r="B708" s="346"/>
      <c r="C708" s="344"/>
      <c r="D708" s="344"/>
      <c r="E708" s="344"/>
      <c r="F708" s="344"/>
      <c r="G708" s="344"/>
      <c r="H708" s="344"/>
      <c r="I708" s="344"/>
      <c r="J708" s="344"/>
      <c r="K708" s="344"/>
      <c r="L708" s="344"/>
      <c r="M708" s="344"/>
      <c r="N708" s="344"/>
      <c r="O708" s="344"/>
      <c r="P708" s="346"/>
      <c r="Q708" s="344"/>
      <c r="R708" s="344"/>
      <c r="S708" s="344"/>
      <c r="T708" s="344"/>
      <c r="U708" s="344"/>
      <c r="V708" s="344"/>
      <c r="W708" s="344"/>
      <c r="X708" s="344"/>
      <c r="Y708" s="344"/>
      <c r="Z708" s="344"/>
      <c r="AA708" s="344"/>
      <c r="AB708" s="344"/>
      <c r="AC708" s="344"/>
    </row>
    <row r="709" ht="24.75" customHeight="1">
      <c r="A709" s="344"/>
      <c r="B709" s="346"/>
      <c r="C709" s="344"/>
      <c r="D709" s="344"/>
      <c r="E709" s="344"/>
      <c r="F709" s="344"/>
      <c r="G709" s="344"/>
      <c r="H709" s="344"/>
      <c r="I709" s="344"/>
      <c r="J709" s="344"/>
      <c r="K709" s="344"/>
      <c r="L709" s="344"/>
      <c r="M709" s="344"/>
      <c r="N709" s="344"/>
      <c r="O709" s="344"/>
      <c r="P709" s="346"/>
      <c r="Q709" s="344"/>
      <c r="R709" s="344"/>
      <c r="S709" s="344"/>
      <c r="T709" s="344"/>
      <c r="U709" s="344"/>
      <c r="V709" s="344"/>
      <c r="W709" s="344"/>
      <c r="X709" s="344"/>
      <c r="Y709" s="344"/>
      <c r="Z709" s="344"/>
      <c r="AA709" s="344"/>
      <c r="AB709" s="344"/>
      <c r="AC709" s="344"/>
    </row>
    <row r="710" ht="24.75" customHeight="1">
      <c r="A710" s="344"/>
      <c r="B710" s="346"/>
      <c r="C710" s="344"/>
      <c r="D710" s="344"/>
      <c r="E710" s="344"/>
      <c r="F710" s="344"/>
      <c r="G710" s="344"/>
      <c r="H710" s="344"/>
      <c r="I710" s="344"/>
      <c r="J710" s="344"/>
      <c r="K710" s="344"/>
      <c r="L710" s="344"/>
      <c r="M710" s="344"/>
      <c r="N710" s="344"/>
      <c r="O710" s="344"/>
      <c r="P710" s="346"/>
      <c r="Q710" s="344"/>
      <c r="R710" s="344"/>
      <c r="S710" s="344"/>
      <c r="T710" s="344"/>
      <c r="U710" s="344"/>
      <c r="V710" s="344"/>
      <c r="W710" s="344"/>
      <c r="X710" s="344"/>
      <c r="Y710" s="344"/>
      <c r="Z710" s="344"/>
      <c r="AA710" s="344"/>
      <c r="AB710" s="344"/>
      <c r="AC710" s="344"/>
    </row>
    <row r="711" ht="24.75" customHeight="1">
      <c r="A711" s="344"/>
      <c r="B711" s="346"/>
      <c r="C711" s="344"/>
      <c r="D711" s="344"/>
      <c r="E711" s="344"/>
      <c r="F711" s="344"/>
      <c r="G711" s="344"/>
      <c r="H711" s="344"/>
      <c r="I711" s="344"/>
      <c r="J711" s="344"/>
      <c r="K711" s="344"/>
      <c r="L711" s="344"/>
      <c r="M711" s="344"/>
      <c r="N711" s="344"/>
      <c r="O711" s="344"/>
      <c r="P711" s="346"/>
      <c r="Q711" s="344"/>
      <c r="R711" s="344"/>
      <c r="S711" s="344"/>
      <c r="T711" s="344"/>
      <c r="U711" s="344"/>
      <c r="V711" s="344"/>
      <c r="W711" s="344"/>
      <c r="X711" s="344"/>
      <c r="Y711" s="344"/>
      <c r="Z711" s="344"/>
      <c r="AA711" s="344"/>
      <c r="AB711" s="344"/>
      <c r="AC711" s="344"/>
    </row>
    <row r="712" ht="24.75" customHeight="1">
      <c r="A712" s="344"/>
      <c r="B712" s="346"/>
      <c r="C712" s="344"/>
      <c r="D712" s="344"/>
      <c r="E712" s="344"/>
      <c r="F712" s="344"/>
      <c r="G712" s="344"/>
      <c r="H712" s="344"/>
      <c r="I712" s="344"/>
      <c r="J712" s="344"/>
      <c r="K712" s="344"/>
      <c r="L712" s="344"/>
      <c r="M712" s="344"/>
      <c r="N712" s="344"/>
      <c r="O712" s="344"/>
      <c r="P712" s="346"/>
      <c r="Q712" s="344"/>
      <c r="R712" s="344"/>
      <c r="S712" s="344"/>
      <c r="T712" s="344"/>
      <c r="U712" s="344"/>
      <c r="V712" s="344"/>
      <c r="W712" s="344"/>
      <c r="X712" s="344"/>
      <c r="Y712" s="344"/>
      <c r="Z712" s="344"/>
      <c r="AA712" s="344"/>
      <c r="AB712" s="344"/>
      <c r="AC712" s="344"/>
    </row>
    <row r="713" ht="24.75" customHeight="1">
      <c r="A713" s="344"/>
      <c r="B713" s="346"/>
      <c r="C713" s="344"/>
      <c r="D713" s="344"/>
      <c r="E713" s="344"/>
      <c r="F713" s="344"/>
      <c r="G713" s="344"/>
      <c r="H713" s="344"/>
      <c r="I713" s="344"/>
      <c r="J713" s="344"/>
      <c r="K713" s="344"/>
      <c r="L713" s="344"/>
      <c r="M713" s="344"/>
      <c r="N713" s="344"/>
      <c r="O713" s="344"/>
      <c r="P713" s="346"/>
      <c r="Q713" s="344"/>
      <c r="R713" s="344"/>
      <c r="S713" s="344"/>
      <c r="T713" s="344"/>
      <c r="U713" s="344"/>
      <c r="V713" s="344"/>
      <c r="W713" s="344"/>
      <c r="X713" s="344"/>
      <c r="Y713" s="344"/>
      <c r="Z713" s="344"/>
      <c r="AA713" s="344"/>
      <c r="AB713" s="344"/>
      <c r="AC713" s="344"/>
    </row>
    <row r="714" ht="24.75" customHeight="1">
      <c r="A714" s="344"/>
      <c r="B714" s="346"/>
      <c r="C714" s="344"/>
      <c r="D714" s="344"/>
      <c r="E714" s="344"/>
      <c r="F714" s="344"/>
      <c r="G714" s="344"/>
      <c r="H714" s="344"/>
      <c r="I714" s="344"/>
      <c r="J714" s="344"/>
      <c r="K714" s="344"/>
      <c r="L714" s="344"/>
      <c r="M714" s="344"/>
      <c r="N714" s="344"/>
      <c r="O714" s="344"/>
      <c r="P714" s="346"/>
      <c r="Q714" s="344"/>
      <c r="R714" s="344"/>
      <c r="S714" s="344"/>
      <c r="T714" s="344"/>
      <c r="U714" s="344"/>
      <c r="V714" s="344"/>
      <c r="W714" s="344"/>
      <c r="X714" s="344"/>
      <c r="Y714" s="344"/>
      <c r="Z714" s="344"/>
      <c r="AA714" s="344"/>
      <c r="AB714" s="344"/>
      <c r="AC714" s="344"/>
    </row>
    <row r="715" ht="24.75" customHeight="1">
      <c r="A715" s="344"/>
      <c r="B715" s="346"/>
      <c r="C715" s="344"/>
      <c r="D715" s="344"/>
      <c r="E715" s="344"/>
      <c r="F715" s="344"/>
      <c r="G715" s="344"/>
      <c r="H715" s="344"/>
      <c r="I715" s="344"/>
      <c r="J715" s="344"/>
      <c r="K715" s="344"/>
      <c r="L715" s="344"/>
      <c r="M715" s="344"/>
      <c r="N715" s="344"/>
      <c r="O715" s="344"/>
      <c r="P715" s="346"/>
      <c r="Q715" s="344"/>
      <c r="R715" s="344"/>
      <c r="S715" s="344"/>
      <c r="T715" s="344"/>
      <c r="U715" s="344"/>
      <c r="V715" s="344"/>
      <c r="W715" s="344"/>
      <c r="X715" s="344"/>
      <c r="Y715" s="344"/>
      <c r="Z715" s="344"/>
      <c r="AA715" s="344"/>
      <c r="AB715" s="344"/>
      <c r="AC715" s="344"/>
    </row>
    <row r="716" ht="24.75" customHeight="1">
      <c r="A716" s="344"/>
      <c r="B716" s="346"/>
      <c r="C716" s="344"/>
      <c r="D716" s="344"/>
      <c r="E716" s="344"/>
      <c r="F716" s="344"/>
      <c r="G716" s="344"/>
      <c r="H716" s="344"/>
      <c r="I716" s="344"/>
      <c r="J716" s="344"/>
      <c r="K716" s="344"/>
      <c r="L716" s="344"/>
      <c r="M716" s="344"/>
      <c r="N716" s="344"/>
      <c r="O716" s="344"/>
      <c r="P716" s="346"/>
      <c r="Q716" s="344"/>
      <c r="R716" s="344"/>
      <c r="S716" s="344"/>
      <c r="T716" s="344"/>
      <c r="U716" s="344"/>
      <c r="V716" s="344"/>
      <c r="W716" s="344"/>
      <c r="X716" s="344"/>
      <c r="Y716" s="344"/>
      <c r="Z716" s="344"/>
      <c r="AA716" s="344"/>
      <c r="AB716" s="344"/>
      <c r="AC716" s="344"/>
    </row>
    <row r="717" ht="24.75" customHeight="1">
      <c r="A717" s="344"/>
      <c r="B717" s="346"/>
      <c r="C717" s="344"/>
      <c r="D717" s="344"/>
      <c r="E717" s="344"/>
      <c r="F717" s="344"/>
      <c r="G717" s="344"/>
      <c r="H717" s="344"/>
      <c r="I717" s="344"/>
      <c r="J717" s="344"/>
      <c r="K717" s="344"/>
      <c r="L717" s="344"/>
      <c r="M717" s="344"/>
      <c r="N717" s="344"/>
      <c r="O717" s="344"/>
      <c r="P717" s="346"/>
      <c r="Q717" s="344"/>
      <c r="R717" s="344"/>
      <c r="S717" s="344"/>
      <c r="T717" s="344"/>
      <c r="U717" s="344"/>
      <c r="V717" s="344"/>
      <c r="W717" s="344"/>
      <c r="X717" s="344"/>
      <c r="Y717" s="344"/>
      <c r="Z717" s="344"/>
      <c r="AA717" s="344"/>
      <c r="AB717" s="344"/>
      <c r="AC717" s="344"/>
    </row>
    <row r="718" ht="24.75" customHeight="1">
      <c r="A718" s="344"/>
      <c r="B718" s="346"/>
      <c r="C718" s="344"/>
      <c r="D718" s="344"/>
      <c r="E718" s="344"/>
      <c r="F718" s="344"/>
      <c r="G718" s="344"/>
      <c r="H718" s="344"/>
      <c r="I718" s="344"/>
      <c r="J718" s="344"/>
      <c r="K718" s="344"/>
      <c r="L718" s="344"/>
      <c r="M718" s="344"/>
      <c r="N718" s="344"/>
      <c r="O718" s="344"/>
      <c r="P718" s="346"/>
      <c r="Q718" s="344"/>
      <c r="R718" s="344"/>
      <c r="S718" s="344"/>
      <c r="T718" s="344"/>
      <c r="U718" s="344"/>
      <c r="V718" s="344"/>
      <c r="W718" s="344"/>
      <c r="X718" s="344"/>
      <c r="Y718" s="344"/>
      <c r="Z718" s="344"/>
      <c r="AA718" s="344"/>
      <c r="AB718" s="344"/>
      <c r="AC718" s="344"/>
    </row>
    <row r="719" ht="24.75" customHeight="1">
      <c r="A719" s="344"/>
      <c r="B719" s="346"/>
      <c r="C719" s="344"/>
      <c r="D719" s="344"/>
      <c r="E719" s="344"/>
      <c r="F719" s="344"/>
      <c r="G719" s="344"/>
      <c r="H719" s="344"/>
      <c r="I719" s="344"/>
      <c r="J719" s="344"/>
      <c r="K719" s="344"/>
      <c r="L719" s="344"/>
      <c r="M719" s="344"/>
      <c r="N719" s="344"/>
      <c r="O719" s="344"/>
      <c r="P719" s="346"/>
      <c r="Q719" s="344"/>
      <c r="R719" s="344"/>
      <c r="S719" s="344"/>
      <c r="T719" s="344"/>
      <c r="U719" s="344"/>
      <c r="V719" s="344"/>
      <c r="W719" s="344"/>
      <c r="X719" s="344"/>
      <c r="Y719" s="344"/>
      <c r="Z719" s="344"/>
      <c r="AA719" s="344"/>
      <c r="AB719" s="344"/>
      <c r="AC719" s="344"/>
    </row>
    <row r="720" ht="24.75" customHeight="1">
      <c r="A720" s="344"/>
      <c r="B720" s="346"/>
      <c r="C720" s="344"/>
      <c r="D720" s="344"/>
      <c r="E720" s="344"/>
      <c r="F720" s="344"/>
      <c r="G720" s="344"/>
      <c r="H720" s="344"/>
      <c r="I720" s="344"/>
      <c r="J720" s="344"/>
      <c r="K720" s="344"/>
      <c r="L720" s="344"/>
      <c r="M720" s="344"/>
      <c r="N720" s="344"/>
      <c r="O720" s="344"/>
      <c r="P720" s="346"/>
      <c r="Q720" s="344"/>
      <c r="R720" s="344"/>
      <c r="S720" s="344"/>
      <c r="T720" s="344"/>
      <c r="U720" s="344"/>
      <c r="V720" s="344"/>
      <c r="W720" s="344"/>
      <c r="X720" s="344"/>
      <c r="Y720" s="344"/>
      <c r="Z720" s="344"/>
      <c r="AA720" s="344"/>
      <c r="AB720" s="344"/>
      <c r="AC720" s="344"/>
    </row>
    <row r="721" ht="24.75" customHeight="1">
      <c r="A721" s="344"/>
      <c r="B721" s="346"/>
      <c r="C721" s="344"/>
      <c r="D721" s="344"/>
      <c r="E721" s="344"/>
      <c r="F721" s="344"/>
      <c r="G721" s="344"/>
      <c r="H721" s="344"/>
      <c r="I721" s="344"/>
      <c r="J721" s="344"/>
      <c r="K721" s="344"/>
      <c r="L721" s="344"/>
      <c r="M721" s="344"/>
      <c r="N721" s="344"/>
      <c r="O721" s="344"/>
      <c r="P721" s="346"/>
      <c r="Q721" s="344"/>
      <c r="R721" s="344"/>
      <c r="S721" s="344"/>
      <c r="T721" s="344"/>
      <c r="U721" s="344"/>
      <c r="V721" s="344"/>
      <c r="W721" s="344"/>
      <c r="X721" s="344"/>
      <c r="Y721" s="344"/>
      <c r="Z721" s="344"/>
      <c r="AA721" s="344"/>
      <c r="AB721" s="344"/>
      <c r="AC721" s="344"/>
    </row>
    <row r="722" ht="24.75" customHeight="1">
      <c r="A722" s="344"/>
      <c r="B722" s="346"/>
      <c r="C722" s="344"/>
      <c r="D722" s="344"/>
      <c r="E722" s="344"/>
      <c r="F722" s="344"/>
      <c r="G722" s="344"/>
      <c r="H722" s="344"/>
      <c r="I722" s="344"/>
      <c r="J722" s="344"/>
      <c r="K722" s="344"/>
      <c r="L722" s="344"/>
      <c r="M722" s="344"/>
      <c r="N722" s="344"/>
      <c r="O722" s="344"/>
      <c r="P722" s="346"/>
      <c r="Q722" s="344"/>
      <c r="R722" s="344"/>
      <c r="S722" s="344"/>
      <c r="T722" s="344"/>
      <c r="U722" s="344"/>
      <c r="V722" s="344"/>
      <c r="W722" s="344"/>
      <c r="X722" s="344"/>
      <c r="Y722" s="344"/>
      <c r="Z722" s="344"/>
      <c r="AA722" s="344"/>
      <c r="AB722" s="344"/>
      <c r="AC722" s="344"/>
    </row>
    <row r="723" ht="24.75" customHeight="1">
      <c r="A723" s="344"/>
      <c r="B723" s="346"/>
      <c r="C723" s="344"/>
      <c r="D723" s="344"/>
      <c r="E723" s="344"/>
      <c r="F723" s="344"/>
      <c r="G723" s="344"/>
      <c r="H723" s="344"/>
      <c r="I723" s="344"/>
      <c r="J723" s="344"/>
      <c r="K723" s="344"/>
      <c r="L723" s="344"/>
      <c r="M723" s="344"/>
      <c r="N723" s="344"/>
      <c r="O723" s="344"/>
      <c r="P723" s="346"/>
      <c r="Q723" s="344"/>
      <c r="R723" s="344"/>
      <c r="S723" s="344"/>
      <c r="T723" s="344"/>
      <c r="U723" s="344"/>
      <c r="V723" s="344"/>
      <c r="W723" s="344"/>
      <c r="X723" s="344"/>
      <c r="Y723" s="344"/>
      <c r="Z723" s="344"/>
      <c r="AA723" s="344"/>
      <c r="AB723" s="344"/>
      <c r="AC723" s="344"/>
    </row>
    <row r="724" ht="24.75" customHeight="1">
      <c r="A724" s="344"/>
      <c r="B724" s="346"/>
      <c r="C724" s="344"/>
      <c r="D724" s="344"/>
      <c r="E724" s="344"/>
      <c r="F724" s="344"/>
      <c r="G724" s="344"/>
      <c r="H724" s="344"/>
      <c r="I724" s="344"/>
      <c r="J724" s="344"/>
      <c r="K724" s="344"/>
      <c r="L724" s="344"/>
      <c r="M724" s="344"/>
      <c r="N724" s="344"/>
      <c r="O724" s="344"/>
      <c r="P724" s="346"/>
      <c r="Q724" s="344"/>
      <c r="R724" s="344"/>
      <c r="S724" s="344"/>
      <c r="T724" s="344"/>
      <c r="U724" s="344"/>
      <c r="V724" s="344"/>
      <c r="W724" s="344"/>
      <c r="X724" s="344"/>
      <c r="Y724" s="344"/>
      <c r="Z724" s="344"/>
      <c r="AA724" s="344"/>
      <c r="AB724" s="344"/>
      <c r="AC724" s="344"/>
    </row>
    <row r="725" ht="24.75" customHeight="1">
      <c r="A725" s="344"/>
      <c r="B725" s="346"/>
      <c r="C725" s="344"/>
      <c r="D725" s="344"/>
      <c r="E725" s="344"/>
      <c r="F725" s="344"/>
      <c r="G725" s="344"/>
      <c r="H725" s="344"/>
      <c r="I725" s="344"/>
      <c r="J725" s="344"/>
      <c r="K725" s="344"/>
      <c r="L725" s="344"/>
      <c r="M725" s="344"/>
      <c r="N725" s="344"/>
      <c r="O725" s="344"/>
      <c r="P725" s="346"/>
      <c r="Q725" s="344"/>
      <c r="R725" s="344"/>
      <c r="S725" s="344"/>
      <c r="T725" s="344"/>
      <c r="U725" s="344"/>
      <c r="V725" s="344"/>
      <c r="W725" s="344"/>
      <c r="X725" s="344"/>
      <c r="Y725" s="344"/>
      <c r="Z725" s="344"/>
      <c r="AA725" s="344"/>
      <c r="AB725" s="344"/>
      <c r="AC725" s="344"/>
    </row>
    <row r="726" ht="24.75" customHeight="1">
      <c r="A726" s="344"/>
      <c r="B726" s="346"/>
      <c r="C726" s="344"/>
      <c r="D726" s="344"/>
      <c r="E726" s="344"/>
      <c r="F726" s="344"/>
      <c r="G726" s="344"/>
      <c r="H726" s="344"/>
      <c r="I726" s="344"/>
      <c r="J726" s="344"/>
      <c r="K726" s="344"/>
      <c r="L726" s="344"/>
      <c r="M726" s="344"/>
      <c r="N726" s="344"/>
      <c r="O726" s="344"/>
      <c r="P726" s="346"/>
      <c r="Q726" s="344"/>
      <c r="R726" s="344"/>
      <c r="S726" s="344"/>
      <c r="T726" s="344"/>
      <c r="U726" s="344"/>
      <c r="V726" s="344"/>
      <c r="W726" s="344"/>
      <c r="X726" s="344"/>
      <c r="Y726" s="344"/>
      <c r="Z726" s="344"/>
      <c r="AA726" s="344"/>
      <c r="AB726" s="344"/>
      <c r="AC726" s="344"/>
    </row>
    <row r="727" ht="24.75" customHeight="1">
      <c r="A727" s="344"/>
      <c r="B727" s="346"/>
      <c r="C727" s="344"/>
      <c r="D727" s="344"/>
      <c r="E727" s="344"/>
      <c r="F727" s="344"/>
      <c r="G727" s="344"/>
      <c r="H727" s="344"/>
      <c r="I727" s="344"/>
      <c r="J727" s="344"/>
      <c r="K727" s="344"/>
      <c r="L727" s="344"/>
      <c r="M727" s="344"/>
      <c r="N727" s="344"/>
      <c r="O727" s="344"/>
      <c r="P727" s="346"/>
      <c r="Q727" s="344"/>
      <c r="R727" s="344"/>
      <c r="S727" s="344"/>
      <c r="T727" s="344"/>
      <c r="U727" s="344"/>
      <c r="V727" s="344"/>
      <c r="W727" s="344"/>
      <c r="X727" s="344"/>
      <c r="Y727" s="344"/>
      <c r="Z727" s="344"/>
      <c r="AA727" s="344"/>
      <c r="AB727" s="344"/>
      <c r="AC727" s="344"/>
    </row>
    <row r="728" ht="24.75" customHeight="1">
      <c r="A728" s="344"/>
      <c r="B728" s="346"/>
      <c r="C728" s="344"/>
      <c r="D728" s="344"/>
      <c r="E728" s="344"/>
      <c r="F728" s="344"/>
      <c r="G728" s="344"/>
      <c r="H728" s="344"/>
      <c r="I728" s="344"/>
      <c r="J728" s="344"/>
      <c r="K728" s="344"/>
      <c r="L728" s="344"/>
      <c r="M728" s="344"/>
      <c r="N728" s="344"/>
      <c r="O728" s="344"/>
      <c r="P728" s="346"/>
      <c r="Q728" s="344"/>
      <c r="R728" s="344"/>
      <c r="S728" s="344"/>
      <c r="T728" s="344"/>
      <c r="U728" s="344"/>
      <c r="V728" s="344"/>
      <c r="W728" s="344"/>
      <c r="X728" s="344"/>
      <c r="Y728" s="344"/>
      <c r="Z728" s="344"/>
      <c r="AA728" s="344"/>
      <c r="AB728" s="344"/>
      <c r="AC728" s="344"/>
    </row>
    <row r="729" ht="24.75" customHeight="1">
      <c r="A729" s="344"/>
      <c r="B729" s="346"/>
      <c r="C729" s="344"/>
      <c r="D729" s="344"/>
      <c r="E729" s="344"/>
      <c r="F729" s="344"/>
      <c r="G729" s="344"/>
      <c r="H729" s="344"/>
      <c r="I729" s="344"/>
      <c r="J729" s="344"/>
      <c r="K729" s="344"/>
      <c r="L729" s="344"/>
      <c r="M729" s="344"/>
      <c r="N729" s="344"/>
      <c r="O729" s="344"/>
      <c r="P729" s="346"/>
      <c r="Q729" s="344"/>
      <c r="R729" s="344"/>
      <c r="S729" s="344"/>
      <c r="T729" s="344"/>
      <c r="U729" s="344"/>
      <c r="V729" s="344"/>
      <c r="W729" s="344"/>
      <c r="X729" s="344"/>
      <c r="Y729" s="344"/>
      <c r="Z729" s="344"/>
      <c r="AA729" s="344"/>
      <c r="AB729" s="344"/>
      <c r="AC729" s="344"/>
    </row>
    <row r="730" ht="24.75" customHeight="1">
      <c r="A730" s="344"/>
      <c r="B730" s="346"/>
      <c r="C730" s="344"/>
      <c r="D730" s="344"/>
      <c r="E730" s="344"/>
      <c r="F730" s="344"/>
      <c r="G730" s="344"/>
      <c r="H730" s="344"/>
      <c r="I730" s="344"/>
      <c r="J730" s="344"/>
      <c r="K730" s="344"/>
      <c r="L730" s="344"/>
      <c r="M730" s="344"/>
      <c r="N730" s="344"/>
      <c r="O730" s="344"/>
      <c r="P730" s="346"/>
      <c r="Q730" s="344"/>
      <c r="R730" s="344"/>
      <c r="S730" s="344"/>
      <c r="T730" s="344"/>
      <c r="U730" s="344"/>
      <c r="V730" s="344"/>
      <c r="W730" s="344"/>
      <c r="X730" s="344"/>
      <c r="Y730" s="344"/>
      <c r="Z730" s="344"/>
      <c r="AA730" s="344"/>
      <c r="AB730" s="344"/>
      <c r="AC730" s="344"/>
    </row>
    <row r="731" ht="24.75" customHeight="1">
      <c r="A731" s="344"/>
      <c r="B731" s="346"/>
      <c r="C731" s="344"/>
      <c r="D731" s="344"/>
      <c r="E731" s="344"/>
      <c r="F731" s="344"/>
      <c r="G731" s="344"/>
      <c r="H731" s="344"/>
      <c r="I731" s="344"/>
      <c r="J731" s="344"/>
      <c r="K731" s="344"/>
      <c r="L731" s="344"/>
      <c r="M731" s="344"/>
      <c r="N731" s="344"/>
      <c r="O731" s="344"/>
      <c r="P731" s="346"/>
      <c r="Q731" s="344"/>
      <c r="R731" s="344"/>
      <c r="S731" s="344"/>
      <c r="T731" s="344"/>
      <c r="U731" s="344"/>
      <c r="V731" s="344"/>
      <c r="W731" s="344"/>
      <c r="X731" s="344"/>
      <c r="Y731" s="344"/>
      <c r="Z731" s="344"/>
      <c r="AA731" s="344"/>
      <c r="AB731" s="344"/>
      <c r="AC731" s="344"/>
    </row>
    <row r="732" ht="24.75" customHeight="1">
      <c r="A732" s="344"/>
      <c r="B732" s="346"/>
      <c r="C732" s="344"/>
      <c r="D732" s="344"/>
      <c r="E732" s="344"/>
      <c r="F732" s="344"/>
      <c r="G732" s="344"/>
      <c r="H732" s="344"/>
      <c r="I732" s="344"/>
      <c r="J732" s="344"/>
      <c r="K732" s="344"/>
      <c r="L732" s="344"/>
      <c r="M732" s="344"/>
      <c r="N732" s="344"/>
      <c r="O732" s="344"/>
      <c r="P732" s="346"/>
      <c r="Q732" s="344"/>
      <c r="R732" s="344"/>
      <c r="S732" s="344"/>
      <c r="T732" s="344"/>
      <c r="U732" s="344"/>
      <c r="V732" s="344"/>
      <c r="W732" s="344"/>
      <c r="X732" s="344"/>
      <c r="Y732" s="344"/>
      <c r="Z732" s="344"/>
      <c r="AA732" s="344"/>
      <c r="AB732" s="344"/>
      <c r="AC732" s="344"/>
    </row>
    <row r="733" ht="24.75" customHeight="1">
      <c r="A733" s="344"/>
      <c r="B733" s="346"/>
      <c r="C733" s="344"/>
      <c r="D733" s="344"/>
      <c r="E733" s="344"/>
      <c r="F733" s="344"/>
      <c r="G733" s="344"/>
      <c r="H733" s="344"/>
      <c r="I733" s="344"/>
      <c r="J733" s="344"/>
      <c r="K733" s="344"/>
      <c r="L733" s="344"/>
      <c r="M733" s="344"/>
      <c r="N733" s="344"/>
      <c r="O733" s="344"/>
      <c r="P733" s="346"/>
      <c r="Q733" s="344"/>
      <c r="R733" s="344"/>
      <c r="S733" s="344"/>
      <c r="T733" s="344"/>
      <c r="U733" s="344"/>
      <c r="V733" s="344"/>
      <c r="W733" s="344"/>
      <c r="X733" s="344"/>
      <c r="Y733" s="344"/>
      <c r="Z733" s="344"/>
      <c r="AA733" s="344"/>
      <c r="AB733" s="344"/>
      <c r="AC733" s="344"/>
    </row>
    <row r="734" ht="24.75" customHeight="1">
      <c r="A734" s="344"/>
      <c r="B734" s="346"/>
      <c r="C734" s="344"/>
      <c r="D734" s="344"/>
      <c r="E734" s="344"/>
      <c r="F734" s="344"/>
      <c r="G734" s="344"/>
      <c r="H734" s="344"/>
      <c r="I734" s="344"/>
      <c r="J734" s="344"/>
      <c r="K734" s="344"/>
      <c r="L734" s="344"/>
      <c r="M734" s="344"/>
      <c r="N734" s="344"/>
      <c r="O734" s="344"/>
      <c r="P734" s="346"/>
      <c r="Q734" s="344"/>
      <c r="R734" s="344"/>
      <c r="S734" s="344"/>
      <c r="T734" s="344"/>
      <c r="U734" s="344"/>
      <c r="V734" s="344"/>
      <c r="W734" s="344"/>
      <c r="X734" s="344"/>
      <c r="Y734" s="344"/>
      <c r="Z734" s="344"/>
      <c r="AA734" s="344"/>
      <c r="AB734" s="344"/>
      <c r="AC734" s="344"/>
    </row>
    <row r="735" ht="24.75" customHeight="1">
      <c r="A735" s="344"/>
      <c r="B735" s="346"/>
      <c r="C735" s="344"/>
      <c r="D735" s="344"/>
      <c r="E735" s="344"/>
      <c r="F735" s="344"/>
      <c r="G735" s="344"/>
      <c r="H735" s="344"/>
      <c r="I735" s="344"/>
      <c r="J735" s="344"/>
      <c r="K735" s="344"/>
      <c r="L735" s="344"/>
      <c r="M735" s="344"/>
      <c r="N735" s="344"/>
      <c r="O735" s="344"/>
      <c r="P735" s="346"/>
      <c r="Q735" s="344"/>
      <c r="R735" s="344"/>
      <c r="S735" s="344"/>
      <c r="T735" s="344"/>
      <c r="U735" s="344"/>
      <c r="V735" s="344"/>
      <c r="W735" s="344"/>
      <c r="X735" s="344"/>
      <c r="Y735" s="344"/>
      <c r="Z735" s="344"/>
      <c r="AA735" s="344"/>
      <c r="AB735" s="344"/>
      <c r="AC735" s="344"/>
    </row>
    <row r="736" ht="24.75" customHeight="1">
      <c r="A736" s="344"/>
      <c r="B736" s="346"/>
      <c r="C736" s="344"/>
      <c r="D736" s="344"/>
      <c r="E736" s="344"/>
      <c r="F736" s="344"/>
      <c r="G736" s="344"/>
      <c r="H736" s="344"/>
      <c r="I736" s="344"/>
      <c r="J736" s="344"/>
      <c r="K736" s="344"/>
      <c r="L736" s="344"/>
      <c r="M736" s="344"/>
      <c r="N736" s="344"/>
      <c r="O736" s="344"/>
      <c r="P736" s="346"/>
      <c r="Q736" s="344"/>
      <c r="R736" s="344"/>
      <c r="S736" s="344"/>
      <c r="T736" s="344"/>
      <c r="U736" s="344"/>
      <c r="V736" s="344"/>
      <c r="W736" s="344"/>
      <c r="X736" s="344"/>
      <c r="Y736" s="344"/>
      <c r="Z736" s="344"/>
      <c r="AA736" s="344"/>
      <c r="AB736" s="344"/>
      <c r="AC736" s="344"/>
    </row>
    <row r="737" ht="24.75" customHeight="1">
      <c r="A737" s="344"/>
      <c r="B737" s="346"/>
      <c r="C737" s="344"/>
      <c r="D737" s="344"/>
      <c r="E737" s="344"/>
      <c r="F737" s="344"/>
      <c r="G737" s="344"/>
      <c r="H737" s="344"/>
      <c r="I737" s="344"/>
      <c r="J737" s="344"/>
      <c r="K737" s="344"/>
      <c r="L737" s="344"/>
      <c r="M737" s="344"/>
      <c r="N737" s="344"/>
      <c r="O737" s="344"/>
      <c r="P737" s="346"/>
      <c r="Q737" s="344"/>
      <c r="R737" s="344"/>
      <c r="S737" s="344"/>
      <c r="T737" s="344"/>
      <c r="U737" s="344"/>
      <c r="V737" s="344"/>
      <c r="W737" s="344"/>
      <c r="X737" s="344"/>
      <c r="Y737" s="344"/>
      <c r="Z737" s="344"/>
      <c r="AA737" s="344"/>
      <c r="AB737" s="344"/>
      <c r="AC737" s="344"/>
    </row>
    <row r="738" ht="24.75" customHeight="1">
      <c r="A738" s="344"/>
      <c r="B738" s="346"/>
      <c r="C738" s="344"/>
      <c r="D738" s="344"/>
      <c r="E738" s="344"/>
      <c r="F738" s="344"/>
      <c r="G738" s="344"/>
      <c r="H738" s="344"/>
      <c r="I738" s="344"/>
      <c r="J738" s="344"/>
      <c r="K738" s="344"/>
      <c r="L738" s="344"/>
      <c r="M738" s="344"/>
      <c r="N738" s="344"/>
      <c r="O738" s="344"/>
      <c r="P738" s="346"/>
      <c r="Q738" s="344"/>
      <c r="R738" s="344"/>
      <c r="S738" s="344"/>
      <c r="T738" s="344"/>
      <c r="U738" s="344"/>
      <c r="V738" s="344"/>
      <c r="W738" s="344"/>
      <c r="X738" s="344"/>
      <c r="Y738" s="344"/>
      <c r="Z738" s="344"/>
      <c r="AA738" s="344"/>
      <c r="AB738" s="344"/>
      <c r="AC738" s="344"/>
    </row>
    <row r="739" ht="24.75" customHeight="1">
      <c r="A739" s="344"/>
      <c r="B739" s="346"/>
      <c r="C739" s="344"/>
      <c r="D739" s="344"/>
      <c r="E739" s="344"/>
      <c r="F739" s="344"/>
      <c r="G739" s="344"/>
      <c r="H739" s="344"/>
      <c r="I739" s="344"/>
      <c r="J739" s="344"/>
      <c r="K739" s="344"/>
      <c r="L739" s="344"/>
      <c r="M739" s="344"/>
      <c r="N739" s="344"/>
      <c r="O739" s="344"/>
      <c r="P739" s="346"/>
      <c r="Q739" s="344"/>
      <c r="R739" s="344"/>
      <c r="S739" s="344"/>
      <c r="T739" s="344"/>
      <c r="U739" s="344"/>
      <c r="V739" s="344"/>
      <c r="W739" s="344"/>
      <c r="X739" s="344"/>
      <c r="Y739" s="344"/>
      <c r="Z739" s="344"/>
      <c r="AA739" s="344"/>
      <c r="AB739" s="344"/>
      <c r="AC739" s="344"/>
    </row>
    <row r="740" ht="24.75" customHeight="1">
      <c r="A740" s="344"/>
      <c r="B740" s="346"/>
      <c r="C740" s="344"/>
      <c r="D740" s="344"/>
      <c r="E740" s="344"/>
      <c r="F740" s="344"/>
      <c r="G740" s="344"/>
      <c r="H740" s="344"/>
      <c r="I740" s="344"/>
      <c r="J740" s="344"/>
      <c r="K740" s="344"/>
      <c r="L740" s="344"/>
      <c r="M740" s="344"/>
      <c r="N740" s="344"/>
      <c r="O740" s="344"/>
      <c r="P740" s="346"/>
      <c r="Q740" s="344"/>
      <c r="R740" s="344"/>
      <c r="S740" s="344"/>
      <c r="T740" s="344"/>
      <c r="U740" s="344"/>
      <c r="V740" s="344"/>
      <c r="W740" s="344"/>
      <c r="X740" s="344"/>
      <c r="Y740" s="344"/>
      <c r="Z740" s="344"/>
      <c r="AA740" s="344"/>
      <c r="AB740" s="344"/>
      <c r="AC740" s="344"/>
    </row>
    <row r="741" ht="24.75" customHeight="1">
      <c r="A741" s="344"/>
      <c r="B741" s="346"/>
      <c r="C741" s="344"/>
      <c r="D741" s="344"/>
      <c r="E741" s="344"/>
      <c r="F741" s="344"/>
      <c r="G741" s="344"/>
      <c r="H741" s="344"/>
      <c r="I741" s="344"/>
      <c r="J741" s="344"/>
      <c r="K741" s="344"/>
      <c r="L741" s="344"/>
      <c r="M741" s="344"/>
      <c r="N741" s="344"/>
      <c r="O741" s="344"/>
      <c r="P741" s="346"/>
      <c r="Q741" s="344"/>
      <c r="R741" s="344"/>
      <c r="S741" s="344"/>
      <c r="T741" s="344"/>
      <c r="U741" s="344"/>
      <c r="V741" s="344"/>
      <c r="W741" s="344"/>
      <c r="X741" s="344"/>
      <c r="Y741" s="344"/>
      <c r="Z741" s="344"/>
      <c r="AA741" s="344"/>
      <c r="AB741" s="344"/>
      <c r="AC741" s="344"/>
    </row>
    <row r="742" ht="24.75" customHeight="1">
      <c r="A742" s="344"/>
      <c r="B742" s="346"/>
      <c r="C742" s="344"/>
      <c r="D742" s="344"/>
      <c r="E742" s="344"/>
      <c r="F742" s="344"/>
      <c r="G742" s="344"/>
      <c r="H742" s="344"/>
      <c r="I742" s="344"/>
      <c r="J742" s="344"/>
      <c r="K742" s="344"/>
      <c r="L742" s="344"/>
      <c r="M742" s="344"/>
      <c r="N742" s="344"/>
      <c r="O742" s="344"/>
      <c r="P742" s="346"/>
      <c r="Q742" s="344"/>
      <c r="R742" s="344"/>
      <c r="S742" s="344"/>
      <c r="T742" s="344"/>
      <c r="U742" s="344"/>
      <c r="V742" s="344"/>
      <c r="W742" s="344"/>
      <c r="X742" s="344"/>
      <c r="Y742" s="344"/>
      <c r="Z742" s="344"/>
      <c r="AA742" s="344"/>
      <c r="AB742" s="344"/>
      <c r="AC742" s="344"/>
    </row>
    <row r="743" ht="24.75" customHeight="1">
      <c r="A743" s="344"/>
      <c r="B743" s="346"/>
      <c r="C743" s="344"/>
      <c r="D743" s="344"/>
      <c r="E743" s="344"/>
      <c r="F743" s="344"/>
      <c r="G743" s="344"/>
      <c r="H743" s="344"/>
      <c r="I743" s="344"/>
      <c r="J743" s="344"/>
      <c r="K743" s="344"/>
      <c r="L743" s="344"/>
      <c r="M743" s="344"/>
      <c r="N743" s="344"/>
      <c r="O743" s="344"/>
      <c r="P743" s="346"/>
      <c r="Q743" s="344"/>
      <c r="R743" s="344"/>
      <c r="S743" s="344"/>
      <c r="T743" s="344"/>
      <c r="U743" s="344"/>
      <c r="V743" s="344"/>
      <c r="W743" s="344"/>
      <c r="X743" s="344"/>
      <c r="Y743" s="344"/>
      <c r="Z743" s="344"/>
      <c r="AA743" s="344"/>
      <c r="AB743" s="344"/>
      <c r="AC743" s="344"/>
    </row>
    <row r="744" ht="24.75" customHeight="1">
      <c r="A744" s="344"/>
      <c r="B744" s="346"/>
      <c r="C744" s="344"/>
      <c r="D744" s="344"/>
      <c r="E744" s="344"/>
      <c r="F744" s="344"/>
      <c r="G744" s="344"/>
      <c r="H744" s="344"/>
      <c r="I744" s="344"/>
      <c r="J744" s="344"/>
      <c r="K744" s="344"/>
      <c r="L744" s="344"/>
      <c r="M744" s="344"/>
      <c r="N744" s="344"/>
      <c r="O744" s="344"/>
      <c r="P744" s="346"/>
      <c r="Q744" s="344"/>
      <c r="R744" s="344"/>
      <c r="S744" s="344"/>
      <c r="T744" s="344"/>
      <c r="U744" s="344"/>
      <c r="V744" s="344"/>
      <c r="W744" s="344"/>
      <c r="X744" s="344"/>
      <c r="Y744" s="344"/>
      <c r="Z744" s="344"/>
      <c r="AA744" s="344"/>
      <c r="AB744" s="344"/>
      <c r="AC744" s="344"/>
    </row>
    <row r="745" ht="24.75" customHeight="1">
      <c r="A745" s="344"/>
      <c r="B745" s="346"/>
      <c r="C745" s="344"/>
      <c r="D745" s="344"/>
      <c r="E745" s="344"/>
      <c r="F745" s="344"/>
      <c r="G745" s="344"/>
      <c r="H745" s="344"/>
      <c r="I745" s="344"/>
      <c r="J745" s="344"/>
      <c r="K745" s="344"/>
      <c r="L745" s="344"/>
      <c r="M745" s="344"/>
      <c r="N745" s="344"/>
      <c r="O745" s="344"/>
      <c r="P745" s="346"/>
      <c r="Q745" s="344"/>
      <c r="R745" s="344"/>
      <c r="S745" s="344"/>
      <c r="T745" s="344"/>
      <c r="U745" s="344"/>
      <c r="V745" s="344"/>
      <c r="W745" s="344"/>
      <c r="X745" s="344"/>
      <c r="Y745" s="344"/>
      <c r="Z745" s="344"/>
      <c r="AA745" s="344"/>
      <c r="AB745" s="344"/>
      <c r="AC745" s="344"/>
    </row>
    <row r="746" ht="24.75" customHeight="1">
      <c r="A746" s="344"/>
      <c r="B746" s="346"/>
      <c r="C746" s="344"/>
      <c r="D746" s="344"/>
      <c r="E746" s="344"/>
      <c r="F746" s="344"/>
      <c r="G746" s="344"/>
      <c r="H746" s="344"/>
      <c r="I746" s="344"/>
      <c r="J746" s="344"/>
      <c r="K746" s="344"/>
      <c r="L746" s="344"/>
      <c r="M746" s="344"/>
      <c r="N746" s="344"/>
      <c r="O746" s="344"/>
      <c r="P746" s="346"/>
      <c r="Q746" s="344"/>
      <c r="R746" s="344"/>
      <c r="S746" s="344"/>
      <c r="T746" s="344"/>
      <c r="U746" s="344"/>
      <c r="V746" s="344"/>
      <c r="W746" s="344"/>
      <c r="X746" s="344"/>
      <c r="Y746" s="344"/>
      <c r="Z746" s="344"/>
      <c r="AA746" s="344"/>
      <c r="AB746" s="344"/>
      <c r="AC746" s="344"/>
    </row>
    <row r="747" ht="24.75" customHeight="1">
      <c r="A747" s="344"/>
      <c r="B747" s="346"/>
      <c r="C747" s="344"/>
      <c r="D747" s="344"/>
      <c r="E747" s="344"/>
      <c r="F747" s="344"/>
      <c r="G747" s="344"/>
      <c r="H747" s="344"/>
      <c r="I747" s="344"/>
      <c r="J747" s="344"/>
      <c r="K747" s="344"/>
      <c r="L747" s="344"/>
      <c r="M747" s="344"/>
      <c r="N747" s="344"/>
      <c r="O747" s="344"/>
      <c r="P747" s="346"/>
      <c r="Q747" s="344"/>
      <c r="R747" s="344"/>
      <c r="S747" s="344"/>
      <c r="T747" s="344"/>
      <c r="U747" s="344"/>
      <c r="V747" s="344"/>
      <c r="W747" s="344"/>
      <c r="X747" s="344"/>
      <c r="Y747" s="344"/>
      <c r="Z747" s="344"/>
      <c r="AA747" s="344"/>
      <c r="AB747" s="344"/>
      <c r="AC747" s="344"/>
    </row>
    <row r="748" ht="24.75" customHeight="1">
      <c r="A748" s="344"/>
      <c r="B748" s="346"/>
      <c r="C748" s="344"/>
      <c r="D748" s="344"/>
      <c r="E748" s="344"/>
      <c r="F748" s="344"/>
      <c r="G748" s="344"/>
      <c r="H748" s="344"/>
      <c r="I748" s="344"/>
      <c r="J748" s="344"/>
      <c r="K748" s="344"/>
      <c r="L748" s="344"/>
      <c r="M748" s="344"/>
      <c r="N748" s="344"/>
      <c r="O748" s="344"/>
      <c r="P748" s="346"/>
      <c r="Q748" s="344"/>
      <c r="R748" s="344"/>
      <c r="S748" s="344"/>
      <c r="T748" s="344"/>
      <c r="U748" s="344"/>
      <c r="V748" s="344"/>
      <c r="W748" s="344"/>
      <c r="X748" s="344"/>
      <c r="Y748" s="344"/>
      <c r="Z748" s="344"/>
      <c r="AA748" s="344"/>
      <c r="AB748" s="344"/>
      <c r="AC748" s="344"/>
    </row>
    <row r="749" ht="24.75" customHeight="1">
      <c r="A749" s="344"/>
      <c r="B749" s="346"/>
      <c r="C749" s="344"/>
      <c r="D749" s="344"/>
      <c r="E749" s="344"/>
      <c r="F749" s="344"/>
      <c r="G749" s="344"/>
      <c r="H749" s="344"/>
      <c r="I749" s="344"/>
      <c r="J749" s="344"/>
      <c r="K749" s="344"/>
      <c r="L749" s="344"/>
      <c r="M749" s="344"/>
      <c r="N749" s="344"/>
      <c r="O749" s="344"/>
      <c r="P749" s="346"/>
      <c r="Q749" s="344"/>
      <c r="R749" s="344"/>
      <c r="S749" s="344"/>
      <c r="T749" s="344"/>
      <c r="U749" s="344"/>
      <c r="V749" s="344"/>
      <c r="W749" s="344"/>
      <c r="X749" s="344"/>
      <c r="Y749" s="344"/>
      <c r="Z749" s="344"/>
      <c r="AA749" s="344"/>
      <c r="AB749" s="344"/>
      <c r="AC749" s="344"/>
    </row>
    <row r="750" ht="24.75" customHeight="1">
      <c r="A750" s="344"/>
      <c r="B750" s="346"/>
      <c r="C750" s="344"/>
      <c r="D750" s="344"/>
      <c r="E750" s="344"/>
      <c r="F750" s="344"/>
      <c r="G750" s="344"/>
      <c r="H750" s="344"/>
      <c r="I750" s="344"/>
      <c r="J750" s="344"/>
      <c r="K750" s="344"/>
      <c r="L750" s="344"/>
      <c r="M750" s="344"/>
      <c r="N750" s="344"/>
      <c r="O750" s="344"/>
      <c r="P750" s="346"/>
      <c r="Q750" s="344"/>
      <c r="R750" s="344"/>
      <c r="S750" s="344"/>
      <c r="T750" s="344"/>
      <c r="U750" s="344"/>
      <c r="V750" s="344"/>
      <c r="W750" s="344"/>
      <c r="X750" s="344"/>
      <c r="Y750" s="344"/>
      <c r="Z750" s="344"/>
      <c r="AA750" s="344"/>
      <c r="AB750" s="344"/>
      <c r="AC750" s="344"/>
    </row>
    <row r="751" ht="24.75" customHeight="1">
      <c r="A751" s="344"/>
      <c r="B751" s="346"/>
      <c r="C751" s="344"/>
      <c r="D751" s="344"/>
      <c r="E751" s="344"/>
      <c r="F751" s="344"/>
      <c r="G751" s="344"/>
      <c r="H751" s="344"/>
      <c r="I751" s="344"/>
      <c r="J751" s="344"/>
      <c r="K751" s="344"/>
      <c r="L751" s="344"/>
      <c r="M751" s="344"/>
      <c r="N751" s="344"/>
      <c r="O751" s="344"/>
      <c r="P751" s="346"/>
      <c r="Q751" s="344"/>
      <c r="R751" s="344"/>
      <c r="S751" s="344"/>
      <c r="T751" s="344"/>
      <c r="U751" s="344"/>
      <c r="V751" s="344"/>
      <c r="W751" s="344"/>
      <c r="X751" s="344"/>
      <c r="Y751" s="344"/>
      <c r="Z751" s="344"/>
      <c r="AA751" s="344"/>
      <c r="AB751" s="344"/>
      <c r="AC751" s="344"/>
    </row>
    <row r="752" ht="24.75" customHeight="1">
      <c r="A752" s="344"/>
      <c r="B752" s="346"/>
      <c r="C752" s="344"/>
      <c r="D752" s="344"/>
      <c r="E752" s="344"/>
      <c r="F752" s="344"/>
      <c r="G752" s="344"/>
      <c r="H752" s="344"/>
      <c r="I752" s="344"/>
      <c r="J752" s="344"/>
      <c r="K752" s="344"/>
      <c r="L752" s="344"/>
      <c r="M752" s="344"/>
      <c r="N752" s="344"/>
      <c r="O752" s="344"/>
      <c r="P752" s="346"/>
      <c r="Q752" s="344"/>
      <c r="R752" s="344"/>
      <c r="S752" s="344"/>
      <c r="T752" s="344"/>
      <c r="U752" s="344"/>
      <c r="V752" s="344"/>
      <c r="W752" s="344"/>
      <c r="X752" s="344"/>
      <c r="Y752" s="344"/>
      <c r="Z752" s="344"/>
      <c r="AA752" s="344"/>
      <c r="AB752" s="344"/>
      <c r="AC752" s="344"/>
    </row>
    <row r="753" ht="24.75" customHeight="1">
      <c r="A753" s="344"/>
      <c r="B753" s="346"/>
      <c r="C753" s="344"/>
      <c r="D753" s="344"/>
      <c r="E753" s="344"/>
      <c r="F753" s="344"/>
      <c r="G753" s="344"/>
      <c r="H753" s="344"/>
      <c r="I753" s="344"/>
      <c r="J753" s="344"/>
      <c r="K753" s="344"/>
      <c r="L753" s="344"/>
      <c r="M753" s="344"/>
      <c r="N753" s="344"/>
      <c r="O753" s="344"/>
      <c r="P753" s="346"/>
      <c r="Q753" s="344"/>
      <c r="R753" s="344"/>
      <c r="S753" s="344"/>
      <c r="T753" s="344"/>
      <c r="U753" s="344"/>
      <c r="V753" s="344"/>
      <c r="W753" s="344"/>
      <c r="X753" s="344"/>
      <c r="Y753" s="344"/>
      <c r="Z753" s="344"/>
      <c r="AA753" s="344"/>
      <c r="AB753" s="344"/>
      <c r="AC753" s="344"/>
    </row>
    <row r="754" ht="24.75" customHeight="1">
      <c r="A754" s="344"/>
      <c r="B754" s="346"/>
      <c r="C754" s="344"/>
      <c r="D754" s="344"/>
      <c r="E754" s="344"/>
      <c r="F754" s="344"/>
      <c r="G754" s="344"/>
      <c r="H754" s="344"/>
      <c r="I754" s="344"/>
      <c r="J754" s="344"/>
      <c r="K754" s="344"/>
      <c r="L754" s="344"/>
      <c r="M754" s="344"/>
      <c r="N754" s="344"/>
      <c r="O754" s="344"/>
      <c r="P754" s="346"/>
      <c r="Q754" s="344"/>
      <c r="R754" s="344"/>
      <c r="S754" s="344"/>
      <c r="T754" s="344"/>
      <c r="U754" s="344"/>
      <c r="V754" s="344"/>
      <c r="W754" s="344"/>
      <c r="X754" s="344"/>
      <c r="Y754" s="344"/>
      <c r="Z754" s="344"/>
      <c r="AA754" s="344"/>
      <c r="AB754" s="344"/>
      <c r="AC754" s="344"/>
    </row>
    <row r="755" ht="24.75" customHeight="1">
      <c r="A755" s="344"/>
      <c r="B755" s="346"/>
      <c r="C755" s="344"/>
      <c r="D755" s="344"/>
      <c r="E755" s="344"/>
      <c r="F755" s="344"/>
      <c r="G755" s="344"/>
      <c r="H755" s="344"/>
      <c r="I755" s="344"/>
      <c r="J755" s="344"/>
      <c r="K755" s="344"/>
      <c r="L755" s="344"/>
      <c r="M755" s="344"/>
      <c r="N755" s="344"/>
      <c r="O755" s="344"/>
      <c r="P755" s="346"/>
      <c r="Q755" s="344"/>
      <c r="R755" s="344"/>
      <c r="S755" s="344"/>
      <c r="T755" s="344"/>
      <c r="U755" s="344"/>
      <c r="V755" s="344"/>
      <c r="W755" s="344"/>
      <c r="X755" s="344"/>
      <c r="Y755" s="344"/>
      <c r="Z755" s="344"/>
      <c r="AA755" s="344"/>
      <c r="AB755" s="344"/>
      <c r="AC755" s="344"/>
    </row>
    <row r="756" ht="24.75" customHeight="1">
      <c r="A756" s="344"/>
      <c r="B756" s="346"/>
      <c r="C756" s="344"/>
      <c r="D756" s="344"/>
      <c r="E756" s="344"/>
      <c r="F756" s="344"/>
      <c r="G756" s="344"/>
      <c r="H756" s="344"/>
      <c r="I756" s="344"/>
      <c r="J756" s="344"/>
      <c r="K756" s="344"/>
      <c r="L756" s="344"/>
      <c r="M756" s="344"/>
      <c r="N756" s="344"/>
      <c r="O756" s="344"/>
      <c r="P756" s="346"/>
      <c r="Q756" s="344"/>
      <c r="R756" s="344"/>
      <c r="S756" s="344"/>
      <c r="T756" s="344"/>
      <c r="U756" s="344"/>
      <c r="V756" s="344"/>
      <c r="W756" s="344"/>
      <c r="X756" s="344"/>
      <c r="Y756" s="344"/>
      <c r="Z756" s="344"/>
      <c r="AA756" s="344"/>
      <c r="AB756" s="344"/>
      <c r="AC756" s="344"/>
    </row>
    <row r="757" ht="24.75" customHeight="1">
      <c r="A757" s="344"/>
      <c r="B757" s="346"/>
      <c r="C757" s="344"/>
      <c r="D757" s="344"/>
      <c r="E757" s="344"/>
      <c r="F757" s="344"/>
      <c r="G757" s="344"/>
      <c r="H757" s="344"/>
      <c r="I757" s="344"/>
      <c r="J757" s="344"/>
      <c r="K757" s="344"/>
      <c r="L757" s="344"/>
      <c r="M757" s="344"/>
      <c r="N757" s="344"/>
      <c r="O757" s="344"/>
      <c r="P757" s="346"/>
      <c r="Q757" s="344"/>
      <c r="R757" s="344"/>
      <c r="S757" s="344"/>
      <c r="T757" s="344"/>
      <c r="U757" s="344"/>
      <c r="V757" s="344"/>
      <c r="W757" s="344"/>
      <c r="X757" s="344"/>
      <c r="Y757" s="344"/>
      <c r="Z757" s="344"/>
      <c r="AA757" s="344"/>
      <c r="AB757" s="344"/>
      <c r="AC757" s="344"/>
    </row>
    <row r="758" ht="24.75" customHeight="1">
      <c r="A758" s="344"/>
      <c r="B758" s="346"/>
      <c r="C758" s="344"/>
      <c r="D758" s="344"/>
      <c r="E758" s="344"/>
      <c r="F758" s="344"/>
      <c r="G758" s="344"/>
      <c r="H758" s="344"/>
      <c r="I758" s="344"/>
      <c r="J758" s="344"/>
      <c r="K758" s="344"/>
      <c r="L758" s="344"/>
      <c r="M758" s="344"/>
      <c r="N758" s="344"/>
      <c r="O758" s="344"/>
      <c r="P758" s="346"/>
      <c r="Q758" s="344"/>
      <c r="R758" s="344"/>
      <c r="S758" s="344"/>
      <c r="T758" s="344"/>
      <c r="U758" s="344"/>
      <c r="V758" s="344"/>
      <c r="W758" s="344"/>
      <c r="X758" s="344"/>
      <c r="Y758" s="344"/>
      <c r="Z758" s="344"/>
      <c r="AA758" s="344"/>
      <c r="AB758" s="344"/>
      <c r="AC758" s="344"/>
    </row>
    <row r="759" ht="24.75" customHeight="1">
      <c r="A759" s="344"/>
      <c r="B759" s="346"/>
      <c r="C759" s="344"/>
      <c r="D759" s="344"/>
      <c r="E759" s="344"/>
      <c r="F759" s="344"/>
      <c r="G759" s="344"/>
      <c r="H759" s="344"/>
      <c r="I759" s="344"/>
      <c r="J759" s="344"/>
      <c r="K759" s="344"/>
      <c r="L759" s="344"/>
      <c r="M759" s="344"/>
      <c r="N759" s="344"/>
      <c r="O759" s="344"/>
      <c r="P759" s="346"/>
      <c r="Q759" s="344"/>
      <c r="R759" s="344"/>
      <c r="S759" s="344"/>
      <c r="T759" s="344"/>
      <c r="U759" s="344"/>
      <c r="V759" s="344"/>
      <c r="W759" s="344"/>
      <c r="X759" s="344"/>
      <c r="Y759" s="344"/>
      <c r="Z759" s="344"/>
      <c r="AA759" s="344"/>
      <c r="AB759" s="344"/>
      <c r="AC759" s="344"/>
    </row>
    <row r="760" ht="24.75" customHeight="1">
      <c r="A760" s="344"/>
      <c r="B760" s="346"/>
      <c r="C760" s="344"/>
      <c r="D760" s="344"/>
      <c r="E760" s="344"/>
      <c r="F760" s="344"/>
      <c r="G760" s="344"/>
      <c r="H760" s="344"/>
      <c r="I760" s="344"/>
      <c r="J760" s="344"/>
      <c r="K760" s="344"/>
      <c r="L760" s="344"/>
      <c r="M760" s="344"/>
      <c r="N760" s="344"/>
      <c r="O760" s="344"/>
      <c r="P760" s="346"/>
      <c r="Q760" s="344"/>
      <c r="R760" s="344"/>
      <c r="S760" s="344"/>
      <c r="T760" s="344"/>
      <c r="U760" s="344"/>
      <c r="V760" s="344"/>
      <c r="W760" s="344"/>
      <c r="X760" s="344"/>
      <c r="Y760" s="344"/>
      <c r="Z760" s="344"/>
      <c r="AA760" s="344"/>
      <c r="AB760" s="344"/>
      <c r="AC760" s="344"/>
    </row>
    <row r="761" ht="24.75" customHeight="1">
      <c r="A761" s="344"/>
      <c r="B761" s="346"/>
      <c r="C761" s="344"/>
      <c r="D761" s="344"/>
      <c r="E761" s="344"/>
      <c r="F761" s="344"/>
      <c r="G761" s="344"/>
      <c r="H761" s="344"/>
      <c r="I761" s="344"/>
      <c r="J761" s="344"/>
      <c r="K761" s="344"/>
      <c r="L761" s="344"/>
      <c r="M761" s="344"/>
      <c r="N761" s="344"/>
      <c r="O761" s="344"/>
      <c r="P761" s="346"/>
      <c r="Q761" s="344"/>
      <c r="R761" s="344"/>
      <c r="S761" s="344"/>
      <c r="T761" s="344"/>
      <c r="U761" s="344"/>
      <c r="V761" s="344"/>
      <c r="W761" s="344"/>
      <c r="X761" s="344"/>
      <c r="Y761" s="344"/>
      <c r="Z761" s="344"/>
      <c r="AA761" s="344"/>
      <c r="AB761" s="344"/>
      <c r="AC761" s="344"/>
    </row>
    <row r="762" ht="24.75" customHeight="1">
      <c r="A762" s="344"/>
      <c r="B762" s="346"/>
      <c r="C762" s="344"/>
      <c r="D762" s="344"/>
      <c r="E762" s="344"/>
      <c r="F762" s="344"/>
      <c r="G762" s="344"/>
      <c r="H762" s="344"/>
      <c r="I762" s="344"/>
      <c r="J762" s="344"/>
      <c r="K762" s="344"/>
      <c r="L762" s="344"/>
      <c r="M762" s="344"/>
      <c r="N762" s="344"/>
      <c r="O762" s="344"/>
      <c r="P762" s="346"/>
      <c r="Q762" s="344"/>
      <c r="R762" s="344"/>
      <c r="S762" s="344"/>
      <c r="T762" s="344"/>
      <c r="U762" s="344"/>
      <c r="V762" s="344"/>
      <c r="W762" s="344"/>
      <c r="X762" s="344"/>
      <c r="Y762" s="344"/>
      <c r="Z762" s="344"/>
      <c r="AA762" s="344"/>
      <c r="AB762" s="344"/>
      <c r="AC762" s="344"/>
    </row>
    <row r="763" ht="24.75" customHeight="1">
      <c r="A763" s="344"/>
      <c r="B763" s="346"/>
      <c r="C763" s="344"/>
      <c r="D763" s="344"/>
      <c r="E763" s="344"/>
      <c r="F763" s="344"/>
      <c r="G763" s="344"/>
      <c r="H763" s="344"/>
      <c r="I763" s="344"/>
      <c r="J763" s="344"/>
      <c r="K763" s="344"/>
      <c r="L763" s="344"/>
      <c r="M763" s="344"/>
      <c r="N763" s="344"/>
      <c r="O763" s="344"/>
      <c r="P763" s="346"/>
      <c r="Q763" s="344"/>
      <c r="R763" s="344"/>
      <c r="S763" s="344"/>
      <c r="T763" s="344"/>
      <c r="U763" s="344"/>
      <c r="V763" s="344"/>
      <c r="W763" s="344"/>
      <c r="X763" s="344"/>
      <c r="Y763" s="344"/>
      <c r="Z763" s="344"/>
      <c r="AA763" s="344"/>
      <c r="AB763" s="344"/>
      <c r="AC763" s="344"/>
    </row>
    <row r="764" ht="24.75" customHeight="1">
      <c r="A764" s="344"/>
      <c r="B764" s="346"/>
      <c r="C764" s="344"/>
      <c r="D764" s="344"/>
      <c r="E764" s="344"/>
      <c r="F764" s="344"/>
      <c r="G764" s="344"/>
      <c r="H764" s="344"/>
      <c r="I764" s="344"/>
      <c r="J764" s="344"/>
      <c r="K764" s="344"/>
      <c r="L764" s="344"/>
      <c r="M764" s="344"/>
      <c r="N764" s="344"/>
      <c r="O764" s="344"/>
      <c r="P764" s="346"/>
      <c r="Q764" s="344"/>
      <c r="R764" s="344"/>
      <c r="S764" s="344"/>
      <c r="T764" s="344"/>
      <c r="U764" s="344"/>
      <c r="V764" s="344"/>
      <c r="W764" s="344"/>
      <c r="X764" s="344"/>
      <c r="Y764" s="344"/>
      <c r="Z764" s="344"/>
      <c r="AA764" s="344"/>
      <c r="AB764" s="344"/>
      <c r="AC764" s="344"/>
    </row>
    <row r="765" ht="24.75" customHeight="1">
      <c r="A765" s="344"/>
      <c r="B765" s="346"/>
      <c r="C765" s="344"/>
      <c r="D765" s="344"/>
      <c r="E765" s="344"/>
      <c r="F765" s="344"/>
      <c r="G765" s="344"/>
      <c r="H765" s="344"/>
      <c r="I765" s="344"/>
      <c r="J765" s="344"/>
      <c r="K765" s="344"/>
      <c r="L765" s="344"/>
      <c r="M765" s="344"/>
      <c r="N765" s="344"/>
      <c r="O765" s="344"/>
      <c r="P765" s="346"/>
      <c r="Q765" s="344"/>
      <c r="R765" s="344"/>
      <c r="S765" s="344"/>
      <c r="T765" s="344"/>
      <c r="U765" s="344"/>
      <c r="V765" s="344"/>
      <c r="W765" s="344"/>
      <c r="X765" s="344"/>
      <c r="Y765" s="344"/>
      <c r="Z765" s="344"/>
      <c r="AA765" s="344"/>
      <c r="AB765" s="344"/>
      <c r="AC765" s="344"/>
    </row>
    <row r="766" ht="24.75" customHeight="1">
      <c r="A766" s="344"/>
      <c r="B766" s="346"/>
      <c r="C766" s="344"/>
      <c r="D766" s="344"/>
      <c r="E766" s="344"/>
      <c r="F766" s="344"/>
      <c r="G766" s="344"/>
      <c r="H766" s="344"/>
      <c r="I766" s="344"/>
      <c r="J766" s="344"/>
      <c r="K766" s="344"/>
      <c r="L766" s="344"/>
      <c r="M766" s="344"/>
      <c r="N766" s="344"/>
      <c r="O766" s="344"/>
      <c r="P766" s="346"/>
      <c r="Q766" s="344"/>
      <c r="R766" s="344"/>
      <c r="S766" s="344"/>
      <c r="T766" s="344"/>
      <c r="U766" s="344"/>
      <c r="V766" s="344"/>
      <c r="W766" s="344"/>
      <c r="X766" s="344"/>
      <c r="Y766" s="344"/>
      <c r="Z766" s="344"/>
      <c r="AA766" s="344"/>
      <c r="AB766" s="344"/>
      <c r="AC766" s="344"/>
    </row>
    <row r="767" ht="24.75" customHeight="1">
      <c r="A767" s="344"/>
      <c r="B767" s="346"/>
      <c r="C767" s="344"/>
      <c r="D767" s="344"/>
      <c r="E767" s="344"/>
      <c r="F767" s="344"/>
      <c r="G767" s="344"/>
      <c r="H767" s="344"/>
      <c r="I767" s="344"/>
      <c r="J767" s="344"/>
      <c r="K767" s="344"/>
      <c r="L767" s="344"/>
      <c r="M767" s="344"/>
      <c r="N767" s="344"/>
      <c r="O767" s="344"/>
      <c r="P767" s="346"/>
      <c r="Q767" s="344"/>
      <c r="R767" s="344"/>
      <c r="S767" s="344"/>
      <c r="T767" s="344"/>
      <c r="U767" s="344"/>
      <c r="V767" s="344"/>
      <c r="W767" s="344"/>
      <c r="X767" s="344"/>
      <c r="Y767" s="344"/>
      <c r="Z767" s="344"/>
      <c r="AA767" s="344"/>
      <c r="AB767" s="344"/>
      <c r="AC767" s="344"/>
    </row>
    <row r="768" ht="24.75" customHeight="1">
      <c r="A768" s="344"/>
      <c r="B768" s="346"/>
      <c r="C768" s="344"/>
      <c r="D768" s="344"/>
      <c r="E768" s="344"/>
      <c r="F768" s="344"/>
      <c r="G768" s="344"/>
      <c r="H768" s="344"/>
      <c r="I768" s="344"/>
      <c r="J768" s="344"/>
      <c r="K768" s="344"/>
      <c r="L768" s="344"/>
      <c r="M768" s="344"/>
      <c r="N768" s="344"/>
      <c r="O768" s="344"/>
      <c r="P768" s="346"/>
      <c r="Q768" s="344"/>
      <c r="R768" s="344"/>
      <c r="S768" s="344"/>
      <c r="T768" s="344"/>
      <c r="U768" s="344"/>
      <c r="V768" s="344"/>
      <c r="W768" s="344"/>
      <c r="X768" s="344"/>
      <c r="Y768" s="344"/>
      <c r="Z768" s="344"/>
      <c r="AA768" s="344"/>
      <c r="AB768" s="344"/>
      <c r="AC768" s="344"/>
    </row>
    <row r="769" ht="24.75" customHeight="1">
      <c r="A769" s="344"/>
      <c r="B769" s="346"/>
      <c r="C769" s="344"/>
      <c r="D769" s="344"/>
      <c r="E769" s="344"/>
      <c r="F769" s="344"/>
      <c r="G769" s="344"/>
      <c r="H769" s="344"/>
      <c r="I769" s="344"/>
      <c r="J769" s="344"/>
      <c r="K769" s="344"/>
      <c r="L769" s="344"/>
      <c r="M769" s="344"/>
      <c r="N769" s="344"/>
      <c r="O769" s="344"/>
      <c r="P769" s="346"/>
      <c r="Q769" s="344"/>
      <c r="R769" s="344"/>
      <c r="S769" s="344"/>
      <c r="T769" s="344"/>
      <c r="U769" s="344"/>
      <c r="V769" s="344"/>
      <c r="W769" s="344"/>
      <c r="X769" s="344"/>
      <c r="Y769" s="344"/>
      <c r="Z769" s="344"/>
      <c r="AA769" s="344"/>
      <c r="AB769" s="344"/>
      <c r="AC769" s="344"/>
    </row>
    <row r="770" ht="24.75" customHeight="1">
      <c r="A770" s="344"/>
      <c r="B770" s="346"/>
      <c r="C770" s="344"/>
      <c r="D770" s="344"/>
      <c r="E770" s="344"/>
      <c r="F770" s="344"/>
      <c r="G770" s="344"/>
      <c r="H770" s="344"/>
      <c r="I770" s="344"/>
      <c r="J770" s="344"/>
      <c r="K770" s="344"/>
      <c r="L770" s="344"/>
      <c r="M770" s="344"/>
      <c r="N770" s="344"/>
      <c r="O770" s="344"/>
      <c r="P770" s="346"/>
      <c r="Q770" s="344"/>
      <c r="R770" s="344"/>
      <c r="S770" s="344"/>
      <c r="T770" s="344"/>
      <c r="U770" s="344"/>
      <c r="V770" s="344"/>
      <c r="W770" s="344"/>
      <c r="X770" s="344"/>
      <c r="Y770" s="344"/>
      <c r="Z770" s="344"/>
      <c r="AA770" s="344"/>
      <c r="AB770" s="344"/>
      <c r="AC770" s="344"/>
    </row>
    <row r="771" ht="24.75" customHeight="1">
      <c r="A771" s="344"/>
      <c r="B771" s="346"/>
      <c r="C771" s="344"/>
      <c r="D771" s="344"/>
      <c r="E771" s="344"/>
      <c r="F771" s="344"/>
      <c r="G771" s="344"/>
      <c r="H771" s="344"/>
      <c r="I771" s="344"/>
      <c r="J771" s="344"/>
      <c r="K771" s="344"/>
      <c r="L771" s="344"/>
      <c r="M771" s="344"/>
      <c r="N771" s="344"/>
      <c r="O771" s="344"/>
      <c r="P771" s="346"/>
      <c r="Q771" s="344"/>
      <c r="R771" s="344"/>
      <c r="S771" s="344"/>
      <c r="T771" s="344"/>
      <c r="U771" s="344"/>
      <c r="V771" s="344"/>
      <c r="W771" s="344"/>
      <c r="X771" s="344"/>
      <c r="Y771" s="344"/>
      <c r="Z771" s="344"/>
      <c r="AA771" s="344"/>
      <c r="AB771" s="344"/>
      <c r="AC771" s="344"/>
    </row>
    <row r="772" ht="24.75" customHeight="1">
      <c r="A772" s="344"/>
      <c r="B772" s="346"/>
      <c r="C772" s="344"/>
      <c r="D772" s="344"/>
      <c r="E772" s="344"/>
      <c r="F772" s="344"/>
      <c r="G772" s="344"/>
      <c r="H772" s="344"/>
      <c r="I772" s="344"/>
      <c r="J772" s="344"/>
      <c r="K772" s="344"/>
      <c r="L772" s="344"/>
      <c r="M772" s="344"/>
      <c r="N772" s="344"/>
      <c r="O772" s="344"/>
      <c r="P772" s="346"/>
      <c r="Q772" s="344"/>
      <c r="R772" s="344"/>
      <c r="S772" s="344"/>
      <c r="T772" s="344"/>
      <c r="U772" s="344"/>
      <c r="V772" s="344"/>
      <c r="W772" s="344"/>
      <c r="X772" s="344"/>
      <c r="Y772" s="344"/>
      <c r="Z772" s="344"/>
      <c r="AA772" s="344"/>
      <c r="AB772" s="344"/>
      <c r="AC772" s="344"/>
    </row>
    <row r="773" ht="24.75" customHeight="1">
      <c r="A773" s="344"/>
      <c r="B773" s="346"/>
      <c r="C773" s="344"/>
      <c r="D773" s="344"/>
      <c r="E773" s="344"/>
      <c r="F773" s="344"/>
      <c r="G773" s="344"/>
      <c r="H773" s="344"/>
      <c r="I773" s="344"/>
      <c r="J773" s="344"/>
      <c r="K773" s="344"/>
      <c r="L773" s="344"/>
      <c r="M773" s="344"/>
      <c r="N773" s="344"/>
      <c r="O773" s="344"/>
      <c r="P773" s="346"/>
      <c r="Q773" s="344"/>
      <c r="R773" s="344"/>
      <c r="S773" s="344"/>
      <c r="T773" s="344"/>
      <c r="U773" s="344"/>
      <c r="V773" s="344"/>
      <c r="W773" s="344"/>
      <c r="X773" s="344"/>
      <c r="Y773" s="344"/>
      <c r="Z773" s="344"/>
      <c r="AA773" s="344"/>
      <c r="AB773" s="344"/>
      <c r="AC773" s="344"/>
    </row>
    <row r="774" ht="24.75" customHeight="1">
      <c r="A774" s="344"/>
      <c r="B774" s="346"/>
      <c r="C774" s="344"/>
      <c r="D774" s="344"/>
      <c r="E774" s="344"/>
      <c r="F774" s="344"/>
      <c r="G774" s="344"/>
      <c r="H774" s="344"/>
      <c r="I774" s="344"/>
      <c r="J774" s="344"/>
      <c r="K774" s="344"/>
      <c r="L774" s="344"/>
      <c r="M774" s="344"/>
      <c r="N774" s="344"/>
      <c r="O774" s="344"/>
      <c r="P774" s="346"/>
      <c r="Q774" s="344"/>
      <c r="R774" s="344"/>
      <c r="S774" s="344"/>
      <c r="T774" s="344"/>
      <c r="U774" s="344"/>
      <c r="V774" s="344"/>
      <c r="W774" s="344"/>
      <c r="X774" s="344"/>
      <c r="Y774" s="344"/>
      <c r="Z774" s="344"/>
      <c r="AA774" s="344"/>
      <c r="AB774" s="344"/>
      <c r="AC774" s="344"/>
    </row>
    <row r="775" ht="24.75" customHeight="1">
      <c r="A775" s="344"/>
      <c r="B775" s="346"/>
      <c r="C775" s="344"/>
      <c r="D775" s="344"/>
      <c r="E775" s="344"/>
      <c r="F775" s="344"/>
      <c r="G775" s="344"/>
      <c r="H775" s="344"/>
      <c r="I775" s="344"/>
      <c r="J775" s="344"/>
      <c r="K775" s="344"/>
      <c r="L775" s="344"/>
      <c r="M775" s="344"/>
      <c r="N775" s="344"/>
      <c r="O775" s="344"/>
      <c r="P775" s="346"/>
      <c r="Q775" s="344"/>
      <c r="R775" s="344"/>
      <c r="S775" s="344"/>
      <c r="T775" s="344"/>
      <c r="U775" s="344"/>
      <c r="V775" s="344"/>
      <c r="W775" s="344"/>
      <c r="X775" s="344"/>
      <c r="Y775" s="344"/>
      <c r="Z775" s="344"/>
      <c r="AA775" s="344"/>
      <c r="AB775" s="344"/>
      <c r="AC775" s="344"/>
    </row>
    <row r="776" ht="24.75" customHeight="1">
      <c r="A776" s="344"/>
      <c r="B776" s="346"/>
      <c r="C776" s="344"/>
      <c r="D776" s="344"/>
      <c r="E776" s="344"/>
      <c r="F776" s="344"/>
      <c r="G776" s="344"/>
      <c r="H776" s="344"/>
      <c r="I776" s="344"/>
      <c r="J776" s="344"/>
      <c r="K776" s="344"/>
      <c r="L776" s="344"/>
      <c r="M776" s="344"/>
      <c r="N776" s="344"/>
      <c r="O776" s="344"/>
      <c r="P776" s="346"/>
      <c r="Q776" s="344"/>
      <c r="R776" s="344"/>
      <c r="S776" s="344"/>
      <c r="T776" s="344"/>
      <c r="U776" s="344"/>
      <c r="V776" s="344"/>
      <c r="W776" s="344"/>
      <c r="X776" s="344"/>
      <c r="Y776" s="344"/>
      <c r="Z776" s="344"/>
      <c r="AA776" s="344"/>
      <c r="AB776" s="344"/>
      <c r="AC776" s="344"/>
    </row>
    <row r="777" ht="24.75" customHeight="1">
      <c r="A777" s="344"/>
      <c r="B777" s="346"/>
      <c r="C777" s="344"/>
      <c r="D777" s="344"/>
      <c r="E777" s="344"/>
      <c r="F777" s="344"/>
      <c r="G777" s="344"/>
      <c r="H777" s="344"/>
      <c r="I777" s="344"/>
      <c r="J777" s="344"/>
      <c r="K777" s="344"/>
      <c r="L777" s="344"/>
      <c r="M777" s="344"/>
      <c r="N777" s="344"/>
      <c r="O777" s="344"/>
      <c r="P777" s="346"/>
      <c r="Q777" s="344"/>
      <c r="R777" s="344"/>
      <c r="S777" s="344"/>
      <c r="T777" s="344"/>
      <c r="U777" s="344"/>
      <c r="V777" s="344"/>
      <c r="W777" s="344"/>
      <c r="X777" s="344"/>
      <c r="Y777" s="344"/>
      <c r="Z777" s="344"/>
      <c r="AA777" s="344"/>
      <c r="AB777" s="344"/>
      <c r="AC777" s="344"/>
    </row>
    <row r="778" ht="24.75" customHeight="1">
      <c r="A778" s="344"/>
      <c r="B778" s="346"/>
      <c r="C778" s="344"/>
      <c r="D778" s="344"/>
      <c r="E778" s="344"/>
      <c r="F778" s="344"/>
      <c r="G778" s="344"/>
      <c r="H778" s="344"/>
      <c r="I778" s="344"/>
      <c r="J778" s="344"/>
      <c r="K778" s="344"/>
      <c r="L778" s="344"/>
      <c r="M778" s="344"/>
      <c r="N778" s="344"/>
      <c r="O778" s="344"/>
      <c r="P778" s="346"/>
      <c r="Q778" s="344"/>
      <c r="R778" s="344"/>
      <c r="S778" s="344"/>
      <c r="T778" s="344"/>
      <c r="U778" s="344"/>
      <c r="V778" s="344"/>
      <c r="W778" s="344"/>
      <c r="X778" s="344"/>
      <c r="Y778" s="344"/>
      <c r="Z778" s="344"/>
      <c r="AA778" s="344"/>
      <c r="AB778" s="344"/>
      <c r="AC778" s="344"/>
    </row>
    <row r="779" ht="24.75" customHeight="1">
      <c r="A779" s="344"/>
      <c r="B779" s="346"/>
      <c r="C779" s="344"/>
      <c r="D779" s="344"/>
      <c r="E779" s="344"/>
      <c r="F779" s="344"/>
      <c r="G779" s="344"/>
      <c r="H779" s="344"/>
      <c r="I779" s="344"/>
      <c r="J779" s="344"/>
      <c r="K779" s="344"/>
      <c r="L779" s="344"/>
      <c r="M779" s="344"/>
      <c r="N779" s="344"/>
      <c r="O779" s="344"/>
      <c r="P779" s="346"/>
      <c r="Q779" s="344"/>
      <c r="R779" s="344"/>
      <c r="S779" s="344"/>
      <c r="T779" s="344"/>
      <c r="U779" s="344"/>
      <c r="V779" s="344"/>
      <c r="W779" s="344"/>
      <c r="X779" s="344"/>
      <c r="Y779" s="344"/>
      <c r="Z779" s="344"/>
      <c r="AA779" s="344"/>
      <c r="AB779" s="344"/>
      <c r="AC779" s="344"/>
    </row>
    <row r="780" ht="24.75" customHeight="1">
      <c r="A780" s="344"/>
      <c r="B780" s="346"/>
      <c r="C780" s="344"/>
      <c r="D780" s="344"/>
      <c r="E780" s="344"/>
      <c r="F780" s="344"/>
      <c r="G780" s="344"/>
      <c r="H780" s="344"/>
      <c r="I780" s="344"/>
      <c r="J780" s="344"/>
      <c r="K780" s="344"/>
      <c r="L780" s="344"/>
      <c r="M780" s="344"/>
      <c r="N780" s="344"/>
      <c r="O780" s="344"/>
      <c r="P780" s="346"/>
      <c r="Q780" s="344"/>
      <c r="R780" s="344"/>
      <c r="S780" s="344"/>
      <c r="T780" s="344"/>
      <c r="U780" s="344"/>
      <c r="V780" s="344"/>
      <c r="W780" s="344"/>
      <c r="X780" s="344"/>
      <c r="Y780" s="344"/>
      <c r="Z780" s="344"/>
      <c r="AA780" s="344"/>
      <c r="AB780" s="344"/>
      <c r="AC780" s="344"/>
    </row>
    <row r="781" ht="24.75" customHeight="1">
      <c r="A781" s="344"/>
      <c r="B781" s="346"/>
      <c r="C781" s="344"/>
      <c r="D781" s="344"/>
      <c r="E781" s="344"/>
      <c r="F781" s="344"/>
      <c r="G781" s="344"/>
      <c r="H781" s="344"/>
      <c r="I781" s="344"/>
      <c r="J781" s="344"/>
      <c r="K781" s="344"/>
      <c r="L781" s="344"/>
      <c r="M781" s="344"/>
      <c r="N781" s="344"/>
      <c r="O781" s="344"/>
      <c r="P781" s="346"/>
      <c r="Q781" s="344"/>
      <c r="R781" s="344"/>
      <c r="S781" s="344"/>
      <c r="T781" s="344"/>
      <c r="U781" s="344"/>
      <c r="V781" s="344"/>
      <c r="W781" s="344"/>
      <c r="X781" s="344"/>
      <c r="Y781" s="344"/>
      <c r="Z781" s="344"/>
      <c r="AA781" s="344"/>
      <c r="AB781" s="344"/>
      <c r="AC781" s="344"/>
    </row>
    <row r="782" ht="24.75" customHeight="1">
      <c r="A782" s="344"/>
      <c r="B782" s="346"/>
      <c r="C782" s="344"/>
      <c r="D782" s="344"/>
      <c r="E782" s="344"/>
      <c r="F782" s="344"/>
      <c r="G782" s="344"/>
      <c r="H782" s="344"/>
      <c r="I782" s="344"/>
      <c r="J782" s="344"/>
      <c r="K782" s="344"/>
      <c r="L782" s="344"/>
      <c r="M782" s="344"/>
      <c r="N782" s="344"/>
      <c r="O782" s="344"/>
      <c r="P782" s="346"/>
      <c r="Q782" s="344"/>
      <c r="R782" s="344"/>
      <c r="S782" s="344"/>
      <c r="T782" s="344"/>
      <c r="U782" s="344"/>
      <c r="V782" s="344"/>
      <c r="W782" s="344"/>
      <c r="X782" s="344"/>
      <c r="Y782" s="344"/>
      <c r="Z782" s="344"/>
      <c r="AA782" s="344"/>
      <c r="AB782" s="344"/>
      <c r="AC782" s="344"/>
    </row>
    <row r="783" ht="24.75" customHeight="1">
      <c r="A783" s="344"/>
      <c r="B783" s="346"/>
      <c r="C783" s="344"/>
      <c r="D783" s="344"/>
      <c r="E783" s="344"/>
      <c r="F783" s="344"/>
      <c r="G783" s="344"/>
      <c r="H783" s="344"/>
      <c r="I783" s="344"/>
      <c r="J783" s="344"/>
      <c r="K783" s="344"/>
      <c r="L783" s="344"/>
      <c r="M783" s="344"/>
      <c r="N783" s="344"/>
      <c r="O783" s="344"/>
      <c r="P783" s="346"/>
      <c r="Q783" s="344"/>
      <c r="R783" s="344"/>
      <c r="S783" s="344"/>
      <c r="T783" s="344"/>
      <c r="U783" s="344"/>
      <c r="V783" s="344"/>
      <c r="W783" s="344"/>
      <c r="X783" s="344"/>
      <c r="Y783" s="344"/>
      <c r="Z783" s="344"/>
      <c r="AA783" s="344"/>
      <c r="AB783" s="344"/>
      <c r="AC783" s="344"/>
    </row>
    <row r="784" ht="24.75" customHeight="1">
      <c r="A784" s="344"/>
      <c r="B784" s="346"/>
      <c r="C784" s="344"/>
      <c r="D784" s="344"/>
      <c r="E784" s="344"/>
      <c r="F784" s="344"/>
      <c r="G784" s="344"/>
      <c r="H784" s="344"/>
      <c r="I784" s="344"/>
      <c r="J784" s="344"/>
      <c r="K784" s="344"/>
      <c r="L784" s="344"/>
      <c r="M784" s="344"/>
      <c r="N784" s="344"/>
      <c r="O784" s="344"/>
      <c r="P784" s="346"/>
      <c r="Q784" s="344"/>
      <c r="R784" s="344"/>
      <c r="S784" s="344"/>
      <c r="T784" s="344"/>
      <c r="U784" s="344"/>
      <c r="V784" s="344"/>
      <c r="W784" s="344"/>
      <c r="X784" s="344"/>
      <c r="Y784" s="344"/>
      <c r="Z784" s="344"/>
      <c r="AA784" s="344"/>
      <c r="AB784" s="344"/>
      <c r="AC784" s="344"/>
    </row>
    <row r="785" ht="24.75" customHeight="1">
      <c r="A785" s="344"/>
      <c r="B785" s="346"/>
      <c r="C785" s="344"/>
      <c r="D785" s="344"/>
      <c r="E785" s="344"/>
      <c r="F785" s="344"/>
      <c r="G785" s="344"/>
      <c r="H785" s="344"/>
      <c r="I785" s="344"/>
      <c r="J785" s="344"/>
      <c r="K785" s="344"/>
      <c r="L785" s="344"/>
      <c r="M785" s="344"/>
      <c r="N785" s="344"/>
      <c r="O785" s="344"/>
      <c r="P785" s="346"/>
      <c r="Q785" s="344"/>
      <c r="R785" s="344"/>
      <c r="S785" s="344"/>
      <c r="T785" s="344"/>
      <c r="U785" s="344"/>
      <c r="V785" s="344"/>
      <c r="W785" s="344"/>
      <c r="X785" s="344"/>
      <c r="Y785" s="344"/>
      <c r="Z785" s="344"/>
      <c r="AA785" s="344"/>
      <c r="AB785" s="344"/>
      <c r="AC785" s="344"/>
    </row>
    <row r="786" ht="24.75" customHeight="1">
      <c r="A786" s="344"/>
      <c r="B786" s="346"/>
      <c r="C786" s="344"/>
      <c r="D786" s="344"/>
      <c r="E786" s="344"/>
      <c r="F786" s="344"/>
      <c r="G786" s="344"/>
      <c r="H786" s="344"/>
      <c r="I786" s="344"/>
      <c r="J786" s="344"/>
      <c r="K786" s="344"/>
      <c r="L786" s="344"/>
      <c r="M786" s="344"/>
      <c r="N786" s="344"/>
      <c r="O786" s="344"/>
      <c r="P786" s="346"/>
      <c r="Q786" s="344"/>
      <c r="R786" s="344"/>
      <c r="S786" s="344"/>
      <c r="T786" s="344"/>
      <c r="U786" s="344"/>
      <c r="V786" s="344"/>
      <c r="W786" s="344"/>
      <c r="X786" s="344"/>
      <c r="Y786" s="344"/>
      <c r="Z786" s="344"/>
      <c r="AA786" s="344"/>
      <c r="AB786" s="344"/>
      <c r="AC786" s="344"/>
    </row>
    <row r="787" ht="24.75" customHeight="1">
      <c r="A787" s="344"/>
      <c r="B787" s="346"/>
      <c r="C787" s="344"/>
      <c r="D787" s="344"/>
      <c r="E787" s="344"/>
      <c r="F787" s="344"/>
      <c r="G787" s="344"/>
      <c r="H787" s="344"/>
      <c r="I787" s="344"/>
      <c r="J787" s="344"/>
      <c r="K787" s="344"/>
      <c r="L787" s="344"/>
      <c r="M787" s="344"/>
      <c r="N787" s="344"/>
      <c r="O787" s="344"/>
      <c r="P787" s="346"/>
      <c r="Q787" s="344"/>
      <c r="R787" s="344"/>
      <c r="S787" s="344"/>
      <c r="T787" s="344"/>
      <c r="U787" s="344"/>
      <c r="V787" s="344"/>
      <c r="W787" s="344"/>
      <c r="X787" s="344"/>
      <c r="Y787" s="344"/>
      <c r="Z787" s="344"/>
      <c r="AA787" s="344"/>
      <c r="AB787" s="344"/>
      <c r="AC787" s="344"/>
    </row>
    <row r="788" ht="24.75" customHeight="1">
      <c r="A788" s="344"/>
      <c r="B788" s="346"/>
      <c r="C788" s="344"/>
      <c r="D788" s="344"/>
      <c r="E788" s="344"/>
      <c r="F788" s="344"/>
      <c r="G788" s="344"/>
      <c r="H788" s="344"/>
      <c r="I788" s="344"/>
      <c r="J788" s="344"/>
      <c r="K788" s="344"/>
      <c r="L788" s="344"/>
      <c r="M788" s="344"/>
      <c r="N788" s="344"/>
      <c r="O788" s="344"/>
      <c r="P788" s="346"/>
      <c r="Q788" s="344"/>
      <c r="R788" s="344"/>
      <c r="S788" s="344"/>
      <c r="T788" s="344"/>
      <c r="U788" s="344"/>
      <c r="V788" s="344"/>
      <c r="W788" s="344"/>
      <c r="X788" s="344"/>
      <c r="Y788" s="344"/>
      <c r="Z788" s="344"/>
      <c r="AA788" s="344"/>
      <c r="AB788" s="344"/>
      <c r="AC788" s="344"/>
    </row>
    <row r="789" ht="24.75" customHeight="1">
      <c r="A789" s="344"/>
      <c r="B789" s="346"/>
      <c r="C789" s="344"/>
      <c r="D789" s="344"/>
      <c r="E789" s="344"/>
      <c r="F789" s="344"/>
      <c r="G789" s="344"/>
      <c r="H789" s="344"/>
      <c r="I789" s="344"/>
      <c r="J789" s="344"/>
      <c r="K789" s="344"/>
      <c r="L789" s="344"/>
      <c r="M789" s="344"/>
      <c r="N789" s="344"/>
      <c r="O789" s="344"/>
      <c r="P789" s="346"/>
      <c r="Q789" s="344"/>
      <c r="R789" s="344"/>
      <c r="S789" s="344"/>
      <c r="T789" s="344"/>
      <c r="U789" s="344"/>
      <c r="V789" s="344"/>
      <c r="W789" s="344"/>
      <c r="X789" s="344"/>
      <c r="Y789" s="344"/>
      <c r="Z789" s="344"/>
      <c r="AA789" s="344"/>
      <c r="AB789" s="344"/>
      <c r="AC789" s="344"/>
    </row>
    <row r="790" ht="24.75" customHeight="1">
      <c r="A790" s="344"/>
      <c r="B790" s="346"/>
      <c r="C790" s="344"/>
      <c r="D790" s="344"/>
      <c r="E790" s="344"/>
      <c r="F790" s="344"/>
      <c r="G790" s="344"/>
      <c r="H790" s="344"/>
      <c r="I790" s="344"/>
      <c r="J790" s="344"/>
      <c r="K790" s="344"/>
      <c r="L790" s="344"/>
      <c r="M790" s="344"/>
      <c r="N790" s="344"/>
      <c r="O790" s="344"/>
      <c r="P790" s="346"/>
      <c r="Q790" s="344"/>
      <c r="R790" s="344"/>
      <c r="S790" s="344"/>
      <c r="T790" s="344"/>
      <c r="U790" s="344"/>
      <c r="V790" s="344"/>
      <c r="W790" s="344"/>
      <c r="X790" s="344"/>
      <c r="Y790" s="344"/>
      <c r="Z790" s="344"/>
      <c r="AA790" s="344"/>
      <c r="AB790" s="344"/>
      <c r="AC790" s="344"/>
    </row>
    <row r="791" ht="24.75" customHeight="1">
      <c r="A791" s="344"/>
      <c r="B791" s="346"/>
      <c r="C791" s="344"/>
      <c r="D791" s="344"/>
      <c r="E791" s="344"/>
      <c r="F791" s="344"/>
      <c r="G791" s="344"/>
      <c r="H791" s="344"/>
      <c r="I791" s="344"/>
      <c r="J791" s="344"/>
      <c r="K791" s="344"/>
      <c r="L791" s="344"/>
      <c r="M791" s="344"/>
      <c r="N791" s="344"/>
      <c r="O791" s="344"/>
      <c r="P791" s="346"/>
      <c r="Q791" s="344"/>
      <c r="R791" s="344"/>
      <c r="S791" s="344"/>
      <c r="T791" s="344"/>
      <c r="U791" s="344"/>
      <c r="V791" s="344"/>
      <c r="W791" s="344"/>
      <c r="X791" s="344"/>
      <c r="Y791" s="344"/>
      <c r="Z791" s="344"/>
      <c r="AA791" s="344"/>
      <c r="AB791" s="344"/>
      <c r="AC791" s="344"/>
    </row>
    <row r="792" ht="24.75" customHeight="1">
      <c r="A792" s="344"/>
      <c r="B792" s="346"/>
      <c r="C792" s="344"/>
      <c r="D792" s="344"/>
      <c r="E792" s="344"/>
      <c r="F792" s="344"/>
      <c r="G792" s="344"/>
      <c r="H792" s="344"/>
      <c r="I792" s="344"/>
      <c r="J792" s="344"/>
      <c r="K792" s="344"/>
      <c r="L792" s="344"/>
      <c r="M792" s="344"/>
      <c r="N792" s="344"/>
      <c r="O792" s="344"/>
      <c r="P792" s="346"/>
      <c r="Q792" s="344"/>
      <c r="R792" s="344"/>
      <c r="S792" s="344"/>
      <c r="T792" s="344"/>
      <c r="U792" s="344"/>
      <c r="V792" s="344"/>
      <c r="W792" s="344"/>
      <c r="X792" s="344"/>
      <c r="Y792" s="344"/>
      <c r="Z792" s="344"/>
      <c r="AA792" s="344"/>
      <c r="AB792" s="344"/>
      <c r="AC792" s="344"/>
    </row>
    <row r="793" ht="24.75" customHeight="1">
      <c r="A793" s="344"/>
      <c r="B793" s="346"/>
      <c r="C793" s="344"/>
      <c r="D793" s="344"/>
      <c r="E793" s="344"/>
      <c r="F793" s="344"/>
      <c r="G793" s="344"/>
      <c r="H793" s="344"/>
      <c r="I793" s="344"/>
      <c r="J793" s="344"/>
      <c r="K793" s="344"/>
      <c r="L793" s="344"/>
      <c r="M793" s="344"/>
      <c r="N793" s="344"/>
      <c r="O793" s="344"/>
      <c r="P793" s="346"/>
      <c r="Q793" s="344"/>
      <c r="R793" s="344"/>
      <c r="S793" s="344"/>
      <c r="T793" s="344"/>
      <c r="U793" s="344"/>
      <c r="V793" s="344"/>
      <c r="W793" s="344"/>
      <c r="X793" s="344"/>
      <c r="Y793" s="344"/>
      <c r="Z793" s="344"/>
      <c r="AA793" s="344"/>
      <c r="AB793" s="344"/>
      <c r="AC793" s="344"/>
    </row>
    <row r="794" ht="24.75" customHeight="1">
      <c r="A794" s="344"/>
      <c r="B794" s="346"/>
      <c r="C794" s="344"/>
      <c r="D794" s="344"/>
      <c r="E794" s="344"/>
      <c r="F794" s="344"/>
      <c r="G794" s="344"/>
      <c r="H794" s="344"/>
      <c r="I794" s="344"/>
      <c r="J794" s="344"/>
      <c r="K794" s="344"/>
      <c r="L794" s="344"/>
      <c r="M794" s="344"/>
      <c r="N794" s="344"/>
      <c r="O794" s="344"/>
      <c r="P794" s="346"/>
      <c r="Q794" s="344"/>
      <c r="R794" s="344"/>
      <c r="S794" s="344"/>
      <c r="T794" s="344"/>
      <c r="U794" s="344"/>
      <c r="V794" s="344"/>
      <c r="W794" s="344"/>
      <c r="X794" s="344"/>
      <c r="Y794" s="344"/>
      <c r="Z794" s="344"/>
      <c r="AA794" s="344"/>
      <c r="AB794" s="344"/>
      <c r="AC794" s="344"/>
    </row>
    <row r="795" ht="24.75" customHeight="1">
      <c r="A795" s="344"/>
      <c r="B795" s="346"/>
      <c r="C795" s="344"/>
      <c r="D795" s="344"/>
      <c r="E795" s="344"/>
      <c r="F795" s="344"/>
      <c r="G795" s="344"/>
      <c r="H795" s="344"/>
      <c r="I795" s="344"/>
      <c r="J795" s="344"/>
      <c r="K795" s="344"/>
      <c r="L795" s="344"/>
      <c r="M795" s="344"/>
      <c r="N795" s="344"/>
      <c r="O795" s="344"/>
      <c r="P795" s="346"/>
      <c r="Q795" s="344"/>
      <c r="R795" s="344"/>
      <c r="S795" s="344"/>
      <c r="T795" s="344"/>
      <c r="U795" s="344"/>
      <c r="V795" s="344"/>
      <c r="W795" s="344"/>
      <c r="X795" s="344"/>
      <c r="Y795" s="344"/>
      <c r="Z795" s="344"/>
      <c r="AA795" s="344"/>
      <c r="AB795" s="344"/>
      <c r="AC795" s="344"/>
    </row>
    <row r="796" ht="24.75" customHeight="1">
      <c r="A796" s="344"/>
      <c r="B796" s="346"/>
      <c r="C796" s="344"/>
      <c r="D796" s="344"/>
      <c r="E796" s="344"/>
      <c r="F796" s="344"/>
      <c r="G796" s="344"/>
      <c r="H796" s="344"/>
      <c r="I796" s="344"/>
      <c r="J796" s="344"/>
      <c r="K796" s="344"/>
      <c r="L796" s="344"/>
      <c r="M796" s="344"/>
      <c r="N796" s="344"/>
      <c r="O796" s="344"/>
      <c r="P796" s="346"/>
      <c r="Q796" s="344"/>
      <c r="R796" s="344"/>
      <c r="S796" s="344"/>
      <c r="T796" s="344"/>
      <c r="U796" s="344"/>
      <c r="V796" s="344"/>
      <c r="W796" s="344"/>
      <c r="X796" s="344"/>
      <c r="Y796" s="344"/>
      <c r="Z796" s="344"/>
      <c r="AA796" s="344"/>
      <c r="AB796" s="344"/>
      <c r="AC796" s="344"/>
    </row>
    <row r="797" ht="24.75" customHeight="1">
      <c r="A797" s="344"/>
      <c r="B797" s="346"/>
      <c r="C797" s="344"/>
      <c r="D797" s="344"/>
      <c r="E797" s="344"/>
      <c r="F797" s="344"/>
      <c r="G797" s="344"/>
      <c r="H797" s="344"/>
      <c r="I797" s="344"/>
      <c r="J797" s="344"/>
      <c r="K797" s="344"/>
      <c r="L797" s="344"/>
      <c r="M797" s="344"/>
      <c r="N797" s="344"/>
      <c r="O797" s="344"/>
      <c r="P797" s="346"/>
      <c r="Q797" s="344"/>
      <c r="R797" s="344"/>
      <c r="S797" s="344"/>
      <c r="T797" s="344"/>
      <c r="U797" s="344"/>
      <c r="V797" s="344"/>
      <c r="W797" s="344"/>
      <c r="X797" s="344"/>
      <c r="Y797" s="344"/>
      <c r="Z797" s="344"/>
      <c r="AA797" s="344"/>
      <c r="AB797" s="344"/>
      <c r="AC797" s="344"/>
    </row>
    <row r="798" ht="24.75" customHeight="1">
      <c r="A798" s="344"/>
      <c r="B798" s="346"/>
      <c r="C798" s="344"/>
      <c r="D798" s="344"/>
      <c r="E798" s="344"/>
      <c r="F798" s="344"/>
      <c r="G798" s="344"/>
      <c r="H798" s="344"/>
      <c r="I798" s="344"/>
      <c r="J798" s="344"/>
      <c r="K798" s="344"/>
      <c r="L798" s="344"/>
      <c r="M798" s="344"/>
      <c r="N798" s="344"/>
      <c r="O798" s="344"/>
      <c r="P798" s="346"/>
      <c r="Q798" s="344"/>
      <c r="R798" s="344"/>
      <c r="S798" s="344"/>
      <c r="T798" s="344"/>
      <c r="U798" s="344"/>
      <c r="V798" s="344"/>
      <c r="W798" s="344"/>
      <c r="X798" s="344"/>
      <c r="Y798" s="344"/>
      <c r="Z798" s="344"/>
      <c r="AA798" s="344"/>
      <c r="AB798" s="344"/>
      <c r="AC798" s="344"/>
    </row>
    <row r="799" ht="24.75" customHeight="1">
      <c r="A799" s="344"/>
      <c r="B799" s="346"/>
      <c r="C799" s="344"/>
      <c r="D799" s="344"/>
      <c r="E799" s="344"/>
      <c r="F799" s="344"/>
      <c r="G799" s="344"/>
      <c r="H799" s="344"/>
      <c r="I799" s="344"/>
      <c r="J799" s="344"/>
      <c r="K799" s="344"/>
      <c r="L799" s="344"/>
      <c r="M799" s="344"/>
      <c r="N799" s="344"/>
      <c r="O799" s="344"/>
      <c r="P799" s="346"/>
      <c r="Q799" s="344"/>
      <c r="R799" s="344"/>
      <c r="S799" s="344"/>
      <c r="T799" s="344"/>
      <c r="U799" s="344"/>
      <c r="V799" s="344"/>
      <c r="W799" s="344"/>
      <c r="X799" s="344"/>
      <c r="Y799" s="344"/>
      <c r="Z799" s="344"/>
      <c r="AA799" s="344"/>
      <c r="AB799" s="344"/>
      <c r="AC799" s="344"/>
    </row>
    <row r="800" ht="24.75" customHeight="1">
      <c r="A800" s="344"/>
      <c r="B800" s="346"/>
      <c r="C800" s="344"/>
      <c r="D800" s="344"/>
      <c r="E800" s="344"/>
      <c r="F800" s="344"/>
      <c r="G800" s="344"/>
      <c r="H800" s="344"/>
      <c r="I800" s="344"/>
      <c r="J800" s="344"/>
      <c r="K800" s="344"/>
      <c r="L800" s="344"/>
      <c r="M800" s="344"/>
      <c r="N800" s="344"/>
      <c r="O800" s="344"/>
      <c r="P800" s="346"/>
      <c r="Q800" s="344"/>
      <c r="R800" s="344"/>
      <c r="S800" s="344"/>
      <c r="T800" s="344"/>
      <c r="U800" s="344"/>
      <c r="V800" s="344"/>
      <c r="W800" s="344"/>
      <c r="X800" s="344"/>
      <c r="Y800" s="344"/>
      <c r="Z800" s="344"/>
      <c r="AA800" s="344"/>
      <c r="AB800" s="344"/>
      <c r="AC800" s="344"/>
    </row>
    <row r="801" ht="24.75" customHeight="1">
      <c r="A801" s="344"/>
      <c r="B801" s="346"/>
      <c r="C801" s="344"/>
      <c r="D801" s="344"/>
      <c r="E801" s="344"/>
      <c r="F801" s="344"/>
      <c r="G801" s="344"/>
      <c r="H801" s="344"/>
      <c r="I801" s="344"/>
      <c r="J801" s="344"/>
      <c r="K801" s="344"/>
      <c r="L801" s="344"/>
      <c r="M801" s="344"/>
      <c r="N801" s="344"/>
      <c r="O801" s="344"/>
      <c r="P801" s="346"/>
      <c r="Q801" s="344"/>
      <c r="R801" s="344"/>
      <c r="S801" s="344"/>
      <c r="T801" s="344"/>
      <c r="U801" s="344"/>
      <c r="V801" s="344"/>
      <c r="W801" s="344"/>
      <c r="X801" s="344"/>
      <c r="Y801" s="344"/>
      <c r="Z801" s="344"/>
      <c r="AA801" s="344"/>
      <c r="AB801" s="344"/>
      <c r="AC801" s="344"/>
    </row>
    <row r="802" ht="24.75" customHeight="1">
      <c r="A802" s="344"/>
      <c r="B802" s="346"/>
      <c r="C802" s="344"/>
      <c r="D802" s="344"/>
      <c r="E802" s="344"/>
      <c r="F802" s="344"/>
      <c r="G802" s="344"/>
      <c r="H802" s="344"/>
      <c r="I802" s="344"/>
      <c r="J802" s="344"/>
      <c r="K802" s="344"/>
      <c r="L802" s="344"/>
      <c r="M802" s="344"/>
      <c r="N802" s="344"/>
      <c r="O802" s="344"/>
      <c r="P802" s="346"/>
      <c r="Q802" s="344"/>
      <c r="R802" s="344"/>
      <c r="S802" s="344"/>
      <c r="T802" s="344"/>
      <c r="U802" s="344"/>
      <c r="V802" s="344"/>
      <c r="W802" s="344"/>
      <c r="X802" s="344"/>
      <c r="Y802" s="344"/>
      <c r="Z802" s="344"/>
      <c r="AA802" s="344"/>
      <c r="AB802" s="344"/>
      <c r="AC802" s="344"/>
    </row>
    <row r="803" ht="24.75" customHeight="1">
      <c r="A803" s="344"/>
      <c r="B803" s="346"/>
      <c r="C803" s="344"/>
      <c r="D803" s="344"/>
      <c r="E803" s="344"/>
      <c r="F803" s="344"/>
      <c r="G803" s="344"/>
      <c r="H803" s="344"/>
      <c r="I803" s="344"/>
      <c r="J803" s="344"/>
      <c r="K803" s="344"/>
      <c r="L803" s="344"/>
      <c r="M803" s="344"/>
      <c r="N803" s="344"/>
      <c r="O803" s="344"/>
      <c r="P803" s="346"/>
      <c r="Q803" s="344"/>
      <c r="R803" s="344"/>
      <c r="S803" s="344"/>
      <c r="T803" s="344"/>
      <c r="U803" s="344"/>
      <c r="V803" s="344"/>
      <c r="W803" s="344"/>
      <c r="X803" s="344"/>
      <c r="Y803" s="344"/>
      <c r="Z803" s="344"/>
      <c r="AA803" s="344"/>
      <c r="AB803" s="344"/>
      <c r="AC803" s="344"/>
    </row>
    <row r="804" ht="24.75" customHeight="1">
      <c r="A804" s="344"/>
      <c r="B804" s="346"/>
      <c r="C804" s="344"/>
      <c r="D804" s="344"/>
      <c r="E804" s="344"/>
      <c r="F804" s="344"/>
      <c r="G804" s="344"/>
      <c r="H804" s="344"/>
      <c r="I804" s="344"/>
      <c r="J804" s="344"/>
      <c r="K804" s="344"/>
      <c r="L804" s="344"/>
      <c r="M804" s="344"/>
      <c r="N804" s="344"/>
      <c r="O804" s="344"/>
      <c r="P804" s="346"/>
      <c r="Q804" s="344"/>
      <c r="R804" s="344"/>
      <c r="S804" s="344"/>
      <c r="T804" s="344"/>
      <c r="U804" s="344"/>
      <c r="V804" s="344"/>
      <c r="W804" s="344"/>
      <c r="X804" s="344"/>
      <c r="Y804" s="344"/>
      <c r="Z804" s="344"/>
      <c r="AA804" s="344"/>
      <c r="AB804" s="344"/>
      <c r="AC804" s="344"/>
    </row>
    <row r="805" ht="24.75" customHeight="1">
      <c r="A805" s="344"/>
      <c r="B805" s="346"/>
      <c r="C805" s="344"/>
      <c r="D805" s="344"/>
      <c r="E805" s="344"/>
      <c r="F805" s="344"/>
      <c r="G805" s="344"/>
      <c r="H805" s="344"/>
      <c r="I805" s="344"/>
      <c r="J805" s="344"/>
      <c r="K805" s="344"/>
      <c r="L805" s="344"/>
      <c r="M805" s="344"/>
      <c r="N805" s="344"/>
      <c r="O805" s="344"/>
      <c r="P805" s="346"/>
      <c r="Q805" s="344"/>
      <c r="R805" s="344"/>
      <c r="S805" s="344"/>
      <c r="T805" s="344"/>
      <c r="U805" s="344"/>
      <c r="V805" s="344"/>
      <c r="W805" s="344"/>
      <c r="X805" s="344"/>
      <c r="Y805" s="344"/>
      <c r="Z805" s="344"/>
      <c r="AA805" s="344"/>
      <c r="AB805" s="344"/>
      <c r="AC805" s="344"/>
    </row>
    <row r="806" ht="24.75" customHeight="1">
      <c r="A806" s="344"/>
      <c r="B806" s="346"/>
      <c r="C806" s="344"/>
      <c r="D806" s="344"/>
      <c r="E806" s="344"/>
      <c r="F806" s="344"/>
      <c r="G806" s="344"/>
      <c r="H806" s="344"/>
      <c r="I806" s="344"/>
      <c r="J806" s="344"/>
      <c r="K806" s="344"/>
      <c r="L806" s="344"/>
      <c r="M806" s="344"/>
      <c r="N806" s="344"/>
      <c r="O806" s="344"/>
      <c r="P806" s="346"/>
      <c r="Q806" s="344"/>
      <c r="R806" s="344"/>
      <c r="S806" s="344"/>
      <c r="T806" s="344"/>
      <c r="U806" s="344"/>
      <c r="V806" s="344"/>
      <c r="W806" s="344"/>
      <c r="X806" s="344"/>
      <c r="Y806" s="344"/>
      <c r="Z806" s="344"/>
      <c r="AA806" s="344"/>
      <c r="AB806" s="344"/>
      <c r="AC806" s="344"/>
    </row>
    <row r="807" ht="24.75" customHeight="1">
      <c r="A807" s="344"/>
      <c r="B807" s="346"/>
      <c r="C807" s="344"/>
      <c r="D807" s="344"/>
      <c r="E807" s="344"/>
      <c r="F807" s="344"/>
      <c r="G807" s="344"/>
      <c r="H807" s="344"/>
      <c r="I807" s="344"/>
      <c r="J807" s="344"/>
      <c r="K807" s="344"/>
      <c r="L807" s="344"/>
      <c r="M807" s="344"/>
      <c r="N807" s="344"/>
      <c r="O807" s="344"/>
      <c r="P807" s="346"/>
      <c r="Q807" s="344"/>
      <c r="R807" s="344"/>
      <c r="S807" s="344"/>
      <c r="T807" s="344"/>
      <c r="U807" s="344"/>
      <c r="V807" s="344"/>
      <c r="W807" s="344"/>
      <c r="X807" s="344"/>
      <c r="Y807" s="344"/>
      <c r="Z807" s="344"/>
      <c r="AA807" s="344"/>
      <c r="AB807" s="344"/>
      <c r="AC807" s="344"/>
    </row>
    <row r="808" ht="24.75" customHeight="1">
      <c r="A808" s="344"/>
      <c r="B808" s="346"/>
      <c r="C808" s="344"/>
      <c r="D808" s="344"/>
      <c r="E808" s="344"/>
      <c r="F808" s="344"/>
      <c r="G808" s="344"/>
      <c r="H808" s="344"/>
      <c r="I808" s="344"/>
      <c r="J808" s="344"/>
      <c r="K808" s="344"/>
      <c r="L808" s="344"/>
      <c r="M808" s="344"/>
      <c r="N808" s="344"/>
      <c r="O808" s="344"/>
      <c r="P808" s="346"/>
      <c r="Q808" s="344"/>
      <c r="R808" s="344"/>
      <c r="S808" s="344"/>
      <c r="T808" s="344"/>
      <c r="U808" s="344"/>
      <c r="V808" s="344"/>
      <c r="W808" s="344"/>
      <c r="X808" s="344"/>
      <c r="Y808" s="344"/>
      <c r="Z808" s="344"/>
      <c r="AA808" s="344"/>
      <c r="AB808" s="344"/>
      <c r="AC808" s="344"/>
    </row>
    <row r="809" ht="24.75" customHeight="1">
      <c r="A809" s="344"/>
      <c r="B809" s="346"/>
      <c r="C809" s="344"/>
      <c r="D809" s="344"/>
      <c r="E809" s="344"/>
      <c r="F809" s="344"/>
      <c r="G809" s="344"/>
      <c r="H809" s="344"/>
      <c r="I809" s="344"/>
      <c r="J809" s="344"/>
      <c r="K809" s="344"/>
      <c r="L809" s="344"/>
      <c r="M809" s="344"/>
      <c r="N809" s="344"/>
      <c r="O809" s="344"/>
      <c r="P809" s="346"/>
      <c r="Q809" s="344"/>
      <c r="R809" s="344"/>
      <c r="S809" s="344"/>
      <c r="T809" s="344"/>
      <c r="U809" s="344"/>
      <c r="V809" s="344"/>
      <c r="W809" s="344"/>
      <c r="X809" s="344"/>
      <c r="Y809" s="344"/>
      <c r="Z809" s="344"/>
      <c r="AA809" s="344"/>
      <c r="AB809" s="344"/>
      <c r="AC809" s="344"/>
    </row>
    <row r="810" ht="24.75" customHeight="1">
      <c r="A810" s="344"/>
      <c r="B810" s="346"/>
      <c r="C810" s="344"/>
      <c r="D810" s="344"/>
      <c r="E810" s="344"/>
      <c r="F810" s="344"/>
      <c r="G810" s="344"/>
      <c r="H810" s="344"/>
      <c r="I810" s="344"/>
      <c r="J810" s="344"/>
      <c r="K810" s="344"/>
      <c r="L810" s="344"/>
      <c r="M810" s="344"/>
      <c r="N810" s="344"/>
      <c r="O810" s="344"/>
      <c r="P810" s="346"/>
      <c r="Q810" s="344"/>
      <c r="R810" s="344"/>
      <c r="S810" s="344"/>
      <c r="T810" s="344"/>
      <c r="U810" s="344"/>
      <c r="V810" s="344"/>
      <c r="W810" s="344"/>
      <c r="X810" s="344"/>
      <c r="Y810" s="344"/>
      <c r="Z810" s="344"/>
      <c r="AA810" s="344"/>
      <c r="AB810" s="344"/>
      <c r="AC810" s="344"/>
    </row>
    <row r="811" ht="24.75" customHeight="1">
      <c r="A811" s="344"/>
      <c r="B811" s="346"/>
      <c r="C811" s="344"/>
      <c r="D811" s="344"/>
      <c r="E811" s="344"/>
      <c r="F811" s="344"/>
      <c r="G811" s="344"/>
      <c r="H811" s="344"/>
      <c r="I811" s="344"/>
      <c r="J811" s="344"/>
      <c r="K811" s="344"/>
      <c r="L811" s="344"/>
      <c r="M811" s="344"/>
      <c r="N811" s="344"/>
      <c r="O811" s="344"/>
      <c r="P811" s="346"/>
      <c r="Q811" s="344"/>
      <c r="R811" s="344"/>
      <c r="S811" s="344"/>
      <c r="T811" s="344"/>
      <c r="U811" s="344"/>
      <c r="V811" s="344"/>
      <c r="W811" s="344"/>
      <c r="X811" s="344"/>
      <c r="Y811" s="344"/>
      <c r="Z811" s="344"/>
      <c r="AA811" s="344"/>
      <c r="AB811" s="344"/>
      <c r="AC811" s="344"/>
    </row>
    <row r="812" ht="24.75" customHeight="1">
      <c r="A812" s="344"/>
      <c r="B812" s="346"/>
      <c r="C812" s="344"/>
      <c r="D812" s="344"/>
      <c r="E812" s="344"/>
      <c r="F812" s="344"/>
      <c r="G812" s="344"/>
      <c r="H812" s="344"/>
      <c r="I812" s="344"/>
      <c r="J812" s="344"/>
      <c r="K812" s="344"/>
      <c r="L812" s="344"/>
      <c r="M812" s="344"/>
      <c r="N812" s="344"/>
      <c r="O812" s="344"/>
      <c r="P812" s="346"/>
      <c r="Q812" s="344"/>
      <c r="R812" s="344"/>
      <c r="S812" s="344"/>
      <c r="T812" s="344"/>
      <c r="U812" s="344"/>
      <c r="V812" s="344"/>
      <c r="W812" s="344"/>
      <c r="X812" s="344"/>
      <c r="Y812" s="344"/>
      <c r="Z812" s="344"/>
      <c r="AA812" s="344"/>
      <c r="AB812" s="344"/>
      <c r="AC812" s="344"/>
    </row>
    <row r="813" ht="24.75" customHeight="1">
      <c r="A813" s="344"/>
      <c r="B813" s="346"/>
      <c r="C813" s="344"/>
      <c r="D813" s="344"/>
      <c r="E813" s="344"/>
      <c r="F813" s="344"/>
      <c r="G813" s="344"/>
      <c r="H813" s="344"/>
      <c r="I813" s="344"/>
      <c r="J813" s="344"/>
      <c r="K813" s="344"/>
      <c r="L813" s="344"/>
      <c r="M813" s="344"/>
      <c r="N813" s="344"/>
      <c r="O813" s="344"/>
      <c r="P813" s="346"/>
      <c r="Q813" s="344"/>
      <c r="R813" s="344"/>
      <c r="S813" s="344"/>
      <c r="T813" s="344"/>
      <c r="U813" s="344"/>
      <c r="V813" s="344"/>
      <c r="W813" s="344"/>
      <c r="X813" s="344"/>
      <c r="Y813" s="344"/>
      <c r="Z813" s="344"/>
      <c r="AA813" s="344"/>
      <c r="AB813" s="344"/>
      <c r="AC813" s="344"/>
    </row>
    <row r="814" ht="24.75" customHeight="1">
      <c r="A814" s="344"/>
      <c r="B814" s="346"/>
      <c r="C814" s="344"/>
      <c r="D814" s="344"/>
      <c r="E814" s="344"/>
      <c r="F814" s="344"/>
      <c r="G814" s="344"/>
      <c r="H814" s="344"/>
      <c r="I814" s="344"/>
      <c r="J814" s="344"/>
      <c r="K814" s="344"/>
      <c r="L814" s="344"/>
      <c r="M814" s="344"/>
      <c r="N814" s="344"/>
      <c r="O814" s="344"/>
      <c r="P814" s="346"/>
      <c r="Q814" s="344"/>
      <c r="R814" s="344"/>
      <c r="S814" s="344"/>
      <c r="T814" s="344"/>
      <c r="U814" s="344"/>
      <c r="V814" s="344"/>
      <c r="W814" s="344"/>
      <c r="X814" s="344"/>
      <c r="Y814" s="344"/>
      <c r="Z814" s="344"/>
      <c r="AA814" s="344"/>
      <c r="AB814" s="344"/>
      <c r="AC814" s="344"/>
    </row>
    <row r="815" ht="24.75" customHeight="1">
      <c r="A815" s="344"/>
      <c r="B815" s="346"/>
      <c r="C815" s="344"/>
      <c r="D815" s="344"/>
      <c r="E815" s="344"/>
      <c r="F815" s="344"/>
      <c r="G815" s="344"/>
      <c r="H815" s="344"/>
      <c r="I815" s="344"/>
      <c r="J815" s="344"/>
      <c r="K815" s="344"/>
      <c r="L815" s="344"/>
      <c r="M815" s="344"/>
      <c r="N815" s="344"/>
      <c r="O815" s="344"/>
      <c r="P815" s="346"/>
      <c r="Q815" s="344"/>
      <c r="R815" s="344"/>
      <c r="S815" s="344"/>
      <c r="T815" s="344"/>
      <c r="U815" s="344"/>
      <c r="V815" s="344"/>
      <c r="W815" s="344"/>
      <c r="X815" s="344"/>
      <c r="Y815" s="344"/>
      <c r="Z815" s="344"/>
      <c r="AA815" s="344"/>
      <c r="AB815" s="344"/>
      <c r="AC815" s="344"/>
    </row>
    <row r="816" ht="24.75" customHeight="1">
      <c r="A816" s="344"/>
      <c r="B816" s="346"/>
      <c r="C816" s="344"/>
      <c r="D816" s="344"/>
      <c r="E816" s="344"/>
      <c r="F816" s="344"/>
      <c r="G816" s="344"/>
      <c r="H816" s="344"/>
      <c r="I816" s="344"/>
      <c r="J816" s="344"/>
      <c r="K816" s="344"/>
      <c r="L816" s="344"/>
      <c r="M816" s="344"/>
      <c r="N816" s="344"/>
      <c r="O816" s="344"/>
      <c r="P816" s="346"/>
      <c r="Q816" s="344"/>
      <c r="R816" s="344"/>
      <c r="S816" s="344"/>
      <c r="T816" s="344"/>
      <c r="U816" s="344"/>
      <c r="V816" s="344"/>
      <c r="W816" s="344"/>
      <c r="X816" s="344"/>
      <c r="Y816" s="344"/>
      <c r="Z816" s="344"/>
      <c r="AA816" s="344"/>
      <c r="AB816" s="344"/>
      <c r="AC816" s="344"/>
    </row>
    <row r="817" ht="24.75" customHeight="1">
      <c r="A817" s="344"/>
      <c r="B817" s="346"/>
      <c r="C817" s="344"/>
      <c r="D817" s="344"/>
      <c r="E817" s="344"/>
      <c r="F817" s="344"/>
      <c r="G817" s="344"/>
      <c r="H817" s="344"/>
      <c r="I817" s="344"/>
      <c r="J817" s="344"/>
      <c r="K817" s="344"/>
      <c r="L817" s="344"/>
      <c r="M817" s="344"/>
      <c r="N817" s="344"/>
      <c r="O817" s="344"/>
      <c r="P817" s="346"/>
      <c r="Q817" s="344"/>
      <c r="R817" s="344"/>
      <c r="S817" s="344"/>
      <c r="T817" s="344"/>
      <c r="U817" s="344"/>
      <c r="V817" s="344"/>
      <c r="W817" s="344"/>
      <c r="X817" s="344"/>
      <c r="Y817" s="344"/>
      <c r="Z817" s="344"/>
      <c r="AA817" s="344"/>
      <c r="AB817" s="344"/>
      <c r="AC817" s="344"/>
    </row>
    <row r="818" ht="24.75" customHeight="1">
      <c r="A818" s="344"/>
      <c r="B818" s="346"/>
      <c r="C818" s="344"/>
      <c r="D818" s="344"/>
      <c r="E818" s="344"/>
      <c r="F818" s="344"/>
      <c r="G818" s="344"/>
      <c r="H818" s="344"/>
      <c r="I818" s="344"/>
      <c r="J818" s="344"/>
      <c r="K818" s="344"/>
      <c r="L818" s="344"/>
      <c r="M818" s="344"/>
      <c r="N818" s="344"/>
      <c r="O818" s="344"/>
      <c r="P818" s="346"/>
      <c r="Q818" s="344"/>
      <c r="R818" s="344"/>
      <c r="S818" s="344"/>
      <c r="T818" s="344"/>
      <c r="U818" s="344"/>
      <c r="V818" s="344"/>
      <c r="W818" s="344"/>
      <c r="X818" s="344"/>
      <c r="Y818" s="344"/>
      <c r="Z818" s="344"/>
      <c r="AA818" s="344"/>
      <c r="AB818" s="344"/>
      <c r="AC818" s="344"/>
    </row>
    <row r="819" ht="24.75" customHeight="1">
      <c r="A819" s="344"/>
      <c r="B819" s="346"/>
      <c r="C819" s="344"/>
      <c r="D819" s="344"/>
      <c r="E819" s="344"/>
      <c r="F819" s="344"/>
      <c r="G819" s="344"/>
      <c r="H819" s="344"/>
      <c r="I819" s="344"/>
      <c r="J819" s="344"/>
      <c r="K819" s="344"/>
      <c r="L819" s="344"/>
      <c r="M819" s="344"/>
      <c r="N819" s="344"/>
      <c r="O819" s="344"/>
      <c r="P819" s="346"/>
      <c r="Q819" s="344"/>
      <c r="R819" s="344"/>
      <c r="S819" s="344"/>
      <c r="T819" s="344"/>
      <c r="U819" s="344"/>
      <c r="V819" s="344"/>
      <c r="W819" s="344"/>
      <c r="X819" s="344"/>
      <c r="Y819" s="344"/>
      <c r="Z819" s="344"/>
      <c r="AA819" s="344"/>
      <c r="AB819" s="344"/>
      <c r="AC819" s="344"/>
    </row>
    <row r="820" ht="24.75" customHeight="1">
      <c r="A820" s="344"/>
      <c r="B820" s="346"/>
      <c r="C820" s="344"/>
      <c r="D820" s="344"/>
      <c r="E820" s="344"/>
      <c r="F820" s="344"/>
      <c r="G820" s="344"/>
      <c r="H820" s="344"/>
      <c r="I820" s="344"/>
      <c r="J820" s="344"/>
      <c r="K820" s="344"/>
      <c r="L820" s="344"/>
      <c r="M820" s="344"/>
      <c r="N820" s="344"/>
      <c r="O820" s="344"/>
      <c r="P820" s="346"/>
      <c r="Q820" s="344"/>
      <c r="R820" s="344"/>
      <c r="S820" s="344"/>
      <c r="T820" s="344"/>
      <c r="U820" s="344"/>
      <c r="V820" s="344"/>
      <c r="W820" s="344"/>
      <c r="X820" s="344"/>
      <c r="Y820" s="344"/>
      <c r="Z820" s="344"/>
      <c r="AA820" s="344"/>
      <c r="AB820" s="344"/>
      <c r="AC820" s="344"/>
    </row>
    <row r="821" ht="24.75" customHeight="1">
      <c r="A821" s="344"/>
      <c r="B821" s="346"/>
      <c r="C821" s="344"/>
      <c r="D821" s="344"/>
      <c r="E821" s="344"/>
      <c r="F821" s="344"/>
      <c r="G821" s="344"/>
      <c r="H821" s="344"/>
      <c r="I821" s="344"/>
      <c r="J821" s="344"/>
      <c r="K821" s="344"/>
      <c r="L821" s="344"/>
      <c r="M821" s="344"/>
      <c r="N821" s="344"/>
      <c r="O821" s="344"/>
      <c r="P821" s="346"/>
      <c r="Q821" s="344"/>
      <c r="R821" s="344"/>
      <c r="S821" s="344"/>
      <c r="T821" s="344"/>
      <c r="U821" s="344"/>
      <c r="V821" s="344"/>
      <c r="W821" s="344"/>
      <c r="X821" s="344"/>
      <c r="Y821" s="344"/>
      <c r="Z821" s="344"/>
      <c r="AA821" s="344"/>
      <c r="AB821" s="344"/>
      <c r="AC821" s="344"/>
    </row>
    <row r="822" ht="24.75" customHeight="1">
      <c r="A822" s="344"/>
      <c r="B822" s="346"/>
      <c r="C822" s="344"/>
      <c r="D822" s="344"/>
      <c r="E822" s="344"/>
      <c r="F822" s="344"/>
      <c r="G822" s="344"/>
      <c r="H822" s="344"/>
      <c r="I822" s="344"/>
      <c r="J822" s="344"/>
      <c r="K822" s="344"/>
      <c r="L822" s="344"/>
      <c r="M822" s="344"/>
      <c r="N822" s="344"/>
      <c r="O822" s="344"/>
      <c r="P822" s="346"/>
      <c r="Q822" s="344"/>
      <c r="R822" s="344"/>
      <c r="S822" s="344"/>
      <c r="T822" s="344"/>
      <c r="U822" s="344"/>
      <c r="V822" s="344"/>
      <c r="W822" s="344"/>
      <c r="X822" s="344"/>
      <c r="Y822" s="344"/>
      <c r="Z822" s="344"/>
      <c r="AA822" s="344"/>
      <c r="AB822" s="344"/>
      <c r="AC822" s="344"/>
    </row>
    <row r="823" ht="24.75" customHeight="1">
      <c r="A823" s="344"/>
      <c r="B823" s="346"/>
      <c r="C823" s="344"/>
      <c r="D823" s="344"/>
      <c r="E823" s="344"/>
      <c r="F823" s="344"/>
      <c r="G823" s="344"/>
      <c r="H823" s="344"/>
      <c r="I823" s="344"/>
      <c r="J823" s="344"/>
      <c r="K823" s="344"/>
      <c r="L823" s="344"/>
      <c r="M823" s="344"/>
      <c r="N823" s="344"/>
      <c r="O823" s="344"/>
      <c r="P823" s="346"/>
      <c r="Q823" s="344"/>
      <c r="R823" s="344"/>
      <c r="S823" s="344"/>
      <c r="T823" s="344"/>
      <c r="U823" s="344"/>
      <c r="V823" s="344"/>
      <c r="W823" s="344"/>
      <c r="X823" s="344"/>
      <c r="Y823" s="344"/>
      <c r="Z823" s="344"/>
      <c r="AA823" s="344"/>
      <c r="AB823" s="344"/>
      <c r="AC823" s="344"/>
    </row>
    <row r="824" ht="24.75" customHeight="1">
      <c r="A824" s="344"/>
      <c r="B824" s="346"/>
      <c r="C824" s="344"/>
      <c r="D824" s="344"/>
      <c r="E824" s="344"/>
      <c r="F824" s="344"/>
      <c r="G824" s="344"/>
      <c r="H824" s="344"/>
      <c r="I824" s="344"/>
      <c r="J824" s="344"/>
      <c r="K824" s="344"/>
      <c r="L824" s="344"/>
      <c r="M824" s="344"/>
      <c r="N824" s="344"/>
      <c r="O824" s="344"/>
      <c r="P824" s="346"/>
      <c r="Q824" s="344"/>
      <c r="R824" s="344"/>
      <c r="S824" s="344"/>
      <c r="T824" s="344"/>
      <c r="U824" s="344"/>
      <c r="V824" s="344"/>
      <c r="W824" s="344"/>
      <c r="X824" s="344"/>
      <c r="Y824" s="344"/>
      <c r="Z824" s="344"/>
      <c r="AA824" s="344"/>
      <c r="AB824" s="344"/>
      <c r="AC824" s="344"/>
    </row>
    <row r="825" ht="24.75" customHeight="1">
      <c r="A825" s="344"/>
      <c r="B825" s="346"/>
      <c r="C825" s="344"/>
      <c r="D825" s="344"/>
      <c r="E825" s="344"/>
      <c r="F825" s="344"/>
      <c r="G825" s="344"/>
      <c r="H825" s="344"/>
      <c r="I825" s="344"/>
      <c r="J825" s="344"/>
      <c r="K825" s="344"/>
      <c r="L825" s="344"/>
      <c r="M825" s="344"/>
      <c r="N825" s="344"/>
      <c r="O825" s="344"/>
      <c r="P825" s="346"/>
      <c r="Q825" s="344"/>
      <c r="R825" s="344"/>
      <c r="S825" s="344"/>
      <c r="T825" s="344"/>
      <c r="U825" s="344"/>
      <c r="V825" s="344"/>
      <c r="W825" s="344"/>
      <c r="X825" s="344"/>
      <c r="Y825" s="344"/>
      <c r="Z825" s="344"/>
      <c r="AA825" s="344"/>
      <c r="AB825" s="344"/>
      <c r="AC825" s="344"/>
    </row>
    <row r="826" ht="24.75" customHeight="1">
      <c r="A826" s="344"/>
      <c r="B826" s="346"/>
      <c r="C826" s="344"/>
      <c r="D826" s="344"/>
      <c r="E826" s="344"/>
      <c r="F826" s="344"/>
      <c r="G826" s="344"/>
      <c r="H826" s="344"/>
      <c r="I826" s="344"/>
      <c r="J826" s="344"/>
      <c r="K826" s="344"/>
      <c r="L826" s="344"/>
      <c r="M826" s="344"/>
      <c r="N826" s="344"/>
      <c r="O826" s="344"/>
      <c r="P826" s="346"/>
      <c r="Q826" s="344"/>
      <c r="R826" s="344"/>
      <c r="S826" s="344"/>
      <c r="T826" s="344"/>
      <c r="U826" s="344"/>
      <c r="V826" s="344"/>
      <c r="W826" s="344"/>
      <c r="X826" s="344"/>
      <c r="Y826" s="344"/>
      <c r="Z826" s="344"/>
      <c r="AA826" s="344"/>
      <c r="AB826" s="344"/>
      <c r="AC826" s="344"/>
    </row>
    <row r="827" ht="24.75" customHeight="1">
      <c r="A827" s="344"/>
      <c r="B827" s="346"/>
      <c r="C827" s="344"/>
      <c r="D827" s="344"/>
      <c r="E827" s="344"/>
      <c r="F827" s="344"/>
      <c r="G827" s="344"/>
      <c r="H827" s="344"/>
      <c r="I827" s="344"/>
      <c r="J827" s="344"/>
      <c r="K827" s="344"/>
      <c r="L827" s="344"/>
      <c r="M827" s="344"/>
      <c r="N827" s="344"/>
      <c r="O827" s="344"/>
      <c r="P827" s="346"/>
      <c r="Q827" s="344"/>
      <c r="R827" s="344"/>
      <c r="S827" s="344"/>
      <c r="T827" s="344"/>
      <c r="U827" s="344"/>
      <c r="V827" s="344"/>
      <c r="W827" s="344"/>
      <c r="X827" s="344"/>
      <c r="Y827" s="344"/>
      <c r="Z827" s="344"/>
      <c r="AA827" s="344"/>
      <c r="AB827" s="344"/>
      <c r="AC827" s="344"/>
    </row>
    <row r="828" ht="24.75" customHeight="1">
      <c r="A828" s="344"/>
      <c r="B828" s="346"/>
      <c r="C828" s="344"/>
      <c r="D828" s="344"/>
      <c r="E828" s="344"/>
      <c r="F828" s="344"/>
      <c r="G828" s="344"/>
      <c r="H828" s="344"/>
      <c r="I828" s="344"/>
      <c r="J828" s="344"/>
      <c r="K828" s="344"/>
      <c r="L828" s="344"/>
      <c r="M828" s="344"/>
      <c r="N828" s="344"/>
      <c r="O828" s="344"/>
      <c r="P828" s="346"/>
      <c r="Q828" s="344"/>
      <c r="R828" s="344"/>
      <c r="S828" s="344"/>
      <c r="T828" s="344"/>
      <c r="U828" s="344"/>
      <c r="V828" s="344"/>
      <c r="W828" s="344"/>
      <c r="X828" s="344"/>
      <c r="Y828" s="344"/>
      <c r="Z828" s="344"/>
      <c r="AA828" s="344"/>
      <c r="AB828" s="344"/>
      <c r="AC828" s="344"/>
    </row>
    <row r="829" ht="24.75" customHeight="1">
      <c r="A829" s="344"/>
      <c r="B829" s="346"/>
      <c r="C829" s="344"/>
      <c r="D829" s="344"/>
      <c r="E829" s="344"/>
      <c r="F829" s="344"/>
      <c r="G829" s="344"/>
      <c r="H829" s="344"/>
      <c r="I829" s="344"/>
      <c r="J829" s="344"/>
      <c r="K829" s="344"/>
      <c r="L829" s="344"/>
      <c r="M829" s="344"/>
      <c r="N829" s="344"/>
      <c r="O829" s="344"/>
      <c r="P829" s="346"/>
      <c r="Q829" s="344"/>
      <c r="R829" s="344"/>
      <c r="S829" s="344"/>
      <c r="T829" s="344"/>
      <c r="U829" s="344"/>
      <c r="V829" s="344"/>
      <c r="W829" s="344"/>
      <c r="X829" s="344"/>
      <c r="Y829" s="344"/>
      <c r="Z829" s="344"/>
      <c r="AA829" s="344"/>
      <c r="AB829" s="344"/>
      <c r="AC829" s="344"/>
    </row>
    <row r="830" ht="24.75" customHeight="1">
      <c r="A830" s="344"/>
      <c r="B830" s="346"/>
      <c r="C830" s="344"/>
      <c r="D830" s="344"/>
      <c r="E830" s="344"/>
      <c r="F830" s="344"/>
      <c r="G830" s="344"/>
      <c r="H830" s="344"/>
      <c r="I830" s="344"/>
      <c r="J830" s="344"/>
      <c r="K830" s="344"/>
      <c r="L830" s="344"/>
      <c r="M830" s="344"/>
      <c r="N830" s="344"/>
      <c r="O830" s="344"/>
      <c r="P830" s="346"/>
      <c r="Q830" s="344"/>
      <c r="R830" s="344"/>
      <c r="S830" s="344"/>
      <c r="T830" s="344"/>
      <c r="U830" s="344"/>
      <c r="V830" s="344"/>
      <c r="W830" s="344"/>
      <c r="X830" s="344"/>
      <c r="Y830" s="344"/>
      <c r="Z830" s="344"/>
      <c r="AA830" s="344"/>
      <c r="AB830" s="344"/>
      <c r="AC830" s="344"/>
    </row>
    <row r="831" ht="24.75" customHeight="1">
      <c r="A831" s="344"/>
      <c r="B831" s="346"/>
      <c r="C831" s="344"/>
      <c r="D831" s="344"/>
      <c r="E831" s="344"/>
      <c r="F831" s="344"/>
      <c r="G831" s="344"/>
      <c r="H831" s="344"/>
      <c r="I831" s="344"/>
      <c r="J831" s="344"/>
      <c r="K831" s="344"/>
      <c r="L831" s="344"/>
      <c r="M831" s="344"/>
      <c r="N831" s="344"/>
      <c r="O831" s="344"/>
      <c r="P831" s="346"/>
      <c r="Q831" s="344"/>
      <c r="R831" s="344"/>
      <c r="S831" s="344"/>
      <c r="T831" s="344"/>
      <c r="U831" s="344"/>
      <c r="V831" s="344"/>
      <c r="W831" s="344"/>
      <c r="X831" s="344"/>
      <c r="Y831" s="344"/>
      <c r="Z831" s="344"/>
      <c r="AA831" s="344"/>
      <c r="AB831" s="344"/>
      <c r="AC831" s="344"/>
    </row>
    <row r="832" ht="24.75" customHeight="1">
      <c r="A832" s="344"/>
      <c r="B832" s="346"/>
      <c r="C832" s="344"/>
      <c r="D832" s="344"/>
      <c r="E832" s="344"/>
      <c r="F832" s="344"/>
      <c r="G832" s="344"/>
      <c r="H832" s="344"/>
      <c r="I832" s="344"/>
      <c r="J832" s="344"/>
      <c r="K832" s="344"/>
      <c r="L832" s="344"/>
      <c r="M832" s="344"/>
      <c r="N832" s="344"/>
      <c r="O832" s="344"/>
      <c r="P832" s="346"/>
      <c r="Q832" s="344"/>
      <c r="R832" s="344"/>
      <c r="S832" s="344"/>
      <c r="T832" s="344"/>
      <c r="U832" s="344"/>
      <c r="V832" s="344"/>
      <c r="W832" s="344"/>
      <c r="X832" s="344"/>
      <c r="Y832" s="344"/>
      <c r="Z832" s="344"/>
      <c r="AA832" s="344"/>
      <c r="AB832" s="344"/>
      <c r="AC832" s="344"/>
    </row>
    <row r="833" ht="24.75" customHeight="1">
      <c r="A833" s="344"/>
      <c r="B833" s="346"/>
      <c r="C833" s="344"/>
      <c r="D833" s="344"/>
      <c r="E833" s="344"/>
      <c r="F833" s="344"/>
      <c r="G833" s="344"/>
      <c r="H833" s="344"/>
      <c r="I833" s="344"/>
      <c r="J833" s="344"/>
      <c r="K833" s="344"/>
      <c r="L833" s="344"/>
      <c r="M833" s="344"/>
      <c r="N833" s="344"/>
      <c r="O833" s="344"/>
      <c r="P833" s="346"/>
      <c r="Q833" s="344"/>
      <c r="R833" s="344"/>
      <c r="S833" s="344"/>
      <c r="T833" s="344"/>
      <c r="U833" s="344"/>
      <c r="V833" s="344"/>
      <c r="W833" s="344"/>
      <c r="X833" s="344"/>
      <c r="Y833" s="344"/>
      <c r="Z833" s="344"/>
      <c r="AA833" s="344"/>
      <c r="AB833" s="344"/>
      <c r="AC833" s="344"/>
    </row>
    <row r="834" ht="24.75" customHeight="1">
      <c r="A834" s="344"/>
      <c r="B834" s="346"/>
      <c r="C834" s="344"/>
      <c r="D834" s="344"/>
      <c r="E834" s="344"/>
      <c r="F834" s="344"/>
      <c r="G834" s="344"/>
      <c r="H834" s="344"/>
      <c r="I834" s="344"/>
      <c r="J834" s="344"/>
      <c r="K834" s="344"/>
      <c r="L834" s="344"/>
      <c r="M834" s="344"/>
      <c r="N834" s="344"/>
      <c r="O834" s="344"/>
      <c r="P834" s="346"/>
      <c r="Q834" s="344"/>
      <c r="R834" s="344"/>
      <c r="S834" s="344"/>
      <c r="T834" s="344"/>
      <c r="U834" s="344"/>
      <c r="V834" s="344"/>
      <c r="W834" s="344"/>
      <c r="X834" s="344"/>
      <c r="Y834" s="344"/>
      <c r="Z834" s="344"/>
      <c r="AA834" s="344"/>
      <c r="AB834" s="344"/>
      <c r="AC834" s="344"/>
    </row>
    <row r="835" ht="24.75" customHeight="1">
      <c r="A835" s="344"/>
      <c r="B835" s="346"/>
      <c r="C835" s="344"/>
      <c r="D835" s="344"/>
      <c r="E835" s="344"/>
      <c r="F835" s="344"/>
      <c r="G835" s="344"/>
      <c r="H835" s="344"/>
      <c r="I835" s="344"/>
      <c r="J835" s="344"/>
      <c r="K835" s="344"/>
      <c r="L835" s="344"/>
      <c r="M835" s="344"/>
      <c r="N835" s="344"/>
      <c r="O835" s="344"/>
      <c r="P835" s="346"/>
      <c r="Q835" s="344"/>
      <c r="R835" s="344"/>
      <c r="S835" s="344"/>
      <c r="T835" s="344"/>
      <c r="U835" s="344"/>
      <c r="V835" s="344"/>
      <c r="W835" s="344"/>
      <c r="X835" s="344"/>
      <c r="Y835" s="344"/>
      <c r="Z835" s="344"/>
      <c r="AA835" s="344"/>
      <c r="AB835" s="344"/>
      <c r="AC835" s="344"/>
    </row>
    <row r="836" ht="24.75" customHeight="1">
      <c r="A836" s="344"/>
      <c r="B836" s="346"/>
      <c r="C836" s="344"/>
      <c r="D836" s="344"/>
      <c r="E836" s="344"/>
      <c r="F836" s="344"/>
      <c r="G836" s="344"/>
      <c r="H836" s="344"/>
      <c r="I836" s="344"/>
      <c r="J836" s="344"/>
      <c r="K836" s="344"/>
      <c r="L836" s="344"/>
      <c r="M836" s="344"/>
      <c r="N836" s="344"/>
      <c r="O836" s="344"/>
      <c r="P836" s="346"/>
      <c r="Q836" s="344"/>
      <c r="R836" s="344"/>
      <c r="S836" s="344"/>
      <c r="T836" s="344"/>
      <c r="U836" s="344"/>
      <c r="V836" s="344"/>
      <c r="W836" s="344"/>
      <c r="X836" s="344"/>
      <c r="Y836" s="344"/>
      <c r="Z836" s="344"/>
      <c r="AA836" s="344"/>
      <c r="AB836" s="344"/>
      <c r="AC836" s="344"/>
    </row>
    <row r="837" ht="24.75" customHeight="1">
      <c r="A837" s="344"/>
      <c r="B837" s="346"/>
      <c r="C837" s="344"/>
      <c r="D837" s="344"/>
      <c r="E837" s="344"/>
      <c r="F837" s="344"/>
      <c r="G837" s="344"/>
      <c r="H837" s="344"/>
      <c r="I837" s="344"/>
      <c r="J837" s="344"/>
      <c r="K837" s="344"/>
      <c r="L837" s="344"/>
      <c r="M837" s="344"/>
      <c r="N837" s="344"/>
      <c r="O837" s="344"/>
      <c r="P837" s="346"/>
      <c r="Q837" s="344"/>
      <c r="R837" s="344"/>
      <c r="S837" s="344"/>
      <c r="T837" s="344"/>
      <c r="U837" s="344"/>
      <c r="V837" s="344"/>
      <c r="W837" s="344"/>
      <c r="X837" s="344"/>
      <c r="Y837" s="344"/>
      <c r="Z837" s="344"/>
      <c r="AA837" s="344"/>
      <c r="AB837" s="344"/>
      <c r="AC837" s="344"/>
    </row>
    <row r="838" ht="24.75" customHeight="1">
      <c r="A838" s="344"/>
      <c r="B838" s="346"/>
      <c r="C838" s="344"/>
      <c r="D838" s="344"/>
      <c r="E838" s="344"/>
      <c r="F838" s="344"/>
      <c r="G838" s="344"/>
      <c r="H838" s="344"/>
      <c r="I838" s="344"/>
      <c r="J838" s="344"/>
      <c r="K838" s="344"/>
      <c r="L838" s="344"/>
      <c r="M838" s="344"/>
      <c r="N838" s="344"/>
      <c r="O838" s="344"/>
      <c r="P838" s="346"/>
      <c r="Q838" s="344"/>
      <c r="R838" s="344"/>
      <c r="S838" s="344"/>
      <c r="T838" s="344"/>
      <c r="U838" s="344"/>
      <c r="V838" s="344"/>
      <c r="W838" s="344"/>
      <c r="X838" s="344"/>
      <c r="Y838" s="344"/>
      <c r="Z838" s="344"/>
      <c r="AA838" s="344"/>
      <c r="AB838" s="344"/>
      <c r="AC838" s="344"/>
    </row>
    <row r="839" ht="24.75" customHeight="1">
      <c r="A839" s="344"/>
      <c r="B839" s="346"/>
      <c r="C839" s="344"/>
      <c r="D839" s="344"/>
      <c r="E839" s="344"/>
      <c r="F839" s="344"/>
      <c r="G839" s="344"/>
      <c r="H839" s="344"/>
      <c r="I839" s="344"/>
      <c r="J839" s="344"/>
      <c r="K839" s="344"/>
      <c r="L839" s="344"/>
      <c r="M839" s="344"/>
      <c r="N839" s="344"/>
      <c r="O839" s="344"/>
      <c r="P839" s="346"/>
      <c r="Q839" s="344"/>
      <c r="R839" s="344"/>
      <c r="S839" s="344"/>
      <c r="T839" s="344"/>
      <c r="U839" s="344"/>
      <c r="V839" s="344"/>
      <c r="W839" s="344"/>
      <c r="X839" s="344"/>
      <c r="Y839" s="344"/>
      <c r="Z839" s="344"/>
      <c r="AA839" s="344"/>
      <c r="AB839" s="344"/>
      <c r="AC839" s="344"/>
    </row>
    <row r="840" ht="24.75" customHeight="1">
      <c r="A840" s="344"/>
      <c r="B840" s="346"/>
      <c r="C840" s="344"/>
      <c r="D840" s="344"/>
      <c r="E840" s="344"/>
      <c r="F840" s="344"/>
      <c r="G840" s="344"/>
      <c r="H840" s="344"/>
      <c r="I840" s="344"/>
      <c r="J840" s="344"/>
      <c r="K840" s="344"/>
      <c r="L840" s="344"/>
      <c r="M840" s="344"/>
      <c r="N840" s="344"/>
      <c r="O840" s="344"/>
      <c r="P840" s="346"/>
      <c r="Q840" s="344"/>
      <c r="R840" s="344"/>
      <c r="S840" s="344"/>
      <c r="T840" s="344"/>
      <c r="U840" s="344"/>
      <c r="V840" s="344"/>
      <c r="W840" s="344"/>
      <c r="X840" s="344"/>
      <c r="Y840" s="344"/>
      <c r="Z840" s="344"/>
      <c r="AA840" s="344"/>
      <c r="AB840" s="344"/>
      <c r="AC840" s="344"/>
    </row>
    <row r="841" ht="24.75" customHeight="1">
      <c r="A841" s="344"/>
      <c r="B841" s="346"/>
      <c r="C841" s="344"/>
      <c r="D841" s="344"/>
      <c r="E841" s="344"/>
      <c r="F841" s="344"/>
      <c r="G841" s="344"/>
      <c r="H841" s="344"/>
      <c r="I841" s="344"/>
      <c r="J841" s="344"/>
      <c r="K841" s="344"/>
      <c r="L841" s="344"/>
      <c r="M841" s="344"/>
      <c r="N841" s="344"/>
      <c r="O841" s="344"/>
      <c r="P841" s="346"/>
      <c r="Q841" s="344"/>
      <c r="R841" s="344"/>
      <c r="S841" s="344"/>
      <c r="T841" s="344"/>
      <c r="U841" s="344"/>
      <c r="V841" s="344"/>
      <c r="W841" s="344"/>
      <c r="X841" s="344"/>
      <c r="Y841" s="344"/>
      <c r="Z841" s="344"/>
      <c r="AA841" s="344"/>
      <c r="AB841" s="344"/>
      <c r="AC841" s="344"/>
    </row>
    <row r="842" ht="24.75" customHeight="1">
      <c r="A842" s="344"/>
      <c r="B842" s="346"/>
      <c r="C842" s="344"/>
      <c r="D842" s="344"/>
      <c r="E842" s="344"/>
      <c r="F842" s="344"/>
      <c r="G842" s="344"/>
      <c r="H842" s="344"/>
      <c r="I842" s="344"/>
      <c r="J842" s="344"/>
      <c r="K842" s="344"/>
      <c r="L842" s="344"/>
      <c r="M842" s="344"/>
      <c r="N842" s="344"/>
      <c r="O842" s="344"/>
      <c r="P842" s="346"/>
      <c r="Q842" s="344"/>
      <c r="R842" s="344"/>
      <c r="S842" s="344"/>
      <c r="T842" s="344"/>
      <c r="U842" s="344"/>
      <c r="V842" s="344"/>
      <c r="W842" s="344"/>
      <c r="X842" s="344"/>
      <c r="Y842" s="344"/>
      <c r="Z842" s="344"/>
      <c r="AA842" s="344"/>
      <c r="AB842" s="344"/>
      <c r="AC842" s="344"/>
    </row>
    <row r="843" ht="24.75" customHeight="1">
      <c r="A843" s="344"/>
      <c r="B843" s="346"/>
      <c r="C843" s="344"/>
      <c r="D843" s="344"/>
      <c r="E843" s="344"/>
      <c r="F843" s="344"/>
      <c r="G843" s="344"/>
      <c r="H843" s="344"/>
      <c r="I843" s="344"/>
      <c r="J843" s="344"/>
      <c r="K843" s="344"/>
      <c r="L843" s="344"/>
      <c r="M843" s="344"/>
      <c r="N843" s="344"/>
      <c r="O843" s="344"/>
      <c r="P843" s="346"/>
      <c r="Q843" s="344"/>
      <c r="R843" s="344"/>
      <c r="S843" s="344"/>
      <c r="T843" s="344"/>
      <c r="U843" s="344"/>
      <c r="V843" s="344"/>
      <c r="W843" s="344"/>
      <c r="X843" s="344"/>
      <c r="Y843" s="344"/>
      <c r="Z843" s="344"/>
      <c r="AA843" s="344"/>
      <c r="AB843" s="344"/>
      <c r="AC843" s="344"/>
    </row>
    <row r="844" ht="24.75" customHeight="1">
      <c r="A844" s="344"/>
      <c r="B844" s="346"/>
      <c r="C844" s="344"/>
      <c r="D844" s="344"/>
      <c r="E844" s="344"/>
      <c r="F844" s="344"/>
      <c r="G844" s="344"/>
      <c r="H844" s="344"/>
      <c r="I844" s="344"/>
      <c r="J844" s="344"/>
      <c r="K844" s="344"/>
      <c r="L844" s="344"/>
      <c r="M844" s="344"/>
      <c r="N844" s="344"/>
      <c r="O844" s="344"/>
      <c r="P844" s="346"/>
      <c r="Q844" s="344"/>
      <c r="R844" s="344"/>
      <c r="S844" s="344"/>
      <c r="T844" s="344"/>
      <c r="U844" s="344"/>
      <c r="V844" s="344"/>
      <c r="W844" s="344"/>
      <c r="X844" s="344"/>
      <c r="Y844" s="344"/>
      <c r="Z844" s="344"/>
      <c r="AA844" s="344"/>
      <c r="AB844" s="344"/>
      <c r="AC844" s="344"/>
    </row>
    <row r="845" ht="24.75" customHeight="1">
      <c r="A845" s="344"/>
      <c r="B845" s="346"/>
      <c r="C845" s="344"/>
      <c r="D845" s="344"/>
      <c r="E845" s="344"/>
      <c r="F845" s="344"/>
      <c r="G845" s="344"/>
      <c r="H845" s="344"/>
      <c r="I845" s="344"/>
      <c r="J845" s="344"/>
      <c r="K845" s="344"/>
      <c r="L845" s="344"/>
      <c r="M845" s="344"/>
      <c r="N845" s="344"/>
      <c r="O845" s="344"/>
      <c r="P845" s="346"/>
      <c r="Q845" s="344"/>
      <c r="R845" s="344"/>
      <c r="S845" s="344"/>
      <c r="T845" s="344"/>
      <c r="U845" s="344"/>
      <c r="V845" s="344"/>
      <c r="W845" s="344"/>
      <c r="X845" s="344"/>
      <c r="Y845" s="344"/>
      <c r="Z845" s="344"/>
      <c r="AA845" s="344"/>
      <c r="AB845" s="344"/>
      <c r="AC845" s="344"/>
    </row>
    <row r="846" ht="24.75" customHeight="1">
      <c r="A846" s="344"/>
      <c r="B846" s="346"/>
      <c r="C846" s="344"/>
      <c r="D846" s="344"/>
      <c r="E846" s="344"/>
      <c r="F846" s="344"/>
      <c r="G846" s="344"/>
      <c r="H846" s="344"/>
      <c r="I846" s="344"/>
      <c r="J846" s="344"/>
      <c r="K846" s="344"/>
      <c r="L846" s="344"/>
      <c r="M846" s="344"/>
      <c r="N846" s="344"/>
      <c r="O846" s="344"/>
      <c r="P846" s="346"/>
      <c r="Q846" s="344"/>
      <c r="R846" s="344"/>
      <c r="S846" s="344"/>
      <c r="T846" s="344"/>
      <c r="U846" s="344"/>
      <c r="V846" s="344"/>
      <c r="W846" s="344"/>
      <c r="X846" s="344"/>
      <c r="Y846" s="344"/>
      <c r="Z846" s="344"/>
      <c r="AA846" s="344"/>
      <c r="AB846" s="344"/>
      <c r="AC846" s="344"/>
    </row>
    <row r="847" ht="24.75" customHeight="1">
      <c r="A847" s="344"/>
      <c r="B847" s="346"/>
      <c r="C847" s="344"/>
      <c r="D847" s="344"/>
      <c r="E847" s="344"/>
      <c r="F847" s="344"/>
      <c r="G847" s="344"/>
      <c r="H847" s="344"/>
      <c r="I847" s="344"/>
      <c r="J847" s="344"/>
      <c r="K847" s="344"/>
      <c r="L847" s="344"/>
      <c r="M847" s="344"/>
      <c r="N847" s="344"/>
      <c r="O847" s="344"/>
      <c r="P847" s="346"/>
      <c r="Q847" s="344"/>
      <c r="R847" s="344"/>
      <c r="S847" s="344"/>
      <c r="T847" s="344"/>
      <c r="U847" s="344"/>
      <c r="V847" s="344"/>
      <c r="W847" s="344"/>
      <c r="X847" s="344"/>
      <c r="Y847" s="344"/>
      <c r="Z847" s="344"/>
      <c r="AA847" s="344"/>
      <c r="AB847" s="344"/>
      <c r="AC847" s="344"/>
    </row>
    <row r="848" ht="24.75" customHeight="1">
      <c r="A848" s="344"/>
      <c r="B848" s="346"/>
      <c r="C848" s="344"/>
      <c r="D848" s="344"/>
      <c r="E848" s="344"/>
      <c r="F848" s="344"/>
      <c r="G848" s="344"/>
      <c r="H848" s="344"/>
      <c r="I848" s="344"/>
      <c r="J848" s="344"/>
      <c r="K848" s="344"/>
      <c r="L848" s="344"/>
      <c r="M848" s="344"/>
      <c r="N848" s="344"/>
      <c r="O848" s="344"/>
      <c r="P848" s="346"/>
      <c r="Q848" s="344"/>
      <c r="R848" s="344"/>
      <c r="S848" s="344"/>
      <c r="T848" s="344"/>
      <c r="U848" s="344"/>
      <c r="V848" s="344"/>
      <c r="W848" s="344"/>
      <c r="X848" s="344"/>
      <c r="Y848" s="344"/>
      <c r="Z848" s="344"/>
      <c r="AA848" s="344"/>
      <c r="AB848" s="344"/>
      <c r="AC848" s="344"/>
    </row>
    <row r="849" ht="24.75" customHeight="1">
      <c r="A849" s="344"/>
      <c r="B849" s="346"/>
      <c r="C849" s="344"/>
      <c r="D849" s="344"/>
      <c r="E849" s="344"/>
      <c r="F849" s="344"/>
      <c r="G849" s="344"/>
      <c r="H849" s="344"/>
      <c r="I849" s="344"/>
      <c r="J849" s="344"/>
      <c r="K849" s="344"/>
      <c r="L849" s="344"/>
      <c r="M849" s="344"/>
      <c r="N849" s="344"/>
      <c r="O849" s="344"/>
      <c r="P849" s="346"/>
      <c r="Q849" s="344"/>
      <c r="R849" s="344"/>
      <c r="S849" s="344"/>
      <c r="T849" s="344"/>
      <c r="U849" s="344"/>
      <c r="V849" s="344"/>
      <c r="W849" s="344"/>
      <c r="X849" s="344"/>
      <c r="Y849" s="344"/>
      <c r="Z849" s="344"/>
      <c r="AA849" s="344"/>
      <c r="AB849" s="344"/>
      <c r="AC849" s="344"/>
    </row>
    <row r="850" ht="24.75" customHeight="1">
      <c r="A850" s="344"/>
      <c r="B850" s="346"/>
      <c r="C850" s="344"/>
      <c r="D850" s="344"/>
      <c r="E850" s="344"/>
      <c r="F850" s="344"/>
      <c r="G850" s="344"/>
      <c r="H850" s="344"/>
      <c r="I850" s="344"/>
      <c r="J850" s="344"/>
      <c r="K850" s="344"/>
      <c r="L850" s="344"/>
      <c r="M850" s="344"/>
      <c r="N850" s="344"/>
      <c r="O850" s="344"/>
      <c r="P850" s="346"/>
      <c r="Q850" s="344"/>
      <c r="R850" s="344"/>
      <c r="S850" s="344"/>
      <c r="T850" s="344"/>
      <c r="U850" s="344"/>
      <c r="V850" s="344"/>
      <c r="W850" s="344"/>
      <c r="X850" s="344"/>
      <c r="Y850" s="344"/>
      <c r="Z850" s="344"/>
      <c r="AA850" s="344"/>
      <c r="AB850" s="344"/>
      <c r="AC850" s="344"/>
    </row>
    <row r="851" ht="24.75" customHeight="1">
      <c r="A851" s="344"/>
      <c r="B851" s="346"/>
      <c r="C851" s="344"/>
      <c r="D851" s="344"/>
      <c r="E851" s="344"/>
      <c r="F851" s="344"/>
      <c r="G851" s="344"/>
      <c r="H851" s="344"/>
      <c r="I851" s="344"/>
      <c r="J851" s="344"/>
      <c r="K851" s="344"/>
      <c r="L851" s="344"/>
      <c r="M851" s="344"/>
      <c r="N851" s="344"/>
      <c r="O851" s="344"/>
      <c r="P851" s="346"/>
      <c r="Q851" s="344"/>
      <c r="R851" s="344"/>
      <c r="S851" s="344"/>
      <c r="T851" s="344"/>
      <c r="U851" s="344"/>
      <c r="V851" s="344"/>
      <c r="W851" s="344"/>
      <c r="X851" s="344"/>
      <c r="Y851" s="344"/>
      <c r="Z851" s="344"/>
      <c r="AA851" s="344"/>
      <c r="AB851" s="344"/>
      <c r="AC851" s="344"/>
    </row>
    <row r="852" ht="24.75" customHeight="1">
      <c r="A852" s="344"/>
      <c r="B852" s="346"/>
      <c r="C852" s="344"/>
      <c r="D852" s="344"/>
      <c r="E852" s="344"/>
      <c r="F852" s="344"/>
      <c r="G852" s="344"/>
      <c r="H852" s="344"/>
      <c r="I852" s="344"/>
      <c r="J852" s="344"/>
      <c r="K852" s="344"/>
      <c r="L852" s="344"/>
      <c r="M852" s="344"/>
      <c r="N852" s="344"/>
      <c r="O852" s="344"/>
      <c r="P852" s="346"/>
      <c r="Q852" s="344"/>
      <c r="R852" s="344"/>
      <c r="S852" s="344"/>
      <c r="T852" s="344"/>
      <c r="U852" s="344"/>
      <c r="V852" s="344"/>
      <c r="W852" s="344"/>
      <c r="X852" s="344"/>
      <c r="Y852" s="344"/>
      <c r="Z852" s="344"/>
      <c r="AA852" s="344"/>
      <c r="AB852" s="344"/>
      <c r="AC852" s="344"/>
    </row>
    <row r="853" ht="24.75" customHeight="1">
      <c r="A853" s="344"/>
      <c r="B853" s="346"/>
      <c r="C853" s="344"/>
      <c r="D853" s="344"/>
      <c r="E853" s="344"/>
      <c r="F853" s="344"/>
      <c r="G853" s="344"/>
      <c r="H853" s="344"/>
      <c r="I853" s="344"/>
      <c r="J853" s="344"/>
      <c r="K853" s="344"/>
      <c r="L853" s="344"/>
      <c r="M853" s="344"/>
      <c r="N853" s="344"/>
      <c r="O853" s="344"/>
      <c r="P853" s="346"/>
      <c r="Q853" s="344"/>
      <c r="R853" s="344"/>
      <c r="S853" s="344"/>
      <c r="T853" s="344"/>
      <c r="U853" s="344"/>
      <c r="V853" s="344"/>
      <c r="W853" s="344"/>
      <c r="X853" s="344"/>
      <c r="Y853" s="344"/>
      <c r="Z853" s="344"/>
      <c r="AA853" s="344"/>
      <c r="AB853" s="344"/>
      <c r="AC853" s="344"/>
    </row>
    <row r="854" ht="24.75" customHeight="1">
      <c r="A854" s="344"/>
      <c r="B854" s="346"/>
      <c r="C854" s="344"/>
      <c r="D854" s="344"/>
      <c r="E854" s="344"/>
      <c r="F854" s="344"/>
      <c r="G854" s="344"/>
      <c r="H854" s="344"/>
      <c r="I854" s="344"/>
      <c r="J854" s="344"/>
      <c r="K854" s="344"/>
      <c r="L854" s="344"/>
      <c r="M854" s="344"/>
      <c r="N854" s="344"/>
      <c r="O854" s="344"/>
      <c r="P854" s="346"/>
      <c r="Q854" s="344"/>
      <c r="R854" s="344"/>
      <c r="S854" s="344"/>
      <c r="T854" s="344"/>
      <c r="U854" s="344"/>
      <c r="V854" s="344"/>
      <c r="W854" s="344"/>
      <c r="X854" s="344"/>
      <c r="Y854" s="344"/>
      <c r="Z854" s="344"/>
      <c r="AA854" s="344"/>
      <c r="AB854" s="344"/>
      <c r="AC854" s="344"/>
    </row>
    <row r="855" ht="24.75" customHeight="1">
      <c r="A855" s="344"/>
      <c r="B855" s="346"/>
      <c r="C855" s="344"/>
      <c r="D855" s="344"/>
      <c r="E855" s="344"/>
      <c r="F855" s="344"/>
      <c r="G855" s="344"/>
      <c r="H855" s="344"/>
      <c r="I855" s="344"/>
      <c r="J855" s="344"/>
      <c r="K855" s="344"/>
      <c r="L855" s="344"/>
      <c r="M855" s="344"/>
      <c r="N855" s="344"/>
      <c r="O855" s="344"/>
      <c r="P855" s="346"/>
      <c r="Q855" s="344"/>
      <c r="R855" s="344"/>
      <c r="S855" s="344"/>
      <c r="T855" s="344"/>
      <c r="U855" s="344"/>
      <c r="V855" s="344"/>
      <c r="W855" s="344"/>
      <c r="X855" s="344"/>
      <c r="Y855" s="344"/>
      <c r="Z855" s="344"/>
      <c r="AA855" s="344"/>
      <c r="AB855" s="344"/>
      <c r="AC855" s="344"/>
    </row>
    <row r="856" ht="24.75" customHeight="1">
      <c r="A856" s="344"/>
      <c r="B856" s="346"/>
      <c r="C856" s="344"/>
      <c r="D856" s="344"/>
      <c r="E856" s="344"/>
      <c r="F856" s="344"/>
      <c r="G856" s="344"/>
      <c r="H856" s="344"/>
      <c r="I856" s="344"/>
      <c r="J856" s="344"/>
      <c r="K856" s="344"/>
      <c r="L856" s="344"/>
      <c r="M856" s="344"/>
      <c r="N856" s="344"/>
      <c r="O856" s="344"/>
      <c r="P856" s="346"/>
      <c r="Q856" s="344"/>
      <c r="R856" s="344"/>
      <c r="S856" s="344"/>
      <c r="T856" s="344"/>
      <c r="U856" s="344"/>
      <c r="V856" s="344"/>
      <c r="W856" s="344"/>
      <c r="X856" s="344"/>
      <c r="Y856" s="344"/>
      <c r="Z856" s="344"/>
      <c r="AA856" s="344"/>
      <c r="AB856" s="344"/>
      <c r="AC856" s="344"/>
    </row>
    <row r="857" ht="24.75" customHeight="1">
      <c r="A857" s="344"/>
      <c r="B857" s="346"/>
      <c r="C857" s="344"/>
      <c r="D857" s="344"/>
      <c r="E857" s="344"/>
      <c r="F857" s="344"/>
      <c r="G857" s="344"/>
      <c r="H857" s="344"/>
      <c r="I857" s="344"/>
      <c r="J857" s="344"/>
      <c r="K857" s="344"/>
      <c r="L857" s="344"/>
      <c r="M857" s="344"/>
      <c r="N857" s="344"/>
      <c r="O857" s="344"/>
      <c r="P857" s="346"/>
      <c r="Q857" s="344"/>
      <c r="R857" s="344"/>
      <c r="S857" s="344"/>
      <c r="T857" s="344"/>
      <c r="U857" s="344"/>
      <c r="V857" s="344"/>
      <c r="W857" s="344"/>
      <c r="X857" s="344"/>
      <c r="Y857" s="344"/>
      <c r="Z857" s="344"/>
      <c r="AA857" s="344"/>
      <c r="AB857" s="344"/>
      <c r="AC857" s="344"/>
    </row>
    <row r="858" ht="24.75" customHeight="1">
      <c r="A858" s="344"/>
      <c r="B858" s="346"/>
      <c r="C858" s="344"/>
      <c r="D858" s="344"/>
      <c r="E858" s="344"/>
      <c r="F858" s="344"/>
      <c r="G858" s="344"/>
      <c r="H858" s="344"/>
      <c r="I858" s="344"/>
      <c r="J858" s="344"/>
      <c r="K858" s="344"/>
      <c r="L858" s="344"/>
      <c r="M858" s="344"/>
      <c r="N858" s="344"/>
      <c r="O858" s="344"/>
      <c r="P858" s="346"/>
      <c r="Q858" s="344"/>
      <c r="R858" s="344"/>
      <c r="S858" s="344"/>
      <c r="T858" s="344"/>
      <c r="U858" s="344"/>
      <c r="V858" s="344"/>
      <c r="W858" s="344"/>
      <c r="X858" s="344"/>
      <c r="Y858" s="344"/>
      <c r="Z858" s="344"/>
      <c r="AA858" s="344"/>
      <c r="AB858" s="344"/>
      <c r="AC858" s="344"/>
    </row>
    <row r="859" ht="24.75" customHeight="1">
      <c r="A859" s="344"/>
      <c r="B859" s="346"/>
      <c r="C859" s="344"/>
      <c r="D859" s="344"/>
      <c r="E859" s="344"/>
      <c r="F859" s="344"/>
      <c r="G859" s="344"/>
      <c r="H859" s="344"/>
      <c r="I859" s="344"/>
      <c r="J859" s="344"/>
      <c r="K859" s="344"/>
      <c r="L859" s="344"/>
      <c r="M859" s="344"/>
      <c r="N859" s="344"/>
      <c r="O859" s="344"/>
      <c r="P859" s="346"/>
      <c r="Q859" s="344"/>
      <c r="R859" s="344"/>
      <c r="S859" s="344"/>
      <c r="T859" s="344"/>
      <c r="U859" s="344"/>
      <c r="V859" s="344"/>
      <c r="W859" s="344"/>
      <c r="X859" s="344"/>
      <c r="Y859" s="344"/>
      <c r="Z859" s="344"/>
      <c r="AA859" s="344"/>
      <c r="AB859" s="344"/>
      <c r="AC859" s="344"/>
    </row>
    <row r="860" ht="24.75" customHeight="1">
      <c r="A860" s="344"/>
      <c r="B860" s="346"/>
      <c r="C860" s="344"/>
      <c r="D860" s="344"/>
      <c r="E860" s="344"/>
      <c r="F860" s="344"/>
      <c r="G860" s="344"/>
      <c r="H860" s="344"/>
      <c r="I860" s="344"/>
      <c r="J860" s="344"/>
      <c r="K860" s="344"/>
      <c r="L860" s="344"/>
      <c r="M860" s="344"/>
      <c r="N860" s="344"/>
      <c r="O860" s="344"/>
      <c r="P860" s="346"/>
      <c r="Q860" s="344"/>
      <c r="R860" s="344"/>
      <c r="S860" s="344"/>
      <c r="T860" s="344"/>
      <c r="U860" s="344"/>
      <c r="V860" s="344"/>
      <c r="W860" s="344"/>
      <c r="X860" s="344"/>
      <c r="Y860" s="344"/>
      <c r="Z860" s="344"/>
      <c r="AA860" s="344"/>
      <c r="AB860" s="344"/>
      <c r="AC860" s="344"/>
    </row>
    <row r="861" ht="24.75" customHeight="1">
      <c r="A861" s="344"/>
      <c r="B861" s="346"/>
      <c r="C861" s="344"/>
      <c r="D861" s="344"/>
      <c r="E861" s="344"/>
      <c r="F861" s="344"/>
      <c r="G861" s="344"/>
      <c r="H861" s="344"/>
      <c r="I861" s="344"/>
      <c r="J861" s="344"/>
      <c r="K861" s="344"/>
      <c r="L861" s="344"/>
      <c r="M861" s="344"/>
      <c r="N861" s="344"/>
      <c r="O861" s="344"/>
      <c r="P861" s="346"/>
      <c r="Q861" s="344"/>
      <c r="R861" s="344"/>
      <c r="S861" s="344"/>
      <c r="T861" s="344"/>
      <c r="U861" s="344"/>
      <c r="V861" s="344"/>
      <c r="W861" s="344"/>
      <c r="X861" s="344"/>
      <c r="Y861" s="344"/>
      <c r="Z861" s="344"/>
      <c r="AA861" s="344"/>
      <c r="AB861" s="344"/>
      <c r="AC861" s="344"/>
    </row>
    <row r="862" ht="24.75" customHeight="1">
      <c r="A862" s="344"/>
      <c r="B862" s="346"/>
      <c r="C862" s="344"/>
      <c r="D862" s="344"/>
      <c r="E862" s="344"/>
      <c r="F862" s="344"/>
      <c r="G862" s="344"/>
      <c r="H862" s="344"/>
      <c r="I862" s="344"/>
      <c r="J862" s="344"/>
      <c r="K862" s="344"/>
      <c r="L862" s="344"/>
      <c r="M862" s="344"/>
      <c r="N862" s="344"/>
      <c r="O862" s="344"/>
      <c r="P862" s="346"/>
      <c r="Q862" s="344"/>
      <c r="R862" s="344"/>
      <c r="S862" s="344"/>
      <c r="T862" s="344"/>
      <c r="U862" s="344"/>
      <c r="V862" s="344"/>
      <c r="W862" s="344"/>
      <c r="X862" s="344"/>
      <c r="Y862" s="344"/>
      <c r="Z862" s="344"/>
      <c r="AA862" s="344"/>
      <c r="AB862" s="344"/>
      <c r="AC862" s="344"/>
    </row>
    <row r="863" ht="24.75" customHeight="1">
      <c r="A863" s="344"/>
      <c r="B863" s="346"/>
      <c r="C863" s="344"/>
      <c r="D863" s="344"/>
      <c r="E863" s="344"/>
      <c r="F863" s="344"/>
      <c r="G863" s="344"/>
      <c r="H863" s="344"/>
      <c r="I863" s="344"/>
      <c r="J863" s="344"/>
      <c r="K863" s="344"/>
      <c r="L863" s="344"/>
      <c r="M863" s="344"/>
      <c r="N863" s="344"/>
      <c r="O863" s="344"/>
      <c r="P863" s="346"/>
      <c r="Q863" s="344"/>
      <c r="R863" s="344"/>
      <c r="S863" s="344"/>
      <c r="T863" s="344"/>
      <c r="U863" s="344"/>
      <c r="V863" s="344"/>
      <c r="W863" s="344"/>
      <c r="X863" s="344"/>
      <c r="Y863" s="344"/>
      <c r="Z863" s="344"/>
      <c r="AA863" s="344"/>
      <c r="AB863" s="344"/>
      <c r="AC863" s="344"/>
    </row>
    <row r="864" ht="24.75" customHeight="1">
      <c r="A864" s="344"/>
      <c r="B864" s="346"/>
      <c r="C864" s="344"/>
      <c r="D864" s="344"/>
      <c r="E864" s="344"/>
      <c r="F864" s="344"/>
      <c r="G864" s="344"/>
      <c r="H864" s="344"/>
      <c r="I864" s="344"/>
      <c r="J864" s="344"/>
      <c r="K864" s="344"/>
      <c r="L864" s="344"/>
      <c r="M864" s="344"/>
      <c r="N864" s="344"/>
      <c r="O864" s="344"/>
      <c r="P864" s="346"/>
      <c r="Q864" s="344"/>
      <c r="R864" s="344"/>
      <c r="S864" s="344"/>
      <c r="T864" s="344"/>
      <c r="U864" s="344"/>
      <c r="V864" s="344"/>
      <c r="W864" s="344"/>
      <c r="X864" s="344"/>
      <c r="Y864" s="344"/>
      <c r="Z864" s="344"/>
      <c r="AA864" s="344"/>
      <c r="AB864" s="344"/>
      <c r="AC864" s="344"/>
    </row>
    <row r="865" ht="24.75" customHeight="1">
      <c r="A865" s="344"/>
      <c r="B865" s="346"/>
      <c r="C865" s="344"/>
      <c r="D865" s="344"/>
      <c r="E865" s="344"/>
      <c r="F865" s="344"/>
      <c r="G865" s="344"/>
      <c r="H865" s="344"/>
      <c r="I865" s="344"/>
      <c r="J865" s="344"/>
      <c r="K865" s="344"/>
      <c r="L865" s="344"/>
      <c r="M865" s="344"/>
      <c r="N865" s="344"/>
      <c r="O865" s="344"/>
      <c r="P865" s="346"/>
      <c r="Q865" s="344"/>
      <c r="R865" s="344"/>
      <c r="S865" s="344"/>
      <c r="T865" s="344"/>
      <c r="U865" s="344"/>
      <c r="V865" s="344"/>
      <c r="W865" s="344"/>
      <c r="X865" s="344"/>
      <c r="Y865" s="344"/>
      <c r="Z865" s="344"/>
      <c r="AA865" s="344"/>
      <c r="AB865" s="344"/>
      <c r="AC865" s="344"/>
    </row>
    <row r="866" ht="24.75" customHeight="1">
      <c r="A866" s="344"/>
      <c r="B866" s="346"/>
      <c r="C866" s="344"/>
      <c r="D866" s="344"/>
      <c r="E866" s="344"/>
      <c r="F866" s="344"/>
      <c r="G866" s="344"/>
      <c r="H866" s="344"/>
      <c r="I866" s="344"/>
      <c r="J866" s="344"/>
      <c r="K866" s="344"/>
      <c r="L866" s="344"/>
      <c r="M866" s="344"/>
      <c r="N866" s="344"/>
      <c r="O866" s="344"/>
      <c r="P866" s="346"/>
      <c r="Q866" s="344"/>
      <c r="R866" s="344"/>
      <c r="S866" s="344"/>
      <c r="T866" s="344"/>
      <c r="U866" s="344"/>
      <c r="V866" s="344"/>
      <c r="W866" s="344"/>
      <c r="X866" s="344"/>
      <c r="Y866" s="344"/>
      <c r="Z866" s="344"/>
      <c r="AA866" s="344"/>
      <c r="AB866" s="344"/>
      <c r="AC866" s="344"/>
    </row>
    <row r="867" ht="24.75" customHeight="1">
      <c r="A867" s="344"/>
      <c r="B867" s="346"/>
      <c r="C867" s="344"/>
      <c r="D867" s="344"/>
      <c r="E867" s="344"/>
      <c r="F867" s="344"/>
      <c r="G867" s="344"/>
      <c r="H867" s="344"/>
      <c r="I867" s="344"/>
      <c r="J867" s="344"/>
      <c r="K867" s="344"/>
      <c r="L867" s="344"/>
      <c r="M867" s="344"/>
      <c r="N867" s="344"/>
      <c r="O867" s="344"/>
      <c r="P867" s="346"/>
      <c r="Q867" s="344"/>
      <c r="R867" s="344"/>
      <c r="S867" s="344"/>
      <c r="T867" s="344"/>
      <c r="U867" s="344"/>
      <c r="V867" s="344"/>
      <c r="W867" s="344"/>
      <c r="X867" s="344"/>
      <c r="Y867" s="344"/>
      <c r="Z867" s="344"/>
      <c r="AA867" s="344"/>
      <c r="AB867" s="344"/>
      <c r="AC867" s="344"/>
    </row>
    <row r="868" ht="24.75" customHeight="1">
      <c r="A868" s="344"/>
      <c r="B868" s="346"/>
      <c r="C868" s="344"/>
      <c r="D868" s="344"/>
      <c r="E868" s="344"/>
      <c r="F868" s="344"/>
      <c r="G868" s="344"/>
      <c r="H868" s="344"/>
      <c r="I868" s="344"/>
      <c r="J868" s="344"/>
      <c r="K868" s="344"/>
      <c r="L868" s="344"/>
      <c r="M868" s="344"/>
      <c r="N868" s="344"/>
      <c r="O868" s="344"/>
      <c r="P868" s="346"/>
      <c r="Q868" s="344"/>
      <c r="R868" s="344"/>
      <c r="S868" s="344"/>
      <c r="T868" s="344"/>
      <c r="U868" s="344"/>
      <c r="V868" s="344"/>
      <c r="W868" s="344"/>
      <c r="X868" s="344"/>
      <c r="Y868" s="344"/>
      <c r="Z868" s="344"/>
      <c r="AA868" s="344"/>
      <c r="AB868" s="344"/>
      <c r="AC868" s="344"/>
    </row>
    <row r="869" ht="24.75" customHeight="1">
      <c r="A869" s="344"/>
      <c r="B869" s="346"/>
      <c r="C869" s="344"/>
      <c r="D869" s="344"/>
      <c r="E869" s="344"/>
      <c r="F869" s="344"/>
      <c r="G869" s="344"/>
      <c r="H869" s="344"/>
      <c r="I869" s="344"/>
      <c r="J869" s="344"/>
      <c r="K869" s="344"/>
      <c r="L869" s="344"/>
      <c r="M869" s="344"/>
      <c r="N869" s="344"/>
      <c r="O869" s="344"/>
      <c r="P869" s="346"/>
      <c r="Q869" s="344"/>
      <c r="R869" s="344"/>
      <c r="S869" s="344"/>
      <c r="T869" s="344"/>
      <c r="U869" s="344"/>
      <c r="V869" s="344"/>
      <c r="W869" s="344"/>
      <c r="X869" s="344"/>
      <c r="Y869" s="344"/>
      <c r="Z869" s="344"/>
      <c r="AA869" s="344"/>
      <c r="AB869" s="344"/>
      <c r="AC869" s="344"/>
    </row>
    <row r="870" ht="24.75" customHeight="1">
      <c r="A870" s="344"/>
      <c r="B870" s="346"/>
      <c r="C870" s="344"/>
      <c r="D870" s="344"/>
      <c r="E870" s="344"/>
      <c r="F870" s="344"/>
      <c r="G870" s="344"/>
      <c r="H870" s="344"/>
      <c r="I870" s="344"/>
      <c r="J870" s="344"/>
      <c r="K870" s="344"/>
      <c r="L870" s="344"/>
      <c r="M870" s="344"/>
      <c r="N870" s="344"/>
      <c r="O870" s="344"/>
      <c r="P870" s="346"/>
      <c r="Q870" s="344"/>
      <c r="R870" s="344"/>
      <c r="S870" s="344"/>
      <c r="T870" s="344"/>
      <c r="U870" s="344"/>
      <c r="V870" s="344"/>
      <c r="W870" s="344"/>
      <c r="X870" s="344"/>
      <c r="Y870" s="344"/>
      <c r="Z870" s="344"/>
      <c r="AA870" s="344"/>
      <c r="AB870" s="344"/>
      <c r="AC870" s="344"/>
    </row>
    <row r="871" ht="24.75" customHeight="1">
      <c r="A871" s="344"/>
      <c r="B871" s="346"/>
      <c r="C871" s="344"/>
      <c r="D871" s="344"/>
      <c r="E871" s="344"/>
      <c r="F871" s="344"/>
      <c r="G871" s="344"/>
      <c r="H871" s="344"/>
      <c r="I871" s="344"/>
      <c r="J871" s="344"/>
      <c r="K871" s="344"/>
      <c r="L871" s="344"/>
      <c r="M871" s="344"/>
      <c r="N871" s="344"/>
      <c r="O871" s="344"/>
      <c r="P871" s="346"/>
      <c r="Q871" s="344"/>
      <c r="R871" s="344"/>
      <c r="S871" s="344"/>
      <c r="T871" s="344"/>
      <c r="U871" s="344"/>
      <c r="V871" s="344"/>
      <c r="W871" s="344"/>
      <c r="X871" s="344"/>
      <c r="Y871" s="344"/>
      <c r="Z871" s="344"/>
      <c r="AA871" s="344"/>
      <c r="AB871" s="344"/>
      <c r="AC871" s="344"/>
    </row>
    <row r="872" ht="24.75" customHeight="1">
      <c r="A872" s="344"/>
      <c r="B872" s="346"/>
      <c r="C872" s="344"/>
      <c r="D872" s="344"/>
      <c r="E872" s="344"/>
      <c r="F872" s="344"/>
      <c r="G872" s="344"/>
      <c r="H872" s="344"/>
      <c r="I872" s="344"/>
      <c r="J872" s="344"/>
      <c r="K872" s="344"/>
      <c r="L872" s="344"/>
      <c r="M872" s="344"/>
      <c r="N872" s="344"/>
      <c r="O872" s="344"/>
      <c r="P872" s="346"/>
      <c r="Q872" s="344"/>
      <c r="R872" s="344"/>
      <c r="S872" s="344"/>
      <c r="T872" s="344"/>
      <c r="U872" s="344"/>
      <c r="V872" s="344"/>
      <c r="W872" s="344"/>
      <c r="X872" s="344"/>
      <c r="Y872" s="344"/>
      <c r="Z872" s="344"/>
      <c r="AA872" s="344"/>
      <c r="AB872" s="344"/>
      <c r="AC872" s="344"/>
    </row>
    <row r="873" ht="24.75" customHeight="1">
      <c r="A873" s="344"/>
      <c r="B873" s="346"/>
      <c r="C873" s="344"/>
      <c r="D873" s="344"/>
      <c r="E873" s="344"/>
      <c r="F873" s="344"/>
      <c r="G873" s="344"/>
      <c r="H873" s="344"/>
      <c r="I873" s="344"/>
      <c r="J873" s="344"/>
      <c r="K873" s="344"/>
      <c r="L873" s="344"/>
      <c r="M873" s="344"/>
      <c r="N873" s="344"/>
      <c r="O873" s="344"/>
      <c r="P873" s="346"/>
      <c r="Q873" s="344"/>
      <c r="R873" s="344"/>
      <c r="S873" s="344"/>
      <c r="T873" s="344"/>
      <c r="U873" s="344"/>
      <c r="V873" s="344"/>
      <c r="W873" s="344"/>
      <c r="X873" s="344"/>
      <c r="Y873" s="344"/>
      <c r="Z873" s="344"/>
      <c r="AA873" s="344"/>
      <c r="AB873" s="344"/>
      <c r="AC873" s="344"/>
    </row>
    <row r="874" ht="24.75" customHeight="1">
      <c r="A874" s="344"/>
      <c r="B874" s="346"/>
      <c r="C874" s="344"/>
      <c r="D874" s="344"/>
      <c r="E874" s="344"/>
      <c r="F874" s="344"/>
      <c r="G874" s="344"/>
      <c r="H874" s="344"/>
      <c r="I874" s="344"/>
      <c r="J874" s="344"/>
      <c r="K874" s="344"/>
      <c r="L874" s="344"/>
      <c r="M874" s="344"/>
      <c r="N874" s="344"/>
      <c r="O874" s="344"/>
      <c r="P874" s="346"/>
      <c r="Q874" s="344"/>
      <c r="R874" s="344"/>
      <c r="S874" s="344"/>
      <c r="T874" s="344"/>
      <c r="U874" s="344"/>
      <c r="V874" s="344"/>
      <c r="W874" s="344"/>
      <c r="X874" s="344"/>
      <c r="Y874" s="344"/>
      <c r="Z874" s="344"/>
      <c r="AA874" s="344"/>
      <c r="AB874" s="344"/>
      <c r="AC874" s="344"/>
    </row>
    <row r="875" ht="24.75" customHeight="1">
      <c r="A875" s="344"/>
      <c r="B875" s="346"/>
      <c r="C875" s="344"/>
      <c r="D875" s="344"/>
      <c r="E875" s="344"/>
      <c r="F875" s="344"/>
      <c r="G875" s="344"/>
      <c r="H875" s="344"/>
      <c r="I875" s="344"/>
      <c r="J875" s="344"/>
      <c r="K875" s="344"/>
      <c r="L875" s="344"/>
      <c r="M875" s="344"/>
      <c r="N875" s="344"/>
      <c r="O875" s="344"/>
      <c r="P875" s="346"/>
      <c r="Q875" s="344"/>
      <c r="R875" s="344"/>
      <c r="S875" s="344"/>
      <c r="T875" s="344"/>
      <c r="U875" s="344"/>
      <c r="V875" s="344"/>
      <c r="W875" s="344"/>
      <c r="X875" s="344"/>
      <c r="Y875" s="344"/>
      <c r="Z875" s="344"/>
      <c r="AA875" s="344"/>
      <c r="AB875" s="344"/>
      <c r="AC875" s="344"/>
    </row>
    <row r="876" ht="24.75" customHeight="1">
      <c r="A876" s="344"/>
      <c r="B876" s="346"/>
      <c r="C876" s="344"/>
      <c r="D876" s="344"/>
      <c r="E876" s="344"/>
      <c r="F876" s="344"/>
      <c r="G876" s="344"/>
      <c r="H876" s="344"/>
      <c r="I876" s="344"/>
      <c r="J876" s="344"/>
      <c r="K876" s="344"/>
      <c r="L876" s="344"/>
      <c r="M876" s="344"/>
      <c r="N876" s="344"/>
      <c r="O876" s="344"/>
      <c r="P876" s="346"/>
      <c r="Q876" s="344"/>
      <c r="R876" s="344"/>
      <c r="S876" s="344"/>
      <c r="T876" s="344"/>
      <c r="U876" s="344"/>
      <c r="V876" s="344"/>
      <c r="W876" s="344"/>
      <c r="X876" s="344"/>
      <c r="Y876" s="344"/>
      <c r="Z876" s="344"/>
      <c r="AA876" s="344"/>
      <c r="AB876" s="344"/>
      <c r="AC876" s="344"/>
    </row>
    <row r="877" ht="24.75" customHeight="1">
      <c r="A877" s="344"/>
      <c r="B877" s="346"/>
      <c r="C877" s="344"/>
      <c r="D877" s="344"/>
      <c r="E877" s="344"/>
      <c r="F877" s="344"/>
      <c r="G877" s="344"/>
      <c r="H877" s="344"/>
      <c r="I877" s="344"/>
      <c r="J877" s="344"/>
      <c r="K877" s="344"/>
      <c r="L877" s="344"/>
      <c r="M877" s="344"/>
      <c r="N877" s="344"/>
      <c r="O877" s="344"/>
      <c r="P877" s="346"/>
      <c r="Q877" s="344"/>
      <c r="R877" s="344"/>
      <c r="S877" s="344"/>
      <c r="T877" s="344"/>
      <c r="U877" s="344"/>
      <c r="V877" s="344"/>
      <c r="W877" s="344"/>
      <c r="X877" s="344"/>
      <c r="Y877" s="344"/>
      <c r="Z877" s="344"/>
      <c r="AA877" s="344"/>
      <c r="AB877" s="344"/>
      <c r="AC877" s="344"/>
    </row>
    <row r="878" ht="24.75" customHeight="1">
      <c r="A878" s="344"/>
      <c r="B878" s="346"/>
      <c r="C878" s="344"/>
      <c r="D878" s="344"/>
      <c r="E878" s="344"/>
      <c r="F878" s="344"/>
      <c r="G878" s="344"/>
      <c r="H878" s="344"/>
      <c r="I878" s="344"/>
      <c r="J878" s="344"/>
      <c r="K878" s="344"/>
      <c r="L878" s="344"/>
      <c r="M878" s="344"/>
      <c r="N878" s="344"/>
      <c r="O878" s="344"/>
      <c r="P878" s="346"/>
      <c r="Q878" s="344"/>
      <c r="R878" s="344"/>
      <c r="S878" s="344"/>
      <c r="T878" s="344"/>
      <c r="U878" s="344"/>
      <c r="V878" s="344"/>
      <c r="W878" s="344"/>
      <c r="X878" s="344"/>
      <c r="Y878" s="344"/>
      <c r="Z878" s="344"/>
      <c r="AA878" s="344"/>
      <c r="AB878" s="344"/>
      <c r="AC878" s="344"/>
    </row>
    <row r="879" ht="24.75" customHeight="1">
      <c r="A879" s="344"/>
      <c r="B879" s="346"/>
      <c r="C879" s="344"/>
      <c r="D879" s="344"/>
      <c r="E879" s="344"/>
      <c r="F879" s="344"/>
      <c r="G879" s="344"/>
      <c r="H879" s="344"/>
      <c r="I879" s="344"/>
      <c r="J879" s="344"/>
      <c r="K879" s="344"/>
      <c r="L879" s="344"/>
      <c r="M879" s="344"/>
      <c r="N879" s="344"/>
      <c r="O879" s="344"/>
      <c r="P879" s="346"/>
      <c r="Q879" s="344"/>
      <c r="R879" s="344"/>
      <c r="S879" s="344"/>
      <c r="T879" s="344"/>
      <c r="U879" s="344"/>
      <c r="V879" s="344"/>
      <c r="W879" s="344"/>
      <c r="X879" s="344"/>
      <c r="Y879" s="344"/>
      <c r="Z879" s="344"/>
      <c r="AA879" s="344"/>
      <c r="AB879" s="344"/>
      <c r="AC879" s="344"/>
    </row>
    <row r="880" ht="24.75" customHeight="1">
      <c r="A880" s="344"/>
      <c r="B880" s="346"/>
      <c r="C880" s="344"/>
      <c r="D880" s="344"/>
      <c r="E880" s="344"/>
      <c r="F880" s="344"/>
      <c r="G880" s="344"/>
      <c r="H880" s="344"/>
      <c r="I880" s="344"/>
      <c r="J880" s="344"/>
      <c r="K880" s="344"/>
      <c r="L880" s="344"/>
      <c r="M880" s="344"/>
      <c r="N880" s="344"/>
      <c r="O880" s="344"/>
      <c r="P880" s="346"/>
      <c r="Q880" s="344"/>
      <c r="R880" s="344"/>
      <c r="S880" s="344"/>
      <c r="T880" s="344"/>
      <c r="U880" s="344"/>
      <c r="V880" s="344"/>
      <c r="W880" s="344"/>
      <c r="X880" s="344"/>
      <c r="Y880" s="344"/>
      <c r="Z880" s="344"/>
      <c r="AA880" s="344"/>
      <c r="AB880" s="344"/>
      <c r="AC880" s="344"/>
    </row>
    <row r="881" ht="24.75" customHeight="1">
      <c r="A881" s="344"/>
      <c r="B881" s="346"/>
      <c r="C881" s="344"/>
      <c r="D881" s="344"/>
      <c r="E881" s="344"/>
      <c r="F881" s="344"/>
      <c r="G881" s="344"/>
      <c r="H881" s="344"/>
      <c r="I881" s="344"/>
      <c r="J881" s="344"/>
      <c r="K881" s="344"/>
      <c r="L881" s="344"/>
      <c r="M881" s="344"/>
      <c r="N881" s="344"/>
      <c r="O881" s="344"/>
      <c r="P881" s="346"/>
      <c r="Q881" s="344"/>
      <c r="R881" s="344"/>
      <c r="S881" s="344"/>
      <c r="T881" s="344"/>
      <c r="U881" s="344"/>
      <c r="V881" s="344"/>
      <c r="W881" s="344"/>
      <c r="X881" s="344"/>
      <c r="Y881" s="344"/>
      <c r="Z881" s="344"/>
      <c r="AA881" s="344"/>
      <c r="AB881" s="344"/>
      <c r="AC881" s="344"/>
    </row>
    <row r="882" ht="24.75" customHeight="1">
      <c r="A882" s="344"/>
      <c r="B882" s="346"/>
      <c r="C882" s="344"/>
      <c r="D882" s="344"/>
      <c r="E882" s="344"/>
      <c r="F882" s="344"/>
      <c r="G882" s="344"/>
      <c r="H882" s="344"/>
      <c r="I882" s="344"/>
      <c r="J882" s="344"/>
      <c r="K882" s="344"/>
      <c r="L882" s="344"/>
      <c r="M882" s="344"/>
      <c r="N882" s="344"/>
      <c r="O882" s="344"/>
      <c r="P882" s="346"/>
      <c r="Q882" s="344"/>
      <c r="R882" s="344"/>
      <c r="S882" s="344"/>
      <c r="T882" s="344"/>
      <c r="U882" s="344"/>
      <c r="V882" s="344"/>
      <c r="W882" s="344"/>
      <c r="X882" s="344"/>
      <c r="Y882" s="344"/>
      <c r="Z882" s="344"/>
      <c r="AA882" s="344"/>
      <c r="AB882" s="344"/>
      <c r="AC882" s="344"/>
    </row>
    <row r="883" ht="24.75" customHeight="1">
      <c r="A883" s="344"/>
      <c r="B883" s="346"/>
      <c r="C883" s="344"/>
      <c r="D883" s="344"/>
      <c r="E883" s="344"/>
      <c r="F883" s="344"/>
      <c r="G883" s="344"/>
      <c r="H883" s="344"/>
      <c r="I883" s="344"/>
      <c r="J883" s="344"/>
      <c r="K883" s="344"/>
      <c r="L883" s="344"/>
      <c r="M883" s="344"/>
      <c r="N883" s="344"/>
      <c r="O883" s="344"/>
      <c r="P883" s="346"/>
      <c r="Q883" s="344"/>
      <c r="R883" s="344"/>
      <c r="S883" s="344"/>
      <c r="T883" s="344"/>
      <c r="U883" s="344"/>
      <c r="V883" s="344"/>
      <c r="W883" s="344"/>
      <c r="X883" s="344"/>
      <c r="Y883" s="344"/>
      <c r="Z883" s="344"/>
      <c r="AA883" s="344"/>
      <c r="AB883" s="344"/>
      <c r="AC883" s="344"/>
    </row>
    <row r="884" ht="24.75" customHeight="1">
      <c r="A884" s="344"/>
      <c r="B884" s="346"/>
      <c r="C884" s="344"/>
      <c r="D884" s="344"/>
      <c r="E884" s="344"/>
      <c r="F884" s="344"/>
      <c r="G884" s="344"/>
      <c r="H884" s="344"/>
      <c r="I884" s="344"/>
      <c r="J884" s="344"/>
      <c r="K884" s="344"/>
      <c r="L884" s="344"/>
      <c r="M884" s="344"/>
      <c r="N884" s="344"/>
      <c r="O884" s="344"/>
      <c r="P884" s="346"/>
      <c r="Q884" s="344"/>
      <c r="R884" s="344"/>
      <c r="S884" s="344"/>
      <c r="T884" s="344"/>
      <c r="U884" s="344"/>
      <c r="V884" s="344"/>
      <c r="W884" s="344"/>
      <c r="X884" s="344"/>
      <c r="Y884" s="344"/>
      <c r="Z884" s="344"/>
      <c r="AA884" s="344"/>
      <c r="AB884" s="344"/>
      <c r="AC884" s="344"/>
    </row>
    <row r="885" ht="24.75" customHeight="1">
      <c r="A885" s="344"/>
      <c r="B885" s="346"/>
      <c r="C885" s="344"/>
      <c r="D885" s="344"/>
      <c r="E885" s="344"/>
      <c r="F885" s="344"/>
      <c r="G885" s="344"/>
      <c r="H885" s="344"/>
      <c r="I885" s="344"/>
      <c r="J885" s="344"/>
      <c r="K885" s="344"/>
      <c r="L885" s="344"/>
      <c r="M885" s="344"/>
      <c r="N885" s="344"/>
      <c r="O885" s="344"/>
      <c r="P885" s="346"/>
      <c r="Q885" s="344"/>
      <c r="R885" s="344"/>
      <c r="S885" s="344"/>
      <c r="T885" s="344"/>
      <c r="U885" s="344"/>
      <c r="V885" s="344"/>
      <c r="W885" s="344"/>
      <c r="X885" s="344"/>
      <c r="Y885" s="344"/>
      <c r="Z885" s="344"/>
      <c r="AA885" s="344"/>
      <c r="AB885" s="344"/>
      <c r="AC885" s="344"/>
    </row>
    <row r="886" ht="24.75" customHeight="1">
      <c r="A886" s="344"/>
      <c r="B886" s="346"/>
      <c r="C886" s="344"/>
      <c r="D886" s="344"/>
      <c r="E886" s="344"/>
      <c r="F886" s="344"/>
      <c r="G886" s="344"/>
      <c r="H886" s="344"/>
      <c r="I886" s="344"/>
      <c r="J886" s="344"/>
      <c r="K886" s="344"/>
      <c r="L886" s="344"/>
      <c r="M886" s="344"/>
      <c r="N886" s="344"/>
      <c r="O886" s="344"/>
      <c r="P886" s="346"/>
      <c r="Q886" s="344"/>
      <c r="R886" s="344"/>
      <c r="S886" s="344"/>
      <c r="T886" s="344"/>
      <c r="U886" s="344"/>
      <c r="V886" s="344"/>
      <c r="W886" s="344"/>
      <c r="X886" s="344"/>
      <c r="Y886" s="344"/>
      <c r="Z886" s="344"/>
      <c r="AA886" s="344"/>
      <c r="AB886" s="344"/>
      <c r="AC886" s="344"/>
    </row>
    <row r="887" ht="24.75" customHeight="1">
      <c r="A887" s="344"/>
      <c r="B887" s="346"/>
      <c r="C887" s="344"/>
      <c r="D887" s="344"/>
      <c r="E887" s="344"/>
      <c r="F887" s="344"/>
      <c r="G887" s="344"/>
      <c r="H887" s="344"/>
      <c r="I887" s="344"/>
      <c r="J887" s="344"/>
      <c r="K887" s="344"/>
      <c r="L887" s="344"/>
      <c r="M887" s="344"/>
      <c r="N887" s="344"/>
      <c r="O887" s="344"/>
      <c r="P887" s="346"/>
      <c r="Q887" s="344"/>
      <c r="R887" s="344"/>
      <c r="S887" s="344"/>
      <c r="T887" s="344"/>
      <c r="U887" s="344"/>
      <c r="V887" s="344"/>
      <c r="W887" s="344"/>
      <c r="X887" s="344"/>
      <c r="Y887" s="344"/>
      <c r="Z887" s="344"/>
      <c r="AA887" s="344"/>
      <c r="AB887" s="344"/>
      <c r="AC887" s="344"/>
    </row>
    <row r="888" ht="24.75" customHeight="1">
      <c r="A888" s="344"/>
      <c r="B888" s="346"/>
      <c r="C888" s="344"/>
      <c r="D888" s="344"/>
      <c r="E888" s="344"/>
      <c r="F888" s="344"/>
      <c r="G888" s="344"/>
      <c r="H888" s="344"/>
      <c r="I888" s="344"/>
      <c r="J888" s="344"/>
      <c r="K888" s="344"/>
      <c r="L888" s="344"/>
      <c r="M888" s="344"/>
      <c r="N888" s="344"/>
      <c r="O888" s="344"/>
      <c r="P888" s="346"/>
      <c r="Q888" s="344"/>
      <c r="R888" s="344"/>
      <c r="S888" s="344"/>
      <c r="T888" s="344"/>
      <c r="U888" s="344"/>
      <c r="V888" s="344"/>
      <c r="W888" s="344"/>
      <c r="X888" s="344"/>
      <c r="Y888" s="344"/>
      <c r="Z888" s="344"/>
      <c r="AA888" s="344"/>
      <c r="AB888" s="344"/>
      <c r="AC888" s="344"/>
    </row>
    <row r="889" ht="24.75" customHeight="1">
      <c r="A889" s="344"/>
      <c r="B889" s="346"/>
      <c r="C889" s="344"/>
      <c r="D889" s="344"/>
      <c r="E889" s="344"/>
      <c r="F889" s="344"/>
      <c r="G889" s="344"/>
      <c r="H889" s="344"/>
      <c r="I889" s="344"/>
      <c r="J889" s="344"/>
      <c r="K889" s="344"/>
      <c r="L889" s="344"/>
      <c r="M889" s="344"/>
      <c r="N889" s="344"/>
      <c r="O889" s="344"/>
      <c r="P889" s="346"/>
      <c r="Q889" s="344"/>
      <c r="R889" s="344"/>
      <c r="S889" s="344"/>
      <c r="T889" s="344"/>
      <c r="U889" s="344"/>
      <c r="V889" s="344"/>
      <c r="W889" s="344"/>
      <c r="X889" s="344"/>
      <c r="Y889" s="344"/>
      <c r="Z889" s="344"/>
      <c r="AA889" s="344"/>
      <c r="AB889" s="344"/>
      <c r="AC889" s="344"/>
    </row>
    <row r="890" ht="24.75" customHeight="1">
      <c r="A890" s="344"/>
      <c r="B890" s="346"/>
      <c r="C890" s="344"/>
      <c r="D890" s="344"/>
      <c r="E890" s="344"/>
      <c r="F890" s="344"/>
      <c r="G890" s="344"/>
      <c r="H890" s="344"/>
      <c r="I890" s="344"/>
      <c r="J890" s="344"/>
      <c r="K890" s="344"/>
      <c r="L890" s="344"/>
      <c r="M890" s="344"/>
      <c r="N890" s="344"/>
      <c r="O890" s="344"/>
      <c r="P890" s="346"/>
      <c r="Q890" s="344"/>
      <c r="R890" s="344"/>
      <c r="S890" s="344"/>
      <c r="T890" s="344"/>
      <c r="U890" s="344"/>
      <c r="V890" s="344"/>
      <c r="W890" s="344"/>
      <c r="X890" s="344"/>
      <c r="Y890" s="344"/>
      <c r="Z890" s="344"/>
      <c r="AA890" s="344"/>
      <c r="AB890" s="344"/>
      <c r="AC890" s="344"/>
    </row>
    <row r="891" ht="24.75" customHeight="1">
      <c r="A891" s="344"/>
      <c r="B891" s="346"/>
      <c r="C891" s="344"/>
      <c r="D891" s="344"/>
      <c r="E891" s="344"/>
      <c r="F891" s="344"/>
      <c r="G891" s="344"/>
      <c r="H891" s="344"/>
      <c r="I891" s="344"/>
      <c r="J891" s="344"/>
      <c r="K891" s="344"/>
      <c r="L891" s="344"/>
      <c r="M891" s="344"/>
      <c r="N891" s="344"/>
      <c r="O891" s="344"/>
      <c r="P891" s="346"/>
      <c r="Q891" s="344"/>
      <c r="R891" s="344"/>
      <c r="S891" s="344"/>
      <c r="T891" s="344"/>
      <c r="U891" s="344"/>
      <c r="V891" s="344"/>
      <c r="W891" s="344"/>
      <c r="X891" s="344"/>
      <c r="Y891" s="344"/>
      <c r="Z891" s="344"/>
      <c r="AA891" s="344"/>
      <c r="AB891" s="344"/>
      <c r="AC891" s="344"/>
    </row>
    <row r="892" ht="24.75" customHeight="1">
      <c r="A892" s="344"/>
      <c r="B892" s="346"/>
      <c r="C892" s="344"/>
      <c r="D892" s="344"/>
      <c r="E892" s="344"/>
      <c r="F892" s="344"/>
      <c r="G892" s="344"/>
      <c r="H892" s="344"/>
      <c r="I892" s="344"/>
      <c r="J892" s="344"/>
      <c r="K892" s="344"/>
      <c r="L892" s="344"/>
      <c r="M892" s="344"/>
      <c r="N892" s="344"/>
      <c r="O892" s="344"/>
      <c r="P892" s="346"/>
      <c r="Q892" s="344"/>
      <c r="R892" s="344"/>
      <c r="S892" s="344"/>
      <c r="T892" s="344"/>
      <c r="U892" s="344"/>
      <c r="V892" s="344"/>
      <c r="W892" s="344"/>
      <c r="X892" s="344"/>
      <c r="Y892" s="344"/>
      <c r="Z892" s="344"/>
      <c r="AA892" s="344"/>
      <c r="AB892" s="344"/>
      <c r="AC892" s="344"/>
    </row>
    <row r="893" ht="24.75" customHeight="1">
      <c r="A893" s="344"/>
      <c r="B893" s="346"/>
      <c r="C893" s="344"/>
      <c r="D893" s="344"/>
      <c r="E893" s="344"/>
      <c r="F893" s="344"/>
      <c r="G893" s="344"/>
      <c r="H893" s="344"/>
      <c r="I893" s="344"/>
      <c r="J893" s="344"/>
      <c r="K893" s="344"/>
      <c r="L893" s="344"/>
      <c r="M893" s="344"/>
      <c r="N893" s="344"/>
      <c r="O893" s="344"/>
      <c r="P893" s="346"/>
      <c r="Q893" s="344"/>
      <c r="R893" s="344"/>
      <c r="S893" s="344"/>
      <c r="T893" s="344"/>
      <c r="U893" s="344"/>
      <c r="V893" s="344"/>
      <c r="W893" s="344"/>
      <c r="X893" s="344"/>
      <c r="Y893" s="344"/>
      <c r="Z893" s="344"/>
      <c r="AA893" s="344"/>
      <c r="AB893" s="344"/>
      <c r="AC893" s="344"/>
    </row>
    <row r="894" ht="24.75" customHeight="1">
      <c r="A894" s="344"/>
      <c r="B894" s="346"/>
      <c r="C894" s="344"/>
      <c r="D894" s="344"/>
      <c r="E894" s="344"/>
      <c r="F894" s="344"/>
      <c r="G894" s="344"/>
      <c r="H894" s="344"/>
      <c r="I894" s="344"/>
      <c r="J894" s="344"/>
      <c r="K894" s="344"/>
      <c r="L894" s="344"/>
      <c r="M894" s="344"/>
      <c r="N894" s="344"/>
      <c r="O894" s="344"/>
      <c r="P894" s="346"/>
      <c r="Q894" s="344"/>
      <c r="R894" s="344"/>
      <c r="S894" s="344"/>
      <c r="T894" s="344"/>
      <c r="U894" s="344"/>
      <c r="V894" s="344"/>
      <c r="W894" s="344"/>
      <c r="X894" s="344"/>
      <c r="Y894" s="344"/>
      <c r="Z894" s="344"/>
      <c r="AA894" s="344"/>
      <c r="AB894" s="344"/>
      <c r="AC894" s="344"/>
    </row>
    <row r="895" ht="24.75" customHeight="1">
      <c r="A895" s="344"/>
      <c r="B895" s="346"/>
      <c r="C895" s="344"/>
      <c r="D895" s="344"/>
      <c r="E895" s="344"/>
      <c r="F895" s="344"/>
      <c r="G895" s="344"/>
      <c r="H895" s="344"/>
      <c r="I895" s="344"/>
      <c r="J895" s="344"/>
      <c r="K895" s="344"/>
      <c r="L895" s="344"/>
      <c r="M895" s="344"/>
      <c r="N895" s="344"/>
      <c r="O895" s="344"/>
      <c r="P895" s="346"/>
      <c r="Q895" s="344"/>
      <c r="R895" s="344"/>
      <c r="S895" s="344"/>
      <c r="T895" s="344"/>
      <c r="U895" s="344"/>
      <c r="V895" s="344"/>
      <c r="W895" s="344"/>
      <c r="X895" s="344"/>
      <c r="Y895" s="344"/>
      <c r="Z895" s="344"/>
      <c r="AA895" s="344"/>
      <c r="AB895" s="344"/>
      <c r="AC895" s="344"/>
    </row>
    <row r="896" ht="24.75" customHeight="1">
      <c r="A896" s="344"/>
      <c r="B896" s="346"/>
      <c r="C896" s="344"/>
      <c r="D896" s="344"/>
      <c r="E896" s="344"/>
      <c r="F896" s="344"/>
      <c r="G896" s="344"/>
      <c r="H896" s="344"/>
      <c r="I896" s="344"/>
      <c r="J896" s="344"/>
      <c r="K896" s="344"/>
      <c r="L896" s="344"/>
      <c r="M896" s="344"/>
      <c r="N896" s="344"/>
      <c r="O896" s="344"/>
      <c r="P896" s="346"/>
      <c r="Q896" s="344"/>
      <c r="R896" s="344"/>
      <c r="S896" s="344"/>
      <c r="T896" s="344"/>
      <c r="U896" s="344"/>
      <c r="V896" s="344"/>
      <c r="W896" s="344"/>
      <c r="X896" s="344"/>
      <c r="Y896" s="344"/>
      <c r="Z896" s="344"/>
      <c r="AA896" s="344"/>
      <c r="AB896" s="344"/>
      <c r="AC896" s="344"/>
    </row>
    <row r="897" ht="24.75" customHeight="1">
      <c r="A897" s="344"/>
      <c r="B897" s="346"/>
      <c r="C897" s="344"/>
      <c r="D897" s="344"/>
      <c r="E897" s="344"/>
      <c r="F897" s="344"/>
      <c r="G897" s="344"/>
      <c r="H897" s="344"/>
      <c r="I897" s="344"/>
      <c r="J897" s="344"/>
      <c r="K897" s="344"/>
      <c r="L897" s="344"/>
      <c r="M897" s="344"/>
      <c r="N897" s="344"/>
      <c r="O897" s="344"/>
      <c r="P897" s="346"/>
      <c r="Q897" s="344"/>
      <c r="R897" s="344"/>
      <c r="S897" s="344"/>
      <c r="T897" s="344"/>
      <c r="U897" s="344"/>
      <c r="V897" s="344"/>
      <c r="W897" s="344"/>
      <c r="X897" s="344"/>
      <c r="Y897" s="344"/>
      <c r="Z897" s="344"/>
      <c r="AA897" s="344"/>
      <c r="AB897" s="344"/>
      <c r="AC897" s="344"/>
    </row>
    <row r="898" ht="24.75" customHeight="1">
      <c r="A898" s="344"/>
      <c r="B898" s="346"/>
      <c r="C898" s="344"/>
      <c r="D898" s="344"/>
      <c r="E898" s="344"/>
      <c r="F898" s="344"/>
      <c r="G898" s="344"/>
      <c r="H898" s="344"/>
      <c r="I898" s="344"/>
      <c r="J898" s="344"/>
      <c r="K898" s="344"/>
      <c r="L898" s="344"/>
      <c r="M898" s="344"/>
      <c r="N898" s="344"/>
      <c r="O898" s="344"/>
      <c r="P898" s="346"/>
      <c r="Q898" s="344"/>
      <c r="R898" s="344"/>
      <c r="S898" s="344"/>
      <c r="T898" s="344"/>
      <c r="U898" s="344"/>
      <c r="V898" s="344"/>
      <c r="W898" s="344"/>
      <c r="X898" s="344"/>
      <c r="Y898" s="344"/>
      <c r="Z898" s="344"/>
      <c r="AA898" s="344"/>
      <c r="AB898" s="344"/>
      <c r="AC898" s="344"/>
    </row>
    <row r="899" ht="24.75" customHeight="1">
      <c r="A899" s="344"/>
      <c r="B899" s="346"/>
      <c r="C899" s="344"/>
      <c r="D899" s="344"/>
      <c r="E899" s="344"/>
      <c r="F899" s="344"/>
      <c r="G899" s="344"/>
      <c r="H899" s="344"/>
      <c r="I899" s="344"/>
      <c r="J899" s="344"/>
      <c r="K899" s="344"/>
      <c r="L899" s="344"/>
      <c r="M899" s="344"/>
      <c r="N899" s="344"/>
      <c r="O899" s="344"/>
      <c r="P899" s="346"/>
      <c r="Q899" s="344"/>
      <c r="R899" s="344"/>
      <c r="S899" s="344"/>
      <c r="T899" s="344"/>
      <c r="U899" s="344"/>
      <c r="V899" s="344"/>
      <c r="W899" s="344"/>
      <c r="X899" s="344"/>
      <c r="Y899" s="344"/>
      <c r="Z899" s="344"/>
      <c r="AA899" s="344"/>
      <c r="AB899" s="344"/>
      <c r="AC899" s="344"/>
    </row>
    <row r="900" ht="24.75" customHeight="1">
      <c r="A900" s="344"/>
      <c r="B900" s="346"/>
      <c r="C900" s="344"/>
      <c r="D900" s="344"/>
      <c r="E900" s="344"/>
      <c r="F900" s="344"/>
      <c r="G900" s="344"/>
      <c r="H900" s="344"/>
      <c r="I900" s="344"/>
      <c r="J900" s="344"/>
      <c r="K900" s="344"/>
      <c r="L900" s="344"/>
      <c r="M900" s="344"/>
      <c r="N900" s="344"/>
      <c r="O900" s="344"/>
      <c r="P900" s="346"/>
      <c r="Q900" s="344"/>
      <c r="R900" s="344"/>
      <c r="S900" s="344"/>
      <c r="T900" s="344"/>
      <c r="U900" s="344"/>
      <c r="V900" s="344"/>
      <c r="W900" s="344"/>
      <c r="X900" s="344"/>
      <c r="Y900" s="344"/>
      <c r="Z900" s="344"/>
      <c r="AA900" s="344"/>
      <c r="AB900" s="344"/>
      <c r="AC900" s="344"/>
    </row>
    <row r="901" ht="24.75" customHeight="1">
      <c r="A901" s="344"/>
      <c r="B901" s="346"/>
      <c r="C901" s="344"/>
      <c r="D901" s="344"/>
      <c r="E901" s="344"/>
      <c r="F901" s="344"/>
      <c r="G901" s="344"/>
      <c r="H901" s="344"/>
      <c r="I901" s="344"/>
      <c r="J901" s="344"/>
      <c r="K901" s="344"/>
      <c r="L901" s="344"/>
      <c r="M901" s="344"/>
      <c r="N901" s="344"/>
      <c r="O901" s="344"/>
      <c r="P901" s="346"/>
      <c r="Q901" s="344"/>
      <c r="R901" s="344"/>
      <c r="S901" s="344"/>
      <c r="T901" s="344"/>
      <c r="U901" s="344"/>
      <c r="V901" s="344"/>
      <c r="W901" s="344"/>
      <c r="X901" s="344"/>
      <c r="Y901" s="344"/>
      <c r="Z901" s="344"/>
      <c r="AA901" s="344"/>
      <c r="AB901" s="344"/>
      <c r="AC901" s="344"/>
    </row>
    <row r="902" ht="24.75" customHeight="1">
      <c r="A902" s="344"/>
      <c r="B902" s="346"/>
      <c r="C902" s="344"/>
      <c r="D902" s="344"/>
      <c r="E902" s="344"/>
      <c r="F902" s="344"/>
      <c r="G902" s="344"/>
      <c r="H902" s="344"/>
      <c r="I902" s="344"/>
      <c r="J902" s="344"/>
      <c r="K902" s="344"/>
      <c r="L902" s="344"/>
      <c r="M902" s="344"/>
      <c r="N902" s="344"/>
      <c r="O902" s="344"/>
      <c r="P902" s="346"/>
      <c r="Q902" s="344"/>
      <c r="R902" s="344"/>
      <c r="S902" s="344"/>
      <c r="T902" s="344"/>
      <c r="U902" s="344"/>
      <c r="V902" s="344"/>
      <c r="W902" s="344"/>
      <c r="X902" s="344"/>
      <c r="Y902" s="344"/>
      <c r="Z902" s="344"/>
      <c r="AA902" s="344"/>
      <c r="AB902" s="344"/>
      <c r="AC902" s="344"/>
    </row>
    <row r="903" ht="24.75" customHeight="1">
      <c r="A903" s="344"/>
      <c r="B903" s="346"/>
      <c r="C903" s="344"/>
      <c r="D903" s="344"/>
      <c r="E903" s="344"/>
      <c r="F903" s="344"/>
      <c r="G903" s="344"/>
      <c r="H903" s="344"/>
      <c r="I903" s="344"/>
      <c r="J903" s="344"/>
      <c r="K903" s="344"/>
      <c r="L903" s="344"/>
      <c r="M903" s="344"/>
      <c r="N903" s="344"/>
      <c r="O903" s="344"/>
      <c r="P903" s="346"/>
      <c r="Q903" s="344"/>
      <c r="R903" s="344"/>
      <c r="S903" s="344"/>
      <c r="T903" s="344"/>
      <c r="U903" s="344"/>
      <c r="V903" s="344"/>
      <c r="W903" s="344"/>
      <c r="X903" s="344"/>
      <c r="Y903" s="344"/>
      <c r="Z903" s="344"/>
      <c r="AA903" s="344"/>
      <c r="AB903" s="344"/>
      <c r="AC903" s="344"/>
    </row>
    <row r="904" ht="24.75" customHeight="1">
      <c r="A904" s="344"/>
      <c r="B904" s="346"/>
      <c r="C904" s="344"/>
      <c r="D904" s="344"/>
      <c r="E904" s="344"/>
      <c r="F904" s="344"/>
      <c r="G904" s="344"/>
      <c r="H904" s="344"/>
      <c r="I904" s="344"/>
      <c r="J904" s="344"/>
      <c r="K904" s="344"/>
      <c r="L904" s="344"/>
      <c r="M904" s="344"/>
      <c r="N904" s="344"/>
      <c r="O904" s="344"/>
      <c r="P904" s="346"/>
      <c r="Q904" s="344"/>
      <c r="R904" s="344"/>
      <c r="S904" s="344"/>
      <c r="T904" s="344"/>
      <c r="U904" s="344"/>
      <c r="V904" s="344"/>
      <c r="W904" s="344"/>
      <c r="X904" s="344"/>
      <c r="Y904" s="344"/>
      <c r="Z904" s="344"/>
      <c r="AA904" s="344"/>
      <c r="AB904" s="344"/>
      <c r="AC904" s="344"/>
    </row>
    <row r="905" ht="24.75" customHeight="1">
      <c r="A905" s="344"/>
      <c r="B905" s="346"/>
      <c r="C905" s="344"/>
      <c r="D905" s="344"/>
      <c r="E905" s="344"/>
      <c r="F905" s="344"/>
      <c r="G905" s="344"/>
      <c r="H905" s="344"/>
      <c r="I905" s="344"/>
      <c r="J905" s="344"/>
      <c r="K905" s="344"/>
      <c r="L905" s="344"/>
      <c r="M905" s="344"/>
      <c r="N905" s="344"/>
      <c r="O905" s="344"/>
      <c r="P905" s="346"/>
      <c r="Q905" s="344"/>
      <c r="R905" s="344"/>
      <c r="S905" s="344"/>
      <c r="T905" s="344"/>
      <c r="U905" s="344"/>
      <c r="V905" s="344"/>
      <c r="W905" s="344"/>
      <c r="X905" s="344"/>
      <c r="Y905" s="344"/>
      <c r="Z905" s="344"/>
      <c r="AA905" s="344"/>
      <c r="AB905" s="344"/>
      <c r="AC905" s="344"/>
    </row>
    <row r="906" ht="24.75" customHeight="1">
      <c r="A906" s="344"/>
      <c r="B906" s="346"/>
      <c r="C906" s="344"/>
      <c r="D906" s="344"/>
      <c r="E906" s="344"/>
      <c r="F906" s="344"/>
      <c r="G906" s="344"/>
      <c r="H906" s="344"/>
      <c r="I906" s="344"/>
      <c r="J906" s="344"/>
      <c r="K906" s="344"/>
      <c r="L906" s="344"/>
      <c r="M906" s="344"/>
      <c r="N906" s="344"/>
      <c r="O906" s="344"/>
      <c r="P906" s="346"/>
      <c r="Q906" s="344"/>
      <c r="R906" s="344"/>
      <c r="S906" s="344"/>
      <c r="T906" s="344"/>
      <c r="U906" s="344"/>
      <c r="V906" s="344"/>
      <c r="W906" s="344"/>
      <c r="X906" s="344"/>
      <c r="Y906" s="344"/>
      <c r="Z906" s="344"/>
      <c r="AA906" s="344"/>
      <c r="AB906" s="344"/>
      <c r="AC906" s="344"/>
    </row>
    <row r="907" ht="24.75" customHeight="1">
      <c r="A907" s="344"/>
      <c r="B907" s="346"/>
      <c r="C907" s="344"/>
      <c r="D907" s="344"/>
      <c r="E907" s="344"/>
      <c r="F907" s="344"/>
      <c r="G907" s="344"/>
      <c r="H907" s="344"/>
      <c r="I907" s="344"/>
      <c r="J907" s="344"/>
      <c r="K907" s="344"/>
      <c r="L907" s="344"/>
      <c r="M907" s="344"/>
      <c r="N907" s="344"/>
      <c r="O907" s="344"/>
      <c r="P907" s="346"/>
      <c r="Q907" s="344"/>
      <c r="R907" s="344"/>
      <c r="S907" s="344"/>
      <c r="T907" s="344"/>
      <c r="U907" s="344"/>
      <c r="V907" s="344"/>
      <c r="W907" s="344"/>
      <c r="X907" s="344"/>
      <c r="Y907" s="344"/>
      <c r="Z907" s="344"/>
      <c r="AA907" s="344"/>
      <c r="AB907" s="344"/>
      <c r="AC907" s="344"/>
    </row>
    <row r="908" ht="24.75" customHeight="1">
      <c r="A908" s="344"/>
      <c r="B908" s="346"/>
      <c r="C908" s="344"/>
      <c r="D908" s="344"/>
      <c r="E908" s="344"/>
      <c r="F908" s="344"/>
      <c r="G908" s="344"/>
      <c r="H908" s="344"/>
      <c r="I908" s="344"/>
      <c r="J908" s="344"/>
      <c r="K908" s="344"/>
      <c r="L908" s="344"/>
      <c r="M908" s="344"/>
      <c r="N908" s="344"/>
      <c r="O908" s="344"/>
      <c r="P908" s="346"/>
      <c r="Q908" s="344"/>
      <c r="R908" s="344"/>
      <c r="S908" s="344"/>
      <c r="T908" s="344"/>
      <c r="U908" s="344"/>
      <c r="V908" s="344"/>
      <c r="W908" s="344"/>
      <c r="X908" s="344"/>
      <c r="Y908" s="344"/>
      <c r="Z908" s="344"/>
      <c r="AA908" s="344"/>
      <c r="AB908" s="344"/>
      <c r="AC908" s="344"/>
    </row>
    <row r="909" ht="24.75" customHeight="1">
      <c r="A909" s="344"/>
      <c r="B909" s="346"/>
      <c r="C909" s="344"/>
      <c r="D909" s="344"/>
      <c r="E909" s="344"/>
      <c r="F909" s="344"/>
      <c r="G909" s="344"/>
      <c r="H909" s="344"/>
      <c r="I909" s="344"/>
      <c r="J909" s="344"/>
      <c r="K909" s="344"/>
      <c r="L909" s="344"/>
      <c r="M909" s="344"/>
      <c r="N909" s="344"/>
      <c r="O909" s="344"/>
      <c r="P909" s="346"/>
      <c r="Q909" s="344"/>
      <c r="R909" s="344"/>
      <c r="S909" s="344"/>
      <c r="T909" s="344"/>
      <c r="U909" s="344"/>
      <c r="V909" s="344"/>
      <c r="W909" s="344"/>
      <c r="X909" s="344"/>
      <c r="Y909" s="344"/>
      <c r="Z909" s="344"/>
      <c r="AA909" s="344"/>
      <c r="AB909" s="344"/>
      <c r="AC909" s="344"/>
    </row>
    <row r="910" ht="24.75" customHeight="1">
      <c r="A910" s="344"/>
      <c r="B910" s="346"/>
      <c r="C910" s="344"/>
      <c r="D910" s="344"/>
      <c r="E910" s="344"/>
      <c r="F910" s="344"/>
      <c r="G910" s="344"/>
      <c r="H910" s="344"/>
      <c r="I910" s="344"/>
      <c r="J910" s="344"/>
      <c r="K910" s="344"/>
      <c r="L910" s="344"/>
      <c r="M910" s="344"/>
      <c r="N910" s="344"/>
      <c r="O910" s="344"/>
      <c r="P910" s="346"/>
      <c r="Q910" s="344"/>
      <c r="R910" s="344"/>
      <c r="S910" s="344"/>
      <c r="T910" s="344"/>
      <c r="U910" s="344"/>
      <c r="V910" s="344"/>
      <c r="W910" s="344"/>
      <c r="X910" s="344"/>
      <c r="Y910" s="344"/>
      <c r="Z910" s="344"/>
      <c r="AA910" s="344"/>
      <c r="AB910" s="344"/>
      <c r="AC910" s="344"/>
    </row>
    <row r="911" ht="24.75" customHeight="1">
      <c r="A911" s="344"/>
      <c r="B911" s="346"/>
      <c r="C911" s="344"/>
      <c r="D911" s="344"/>
      <c r="E911" s="344"/>
      <c r="F911" s="344"/>
      <c r="G911" s="344"/>
      <c r="H911" s="344"/>
      <c r="I911" s="344"/>
      <c r="J911" s="344"/>
      <c r="K911" s="344"/>
      <c r="L911" s="344"/>
      <c r="M911" s="344"/>
      <c r="N911" s="344"/>
      <c r="O911" s="344"/>
      <c r="P911" s="346"/>
      <c r="Q911" s="344"/>
      <c r="R911" s="344"/>
      <c r="S911" s="344"/>
      <c r="T911" s="344"/>
      <c r="U911" s="344"/>
      <c r="V911" s="344"/>
      <c r="W911" s="344"/>
      <c r="X911" s="344"/>
      <c r="Y911" s="344"/>
      <c r="Z911" s="344"/>
      <c r="AA911" s="344"/>
      <c r="AB911" s="344"/>
      <c r="AC911" s="344"/>
    </row>
    <row r="912" ht="24.75" customHeight="1">
      <c r="A912" s="344"/>
      <c r="B912" s="346"/>
      <c r="C912" s="344"/>
      <c r="D912" s="344"/>
      <c r="E912" s="344"/>
      <c r="F912" s="344"/>
      <c r="G912" s="344"/>
      <c r="H912" s="344"/>
      <c r="I912" s="344"/>
      <c r="J912" s="344"/>
      <c r="K912" s="344"/>
      <c r="L912" s="344"/>
      <c r="M912" s="344"/>
      <c r="N912" s="344"/>
      <c r="O912" s="344"/>
      <c r="P912" s="346"/>
      <c r="Q912" s="344"/>
      <c r="R912" s="344"/>
      <c r="S912" s="344"/>
      <c r="T912" s="344"/>
      <c r="U912" s="344"/>
      <c r="V912" s="344"/>
      <c r="W912" s="344"/>
      <c r="X912" s="344"/>
      <c r="Y912" s="344"/>
      <c r="Z912" s="344"/>
      <c r="AA912" s="344"/>
      <c r="AB912" s="344"/>
      <c r="AC912" s="344"/>
    </row>
    <row r="913" ht="24.75" customHeight="1">
      <c r="A913" s="344"/>
      <c r="B913" s="346"/>
      <c r="C913" s="344"/>
      <c r="D913" s="344"/>
      <c r="E913" s="344"/>
      <c r="F913" s="344"/>
      <c r="G913" s="344"/>
      <c r="H913" s="344"/>
      <c r="I913" s="344"/>
      <c r="J913" s="344"/>
      <c r="K913" s="344"/>
      <c r="L913" s="344"/>
      <c r="M913" s="344"/>
      <c r="N913" s="344"/>
      <c r="O913" s="344"/>
      <c r="P913" s="346"/>
      <c r="Q913" s="344"/>
      <c r="R913" s="344"/>
      <c r="S913" s="344"/>
      <c r="T913" s="344"/>
      <c r="U913" s="344"/>
      <c r="V913" s="344"/>
      <c r="W913" s="344"/>
      <c r="X913" s="344"/>
      <c r="Y913" s="344"/>
      <c r="Z913" s="344"/>
      <c r="AA913" s="344"/>
      <c r="AB913" s="344"/>
      <c r="AC913" s="344"/>
    </row>
    <row r="914" ht="24.75" customHeight="1">
      <c r="A914" s="344"/>
      <c r="B914" s="346"/>
      <c r="C914" s="344"/>
      <c r="D914" s="344"/>
      <c r="E914" s="344"/>
      <c r="F914" s="344"/>
      <c r="G914" s="344"/>
      <c r="H914" s="344"/>
      <c r="I914" s="344"/>
      <c r="J914" s="344"/>
      <c r="K914" s="344"/>
      <c r="L914" s="344"/>
      <c r="M914" s="344"/>
      <c r="N914" s="344"/>
      <c r="O914" s="344"/>
      <c r="P914" s="346"/>
      <c r="Q914" s="344"/>
      <c r="R914" s="344"/>
      <c r="S914" s="344"/>
      <c r="T914" s="344"/>
      <c r="U914" s="344"/>
      <c r="V914" s="344"/>
      <c r="W914" s="344"/>
      <c r="X914" s="344"/>
      <c r="Y914" s="344"/>
      <c r="Z914" s="344"/>
      <c r="AA914" s="344"/>
      <c r="AB914" s="344"/>
      <c r="AC914" s="344"/>
    </row>
    <row r="915" ht="24.75" customHeight="1">
      <c r="A915" s="344"/>
      <c r="B915" s="346"/>
      <c r="C915" s="344"/>
      <c r="D915" s="344"/>
      <c r="E915" s="344"/>
      <c r="F915" s="344"/>
      <c r="G915" s="344"/>
      <c r="H915" s="344"/>
      <c r="I915" s="344"/>
      <c r="J915" s="344"/>
      <c r="K915" s="344"/>
      <c r="L915" s="344"/>
      <c r="M915" s="344"/>
      <c r="N915" s="344"/>
      <c r="O915" s="344"/>
      <c r="P915" s="346"/>
      <c r="Q915" s="344"/>
      <c r="R915" s="344"/>
      <c r="S915" s="344"/>
      <c r="T915" s="344"/>
      <c r="U915" s="344"/>
      <c r="V915" s="344"/>
      <c r="W915" s="344"/>
      <c r="X915" s="344"/>
      <c r="Y915" s="344"/>
      <c r="Z915" s="344"/>
      <c r="AA915" s="344"/>
      <c r="AB915" s="344"/>
      <c r="AC915" s="344"/>
    </row>
    <row r="916" ht="24.75" customHeight="1">
      <c r="A916" s="344"/>
      <c r="B916" s="346"/>
      <c r="C916" s="344"/>
      <c r="D916" s="344"/>
      <c r="E916" s="344"/>
      <c r="F916" s="344"/>
      <c r="G916" s="344"/>
      <c r="H916" s="344"/>
      <c r="I916" s="344"/>
      <c r="J916" s="344"/>
      <c r="K916" s="344"/>
      <c r="L916" s="344"/>
      <c r="M916" s="344"/>
      <c r="N916" s="344"/>
      <c r="O916" s="344"/>
      <c r="P916" s="346"/>
      <c r="Q916" s="344"/>
      <c r="R916" s="344"/>
      <c r="S916" s="344"/>
      <c r="T916" s="344"/>
      <c r="U916" s="344"/>
      <c r="V916" s="344"/>
      <c r="W916" s="344"/>
      <c r="X916" s="344"/>
      <c r="Y916" s="344"/>
      <c r="Z916" s="344"/>
      <c r="AA916" s="344"/>
      <c r="AB916" s="344"/>
      <c r="AC916" s="344"/>
    </row>
    <row r="917" ht="24.75" customHeight="1">
      <c r="A917" s="344"/>
      <c r="B917" s="346"/>
      <c r="C917" s="344"/>
      <c r="D917" s="344"/>
      <c r="E917" s="344"/>
      <c r="F917" s="344"/>
      <c r="G917" s="344"/>
      <c r="H917" s="344"/>
      <c r="I917" s="344"/>
      <c r="J917" s="344"/>
      <c r="K917" s="344"/>
      <c r="L917" s="344"/>
      <c r="M917" s="344"/>
      <c r="N917" s="344"/>
      <c r="O917" s="344"/>
      <c r="P917" s="346"/>
      <c r="Q917" s="344"/>
      <c r="R917" s="344"/>
      <c r="S917" s="344"/>
      <c r="T917" s="344"/>
      <c r="U917" s="344"/>
      <c r="V917" s="344"/>
      <c r="W917" s="344"/>
      <c r="X917" s="344"/>
      <c r="Y917" s="344"/>
      <c r="Z917" s="344"/>
      <c r="AA917" s="344"/>
      <c r="AB917" s="344"/>
      <c r="AC917" s="344"/>
    </row>
    <row r="918" ht="24.75" customHeight="1">
      <c r="A918" s="344"/>
      <c r="B918" s="346"/>
      <c r="C918" s="344"/>
      <c r="D918" s="344"/>
      <c r="E918" s="344"/>
      <c r="F918" s="344"/>
      <c r="G918" s="344"/>
      <c r="H918" s="344"/>
      <c r="I918" s="344"/>
      <c r="J918" s="344"/>
      <c r="K918" s="344"/>
      <c r="L918" s="344"/>
      <c r="M918" s="344"/>
      <c r="N918" s="344"/>
      <c r="O918" s="344"/>
      <c r="P918" s="346"/>
      <c r="Q918" s="344"/>
      <c r="R918" s="344"/>
      <c r="S918" s="344"/>
      <c r="T918" s="344"/>
      <c r="U918" s="344"/>
      <c r="V918" s="344"/>
      <c r="W918" s="344"/>
      <c r="X918" s="344"/>
      <c r="Y918" s="344"/>
      <c r="Z918" s="344"/>
      <c r="AA918" s="344"/>
      <c r="AB918" s="344"/>
      <c r="AC918" s="344"/>
    </row>
    <row r="919" ht="24.75" customHeight="1">
      <c r="A919" s="344"/>
      <c r="B919" s="346"/>
      <c r="C919" s="344"/>
      <c r="D919" s="344"/>
      <c r="E919" s="344"/>
      <c r="F919" s="344"/>
      <c r="G919" s="344"/>
      <c r="H919" s="344"/>
      <c r="I919" s="344"/>
      <c r="J919" s="344"/>
      <c r="K919" s="344"/>
      <c r="L919" s="344"/>
      <c r="M919" s="344"/>
      <c r="N919" s="344"/>
      <c r="O919" s="344"/>
      <c r="P919" s="346"/>
      <c r="Q919" s="344"/>
      <c r="R919" s="344"/>
      <c r="S919" s="344"/>
      <c r="T919" s="344"/>
      <c r="U919" s="344"/>
      <c r="V919" s="344"/>
      <c r="W919" s="344"/>
      <c r="X919" s="344"/>
      <c r="Y919" s="344"/>
      <c r="Z919" s="344"/>
      <c r="AA919" s="344"/>
      <c r="AB919" s="344"/>
      <c r="AC919" s="344"/>
    </row>
    <row r="920" ht="24.75" customHeight="1">
      <c r="A920" s="344"/>
      <c r="B920" s="346"/>
      <c r="C920" s="344"/>
      <c r="D920" s="344"/>
      <c r="E920" s="344"/>
      <c r="F920" s="344"/>
      <c r="G920" s="344"/>
      <c r="H920" s="344"/>
      <c r="I920" s="344"/>
      <c r="J920" s="344"/>
      <c r="K920" s="344"/>
      <c r="L920" s="344"/>
      <c r="M920" s="344"/>
      <c r="N920" s="344"/>
      <c r="O920" s="344"/>
      <c r="P920" s="346"/>
      <c r="Q920" s="344"/>
      <c r="R920" s="344"/>
      <c r="S920" s="344"/>
      <c r="T920" s="344"/>
      <c r="U920" s="344"/>
      <c r="V920" s="344"/>
      <c r="W920" s="344"/>
      <c r="X920" s="344"/>
      <c r="Y920" s="344"/>
      <c r="Z920" s="344"/>
      <c r="AA920" s="344"/>
      <c r="AB920" s="344"/>
      <c r="AC920" s="344"/>
    </row>
    <row r="921" ht="24.75" customHeight="1">
      <c r="A921" s="344"/>
      <c r="B921" s="346"/>
      <c r="C921" s="344"/>
      <c r="D921" s="344"/>
      <c r="E921" s="344"/>
      <c r="F921" s="344"/>
      <c r="G921" s="344"/>
      <c r="H921" s="344"/>
      <c r="I921" s="344"/>
      <c r="J921" s="344"/>
      <c r="K921" s="344"/>
      <c r="L921" s="344"/>
      <c r="M921" s="344"/>
      <c r="N921" s="344"/>
      <c r="O921" s="344"/>
      <c r="P921" s="346"/>
      <c r="Q921" s="344"/>
      <c r="R921" s="344"/>
      <c r="S921" s="344"/>
      <c r="T921" s="344"/>
      <c r="U921" s="344"/>
      <c r="V921" s="344"/>
      <c r="W921" s="344"/>
      <c r="X921" s="344"/>
      <c r="Y921" s="344"/>
      <c r="Z921" s="344"/>
      <c r="AA921" s="344"/>
      <c r="AB921" s="344"/>
      <c r="AC921" s="344"/>
    </row>
    <row r="922" ht="24.75" customHeight="1">
      <c r="A922" s="344"/>
      <c r="B922" s="346"/>
      <c r="C922" s="344"/>
      <c r="D922" s="344"/>
      <c r="E922" s="344"/>
      <c r="F922" s="344"/>
      <c r="G922" s="344"/>
      <c r="H922" s="344"/>
      <c r="I922" s="344"/>
      <c r="J922" s="344"/>
      <c r="K922" s="344"/>
      <c r="L922" s="344"/>
      <c r="M922" s="344"/>
      <c r="N922" s="344"/>
      <c r="O922" s="344"/>
      <c r="P922" s="346"/>
      <c r="Q922" s="344"/>
      <c r="R922" s="344"/>
      <c r="S922" s="344"/>
      <c r="T922" s="344"/>
      <c r="U922" s="344"/>
      <c r="V922" s="344"/>
      <c r="W922" s="344"/>
      <c r="X922" s="344"/>
      <c r="Y922" s="344"/>
      <c r="Z922" s="344"/>
      <c r="AA922" s="344"/>
      <c r="AB922" s="344"/>
      <c r="AC922" s="344"/>
    </row>
    <row r="923" ht="24.75" customHeight="1">
      <c r="A923" s="344"/>
      <c r="B923" s="346"/>
      <c r="C923" s="344"/>
      <c r="D923" s="344"/>
      <c r="E923" s="344"/>
      <c r="F923" s="344"/>
      <c r="G923" s="344"/>
      <c r="H923" s="344"/>
      <c r="I923" s="344"/>
      <c r="J923" s="344"/>
      <c r="K923" s="344"/>
      <c r="L923" s="344"/>
      <c r="M923" s="344"/>
      <c r="N923" s="344"/>
      <c r="O923" s="344"/>
      <c r="P923" s="346"/>
      <c r="Q923" s="344"/>
      <c r="R923" s="344"/>
      <c r="S923" s="344"/>
      <c r="T923" s="344"/>
      <c r="U923" s="344"/>
      <c r="V923" s="344"/>
      <c r="W923" s="344"/>
      <c r="X923" s="344"/>
      <c r="Y923" s="344"/>
      <c r="Z923" s="344"/>
      <c r="AA923" s="344"/>
      <c r="AB923" s="344"/>
      <c r="AC923" s="344"/>
    </row>
    <row r="924" ht="24.75" customHeight="1">
      <c r="A924" s="344"/>
      <c r="B924" s="346"/>
      <c r="C924" s="344"/>
      <c r="D924" s="344"/>
      <c r="E924" s="344"/>
      <c r="F924" s="344"/>
      <c r="G924" s="344"/>
      <c r="H924" s="344"/>
      <c r="I924" s="344"/>
      <c r="J924" s="344"/>
      <c r="K924" s="344"/>
      <c r="L924" s="344"/>
      <c r="M924" s="344"/>
      <c r="N924" s="344"/>
      <c r="O924" s="344"/>
      <c r="P924" s="346"/>
      <c r="Q924" s="344"/>
      <c r="R924" s="344"/>
      <c r="S924" s="344"/>
      <c r="T924" s="344"/>
      <c r="U924" s="344"/>
      <c r="V924" s="344"/>
      <c r="W924" s="344"/>
      <c r="X924" s="344"/>
      <c r="Y924" s="344"/>
      <c r="Z924" s="344"/>
      <c r="AA924" s="344"/>
      <c r="AB924" s="344"/>
      <c r="AC924" s="344"/>
    </row>
    <row r="925" ht="24.75" customHeight="1">
      <c r="A925" s="344"/>
      <c r="B925" s="346"/>
      <c r="C925" s="344"/>
      <c r="D925" s="344"/>
      <c r="E925" s="344"/>
      <c r="F925" s="344"/>
      <c r="G925" s="344"/>
      <c r="H925" s="344"/>
      <c r="I925" s="344"/>
      <c r="J925" s="344"/>
      <c r="K925" s="344"/>
      <c r="L925" s="344"/>
      <c r="M925" s="344"/>
      <c r="N925" s="344"/>
      <c r="O925" s="344"/>
      <c r="P925" s="346"/>
      <c r="Q925" s="344"/>
      <c r="R925" s="344"/>
      <c r="S925" s="344"/>
      <c r="T925" s="344"/>
      <c r="U925" s="344"/>
      <c r="V925" s="344"/>
      <c r="W925" s="344"/>
      <c r="X925" s="344"/>
      <c r="Y925" s="344"/>
      <c r="Z925" s="344"/>
      <c r="AA925" s="344"/>
      <c r="AB925" s="344"/>
      <c r="AC925" s="344"/>
    </row>
    <row r="926" ht="24.75" customHeight="1">
      <c r="A926" s="344"/>
      <c r="B926" s="346"/>
      <c r="C926" s="344"/>
      <c r="D926" s="344"/>
      <c r="E926" s="344"/>
      <c r="F926" s="344"/>
      <c r="G926" s="344"/>
      <c r="H926" s="344"/>
      <c r="I926" s="344"/>
      <c r="J926" s="344"/>
      <c r="K926" s="344"/>
      <c r="L926" s="344"/>
      <c r="M926" s="344"/>
      <c r="N926" s="344"/>
      <c r="O926" s="344"/>
      <c r="P926" s="346"/>
      <c r="Q926" s="344"/>
      <c r="R926" s="344"/>
      <c r="S926" s="344"/>
      <c r="T926" s="344"/>
      <c r="U926" s="344"/>
      <c r="V926" s="344"/>
      <c r="W926" s="344"/>
      <c r="X926" s="344"/>
      <c r="Y926" s="344"/>
      <c r="Z926" s="344"/>
      <c r="AA926" s="344"/>
      <c r="AB926" s="344"/>
      <c r="AC926" s="344"/>
    </row>
    <row r="927" ht="24.75" customHeight="1">
      <c r="A927" s="344"/>
      <c r="B927" s="346"/>
      <c r="C927" s="344"/>
      <c r="D927" s="344"/>
      <c r="E927" s="344"/>
      <c r="F927" s="344"/>
      <c r="G927" s="344"/>
      <c r="H927" s="344"/>
      <c r="I927" s="344"/>
      <c r="J927" s="344"/>
      <c r="K927" s="344"/>
      <c r="L927" s="344"/>
      <c r="M927" s="344"/>
      <c r="N927" s="344"/>
      <c r="O927" s="344"/>
      <c r="P927" s="346"/>
      <c r="Q927" s="344"/>
      <c r="R927" s="344"/>
      <c r="S927" s="344"/>
      <c r="T927" s="344"/>
      <c r="U927" s="344"/>
      <c r="V927" s="344"/>
      <c r="W927" s="344"/>
      <c r="X927" s="344"/>
      <c r="Y927" s="344"/>
      <c r="Z927" s="344"/>
      <c r="AA927" s="344"/>
      <c r="AB927" s="344"/>
      <c r="AC927" s="344"/>
    </row>
    <row r="928" ht="24.75" customHeight="1">
      <c r="A928" s="344"/>
      <c r="B928" s="346"/>
      <c r="C928" s="344"/>
      <c r="D928" s="344"/>
      <c r="E928" s="344"/>
      <c r="F928" s="344"/>
      <c r="G928" s="344"/>
      <c r="H928" s="344"/>
      <c r="I928" s="344"/>
      <c r="J928" s="344"/>
      <c r="K928" s="344"/>
      <c r="L928" s="344"/>
      <c r="M928" s="344"/>
      <c r="N928" s="344"/>
      <c r="O928" s="344"/>
      <c r="P928" s="346"/>
      <c r="Q928" s="344"/>
      <c r="R928" s="344"/>
      <c r="S928" s="344"/>
      <c r="T928" s="344"/>
      <c r="U928" s="344"/>
      <c r="V928" s="344"/>
      <c r="W928" s="344"/>
      <c r="X928" s="344"/>
      <c r="Y928" s="344"/>
      <c r="Z928" s="344"/>
      <c r="AA928" s="344"/>
      <c r="AB928" s="344"/>
      <c r="AC928" s="344"/>
    </row>
    <row r="929" ht="24.75" customHeight="1">
      <c r="A929" s="344"/>
      <c r="B929" s="346"/>
      <c r="C929" s="344"/>
      <c r="D929" s="344"/>
      <c r="E929" s="344"/>
      <c r="F929" s="344"/>
      <c r="G929" s="344"/>
      <c r="H929" s="344"/>
      <c r="I929" s="344"/>
      <c r="J929" s="344"/>
      <c r="K929" s="344"/>
      <c r="L929" s="344"/>
      <c r="M929" s="344"/>
      <c r="N929" s="344"/>
      <c r="O929" s="344"/>
      <c r="P929" s="346"/>
      <c r="Q929" s="344"/>
      <c r="R929" s="344"/>
      <c r="S929" s="344"/>
      <c r="T929" s="344"/>
      <c r="U929" s="344"/>
      <c r="V929" s="344"/>
      <c r="W929" s="344"/>
      <c r="X929" s="344"/>
      <c r="Y929" s="344"/>
      <c r="Z929" s="344"/>
      <c r="AA929" s="344"/>
      <c r="AB929" s="344"/>
      <c r="AC929" s="344"/>
    </row>
    <row r="930" ht="24.75" customHeight="1">
      <c r="A930" s="344"/>
      <c r="B930" s="346"/>
      <c r="C930" s="344"/>
      <c r="D930" s="344"/>
      <c r="E930" s="344"/>
      <c r="F930" s="344"/>
      <c r="G930" s="344"/>
      <c r="H930" s="344"/>
      <c r="I930" s="344"/>
      <c r="J930" s="344"/>
      <c r="K930" s="344"/>
      <c r="L930" s="344"/>
      <c r="M930" s="344"/>
      <c r="N930" s="344"/>
      <c r="O930" s="344"/>
      <c r="P930" s="346"/>
      <c r="Q930" s="344"/>
      <c r="R930" s="344"/>
      <c r="S930" s="344"/>
      <c r="T930" s="344"/>
      <c r="U930" s="344"/>
      <c r="V930" s="344"/>
      <c r="W930" s="344"/>
      <c r="X930" s="344"/>
      <c r="Y930" s="344"/>
      <c r="Z930" s="344"/>
      <c r="AA930" s="344"/>
      <c r="AB930" s="344"/>
      <c r="AC930" s="344"/>
    </row>
    <row r="931" ht="24.75" customHeight="1">
      <c r="A931" s="344"/>
      <c r="B931" s="346"/>
      <c r="C931" s="344"/>
      <c r="D931" s="344"/>
      <c r="E931" s="344"/>
      <c r="F931" s="344"/>
      <c r="G931" s="344"/>
      <c r="H931" s="344"/>
      <c r="I931" s="344"/>
      <c r="J931" s="344"/>
      <c r="K931" s="344"/>
      <c r="L931" s="344"/>
      <c r="M931" s="344"/>
      <c r="N931" s="344"/>
      <c r="O931" s="344"/>
      <c r="P931" s="346"/>
      <c r="Q931" s="344"/>
      <c r="R931" s="344"/>
      <c r="S931" s="344"/>
      <c r="T931" s="344"/>
      <c r="U931" s="344"/>
      <c r="V931" s="344"/>
      <c r="W931" s="344"/>
      <c r="X931" s="344"/>
      <c r="Y931" s="344"/>
      <c r="Z931" s="344"/>
      <c r="AA931" s="344"/>
      <c r="AB931" s="344"/>
      <c r="AC931" s="344"/>
    </row>
    <row r="932" ht="24.75" customHeight="1">
      <c r="A932" s="344"/>
      <c r="B932" s="346"/>
      <c r="C932" s="344"/>
      <c r="D932" s="344"/>
      <c r="E932" s="344"/>
      <c r="F932" s="344"/>
      <c r="G932" s="344"/>
      <c r="H932" s="344"/>
      <c r="I932" s="344"/>
      <c r="J932" s="344"/>
      <c r="K932" s="344"/>
      <c r="L932" s="344"/>
      <c r="M932" s="344"/>
      <c r="N932" s="344"/>
      <c r="O932" s="344"/>
      <c r="P932" s="346"/>
      <c r="Q932" s="344"/>
      <c r="R932" s="344"/>
      <c r="S932" s="344"/>
      <c r="T932" s="344"/>
      <c r="U932" s="344"/>
      <c r="V932" s="344"/>
      <c r="W932" s="344"/>
      <c r="X932" s="344"/>
      <c r="Y932" s="344"/>
      <c r="Z932" s="344"/>
      <c r="AA932" s="344"/>
      <c r="AB932" s="344"/>
      <c r="AC932" s="344"/>
    </row>
    <row r="933" ht="24.75" customHeight="1">
      <c r="A933" s="344"/>
      <c r="B933" s="346"/>
      <c r="C933" s="344"/>
      <c r="D933" s="344"/>
      <c r="E933" s="344"/>
      <c r="F933" s="344"/>
      <c r="G933" s="344"/>
      <c r="H933" s="344"/>
      <c r="I933" s="344"/>
      <c r="J933" s="344"/>
      <c r="K933" s="344"/>
      <c r="L933" s="344"/>
      <c r="M933" s="344"/>
      <c r="N933" s="344"/>
      <c r="O933" s="344"/>
      <c r="P933" s="346"/>
      <c r="Q933" s="344"/>
      <c r="R933" s="344"/>
      <c r="S933" s="344"/>
      <c r="T933" s="344"/>
      <c r="U933" s="344"/>
      <c r="V933" s="344"/>
      <c r="W933" s="344"/>
      <c r="X933" s="344"/>
      <c r="Y933" s="344"/>
      <c r="Z933" s="344"/>
      <c r="AA933" s="344"/>
      <c r="AB933" s="344"/>
      <c r="AC933" s="344"/>
    </row>
    <row r="934" ht="24.75" customHeight="1">
      <c r="A934" s="344"/>
      <c r="B934" s="346"/>
      <c r="C934" s="344"/>
      <c r="D934" s="344"/>
      <c r="E934" s="344"/>
      <c r="F934" s="344"/>
      <c r="G934" s="344"/>
      <c r="H934" s="344"/>
      <c r="I934" s="344"/>
      <c r="J934" s="344"/>
      <c r="K934" s="344"/>
      <c r="L934" s="344"/>
      <c r="M934" s="344"/>
      <c r="N934" s="344"/>
      <c r="O934" s="344"/>
      <c r="P934" s="346"/>
      <c r="Q934" s="344"/>
      <c r="R934" s="344"/>
      <c r="S934" s="344"/>
      <c r="T934" s="344"/>
      <c r="U934" s="344"/>
      <c r="V934" s="344"/>
      <c r="W934" s="344"/>
      <c r="X934" s="344"/>
      <c r="Y934" s="344"/>
      <c r="Z934" s="344"/>
      <c r="AA934" s="344"/>
      <c r="AB934" s="344"/>
      <c r="AC934" s="344"/>
    </row>
    <row r="935" ht="24.75" customHeight="1">
      <c r="A935" s="344"/>
      <c r="B935" s="346"/>
      <c r="C935" s="344"/>
      <c r="D935" s="344"/>
      <c r="E935" s="344"/>
      <c r="F935" s="344"/>
      <c r="G935" s="344"/>
      <c r="H935" s="344"/>
      <c r="I935" s="344"/>
      <c r="J935" s="344"/>
      <c r="K935" s="344"/>
      <c r="L935" s="344"/>
      <c r="M935" s="344"/>
      <c r="N935" s="344"/>
      <c r="O935" s="344"/>
      <c r="P935" s="346"/>
      <c r="Q935" s="344"/>
      <c r="R935" s="344"/>
      <c r="S935" s="344"/>
      <c r="T935" s="344"/>
      <c r="U935" s="344"/>
      <c r="V935" s="344"/>
      <c r="W935" s="344"/>
      <c r="X935" s="344"/>
      <c r="Y935" s="344"/>
      <c r="Z935" s="344"/>
      <c r="AA935" s="344"/>
      <c r="AB935" s="344"/>
      <c r="AC935" s="344"/>
    </row>
    <row r="936" ht="24.75" customHeight="1">
      <c r="A936" s="344"/>
      <c r="B936" s="346"/>
      <c r="C936" s="344"/>
      <c r="D936" s="344"/>
      <c r="E936" s="344"/>
      <c r="F936" s="344"/>
      <c r="G936" s="344"/>
      <c r="H936" s="344"/>
      <c r="I936" s="344"/>
      <c r="J936" s="344"/>
      <c r="K936" s="344"/>
      <c r="L936" s="344"/>
      <c r="M936" s="344"/>
      <c r="N936" s="344"/>
      <c r="O936" s="344"/>
      <c r="P936" s="346"/>
      <c r="Q936" s="344"/>
      <c r="R936" s="344"/>
      <c r="S936" s="344"/>
      <c r="T936" s="344"/>
      <c r="U936" s="344"/>
      <c r="V936" s="344"/>
      <c r="W936" s="344"/>
      <c r="X936" s="344"/>
      <c r="Y936" s="344"/>
      <c r="Z936" s="344"/>
      <c r="AA936" s="344"/>
      <c r="AB936" s="344"/>
      <c r="AC936" s="344"/>
    </row>
    <row r="937" ht="24.75" customHeight="1">
      <c r="A937" s="344"/>
      <c r="B937" s="346"/>
      <c r="C937" s="344"/>
      <c r="D937" s="344"/>
      <c r="E937" s="344"/>
      <c r="F937" s="344"/>
      <c r="G937" s="344"/>
      <c r="H937" s="344"/>
      <c r="I937" s="344"/>
      <c r="J937" s="344"/>
      <c r="K937" s="344"/>
      <c r="L937" s="344"/>
      <c r="M937" s="344"/>
      <c r="N937" s="344"/>
      <c r="O937" s="344"/>
      <c r="P937" s="346"/>
      <c r="Q937" s="344"/>
      <c r="R937" s="344"/>
      <c r="S937" s="344"/>
      <c r="T937" s="344"/>
      <c r="U937" s="344"/>
      <c r="V937" s="344"/>
      <c r="W937" s="344"/>
      <c r="X937" s="344"/>
      <c r="Y937" s="344"/>
      <c r="Z937" s="344"/>
      <c r="AA937" s="344"/>
      <c r="AB937" s="344"/>
      <c r="AC937" s="344"/>
    </row>
    <row r="938" ht="24.75" customHeight="1">
      <c r="A938" s="344"/>
      <c r="B938" s="346"/>
      <c r="C938" s="344"/>
      <c r="D938" s="344"/>
      <c r="E938" s="344"/>
      <c r="F938" s="344"/>
      <c r="G938" s="344"/>
      <c r="H938" s="344"/>
      <c r="I938" s="344"/>
      <c r="J938" s="344"/>
      <c r="K938" s="344"/>
      <c r="L938" s="344"/>
      <c r="M938" s="344"/>
      <c r="N938" s="344"/>
      <c r="O938" s="344"/>
      <c r="P938" s="346"/>
      <c r="Q938" s="344"/>
      <c r="R938" s="344"/>
      <c r="S938" s="344"/>
      <c r="T938" s="344"/>
      <c r="U938" s="344"/>
      <c r="V938" s="344"/>
      <c r="W938" s="344"/>
      <c r="X938" s="344"/>
      <c r="Y938" s="344"/>
      <c r="Z938" s="344"/>
      <c r="AA938" s="344"/>
      <c r="AB938" s="344"/>
      <c r="AC938" s="344"/>
    </row>
    <row r="939" ht="24.75" customHeight="1">
      <c r="A939" s="344"/>
      <c r="B939" s="346"/>
      <c r="C939" s="344"/>
      <c r="D939" s="344"/>
      <c r="E939" s="344"/>
      <c r="F939" s="344"/>
      <c r="G939" s="344"/>
      <c r="H939" s="344"/>
      <c r="I939" s="344"/>
      <c r="J939" s="344"/>
      <c r="K939" s="344"/>
      <c r="L939" s="344"/>
      <c r="M939" s="344"/>
      <c r="N939" s="344"/>
      <c r="O939" s="344"/>
      <c r="P939" s="346"/>
      <c r="Q939" s="344"/>
      <c r="R939" s="344"/>
      <c r="S939" s="344"/>
      <c r="T939" s="344"/>
      <c r="U939" s="344"/>
      <c r="V939" s="344"/>
      <c r="W939" s="344"/>
      <c r="X939" s="344"/>
      <c r="Y939" s="344"/>
      <c r="Z939" s="344"/>
      <c r="AA939" s="344"/>
      <c r="AB939" s="344"/>
      <c r="AC939" s="344"/>
    </row>
    <row r="940" ht="24.75" customHeight="1">
      <c r="A940" s="344"/>
      <c r="B940" s="346"/>
      <c r="C940" s="344"/>
      <c r="D940" s="344"/>
      <c r="E940" s="344"/>
      <c r="F940" s="344"/>
      <c r="G940" s="344"/>
      <c r="H940" s="344"/>
      <c r="I940" s="344"/>
      <c r="J940" s="344"/>
      <c r="K940" s="344"/>
      <c r="L940" s="344"/>
      <c r="M940" s="344"/>
      <c r="N940" s="344"/>
      <c r="O940" s="344"/>
      <c r="P940" s="346"/>
      <c r="Q940" s="344"/>
      <c r="R940" s="344"/>
      <c r="S940" s="344"/>
      <c r="T940" s="344"/>
      <c r="U940" s="344"/>
      <c r="V940" s="344"/>
      <c r="W940" s="344"/>
      <c r="X940" s="344"/>
      <c r="Y940" s="344"/>
      <c r="Z940" s="344"/>
      <c r="AA940" s="344"/>
      <c r="AB940" s="344"/>
      <c r="AC940" s="344"/>
    </row>
    <row r="941" ht="24.75" customHeight="1">
      <c r="A941" s="344"/>
      <c r="B941" s="346"/>
      <c r="C941" s="344"/>
      <c r="D941" s="344"/>
      <c r="E941" s="344"/>
      <c r="F941" s="344"/>
      <c r="G941" s="344"/>
      <c r="H941" s="344"/>
      <c r="I941" s="344"/>
      <c r="J941" s="344"/>
      <c r="K941" s="344"/>
      <c r="L941" s="344"/>
      <c r="M941" s="344"/>
      <c r="N941" s="344"/>
      <c r="O941" s="344"/>
      <c r="P941" s="346"/>
      <c r="Q941" s="344"/>
      <c r="R941" s="344"/>
      <c r="S941" s="344"/>
      <c r="T941" s="344"/>
      <c r="U941" s="344"/>
      <c r="V941" s="344"/>
      <c r="W941" s="344"/>
      <c r="X941" s="344"/>
      <c r="Y941" s="344"/>
      <c r="Z941" s="344"/>
      <c r="AA941" s="344"/>
      <c r="AB941" s="344"/>
      <c r="AC941" s="344"/>
    </row>
    <row r="942" ht="24.75" customHeight="1">
      <c r="A942" s="344"/>
      <c r="B942" s="346"/>
      <c r="C942" s="344"/>
      <c r="D942" s="344"/>
      <c r="E942" s="344"/>
      <c r="F942" s="344"/>
      <c r="G942" s="344"/>
      <c r="H942" s="344"/>
      <c r="I942" s="344"/>
      <c r="J942" s="344"/>
      <c r="K942" s="344"/>
      <c r="L942" s="344"/>
      <c r="M942" s="344"/>
      <c r="N942" s="344"/>
      <c r="O942" s="344"/>
      <c r="P942" s="346"/>
      <c r="Q942" s="344"/>
      <c r="R942" s="344"/>
      <c r="S942" s="344"/>
      <c r="T942" s="344"/>
      <c r="U942" s="344"/>
      <c r="V942" s="344"/>
      <c r="W942" s="344"/>
      <c r="X942" s="344"/>
      <c r="Y942" s="344"/>
      <c r="Z942" s="344"/>
      <c r="AA942" s="344"/>
      <c r="AB942" s="344"/>
      <c r="AC942" s="344"/>
    </row>
    <row r="943" ht="24.75" customHeight="1">
      <c r="A943" s="344"/>
      <c r="B943" s="346"/>
      <c r="C943" s="344"/>
      <c r="D943" s="344"/>
      <c r="E943" s="344"/>
      <c r="F943" s="344"/>
      <c r="G943" s="344"/>
      <c r="H943" s="344"/>
      <c r="I943" s="344"/>
      <c r="J943" s="344"/>
      <c r="K943" s="344"/>
      <c r="L943" s="344"/>
      <c r="M943" s="344"/>
      <c r="N943" s="344"/>
      <c r="O943" s="344"/>
      <c r="P943" s="346"/>
      <c r="Q943" s="344"/>
      <c r="R943" s="344"/>
      <c r="S943" s="344"/>
      <c r="T943" s="344"/>
      <c r="U943" s="344"/>
      <c r="V943" s="344"/>
      <c r="W943" s="344"/>
      <c r="X943" s="344"/>
      <c r="Y943" s="344"/>
      <c r="Z943" s="344"/>
      <c r="AA943" s="344"/>
      <c r="AB943" s="344"/>
      <c r="AC943" s="344"/>
    </row>
    <row r="944" ht="24.75" customHeight="1">
      <c r="A944" s="344"/>
      <c r="B944" s="346"/>
      <c r="C944" s="344"/>
      <c r="D944" s="344"/>
      <c r="E944" s="344"/>
      <c r="F944" s="344"/>
      <c r="G944" s="344"/>
      <c r="H944" s="344"/>
      <c r="I944" s="344"/>
      <c r="J944" s="344"/>
      <c r="K944" s="344"/>
      <c r="L944" s="344"/>
      <c r="M944" s="344"/>
      <c r="N944" s="344"/>
      <c r="O944" s="344"/>
      <c r="P944" s="346"/>
      <c r="Q944" s="344"/>
      <c r="R944" s="344"/>
      <c r="S944" s="344"/>
      <c r="T944" s="344"/>
      <c r="U944" s="344"/>
      <c r="V944" s="344"/>
      <c r="W944" s="344"/>
      <c r="X944" s="344"/>
      <c r="Y944" s="344"/>
      <c r="Z944" s="344"/>
      <c r="AA944" s="344"/>
      <c r="AB944" s="344"/>
      <c r="AC944" s="344"/>
    </row>
    <row r="945" ht="24.75" customHeight="1">
      <c r="A945" s="344"/>
      <c r="B945" s="346"/>
      <c r="C945" s="344"/>
      <c r="D945" s="344"/>
      <c r="E945" s="344"/>
      <c r="F945" s="344"/>
      <c r="G945" s="344"/>
      <c r="H945" s="344"/>
      <c r="I945" s="344"/>
      <c r="J945" s="344"/>
      <c r="K945" s="344"/>
      <c r="L945" s="344"/>
      <c r="M945" s="344"/>
      <c r="N945" s="344"/>
      <c r="O945" s="344"/>
      <c r="P945" s="346"/>
      <c r="Q945" s="344"/>
      <c r="R945" s="344"/>
      <c r="S945" s="344"/>
      <c r="T945" s="344"/>
      <c r="U945" s="344"/>
      <c r="V945" s="344"/>
      <c r="W945" s="344"/>
      <c r="X945" s="344"/>
      <c r="Y945" s="344"/>
      <c r="Z945" s="344"/>
      <c r="AA945" s="344"/>
      <c r="AB945" s="344"/>
      <c r="AC945" s="344"/>
    </row>
    <row r="946" ht="24.75" customHeight="1">
      <c r="A946" s="344"/>
      <c r="B946" s="346"/>
      <c r="C946" s="344"/>
      <c r="D946" s="344"/>
      <c r="E946" s="344"/>
      <c r="F946" s="344"/>
      <c r="G946" s="344"/>
      <c r="H946" s="344"/>
      <c r="I946" s="344"/>
      <c r="J946" s="344"/>
      <c r="K946" s="344"/>
      <c r="L946" s="344"/>
      <c r="M946" s="344"/>
      <c r="N946" s="344"/>
      <c r="O946" s="344"/>
      <c r="P946" s="346"/>
      <c r="Q946" s="344"/>
      <c r="R946" s="344"/>
      <c r="S946" s="344"/>
      <c r="T946" s="344"/>
      <c r="U946" s="344"/>
      <c r="V946" s="344"/>
      <c r="W946" s="344"/>
      <c r="X946" s="344"/>
      <c r="Y946" s="344"/>
      <c r="Z946" s="344"/>
      <c r="AA946" s="344"/>
      <c r="AB946" s="344"/>
      <c r="AC946" s="344"/>
    </row>
    <row r="947" ht="24.75" customHeight="1">
      <c r="A947" s="344"/>
      <c r="B947" s="346"/>
      <c r="C947" s="344"/>
      <c r="D947" s="344"/>
      <c r="E947" s="344"/>
      <c r="F947" s="344"/>
      <c r="G947" s="344"/>
      <c r="H947" s="344"/>
      <c r="I947" s="344"/>
      <c r="J947" s="344"/>
      <c r="K947" s="344"/>
      <c r="L947" s="344"/>
      <c r="M947" s="344"/>
      <c r="N947" s="344"/>
      <c r="O947" s="344"/>
      <c r="P947" s="346"/>
      <c r="Q947" s="344"/>
      <c r="R947" s="344"/>
      <c r="S947" s="344"/>
      <c r="T947" s="344"/>
      <c r="U947" s="344"/>
      <c r="V947" s="344"/>
      <c r="W947" s="344"/>
      <c r="X947" s="344"/>
      <c r="Y947" s="344"/>
      <c r="Z947" s="344"/>
      <c r="AA947" s="344"/>
      <c r="AB947" s="344"/>
      <c r="AC947" s="344"/>
    </row>
    <row r="948" ht="24.75" customHeight="1">
      <c r="A948" s="344"/>
      <c r="B948" s="346"/>
      <c r="C948" s="344"/>
      <c r="D948" s="344"/>
      <c r="E948" s="344"/>
      <c r="F948" s="344"/>
      <c r="G948" s="344"/>
      <c r="H948" s="344"/>
      <c r="I948" s="344"/>
      <c r="J948" s="344"/>
      <c r="K948" s="344"/>
      <c r="L948" s="344"/>
      <c r="M948" s="344"/>
      <c r="N948" s="344"/>
      <c r="O948" s="344"/>
      <c r="P948" s="346"/>
      <c r="Q948" s="344"/>
      <c r="R948" s="344"/>
      <c r="S948" s="344"/>
      <c r="T948" s="344"/>
      <c r="U948" s="344"/>
      <c r="V948" s="344"/>
      <c r="W948" s="344"/>
      <c r="X948" s="344"/>
      <c r="Y948" s="344"/>
      <c r="Z948" s="344"/>
      <c r="AA948" s="344"/>
      <c r="AB948" s="344"/>
      <c r="AC948" s="344"/>
    </row>
    <row r="949" ht="24.75" customHeight="1">
      <c r="A949" s="344"/>
      <c r="B949" s="346"/>
      <c r="C949" s="344"/>
      <c r="D949" s="344"/>
      <c r="E949" s="344"/>
      <c r="F949" s="344"/>
      <c r="G949" s="344"/>
      <c r="H949" s="344"/>
      <c r="I949" s="344"/>
      <c r="J949" s="344"/>
      <c r="K949" s="344"/>
      <c r="L949" s="344"/>
      <c r="M949" s="344"/>
      <c r="N949" s="344"/>
      <c r="O949" s="344"/>
      <c r="P949" s="346"/>
      <c r="Q949" s="344"/>
      <c r="R949" s="344"/>
      <c r="S949" s="344"/>
      <c r="T949" s="344"/>
      <c r="U949" s="344"/>
      <c r="V949" s="344"/>
      <c r="W949" s="344"/>
      <c r="X949" s="344"/>
      <c r="Y949" s="344"/>
      <c r="Z949" s="344"/>
      <c r="AA949" s="344"/>
      <c r="AB949" s="344"/>
      <c r="AC949" s="344"/>
    </row>
    <row r="950" ht="24.75" customHeight="1">
      <c r="A950" s="344"/>
      <c r="B950" s="346"/>
      <c r="C950" s="344"/>
      <c r="D950" s="344"/>
      <c r="E950" s="344"/>
      <c r="F950" s="344"/>
      <c r="G950" s="344"/>
      <c r="H950" s="344"/>
      <c r="I950" s="344"/>
      <c r="J950" s="344"/>
      <c r="K950" s="344"/>
      <c r="L950" s="344"/>
      <c r="M950" s="344"/>
      <c r="N950" s="344"/>
      <c r="O950" s="344"/>
      <c r="P950" s="346"/>
      <c r="Q950" s="344"/>
      <c r="R950" s="344"/>
      <c r="S950" s="344"/>
      <c r="T950" s="344"/>
      <c r="U950" s="344"/>
      <c r="V950" s="344"/>
      <c r="W950" s="344"/>
      <c r="X950" s="344"/>
      <c r="Y950" s="344"/>
      <c r="Z950" s="344"/>
      <c r="AA950" s="344"/>
      <c r="AB950" s="344"/>
      <c r="AC950" s="344"/>
    </row>
    <row r="951" ht="24.75" customHeight="1">
      <c r="A951" s="344"/>
      <c r="B951" s="346"/>
      <c r="C951" s="344"/>
      <c r="D951" s="344"/>
      <c r="E951" s="344"/>
      <c r="F951" s="344"/>
      <c r="G951" s="344"/>
      <c r="H951" s="344"/>
      <c r="I951" s="344"/>
      <c r="J951" s="344"/>
      <c r="K951" s="344"/>
      <c r="L951" s="344"/>
      <c r="M951" s="344"/>
      <c r="N951" s="344"/>
      <c r="O951" s="344"/>
      <c r="P951" s="346"/>
      <c r="Q951" s="344"/>
      <c r="R951" s="344"/>
      <c r="S951" s="344"/>
      <c r="T951" s="344"/>
      <c r="U951" s="344"/>
      <c r="V951" s="344"/>
      <c r="W951" s="344"/>
      <c r="X951" s="344"/>
      <c r="Y951" s="344"/>
      <c r="Z951" s="344"/>
      <c r="AA951" s="344"/>
      <c r="AB951" s="344"/>
      <c r="AC951" s="344"/>
    </row>
    <row r="952" ht="24.75" customHeight="1">
      <c r="A952" s="344"/>
      <c r="B952" s="346"/>
      <c r="C952" s="344"/>
      <c r="D952" s="344"/>
      <c r="E952" s="344"/>
      <c r="F952" s="344"/>
      <c r="G952" s="344"/>
      <c r="H952" s="344"/>
      <c r="I952" s="344"/>
      <c r="J952" s="344"/>
      <c r="K952" s="344"/>
      <c r="L952" s="344"/>
      <c r="M952" s="344"/>
      <c r="N952" s="344"/>
      <c r="O952" s="344"/>
      <c r="P952" s="346"/>
      <c r="Q952" s="344"/>
      <c r="R952" s="344"/>
      <c r="S952" s="344"/>
      <c r="T952" s="344"/>
      <c r="U952" s="344"/>
      <c r="V952" s="344"/>
      <c r="W952" s="344"/>
      <c r="X952" s="344"/>
      <c r="Y952" s="344"/>
      <c r="Z952" s="344"/>
      <c r="AA952" s="344"/>
      <c r="AB952" s="344"/>
      <c r="AC952" s="344"/>
    </row>
    <row r="953" ht="24.75" customHeight="1">
      <c r="A953" s="344"/>
      <c r="B953" s="346"/>
      <c r="C953" s="344"/>
      <c r="D953" s="344"/>
      <c r="E953" s="344"/>
      <c r="F953" s="344"/>
      <c r="G953" s="344"/>
      <c r="H953" s="344"/>
      <c r="I953" s="344"/>
      <c r="J953" s="344"/>
      <c r="K953" s="344"/>
      <c r="L953" s="344"/>
      <c r="M953" s="344"/>
      <c r="N953" s="344"/>
      <c r="O953" s="344"/>
      <c r="P953" s="346"/>
      <c r="Q953" s="344"/>
      <c r="R953" s="344"/>
      <c r="S953" s="344"/>
      <c r="T953" s="344"/>
      <c r="U953" s="344"/>
      <c r="V953" s="344"/>
      <c r="W953" s="344"/>
      <c r="X953" s="344"/>
      <c r="Y953" s="344"/>
      <c r="Z953" s="344"/>
      <c r="AA953" s="344"/>
      <c r="AB953" s="344"/>
      <c r="AC953" s="344"/>
    </row>
    <row r="954" ht="24.75" customHeight="1">
      <c r="A954" s="344"/>
      <c r="B954" s="346"/>
      <c r="C954" s="344"/>
      <c r="D954" s="344"/>
      <c r="E954" s="344"/>
      <c r="F954" s="344"/>
      <c r="G954" s="344"/>
      <c r="H954" s="344"/>
      <c r="I954" s="344"/>
      <c r="J954" s="344"/>
      <c r="K954" s="344"/>
      <c r="L954" s="344"/>
      <c r="M954" s="344"/>
      <c r="N954" s="344"/>
      <c r="O954" s="344"/>
      <c r="P954" s="346"/>
      <c r="Q954" s="344"/>
      <c r="R954" s="344"/>
      <c r="S954" s="344"/>
      <c r="T954" s="344"/>
      <c r="U954" s="344"/>
      <c r="V954" s="344"/>
      <c r="W954" s="344"/>
      <c r="X954" s="344"/>
      <c r="Y954" s="344"/>
      <c r="Z954" s="344"/>
      <c r="AA954" s="344"/>
      <c r="AB954" s="344"/>
      <c r="AC954" s="344"/>
    </row>
    <row r="955" ht="24.75" customHeight="1">
      <c r="A955" s="344"/>
      <c r="B955" s="346"/>
      <c r="C955" s="344"/>
      <c r="D955" s="344"/>
      <c r="E955" s="344"/>
      <c r="F955" s="344"/>
      <c r="G955" s="344"/>
      <c r="H955" s="344"/>
      <c r="I955" s="344"/>
      <c r="J955" s="344"/>
      <c r="K955" s="344"/>
      <c r="L955" s="344"/>
      <c r="M955" s="344"/>
      <c r="N955" s="344"/>
      <c r="O955" s="344"/>
      <c r="P955" s="346"/>
      <c r="Q955" s="344"/>
      <c r="R955" s="344"/>
      <c r="S955" s="344"/>
      <c r="T955" s="344"/>
      <c r="U955" s="344"/>
      <c r="V955" s="344"/>
      <c r="W955" s="344"/>
      <c r="X955" s="344"/>
      <c r="Y955" s="344"/>
      <c r="Z955" s="344"/>
      <c r="AA955" s="344"/>
      <c r="AB955" s="344"/>
      <c r="AC955" s="344"/>
    </row>
    <row r="956" ht="24.75" customHeight="1">
      <c r="A956" s="344"/>
      <c r="B956" s="346"/>
      <c r="C956" s="344"/>
      <c r="D956" s="344"/>
      <c r="E956" s="344"/>
      <c r="F956" s="344"/>
      <c r="G956" s="344"/>
      <c r="H956" s="344"/>
      <c r="I956" s="344"/>
      <c r="J956" s="344"/>
      <c r="K956" s="344"/>
      <c r="L956" s="344"/>
      <c r="M956" s="344"/>
      <c r="N956" s="344"/>
      <c r="O956" s="344"/>
      <c r="P956" s="346"/>
      <c r="Q956" s="344"/>
      <c r="R956" s="344"/>
      <c r="S956" s="344"/>
      <c r="T956" s="344"/>
      <c r="U956" s="344"/>
      <c r="V956" s="344"/>
      <c r="W956" s="344"/>
      <c r="X956" s="344"/>
      <c r="Y956" s="344"/>
      <c r="Z956" s="344"/>
      <c r="AA956" s="344"/>
      <c r="AB956" s="344"/>
      <c r="AC956" s="344"/>
    </row>
    <row r="957" ht="24.75" customHeight="1">
      <c r="A957" s="344"/>
      <c r="B957" s="346"/>
      <c r="C957" s="344"/>
      <c r="D957" s="344"/>
      <c r="E957" s="344"/>
      <c r="F957" s="344"/>
      <c r="G957" s="344"/>
      <c r="H957" s="344"/>
      <c r="I957" s="344"/>
      <c r="J957" s="344"/>
      <c r="K957" s="344"/>
      <c r="L957" s="344"/>
      <c r="M957" s="344"/>
      <c r="N957" s="344"/>
      <c r="O957" s="344"/>
      <c r="P957" s="346"/>
      <c r="Q957" s="344"/>
      <c r="R957" s="344"/>
      <c r="S957" s="344"/>
      <c r="T957" s="344"/>
      <c r="U957" s="344"/>
      <c r="V957" s="344"/>
      <c r="W957" s="344"/>
      <c r="X957" s="344"/>
      <c r="Y957" s="344"/>
      <c r="Z957" s="344"/>
      <c r="AA957" s="344"/>
      <c r="AB957" s="344"/>
      <c r="AC957" s="344"/>
    </row>
    <row r="958" ht="24.75" customHeight="1">
      <c r="A958" s="344"/>
      <c r="B958" s="346"/>
      <c r="C958" s="344"/>
      <c r="D958" s="344"/>
      <c r="E958" s="344"/>
      <c r="F958" s="344"/>
      <c r="G958" s="344"/>
      <c r="H958" s="344"/>
      <c r="I958" s="344"/>
      <c r="J958" s="344"/>
      <c r="K958" s="344"/>
      <c r="L958" s="344"/>
      <c r="M958" s="344"/>
      <c r="N958" s="344"/>
      <c r="O958" s="344"/>
      <c r="P958" s="346"/>
      <c r="Q958" s="344"/>
      <c r="R958" s="344"/>
      <c r="S958" s="344"/>
      <c r="T958" s="344"/>
      <c r="U958" s="344"/>
      <c r="V958" s="344"/>
      <c r="W958" s="344"/>
      <c r="X958" s="344"/>
      <c r="Y958" s="344"/>
      <c r="Z958" s="344"/>
      <c r="AA958" s="344"/>
      <c r="AB958" s="344"/>
      <c r="AC958" s="344"/>
    </row>
    <row r="959" ht="24.75" customHeight="1">
      <c r="A959" s="344"/>
      <c r="B959" s="346"/>
      <c r="C959" s="344"/>
      <c r="D959" s="344"/>
      <c r="E959" s="344"/>
      <c r="F959" s="344"/>
      <c r="G959" s="344"/>
      <c r="H959" s="344"/>
      <c r="I959" s="344"/>
      <c r="J959" s="344"/>
      <c r="K959" s="344"/>
      <c r="L959" s="344"/>
      <c r="M959" s="344"/>
      <c r="N959" s="344"/>
      <c r="O959" s="344"/>
      <c r="P959" s="346"/>
      <c r="Q959" s="344"/>
      <c r="R959" s="344"/>
      <c r="S959" s="344"/>
      <c r="T959" s="344"/>
      <c r="U959" s="344"/>
      <c r="V959" s="344"/>
      <c r="W959" s="344"/>
      <c r="X959" s="344"/>
      <c r="Y959" s="344"/>
      <c r="Z959" s="344"/>
      <c r="AA959" s="344"/>
      <c r="AB959" s="344"/>
      <c r="AC959" s="344"/>
    </row>
    <row r="960" ht="24.75" customHeight="1">
      <c r="A960" s="344"/>
      <c r="B960" s="346"/>
      <c r="C960" s="344"/>
      <c r="D960" s="344"/>
      <c r="E960" s="344"/>
      <c r="F960" s="344"/>
      <c r="G960" s="344"/>
      <c r="H960" s="344"/>
      <c r="I960" s="344"/>
      <c r="J960" s="344"/>
      <c r="K960" s="344"/>
      <c r="L960" s="344"/>
      <c r="M960" s="344"/>
      <c r="N960" s="344"/>
      <c r="O960" s="344"/>
      <c r="P960" s="346"/>
      <c r="Q960" s="344"/>
      <c r="R960" s="344"/>
      <c r="S960" s="344"/>
      <c r="T960" s="344"/>
      <c r="U960" s="344"/>
      <c r="V960" s="344"/>
      <c r="W960" s="344"/>
      <c r="X960" s="344"/>
      <c r="Y960" s="344"/>
      <c r="Z960" s="344"/>
      <c r="AA960" s="344"/>
      <c r="AB960" s="344"/>
      <c r="AC960" s="344"/>
    </row>
    <row r="961" ht="24.75" customHeight="1">
      <c r="A961" s="344"/>
      <c r="B961" s="346"/>
      <c r="C961" s="344"/>
      <c r="D961" s="344"/>
      <c r="E961" s="344"/>
      <c r="F961" s="344"/>
      <c r="G961" s="344"/>
      <c r="H961" s="344"/>
      <c r="I961" s="344"/>
      <c r="J961" s="344"/>
      <c r="K961" s="344"/>
      <c r="L961" s="344"/>
      <c r="M961" s="344"/>
      <c r="N961" s="344"/>
      <c r="O961" s="344"/>
      <c r="P961" s="346"/>
      <c r="Q961" s="344"/>
      <c r="R961" s="344"/>
      <c r="S961" s="344"/>
      <c r="T961" s="344"/>
      <c r="U961" s="344"/>
      <c r="V961" s="344"/>
      <c r="W961" s="344"/>
      <c r="X961" s="344"/>
      <c r="Y961" s="344"/>
      <c r="Z961" s="344"/>
      <c r="AA961" s="344"/>
      <c r="AB961" s="344"/>
      <c r="AC961" s="344"/>
    </row>
    <row r="962" ht="24.75" customHeight="1">
      <c r="A962" s="344"/>
      <c r="B962" s="346"/>
      <c r="C962" s="344"/>
      <c r="D962" s="344"/>
      <c r="E962" s="344"/>
      <c r="F962" s="344"/>
      <c r="G962" s="344"/>
      <c r="H962" s="344"/>
      <c r="I962" s="344"/>
      <c r="J962" s="344"/>
      <c r="K962" s="344"/>
      <c r="L962" s="344"/>
      <c r="M962" s="344"/>
      <c r="N962" s="344"/>
      <c r="O962" s="344"/>
      <c r="P962" s="346"/>
      <c r="Q962" s="344"/>
      <c r="R962" s="344"/>
      <c r="S962" s="344"/>
      <c r="T962" s="344"/>
      <c r="U962" s="344"/>
      <c r="V962" s="344"/>
      <c r="W962" s="344"/>
      <c r="X962" s="344"/>
      <c r="Y962" s="344"/>
      <c r="Z962" s="344"/>
      <c r="AA962" s="344"/>
      <c r="AB962" s="344"/>
      <c r="AC962" s="344"/>
    </row>
    <row r="963" ht="24.75" customHeight="1">
      <c r="A963" s="344"/>
      <c r="B963" s="346"/>
      <c r="C963" s="344"/>
      <c r="D963" s="344"/>
      <c r="E963" s="344"/>
      <c r="F963" s="344"/>
      <c r="G963" s="344"/>
      <c r="H963" s="344"/>
      <c r="I963" s="344"/>
      <c r="J963" s="344"/>
      <c r="K963" s="344"/>
      <c r="L963" s="344"/>
      <c r="M963" s="344"/>
      <c r="N963" s="344"/>
      <c r="O963" s="344"/>
      <c r="P963" s="346"/>
      <c r="Q963" s="344"/>
      <c r="R963" s="344"/>
      <c r="S963" s="344"/>
      <c r="T963" s="344"/>
      <c r="U963" s="344"/>
      <c r="V963" s="344"/>
      <c r="W963" s="344"/>
      <c r="X963" s="344"/>
      <c r="Y963" s="344"/>
      <c r="Z963" s="344"/>
      <c r="AA963" s="344"/>
      <c r="AB963" s="344"/>
      <c r="AC963" s="344"/>
    </row>
    <row r="964" ht="24.75" customHeight="1">
      <c r="A964" s="344"/>
      <c r="B964" s="346"/>
      <c r="C964" s="344"/>
      <c r="D964" s="344"/>
      <c r="E964" s="344"/>
      <c r="F964" s="344"/>
      <c r="G964" s="344"/>
      <c r="H964" s="344"/>
      <c r="I964" s="344"/>
      <c r="J964" s="344"/>
      <c r="K964" s="344"/>
      <c r="L964" s="344"/>
      <c r="M964" s="344"/>
      <c r="N964" s="344"/>
      <c r="O964" s="344"/>
      <c r="P964" s="346"/>
      <c r="Q964" s="344"/>
      <c r="R964" s="344"/>
      <c r="S964" s="344"/>
      <c r="T964" s="344"/>
      <c r="U964" s="344"/>
      <c r="V964" s="344"/>
      <c r="W964" s="344"/>
      <c r="X964" s="344"/>
      <c r="Y964" s="344"/>
      <c r="Z964" s="344"/>
      <c r="AA964" s="344"/>
      <c r="AB964" s="344"/>
      <c r="AC964" s="344"/>
    </row>
    <row r="965" ht="24.75" customHeight="1">
      <c r="A965" s="344"/>
      <c r="B965" s="346"/>
      <c r="C965" s="344"/>
      <c r="D965" s="344"/>
      <c r="E965" s="344"/>
      <c r="F965" s="344"/>
      <c r="G965" s="344"/>
      <c r="H965" s="344"/>
      <c r="I965" s="344"/>
      <c r="J965" s="344"/>
      <c r="K965" s="344"/>
      <c r="L965" s="344"/>
      <c r="M965" s="344"/>
      <c r="N965" s="344"/>
      <c r="O965" s="344"/>
      <c r="P965" s="346"/>
      <c r="Q965" s="344"/>
      <c r="R965" s="344"/>
      <c r="S965" s="344"/>
      <c r="T965" s="344"/>
      <c r="U965" s="344"/>
      <c r="V965" s="344"/>
      <c r="W965" s="344"/>
      <c r="X965" s="344"/>
      <c r="Y965" s="344"/>
      <c r="Z965" s="344"/>
      <c r="AA965" s="344"/>
      <c r="AB965" s="344"/>
      <c r="AC965" s="344"/>
    </row>
    <row r="966" ht="24.75" customHeight="1">
      <c r="A966" s="344"/>
      <c r="B966" s="346"/>
      <c r="C966" s="344"/>
      <c r="D966" s="344"/>
      <c r="E966" s="344"/>
      <c r="F966" s="344"/>
      <c r="G966" s="344"/>
      <c r="H966" s="344"/>
      <c r="I966" s="344"/>
      <c r="J966" s="344"/>
      <c r="K966" s="344"/>
      <c r="L966" s="344"/>
      <c r="M966" s="344"/>
      <c r="N966" s="344"/>
      <c r="O966" s="344"/>
      <c r="P966" s="346"/>
      <c r="Q966" s="344"/>
      <c r="R966" s="344"/>
      <c r="S966" s="344"/>
      <c r="T966" s="344"/>
      <c r="U966" s="344"/>
      <c r="V966" s="344"/>
      <c r="W966" s="344"/>
      <c r="X966" s="344"/>
      <c r="Y966" s="344"/>
      <c r="Z966" s="344"/>
      <c r="AA966" s="344"/>
      <c r="AB966" s="344"/>
      <c r="AC966" s="344"/>
    </row>
    <row r="967" ht="24.75" customHeight="1">
      <c r="A967" s="344"/>
      <c r="B967" s="346"/>
      <c r="C967" s="344"/>
      <c r="D967" s="344"/>
      <c r="E967" s="344"/>
      <c r="F967" s="344"/>
      <c r="G967" s="344"/>
      <c r="H967" s="344"/>
      <c r="I967" s="344"/>
      <c r="J967" s="344"/>
      <c r="K967" s="344"/>
      <c r="L967" s="344"/>
      <c r="M967" s="344"/>
      <c r="N967" s="344"/>
      <c r="O967" s="344"/>
      <c r="P967" s="346"/>
      <c r="Q967" s="344"/>
      <c r="R967" s="344"/>
      <c r="S967" s="344"/>
      <c r="T967" s="344"/>
      <c r="U967" s="344"/>
      <c r="V967" s="344"/>
      <c r="W967" s="344"/>
      <c r="X967" s="344"/>
      <c r="Y967" s="344"/>
      <c r="Z967" s="344"/>
      <c r="AA967" s="344"/>
      <c r="AB967" s="344"/>
      <c r="AC967" s="344"/>
    </row>
    <row r="968" ht="24.75" customHeight="1">
      <c r="A968" s="344"/>
      <c r="B968" s="346"/>
      <c r="C968" s="344"/>
      <c r="D968" s="344"/>
      <c r="E968" s="344"/>
      <c r="F968" s="344"/>
      <c r="G968" s="344"/>
      <c r="H968" s="344"/>
      <c r="I968" s="344"/>
      <c r="J968" s="344"/>
      <c r="K968" s="344"/>
      <c r="L968" s="344"/>
      <c r="M968" s="344"/>
      <c r="N968" s="344"/>
      <c r="O968" s="344"/>
      <c r="P968" s="346"/>
      <c r="Q968" s="344"/>
      <c r="R968" s="344"/>
      <c r="S968" s="344"/>
      <c r="T968" s="344"/>
      <c r="U968" s="344"/>
      <c r="V968" s="344"/>
      <c r="W968" s="344"/>
      <c r="X968" s="344"/>
      <c r="Y968" s="344"/>
      <c r="Z968" s="344"/>
      <c r="AA968" s="344"/>
      <c r="AB968" s="344"/>
      <c r="AC968" s="344"/>
    </row>
    <row r="969" ht="24.75" customHeight="1">
      <c r="A969" s="344"/>
      <c r="B969" s="346"/>
      <c r="C969" s="344"/>
      <c r="D969" s="344"/>
      <c r="E969" s="344"/>
      <c r="F969" s="344"/>
      <c r="G969" s="344"/>
      <c r="H969" s="344"/>
      <c r="I969" s="344"/>
      <c r="J969" s="344"/>
      <c r="K969" s="344"/>
      <c r="L969" s="344"/>
      <c r="M969" s="344"/>
      <c r="N969" s="344"/>
      <c r="O969" s="344"/>
      <c r="P969" s="346"/>
      <c r="Q969" s="344"/>
      <c r="R969" s="344"/>
      <c r="S969" s="344"/>
      <c r="T969" s="344"/>
      <c r="U969" s="344"/>
      <c r="V969" s="344"/>
      <c r="W969" s="344"/>
      <c r="X969" s="344"/>
      <c r="Y969" s="344"/>
      <c r="Z969" s="344"/>
      <c r="AA969" s="344"/>
      <c r="AB969" s="344"/>
      <c r="AC969" s="344"/>
    </row>
    <row r="970" ht="24.75" customHeight="1">
      <c r="A970" s="344"/>
      <c r="B970" s="346"/>
      <c r="C970" s="344"/>
      <c r="D970" s="344"/>
      <c r="E970" s="344"/>
      <c r="F970" s="344"/>
      <c r="G970" s="344"/>
      <c r="H970" s="344"/>
      <c r="I970" s="344"/>
      <c r="J970" s="344"/>
      <c r="K970" s="344"/>
      <c r="L970" s="344"/>
      <c r="M970" s="344"/>
      <c r="N970" s="344"/>
      <c r="O970" s="344"/>
      <c r="P970" s="346"/>
      <c r="Q970" s="344"/>
      <c r="R970" s="344"/>
      <c r="S970" s="344"/>
      <c r="T970" s="344"/>
      <c r="U970" s="344"/>
      <c r="V970" s="344"/>
      <c r="W970" s="344"/>
      <c r="X970" s="344"/>
      <c r="Y970" s="344"/>
      <c r="Z970" s="344"/>
      <c r="AA970" s="344"/>
      <c r="AB970" s="344"/>
      <c r="AC970" s="344"/>
    </row>
    <row r="971" ht="24.75" customHeight="1">
      <c r="A971" s="344"/>
      <c r="B971" s="346"/>
      <c r="C971" s="344"/>
      <c r="D971" s="344"/>
      <c r="E971" s="344"/>
      <c r="F971" s="344"/>
      <c r="G971" s="344"/>
      <c r="H971" s="344"/>
      <c r="I971" s="344"/>
      <c r="J971" s="344"/>
      <c r="K971" s="344"/>
      <c r="L971" s="344"/>
      <c r="M971" s="344"/>
      <c r="N971" s="344"/>
      <c r="O971" s="344"/>
      <c r="P971" s="346"/>
      <c r="Q971" s="344"/>
      <c r="R971" s="344"/>
      <c r="S971" s="344"/>
      <c r="T971" s="344"/>
      <c r="U971" s="344"/>
      <c r="V971" s="344"/>
      <c r="W971" s="344"/>
      <c r="X971" s="344"/>
      <c r="Y971" s="344"/>
      <c r="Z971" s="344"/>
      <c r="AA971" s="344"/>
      <c r="AB971" s="344"/>
      <c r="AC971" s="344"/>
    </row>
    <row r="972" ht="24.75" customHeight="1">
      <c r="A972" s="344"/>
      <c r="B972" s="346"/>
      <c r="C972" s="344"/>
      <c r="D972" s="344"/>
      <c r="E972" s="344"/>
      <c r="F972" s="344"/>
      <c r="G972" s="344"/>
      <c r="H972" s="344"/>
      <c r="I972" s="344"/>
      <c r="J972" s="344"/>
      <c r="K972" s="344"/>
      <c r="L972" s="344"/>
      <c r="M972" s="344"/>
      <c r="N972" s="344"/>
      <c r="O972" s="344"/>
      <c r="P972" s="346"/>
      <c r="Q972" s="344"/>
      <c r="R972" s="344"/>
      <c r="S972" s="344"/>
      <c r="T972" s="344"/>
      <c r="U972" s="344"/>
      <c r="V972" s="344"/>
      <c r="W972" s="344"/>
      <c r="X972" s="344"/>
      <c r="Y972" s="344"/>
      <c r="Z972" s="344"/>
      <c r="AA972" s="344"/>
      <c r="AB972" s="344"/>
      <c r="AC972" s="344"/>
    </row>
    <row r="973" ht="24.75" customHeight="1">
      <c r="A973" s="344"/>
      <c r="B973" s="346"/>
      <c r="C973" s="344"/>
      <c r="D973" s="344"/>
      <c r="E973" s="344"/>
      <c r="F973" s="344"/>
      <c r="G973" s="344"/>
      <c r="H973" s="344"/>
      <c r="I973" s="344"/>
      <c r="J973" s="344"/>
      <c r="K973" s="344"/>
      <c r="L973" s="344"/>
      <c r="M973" s="344"/>
      <c r="N973" s="344"/>
      <c r="O973" s="344"/>
      <c r="P973" s="346"/>
      <c r="Q973" s="344"/>
      <c r="R973" s="344"/>
      <c r="S973" s="344"/>
      <c r="T973" s="344"/>
      <c r="U973" s="344"/>
      <c r="V973" s="344"/>
      <c r="W973" s="344"/>
      <c r="X973" s="344"/>
      <c r="Y973" s="344"/>
      <c r="Z973" s="344"/>
      <c r="AA973" s="344"/>
      <c r="AB973" s="344"/>
      <c r="AC973" s="344"/>
    </row>
    <row r="974" ht="24.75" customHeight="1">
      <c r="A974" s="344"/>
      <c r="B974" s="346"/>
      <c r="C974" s="344"/>
      <c r="D974" s="344"/>
      <c r="E974" s="344"/>
      <c r="F974" s="344"/>
      <c r="G974" s="344"/>
      <c r="H974" s="344"/>
      <c r="I974" s="344"/>
      <c r="J974" s="344"/>
      <c r="K974" s="344"/>
      <c r="L974" s="344"/>
      <c r="M974" s="344"/>
      <c r="N974" s="344"/>
      <c r="O974" s="344"/>
      <c r="P974" s="346"/>
      <c r="Q974" s="344"/>
      <c r="R974" s="344"/>
      <c r="S974" s="344"/>
      <c r="T974" s="344"/>
      <c r="U974" s="344"/>
      <c r="V974" s="344"/>
      <c r="W974" s="344"/>
      <c r="X974" s="344"/>
      <c r="Y974" s="344"/>
      <c r="Z974" s="344"/>
      <c r="AA974" s="344"/>
      <c r="AB974" s="344"/>
      <c r="AC974" s="344"/>
    </row>
    <row r="975" ht="24.75" customHeight="1">
      <c r="A975" s="344"/>
      <c r="B975" s="346"/>
      <c r="C975" s="344"/>
      <c r="D975" s="344"/>
      <c r="E975" s="344"/>
      <c r="F975" s="344"/>
      <c r="G975" s="344"/>
      <c r="H975" s="344"/>
      <c r="I975" s="344"/>
      <c r="J975" s="344"/>
      <c r="K975" s="344"/>
      <c r="L975" s="344"/>
      <c r="M975" s="344"/>
      <c r="N975" s="344"/>
      <c r="O975" s="344"/>
      <c r="P975" s="346"/>
      <c r="Q975" s="344"/>
      <c r="R975" s="344"/>
      <c r="S975" s="344"/>
      <c r="T975" s="344"/>
      <c r="U975" s="344"/>
      <c r="V975" s="344"/>
      <c r="W975" s="344"/>
      <c r="X975" s="344"/>
      <c r="Y975" s="344"/>
      <c r="Z975" s="344"/>
      <c r="AA975" s="344"/>
      <c r="AB975" s="344"/>
      <c r="AC975" s="344"/>
    </row>
    <row r="976" ht="24.75" customHeight="1">
      <c r="A976" s="344"/>
      <c r="B976" s="346"/>
      <c r="C976" s="344"/>
      <c r="D976" s="344"/>
      <c r="E976" s="344"/>
      <c r="F976" s="344"/>
      <c r="G976" s="344"/>
      <c r="H976" s="344"/>
      <c r="I976" s="344"/>
      <c r="J976" s="344"/>
      <c r="K976" s="344"/>
      <c r="L976" s="344"/>
      <c r="M976" s="344"/>
      <c r="N976" s="344"/>
      <c r="O976" s="344"/>
      <c r="P976" s="346"/>
      <c r="Q976" s="344"/>
      <c r="R976" s="344"/>
      <c r="S976" s="344"/>
      <c r="T976" s="344"/>
      <c r="U976" s="344"/>
      <c r="V976" s="344"/>
      <c r="W976" s="344"/>
      <c r="X976" s="344"/>
      <c r="Y976" s="344"/>
      <c r="Z976" s="344"/>
      <c r="AA976" s="344"/>
      <c r="AB976" s="344"/>
      <c r="AC976" s="344"/>
    </row>
    <row r="977" ht="24.75" customHeight="1">
      <c r="A977" s="344"/>
      <c r="B977" s="346"/>
      <c r="C977" s="344"/>
      <c r="D977" s="344"/>
      <c r="E977" s="344"/>
      <c r="F977" s="344"/>
      <c r="G977" s="344"/>
      <c r="H977" s="344"/>
      <c r="I977" s="344"/>
      <c r="J977" s="344"/>
      <c r="K977" s="344"/>
      <c r="L977" s="344"/>
      <c r="M977" s="344"/>
      <c r="N977" s="344"/>
      <c r="O977" s="344"/>
      <c r="P977" s="346"/>
      <c r="Q977" s="344"/>
      <c r="R977" s="344"/>
      <c r="S977" s="344"/>
      <c r="T977" s="344"/>
      <c r="U977" s="344"/>
      <c r="V977" s="344"/>
      <c r="W977" s="344"/>
      <c r="X977" s="344"/>
      <c r="Y977" s="344"/>
      <c r="Z977" s="344"/>
      <c r="AA977" s="344"/>
      <c r="AB977" s="344"/>
      <c r="AC977" s="344"/>
    </row>
    <row r="978" ht="24.75" customHeight="1">
      <c r="A978" s="344"/>
      <c r="B978" s="346"/>
      <c r="C978" s="344"/>
      <c r="D978" s="344"/>
      <c r="E978" s="344"/>
      <c r="F978" s="344"/>
      <c r="G978" s="344"/>
      <c r="H978" s="344"/>
      <c r="I978" s="344"/>
      <c r="J978" s="344"/>
      <c r="K978" s="344"/>
      <c r="L978" s="344"/>
      <c r="M978" s="344"/>
      <c r="N978" s="344"/>
      <c r="O978" s="344"/>
      <c r="P978" s="346"/>
      <c r="Q978" s="344"/>
      <c r="R978" s="344"/>
      <c r="S978" s="344"/>
      <c r="T978" s="344"/>
      <c r="U978" s="344"/>
      <c r="V978" s="344"/>
      <c r="W978" s="344"/>
      <c r="X978" s="344"/>
      <c r="Y978" s="344"/>
      <c r="Z978" s="344"/>
      <c r="AA978" s="344"/>
      <c r="AB978" s="344"/>
      <c r="AC978" s="344"/>
    </row>
    <row r="979" ht="24.75" customHeight="1">
      <c r="A979" s="344"/>
      <c r="B979" s="346"/>
      <c r="C979" s="344"/>
      <c r="D979" s="344"/>
      <c r="E979" s="344"/>
      <c r="F979" s="344"/>
      <c r="G979" s="344"/>
      <c r="H979" s="344"/>
      <c r="I979" s="344"/>
      <c r="J979" s="344"/>
      <c r="K979" s="344"/>
      <c r="L979" s="344"/>
      <c r="M979" s="344"/>
      <c r="N979" s="344"/>
      <c r="O979" s="344"/>
      <c r="P979" s="346"/>
      <c r="Q979" s="344"/>
      <c r="R979" s="344"/>
      <c r="S979" s="344"/>
      <c r="T979" s="344"/>
      <c r="U979" s="344"/>
      <c r="V979" s="344"/>
      <c r="W979" s="344"/>
      <c r="X979" s="344"/>
      <c r="Y979" s="344"/>
      <c r="Z979" s="344"/>
      <c r="AA979" s="344"/>
      <c r="AB979" s="344"/>
      <c r="AC979" s="344"/>
    </row>
    <row r="980" ht="24.75" customHeight="1">
      <c r="A980" s="344"/>
      <c r="B980" s="346"/>
      <c r="C980" s="344"/>
      <c r="D980" s="344"/>
      <c r="E980" s="344"/>
      <c r="F980" s="344"/>
      <c r="G980" s="344"/>
      <c r="H980" s="344"/>
      <c r="I980" s="344"/>
      <c r="J980" s="344"/>
      <c r="K980" s="344"/>
      <c r="L980" s="344"/>
      <c r="M980" s="344"/>
      <c r="N980" s="344"/>
      <c r="O980" s="344"/>
      <c r="P980" s="346"/>
      <c r="Q980" s="344"/>
      <c r="R980" s="344"/>
      <c r="S980" s="344"/>
      <c r="T980" s="344"/>
      <c r="U980" s="344"/>
      <c r="V980" s="344"/>
      <c r="W980" s="344"/>
      <c r="X980" s="344"/>
      <c r="Y980" s="344"/>
      <c r="Z980" s="344"/>
      <c r="AA980" s="344"/>
      <c r="AB980" s="344"/>
      <c r="AC980" s="344"/>
    </row>
    <row r="981" ht="24.75" customHeight="1">
      <c r="A981" s="344"/>
      <c r="B981" s="346"/>
      <c r="C981" s="344"/>
      <c r="D981" s="344"/>
      <c r="E981" s="344"/>
      <c r="F981" s="344"/>
      <c r="G981" s="344"/>
      <c r="H981" s="344"/>
      <c r="I981" s="344"/>
      <c r="J981" s="344"/>
      <c r="K981" s="344"/>
      <c r="L981" s="344"/>
      <c r="M981" s="344"/>
      <c r="N981" s="344"/>
      <c r="O981" s="344"/>
      <c r="P981" s="346"/>
      <c r="Q981" s="344"/>
      <c r="R981" s="344"/>
      <c r="S981" s="344"/>
      <c r="T981" s="344"/>
      <c r="U981" s="344"/>
      <c r="V981" s="344"/>
      <c r="W981" s="344"/>
      <c r="X981" s="344"/>
      <c r="Y981" s="344"/>
      <c r="Z981" s="344"/>
      <c r="AA981" s="344"/>
      <c r="AB981" s="344"/>
      <c r="AC981" s="344"/>
    </row>
    <row r="982" ht="24.75" customHeight="1">
      <c r="A982" s="344"/>
      <c r="B982" s="346"/>
      <c r="C982" s="344"/>
      <c r="D982" s="344"/>
      <c r="E982" s="344"/>
      <c r="F982" s="344"/>
      <c r="G982" s="344"/>
      <c r="H982" s="344"/>
      <c r="I982" s="344"/>
      <c r="J982" s="344"/>
      <c r="K982" s="344"/>
      <c r="L982" s="344"/>
      <c r="M982" s="344"/>
      <c r="N982" s="344"/>
      <c r="O982" s="344"/>
      <c r="P982" s="346"/>
      <c r="Q982" s="344"/>
      <c r="R982" s="344"/>
      <c r="S982" s="344"/>
      <c r="T982" s="344"/>
      <c r="U982" s="344"/>
      <c r="V982" s="344"/>
      <c r="W982" s="344"/>
      <c r="X982" s="344"/>
      <c r="Y982" s="344"/>
      <c r="Z982" s="344"/>
      <c r="AA982" s="344"/>
      <c r="AB982" s="344"/>
      <c r="AC982" s="344"/>
    </row>
    <row r="983" ht="24.75" customHeight="1">
      <c r="A983" s="344"/>
      <c r="B983" s="346"/>
      <c r="C983" s="344"/>
      <c r="D983" s="344"/>
      <c r="E983" s="344"/>
      <c r="F983" s="344"/>
      <c r="G983" s="344"/>
      <c r="H983" s="344"/>
      <c r="I983" s="344"/>
      <c r="J983" s="344"/>
      <c r="K983" s="344"/>
      <c r="L983" s="344"/>
      <c r="M983" s="344"/>
      <c r="N983" s="344"/>
      <c r="O983" s="344"/>
      <c r="P983" s="346"/>
      <c r="Q983" s="344"/>
      <c r="R983" s="344"/>
      <c r="S983" s="344"/>
      <c r="T983" s="344"/>
      <c r="U983" s="344"/>
      <c r="V983" s="344"/>
      <c r="W983" s="344"/>
      <c r="X983" s="344"/>
      <c r="Y983" s="344"/>
      <c r="Z983" s="344"/>
      <c r="AA983" s="344"/>
      <c r="AB983" s="344"/>
      <c r="AC983" s="344"/>
    </row>
    <row r="984" ht="24.75" customHeight="1">
      <c r="A984" s="344"/>
      <c r="B984" s="346"/>
      <c r="C984" s="344"/>
      <c r="D984" s="344"/>
      <c r="E984" s="344"/>
      <c r="F984" s="344"/>
      <c r="G984" s="344"/>
      <c r="H984" s="344"/>
      <c r="I984" s="344"/>
      <c r="J984" s="344"/>
      <c r="K984" s="344"/>
      <c r="L984" s="344"/>
      <c r="M984" s="344"/>
      <c r="N984" s="344"/>
      <c r="O984" s="344"/>
      <c r="P984" s="346"/>
      <c r="Q984" s="344"/>
      <c r="R984" s="344"/>
      <c r="S984" s="344"/>
      <c r="T984" s="344"/>
      <c r="U984" s="344"/>
      <c r="V984" s="344"/>
      <c r="W984" s="344"/>
      <c r="X984" s="344"/>
      <c r="Y984" s="344"/>
      <c r="Z984" s="344"/>
      <c r="AA984" s="344"/>
      <c r="AB984" s="344"/>
      <c r="AC984" s="344"/>
    </row>
    <row r="985" ht="24.75" customHeight="1">
      <c r="A985" s="344"/>
      <c r="B985" s="346"/>
      <c r="C985" s="344"/>
      <c r="D985" s="344"/>
      <c r="E985" s="344"/>
      <c r="F985" s="344"/>
      <c r="G985" s="344"/>
      <c r="H985" s="344"/>
      <c r="I985" s="344"/>
      <c r="J985" s="344"/>
      <c r="K985" s="344"/>
      <c r="L985" s="344"/>
      <c r="M985" s="344"/>
      <c r="N985" s="344"/>
      <c r="O985" s="344"/>
      <c r="P985" s="346"/>
      <c r="Q985" s="344"/>
      <c r="R985" s="344"/>
      <c r="S985" s="344"/>
      <c r="T985" s="344"/>
      <c r="U985" s="344"/>
      <c r="V985" s="344"/>
      <c r="W985" s="344"/>
      <c r="X985" s="344"/>
      <c r="Y985" s="344"/>
      <c r="Z985" s="344"/>
      <c r="AA985" s="344"/>
      <c r="AB985" s="344"/>
      <c r="AC985" s="344"/>
    </row>
    <row r="986" ht="24.75" customHeight="1">
      <c r="A986" s="344"/>
      <c r="B986" s="346"/>
      <c r="C986" s="344"/>
      <c r="D986" s="344"/>
      <c r="E986" s="344"/>
      <c r="F986" s="344"/>
      <c r="G986" s="344"/>
      <c r="H986" s="344"/>
      <c r="I986" s="344"/>
      <c r="J986" s="344"/>
      <c r="K986" s="344"/>
      <c r="L986" s="344"/>
      <c r="M986" s="344"/>
      <c r="N986" s="344"/>
      <c r="O986" s="344"/>
      <c r="P986" s="346"/>
      <c r="Q986" s="344"/>
      <c r="R986" s="344"/>
      <c r="S986" s="344"/>
      <c r="T986" s="344"/>
      <c r="U986" s="344"/>
      <c r="V986" s="344"/>
      <c r="W986" s="344"/>
      <c r="X986" s="344"/>
      <c r="Y986" s="344"/>
      <c r="Z986" s="344"/>
      <c r="AA986" s="344"/>
      <c r="AB986" s="344"/>
      <c r="AC986" s="344"/>
    </row>
    <row r="987" ht="24.75" customHeight="1">
      <c r="A987" s="344"/>
      <c r="B987" s="346"/>
      <c r="C987" s="344"/>
      <c r="D987" s="344"/>
      <c r="E987" s="344"/>
      <c r="F987" s="344"/>
      <c r="G987" s="344"/>
      <c r="H987" s="344"/>
      <c r="I987" s="344"/>
      <c r="J987" s="344"/>
      <c r="K987" s="344"/>
      <c r="L987" s="344"/>
      <c r="M987" s="344"/>
      <c r="N987" s="344"/>
      <c r="O987" s="344"/>
      <c r="P987" s="346"/>
      <c r="Q987" s="344"/>
      <c r="R987" s="344"/>
      <c r="S987" s="344"/>
      <c r="T987" s="344"/>
      <c r="U987" s="344"/>
      <c r="V987" s="344"/>
      <c r="W987" s="344"/>
      <c r="X987" s="344"/>
      <c r="Y987" s="344"/>
      <c r="Z987" s="344"/>
      <c r="AA987" s="344"/>
      <c r="AB987" s="344"/>
      <c r="AC987" s="344"/>
    </row>
    <row r="988" ht="24.75" customHeight="1">
      <c r="A988" s="344"/>
      <c r="B988" s="346"/>
      <c r="C988" s="344"/>
      <c r="D988" s="344"/>
      <c r="E988" s="344"/>
      <c r="F988" s="344"/>
      <c r="G988" s="344"/>
      <c r="H988" s="344"/>
      <c r="I988" s="344"/>
      <c r="J988" s="344"/>
      <c r="K988" s="344"/>
      <c r="L988" s="344"/>
      <c r="M988" s="344"/>
      <c r="N988" s="344"/>
      <c r="O988" s="344"/>
      <c r="P988" s="346"/>
      <c r="Q988" s="344"/>
      <c r="R988" s="344"/>
      <c r="S988" s="344"/>
      <c r="T988" s="344"/>
      <c r="U988" s="344"/>
      <c r="V988" s="344"/>
      <c r="W988" s="344"/>
      <c r="X988" s="344"/>
      <c r="Y988" s="344"/>
      <c r="Z988" s="344"/>
      <c r="AA988" s="344"/>
      <c r="AB988" s="344"/>
      <c r="AC988" s="344"/>
    </row>
    <row r="989" ht="24.75" customHeight="1">
      <c r="A989" s="344"/>
      <c r="B989" s="346"/>
      <c r="C989" s="344"/>
      <c r="D989" s="344"/>
      <c r="E989" s="344"/>
      <c r="F989" s="344"/>
      <c r="G989" s="344"/>
      <c r="H989" s="344"/>
      <c r="I989" s="344"/>
      <c r="J989" s="344"/>
      <c r="K989" s="344"/>
      <c r="L989" s="344"/>
      <c r="M989" s="344"/>
      <c r="N989" s="344"/>
      <c r="O989" s="344"/>
      <c r="P989" s="346"/>
      <c r="Q989" s="344"/>
      <c r="R989" s="344"/>
      <c r="S989" s="344"/>
      <c r="T989" s="344"/>
      <c r="U989" s="344"/>
      <c r="V989" s="344"/>
      <c r="W989" s="344"/>
      <c r="X989" s="344"/>
      <c r="Y989" s="344"/>
      <c r="Z989" s="344"/>
      <c r="AA989" s="344"/>
      <c r="AB989" s="344"/>
      <c r="AC989" s="344"/>
    </row>
    <row r="990" ht="24.75" customHeight="1">
      <c r="A990" s="344"/>
      <c r="B990" s="346"/>
      <c r="C990" s="344"/>
      <c r="D990" s="344"/>
      <c r="E990" s="344"/>
      <c r="F990" s="344"/>
      <c r="G990" s="344"/>
      <c r="H990" s="344"/>
      <c r="I990" s="344"/>
      <c r="J990" s="344"/>
      <c r="K990" s="344"/>
      <c r="L990" s="344"/>
      <c r="M990" s="344"/>
      <c r="N990" s="344"/>
      <c r="O990" s="344"/>
      <c r="P990" s="346"/>
      <c r="Q990" s="344"/>
      <c r="R990" s="344"/>
      <c r="S990" s="344"/>
      <c r="T990" s="344"/>
      <c r="U990" s="344"/>
      <c r="V990" s="344"/>
      <c r="W990" s="344"/>
      <c r="X990" s="344"/>
      <c r="Y990" s="344"/>
      <c r="Z990" s="344"/>
      <c r="AA990" s="344"/>
      <c r="AB990" s="344"/>
      <c r="AC990" s="344"/>
    </row>
    <row r="991" ht="24.75" customHeight="1">
      <c r="A991" s="344"/>
      <c r="B991" s="346"/>
      <c r="C991" s="344"/>
      <c r="D991" s="344"/>
      <c r="E991" s="344"/>
      <c r="F991" s="344"/>
      <c r="G991" s="344"/>
      <c r="H991" s="344"/>
      <c r="I991" s="344"/>
      <c r="J991" s="344"/>
      <c r="K991" s="344"/>
      <c r="L991" s="344"/>
      <c r="M991" s="344"/>
      <c r="N991" s="344"/>
      <c r="O991" s="344"/>
      <c r="P991" s="346"/>
      <c r="Q991" s="344"/>
      <c r="R991" s="344"/>
      <c r="S991" s="344"/>
      <c r="T991" s="344"/>
      <c r="U991" s="344"/>
      <c r="V991" s="344"/>
      <c r="W991" s="344"/>
      <c r="X991" s="344"/>
      <c r="Y991" s="344"/>
      <c r="Z991" s="344"/>
      <c r="AA991" s="344"/>
      <c r="AB991" s="344"/>
      <c r="AC991" s="344"/>
    </row>
    <row r="992" ht="24.75" customHeight="1">
      <c r="A992" s="344"/>
      <c r="B992" s="346"/>
      <c r="C992" s="344"/>
      <c r="D992" s="344"/>
      <c r="E992" s="344"/>
      <c r="F992" s="344"/>
      <c r="G992" s="344"/>
      <c r="H992" s="344"/>
      <c r="I992" s="344"/>
      <c r="J992" s="344"/>
      <c r="K992" s="344"/>
      <c r="L992" s="344"/>
      <c r="M992" s="344"/>
      <c r="N992" s="344"/>
      <c r="O992" s="344"/>
      <c r="P992" s="346"/>
      <c r="Q992" s="344"/>
      <c r="R992" s="344"/>
      <c r="S992" s="344"/>
      <c r="T992" s="344"/>
      <c r="U992" s="344"/>
      <c r="V992" s="344"/>
      <c r="W992" s="344"/>
      <c r="X992" s="344"/>
      <c r="Y992" s="344"/>
      <c r="Z992" s="344"/>
      <c r="AA992" s="344"/>
      <c r="AB992" s="344"/>
      <c r="AC992" s="344"/>
    </row>
    <row r="993" ht="24.75" customHeight="1">
      <c r="A993" s="344"/>
      <c r="B993" s="346"/>
      <c r="C993" s="344"/>
      <c r="D993" s="344"/>
      <c r="E993" s="344"/>
      <c r="F993" s="344"/>
      <c r="G993" s="344"/>
      <c r="H993" s="344"/>
      <c r="I993" s="344"/>
      <c r="J993" s="344"/>
      <c r="K993" s="344"/>
      <c r="L993" s="344"/>
      <c r="M993" s="344"/>
      <c r="N993" s="344"/>
      <c r="O993" s="344"/>
      <c r="P993" s="346"/>
      <c r="Q993" s="344"/>
      <c r="R993" s="344"/>
      <c r="S993" s="344"/>
      <c r="T993" s="344"/>
      <c r="U993" s="344"/>
      <c r="V993" s="344"/>
      <c r="W993" s="344"/>
      <c r="X993" s="344"/>
      <c r="Y993" s="344"/>
      <c r="Z993" s="344"/>
      <c r="AA993" s="344"/>
      <c r="AB993" s="344"/>
      <c r="AC993" s="344"/>
    </row>
    <row r="994" ht="24.75" customHeight="1">
      <c r="A994" s="344"/>
      <c r="B994" s="346"/>
      <c r="C994" s="344"/>
      <c r="D994" s="344"/>
      <c r="E994" s="344"/>
      <c r="F994" s="344"/>
      <c r="G994" s="344"/>
      <c r="H994" s="344"/>
      <c r="I994" s="344"/>
      <c r="J994" s="344"/>
      <c r="K994" s="344"/>
      <c r="L994" s="344"/>
      <c r="M994" s="344"/>
      <c r="N994" s="344"/>
      <c r="O994" s="344"/>
      <c r="P994" s="346"/>
      <c r="Q994" s="344"/>
      <c r="R994" s="344"/>
      <c r="S994" s="344"/>
      <c r="T994" s="344"/>
      <c r="U994" s="344"/>
      <c r="V994" s="344"/>
      <c r="W994" s="344"/>
      <c r="X994" s="344"/>
      <c r="Y994" s="344"/>
      <c r="Z994" s="344"/>
      <c r="AA994" s="344"/>
      <c r="AB994" s="344"/>
      <c r="AC994" s="344"/>
    </row>
    <row r="995" ht="24.75" customHeight="1">
      <c r="A995" s="344"/>
      <c r="B995" s="346"/>
      <c r="C995" s="344"/>
      <c r="D995" s="344"/>
      <c r="E995" s="344"/>
      <c r="F995" s="344"/>
      <c r="G995" s="344"/>
      <c r="H995" s="344"/>
      <c r="I995" s="344"/>
      <c r="J995" s="344"/>
      <c r="K995" s="344"/>
      <c r="L995" s="344"/>
      <c r="M995" s="344"/>
      <c r="N995" s="344"/>
      <c r="O995" s="344"/>
      <c r="P995" s="346"/>
      <c r="Q995" s="344"/>
      <c r="R995" s="344"/>
      <c r="S995" s="344"/>
      <c r="T995" s="344"/>
      <c r="U995" s="344"/>
      <c r="V995" s="344"/>
      <c r="W995" s="344"/>
      <c r="X995" s="344"/>
      <c r="Y995" s="344"/>
      <c r="Z995" s="344"/>
      <c r="AA995" s="344"/>
      <c r="AB995" s="344"/>
      <c r="AC995" s="344"/>
    </row>
    <row r="996" ht="24.75" customHeight="1">
      <c r="A996" s="344"/>
      <c r="B996" s="346"/>
      <c r="C996" s="344"/>
      <c r="D996" s="344"/>
      <c r="E996" s="344"/>
      <c r="F996" s="344"/>
      <c r="G996" s="344"/>
      <c r="H996" s="344"/>
      <c r="I996" s="344"/>
      <c r="J996" s="344"/>
      <c r="K996" s="344"/>
      <c r="L996" s="344"/>
      <c r="M996" s="344"/>
      <c r="N996" s="344"/>
      <c r="O996" s="344"/>
      <c r="P996" s="346"/>
      <c r="Q996" s="344"/>
      <c r="R996" s="344"/>
      <c r="S996" s="344"/>
      <c r="T996" s="344"/>
      <c r="U996" s="344"/>
      <c r="V996" s="344"/>
      <c r="W996" s="344"/>
      <c r="X996" s="344"/>
      <c r="Y996" s="344"/>
      <c r="Z996" s="344"/>
      <c r="AA996" s="344"/>
      <c r="AB996" s="344"/>
      <c r="AC996" s="344"/>
    </row>
    <row r="997" ht="24.75" customHeight="1">
      <c r="A997" s="344"/>
      <c r="B997" s="346"/>
      <c r="C997" s="344"/>
      <c r="D997" s="344"/>
      <c r="E997" s="344"/>
      <c r="F997" s="344"/>
      <c r="G997" s="344"/>
      <c r="H997" s="344"/>
      <c r="I997" s="344"/>
      <c r="J997" s="344"/>
      <c r="K997" s="344"/>
      <c r="L997" s="344"/>
      <c r="M997" s="344"/>
      <c r="N997" s="344"/>
      <c r="O997" s="344"/>
      <c r="P997" s="346"/>
      <c r="Q997" s="344"/>
      <c r="R997" s="344"/>
      <c r="S997" s="344"/>
      <c r="T997" s="344"/>
      <c r="U997" s="344"/>
      <c r="V997" s="344"/>
      <c r="W997" s="344"/>
      <c r="X997" s="344"/>
      <c r="Y997" s="344"/>
      <c r="Z997" s="344"/>
      <c r="AA997" s="344"/>
      <c r="AB997" s="344"/>
      <c r="AC997" s="344"/>
    </row>
    <row r="998" ht="24.75" customHeight="1">
      <c r="A998" s="344"/>
      <c r="B998" s="346"/>
      <c r="C998" s="344"/>
      <c r="D998" s="344"/>
      <c r="E998" s="344"/>
      <c r="F998" s="344"/>
      <c r="G998" s="344"/>
      <c r="H998" s="344"/>
      <c r="I998" s="344"/>
      <c r="J998" s="344"/>
      <c r="K998" s="344"/>
      <c r="L998" s="344"/>
      <c r="M998" s="344"/>
      <c r="N998" s="344"/>
      <c r="O998" s="344"/>
      <c r="P998" s="346"/>
      <c r="Q998" s="344"/>
      <c r="R998" s="344"/>
      <c r="S998" s="344"/>
      <c r="T998" s="344"/>
      <c r="U998" s="344"/>
      <c r="V998" s="344"/>
      <c r="W998" s="344"/>
      <c r="X998" s="344"/>
      <c r="Y998" s="344"/>
      <c r="Z998" s="344"/>
      <c r="AA998" s="344"/>
      <c r="AB998" s="344"/>
      <c r="AC998" s="344"/>
    </row>
    <row r="999" ht="24.75" customHeight="1">
      <c r="A999" s="344"/>
      <c r="B999" s="346"/>
      <c r="C999" s="344"/>
      <c r="D999" s="344"/>
      <c r="E999" s="344"/>
      <c r="F999" s="344"/>
      <c r="G999" s="344"/>
      <c r="H999" s="344"/>
      <c r="I999" s="344"/>
      <c r="J999" s="344"/>
      <c r="K999" s="344"/>
      <c r="L999" s="344"/>
      <c r="M999" s="344"/>
      <c r="N999" s="344"/>
      <c r="O999" s="344"/>
      <c r="P999" s="346"/>
      <c r="Q999" s="344"/>
      <c r="R999" s="344"/>
      <c r="S999" s="344"/>
      <c r="T999" s="344"/>
      <c r="U999" s="344"/>
      <c r="V999" s="344"/>
      <c r="W999" s="344"/>
      <c r="X999" s="344"/>
      <c r="Y999" s="344"/>
      <c r="Z999" s="344"/>
      <c r="AA999" s="344"/>
      <c r="AB999" s="344"/>
      <c r="AC999" s="344"/>
    </row>
    <row r="1000" ht="24.75" customHeight="1">
      <c r="A1000" s="344"/>
      <c r="B1000" s="346"/>
      <c r="C1000" s="344"/>
      <c r="D1000" s="344"/>
      <c r="E1000" s="344"/>
      <c r="F1000" s="344"/>
      <c r="G1000" s="344"/>
      <c r="H1000" s="344"/>
      <c r="I1000" s="344"/>
      <c r="J1000" s="344"/>
      <c r="K1000" s="344"/>
      <c r="L1000" s="344"/>
      <c r="M1000" s="344"/>
      <c r="N1000" s="344"/>
      <c r="O1000" s="344"/>
      <c r="P1000" s="346"/>
      <c r="Q1000" s="344"/>
      <c r="R1000" s="344"/>
      <c r="S1000" s="344"/>
      <c r="T1000" s="344"/>
      <c r="U1000" s="344"/>
      <c r="V1000" s="344"/>
      <c r="W1000" s="344"/>
      <c r="X1000" s="344"/>
      <c r="Y1000" s="344"/>
      <c r="Z1000" s="344"/>
      <c r="AA1000" s="344"/>
      <c r="AB1000" s="344"/>
      <c r="AC1000" s="344"/>
    </row>
  </sheetData>
  <conditionalFormatting sqref="A2:A173">
    <cfRule type="expression" dxfId="0" priority="1">
      <formula>$Q2="PRÉ-EMBALAGEM"</formula>
    </cfRule>
  </conditionalFormatting>
  <conditionalFormatting sqref="A2:A173">
    <cfRule type="expression" dxfId="1" priority="2">
      <formula>$Q2="RETORNO DE CONSERTO"</formula>
    </cfRule>
  </conditionalFormatting>
  <conditionalFormatting sqref="A2:A173">
    <cfRule type="expression" dxfId="2" priority="3">
      <formula>$Q2="CONSIGNADO FINALIZADO"</formula>
    </cfRule>
  </conditionalFormatting>
  <conditionalFormatting sqref="A2:A173">
    <cfRule type="expression" dxfId="3" priority="4">
      <formula>$Q2="AGUARDAR CONTAINER"</formula>
    </cfRule>
  </conditionalFormatting>
  <conditionalFormatting sqref="D2:D173">
    <cfRule type="expression" dxfId="4" priority="5">
      <formula>COUNTIF(D:D,D2)&gt;1</formula>
    </cfRule>
  </conditionalFormatting>
  <conditionalFormatting sqref="A2:A173">
    <cfRule type="expression" dxfId="5" priority="6">
      <formula>COUNTIF(A:A,A2)&gt;1</formula>
    </cfRule>
  </conditionalFormatting>
  <conditionalFormatting sqref="A2:A173">
    <cfRule type="expression" dxfId="6" priority="7">
      <formula>$I2="TESTAR"</formula>
    </cfRule>
  </conditionalFormatting>
  <conditionalFormatting sqref="A2:A173">
    <cfRule type="expression" dxfId="7" priority="8">
      <formula>$I2="EM ABERTO IGUI"</formula>
    </cfRule>
  </conditionalFormatting>
  <conditionalFormatting sqref="A2:A173">
    <cfRule type="expression" dxfId="8" priority="9">
      <formula>$I2="PRIORIDADE"</formula>
    </cfRule>
  </conditionalFormatting>
  <conditionalFormatting sqref="P2:P173 Y2:AC173">
    <cfRule type="expression" dxfId="9" priority="10">
      <formula>REGEXMATCH(UPPER($P2),"TROCA")=TRUE</formula>
    </cfRule>
  </conditionalFormatting>
  <conditionalFormatting sqref="P2:P173 Y2:AC173">
    <cfRule type="expression" dxfId="10" priority="11">
      <formula>REGEXMATCH(UPPER($P2),"REDESP(\.| |$)?|REDES( |$)?")</formula>
    </cfRule>
  </conditionalFormatting>
  <conditionalFormatting sqref="P2:P173 Y2:AC173">
    <cfRule type="expression" dxfId="11" priority="12">
      <formula>REGEXMATCH(UPPER($P2),"ENDEREÇO")=TRUE</formula>
    </cfRule>
  </conditionalFormatting>
  <conditionalFormatting sqref="D2:D173">
    <cfRule type="expression" dxfId="12" priority="13">
      <formula>COUNTIF(D:D,D2)&gt;1</formula>
    </cfRule>
  </conditionalFormatting>
  <conditionalFormatting sqref="P2:P173 Y2:AC173">
    <cfRule type="expression" dxfId="14" priority="14">
      <formula>REGEXMATCH(UPPER($P2),"SOBREPOR")=TRUE</formula>
    </cfRule>
  </conditionalFormatting>
  <conditionalFormatting sqref="P2:P173 Y2:AC173">
    <cfRule type="expression" dxfId="15" priority="15">
      <formula>REGEXMATCH(UPPER($P2),"EMBUTIR")=TRUE</formula>
    </cfRule>
  </conditionalFormatting>
  <conditionalFormatting sqref="E2:E173">
    <cfRule type="expression" dxfId="39" priority="16">
      <formula>$E2="FTI105D40PT"</formula>
    </cfRule>
  </conditionalFormatting>
  <conditionalFormatting sqref="E2:E173">
    <cfRule type="expression" dxfId="40" priority="17">
      <formula>$E2="FTI25D40PT"</formula>
    </cfRule>
  </conditionalFormatting>
  <conditionalFormatting sqref="E2:E173">
    <cfRule type="expression" dxfId="4" priority="18">
      <formula>$E2="FTI35D40PT"</formula>
    </cfRule>
  </conditionalFormatting>
  <conditionalFormatting sqref="E2:E173">
    <cfRule type="expression" dxfId="41" priority="19">
      <formula>$E2="FTI45D40PT"</formula>
    </cfRule>
  </conditionalFormatting>
  <conditionalFormatting sqref="A2:O173">
    <cfRule type="expression" dxfId="42" priority="20">
      <formula>$I2="AGUARDAR CONTAINER"</formula>
    </cfRule>
  </conditionalFormatting>
  <conditionalFormatting sqref="H1:H173">
    <cfRule type="cellIs" dxfId="8" priority="21" operator="equal">
      <formula>"SIM"</formula>
    </cfRule>
  </conditionalFormatting>
  <conditionalFormatting sqref="I1 K1">
    <cfRule type="expression" dxfId="33" priority="22">
      <formula>AND(ISNUMBER(I1),TRUNC(I1)&lt;TODAY())</formula>
    </cfRule>
  </conditionalFormatting>
  <dataValidations>
    <dataValidation type="list" allowBlank="1" showInputMessage="1" showErrorMessage="1" prompt="INSIRA SOMENTE O REDESPACHO, DUVIDAS FALAR COM A LOGISTICA" sqref="S1">
      <formula1>LEGENDAS!$J$2:$J1000</formula1>
    </dataValidation>
    <dataValidation type="list" allowBlank="1" showInputMessage="1" showErrorMessage="1" prompt="MODELO NÃO ESTÁ PRESENTE NA ABA &quot;LEGENDAS&quot;, VA NA ABA LEGENDAS E INSIRA O MODELO NO FINAL DA COLUNA &quot;MODELO&quot;" sqref="M1">
      <formula1>LEGENDAS!$G$2:$G$219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7.43"/>
    <col customWidth="1" min="2" max="2" width="16.71"/>
    <col customWidth="1" min="3" max="3" width="25.57"/>
    <col customWidth="1" min="4" max="4" width="18.43"/>
    <col customWidth="1" min="5" max="5" width="35.71"/>
  </cols>
  <sheetData>
    <row r="1">
      <c r="A1" s="347" t="s">
        <v>24689</v>
      </c>
      <c r="B1" s="347" t="s">
        <v>23325</v>
      </c>
      <c r="C1" s="347" t="s">
        <v>24690</v>
      </c>
      <c r="D1" s="347" t="s">
        <v>23326</v>
      </c>
      <c r="E1" s="348" t="s">
        <v>24691</v>
      </c>
    </row>
    <row r="2">
      <c r="A2" s="349" t="s">
        <v>3395</v>
      </c>
      <c r="B2" s="349">
        <v>23.0</v>
      </c>
      <c r="C2" s="349">
        <v>10.0</v>
      </c>
      <c r="D2" s="349" t="s">
        <v>22388</v>
      </c>
      <c r="E2" s="350">
        <v>45952.0</v>
      </c>
    </row>
    <row r="3">
      <c r="A3" s="349" t="s">
        <v>3441</v>
      </c>
      <c r="B3" s="349">
        <v>23.0</v>
      </c>
      <c r="C3" s="349">
        <v>14.0</v>
      </c>
      <c r="D3" s="349" t="s">
        <v>22388</v>
      </c>
      <c r="E3" s="350">
        <v>45952.0</v>
      </c>
    </row>
    <row r="4">
      <c r="A4" s="351" t="s">
        <v>72</v>
      </c>
      <c r="B4" s="352">
        <v>23.0</v>
      </c>
      <c r="C4" s="353">
        <v>15.0</v>
      </c>
      <c r="D4" s="354" t="s">
        <v>22388</v>
      </c>
      <c r="E4" s="350">
        <v>45952.0</v>
      </c>
    </row>
    <row r="5">
      <c r="A5" s="351" t="s">
        <v>85</v>
      </c>
      <c r="B5" s="352">
        <v>23.0</v>
      </c>
      <c r="C5" s="353">
        <v>43.0</v>
      </c>
      <c r="D5" s="354" t="s">
        <v>22388</v>
      </c>
      <c r="E5" s="350">
        <v>45952.0</v>
      </c>
    </row>
    <row r="6">
      <c r="A6" s="351" t="s">
        <v>91</v>
      </c>
      <c r="B6" s="352">
        <v>23.0</v>
      </c>
      <c r="C6" s="353">
        <v>55.0</v>
      </c>
      <c r="D6" s="354" t="s">
        <v>22388</v>
      </c>
      <c r="E6" s="350">
        <v>45952.0</v>
      </c>
    </row>
    <row r="7">
      <c r="A7" s="353" t="s">
        <v>112</v>
      </c>
      <c r="B7" s="352">
        <v>23.0</v>
      </c>
      <c r="C7" s="353">
        <v>20.0</v>
      </c>
      <c r="D7" s="354" t="s">
        <v>22388</v>
      </c>
      <c r="E7" s="350">
        <v>45952.0</v>
      </c>
    </row>
    <row r="8">
      <c r="A8" s="353" t="s">
        <v>6133</v>
      </c>
      <c r="B8" s="352">
        <v>23.0</v>
      </c>
      <c r="C8" s="353"/>
      <c r="D8" s="355"/>
      <c r="E8" s="350"/>
    </row>
    <row r="9">
      <c r="A9" s="353" t="s">
        <v>47</v>
      </c>
      <c r="B9" s="352">
        <v>23.0</v>
      </c>
      <c r="C9" s="353">
        <v>10.0</v>
      </c>
      <c r="D9" s="354" t="s">
        <v>22388</v>
      </c>
      <c r="E9" s="350">
        <v>45952.0</v>
      </c>
    </row>
    <row r="10">
      <c r="A10" s="353" t="s">
        <v>4430</v>
      </c>
      <c r="B10" s="352">
        <v>23.0</v>
      </c>
      <c r="C10" s="353">
        <v>10.0</v>
      </c>
      <c r="D10" s="354" t="s">
        <v>22388</v>
      </c>
      <c r="E10" s="350">
        <v>45952.0</v>
      </c>
    </row>
    <row r="11">
      <c r="A11" s="349" t="s">
        <v>3395</v>
      </c>
      <c r="B11" s="349">
        <v>24.0</v>
      </c>
      <c r="C11" s="349">
        <v>18.0</v>
      </c>
      <c r="D11" s="349" t="s">
        <v>22388</v>
      </c>
      <c r="E11" s="350">
        <v>45965.0</v>
      </c>
    </row>
    <row r="12">
      <c r="A12" s="349" t="s">
        <v>3441</v>
      </c>
      <c r="B12" s="349">
        <v>24.0</v>
      </c>
      <c r="C12" s="349">
        <v>25.0</v>
      </c>
      <c r="D12" s="349" t="s">
        <v>22388</v>
      </c>
      <c r="E12" s="350">
        <v>45965.0</v>
      </c>
    </row>
    <row r="13">
      <c r="A13" s="351" t="s">
        <v>72</v>
      </c>
      <c r="B13" s="352">
        <v>24.0</v>
      </c>
      <c r="C13" s="353">
        <v>10.0</v>
      </c>
      <c r="D13" s="354" t="s">
        <v>22388</v>
      </c>
      <c r="E13" s="350">
        <v>45965.0</v>
      </c>
    </row>
    <row r="14">
      <c r="A14" s="351" t="s">
        <v>85</v>
      </c>
      <c r="B14" s="352">
        <v>24.0</v>
      </c>
      <c r="C14" s="353">
        <v>25.0</v>
      </c>
      <c r="D14" s="354" t="s">
        <v>22388</v>
      </c>
      <c r="E14" s="350">
        <v>45965.0</v>
      </c>
    </row>
    <row r="15">
      <c r="A15" s="351" t="s">
        <v>91</v>
      </c>
      <c r="B15" s="352">
        <v>24.0</v>
      </c>
      <c r="C15" s="353">
        <v>38.0</v>
      </c>
      <c r="D15" s="354" t="s">
        <v>22388</v>
      </c>
      <c r="E15" s="350">
        <v>45965.0</v>
      </c>
    </row>
    <row r="16">
      <c r="A16" s="353" t="s">
        <v>112</v>
      </c>
      <c r="B16" s="352">
        <v>24.0</v>
      </c>
      <c r="C16" s="353">
        <v>25.0</v>
      </c>
      <c r="D16" s="354" t="s">
        <v>22388</v>
      </c>
      <c r="E16" s="350">
        <v>45965.0</v>
      </c>
    </row>
    <row r="17">
      <c r="A17" s="353" t="s">
        <v>6133</v>
      </c>
      <c r="B17" s="352">
        <v>24.0</v>
      </c>
      <c r="C17" s="353"/>
      <c r="D17" s="355"/>
      <c r="E17" s="350"/>
    </row>
    <row r="18">
      <c r="A18" s="353" t="s">
        <v>47</v>
      </c>
      <c r="B18" s="352">
        <v>24.0</v>
      </c>
      <c r="C18" s="353">
        <v>20.0</v>
      </c>
      <c r="D18" s="354" t="s">
        <v>22388</v>
      </c>
      <c r="E18" s="350">
        <v>45965.0</v>
      </c>
    </row>
    <row r="19">
      <c r="A19" s="353" t="s">
        <v>4430</v>
      </c>
      <c r="B19" s="352">
        <v>24.0</v>
      </c>
      <c r="C19" s="353">
        <v>15.0</v>
      </c>
      <c r="D19" s="354" t="s">
        <v>22388</v>
      </c>
      <c r="E19" s="350">
        <v>45965.0</v>
      </c>
    </row>
    <row r="20">
      <c r="A20" s="349" t="s">
        <v>3395</v>
      </c>
      <c r="B20" s="349">
        <v>25.0</v>
      </c>
      <c r="C20" s="349">
        <v>20.0</v>
      </c>
      <c r="D20" s="349" t="s">
        <v>22388</v>
      </c>
      <c r="E20" s="350"/>
    </row>
    <row r="21">
      <c r="A21" s="349" t="s">
        <v>3441</v>
      </c>
      <c r="B21" s="349">
        <v>25.0</v>
      </c>
      <c r="C21" s="349">
        <v>44.0</v>
      </c>
      <c r="D21" s="349" t="s">
        <v>22388</v>
      </c>
      <c r="E21" s="350"/>
    </row>
    <row r="22">
      <c r="A22" s="351" t="s">
        <v>72</v>
      </c>
      <c r="B22" s="352">
        <v>25.0</v>
      </c>
      <c r="C22" s="353">
        <v>38.0</v>
      </c>
      <c r="D22" s="354" t="s">
        <v>22388</v>
      </c>
      <c r="E22" s="350"/>
    </row>
    <row r="23">
      <c r="A23" s="351" t="s">
        <v>85</v>
      </c>
      <c r="B23" s="352">
        <v>25.0</v>
      </c>
      <c r="C23" s="353">
        <v>10.0</v>
      </c>
      <c r="D23" s="354" t="s">
        <v>22388</v>
      </c>
      <c r="E23" s="350"/>
    </row>
    <row r="24">
      <c r="A24" s="351" t="s">
        <v>91</v>
      </c>
      <c r="B24" s="352">
        <v>25.0</v>
      </c>
      <c r="C24" s="353">
        <v>12.0</v>
      </c>
      <c r="D24" s="354" t="s">
        <v>22388</v>
      </c>
      <c r="E24" s="350"/>
    </row>
    <row r="25">
      <c r="A25" s="353" t="s">
        <v>112</v>
      </c>
      <c r="B25" s="352">
        <v>25.0</v>
      </c>
      <c r="C25" s="353">
        <v>32.0</v>
      </c>
      <c r="D25" s="354" t="s">
        <v>22388</v>
      </c>
      <c r="E25" s="350"/>
    </row>
    <row r="26">
      <c r="A26" s="353" t="s">
        <v>6133</v>
      </c>
      <c r="B26" s="352">
        <v>25.0</v>
      </c>
      <c r="C26" s="353"/>
      <c r="D26" s="355"/>
      <c r="E26" s="350"/>
    </row>
    <row r="27">
      <c r="A27" s="353" t="s">
        <v>47</v>
      </c>
      <c r="B27" s="352">
        <v>25.0</v>
      </c>
      <c r="C27" s="353">
        <v>10.0</v>
      </c>
      <c r="D27" s="354" t="s">
        <v>22388</v>
      </c>
      <c r="E27" s="350"/>
    </row>
    <row r="28">
      <c r="A28" s="353" t="s">
        <v>4430</v>
      </c>
      <c r="B28" s="352">
        <v>25.0</v>
      </c>
      <c r="C28" s="353">
        <v>18.0</v>
      </c>
      <c r="D28" s="354" t="s">
        <v>22388</v>
      </c>
      <c r="E28" s="350"/>
    </row>
    <row r="29">
      <c r="A29" s="349" t="s">
        <v>3395</v>
      </c>
      <c r="B29" s="356">
        <v>25.0</v>
      </c>
      <c r="C29" s="357">
        <v>100.0</v>
      </c>
      <c r="D29" s="358" t="s">
        <v>22388</v>
      </c>
      <c r="E29" s="350"/>
    </row>
    <row r="30">
      <c r="A30" s="349" t="s">
        <v>3441</v>
      </c>
      <c r="B30" s="356">
        <v>25.0</v>
      </c>
      <c r="C30" s="357">
        <v>38.0</v>
      </c>
      <c r="D30" s="358" t="s">
        <v>22388</v>
      </c>
      <c r="E30" s="350"/>
    </row>
    <row r="31">
      <c r="A31" s="351" t="s">
        <v>72</v>
      </c>
      <c r="B31" s="352">
        <v>25.0</v>
      </c>
      <c r="C31" s="353">
        <v>27.0</v>
      </c>
      <c r="D31" s="354" t="s">
        <v>22388</v>
      </c>
      <c r="E31" s="350"/>
    </row>
    <row r="32">
      <c r="A32" s="351" t="s">
        <v>85</v>
      </c>
      <c r="B32" s="352">
        <v>25.0</v>
      </c>
      <c r="C32" s="353"/>
      <c r="D32" s="354"/>
      <c r="E32" s="350"/>
    </row>
    <row r="33">
      <c r="A33" s="351" t="s">
        <v>91</v>
      </c>
      <c r="B33" s="352">
        <v>25.0</v>
      </c>
      <c r="C33" s="353">
        <v>38.0</v>
      </c>
      <c r="D33" s="354" t="s">
        <v>22388</v>
      </c>
      <c r="E33" s="350"/>
    </row>
    <row r="34">
      <c r="A34" s="353" t="s">
        <v>112</v>
      </c>
      <c r="B34" s="352">
        <v>25.0</v>
      </c>
      <c r="C34" s="353">
        <v>10.0</v>
      </c>
      <c r="D34" s="354" t="s">
        <v>22388</v>
      </c>
      <c r="E34" s="350"/>
    </row>
    <row r="35">
      <c r="A35" s="353" t="s">
        <v>6133</v>
      </c>
      <c r="B35" s="352">
        <v>25.0</v>
      </c>
      <c r="C35" s="353"/>
      <c r="D35" s="354"/>
      <c r="E35" s="350"/>
    </row>
    <row r="36">
      <c r="A36" s="353" t="s">
        <v>47</v>
      </c>
      <c r="B36" s="352">
        <v>25.0</v>
      </c>
      <c r="C36" s="353"/>
      <c r="D36" s="354"/>
      <c r="E36" s="350"/>
    </row>
    <row r="37">
      <c r="A37" s="353" t="s">
        <v>4430</v>
      </c>
      <c r="B37" s="352">
        <v>25.0</v>
      </c>
      <c r="C37" s="353">
        <v>10.0</v>
      </c>
      <c r="D37" s="354" t="s">
        <v>22388</v>
      </c>
      <c r="E37" s="350"/>
    </row>
    <row r="38">
      <c r="D38" s="359"/>
      <c r="E38" s="360"/>
    </row>
    <row r="39">
      <c r="D39" s="359"/>
      <c r="E39" s="360"/>
    </row>
    <row r="40">
      <c r="D40" s="359"/>
      <c r="E40" s="360"/>
    </row>
    <row r="41">
      <c r="D41" s="359"/>
      <c r="E41" s="360"/>
    </row>
    <row r="42">
      <c r="D42" s="359"/>
      <c r="E42" s="360"/>
    </row>
    <row r="43">
      <c r="D43" s="359"/>
      <c r="E43" s="360"/>
    </row>
    <row r="44">
      <c r="D44" s="359"/>
      <c r="E44" s="360"/>
    </row>
    <row r="45">
      <c r="D45" s="359"/>
      <c r="E45" s="360"/>
    </row>
    <row r="46">
      <c r="D46" s="359"/>
      <c r="E46" s="360"/>
    </row>
    <row r="47">
      <c r="D47" s="359"/>
      <c r="E47" s="360"/>
    </row>
    <row r="48">
      <c r="D48" s="359"/>
      <c r="E48" s="360"/>
    </row>
    <row r="49">
      <c r="D49" s="359"/>
      <c r="E49" s="360"/>
    </row>
    <row r="50">
      <c r="D50" s="359"/>
      <c r="E50" s="360"/>
    </row>
    <row r="51">
      <c r="D51" s="359"/>
      <c r="E51" s="360"/>
    </row>
    <row r="52">
      <c r="D52" s="359"/>
      <c r="E52" s="360"/>
    </row>
    <row r="53">
      <c r="D53" s="359"/>
      <c r="E53" s="360"/>
    </row>
    <row r="54">
      <c r="D54" s="359"/>
      <c r="E54" s="360"/>
    </row>
    <row r="55">
      <c r="D55" s="359"/>
      <c r="E55" s="360"/>
    </row>
    <row r="56">
      <c r="D56" s="359"/>
      <c r="E56" s="360"/>
    </row>
    <row r="57">
      <c r="D57" s="359"/>
      <c r="E57" s="360"/>
    </row>
    <row r="58">
      <c r="D58" s="359"/>
      <c r="E58" s="360"/>
    </row>
    <row r="59">
      <c r="D59" s="359"/>
      <c r="E59" s="360"/>
    </row>
    <row r="60">
      <c r="D60" s="359"/>
      <c r="E60" s="360"/>
    </row>
    <row r="61">
      <c r="D61" s="359"/>
      <c r="E61" s="360"/>
    </row>
    <row r="62">
      <c r="D62" s="359"/>
      <c r="E62" s="360"/>
    </row>
    <row r="63">
      <c r="D63" s="359"/>
      <c r="E63" s="360"/>
    </row>
    <row r="64">
      <c r="D64" s="359"/>
      <c r="E64" s="360"/>
    </row>
    <row r="65">
      <c r="D65" s="359"/>
      <c r="E65" s="360"/>
    </row>
    <row r="66">
      <c r="D66" s="359"/>
      <c r="E66" s="360"/>
    </row>
    <row r="67">
      <c r="D67" s="359"/>
      <c r="E67" s="360"/>
    </row>
    <row r="68">
      <c r="D68" s="359"/>
      <c r="E68" s="360"/>
    </row>
    <row r="69">
      <c r="D69" s="359"/>
      <c r="E69" s="360"/>
    </row>
    <row r="70">
      <c r="D70" s="359"/>
      <c r="E70" s="360"/>
    </row>
    <row r="71">
      <c r="D71" s="359"/>
      <c r="E71" s="360"/>
    </row>
    <row r="72">
      <c r="D72" s="359"/>
      <c r="E72" s="360"/>
    </row>
    <row r="73">
      <c r="D73" s="359"/>
      <c r="E73" s="360"/>
    </row>
    <row r="74">
      <c r="D74" s="359"/>
      <c r="E74" s="360"/>
    </row>
    <row r="75">
      <c r="D75" s="359"/>
      <c r="E75" s="360"/>
    </row>
    <row r="76">
      <c r="D76" s="359"/>
      <c r="E76" s="360"/>
    </row>
    <row r="77">
      <c r="D77" s="359"/>
      <c r="E77" s="360"/>
    </row>
    <row r="78">
      <c r="D78" s="359"/>
      <c r="E78" s="360"/>
    </row>
    <row r="79">
      <c r="D79" s="359"/>
      <c r="E79" s="360"/>
    </row>
    <row r="80">
      <c r="D80" s="359"/>
      <c r="E80" s="360"/>
    </row>
    <row r="81">
      <c r="D81" s="359"/>
      <c r="E81" s="360"/>
    </row>
    <row r="82">
      <c r="D82" s="359"/>
      <c r="E82" s="360"/>
    </row>
    <row r="83">
      <c r="D83" s="359"/>
      <c r="E83" s="360"/>
    </row>
    <row r="84">
      <c r="D84" s="359"/>
      <c r="E84" s="360"/>
    </row>
    <row r="85">
      <c r="D85" s="359"/>
      <c r="E85" s="360"/>
    </row>
    <row r="86">
      <c r="D86" s="359"/>
      <c r="E86" s="360"/>
    </row>
    <row r="87">
      <c r="D87" s="359"/>
      <c r="E87" s="360"/>
    </row>
    <row r="88">
      <c r="D88" s="359"/>
      <c r="E88" s="360"/>
    </row>
    <row r="89">
      <c r="D89" s="359"/>
      <c r="E89" s="360"/>
    </row>
    <row r="90">
      <c r="D90" s="359"/>
      <c r="E90" s="360"/>
    </row>
    <row r="91">
      <c r="D91" s="359"/>
      <c r="E91" s="360"/>
    </row>
    <row r="92">
      <c r="D92" s="359"/>
      <c r="E92" s="360"/>
    </row>
    <row r="93">
      <c r="D93" s="359"/>
      <c r="E93" s="360"/>
    </row>
    <row r="94">
      <c r="D94" s="359"/>
      <c r="E94" s="360"/>
    </row>
    <row r="95">
      <c r="D95" s="359"/>
      <c r="E95" s="360"/>
    </row>
    <row r="96">
      <c r="D96" s="359"/>
      <c r="E96" s="360"/>
    </row>
    <row r="97">
      <c r="D97" s="359"/>
      <c r="E97" s="360"/>
    </row>
    <row r="98">
      <c r="D98" s="359"/>
      <c r="E98" s="360"/>
    </row>
    <row r="99">
      <c r="D99" s="359"/>
      <c r="E99" s="360"/>
    </row>
    <row r="100">
      <c r="D100" s="359"/>
      <c r="E100" s="360"/>
    </row>
    <row r="101">
      <c r="D101" s="359"/>
      <c r="E101" s="360"/>
    </row>
    <row r="102">
      <c r="D102" s="359"/>
      <c r="E102" s="360"/>
    </row>
    <row r="103">
      <c r="D103" s="359"/>
      <c r="E103" s="360"/>
    </row>
    <row r="104">
      <c r="D104" s="359"/>
      <c r="E104" s="360"/>
    </row>
    <row r="105">
      <c r="D105" s="359"/>
      <c r="E105" s="360"/>
    </row>
    <row r="106">
      <c r="D106" s="359"/>
      <c r="E106" s="360"/>
    </row>
    <row r="107">
      <c r="D107" s="359"/>
      <c r="E107" s="360"/>
    </row>
    <row r="108">
      <c r="D108" s="359"/>
      <c r="E108" s="360"/>
    </row>
    <row r="109">
      <c r="D109" s="359"/>
      <c r="E109" s="360"/>
    </row>
    <row r="110">
      <c r="D110" s="359"/>
      <c r="E110" s="360"/>
    </row>
    <row r="111">
      <c r="D111" s="359"/>
      <c r="E111" s="360"/>
    </row>
    <row r="112">
      <c r="D112" s="359"/>
      <c r="E112" s="360"/>
    </row>
    <row r="113">
      <c r="D113" s="359"/>
      <c r="E113" s="360"/>
    </row>
    <row r="114">
      <c r="D114" s="359"/>
      <c r="E114" s="360"/>
    </row>
    <row r="115">
      <c r="D115" s="359"/>
      <c r="E115" s="360"/>
    </row>
    <row r="116">
      <c r="D116" s="359"/>
      <c r="E116" s="360"/>
    </row>
    <row r="117">
      <c r="D117" s="359"/>
      <c r="E117" s="360"/>
    </row>
    <row r="118">
      <c r="D118" s="359"/>
      <c r="E118" s="360"/>
    </row>
    <row r="119">
      <c r="D119" s="359"/>
      <c r="E119" s="360"/>
    </row>
    <row r="120">
      <c r="D120" s="359"/>
      <c r="E120" s="360"/>
    </row>
    <row r="121">
      <c r="D121" s="359"/>
      <c r="E121" s="360"/>
    </row>
    <row r="122">
      <c r="D122" s="359"/>
      <c r="E122" s="360"/>
    </row>
    <row r="123">
      <c r="D123" s="359"/>
      <c r="E123" s="360"/>
    </row>
    <row r="124">
      <c r="D124" s="359"/>
      <c r="E124" s="360"/>
    </row>
    <row r="125">
      <c r="D125" s="359"/>
      <c r="E125" s="360"/>
    </row>
    <row r="126">
      <c r="D126" s="359"/>
      <c r="E126" s="360"/>
    </row>
    <row r="127">
      <c r="D127" s="359"/>
      <c r="E127" s="360"/>
    </row>
    <row r="128">
      <c r="D128" s="359"/>
      <c r="E128" s="360"/>
    </row>
    <row r="129">
      <c r="D129" s="359"/>
      <c r="E129" s="360"/>
    </row>
    <row r="130">
      <c r="D130" s="359"/>
      <c r="E130" s="360"/>
    </row>
    <row r="131">
      <c r="D131" s="359"/>
      <c r="E131" s="360"/>
    </row>
    <row r="132">
      <c r="D132" s="359"/>
      <c r="E132" s="360"/>
    </row>
    <row r="133">
      <c r="D133" s="359"/>
      <c r="E133" s="360"/>
    </row>
    <row r="134">
      <c r="D134" s="359"/>
      <c r="E134" s="360"/>
    </row>
    <row r="135">
      <c r="D135" s="359"/>
      <c r="E135" s="360"/>
    </row>
    <row r="136">
      <c r="D136" s="359"/>
      <c r="E136" s="360"/>
    </row>
    <row r="137">
      <c r="D137" s="359"/>
      <c r="E137" s="360"/>
    </row>
    <row r="138">
      <c r="D138" s="359"/>
      <c r="E138" s="360"/>
    </row>
    <row r="139">
      <c r="D139" s="359"/>
      <c r="E139" s="360"/>
    </row>
    <row r="140">
      <c r="D140" s="359"/>
      <c r="E140" s="360"/>
    </row>
    <row r="141">
      <c r="D141" s="359"/>
      <c r="E141" s="360"/>
    </row>
    <row r="142">
      <c r="D142" s="359"/>
      <c r="E142" s="360"/>
    </row>
    <row r="143">
      <c r="D143" s="359"/>
      <c r="E143" s="360"/>
    </row>
    <row r="144">
      <c r="D144" s="359"/>
      <c r="E144" s="360"/>
    </row>
    <row r="145">
      <c r="D145" s="359"/>
      <c r="E145" s="360"/>
    </row>
    <row r="146">
      <c r="D146" s="359"/>
      <c r="E146" s="360"/>
    </row>
    <row r="147">
      <c r="D147" s="359"/>
      <c r="E147" s="360"/>
    </row>
    <row r="148">
      <c r="D148" s="359"/>
      <c r="E148" s="360"/>
    </row>
    <row r="149">
      <c r="D149" s="359"/>
      <c r="E149" s="360"/>
    </row>
    <row r="150">
      <c r="D150" s="359"/>
      <c r="E150" s="360"/>
    </row>
    <row r="151">
      <c r="D151" s="359"/>
      <c r="E151" s="360"/>
    </row>
    <row r="152">
      <c r="D152" s="359"/>
      <c r="E152" s="360"/>
    </row>
    <row r="153">
      <c r="D153" s="359"/>
      <c r="E153" s="360"/>
    </row>
    <row r="154">
      <c r="D154" s="359"/>
      <c r="E154" s="360"/>
    </row>
    <row r="155">
      <c r="D155" s="359"/>
      <c r="E155" s="360"/>
    </row>
    <row r="156">
      <c r="D156" s="359"/>
      <c r="E156" s="360"/>
    </row>
    <row r="157">
      <c r="D157" s="359"/>
      <c r="E157" s="360"/>
    </row>
    <row r="158">
      <c r="D158" s="359"/>
      <c r="E158" s="360"/>
    </row>
    <row r="159">
      <c r="D159" s="359"/>
      <c r="E159" s="360"/>
    </row>
    <row r="160">
      <c r="D160" s="359"/>
      <c r="E160" s="360"/>
    </row>
    <row r="161">
      <c r="D161" s="359"/>
      <c r="E161" s="360"/>
    </row>
    <row r="162">
      <c r="D162" s="359"/>
      <c r="E162" s="360"/>
    </row>
    <row r="163">
      <c r="D163" s="359"/>
      <c r="E163" s="360"/>
    </row>
    <row r="164">
      <c r="D164" s="359"/>
      <c r="E164" s="360"/>
    </row>
    <row r="165">
      <c r="D165" s="359"/>
      <c r="E165" s="360"/>
    </row>
    <row r="166">
      <c r="D166" s="359"/>
      <c r="E166" s="360"/>
    </row>
    <row r="167">
      <c r="D167" s="359"/>
      <c r="E167" s="360"/>
    </row>
    <row r="168">
      <c r="D168" s="359"/>
      <c r="E168" s="360"/>
    </row>
    <row r="169">
      <c r="D169" s="359"/>
      <c r="E169" s="360"/>
    </row>
    <row r="170">
      <c r="D170" s="359"/>
      <c r="E170" s="360"/>
    </row>
    <row r="171">
      <c r="D171" s="359"/>
      <c r="E171" s="360"/>
    </row>
    <row r="172">
      <c r="D172" s="359"/>
      <c r="E172" s="360"/>
    </row>
    <row r="173">
      <c r="D173" s="359"/>
      <c r="E173" s="360"/>
    </row>
    <row r="174">
      <c r="D174" s="359"/>
      <c r="E174" s="360"/>
    </row>
    <row r="175">
      <c r="D175" s="359"/>
      <c r="E175" s="360"/>
    </row>
    <row r="176">
      <c r="D176" s="359"/>
      <c r="E176" s="360"/>
    </row>
    <row r="177">
      <c r="D177" s="359"/>
      <c r="E177" s="360"/>
    </row>
    <row r="178">
      <c r="D178" s="359"/>
      <c r="E178" s="360"/>
    </row>
    <row r="179">
      <c r="D179" s="359"/>
      <c r="E179" s="360"/>
    </row>
    <row r="180">
      <c r="D180" s="359"/>
      <c r="E180" s="360"/>
    </row>
    <row r="181">
      <c r="D181" s="359"/>
      <c r="E181" s="360"/>
    </row>
    <row r="182">
      <c r="D182" s="359"/>
      <c r="E182" s="360"/>
    </row>
    <row r="183">
      <c r="D183" s="359"/>
      <c r="E183" s="360"/>
    </row>
    <row r="184">
      <c r="D184" s="359"/>
      <c r="E184" s="360"/>
    </row>
    <row r="185">
      <c r="D185" s="359"/>
      <c r="E185" s="360"/>
    </row>
    <row r="186">
      <c r="D186" s="359"/>
      <c r="E186" s="360"/>
    </row>
    <row r="187">
      <c r="D187" s="359"/>
      <c r="E187" s="360"/>
    </row>
    <row r="188">
      <c r="D188" s="359"/>
      <c r="E188" s="360"/>
    </row>
    <row r="189">
      <c r="D189" s="359"/>
      <c r="E189" s="360"/>
    </row>
    <row r="190">
      <c r="D190" s="359"/>
      <c r="E190" s="360"/>
    </row>
    <row r="191">
      <c r="D191" s="359"/>
      <c r="E191" s="360"/>
    </row>
    <row r="192">
      <c r="D192" s="359"/>
      <c r="E192" s="360"/>
    </row>
    <row r="193">
      <c r="D193" s="359"/>
      <c r="E193" s="360"/>
    </row>
    <row r="194">
      <c r="D194" s="359"/>
      <c r="E194" s="360"/>
    </row>
    <row r="195">
      <c r="D195" s="359"/>
      <c r="E195" s="360"/>
    </row>
    <row r="196">
      <c r="D196" s="359"/>
      <c r="E196" s="360"/>
    </row>
    <row r="197">
      <c r="D197" s="359"/>
      <c r="E197" s="360"/>
    </row>
    <row r="198">
      <c r="D198" s="359"/>
      <c r="E198" s="360"/>
    </row>
    <row r="199">
      <c r="D199" s="359"/>
      <c r="E199" s="360"/>
    </row>
    <row r="200">
      <c r="D200" s="359"/>
      <c r="E200" s="360"/>
    </row>
    <row r="201">
      <c r="D201" s="359"/>
      <c r="E201" s="360"/>
    </row>
    <row r="202">
      <c r="D202" s="359"/>
      <c r="E202" s="360"/>
    </row>
    <row r="203">
      <c r="D203" s="359"/>
      <c r="E203" s="360"/>
    </row>
    <row r="204">
      <c r="D204" s="359"/>
      <c r="E204" s="360"/>
    </row>
    <row r="205">
      <c r="D205" s="359"/>
      <c r="E205" s="360"/>
    </row>
    <row r="206">
      <c r="D206" s="359"/>
      <c r="E206" s="360"/>
    </row>
    <row r="207">
      <c r="D207" s="359"/>
      <c r="E207" s="360"/>
    </row>
    <row r="208">
      <c r="D208" s="359"/>
      <c r="E208" s="360"/>
    </row>
    <row r="209">
      <c r="D209" s="359"/>
      <c r="E209" s="360"/>
    </row>
    <row r="210">
      <c r="D210" s="359"/>
      <c r="E210" s="360"/>
    </row>
    <row r="211">
      <c r="D211" s="359"/>
      <c r="E211" s="360"/>
    </row>
    <row r="212">
      <c r="D212" s="359"/>
      <c r="E212" s="360"/>
    </row>
    <row r="213">
      <c r="D213" s="359"/>
      <c r="E213" s="360"/>
    </row>
    <row r="214">
      <c r="D214" s="359"/>
      <c r="E214" s="360"/>
    </row>
    <row r="215">
      <c r="D215" s="359"/>
      <c r="E215" s="360"/>
    </row>
    <row r="216">
      <c r="D216" s="359"/>
      <c r="E216" s="360"/>
    </row>
    <row r="217">
      <c r="D217" s="359"/>
      <c r="E217" s="360"/>
    </row>
    <row r="218">
      <c r="D218" s="359"/>
      <c r="E218" s="360"/>
    </row>
    <row r="219">
      <c r="D219" s="359"/>
      <c r="E219" s="360"/>
    </row>
    <row r="220">
      <c r="D220" s="359"/>
      <c r="E220" s="360"/>
    </row>
    <row r="221">
      <c r="D221" s="359"/>
      <c r="E221" s="360"/>
    </row>
    <row r="222">
      <c r="D222" s="359"/>
      <c r="E222" s="360"/>
    </row>
    <row r="223">
      <c r="D223" s="359"/>
      <c r="E223" s="360"/>
    </row>
    <row r="224">
      <c r="D224" s="359"/>
      <c r="E224" s="360"/>
    </row>
    <row r="225">
      <c r="D225" s="359"/>
      <c r="E225" s="360"/>
    </row>
    <row r="226">
      <c r="D226" s="359"/>
      <c r="E226" s="360"/>
    </row>
    <row r="227">
      <c r="D227" s="359"/>
      <c r="E227" s="360"/>
    </row>
    <row r="228">
      <c r="D228" s="359"/>
      <c r="E228" s="360"/>
    </row>
    <row r="229">
      <c r="D229" s="359"/>
      <c r="E229" s="360"/>
    </row>
    <row r="230">
      <c r="D230" s="359"/>
      <c r="E230" s="360"/>
    </row>
    <row r="231">
      <c r="D231" s="359"/>
      <c r="E231" s="360"/>
    </row>
    <row r="232">
      <c r="D232" s="359"/>
      <c r="E232" s="360"/>
    </row>
    <row r="233">
      <c r="D233" s="359"/>
      <c r="E233" s="360"/>
    </row>
    <row r="234">
      <c r="D234" s="359"/>
      <c r="E234" s="360"/>
    </row>
    <row r="235">
      <c r="D235" s="359"/>
      <c r="E235" s="360"/>
    </row>
    <row r="236">
      <c r="D236" s="359"/>
      <c r="E236" s="360"/>
    </row>
    <row r="237">
      <c r="D237" s="359"/>
      <c r="E237" s="360"/>
    </row>
    <row r="238">
      <c r="D238" s="359"/>
      <c r="E238" s="360"/>
    </row>
    <row r="239">
      <c r="D239" s="359"/>
      <c r="E239" s="360"/>
    </row>
    <row r="240">
      <c r="D240" s="359"/>
      <c r="E240" s="360"/>
    </row>
    <row r="241">
      <c r="D241" s="359"/>
      <c r="E241" s="360"/>
    </row>
    <row r="242">
      <c r="D242" s="359"/>
      <c r="E242" s="360"/>
    </row>
    <row r="243">
      <c r="D243" s="359"/>
      <c r="E243" s="360"/>
    </row>
    <row r="244">
      <c r="D244" s="359"/>
      <c r="E244" s="360"/>
    </row>
    <row r="245">
      <c r="D245" s="359"/>
      <c r="E245" s="360"/>
    </row>
    <row r="246">
      <c r="D246" s="359"/>
      <c r="E246" s="360"/>
    </row>
    <row r="247">
      <c r="D247" s="359"/>
      <c r="E247" s="360"/>
    </row>
    <row r="248">
      <c r="D248" s="359"/>
      <c r="E248" s="360"/>
    </row>
    <row r="249">
      <c r="D249" s="359"/>
      <c r="E249" s="360"/>
    </row>
    <row r="250">
      <c r="D250" s="359"/>
      <c r="E250" s="360"/>
    </row>
    <row r="251">
      <c r="D251" s="359"/>
      <c r="E251" s="360"/>
    </row>
    <row r="252">
      <c r="D252" s="359"/>
      <c r="E252" s="360"/>
    </row>
    <row r="253">
      <c r="D253" s="359"/>
      <c r="E253" s="360"/>
    </row>
    <row r="254">
      <c r="D254" s="359"/>
      <c r="E254" s="360"/>
    </row>
    <row r="255">
      <c r="D255" s="359"/>
      <c r="E255" s="360"/>
    </row>
    <row r="256">
      <c r="D256" s="359"/>
      <c r="E256" s="360"/>
    </row>
    <row r="257">
      <c r="D257" s="359"/>
      <c r="E257" s="360"/>
    </row>
    <row r="258">
      <c r="D258" s="359"/>
      <c r="E258" s="360"/>
    </row>
    <row r="259">
      <c r="D259" s="359"/>
      <c r="E259" s="360"/>
    </row>
    <row r="260">
      <c r="D260" s="359"/>
      <c r="E260" s="360"/>
    </row>
    <row r="261">
      <c r="D261" s="359"/>
      <c r="E261" s="360"/>
    </row>
    <row r="262">
      <c r="D262" s="359"/>
      <c r="E262" s="360"/>
    </row>
    <row r="263">
      <c r="D263" s="359"/>
      <c r="E263" s="360"/>
    </row>
    <row r="264">
      <c r="D264" s="359"/>
      <c r="E264" s="360"/>
    </row>
    <row r="265">
      <c r="D265" s="359"/>
      <c r="E265" s="360"/>
    </row>
    <row r="266">
      <c r="D266" s="359"/>
      <c r="E266" s="360"/>
    </row>
    <row r="267">
      <c r="D267" s="359"/>
      <c r="E267" s="360"/>
    </row>
    <row r="268">
      <c r="D268" s="359"/>
      <c r="E268" s="360"/>
    </row>
    <row r="269">
      <c r="D269" s="359"/>
      <c r="E269" s="360"/>
    </row>
    <row r="270">
      <c r="D270" s="359"/>
      <c r="E270" s="360"/>
    </row>
    <row r="271">
      <c r="D271" s="359"/>
      <c r="E271" s="360"/>
    </row>
    <row r="272">
      <c r="D272" s="359"/>
      <c r="E272" s="360"/>
    </row>
    <row r="273">
      <c r="D273" s="359"/>
      <c r="E273" s="360"/>
    </row>
    <row r="274">
      <c r="D274" s="359"/>
      <c r="E274" s="360"/>
    </row>
    <row r="275">
      <c r="D275" s="359"/>
      <c r="E275" s="360"/>
    </row>
    <row r="276">
      <c r="D276" s="359"/>
      <c r="E276" s="360"/>
    </row>
    <row r="277">
      <c r="D277" s="359"/>
      <c r="E277" s="360"/>
    </row>
    <row r="278">
      <c r="D278" s="359"/>
      <c r="E278" s="360"/>
    </row>
    <row r="279">
      <c r="D279" s="359"/>
      <c r="E279" s="360"/>
    </row>
    <row r="280">
      <c r="D280" s="359"/>
      <c r="E280" s="360"/>
    </row>
    <row r="281">
      <c r="D281" s="359"/>
      <c r="E281" s="360"/>
    </row>
    <row r="282">
      <c r="D282" s="359"/>
      <c r="E282" s="360"/>
    </row>
    <row r="283">
      <c r="D283" s="359"/>
      <c r="E283" s="360"/>
    </row>
    <row r="284">
      <c r="D284" s="359"/>
      <c r="E284" s="360"/>
    </row>
    <row r="285">
      <c r="D285" s="359"/>
      <c r="E285" s="360"/>
    </row>
    <row r="286">
      <c r="D286" s="359"/>
      <c r="E286" s="360"/>
    </row>
    <row r="287">
      <c r="D287" s="359"/>
      <c r="E287" s="360"/>
    </row>
    <row r="288">
      <c r="D288" s="359"/>
      <c r="E288" s="360"/>
    </row>
    <row r="289">
      <c r="D289" s="359"/>
      <c r="E289" s="360"/>
    </row>
    <row r="290">
      <c r="D290" s="359"/>
      <c r="E290" s="360"/>
    </row>
    <row r="291">
      <c r="D291" s="359"/>
      <c r="E291" s="360"/>
    </row>
    <row r="292">
      <c r="D292" s="359"/>
      <c r="E292" s="360"/>
    </row>
    <row r="293">
      <c r="D293" s="359"/>
      <c r="E293" s="360"/>
    </row>
    <row r="294">
      <c r="D294" s="359"/>
      <c r="E294" s="360"/>
    </row>
    <row r="295">
      <c r="D295" s="359"/>
      <c r="E295" s="360"/>
    </row>
    <row r="296">
      <c r="D296" s="359"/>
      <c r="E296" s="360"/>
    </row>
    <row r="297">
      <c r="D297" s="359"/>
      <c r="E297" s="360"/>
    </row>
    <row r="298">
      <c r="D298" s="359"/>
      <c r="E298" s="360"/>
    </row>
    <row r="299">
      <c r="D299" s="359"/>
      <c r="E299" s="360"/>
    </row>
    <row r="300">
      <c r="D300" s="359"/>
      <c r="E300" s="360"/>
    </row>
    <row r="301">
      <c r="D301" s="359"/>
      <c r="E301" s="360"/>
    </row>
    <row r="302">
      <c r="D302" s="359"/>
      <c r="E302" s="360"/>
    </row>
    <row r="303">
      <c r="D303" s="359"/>
      <c r="E303" s="360"/>
    </row>
    <row r="304">
      <c r="D304" s="359"/>
      <c r="E304" s="360"/>
    </row>
    <row r="305">
      <c r="D305" s="359"/>
      <c r="E305" s="360"/>
    </row>
    <row r="306">
      <c r="D306" s="359"/>
      <c r="E306" s="360"/>
    </row>
    <row r="307">
      <c r="D307" s="359"/>
      <c r="E307" s="360"/>
    </row>
    <row r="308">
      <c r="D308" s="359"/>
      <c r="E308" s="360"/>
    </row>
    <row r="309">
      <c r="D309" s="359"/>
      <c r="E309" s="360"/>
    </row>
    <row r="310">
      <c r="D310" s="359"/>
      <c r="E310" s="360"/>
    </row>
    <row r="311">
      <c r="D311" s="359"/>
      <c r="E311" s="360"/>
    </row>
    <row r="312">
      <c r="D312" s="359"/>
      <c r="E312" s="360"/>
    </row>
    <row r="313">
      <c r="D313" s="359"/>
      <c r="E313" s="360"/>
    </row>
    <row r="314">
      <c r="D314" s="359"/>
      <c r="E314" s="360"/>
    </row>
    <row r="315">
      <c r="D315" s="359"/>
      <c r="E315" s="360"/>
    </row>
    <row r="316">
      <c r="D316" s="359"/>
      <c r="E316" s="360"/>
    </row>
    <row r="317">
      <c r="D317" s="359"/>
      <c r="E317" s="360"/>
    </row>
    <row r="318">
      <c r="D318" s="359"/>
      <c r="E318" s="360"/>
    </row>
    <row r="319">
      <c r="D319" s="359"/>
      <c r="E319" s="360"/>
    </row>
    <row r="320">
      <c r="D320" s="359"/>
      <c r="E320" s="360"/>
    </row>
    <row r="321">
      <c r="D321" s="359"/>
      <c r="E321" s="360"/>
    </row>
    <row r="322">
      <c r="D322" s="359"/>
      <c r="E322" s="360"/>
    </row>
    <row r="323">
      <c r="D323" s="359"/>
      <c r="E323" s="360"/>
    </row>
    <row r="324">
      <c r="D324" s="359"/>
      <c r="E324" s="360"/>
    </row>
    <row r="325">
      <c r="D325" s="359"/>
      <c r="E325" s="360"/>
    </row>
    <row r="326">
      <c r="D326" s="359"/>
      <c r="E326" s="360"/>
    </row>
    <row r="327">
      <c r="D327" s="359"/>
      <c r="E327" s="360"/>
    </row>
    <row r="328">
      <c r="D328" s="359"/>
      <c r="E328" s="360"/>
    </row>
    <row r="329">
      <c r="D329" s="359"/>
      <c r="E329" s="360"/>
    </row>
    <row r="330">
      <c r="D330" s="359"/>
      <c r="E330" s="360"/>
    </row>
    <row r="331">
      <c r="D331" s="359"/>
      <c r="E331" s="360"/>
    </row>
    <row r="332">
      <c r="D332" s="359"/>
      <c r="E332" s="360"/>
    </row>
    <row r="333">
      <c r="D333" s="359"/>
      <c r="E333" s="360"/>
    </row>
    <row r="334">
      <c r="D334" s="359"/>
      <c r="E334" s="360"/>
    </row>
    <row r="335">
      <c r="D335" s="359"/>
      <c r="E335" s="360"/>
    </row>
    <row r="336">
      <c r="D336" s="359"/>
      <c r="E336" s="360"/>
    </row>
    <row r="337">
      <c r="D337" s="359"/>
      <c r="E337" s="360"/>
    </row>
    <row r="338">
      <c r="D338" s="359"/>
      <c r="E338" s="360"/>
    </row>
    <row r="339">
      <c r="D339" s="359"/>
      <c r="E339" s="360"/>
    </row>
    <row r="340">
      <c r="D340" s="359"/>
      <c r="E340" s="360"/>
    </row>
    <row r="341">
      <c r="D341" s="359"/>
      <c r="E341" s="360"/>
    </row>
    <row r="342">
      <c r="D342" s="359"/>
      <c r="E342" s="360"/>
    </row>
    <row r="343">
      <c r="D343" s="359"/>
      <c r="E343" s="360"/>
    </row>
    <row r="344">
      <c r="D344" s="359"/>
      <c r="E344" s="360"/>
    </row>
    <row r="345">
      <c r="D345" s="359"/>
      <c r="E345" s="360"/>
    </row>
    <row r="346">
      <c r="D346" s="359"/>
      <c r="E346" s="360"/>
    </row>
    <row r="347">
      <c r="D347" s="359"/>
      <c r="E347" s="360"/>
    </row>
    <row r="348">
      <c r="D348" s="359"/>
      <c r="E348" s="360"/>
    </row>
    <row r="349">
      <c r="D349" s="359"/>
      <c r="E349" s="360"/>
    </row>
    <row r="350">
      <c r="D350" s="359"/>
      <c r="E350" s="360"/>
    </row>
    <row r="351">
      <c r="D351" s="359"/>
      <c r="E351" s="360"/>
    </row>
    <row r="352">
      <c r="D352" s="359"/>
      <c r="E352" s="360"/>
    </row>
    <row r="353">
      <c r="D353" s="359"/>
      <c r="E353" s="360"/>
    </row>
    <row r="354">
      <c r="D354" s="359"/>
      <c r="E354" s="360"/>
    </row>
    <row r="355">
      <c r="D355" s="359"/>
      <c r="E355" s="360"/>
    </row>
    <row r="356">
      <c r="D356" s="359"/>
      <c r="E356" s="360"/>
    </row>
    <row r="357">
      <c r="D357" s="359"/>
      <c r="E357" s="360"/>
    </row>
    <row r="358">
      <c r="D358" s="359"/>
      <c r="E358" s="360"/>
    </row>
    <row r="359">
      <c r="D359" s="359"/>
      <c r="E359" s="360"/>
    </row>
    <row r="360">
      <c r="D360" s="359"/>
      <c r="E360" s="360"/>
    </row>
    <row r="361">
      <c r="D361" s="359"/>
      <c r="E361" s="360"/>
    </row>
    <row r="362">
      <c r="D362" s="359"/>
      <c r="E362" s="360"/>
    </row>
    <row r="363">
      <c r="D363" s="359"/>
      <c r="E363" s="360"/>
    </row>
    <row r="364">
      <c r="D364" s="359"/>
      <c r="E364" s="360"/>
    </row>
    <row r="365">
      <c r="D365" s="359"/>
      <c r="E365" s="360"/>
    </row>
    <row r="366">
      <c r="D366" s="359"/>
      <c r="E366" s="360"/>
    </row>
    <row r="367">
      <c r="D367" s="359"/>
      <c r="E367" s="360"/>
    </row>
    <row r="368">
      <c r="D368" s="359"/>
      <c r="E368" s="360"/>
    </row>
    <row r="369">
      <c r="D369" s="359"/>
      <c r="E369" s="360"/>
    </row>
    <row r="370">
      <c r="D370" s="359"/>
      <c r="E370" s="360"/>
    </row>
    <row r="371">
      <c r="D371" s="359"/>
      <c r="E371" s="360"/>
    </row>
    <row r="372">
      <c r="D372" s="359"/>
      <c r="E372" s="360"/>
    </row>
    <row r="373">
      <c r="D373" s="359"/>
      <c r="E373" s="360"/>
    </row>
    <row r="374">
      <c r="D374" s="359"/>
      <c r="E374" s="360"/>
    </row>
    <row r="375">
      <c r="D375" s="359"/>
      <c r="E375" s="360"/>
    </row>
    <row r="376">
      <c r="D376" s="359"/>
      <c r="E376" s="360"/>
    </row>
    <row r="377">
      <c r="D377" s="359"/>
      <c r="E377" s="360"/>
    </row>
    <row r="378">
      <c r="D378" s="359"/>
      <c r="E378" s="360"/>
    </row>
    <row r="379">
      <c r="D379" s="359"/>
      <c r="E379" s="360"/>
    </row>
    <row r="380">
      <c r="D380" s="359"/>
      <c r="E380" s="360"/>
    </row>
    <row r="381">
      <c r="D381" s="359"/>
      <c r="E381" s="360"/>
    </row>
    <row r="382">
      <c r="D382" s="359"/>
      <c r="E382" s="360"/>
    </row>
    <row r="383">
      <c r="D383" s="359"/>
      <c r="E383" s="360"/>
    </row>
    <row r="384">
      <c r="D384" s="359"/>
      <c r="E384" s="360"/>
    </row>
    <row r="385">
      <c r="D385" s="359"/>
      <c r="E385" s="360"/>
    </row>
    <row r="386">
      <c r="D386" s="359"/>
      <c r="E386" s="360"/>
    </row>
    <row r="387">
      <c r="D387" s="359"/>
      <c r="E387" s="360"/>
    </row>
    <row r="388">
      <c r="D388" s="359"/>
      <c r="E388" s="360"/>
    </row>
    <row r="389">
      <c r="D389" s="359"/>
      <c r="E389" s="360"/>
    </row>
    <row r="390">
      <c r="D390" s="359"/>
      <c r="E390" s="360"/>
    </row>
    <row r="391">
      <c r="D391" s="359"/>
      <c r="E391" s="360"/>
    </row>
    <row r="392">
      <c r="D392" s="359"/>
      <c r="E392" s="360"/>
    </row>
    <row r="393">
      <c r="D393" s="359"/>
      <c r="E393" s="360"/>
    </row>
    <row r="394">
      <c r="D394" s="359"/>
      <c r="E394" s="360"/>
    </row>
    <row r="395">
      <c r="D395" s="359"/>
      <c r="E395" s="360"/>
    </row>
    <row r="396">
      <c r="D396" s="359"/>
      <c r="E396" s="360"/>
    </row>
    <row r="397">
      <c r="D397" s="359"/>
      <c r="E397" s="360"/>
    </row>
    <row r="398">
      <c r="D398" s="359"/>
      <c r="E398" s="360"/>
    </row>
    <row r="399">
      <c r="D399" s="359"/>
      <c r="E399" s="360"/>
    </row>
    <row r="400">
      <c r="D400" s="359"/>
      <c r="E400" s="360"/>
    </row>
    <row r="401">
      <c r="D401" s="359"/>
      <c r="E401" s="360"/>
    </row>
    <row r="402">
      <c r="D402" s="359"/>
      <c r="E402" s="360"/>
    </row>
    <row r="403">
      <c r="D403" s="359"/>
      <c r="E403" s="360"/>
    </row>
    <row r="404">
      <c r="D404" s="359"/>
      <c r="E404" s="360"/>
    </row>
    <row r="405">
      <c r="D405" s="359"/>
      <c r="E405" s="360"/>
    </row>
    <row r="406">
      <c r="D406" s="359"/>
      <c r="E406" s="360"/>
    </row>
    <row r="407">
      <c r="D407" s="359"/>
      <c r="E407" s="360"/>
    </row>
    <row r="408">
      <c r="D408" s="359"/>
      <c r="E408" s="360"/>
    </row>
    <row r="409">
      <c r="D409" s="359"/>
      <c r="E409" s="360"/>
    </row>
    <row r="410">
      <c r="D410" s="359"/>
      <c r="E410" s="360"/>
    </row>
    <row r="411">
      <c r="D411" s="359"/>
      <c r="E411" s="360"/>
    </row>
    <row r="412">
      <c r="D412" s="359"/>
      <c r="E412" s="360"/>
    </row>
    <row r="413">
      <c r="D413" s="359"/>
      <c r="E413" s="360"/>
    </row>
    <row r="414">
      <c r="D414" s="359"/>
      <c r="E414" s="360"/>
    </row>
    <row r="415">
      <c r="D415" s="359"/>
      <c r="E415" s="360"/>
    </row>
    <row r="416">
      <c r="D416" s="359"/>
      <c r="E416" s="360"/>
    </row>
    <row r="417">
      <c r="D417" s="359"/>
      <c r="E417" s="360"/>
    </row>
    <row r="418">
      <c r="D418" s="359"/>
      <c r="E418" s="360"/>
    </row>
    <row r="419">
      <c r="D419" s="359"/>
      <c r="E419" s="360"/>
    </row>
    <row r="420">
      <c r="D420" s="359"/>
      <c r="E420" s="360"/>
    </row>
    <row r="421">
      <c r="D421" s="359"/>
      <c r="E421" s="360"/>
    </row>
    <row r="422">
      <c r="D422" s="359"/>
      <c r="E422" s="360"/>
    </row>
    <row r="423">
      <c r="D423" s="359"/>
      <c r="E423" s="360"/>
    </row>
    <row r="424">
      <c r="D424" s="359"/>
      <c r="E424" s="360"/>
    </row>
    <row r="425">
      <c r="D425" s="359"/>
      <c r="E425" s="360"/>
    </row>
    <row r="426">
      <c r="D426" s="359"/>
      <c r="E426" s="360"/>
    </row>
    <row r="427">
      <c r="D427" s="359"/>
      <c r="E427" s="360"/>
    </row>
    <row r="428">
      <c r="D428" s="359"/>
      <c r="E428" s="360"/>
    </row>
    <row r="429">
      <c r="D429" s="359"/>
      <c r="E429" s="360"/>
    </row>
    <row r="430">
      <c r="D430" s="359"/>
      <c r="E430" s="360"/>
    </row>
    <row r="431">
      <c r="D431" s="359"/>
      <c r="E431" s="360"/>
    </row>
    <row r="432">
      <c r="D432" s="359"/>
      <c r="E432" s="360"/>
    </row>
    <row r="433">
      <c r="D433" s="359"/>
      <c r="E433" s="360"/>
    </row>
    <row r="434">
      <c r="D434" s="359"/>
      <c r="E434" s="360"/>
    </row>
    <row r="435">
      <c r="D435" s="359"/>
      <c r="E435" s="360"/>
    </row>
    <row r="436">
      <c r="D436" s="359"/>
      <c r="E436" s="360"/>
    </row>
    <row r="437">
      <c r="D437" s="359"/>
      <c r="E437" s="360"/>
    </row>
    <row r="438">
      <c r="D438" s="359"/>
      <c r="E438" s="360"/>
    </row>
    <row r="439">
      <c r="D439" s="359"/>
      <c r="E439" s="360"/>
    </row>
    <row r="440">
      <c r="D440" s="359"/>
      <c r="E440" s="360"/>
    </row>
    <row r="441">
      <c r="D441" s="359"/>
      <c r="E441" s="360"/>
    </row>
    <row r="442">
      <c r="D442" s="359"/>
      <c r="E442" s="360"/>
    </row>
    <row r="443">
      <c r="D443" s="359"/>
      <c r="E443" s="360"/>
    </row>
    <row r="444">
      <c r="D444" s="359"/>
      <c r="E444" s="360"/>
    </row>
    <row r="445">
      <c r="D445" s="359"/>
      <c r="E445" s="360"/>
    </row>
    <row r="446">
      <c r="D446" s="359"/>
      <c r="E446" s="360"/>
    </row>
    <row r="447">
      <c r="D447" s="359"/>
      <c r="E447" s="360"/>
    </row>
    <row r="448">
      <c r="D448" s="359"/>
      <c r="E448" s="360"/>
    </row>
    <row r="449">
      <c r="D449" s="359"/>
      <c r="E449" s="360"/>
    </row>
    <row r="450">
      <c r="D450" s="359"/>
      <c r="E450" s="360"/>
    </row>
    <row r="451">
      <c r="D451" s="359"/>
      <c r="E451" s="360"/>
    </row>
    <row r="452">
      <c r="D452" s="359"/>
      <c r="E452" s="360"/>
    </row>
    <row r="453">
      <c r="D453" s="359"/>
      <c r="E453" s="360"/>
    </row>
    <row r="454">
      <c r="D454" s="359"/>
      <c r="E454" s="360"/>
    </row>
    <row r="455">
      <c r="D455" s="359"/>
      <c r="E455" s="360"/>
    </row>
    <row r="456">
      <c r="D456" s="359"/>
      <c r="E456" s="360"/>
    </row>
    <row r="457">
      <c r="D457" s="359"/>
      <c r="E457" s="360"/>
    </row>
    <row r="458">
      <c r="D458" s="359"/>
      <c r="E458" s="360"/>
    </row>
    <row r="459">
      <c r="D459" s="359"/>
      <c r="E459" s="360"/>
    </row>
    <row r="460">
      <c r="D460" s="359"/>
      <c r="E460" s="360"/>
    </row>
    <row r="461">
      <c r="D461" s="359"/>
      <c r="E461" s="360"/>
    </row>
    <row r="462">
      <c r="D462" s="359"/>
      <c r="E462" s="360"/>
    </row>
    <row r="463">
      <c r="D463" s="359"/>
      <c r="E463" s="360"/>
    </row>
    <row r="464">
      <c r="D464" s="359"/>
      <c r="E464" s="360"/>
    </row>
    <row r="465">
      <c r="D465" s="359"/>
      <c r="E465" s="360"/>
    </row>
    <row r="466">
      <c r="D466" s="359"/>
      <c r="E466" s="360"/>
    </row>
    <row r="467">
      <c r="D467" s="359"/>
      <c r="E467" s="360"/>
    </row>
    <row r="468">
      <c r="D468" s="359"/>
      <c r="E468" s="360"/>
    </row>
    <row r="469">
      <c r="D469" s="359"/>
      <c r="E469" s="360"/>
    </row>
    <row r="470">
      <c r="D470" s="359"/>
      <c r="E470" s="360"/>
    </row>
    <row r="471">
      <c r="D471" s="359"/>
      <c r="E471" s="360"/>
    </row>
    <row r="472">
      <c r="D472" s="359"/>
      <c r="E472" s="360"/>
    </row>
    <row r="473">
      <c r="D473" s="359"/>
      <c r="E473" s="360"/>
    </row>
    <row r="474">
      <c r="D474" s="359"/>
      <c r="E474" s="360"/>
    </row>
    <row r="475">
      <c r="D475" s="359"/>
      <c r="E475" s="360"/>
    </row>
    <row r="476">
      <c r="D476" s="359"/>
      <c r="E476" s="360"/>
    </row>
    <row r="477">
      <c r="D477" s="359"/>
      <c r="E477" s="360"/>
    </row>
    <row r="478">
      <c r="D478" s="359"/>
      <c r="E478" s="360"/>
    </row>
    <row r="479">
      <c r="D479" s="359"/>
      <c r="E479" s="360"/>
    </row>
    <row r="480">
      <c r="D480" s="359"/>
      <c r="E480" s="360"/>
    </row>
    <row r="481">
      <c r="D481" s="359"/>
      <c r="E481" s="360"/>
    </row>
    <row r="482">
      <c r="D482" s="359"/>
      <c r="E482" s="360"/>
    </row>
    <row r="483">
      <c r="D483" s="359"/>
      <c r="E483" s="360"/>
    </row>
    <row r="484">
      <c r="D484" s="359"/>
      <c r="E484" s="360"/>
    </row>
    <row r="485">
      <c r="D485" s="359"/>
      <c r="E485" s="360"/>
    </row>
    <row r="486">
      <c r="D486" s="359"/>
      <c r="E486" s="360"/>
    </row>
    <row r="487">
      <c r="D487" s="359"/>
      <c r="E487" s="360"/>
    </row>
    <row r="488">
      <c r="D488" s="359"/>
      <c r="E488" s="360"/>
    </row>
    <row r="489">
      <c r="D489" s="359"/>
      <c r="E489" s="360"/>
    </row>
    <row r="490">
      <c r="D490" s="359"/>
      <c r="E490" s="360"/>
    </row>
    <row r="491">
      <c r="D491" s="359"/>
      <c r="E491" s="360"/>
    </row>
    <row r="492">
      <c r="D492" s="359"/>
      <c r="E492" s="360"/>
    </row>
    <row r="493">
      <c r="D493" s="359"/>
      <c r="E493" s="360"/>
    </row>
    <row r="494">
      <c r="D494" s="359"/>
      <c r="E494" s="360"/>
    </row>
    <row r="495">
      <c r="D495" s="359"/>
      <c r="E495" s="360"/>
    </row>
    <row r="496">
      <c r="D496" s="359"/>
      <c r="E496" s="360"/>
    </row>
    <row r="497">
      <c r="D497" s="359"/>
      <c r="E497" s="360"/>
    </row>
    <row r="498">
      <c r="D498" s="359"/>
      <c r="E498" s="360"/>
    </row>
    <row r="499">
      <c r="D499" s="359"/>
      <c r="E499" s="360"/>
    </row>
    <row r="500">
      <c r="D500" s="359"/>
      <c r="E500" s="360"/>
    </row>
    <row r="501">
      <c r="D501" s="359"/>
      <c r="E501" s="360"/>
    </row>
    <row r="502">
      <c r="D502" s="359"/>
      <c r="E502" s="360"/>
    </row>
    <row r="503">
      <c r="D503" s="359"/>
      <c r="E503" s="360"/>
    </row>
    <row r="504">
      <c r="D504" s="359"/>
      <c r="E504" s="360"/>
    </row>
    <row r="505">
      <c r="D505" s="359"/>
      <c r="E505" s="360"/>
    </row>
    <row r="506">
      <c r="D506" s="359"/>
      <c r="E506" s="360"/>
    </row>
    <row r="507">
      <c r="D507" s="359"/>
      <c r="E507" s="360"/>
    </row>
    <row r="508">
      <c r="D508" s="359"/>
      <c r="E508" s="360"/>
    </row>
    <row r="509">
      <c r="D509" s="359"/>
      <c r="E509" s="360"/>
    </row>
    <row r="510">
      <c r="D510" s="359"/>
      <c r="E510" s="360"/>
    </row>
    <row r="511">
      <c r="D511" s="359"/>
      <c r="E511" s="360"/>
    </row>
    <row r="512">
      <c r="D512" s="359"/>
      <c r="E512" s="360"/>
    </row>
    <row r="513">
      <c r="D513" s="359"/>
      <c r="E513" s="360"/>
    </row>
    <row r="514">
      <c r="D514" s="359"/>
      <c r="E514" s="360"/>
    </row>
    <row r="515">
      <c r="D515" s="359"/>
      <c r="E515" s="360"/>
    </row>
    <row r="516">
      <c r="D516" s="359"/>
      <c r="E516" s="360"/>
    </row>
    <row r="517">
      <c r="D517" s="359"/>
      <c r="E517" s="360"/>
    </row>
    <row r="518">
      <c r="D518" s="359"/>
      <c r="E518" s="360"/>
    </row>
    <row r="519">
      <c r="D519" s="359"/>
      <c r="E519" s="360"/>
    </row>
    <row r="520">
      <c r="D520" s="359"/>
      <c r="E520" s="360"/>
    </row>
    <row r="521">
      <c r="D521" s="359"/>
      <c r="E521" s="360"/>
    </row>
    <row r="522">
      <c r="D522" s="359"/>
      <c r="E522" s="360"/>
    </row>
    <row r="523">
      <c r="D523" s="359"/>
      <c r="E523" s="360"/>
    </row>
    <row r="524">
      <c r="D524" s="359"/>
      <c r="E524" s="360"/>
    </row>
    <row r="525">
      <c r="D525" s="359"/>
      <c r="E525" s="360"/>
    </row>
    <row r="526">
      <c r="D526" s="359"/>
      <c r="E526" s="360"/>
    </row>
    <row r="527">
      <c r="D527" s="359"/>
      <c r="E527" s="360"/>
    </row>
    <row r="528">
      <c r="D528" s="359"/>
      <c r="E528" s="360"/>
    </row>
    <row r="529">
      <c r="D529" s="359"/>
      <c r="E529" s="360"/>
    </row>
    <row r="530">
      <c r="D530" s="359"/>
      <c r="E530" s="360"/>
    </row>
    <row r="531">
      <c r="D531" s="359"/>
      <c r="E531" s="360"/>
    </row>
    <row r="532">
      <c r="D532" s="359"/>
      <c r="E532" s="360"/>
    </row>
    <row r="533">
      <c r="D533" s="359"/>
      <c r="E533" s="360"/>
    </row>
    <row r="534">
      <c r="D534" s="359"/>
      <c r="E534" s="360"/>
    </row>
    <row r="535">
      <c r="D535" s="359"/>
      <c r="E535" s="360"/>
    </row>
    <row r="536">
      <c r="D536" s="359"/>
      <c r="E536" s="360"/>
    </row>
    <row r="537">
      <c r="D537" s="359"/>
      <c r="E537" s="360"/>
    </row>
    <row r="538">
      <c r="D538" s="359"/>
      <c r="E538" s="360"/>
    </row>
    <row r="539">
      <c r="D539" s="359"/>
      <c r="E539" s="360"/>
    </row>
    <row r="540">
      <c r="D540" s="359"/>
      <c r="E540" s="360"/>
    </row>
    <row r="541">
      <c r="D541" s="359"/>
      <c r="E541" s="360"/>
    </row>
    <row r="542">
      <c r="D542" s="359"/>
      <c r="E542" s="360"/>
    </row>
    <row r="543">
      <c r="D543" s="359"/>
      <c r="E543" s="360"/>
    </row>
    <row r="544">
      <c r="D544" s="359"/>
      <c r="E544" s="360"/>
    </row>
    <row r="545">
      <c r="D545" s="359"/>
      <c r="E545" s="360"/>
    </row>
    <row r="546">
      <c r="D546" s="359"/>
      <c r="E546" s="360"/>
    </row>
    <row r="547">
      <c r="D547" s="359"/>
      <c r="E547" s="360"/>
    </row>
    <row r="548">
      <c r="D548" s="359"/>
      <c r="E548" s="360"/>
    </row>
    <row r="549">
      <c r="D549" s="359"/>
      <c r="E549" s="360"/>
    </row>
    <row r="550">
      <c r="D550" s="359"/>
      <c r="E550" s="360"/>
    </row>
    <row r="551">
      <c r="D551" s="359"/>
      <c r="E551" s="360"/>
    </row>
    <row r="552">
      <c r="D552" s="359"/>
      <c r="E552" s="360"/>
    </row>
    <row r="553">
      <c r="D553" s="359"/>
      <c r="E553" s="360"/>
    </row>
    <row r="554">
      <c r="D554" s="359"/>
      <c r="E554" s="360"/>
    </row>
    <row r="555">
      <c r="D555" s="359"/>
      <c r="E555" s="360"/>
    </row>
    <row r="556">
      <c r="D556" s="359"/>
      <c r="E556" s="360"/>
    </row>
    <row r="557">
      <c r="D557" s="359"/>
      <c r="E557" s="360"/>
    </row>
    <row r="558">
      <c r="D558" s="359"/>
      <c r="E558" s="360"/>
    </row>
    <row r="559">
      <c r="D559" s="359"/>
      <c r="E559" s="360"/>
    </row>
    <row r="560">
      <c r="D560" s="359"/>
      <c r="E560" s="360"/>
    </row>
    <row r="561">
      <c r="D561" s="359"/>
      <c r="E561" s="360"/>
    </row>
    <row r="562">
      <c r="D562" s="359"/>
      <c r="E562" s="360"/>
    </row>
    <row r="563">
      <c r="D563" s="359"/>
      <c r="E563" s="360"/>
    </row>
    <row r="564">
      <c r="D564" s="359"/>
      <c r="E564" s="360"/>
    </row>
    <row r="565">
      <c r="D565" s="359"/>
      <c r="E565" s="360"/>
    </row>
    <row r="566">
      <c r="D566" s="359"/>
      <c r="E566" s="360"/>
    </row>
    <row r="567">
      <c r="D567" s="359"/>
      <c r="E567" s="360"/>
    </row>
    <row r="568">
      <c r="D568" s="359"/>
      <c r="E568" s="360"/>
    </row>
    <row r="569">
      <c r="D569" s="359"/>
      <c r="E569" s="360"/>
    </row>
    <row r="570">
      <c r="D570" s="359"/>
      <c r="E570" s="360"/>
    </row>
    <row r="571">
      <c r="D571" s="359"/>
      <c r="E571" s="360"/>
    </row>
    <row r="572">
      <c r="D572" s="359"/>
      <c r="E572" s="360"/>
    </row>
    <row r="573">
      <c r="D573" s="359"/>
      <c r="E573" s="360"/>
    </row>
    <row r="574">
      <c r="D574" s="359"/>
      <c r="E574" s="360"/>
    </row>
    <row r="575">
      <c r="D575" s="359"/>
      <c r="E575" s="360"/>
    </row>
    <row r="576">
      <c r="D576" s="359"/>
      <c r="E576" s="360"/>
    </row>
    <row r="577">
      <c r="D577" s="359"/>
      <c r="E577" s="360"/>
    </row>
    <row r="578">
      <c r="D578" s="359"/>
      <c r="E578" s="360"/>
    </row>
    <row r="579">
      <c r="D579" s="359"/>
      <c r="E579" s="360"/>
    </row>
    <row r="580">
      <c r="D580" s="359"/>
      <c r="E580" s="360"/>
    </row>
    <row r="581">
      <c r="D581" s="359"/>
      <c r="E581" s="360"/>
    </row>
    <row r="582">
      <c r="D582" s="359"/>
      <c r="E582" s="360"/>
    </row>
    <row r="583">
      <c r="D583" s="359"/>
      <c r="E583" s="360"/>
    </row>
    <row r="584">
      <c r="D584" s="359"/>
      <c r="E584" s="360"/>
    </row>
    <row r="585">
      <c r="D585" s="359"/>
      <c r="E585" s="360"/>
    </row>
    <row r="586">
      <c r="D586" s="359"/>
      <c r="E586" s="360"/>
    </row>
    <row r="587">
      <c r="D587" s="359"/>
      <c r="E587" s="360"/>
    </row>
    <row r="588">
      <c r="D588" s="359"/>
      <c r="E588" s="360"/>
    </row>
    <row r="589">
      <c r="D589" s="359"/>
      <c r="E589" s="360"/>
    </row>
    <row r="590">
      <c r="D590" s="359"/>
      <c r="E590" s="360"/>
    </row>
    <row r="591">
      <c r="D591" s="359"/>
      <c r="E591" s="360"/>
    </row>
    <row r="592">
      <c r="D592" s="359"/>
      <c r="E592" s="360"/>
    </row>
    <row r="593">
      <c r="D593" s="359"/>
      <c r="E593" s="360"/>
    </row>
    <row r="594">
      <c r="D594" s="359"/>
      <c r="E594" s="360"/>
    </row>
    <row r="595">
      <c r="D595" s="359"/>
      <c r="E595" s="360"/>
    </row>
    <row r="596">
      <c r="D596" s="359"/>
      <c r="E596" s="360"/>
    </row>
    <row r="597">
      <c r="D597" s="359"/>
      <c r="E597" s="360"/>
    </row>
    <row r="598">
      <c r="D598" s="359"/>
      <c r="E598" s="360"/>
    </row>
    <row r="599">
      <c r="D599" s="359"/>
      <c r="E599" s="360"/>
    </row>
    <row r="600">
      <c r="D600" s="359"/>
      <c r="E600" s="360"/>
    </row>
    <row r="601">
      <c r="D601" s="359"/>
      <c r="E601" s="360"/>
    </row>
    <row r="602">
      <c r="D602" s="359"/>
      <c r="E602" s="360"/>
    </row>
    <row r="603">
      <c r="D603" s="359"/>
      <c r="E603" s="360"/>
    </row>
    <row r="604">
      <c r="D604" s="359"/>
      <c r="E604" s="360"/>
    </row>
    <row r="605">
      <c r="D605" s="359"/>
      <c r="E605" s="360"/>
    </row>
    <row r="606">
      <c r="D606" s="359"/>
      <c r="E606" s="360"/>
    </row>
    <row r="607">
      <c r="D607" s="359"/>
      <c r="E607" s="360"/>
    </row>
    <row r="608">
      <c r="D608" s="359"/>
      <c r="E608" s="360"/>
    </row>
    <row r="609">
      <c r="D609" s="359"/>
      <c r="E609" s="360"/>
    </row>
    <row r="610">
      <c r="D610" s="359"/>
      <c r="E610" s="360"/>
    </row>
    <row r="611">
      <c r="D611" s="359"/>
      <c r="E611" s="360"/>
    </row>
    <row r="612">
      <c r="D612" s="359"/>
      <c r="E612" s="360"/>
    </row>
    <row r="613">
      <c r="D613" s="359"/>
      <c r="E613" s="360"/>
    </row>
    <row r="614">
      <c r="D614" s="359"/>
      <c r="E614" s="360"/>
    </row>
    <row r="615">
      <c r="D615" s="359"/>
      <c r="E615" s="360"/>
    </row>
    <row r="616">
      <c r="D616" s="359"/>
      <c r="E616" s="360"/>
    </row>
    <row r="617">
      <c r="D617" s="359"/>
      <c r="E617" s="360"/>
    </row>
    <row r="618">
      <c r="D618" s="359"/>
      <c r="E618" s="360"/>
    </row>
    <row r="619">
      <c r="D619" s="359"/>
      <c r="E619" s="360"/>
    </row>
    <row r="620">
      <c r="D620" s="359"/>
      <c r="E620" s="360"/>
    </row>
    <row r="621">
      <c r="D621" s="359"/>
      <c r="E621" s="360"/>
    </row>
    <row r="622">
      <c r="D622" s="359"/>
      <c r="E622" s="360"/>
    </row>
    <row r="623">
      <c r="D623" s="359"/>
      <c r="E623" s="360"/>
    </row>
    <row r="624">
      <c r="D624" s="359"/>
      <c r="E624" s="360"/>
    </row>
    <row r="625">
      <c r="D625" s="359"/>
      <c r="E625" s="360"/>
    </row>
    <row r="626">
      <c r="D626" s="359"/>
      <c r="E626" s="360"/>
    </row>
    <row r="627">
      <c r="D627" s="359"/>
      <c r="E627" s="360"/>
    </row>
    <row r="628">
      <c r="D628" s="359"/>
      <c r="E628" s="360"/>
    </row>
    <row r="629">
      <c r="D629" s="359"/>
      <c r="E629" s="360"/>
    </row>
    <row r="630">
      <c r="D630" s="359"/>
      <c r="E630" s="360"/>
    </row>
    <row r="631">
      <c r="D631" s="359"/>
      <c r="E631" s="360"/>
    </row>
    <row r="632">
      <c r="D632" s="359"/>
      <c r="E632" s="360"/>
    </row>
    <row r="633">
      <c r="D633" s="359"/>
      <c r="E633" s="360"/>
    </row>
    <row r="634">
      <c r="D634" s="359"/>
      <c r="E634" s="360"/>
    </row>
    <row r="635">
      <c r="D635" s="359"/>
      <c r="E635" s="360"/>
    </row>
    <row r="636">
      <c r="D636" s="359"/>
      <c r="E636" s="360"/>
    </row>
    <row r="637">
      <c r="D637" s="359"/>
      <c r="E637" s="360"/>
    </row>
    <row r="638">
      <c r="D638" s="359"/>
      <c r="E638" s="360"/>
    </row>
    <row r="639">
      <c r="D639" s="359"/>
      <c r="E639" s="360"/>
    </row>
    <row r="640">
      <c r="D640" s="359"/>
      <c r="E640" s="360"/>
    </row>
    <row r="641">
      <c r="D641" s="359"/>
      <c r="E641" s="360"/>
    </row>
    <row r="642">
      <c r="D642" s="359"/>
      <c r="E642" s="360"/>
    </row>
    <row r="643">
      <c r="D643" s="359"/>
      <c r="E643" s="360"/>
    </row>
    <row r="644">
      <c r="D644" s="359"/>
      <c r="E644" s="360"/>
    </row>
    <row r="645">
      <c r="D645" s="359"/>
      <c r="E645" s="360"/>
    </row>
    <row r="646">
      <c r="D646" s="359"/>
      <c r="E646" s="360"/>
    </row>
    <row r="647">
      <c r="D647" s="359"/>
      <c r="E647" s="360"/>
    </row>
    <row r="648">
      <c r="D648" s="359"/>
      <c r="E648" s="360"/>
    </row>
    <row r="649">
      <c r="D649" s="359"/>
      <c r="E649" s="360"/>
    </row>
    <row r="650">
      <c r="D650" s="359"/>
      <c r="E650" s="360"/>
    </row>
    <row r="651">
      <c r="D651" s="359"/>
      <c r="E651" s="360"/>
    </row>
    <row r="652">
      <c r="D652" s="359"/>
      <c r="E652" s="360"/>
    </row>
    <row r="653">
      <c r="D653" s="359"/>
      <c r="E653" s="360"/>
    </row>
    <row r="654">
      <c r="D654" s="359"/>
      <c r="E654" s="360"/>
    </row>
    <row r="655">
      <c r="D655" s="359"/>
      <c r="E655" s="360"/>
    </row>
    <row r="656">
      <c r="D656" s="359"/>
      <c r="E656" s="360"/>
    </row>
    <row r="657">
      <c r="D657" s="359"/>
      <c r="E657" s="360"/>
    </row>
    <row r="658">
      <c r="D658" s="359"/>
      <c r="E658" s="360"/>
    </row>
    <row r="659">
      <c r="D659" s="359"/>
      <c r="E659" s="360"/>
    </row>
    <row r="660">
      <c r="D660" s="359"/>
      <c r="E660" s="360"/>
    </row>
    <row r="661">
      <c r="D661" s="359"/>
      <c r="E661" s="360"/>
    </row>
    <row r="662">
      <c r="D662" s="359"/>
      <c r="E662" s="360"/>
    </row>
    <row r="663">
      <c r="D663" s="359"/>
      <c r="E663" s="360"/>
    </row>
    <row r="664">
      <c r="D664" s="359"/>
      <c r="E664" s="360"/>
    </row>
    <row r="665">
      <c r="D665" s="359"/>
      <c r="E665" s="360"/>
    </row>
    <row r="666">
      <c r="D666" s="359"/>
      <c r="E666" s="360"/>
    </row>
    <row r="667">
      <c r="D667" s="359"/>
      <c r="E667" s="360"/>
    </row>
    <row r="668">
      <c r="D668" s="359"/>
      <c r="E668" s="360"/>
    </row>
    <row r="669">
      <c r="D669" s="359"/>
      <c r="E669" s="360"/>
    </row>
    <row r="670">
      <c r="D670" s="359"/>
      <c r="E670" s="360"/>
    </row>
    <row r="671">
      <c r="D671" s="359"/>
      <c r="E671" s="360"/>
    </row>
    <row r="672">
      <c r="D672" s="359"/>
      <c r="E672" s="360"/>
    </row>
    <row r="673">
      <c r="D673" s="359"/>
      <c r="E673" s="360"/>
    </row>
    <row r="674">
      <c r="D674" s="359"/>
      <c r="E674" s="360"/>
    </row>
    <row r="675">
      <c r="D675" s="359"/>
      <c r="E675" s="360"/>
    </row>
    <row r="676">
      <c r="D676" s="359"/>
      <c r="E676" s="360"/>
    </row>
    <row r="677">
      <c r="D677" s="359"/>
      <c r="E677" s="360"/>
    </row>
    <row r="678">
      <c r="D678" s="359"/>
      <c r="E678" s="360"/>
    </row>
    <row r="679">
      <c r="D679" s="359"/>
      <c r="E679" s="360"/>
    </row>
    <row r="680">
      <c r="D680" s="359"/>
      <c r="E680" s="360"/>
    </row>
    <row r="681">
      <c r="D681" s="359"/>
      <c r="E681" s="360"/>
    </row>
    <row r="682">
      <c r="D682" s="359"/>
      <c r="E682" s="360"/>
    </row>
    <row r="683">
      <c r="D683" s="359"/>
      <c r="E683" s="360"/>
    </row>
    <row r="684">
      <c r="D684" s="359"/>
      <c r="E684" s="360"/>
    </row>
    <row r="685">
      <c r="D685" s="359"/>
      <c r="E685" s="360"/>
    </row>
    <row r="686">
      <c r="D686" s="359"/>
      <c r="E686" s="360"/>
    </row>
    <row r="687">
      <c r="D687" s="359"/>
      <c r="E687" s="360"/>
    </row>
    <row r="688">
      <c r="D688" s="359"/>
      <c r="E688" s="360"/>
    </row>
    <row r="689">
      <c r="D689" s="359"/>
      <c r="E689" s="360"/>
    </row>
    <row r="690">
      <c r="D690" s="359"/>
      <c r="E690" s="360"/>
    </row>
    <row r="691">
      <c r="D691" s="359"/>
      <c r="E691" s="360"/>
    </row>
    <row r="692">
      <c r="D692" s="359"/>
      <c r="E692" s="360"/>
    </row>
    <row r="693">
      <c r="D693" s="359"/>
      <c r="E693" s="360"/>
    </row>
    <row r="694">
      <c r="D694" s="359"/>
      <c r="E694" s="360"/>
    </row>
    <row r="695">
      <c r="D695" s="359"/>
      <c r="E695" s="360"/>
    </row>
    <row r="696">
      <c r="D696" s="359"/>
      <c r="E696" s="360"/>
    </row>
    <row r="697">
      <c r="D697" s="359"/>
      <c r="E697" s="360"/>
    </row>
    <row r="698">
      <c r="D698" s="359"/>
      <c r="E698" s="360"/>
    </row>
    <row r="699">
      <c r="D699" s="359"/>
      <c r="E699" s="360"/>
    </row>
    <row r="700">
      <c r="D700" s="359"/>
      <c r="E700" s="360"/>
    </row>
    <row r="701">
      <c r="D701" s="359"/>
      <c r="E701" s="360"/>
    </row>
    <row r="702">
      <c r="D702" s="359"/>
      <c r="E702" s="360"/>
    </row>
    <row r="703">
      <c r="D703" s="359"/>
      <c r="E703" s="360"/>
    </row>
    <row r="704">
      <c r="D704" s="359"/>
      <c r="E704" s="360"/>
    </row>
    <row r="705">
      <c r="D705" s="359"/>
      <c r="E705" s="360"/>
    </row>
    <row r="706">
      <c r="D706" s="359"/>
      <c r="E706" s="360"/>
    </row>
    <row r="707">
      <c r="D707" s="359"/>
      <c r="E707" s="360"/>
    </row>
    <row r="708">
      <c r="D708" s="359"/>
      <c r="E708" s="360"/>
    </row>
    <row r="709">
      <c r="D709" s="359"/>
      <c r="E709" s="360"/>
    </row>
    <row r="710">
      <c r="D710" s="359"/>
      <c r="E710" s="360"/>
    </row>
    <row r="711">
      <c r="D711" s="359"/>
      <c r="E711" s="360"/>
    </row>
    <row r="712">
      <c r="D712" s="359"/>
      <c r="E712" s="360"/>
    </row>
    <row r="713">
      <c r="D713" s="359"/>
      <c r="E713" s="360"/>
    </row>
    <row r="714">
      <c r="D714" s="359"/>
      <c r="E714" s="360"/>
    </row>
    <row r="715">
      <c r="D715" s="359"/>
      <c r="E715" s="360"/>
    </row>
    <row r="716">
      <c r="D716" s="359"/>
      <c r="E716" s="360"/>
    </row>
    <row r="717">
      <c r="D717" s="359"/>
      <c r="E717" s="360"/>
    </row>
    <row r="718">
      <c r="D718" s="359"/>
      <c r="E718" s="360"/>
    </row>
    <row r="719">
      <c r="D719" s="359"/>
      <c r="E719" s="360"/>
    </row>
    <row r="720">
      <c r="D720" s="359"/>
      <c r="E720" s="360"/>
    </row>
    <row r="721">
      <c r="D721" s="359"/>
      <c r="E721" s="360"/>
    </row>
    <row r="722">
      <c r="D722" s="359"/>
      <c r="E722" s="360"/>
    </row>
    <row r="723">
      <c r="D723" s="359"/>
      <c r="E723" s="360"/>
    </row>
    <row r="724">
      <c r="D724" s="359"/>
      <c r="E724" s="360"/>
    </row>
    <row r="725">
      <c r="D725" s="359"/>
      <c r="E725" s="360"/>
    </row>
    <row r="726">
      <c r="D726" s="359"/>
      <c r="E726" s="360"/>
    </row>
    <row r="727">
      <c r="D727" s="359"/>
      <c r="E727" s="360"/>
    </row>
    <row r="728">
      <c r="D728" s="359"/>
      <c r="E728" s="360"/>
    </row>
    <row r="729">
      <c r="D729" s="359"/>
      <c r="E729" s="360"/>
    </row>
    <row r="730">
      <c r="D730" s="359"/>
      <c r="E730" s="360"/>
    </row>
    <row r="731">
      <c r="D731" s="359"/>
      <c r="E731" s="360"/>
    </row>
    <row r="732">
      <c r="D732" s="359"/>
      <c r="E732" s="360"/>
    </row>
    <row r="733">
      <c r="D733" s="359"/>
      <c r="E733" s="360"/>
    </row>
    <row r="734">
      <c r="D734" s="359"/>
      <c r="E734" s="360"/>
    </row>
    <row r="735">
      <c r="D735" s="359"/>
      <c r="E735" s="360"/>
    </row>
    <row r="736">
      <c r="D736" s="359"/>
      <c r="E736" s="360"/>
    </row>
    <row r="737">
      <c r="D737" s="359"/>
      <c r="E737" s="360"/>
    </row>
    <row r="738">
      <c r="D738" s="359"/>
      <c r="E738" s="360"/>
    </row>
    <row r="739">
      <c r="D739" s="359"/>
      <c r="E739" s="360"/>
    </row>
    <row r="740">
      <c r="D740" s="359"/>
      <c r="E740" s="360"/>
    </row>
    <row r="741">
      <c r="D741" s="359"/>
      <c r="E741" s="360"/>
    </row>
    <row r="742">
      <c r="D742" s="359"/>
      <c r="E742" s="360"/>
    </row>
    <row r="743">
      <c r="D743" s="359"/>
      <c r="E743" s="360"/>
    </row>
    <row r="744">
      <c r="D744" s="359"/>
      <c r="E744" s="360"/>
    </row>
    <row r="745">
      <c r="D745" s="359"/>
      <c r="E745" s="360"/>
    </row>
    <row r="746">
      <c r="D746" s="359"/>
      <c r="E746" s="360"/>
    </row>
    <row r="747">
      <c r="D747" s="359"/>
      <c r="E747" s="360"/>
    </row>
    <row r="748">
      <c r="D748" s="359"/>
      <c r="E748" s="360"/>
    </row>
    <row r="749">
      <c r="D749" s="359"/>
      <c r="E749" s="360"/>
    </row>
    <row r="750">
      <c r="D750" s="359"/>
      <c r="E750" s="360"/>
    </row>
    <row r="751">
      <c r="D751" s="359"/>
      <c r="E751" s="360"/>
    </row>
    <row r="752">
      <c r="D752" s="359"/>
      <c r="E752" s="360"/>
    </row>
    <row r="753">
      <c r="D753" s="359"/>
      <c r="E753" s="360"/>
    </row>
    <row r="754">
      <c r="D754" s="359"/>
      <c r="E754" s="360"/>
    </row>
    <row r="755">
      <c r="D755" s="359"/>
      <c r="E755" s="360"/>
    </row>
    <row r="756">
      <c r="D756" s="359"/>
      <c r="E756" s="360"/>
    </row>
    <row r="757">
      <c r="D757" s="359"/>
      <c r="E757" s="360"/>
    </row>
    <row r="758">
      <c r="D758" s="359"/>
      <c r="E758" s="360"/>
    </row>
    <row r="759">
      <c r="D759" s="359"/>
      <c r="E759" s="360"/>
    </row>
    <row r="760">
      <c r="D760" s="359"/>
      <c r="E760" s="360"/>
    </row>
    <row r="761">
      <c r="D761" s="359"/>
      <c r="E761" s="360"/>
    </row>
    <row r="762">
      <c r="D762" s="359"/>
      <c r="E762" s="360"/>
    </row>
    <row r="763">
      <c r="D763" s="359"/>
      <c r="E763" s="360"/>
    </row>
    <row r="764">
      <c r="D764" s="359"/>
      <c r="E764" s="360"/>
    </row>
    <row r="765">
      <c r="D765" s="359"/>
      <c r="E765" s="360"/>
    </row>
    <row r="766">
      <c r="D766" s="359"/>
      <c r="E766" s="360"/>
    </row>
    <row r="767">
      <c r="D767" s="359"/>
      <c r="E767" s="360"/>
    </row>
    <row r="768">
      <c r="D768" s="359"/>
      <c r="E768" s="360"/>
    </row>
    <row r="769">
      <c r="D769" s="359"/>
      <c r="E769" s="360"/>
    </row>
    <row r="770">
      <c r="D770" s="359"/>
      <c r="E770" s="360"/>
    </row>
    <row r="771">
      <c r="D771" s="359"/>
      <c r="E771" s="360"/>
    </row>
    <row r="772">
      <c r="D772" s="359"/>
      <c r="E772" s="360"/>
    </row>
    <row r="773">
      <c r="D773" s="359"/>
      <c r="E773" s="360"/>
    </row>
    <row r="774">
      <c r="D774" s="359"/>
      <c r="E774" s="360"/>
    </row>
    <row r="775">
      <c r="D775" s="359"/>
      <c r="E775" s="360"/>
    </row>
    <row r="776">
      <c r="D776" s="359"/>
      <c r="E776" s="360"/>
    </row>
    <row r="777">
      <c r="D777" s="359"/>
      <c r="E777" s="360"/>
    </row>
    <row r="778">
      <c r="D778" s="359"/>
      <c r="E778" s="360"/>
    </row>
    <row r="779">
      <c r="D779" s="359"/>
      <c r="E779" s="360"/>
    </row>
    <row r="780">
      <c r="D780" s="359"/>
      <c r="E780" s="360"/>
    </row>
    <row r="781">
      <c r="D781" s="359"/>
      <c r="E781" s="360"/>
    </row>
    <row r="782">
      <c r="D782" s="359"/>
      <c r="E782" s="360"/>
    </row>
    <row r="783">
      <c r="D783" s="359"/>
      <c r="E783" s="360"/>
    </row>
    <row r="784">
      <c r="D784" s="359"/>
      <c r="E784" s="360"/>
    </row>
    <row r="785">
      <c r="D785" s="359"/>
      <c r="E785" s="360"/>
    </row>
    <row r="786">
      <c r="D786" s="359"/>
      <c r="E786" s="360"/>
    </row>
    <row r="787">
      <c r="D787" s="359"/>
      <c r="E787" s="360"/>
    </row>
    <row r="788">
      <c r="D788" s="359"/>
      <c r="E788" s="360"/>
    </row>
    <row r="789">
      <c r="D789" s="359"/>
      <c r="E789" s="360"/>
    </row>
    <row r="790">
      <c r="D790" s="359"/>
      <c r="E790" s="360"/>
    </row>
    <row r="791">
      <c r="D791" s="359"/>
      <c r="E791" s="360"/>
    </row>
    <row r="792">
      <c r="D792" s="359"/>
      <c r="E792" s="360"/>
    </row>
    <row r="793">
      <c r="D793" s="359"/>
      <c r="E793" s="360"/>
    </row>
    <row r="794">
      <c r="D794" s="359"/>
      <c r="E794" s="360"/>
    </row>
    <row r="795">
      <c r="D795" s="359"/>
      <c r="E795" s="360"/>
    </row>
    <row r="796">
      <c r="D796" s="359"/>
      <c r="E796" s="360"/>
    </row>
    <row r="797">
      <c r="D797" s="359"/>
      <c r="E797" s="360"/>
    </row>
    <row r="798">
      <c r="D798" s="359"/>
      <c r="E798" s="360"/>
    </row>
    <row r="799">
      <c r="D799" s="359"/>
      <c r="E799" s="360"/>
    </row>
    <row r="800">
      <c r="D800" s="359"/>
      <c r="E800" s="360"/>
    </row>
    <row r="801">
      <c r="D801" s="359"/>
      <c r="E801" s="360"/>
    </row>
    <row r="802">
      <c r="D802" s="359"/>
      <c r="E802" s="360"/>
    </row>
    <row r="803">
      <c r="D803" s="359"/>
      <c r="E803" s="360"/>
    </row>
    <row r="804">
      <c r="D804" s="359"/>
      <c r="E804" s="360"/>
    </row>
    <row r="805">
      <c r="D805" s="359"/>
      <c r="E805" s="360"/>
    </row>
    <row r="806">
      <c r="D806" s="359"/>
      <c r="E806" s="360"/>
    </row>
    <row r="807">
      <c r="D807" s="359"/>
      <c r="E807" s="360"/>
    </row>
    <row r="808">
      <c r="D808" s="359"/>
      <c r="E808" s="360"/>
    </row>
    <row r="809">
      <c r="D809" s="359"/>
      <c r="E809" s="360"/>
    </row>
    <row r="810">
      <c r="D810" s="359"/>
      <c r="E810" s="360"/>
    </row>
    <row r="811">
      <c r="D811" s="359"/>
      <c r="E811" s="360"/>
    </row>
    <row r="812">
      <c r="D812" s="359"/>
      <c r="E812" s="360"/>
    </row>
    <row r="813">
      <c r="D813" s="359"/>
      <c r="E813" s="360"/>
    </row>
    <row r="814">
      <c r="D814" s="359"/>
      <c r="E814" s="360"/>
    </row>
    <row r="815">
      <c r="D815" s="359"/>
      <c r="E815" s="360"/>
    </row>
    <row r="816">
      <c r="D816" s="359"/>
      <c r="E816" s="360"/>
    </row>
    <row r="817">
      <c r="D817" s="359"/>
      <c r="E817" s="360"/>
    </row>
    <row r="818">
      <c r="D818" s="359"/>
      <c r="E818" s="360"/>
    </row>
    <row r="819">
      <c r="D819" s="359"/>
      <c r="E819" s="360"/>
    </row>
    <row r="820">
      <c r="D820" s="359"/>
      <c r="E820" s="360"/>
    </row>
    <row r="821">
      <c r="D821" s="359"/>
      <c r="E821" s="360"/>
    </row>
    <row r="822">
      <c r="D822" s="359"/>
      <c r="E822" s="360"/>
    </row>
    <row r="823">
      <c r="D823" s="359"/>
      <c r="E823" s="360"/>
    </row>
    <row r="824">
      <c r="D824" s="359"/>
      <c r="E824" s="360"/>
    </row>
    <row r="825">
      <c r="D825" s="359"/>
      <c r="E825" s="360"/>
    </row>
    <row r="826">
      <c r="D826" s="359"/>
      <c r="E826" s="360"/>
    </row>
    <row r="827">
      <c r="D827" s="359"/>
      <c r="E827" s="360"/>
    </row>
    <row r="828">
      <c r="D828" s="359"/>
      <c r="E828" s="360"/>
    </row>
    <row r="829">
      <c r="D829" s="359"/>
      <c r="E829" s="360"/>
    </row>
    <row r="830">
      <c r="D830" s="359"/>
      <c r="E830" s="360"/>
    </row>
    <row r="831">
      <c r="D831" s="359"/>
      <c r="E831" s="360"/>
    </row>
    <row r="832">
      <c r="D832" s="359"/>
      <c r="E832" s="360"/>
    </row>
    <row r="833">
      <c r="D833" s="359"/>
      <c r="E833" s="360"/>
    </row>
    <row r="834">
      <c r="D834" s="359"/>
      <c r="E834" s="360"/>
    </row>
    <row r="835">
      <c r="D835" s="359"/>
      <c r="E835" s="360"/>
    </row>
    <row r="836">
      <c r="D836" s="359"/>
      <c r="E836" s="360"/>
    </row>
    <row r="837">
      <c r="D837" s="359"/>
      <c r="E837" s="360"/>
    </row>
    <row r="838">
      <c r="D838" s="359"/>
      <c r="E838" s="360"/>
    </row>
    <row r="839">
      <c r="D839" s="359"/>
      <c r="E839" s="360"/>
    </row>
    <row r="840">
      <c r="D840" s="359"/>
      <c r="E840" s="360"/>
    </row>
    <row r="841">
      <c r="D841" s="359"/>
      <c r="E841" s="360"/>
    </row>
    <row r="842">
      <c r="D842" s="359"/>
      <c r="E842" s="360"/>
    </row>
    <row r="843">
      <c r="D843" s="359"/>
      <c r="E843" s="360"/>
    </row>
    <row r="844">
      <c r="D844" s="359"/>
      <c r="E844" s="360"/>
    </row>
    <row r="845">
      <c r="D845" s="359"/>
      <c r="E845" s="360"/>
    </row>
    <row r="846">
      <c r="D846" s="359"/>
      <c r="E846" s="360"/>
    </row>
    <row r="847">
      <c r="D847" s="359"/>
      <c r="E847" s="360"/>
    </row>
    <row r="848">
      <c r="D848" s="359"/>
      <c r="E848" s="360"/>
    </row>
    <row r="849">
      <c r="D849" s="359"/>
      <c r="E849" s="360"/>
    </row>
    <row r="850">
      <c r="D850" s="359"/>
      <c r="E850" s="360"/>
    </row>
    <row r="851">
      <c r="D851" s="359"/>
      <c r="E851" s="360"/>
    </row>
    <row r="852">
      <c r="D852" s="359"/>
      <c r="E852" s="360"/>
    </row>
    <row r="853">
      <c r="D853" s="359"/>
      <c r="E853" s="360"/>
    </row>
    <row r="854">
      <c r="D854" s="359"/>
      <c r="E854" s="360"/>
    </row>
    <row r="855">
      <c r="D855" s="359"/>
      <c r="E855" s="360"/>
    </row>
    <row r="856">
      <c r="D856" s="359"/>
      <c r="E856" s="360"/>
    </row>
    <row r="857">
      <c r="D857" s="359"/>
      <c r="E857" s="360"/>
    </row>
    <row r="858">
      <c r="D858" s="359"/>
      <c r="E858" s="360"/>
    </row>
    <row r="859">
      <c r="D859" s="359"/>
      <c r="E859" s="360"/>
    </row>
    <row r="860">
      <c r="D860" s="359"/>
      <c r="E860" s="360"/>
    </row>
    <row r="861">
      <c r="D861" s="359"/>
      <c r="E861" s="360"/>
    </row>
    <row r="862">
      <c r="D862" s="359"/>
      <c r="E862" s="360"/>
    </row>
    <row r="863">
      <c r="D863" s="359"/>
      <c r="E863" s="360"/>
    </row>
    <row r="864">
      <c r="D864" s="359"/>
      <c r="E864" s="360"/>
    </row>
    <row r="865">
      <c r="D865" s="359"/>
      <c r="E865" s="360"/>
    </row>
    <row r="866">
      <c r="D866" s="359"/>
      <c r="E866" s="360"/>
    </row>
    <row r="867">
      <c r="D867" s="359"/>
      <c r="E867" s="360"/>
    </row>
    <row r="868">
      <c r="D868" s="359"/>
      <c r="E868" s="360"/>
    </row>
    <row r="869">
      <c r="D869" s="359"/>
      <c r="E869" s="360"/>
    </row>
    <row r="870">
      <c r="D870" s="359"/>
      <c r="E870" s="360"/>
    </row>
    <row r="871">
      <c r="D871" s="359"/>
      <c r="E871" s="360"/>
    </row>
    <row r="872">
      <c r="D872" s="359"/>
      <c r="E872" s="360"/>
    </row>
    <row r="873">
      <c r="D873" s="359"/>
      <c r="E873" s="360"/>
    </row>
    <row r="874">
      <c r="D874" s="359"/>
      <c r="E874" s="360"/>
    </row>
    <row r="875">
      <c r="D875" s="359"/>
      <c r="E875" s="360"/>
    </row>
    <row r="876">
      <c r="D876" s="359"/>
      <c r="E876" s="360"/>
    </row>
    <row r="877">
      <c r="D877" s="359"/>
      <c r="E877" s="360"/>
    </row>
    <row r="878">
      <c r="D878" s="359"/>
      <c r="E878" s="360"/>
    </row>
    <row r="879">
      <c r="D879" s="359"/>
      <c r="E879" s="360"/>
    </row>
    <row r="880">
      <c r="D880" s="359"/>
      <c r="E880" s="360"/>
    </row>
    <row r="881">
      <c r="D881" s="359"/>
      <c r="E881" s="360"/>
    </row>
    <row r="882">
      <c r="D882" s="359"/>
      <c r="E882" s="360"/>
    </row>
    <row r="883">
      <c r="D883" s="359"/>
      <c r="E883" s="360"/>
    </row>
    <row r="884">
      <c r="D884" s="359"/>
      <c r="E884" s="360"/>
    </row>
    <row r="885">
      <c r="D885" s="359"/>
      <c r="E885" s="360"/>
    </row>
    <row r="886">
      <c r="D886" s="359"/>
      <c r="E886" s="360"/>
    </row>
    <row r="887">
      <c r="D887" s="359"/>
      <c r="E887" s="360"/>
    </row>
    <row r="888">
      <c r="D888" s="359"/>
      <c r="E888" s="360"/>
    </row>
    <row r="889">
      <c r="D889" s="359"/>
      <c r="E889" s="360"/>
    </row>
    <row r="890">
      <c r="D890" s="359"/>
      <c r="E890" s="360"/>
    </row>
    <row r="891">
      <c r="D891" s="359"/>
      <c r="E891" s="360"/>
    </row>
    <row r="892">
      <c r="D892" s="359"/>
      <c r="E892" s="360"/>
    </row>
    <row r="893">
      <c r="D893" s="359"/>
      <c r="E893" s="360"/>
    </row>
    <row r="894">
      <c r="D894" s="359"/>
      <c r="E894" s="360"/>
    </row>
    <row r="895">
      <c r="D895" s="359"/>
      <c r="E895" s="360"/>
    </row>
    <row r="896">
      <c r="D896" s="359"/>
      <c r="E896" s="360"/>
    </row>
    <row r="897">
      <c r="D897" s="359"/>
      <c r="E897" s="360"/>
    </row>
    <row r="898">
      <c r="D898" s="359"/>
      <c r="E898" s="360"/>
    </row>
    <row r="899">
      <c r="D899" s="359"/>
      <c r="E899" s="360"/>
    </row>
    <row r="900">
      <c r="D900" s="359"/>
      <c r="E900" s="360"/>
    </row>
    <row r="901">
      <c r="D901" s="359"/>
      <c r="E901" s="360"/>
    </row>
    <row r="902">
      <c r="D902" s="359"/>
      <c r="E902" s="360"/>
    </row>
    <row r="903">
      <c r="D903" s="359"/>
      <c r="E903" s="360"/>
    </row>
    <row r="904">
      <c r="D904" s="359"/>
      <c r="E904" s="360"/>
    </row>
    <row r="905">
      <c r="D905" s="359"/>
      <c r="E905" s="360"/>
    </row>
    <row r="906">
      <c r="D906" s="359"/>
      <c r="E906" s="360"/>
    </row>
    <row r="907">
      <c r="D907" s="359"/>
      <c r="E907" s="360"/>
    </row>
    <row r="908">
      <c r="D908" s="359"/>
      <c r="E908" s="360"/>
    </row>
    <row r="909">
      <c r="D909" s="359"/>
      <c r="E909" s="360"/>
    </row>
    <row r="910">
      <c r="D910" s="359"/>
      <c r="E910" s="360"/>
    </row>
    <row r="911">
      <c r="D911" s="359"/>
      <c r="E911" s="360"/>
    </row>
    <row r="912">
      <c r="D912" s="359"/>
      <c r="E912" s="360"/>
    </row>
    <row r="913">
      <c r="D913" s="359"/>
      <c r="E913" s="360"/>
    </row>
    <row r="914">
      <c r="D914" s="359"/>
      <c r="E914" s="360"/>
    </row>
    <row r="915">
      <c r="D915" s="359"/>
      <c r="E915" s="360"/>
    </row>
    <row r="916">
      <c r="D916" s="359"/>
      <c r="E916" s="360"/>
    </row>
    <row r="917">
      <c r="D917" s="359"/>
      <c r="E917" s="360"/>
    </row>
    <row r="918">
      <c r="D918" s="359"/>
      <c r="E918" s="360"/>
    </row>
    <row r="919">
      <c r="D919" s="359"/>
      <c r="E919" s="360"/>
    </row>
    <row r="920">
      <c r="D920" s="359"/>
      <c r="E920" s="360"/>
    </row>
    <row r="921">
      <c r="D921" s="359"/>
      <c r="E921" s="360"/>
    </row>
    <row r="922">
      <c r="D922" s="359"/>
      <c r="E922" s="360"/>
    </row>
    <row r="923">
      <c r="D923" s="359"/>
      <c r="E923" s="360"/>
    </row>
    <row r="924">
      <c r="D924" s="359"/>
      <c r="E924" s="360"/>
    </row>
    <row r="925">
      <c r="D925" s="359"/>
      <c r="E925" s="360"/>
    </row>
    <row r="926">
      <c r="D926" s="359"/>
      <c r="E926" s="360"/>
    </row>
    <row r="927">
      <c r="D927" s="359"/>
      <c r="E927" s="360"/>
    </row>
    <row r="928">
      <c r="D928" s="359"/>
      <c r="E928" s="360"/>
    </row>
    <row r="929">
      <c r="D929" s="359"/>
      <c r="E929" s="360"/>
    </row>
    <row r="930">
      <c r="D930" s="359"/>
      <c r="E930" s="360"/>
    </row>
    <row r="931">
      <c r="D931" s="359"/>
      <c r="E931" s="360"/>
    </row>
    <row r="932">
      <c r="D932" s="359"/>
      <c r="E932" s="360"/>
    </row>
    <row r="933">
      <c r="D933" s="359"/>
      <c r="E933" s="360"/>
    </row>
    <row r="934">
      <c r="D934" s="359"/>
      <c r="E934" s="360"/>
    </row>
    <row r="935">
      <c r="D935" s="359"/>
      <c r="E935" s="360"/>
    </row>
    <row r="936">
      <c r="D936" s="359"/>
      <c r="E936" s="360"/>
    </row>
    <row r="937">
      <c r="D937" s="359"/>
      <c r="E937" s="360"/>
    </row>
    <row r="938">
      <c r="D938" s="359"/>
      <c r="E938" s="360"/>
    </row>
    <row r="939">
      <c r="D939" s="359"/>
      <c r="E939" s="360"/>
    </row>
    <row r="940">
      <c r="D940" s="359"/>
      <c r="E940" s="360"/>
    </row>
    <row r="941">
      <c r="D941" s="359"/>
      <c r="E941" s="360"/>
    </row>
    <row r="942">
      <c r="D942" s="359"/>
      <c r="E942" s="360"/>
    </row>
    <row r="943">
      <c r="D943" s="359"/>
      <c r="E943" s="360"/>
    </row>
    <row r="944">
      <c r="D944" s="359"/>
      <c r="E944" s="360"/>
    </row>
    <row r="945">
      <c r="D945" s="359"/>
      <c r="E945" s="360"/>
    </row>
    <row r="946">
      <c r="D946" s="359"/>
      <c r="E946" s="360"/>
    </row>
    <row r="947">
      <c r="D947" s="359"/>
      <c r="E947" s="360"/>
    </row>
    <row r="948">
      <c r="D948" s="359"/>
      <c r="E948" s="360"/>
    </row>
  </sheetData>
  <autoFilter ref="$A$1:$Z$948"/>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6" width="23.71"/>
    <col customWidth="1" min="7" max="7" width="68.29"/>
    <col customWidth="1" min="8" max="9" width="38.43"/>
    <col customWidth="1" min="10" max="10" width="23.71"/>
  </cols>
  <sheetData>
    <row r="1" ht="46.5" customHeight="1">
      <c r="A1" s="361" t="s">
        <v>24692</v>
      </c>
      <c r="B1" s="361" t="s">
        <v>23309</v>
      </c>
      <c r="C1" s="361" t="s">
        <v>24693</v>
      </c>
      <c r="D1" s="362" t="s">
        <v>23320</v>
      </c>
      <c r="E1" s="361" t="s">
        <v>24689</v>
      </c>
      <c r="F1" s="361" t="s">
        <v>24694</v>
      </c>
      <c r="G1" s="363" t="s">
        <v>24695</v>
      </c>
      <c r="H1" s="362" t="s">
        <v>23329</v>
      </c>
      <c r="I1" s="362" t="s">
        <v>9</v>
      </c>
      <c r="J1" s="362" t="s">
        <v>10</v>
      </c>
    </row>
    <row r="2" ht="15.0" customHeight="1">
      <c r="A2" s="364" t="s">
        <v>15516</v>
      </c>
      <c r="B2" s="365" t="s">
        <v>17277</v>
      </c>
      <c r="C2" s="365" t="s">
        <v>24696</v>
      </c>
      <c r="D2" s="366" t="s">
        <v>24697</v>
      </c>
      <c r="E2" s="367" t="s">
        <v>24698</v>
      </c>
      <c r="F2" s="368" t="s">
        <v>24699</v>
      </c>
      <c r="G2" s="369" t="s">
        <v>3395</v>
      </c>
      <c r="H2" s="370" t="s">
        <v>24700</v>
      </c>
      <c r="I2" s="371" t="s">
        <v>65</v>
      </c>
      <c r="J2" s="372" t="s">
        <v>447</v>
      </c>
    </row>
    <row r="3" ht="15.0" customHeight="1">
      <c r="A3" s="373" t="s">
        <v>984</v>
      </c>
      <c r="B3" s="374" t="s">
        <v>22367</v>
      </c>
      <c r="C3" s="374" t="s">
        <v>24701</v>
      </c>
      <c r="D3" s="366" t="s">
        <v>24702</v>
      </c>
      <c r="E3" s="367" t="str">
        <f>"002"</f>
        <v>002</v>
      </c>
      <c r="F3" s="368" t="s">
        <v>24703</v>
      </c>
      <c r="G3" s="369" t="s">
        <v>3441</v>
      </c>
      <c r="H3" s="370" t="s">
        <v>24700</v>
      </c>
      <c r="I3" s="370" t="s">
        <v>718</v>
      </c>
      <c r="J3" s="370" t="s">
        <v>12614</v>
      </c>
    </row>
    <row r="4" ht="15.0" customHeight="1">
      <c r="A4" s="373" t="s">
        <v>60</v>
      </c>
      <c r="B4" s="375" t="s">
        <v>22388</v>
      </c>
      <c r="C4" s="375" t="s">
        <v>24704</v>
      </c>
      <c r="D4" s="376" t="s">
        <v>24705</v>
      </c>
      <c r="E4" s="367" t="s">
        <v>24706</v>
      </c>
      <c r="F4" s="368" t="s">
        <v>24707</v>
      </c>
      <c r="G4" s="369" t="s">
        <v>72</v>
      </c>
      <c r="H4" s="370" t="s">
        <v>24700</v>
      </c>
      <c r="I4" s="370" t="s">
        <v>37</v>
      </c>
      <c r="J4" s="370" t="s">
        <v>384</v>
      </c>
    </row>
    <row r="5" ht="15.0" customHeight="1">
      <c r="A5" s="364" t="s">
        <v>20664</v>
      </c>
      <c r="B5" s="377" t="s">
        <v>22853</v>
      </c>
      <c r="C5" s="378" t="s">
        <v>24708</v>
      </c>
      <c r="D5" s="379" t="s">
        <v>24709</v>
      </c>
      <c r="E5" s="367" t="s">
        <v>24710</v>
      </c>
      <c r="F5" s="368" t="s">
        <v>24711</v>
      </c>
      <c r="G5" s="369" t="s">
        <v>85</v>
      </c>
      <c r="H5" s="370" t="s">
        <v>24700</v>
      </c>
      <c r="I5" s="371" t="s">
        <v>24712</v>
      </c>
      <c r="J5" s="370" t="s">
        <v>4683</v>
      </c>
    </row>
    <row r="6" ht="15.0" customHeight="1">
      <c r="A6" s="380"/>
      <c r="B6" s="381" t="s">
        <v>24713</v>
      </c>
      <c r="C6" s="381" t="s">
        <v>24714</v>
      </c>
      <c r="D6" s="379" t="s">
        <v>24715</v>
      </c>
      <c r="E6" s="367" t="s">
        <v>24716</v>
      </c>
      <c r="F6" s="368" t="s">
        <v>24717</v>
      </c>
      <c r="G6" s="369" t="s">
        <v>91</v>
      </c>
      <c r="H6" s="370" t="s">
        <v>24700</v>
      </c>
      <c r="I6" s="370" t="s">
        <v>49</v>
      </c>
      <c r="J6" s="370" t="s">
        <v>238</v>
      </c>
    </row>
    <row r="7" ht="15.0" customHeight="1">
      <c r="A7" s="382"/>
      <c r="B7" s="383" t="s">
        <v>18148</v>
      </c>
      <c r="C7" s="383" t="s">
        <v>24718</v>
      </c>
      <c r="D7" s="379" t="s">
        <v>24719</v>
      </c>
      <c r="E7" s="367" t="s">
        <v>24720</v>
      </c>
      <c r="F7" s="368" t="s">
        <v>24721</v>
      </c>
      <c r="G7" s="369" t="s">
        <v>112</v>
      </c>
      <c r="H7" s="370" t="s">
        <v>24700</v>
      </c>
      <c r="I7" s="370" t="s">
        <v>1098</v>
      </c>
      <c r="J7" s="370" t="s">
        <v>1506</v>
      </c>
    </row>
    <row r="8" ht="15.0" customHeight="1">
      <c r="A8" s="382"/>
      <c r="B8" s="384" t="s">
        <v>36</v>
      </c>
      <c r="C8" s="384" t="s">
        <v>24722</v>
      </c>
      <c r="D8" s="379" t="s">
        <v>24723</v>
      </c>
      <c r="E8" s="367" t="s">
        <v>24724</v>
      </c>
      <c r="F8" s="368" t="s">
        <v>24725</v>
      </c>
      <c r="G8" s="369" t="s">
        <v>6133</v>
      </c>
      <c r="H8" s="370" t="s">
        <v>24700</v>
      </c>
      <c r="I8" s="371" t="s">
        <v>24726</v>
      </c>
      <c r="J8" s="370" t="s">
        <v>5061</v>
      </c>
    </row>
    <row r="9" ht="15.0" customHeight="1">
      <c r="A9" s="385"/>
      <c r="B9" s="386" t="s">
        <v>3956</v>
      </c>
      <c r="C9" s="387" t="s">
        <v>24727</v>
      </c>
      <c r="D9" s="388" t="s">
        <v>12085</v>
      </c>
      <c r="E9" s="367" t="s">
        <v>24728</v>
      </c>
      <c r="F9" s="368" t="s">
        <v>24729</v>
      </c>
      <c r="G9" s="369" t="s">
        <v>47</v>
      </c>
      <c r="H9" s="370" t="s">
        <v>24700</v>
      </c>
      <c r="I9" s="370" t="s">
        <v>420</v>
      </c>
      <c r="J9" s="370" t="s">
        <v>2978</v>
      </c>
    </row>
    <row r="10" ht="15.0" customHeight="1">
      <c r="A10" s="389"/>
      <c r="B10" s="390" t="s">
        <v>20664</v>
      </c>
      <c r="C10" s="390" t="s">
        <v>24730</v>
      </c>
      <c r="D10" s="391" t="s">
        <v>24731</v>
      </c>
      <c r="E10" s="367" t="s">
        <v>24732</v>
      </c>
      <c r="F10" s="368" t="s">
        <v>24733</v>
      </c>
      <c r="G10" s="369" t="s">
        <v>4430</v>
      </c>
      <c r="H10" s="370" t="s">
        <v>24700</v>
      </c>
      <c r="I10" s="370" t="s">
        <v>518</v>
      </c>
      <c r="J10" s="370" t="s">
        <v>805</v>
      </c>
    </row>
    <row r="11" ht="15.0" customHeight="1">
      <c r="A11" s="392"/>
      <c r="B11" s="392" t="s">
        <v>15516</v>
      </c>
      <c r="C11" s="392" t="s">
        <v>24734</v>
      </c>
      <c r="D11" s="391" t="s">
        <v>24735</v>
      </c>
      <c r="E11" s="367" t="s">
        <v>24736</v>
      </c>
      <c r="F11" s="368" t="s">
        <v>24737</v>
      </c>
      <c r="G11" s="369" t="s">
        <v>11953</v>
      </c>
      <c r="H11" s="370" t="s">
        <v>24700</v>
      </c>
      <c r="I11" s="370" t="s">
        <v>92</v>
      </c>
      <c r="J11" s="370" t="s">
        <v>1184</v>
      </c>
    </row>
    <row r="12" ht="15.0" customHeight="1">
      <c r="A12" s="393"/>
      <c r="B12" s="393" t="s">
        <v>665</v>
      </c>
      <c r="C12" s="393" t="s">
        <v>24738</v>
      </c>
      <c r="D12" s="391" t="s">
        <v>24739</v>
      </c>
      <c r="E12" s="367" t="s">
        <v>24740</v>
      </c>
      <c r="F12" s="368" t="s">
        <v>24741</v>
      </c>
      <c r="G12" s="369" t="s">
        <v>12405</v>
      </c>
      <c r="H12" s="370" t="s">
        <v>24700</v>
      </c>
      <c r="I12" s="370" t="s">
        <v>339</v>
      </c>
      <c r="J12" s="370" t="s">
        <v>3512</v>
      </c>
    </row>
    <row r="13" ht="15.0" customHeight="1">
      <c r="A13" s="394"/>
      <c r="B13" s="395" t="s">
        <v>24742</v>
      </c>
      <c r="C13" s="396" t="s">
        <v>24743</v>
      </c>
      <c r="D13" s="391" t="s">
        <v>24744</v>
      </c>
      <c r="E13" s="367" t="s">
        <v>24745</v>
      </c>
      <c r="F13" s="368" t="s">
        <v>24746</v>
      </c>
      <c r="G13" s="369" t="s">
        <v>155</v>
      </c>
      <c r="H13" s="370" t="s">
        <v>24700</v>
      </c>
      <c r="I13" s="370" t="s">
        <v>2600</v>
      </c>
      <c r="J13" s="370" t="s">
        <v>3135</v>
      </c>
    </row>
    <row r="14" ht="15.0" customHeight="1">
      <c r="A14" s="364"/>
      <c r="B14" s="397" t="s">
        <v>984</v>
      </c>
      <c r="C14" s="397" t="s">
        <v>984</v>
      </c>
      <c r="D14" s="391" t="s">
        <v>24747</v>
      </c>
      <c r="E14" s="367" t="s">
        <v>24748</v>
      </c>
      <c r="F14" s="368" t="s">
        <v>24729</v>
      </c>
      <c r="G14" s="369" t="s">
        <v>11712</v>
      </c>
      <c r="H14" s="370" t="s">
        <v>24700</v>
      </c>
      <c r="I14" s="370" t="s">
        <v>1170</v>
      </c>
      <c r="J14" s="370" t="s">
        <v>13817</v>
      </c>
    </row>
    <row r="15" ht="15.0" customHeight="1">
      <c r="A15" s="364"/>
      <c r="B15" s="398" t="s">
        <v>24749</v>
      </c>
      <c r="C15" s="398"/>
      <c r="D15" s="391" t="s">
        <v>24750</v>
      </c>
      <c r="E15" s="367" t="s">
        <v>24751</v>
      </c>
      <c r="F15" s="368" t="s">
        <v>24752</v>
      </c>
      <c r="G15" s="399" t="s">
        <v>11957</v>
      </c>
      <c r="H15" s="370" t="s">
        <v>24700</v>
      </c>
      <c r="I15" s="370" t="s">
        <v>5579</v>
      </c>
      <c r="J15" s="370" t="s">
        <v>24753</v>
      </c>
    </row>
    <row r="16" ht="15.0" customHeight="1">
      <c r="A16" s="364"/>
      <c r="B16" s="398" t="s">
        <v>24754</v>
      </c>
      <c r="C16" s="398"/>
      <c r="D16" s="391" t="s">
        <v>24755</v>
      </c>
      <c r="E16" s="367" t="s">
        <v>24756</v>
      </c>
      <c r="F16" s="368" t="s">
        <v>24757</v>
      </c>
      <c r="G16" s="399" t="s">
        <v>14171</v>
      </c>
      <c r="H16" s="370" t="s">
        <v>24700</v>
      </c>
      <c r="I16" s="370" t="s">
        <v>2375</v>
      </c>
      <c r="J16" s="370" t="s">
        <v>1098</v>
      </c>
    </row>
    <row r="17" ht="15.0" customHeight="1">
      <c r="A17" s="364"/>
      <c r="B17" s="398" t="s">
        <v>24758</v>
      </c>
      <c r="C17" s="398" t="s">
        <v>24758</v>
      </c>
      <c r="D17" s="391" t="s">
        <v>24759</v>
      </c>
      <c r="E17" s="367" t="s">
        <v>24760</v>
      </c>
      <c r="F17" s="368" t="s">
        <v>24761</v>
      </c>
      <c r="G17" s="369" t="s">
        <v>8868</v>
      </c>
      <c r="H17" s="370" t="s">
        <v>24700</v>
      </c>
      <c r="I17" s="400" t="s">
        <v>8585</v>
      </c>
      <c r="J17" s="370" t="s">
        <v>3051</v>
      </c>
    </row>
    <row r="18" ht="15.0" customHeight="1">
      <c r="A18" s="364"/>
      <c r="B18" s="398" t="s">
        <v>24762</v>
      </c>
      <c r="C18" s="398" t="s">
        <v>24762</v>
      </c>
      <c r="D18" s="391" t="s">
        <v>24763</v>
      </c>
      <c r="E18" s="367" t="s">
        <v>24764</v>
      </c>
      <c r="F18" s="368" t="s">
        <v>24765</v>
      </c>
      <c r="G18" s="369" t="s">
        <v>135</v>
      </c>
      <c r="H18" s="370" t="s">
        <v>24700</v>
      </c>
      <c r="I18" s="400" t="s">
        <v>24766</v>
      </c>
      <c r="J18" s="370" t="s">
        <v>24767</v>
      </c>
    </row>
    <row r="19" ht="15.0" customHeight="1">
      <c r="A19" s="401"/>
      <c r="B19" s="402" t="s">
        <v>60</v>
      </c>
      <c r="C19" s="403" t="s">
        <v>60</v>
      </c>
      <c r="D19" s="391" t="s">
        <v>1703</v>
      </c>
      <c r="E19" s="367" t="s">
        <v>24768</v>
      </c>
      <c r="F19" s="368" t="s">
        <v>24769</v>
      </c>
      <c r="G19" s="369" t="s">
        <v>13303</v>
      </c>
      <c r="H19" s="370" t="s">
        <v>24700</v>
      </c>
      <c r="I19" s="371" t="s">
        <v>3135</v>
      </c>
      <c r="J19" s="370" t="s">
        <v>1761</v>
      </c>
    </row>
    <row r="20" ht="15.0" customHeight="1">
      <c r="A20" s="404"/>
      <c r="B20" s="405" t="s">
        <v>24770</v>
      </c>
      <c r="C20" s="405" t="s">
        <v>24770</v>
      </c>
      <c r="D20" s="391" t="s">
        <v>24771</v>
      </c>
      <c r="E20" s="367" t="s">
        <v>24772</v>
      </c>
      <c r="F20" s="368" t="s">
        <v>24773</v>
      </c>
      <c r="G20" s="369" t="s">
        <v>24774</v>
      </c>
      <c r="H20" s="370" t="s">
        <v>24775</v>
      </c>
      <c r="I20" s="370" t="s">
        <v>9338</v>
      </c>
      <c r="J20" s="370" t="s">
        <v>24776</v>
      </c>
    </row>
    <row r="21" ht="15.0" customHeight="1">
      <c r="A21" s="406"/>
      <c r="B21" s="24" t="s">
        <v>18314</v>
      </c>
      <c r="C21" s="24" t="s">
        <v>18314</v>
      </c>
      <c r="D21" s="391" t="s">
        <v>24777</v>
      </c>
      <c r="E21" s="367" t="s">
        <v>24778</v>
      </c>
      <c r="F21" s="368" t="s">
        <v>24779</v>
      </c>
      <c r="G21" s="407" t="s">
        <v>19952</v>
      </c>
      <c r="H21" s="370" t="s">
        <v>24780</v>
      </c>
      <c r="I21" s="371" t="s">
        <v>18794</v>
      </c>
      <c r="J21" s="370" t="s">
        <v>518</v>
      </c>
    </row>
    <row r="22" ht="15.0" customHeight="1">
      <c r="A22" s="406"/>
      <c r="B22" s="408"/>
      <c r="C22" s="408"/>
      <c r="D22" s="391" t="s">
        <v>24781</v>
      </c>
      <c r="E22" s="367" t="s">
        <v>24782</v>
      </c>
      <c r="F22" s="368" t="s">
        <v>24783</v>
      </c>
      <c r="G22" s="407" t="s">
        <v>22732</v>
      </c>
      <c r="H22" s="370" t="s">
        <v>24780</v>
      </c>
      <c r="I22" s="371" t="s">
        <v>24784</v>
      </c>
      <c r="J22" s="370" t="s">
        <v>38</v>
      </c>
    </row>
    <row r="23" ht="15.0" customHeight="1">
      <c r="A23" s="406"/>
      <c r="B23" s="408"/>
      <c r="C23" s="408"/>
      <c r="D23" s="391" t="s">
        <v>24785</v>
      </c>
      <c r="E23" s="367" t="s">
        <v>24786</v>
      </c>
      <c r="F23" s="368" t="s">
        <v>24787</v>
      </c>
      <c r="G23" s="369" t="s">
        <v>24788</v>
      </c>
      <c r="H23" s="370"/>
      <c r="I23" s="409" t="s">
        <v>24789</v>
      </c>
      <c r="J23" s="370" t="s">
        <v>2375</v>
      </c>
    </row>
    <row r="24" ht="15.0" customHeight="1">
      <c r="A24" s="406"/>
      <c r="B24" s="408"/>
      <c r="C24" s="408"/>
      <c r="D24" s="391" t="s">
        <v>24790</v>
      </c>
      <c r="E24" s="367">
        <v>16.0</v>
      </c>
      <c r="F24" s="368" t="s">
        <v>24791</v>
      </c>
      <c r="G24" s="369" t="s">
        <v>22544</v>
      </c>
      <c r="H24" s="370" t="s">
        <v>24792</v>
      </c>
      <c r="I24" s="409" t="s">
        <v>11984</v>
      </c>
      <c r="J24" s="370" t="s">
        <v>5954</v>
      </c>
    </row>
    <row r="25" ht="15.0" customHeight="1">
      <c r="A25" s="406"/>
      <c r="B25" s="408"/>
      <c r="C25" s="408"/>
      <c r="D25" s="391" t="s">
        <v>3289</v>
      </c>
      <c r="E25" s="367">
        <v>20.0</v>
      </c>
      <c r="F25" s="368" t="s">
        <v>24793</v>
      </c>
      <c r="G25" s="369" t="s">
        <v>24794</v>
      </c>
      <c r="H25" s="370" t="s">
        <v>24792</v>
      </c>
      <c r="I25" s="409" t="s">
        <v>24795</v>
      </c>
      <c r="J25" s="370"/>
    </row>
    <row r="26" ht="15.0" customHeight="1">
      <c r="A26" s="406"/>
      <c r="B26" s="408"/>
      <c r="C26" s="408"/>
      <c r="D26" s="391" t="s">
        <v>24796</v>
      </c>
      <c r="E26" s="367">
        <v>21.0</v>
      </c>
      <c r="F26" s="368" t="s">
        <v>24797</v>
      </c>
      <c r="G26" s="369" t="s">
        <v>24798</v>
      </c>
      <c r="H26" s="370" t="s">
        <v>24775</v>
      </c>
      <c r="I26" s="370" t="s">
        <v>24799</v>
      </c>
      <c r="J26" s="370"/>
    </row>
    <row r="27" ht="15.0" customHeight="1">
      <c r="A27" s="410"/>
      <c r="B27" s="408"/>
      <c r="C27" s="408"/>
      <c r="D27" s="391" t="s">
        <v>24800</v>
      </c>
      <c r="E27" s="367">
        <v>22.0</v>
      </c>
      <c r="F27" s="368" t="s">
        <v>24801</v>
      </c>
      <c r="G27" s="369" t="s">
        <v>24802</v>
      </c>
      <c r="H27" s="370" t="s">
        <v>24775</v>
      </c>
      <c r="I27" s="371" t="s">
        <v>12773</v>
      </c>
      <c r="J27" s="371" t="s">
        <v>9628</v>
      </c>
    </row>
    <row r="28" ht="15.0" customHeight="1">
      <c r="A28" s="410"/>
      <c r="B28" s="408"/>
      <c r="C28" s="408"/>
      <c r="D28" s="411" t="s">
        <v>24803</v>
      </c>
      <c r="E28" s="367">
        <v>23.0</v>
      </c>
      <c r="F28" s="368" t="s">
        <v>24804</v>
      </c>
      <c r="G28" s="369" t="s">
        <v>24805</v>
      </c>
      <c r="H28" s="370" t="s">
        <v>24775</v>
      </c>
      <c r="I28" s="371" t="s">
        <v>15996</v>
      </c>
      <c r="J28" s="370" t="s">
        <v>24806</v>
      </c>
    </row>
    <row r="29" ht="15.0" customHeight="1">
      <c r="A29" s="410"/>
      <c r="B29" s="408"/>
      <c r="C29" s="408"/>
      <c r="D29" s="411" t="s">
        <v>24807</v>
      </c>
      <c r="E29" s="367">
        <v>24.0</v>
      </c>
      <c r="F29" s="368" t="s">
        <v>24808</v>
      </c>
      <c r="G29" s="369" t="s">
        <v>24809</v>
      </c>
      <c r="H29" s="370" t="s">
        <v>24775</v>
      </c>
      <c r="I29" s="371" t="s">
        <v>14751</v>
      </c>
      <c r="J29" s="370" t="s">
        <v>7738</v>
      </c>
    </row>
    <row r="30" ht="15.0" customHeight="1">
      <c r="A30" s="410"/>
      <c r="B30" s="408"/>
      <c r="C30" s="408"/>
      <c r="D30" s="412"/>
      <c r="E30" s="367">
        <v>25.0</v>
      </c>
      <c r="F30" s="368" t="s">
        <v>24810</v>
      </c>
      <c r="G30" s="369" t="s">
        <v>24811</v>
      </c>
      <c r="H30" s="370" t="s">
        <v>24775</v>
      </c>
      <c r="I30" s="371"/>
      <c r="J30" s="370" t="s">
        <v>11095</v>
      </c>
    </row>
    <row r="31" ht="15.0" customHeight="1">
      <c r="A31" s="410"/>
      <c r="B31" s="408"/>
      <c r="C31" s="408"/>
      <c r="D31" s="412"/>
      <c r="E31" s="367">
        <v>26.0</v>
      </c>
      <c r="F31" s="368" t="s">
        <v>24812</v>
      </c>
      <c r="G31" s="369" t="s">
        <v>24813</v>
      </c>
      <c r="H31" s="370" t="s">
        <v>24775</v>
      </c>
      <c r="I31" s="371" t="s">
        <v>15990</v>
      </c>
      <c r="J31" s="370" t="s">
        <v>8770</v>
      </c>
    </row>
    <row r="32" ht="15.0" customHeight="1">
      <c r="A32" s="410"/>
      <c r="B32" s="410"/>
      <c r="C32" s="410"/>
      <c r="D32" s="412"/>
      <c r="E32" s="367">
        <v>27.0</v>
      </c>
      <c r="F32" s="368" t="s">
        <v>24814</v>
      </c>
      <c r="G32" s="369" t="s">
        <v>24815</v>
      </c>
      <c r="H32" s="370" t="s">
        <v>24775</v>
      </c>
      <c r="I32" s="371" t="s">
        <v>24816</v>
      </c>
      <c r="J32" s="370" t="s">
        <v>142</v>
      </c>
    </row>
    <row r="33" ht="15.0" customHeight="1">
      <c r="A33" s="410"/>
      <c r="B33" s="410"/>
      <c r="C33" s="410"/>
      <c r="D33" s="412"/>
      <c r="E33" s="367">
        <v>28.0</v>
      </c>
      <c r="F33" s="368" t="s">
        <v>24817</v>
      </c>
      <c r="G33" s="369" t="s">
        <v>24818</v>
      </c>
      <c r="H33" s="370" t="s">
        <v>23749</v>
      </c>
      <c r="I33" s="371"/>
      <c r="J33" s="400" t="s">
        <v>9027</v>
      </c>
    </row>
    <row r="34" ht="15.0" customHeight="1">
      <c r="A34" s="410"/>
      <c r="B34" s="410"/>
      <c r="C34" s="410"/>
      <c r="D34" s="412"/>
      <c r="E34" s="367">
        <v>29.0</v>
      </c>
      <c r="F34" s="368" t="s">
        <v>24819</v>
      </c>
      <c r="G34" s="369" t="s">
        <v>24820</v>
      </c>
      <c r="H34" s="370" t="s">
        <v>23749</v>
      </c>
      <c r="I34" s="371"/>
      <c r="J34" s="370" t="s">
        <v>13435</v>
      </c>
    </row>
    <row r="35" ht="15.0" customHeight="1">
      <c r="A35" s="410"/>
      <c r="B35" s="410"/>
      <c r="C35" s="410"/>
      <c r="D35" s="412"/>
      <c r="E35" s="367">
        <v>30.0</v>
      </c>
      <c r="F35" s="368" t="s">
        <v>24821</v>
      </c>
      <c r="G35" s="369" t="s">
        <v>24822</v>
      </c>
      <c r="H35" s="370" t="s">
        <v>23749</v>
      </c>
      <c r="I35" s="371"/>
      <c r="J35" s="400" t="s">
        <v>9556</v>
      </c>
    </row>
    <row r="36" ht="15.0" customHeight="1">
      <c r="A36" s="410"/>
      <c r="B36" s="410"/>
      <c r="C36" s="410"/>
      <c r="D36" s="412"/>
      <c r="E36" s="367">
        <v>31.0</v>
      </c>
      <c r="F36" s="368" t="s">
        <v>24823</v>
      </c>
      <c r="G36" s="369" t="s">
        <v>24824</v>
      </c>
      <c r="H36" s="370" t="s">
        <v>23749</v>
      </c>
      <c r="I36" s="371"/>
      <c r="J36" s="371" t="s">
        <v>9830</v>
      </c>
    </row>
    <row r="37" ht="15.0" customHeight="1">
      <c r="A37" s="410"/>
      <c r="B37" s="410"/>
      <c r="C37" s="410"/>
      <c r="D37" s="412"/>
      <c r="E37" s="367">
        <v>32.0</v>
      </c>
      <c r="F37" s="368" t="s">
        <v>24825</v>
      </c>
      <c r="G37" s="369" t="s">
        <v>12486</v>
      </c>
      <c r="H37" s="370" t="s">
        <v>24826</v>
      </c>
      <c r="I37" s="371" t="s">
        <v>11095</v>
      </c>
      <c r="J37" s="371" t="s">
        <v>10977</v>
      </c>
    </row>
    <row r="38" ht="15.0" customHeight="1">
      <c r="A38" s="410"/>
      <c r="B38" s="410"/>
      <c r="C38" s="410"/>
      <c r="D38" s="412"/>
      <c r="E38" s="367">
        <v>33.0</v>
      </c>
      <c r="F38" s="368" t="s">
        <v>24827</v>
      </c>
      <c r="G38" s="369" t="s">
        <v>11503</v>
      </c>
      <c r="H38" s="370" t="s">
        <v>24826</v>
      </c>
      <c r="I38" s="371"/>
      <c r="J38" s="400" t="s">
        <v>9962</v>
      </c>
    </row>
    <row r="39" ht="15.0" customHeight="1">
      <c r="A39" s="410"/>
      <c r="B39" s="410"/>
      <c r="C39" s="410"/>
      <c r="D39" s="412"/>
      <c r="E39" s="367">
        <v>34.0</v>
      </c>
      <c r="F39" s="368" t="s">
        <v>24828</v>
      </c>
      <c r="G39" s="369" t="s">
        <v>11607</v>
      </c>
      <c r="H39" s="370" t="s">
        <v>23749</v>
      </c>
      <c r="I39" s="371"/>
      <c r="J39" s="371" t="s">
        <v>9924</v>
      </c>
    </row>
    <row r="40" ht="15.0" customHeight="1">
      <c r="A40" s="410"/>
      <c r="B40" s="410"/>
      <c r="C40" s="410"/>
      <c r="D40" s="413"/>
      <c r="E40" s="367">
        <v>35.0</v>
      </c>
      <c r="F40" s="368" t="s">
        <v>24829</v>
      </c>
      <c r="G40" s="369" t="s">
        <v>1858</v>
      </c>
      <c r="H40" s="370"/>
      <c r="I40" s="371"/>
      <c r="J40" s="371" t="s">
        <v>10848</v>
      </c>
    </row>
    <row r="41" ht="15.0" customHeight="1">
      <c r="A41" s="410"/>
      <c r="B41" s="410"/>
      <c r="C41" s="410"/>
      <c r="D41" s="413"/>
      <c r="E41" s="367">
        <v>36.0</v>
      </c>
      <c r="F41" s="368" t="s">
        <v>24830</v>
      </c>
      <c r="G41" s="407" t="s">
        <v>24831</v>
      </c>
      <c r="H41" s="370" t="s">
        <v>33</v>
      </c>
      <c r="I41" s="371" t="s">
        <v>16911</v>
      </c>
      <c r="J41" s="371" t="s">
        <v>11217</v>
      </c>
    </row>
    <row r="42" ht="15.0" customHeight="1">
      <c r="A42" s="410"/>
      <c r="B42" s="410"/>
      <c r="C42" s="410"/>
      <c r="D42" s="413"/>
      <c r="E42" s="367">
        <v>37.0</v>
      </c>
      <c r="F42" s="368" t="s">
        <v>24832</v>
      </c>
      <c r="G42" s="407" t="s">
        <v>24833</v>
      </c>
      <c r="H42" s="370" t="s">
        <v>33</v>
      </c>
      <c r="I42" s="371"/>
      <c r="J42" s="371" t="s">
        <v>13246</v>
      </c>
    </row>
    <row r="43" ht="15.0" customHeight="1">
      <c r="A43" s="410"/>
      <c r="B43" s="410"/>
      <c r="C43" s="410"/>
      <c r="D43" s="413"/>
      <c r="E43" s="367">
        <v>38.0</v>
      </c>
      <c r="F43" s="368" t="s">
        <v>24834</v>
      </c>
      <c r="G43" s="407" t="s">
        <v>24835</v>
      </c>
      <c r="H43" s="370" t="s">
        <v>33</v>
      </c>
      <c r="I43" s="371" t="s">
        <v>21206</v>
      </c>
      <c r="J43" s="371"/>
    </row>
    <row r="44" ht="15.0" customHeight="1">
      <c r="A44" s="410"/>
      <c r="B44" s="410"/>
      <c r="C44" s="410"/>
      <c r="D44" s="413"/>
      <c r="E44" s="367">
        <v>39.0</v>
      </c>
      <c r="F44" s="368" t="s">
        <v>24836</v>
      </c>
      <c r="G44" s="407" t="s">
        <v>8422</v>
      </c>
      <c r="H44" s="370" t="s">
        <v>244</v>
      </c>
      <c r="I44" s="371"/>
      <c r="J44" s="371" t="s">
        <v>1430</v>
      </c>
    </row>
    <row r="45" ht="15.0" customHeight="1">
      <c r="A45" s="410"/>
      <c r="B45" s="410"/>
      <c r="C45" s="410"/>
      <c r="D45" s="413"/>
      <c r="E45" s="367">
        <v>40.0</v>
      </c>
      <c r="F45" s="368" t="s">
        <v>24837</v>
      </c>
      <c r="G45" s="407" t="s">
        <v>1163</v>
      </c>
      <c r="H45" s="370" t="s">
        <v>33</v>
      </c>
      <c r="I45" s="371" t="s">
        <v>18527</v>
      </c>
      <c r="J45" s="371" t="s">
        <v>17747</v>
      </c>
    </row>
    <row r="46" ht="15.0" customHeight="1">
      <c r="A46" s="410"/>
      <c r="B46" s="410"/>
      <c r="C46" s="410"/>
      <c r="D46" s="413"/>
      <c r="E46" s="367">
        <v>41.0</v>
      </c>
      <c r="F46" s="368" t="s">
        <v>24838</v>
      </c>
      <c r="G46" s="407" t="s">
        <v>24839</v>
      </c>
      <c r="H46" s="370" t="s">
        <v>33</v>
      </c>
      <c r="I46" s="370" t="s">
        <v>18078</v>
      </c>
      <c r="J46" s="371" t="s">
        <v>12641</v>
      </c>
    </row>
    <row r="47" ht="15.0" customHeight="1">
      <c r="A47" s="410"/>
      <c r="B47" s="410"/>
      <c r="C47" s="410"/>
      <c r="D47" s="413"/>
      <c r="E47" s="367">
        <v>42.0</v>
      </c>
      <c r="F47" s="368" t="s">
        <v>24840</v>
      </c>
      <c r="G47" s="407" t="s">
        <v>4097</v>
      </c>
      <c r="H47" s="370" t="s">
        <v>33</v>
      </c>
      <c r="I47" s="371"/>
      <c r="J47" s="371" t="s">
        <v>12973</v>
      </c>
    </row>
    <row r="48" ht="15.0" customHeight="1">
      <c r="A48" s="410"/>
      <c r="B48" s="410"/>
      <c r="C48" s="410"/>
      <c r="D48" s="413"/>
      <c r="E48" s="367">
        <v>43.0</v>
      </c>
      <c r="F48" s="368" t="s">
        <v>24841</v>
      </c>
      <c r="G48" s="407" t="s">
        <v>2956</v>
      </c>
      <c r="H48" s="370" t="s">
        <v>33</v>
      </c>
      <c r="I48" s="371"/>
      <c r="J48" s="371" t="s">
        <v>12982</v>
      </c>
    </row>
    <row r="49" ht="15.0" customHeight="1">
      <c r="A49" s="410"/>
      <c r="B49" s="410"/>
      <c r="C49" s="410"/>
      <c r="D49" s="413"/>
      <c r="E49" s="367">
        <v>44.0</v>
      </c>
      <c r="F49" s="368" t="s">
        <v>24842</v>
      </c>
      <c r="G49" s="407" t="s">
        <v>6471</v>
      </c>
      <c r="H49" s="370" t="s">
        <v>244</v>
      </c>
      <c r="I49" s="371" t="s">
        <v>540</v>
      </c>
      <c r="J49" s="371" t="s">
        <v>13007</v>
      </c>
    </row>
    <row r="50" ht="15.0" customHeight="1">
      <c r="A50" s="410"/>
      <c r="B50" s="410"/>
      <c r="C50" s="410"/>
      <c r="D50" s="413"/>
      <c r="E50" s="367">
        <v>45.0</v>
      </c>
      <c r="F50" s="368" t="s">
        <v>24843</v>
      </c>
      <c r="G50" s="407" t="s">
        <v>14354</v>
      </c>
      <c r="H50" s="370" t="s">
        <v>33</v>
      </c>
      <c r="I50" s="371" t="s">
        <v>19685</v>
      </c>
      <c r="J50" s="371" t="s">
        <v>10380</v>
      </c>
    </row>
    <row r="51" ht="15.0" customHeight="1">
      <c r="A51" s="410"/>
      <c r="B51" s="410"/>
      <c r="C51" s="410"/>
      <c r="D51" s="413"/>
      <c r="E51" s="367">
        <v>46.0</v>
      </c>
      <c r="F51" s="368" t="s">
        <v>24844</v>
      </c>
      <c r="G51" s="407" t="s">
        <v>24845</v>
      </c>
      <c r="H51" s="370" t="s">
        <v>33</v>
      </c>
      <c r="I51" s="370"/>
      <c r="J51" s="371" t="s">
        <v>13268</v>
      </c>
    </row>
    <row r="52" ht="15.0" customHeight="1">
      <c r="A52" s="410"/>
      <c r="B52" s="410"/>
      <c r="C52" s="410"/>
      <c r="D52" s="413"/>
      <c r="E52" s="367">
        <v>47.0</v>
      </c>
      <c r="F52" s="368" t="s">
        <v>24846</v>
      </c>
      <c r="G52" s="407" t="s">
        <v>9172</v>
      </c>
      <c r="H52" s="370" t="s">
        <v>33</v>
      </c>
      <c r="I52" s="371"/>
      <c r="J52" s="371" t="s">
        <v>13222</v>
      </c>
    </row>
    <row r="53" ht="15.0" customHeight="1">
      <c r="A53" s="410"/>
      <c r="B53" s="410"/>
      <c r="C53" s="410"/>
      <c r="D53" s="413"/>
      <c r="E53" s="367">
        <v>48.0</v>
      </c>
      <c r="F53" s="368" t="s">
        <v>24847</v>
      </c>
      <c r="G53" s="407" t="s">
        <v>24848</v>
      </c>
      <c r="H53" s="370" t="s">
        <v>244</v>
      </c>
      <c r="I53" s="371"/>
      <c r="J53" s="371" t="s">
        <v>13222</v>
      </c>
    </row>
    <row r="54" ht="15.0" customHeight="1">
      <c r="A54" s="410"/>
      <c r="B54" s="410"/>
      <c r="C54" s="410"/>
      <c r="D54" s="413"/>
      <c r="E54" s="367">
        <v>49.0</v>
      </c>
      <c r="F54" s="368" t="s">
        <v>24849</v>
      </c>
      <c r="G54" s="407" t="s">
        <v>24850</v>
      </c>
      <c r="H54" s="370" t="s">
        <v>33</v>
      </c>
      <c r="I54" s="371"/>
      <c r="J54" s="371" t="s">
        <v>13217</v>
      </c>
    </row>
    <row r="55" ht="15.0" customHeight="1">
      <c r="A55" s="410"/>
      <c r="B55" s="410"/>
      <c r="C55" s="410"/>
      <c r="D55" s="413"/>
      <c r="E55" s="367">
        <v>50.0</v>
      </c>
      <c r="F55" s="368" t="s">
        <v>24851</v>
      </c>
      <c r="G55" s="369" t="s">
        <v>7901</v>
      </c>
      <c r="H55" s="370" t="s">
        <v>244</v>
      </c>
      <c r="I55" s="371"/>
      <c r="J55" s="371" t="s">
        <v>14250</v>
      </c>
    </row>
    <row r="56" ht="15.0" customHeight="1">
      <c r="A56" s="410"/>
      <c r="B56" s="410"/>
      <c r="C56" s="410"/>
      <c r="D56" s="413"/>
      <c r="E56" s="367">
        <v>51.0</v>
      </c>
      <c r="F56" s="368" t="s">
        <v>24852</v>
      </c>
      <c r="G56" s="407" t="s">
        <v>3834</v>
      </c>
      <c r="H56" s="370" t="s">
        <v>33</v>
      </c>
      <c r="I56" s="371"/>
      <c r="J56" s="371" t="s">
        <v>24853</v>
      </c>
    </row>
    <row r="57" ht="15.0" customHeight="1">
      <c r="A57" s="410"/>
      <c r="B57" s="410"/>
      <c r="C57" s="410"/>
      <c r="D57" s="413"/>
      <c r="E57" s="367">
        <v>52.0</v>
      </c>
      <c r="F57" s="368" t="s">
        <v>24854</v>
      </c>
      <c r="G57" s="369" t="s">
        <v>19725</v>
      </c>
      <c r="H57" s="370"/>
      <c r="I57" s="371"/>
      <c r="J57" s="371" t="s">
        <v>16371</v>
      </c>
    </row>
    <row r="58" ht="15.0" customHeight="1">
      <c r="A58" s="410"/>
      <c r="B58" s="410"/>
      <c r="C58" s="410"/>
      <c r="D58" s="413"/>
      <c r="E58" s="367">
        <v>53.0</v>
      </c>
      <c r="F58" s="368" t="s">
        <v>24855</v>
      </c>
      <c r="G58" s="407" t="s">
        <v>24856</v>
      </c>
      <c r="H58" s="370" t="s">
        <v>33</v>
      </c>
      <c r="I58" s="371"/>
      <c r="J58" s="370"/>
    </row>
    <row r="59" ht="15.0" customHeight="1">
      <c r="A59" s="410"/>
      <c r="B59" s="410"/>
      <c r="C59" s="410"/>
      <c r="D59" s="413"/>
      <c r="E59" s="367">
        <v>54.0</v>
      </c>
      <c r="F59" s="368" t="s">
        <v>24857</v>
      </c>
      <c r="G59" s="407" t="s">
        <v>794</v>
      </c>
      <c r="H59" s="370" t="s">
        <v>33</v>
      </c>
      <c r="I59" s="371"/>
      <c r="J59" s="371" t="s">
        <v>24858</v>
      </c>
    </row>
    <row r="60" ht="15.0" customHeight="1">
      <c r="A60" s="410"/>
      <c r="B60" s="410"/>
      <c r="C60" s="410"/>
      <c r="D60" s="413"/>
      <c r="E60" s="367">
        <v>55.0</v>
      </c>
      <c r="F60" s="368" t="s">
        <v>24859</v>
      </c>
      <c r="G60" s="407" t="s">
        <v>2961</v>
      </c>
      <c r="H60" s="370" t="s">
        <v>33</v>
      </c>
      <c r="I60" s="371"/>
      <c r="J60" s="371" t="s">
        <v>11967</v>
      </c>
    </row>
    <row r="61" ht="15.0" customHeight="1">
      <c r="A61" s="410"/>
      <c r="B61" s="410"/>
      <c r="C61" s="410"/>
      <c r="D61" s="414"/>
      <c r="E61" s="367">
        <v>56.0</v>
      </c>
      <c r="F61" s="368" t="s">
        <v>24860</v>
      </c>
      <c r="G61" s="407" t="s">
        <v>2944</v>
      </c>
      <c r="H61" s="370" t="s">
        <v>244</v>
      </c>
      <c r="I61" s="371"/>
      <c r="J61" s="370"/>
    </row>
    <row r="62" ht="15.0" customHeight="1">
      <c r="A62" s="410"/>
      <c r="B62" s="410"/>
      <c r="C62" s="410"/>
      <c r="D62" s="414"/>
      <c r="E62" s="414"/>
      <c r="F62" s="415"/>
      <c r="G62" s="407" t="s">
        <v>8230</v>
      </c>
      <c r="H62" s="370" t="s">
        <v>33</v>
      </c>
      <c r="I62" s="371"/>
      <c r="J62" s="371" t="s">
        <v>16881</v>
      </c>
    </row>
    <row r="63" ht="15.0" customHeight="1">
      <c r="A63" s="410"/>
      <c r="B63" s="410"/>
      <c r="C63" s="410"/>
      <c r="D63" s="414"/>
      <c r="E63" s="414"/>
      <c r="F63" s="415"/>
      <c r="G63" s="407" t="s">
        <v>24861</v>
      </c>
      <c r="H63" s="370" t="s">
        <v>33</v>
      </c>
      <c r="I63" s="371"/>
      <c r="J63" s="371" t="s">
        <v>16899</v>
      </c>
    </row>
    <row r="64" ht="15.0" customHeight="1">
      <c r="A64" s="410"/>
      <c r="B64" s="410"/>
      <c r="C64" s="410"/>
      <c r="D64" s="414"/>
      <c r="E64" s="414"/>
      <c r="F64" s="415"/>
      <c r="G64" s="407" t="s">
        <v>1530</v>
      </c>
      <c r="H64" s="370" t="s">
        <v>33</v>
      </c>
      <c r="I64" s="371"/>
      <c r="J64" s="371" t="s">
        <v>16905</v>
      </c>
    </row>
    <row r="65" ht="15.0" customHeight="1">
      <c r="A65" s="410"/>
      <c r="B65" s="410"/>
      <c r="C65" s="410"/>
      <c r="D65" s="414"/>
      <c r="E65" s="414"/>
      <c r="F65" s="415"/>
      <c r="G65" s="407" t="s">
        <v>24862</v>
      </c>
      <c r="H65" s="370" t="s">
        <v>244</v>
      </c>
      <c r="I65" s="371"/>
      <c r="J65" s="370"/>
    </row>
    <row r="66" ht="15.0" customHeight="1">
      <c r="A66" s="410"/>
      <c r="B66" s="410"/>
      <c r="C66" s="410"/>
      <c r="D66" s="414"/>
      <c r="E66" s="414"/>
      <c r="F66" s="415"/>
      <c r="G66" s="407" t="s">
        <v>24863</v>
      </c>
      <c r="H66" s="370" t="s">
        <v>33</v>
      </c>
      <c r="I66" s="371"/>
      <c r="J66" s="371" t="s">
        <v>17109</v>
      </c>
    </row>
    <row r="67" ht="15.0" customHeight="1">
      <c r="A67" s="410"/>
      <c r="B67" s="410"/>
      <c r="C67" s="410"/>
      <c r="D67" s="414"/>
      <c r="E67" s="414"/>
      <c r="F67" s="415"/>
      <c r="G67" s="407" t="s">
        <v>1097</v>
      </c>
      <c r="H67" s="370" t="s">
        <v>33</v>
      </c>
      <c r="I67" s="371"/>
      <c r="J67" s="370"/>
    </row>
    <row r="68" ht="15.0" customHeight="1">
      <c r="A68" s="410"/>
      <c r="B68" s="410"/>
      <c r="C68" s="410"/>
      <c r="D68" s="414"/>
      <c r="E68" s="414"/>
      <c r="F68" s="415"/>
      <c r="G68" s="407" t="s">
        <v>24864</v>
      </c>
      <c r="H68" s="370" t="s">
        <v>33</v>
      </c>
      <c r="I68" s="371"/>
      <c r="J68" s="371" t="s">
        <v>17785</v>
      </c>
    </row>
    <row r="69" ht="15.0" customHeight="1">
      <c r="A69" s="410"/>
      <c r="B69" s="410"/>
      <c r="C69" s="410"/>
      <c r="D69" s="414"/>
      <c r="E69" s="414"/>
      <c r="F69" s="415"/>
      <c r="G69" s="407" t="s">
        <v>24865</v>
      </c>
      <c r="H69" s="370" t="s">
        <v>33</v>
      </c>
      <c r="I69" s="370"/>
      <c r="J69" s="370"/>
    </row>
    <row r="70" ht="15.0" customHeight="1">
      <c r="A70" s="410"/>
      <c r="B70" s="410"/>
      <c r="C70" s="410"/>
      <c r="D70" s="414"/>
      <c r="E70" s="414"/>
      <c r="F70" s="415"/>
      <c r="G70" s="407" t="s">
        <v>24866</v>
      </c>
      <c r="H70" s="370" t="s">
        <v>244</v>
      </c>
      <c r="I70" s="416"/>
      <c r="J70" s="370"/>
    </row>
    <row r="71" ht="15.0" customHeight="1">
      <c r="A71" s="410"/>
      <c r="B71" s="410"/>
      <c r="C71" s="410"/>
      <c r="D71" s="414"/>
      <c r="E71" s="414"/>
      <c r="F71" s="415"/>
      <c r="G71" s="407" t="s">
        <v>24867</v>
      </c>
      <c r="H71" s="370" t="s">
        <v>33</v>
      </c>
      <c r="I71" s="416"/>
      <c r="J71" s="371" t="s">
        <v>18729</v>
      </c>
    </row>
    <row r="72" ht="15.0" customHeight="1">
      <c r="A72" s="410"/>
      <c r="B72" s="410"/>
      <c r="C72" s="410"/>
      <c r="D72" s="414"/>
      <c r="E72" s="414"/>
      <c r="F72" s="415"/>
      <c r="G72" s="407" t="s">
        <v>14361</v>
      </c>
      <c r="H72" s="370" t="s">
        <v>33</v>
      </c>
      <c r="I72" s="416"/>
      <c r="J72" s="371" t="s">
        <v>19108</v>
      </c>
    </row>
    <row r="73" ht="15.0" customHeight="1">
      <c r="A73" s="410"/>
      <c r="B73" s="410"/>
      <c r="C73" s="410"/>
      <c r="D73" s="414"/>
      <c r="E73" s="414"/>
      <c r="F73" s="415"/>
      <c r="G73" s="407" t="s">
        <v>24868</v>
      </c>
      <c r="H73" s="370" t="s">
        <v>33</v>
      </c>
      <c r="I73" s="416"/>
      <c r="J73" s="370"/>
    </row>
    <row r="74" ht="15.0" customHeight="1">
      <c r="A74" s="410"/>
      <c r="B74" s="410"/>
      <c r="C74" s="410"/>
      <c r="D74" s="414"/>
      <c r="E74" s="414"/>
      <c r="F74" s="415"/>
      <c r="G74" s="407" t="s">
        <v>2554</v>
      </c>
      <c r="H74" s="370" t="s">
        <v>33</v>
      </c>
      <c r="I74" s="416"/>
      <c r="J74" s="370"/>
    </row>
    <row r="75" ht="15.0" customHeight="1">
      <c r="A75" s="410"/>
      <c r="B75" s="410"/>
      <c r="C75" s="410"/>
      <c r="D75" s="414"/>
      <c r="E75" s="414"/>
      <c r="F75" s="415"/>
      <c r="G75" s="407"/>
      <c r="H75" s="370"/>
      <c r="I75" s="370"/>
      <c r="J75" s="371" t="s">
        <v>19685</v>
      </c>
    </row>
    <row r="76" ht="15.0" customHeight="1">
      <c r="A76" s="410"/>
      <c r="B76" s="410"/>
      <c r="C76" s="410"/>
      <c r="D76" s="414"/>
      <c r="E76" s="414"/>
      <c r="F76" s="415"/>
      <c r="G76" s="407" t="s">
        <v>24869</v>
      </c>
      <c r="H76" s="370" t="s">
        <v>33</v>
      </c>
      <c r="I76" s="370"/>
      <c r="J76" s="371" t="s">
        <v>19720</v>
      </c>
    </row>
    <row r="77" ht="15.0" customHeight="1">
      <c r="A77" s="410"/>
      <c r="B77" s="410"/>
      <c r="C77" s="410"/>
      <c r="D77" s="414"/>
      <c r="E77" s="414"/>
      <c r="F77" s="415"/>
      <c r="G77" s="407" t="s">
        <v>4792</v>
      </c>
      <c r="H77" s="370" t="s">
        <v>244</v>
      </c>
      <c r="I77" s="417" t="s">
        <v>19882</v>
      </c>
    </row>
    <row r="78" ht="15.0" customHeight="1">
      <c r="A78" s="410"/>
      <c r="B78" s="410"/>
      <c r="C78" s="410"/>
      <c r="D78" s="414"/>
      <c r="E78" s="414"/>
      <c r="F78" s="415"/>
      <c r="G78" s="407" t="s">
        <v>7436</v>
      </c>
      <c r="H78" s="370" t="s">
        <v>33</v>
      </c>
      <c r="J78" s="417" t="s">
        <v>19882</v>
      </c>
    </row>
    <row r="79" ht="15.0" customHeight="1">
      <c r="A79" s="410"/>
      <c r="B79" s="410"/>
      <c r="C79" s="410"/>
      <c r="D79" s="414"/>
      <c r="E79" s="414"/>
      <c r="F79" s="415"/>
      <c r="G79" s="407" t="s">
        <v>24870</v>
      </c>
      <c r="H79" s="370" t="s">
        <v>33</v>
      </c>
      <c r="J79" s="417" t="s">
        <v>20624</v>
      </c>
    </row>
    <row r="80" ht="15.0" customHeight="1">
      <c r="A80" s="410"/>
      <c r="B80" s="410"/>
      <c r="C80" s="410"/>
      <c r="D80" s="414"/>
      <c r="E80" s="414"/>
      <c r="F80" s="415"/>
      <c r="G80" s="407" t="s">
        <v>2288</v>
      </c>
      <c r="H80" s="370" t="s">
        <v>33</v>
      </c>
      <c r="J80" s="417" t="s">
        <v>21500</v>
      </c>
    </row>
    <row r="81" ht="15.0" customHeight="1">
      <c r="A81" s="410"/>
      <c r="B81" s="410"/>
      <c r="C81" s="410"/>
      <c r="D81" s="414"/>
      <c r="E81" s="414"/>
      <c r="F81" s="415"/>
      <c r="G81" s="407" t="s">
        <v>1304</v>
      </c>
      <c r="H81" s="370" t="s">
        <v>33</v>
      </c>
      <c r="I81" s="370"/>
      <c r="J81" s="370"/>
    </row>
    <row r="82" ht="15.0" customHeight="1">
      <c r="A82" s="410"/>
      <c r="B82" s="410"/>
      <c r="C82" s="410"/>
      <c r="D82" s="414"/>
      <c r="E82" s="414"/>
      <c r="F82" s="415"/>
      <c r="G82" s="407" t="s">
        <v>24871</v>
      </c>
      <c r="H82" s="370" t="s">
        <v>33</v>
      </c>
      <c r="I82" s="370"/>
      <c r="J82" s="370"/>
    </row>
    <row r="83" ht="15.0" customHeight="1">
      <c r="A83" s="410"/>
      <c r="B83" s="410"/>
      <c r="C83" s="410"/>
      <c r="D83" s="414"/>
      <c r="E83" s="414"/>
      <c r="F83" s="415"/>
      <c r="G83" s="407" t="s">
        <v>24872</v>
      </c>
      <c r="H83" s="370" t="s">
        <v>33</v>
      </c>
      <c r="I83" s="370"/>
      <c r="J83" s="370"/>
    </row>
    <row r="84" ht="15.0" customHeight="1">
      <c r="A84" s="410"/>
      <c r="B84" s="410"/>
      <c r="C84" s="410"/>
      <c r="D84" s="414"/>
      <c r="E84" s="414"/>
      <c r="F84" s="415"/>
      <c r="G84" s="407" t="s">
        <v>21021</v>
      </c>
      <c r="H84" s="370" t="s">
        <v>33</v>
      </c>
      <c r="I84" s="370"/>
      <c r="J84" s="370"/>
    </row>
    <row r="85" ht="15.0" customHeight="1">
      <c r="A85" s="410"/>
      <c r="B85" s="410"/>
      <c r="C85" s="410"/>
      <c r="D85" s="414"/>
      <c r="E85" s="414"/>
      <c r="F85" s="415"/>
      <c r="G85" s="407"/>
      <c r="H85" s="370"/>
      <c r="I85" s="370"/>
      <c r="J85" s="370"/>
    </row>
    <row r="86" ht="15.0" customHeight="1">
      <c r="A86" s="410"/>
      <c r="B86" s="410"/>
      <c r="C86" s="410"/>
      <c r="D86" s="414"/>
      <c r="E86" s="414"/>
      <c r="F86" s="415"/>
      <c r="G86" s="407" t="s">
        <v>24873</v>
      </c>
      <c r="H86" s="370" t="s">
        <v>33</v>
      </c>
      <c r="I86" s="370"/>
      <c r="J86" s="370"/>
    </row>
    <row r="87" ht="15.0" customHeight="1">
      <c r="A87" s="410"/>
      <c r="B87" s="410"/>
      <c r="C87" s="410"/>
      <c r="D87" s="414"/>
      <c r="E87" s="414"/>
      <c r="F87" s="415"/>
      <c r="G87" s="407"/>
      <c r="H87" s="370"/>
      <c r="I87" s="370"/>
      <c r="J87" s="416"/>
    </row>
    <row r="88" ht="15.0" customHeight="1">
      <c r="A88" s="410"/>
      <c r="B88" s="410"/>
      <c r="C88" s="410"/>
      <c r="D88" s="414"/>
      <c r="E88" s="414"/>
      <c r="F88" s="415"/>
      <c r="G88" s="407" t="s">
        <v>16989</v>
      </c>
      <c r="H88" s="370" t="s">
        <v>33</v>
      </c>
      <c r="I88" s="370"/>
      <c r="J88" s="416"/>
    </row>
    <row r="89" ht="15.0" customHeight="1">
      <c r="A89" s="410"/>
      <c r="B89" s="410"/>
      <c r="C89" s="410"/>
      <c r="D89" s="414"/>
      <c r="E89" s="414"/>
      <c r="F89" s="415"/>
      <c r="G89" s="407" t="s">
        <v>14576</v>
      </c>
      <c r="H89" s="370" t="s">
        <v>244</v>
      </c>
      <c r="I89" s="416"/>
      <c r="J89" s="370"/>
    </row>
    <row r="90" ht="15.0" customHeight="1">
      <c r="A90" s="410"/>
      <c r="B90" s="410"/>
      <c r="C90" s="410"/>
      <c r="D90" s="414"/>
      <c r="E90" s="414"/>
      <c r="F90" s="415"/>
      <c r="G90" s="407" t="s">
        <v>988</v>
      </c>
      <c r="H90" s="370" t="s">
        <v>33</v>
      </c>
      <c r="I90" s="416"/>
      <c r="J90" s="370"/>
    </row>
    <row r="91" ht="15.0" customHeight="1">
      <c r="A91" s="410"/>
      <c r="B91" s="410"/>
      <c r="C91" s="410"/>
      <c r="D91" s="414"/>
      <c r="E91" s="414"/>
      <c r="F91" s="415"/>
      <c r="G91" s="369" t="s">
        <v>22983</v>
      </c>
      <c r="H91" s="370"/>
      <c r="I91" s="370"/>
      <c r="J91" s="370"/>
    </row>
    <row r="92" ht="15.0" customHeight="1">
      <c r="A92" s="410"/>
      <c r="B92" s="410"/>
      <c r="C92" s="410"/>
      <c r="D92" s="414"/>
      <c r="E92" s="414"/>
      <c r="F92" s="415"/>
      <c r="G92" s="407"/>
      <c r="H92" s="370"/>
      <c r="I92" s="370"/>
      <c r="J92" s="370"/>
    </row>
    <row r="93" ht="15.0" customHeight="1">
      <c r="A93" s="410"/>
      <c r="B93" s="410"/>
      <c r="C93" s="410"/>
      <c r="D93" s="414"/>
      <c r="E93" s="414"/>
      <c r="F93" s="415"/>
      <c r="G93" s="407" t="s">
        <v>24874</v>
      </c>
      <c r="H93" s="370" t="s">
        <v>33</v>
      </c>
      <c r="I93" s="370"/>
      <c r="J93" s="416"/>
    </row>
    <row r="94" ht="15.0" customHeight="1">
      <c r="A94" s="410"/>
      <c r="B94" s="410"/>
      <c r="C94" s="410"/>
      <c r="D94" s="414"/>
      <c r="E94" s="414"/>
      <c r="F94" s="415"/>
      <c r="G94" s="407"/>
      <c r="H94" s="370"/>
      <c r="I94" s="370"/>
      <c r="J94" s="416"/>
    </row>
    <row r="95" ht="15.0" customHeight="1">
      <c r="A95" s="410"/>
      <c r="B95" s="410"/>
      <c r="C95" s="410"/>
      <c r="D95" s="414"/>
      <c r="E95" s="414"/>
      <c r="F95" s="415"/>
      <c r="G95" s="407" t="s">
        <v>2254</v>
      </c>
      <c r="H95" s="370" t="s">
        <v>33</v>
      </c>
      <c r="I95" s="370"/>
      <c r="J95" s="416"/>
    </row>
    <row r="96" ht="15.0" customHeight="1">
      <c r="A96" s="410"/>
      <c r="B96" s="410"/>
      <c r="C96" s="410"/>
      <c r="D96" s="414"/>
      <c r="E96" s="414"/>
      <c r="F96" s="415"/>
      <c r="G96" s="407" t="s">
        <v>24875</v>
      </c>
      <c r="H96" s="370" t="s">
        <v>244</v>
      </c>
      <c r="I96" s="370"/>
      <c r="J96" s="416"/>
    </row>
    <row r="97" ht="15.0" customHeight="1">
      <c r="A97" s="410"/>
      <c r="B97" s="410"/>
      <c r="C97" s="410"/>
      <c r="D97" s="414"/>
      <c r="E97" s="414"/>
      <c r="F97" s="415"/>
      <c r="G97" s="407" t="s">
        <v>10073</v>
      </c>
      <c r="H97" s="370" t="s">
        <v>33</v>
      </c>
      <c r="I97" s="370"/>
      <c r="J97" s="416"/>
    </row>
    <row r="98" ht="15.0" customHeight="1">
      <c r="A98" s="410"/>
      <c r="B98" s="410"/>
      <c r="C98" s="410"/>
      <c r="D98" s="414"/>
      <c r="E98" s="414"/>
      <c r="F98" s="415"/>
      <c r="G98" s="407"/>
      <c r="H98" s="370"/>
      <c r="I98" s="370"/>
      <c r="J98" s="416"/>
    </row>
    <row r="99" ht="15.0" customHeight="1">
      <c r="A99" s="410"/>
      <c r="B99" s="410"/>
      <c r="C99" s="410"/>
      <c r="D99" s="414"/>
      <c r="E99" s="414"/>
      <c r="F99" s="415"/>
      <c r="G99" s="407" t="s">
        <v>24876</v>
      </c>
      <c r="H99" s="370" t="s">
        <v>33</v>
      </c>
      <c r="I99" s="416"/>
      <c r="J99" s="418"/>
    </row>
    <row r="100" ht="15.0" customHeight="1">
      <c r="A100" s="410"/>
      <c r="B100" s="410"/>
      <c r="C100" s="410"/>
      <c r="D100" s="414"/>
      <c r="E100" s="414"/>
      <c r="F100" s="415"/>
      <c r="G100" s="407" t="s">
        <v>24877</v>
      </c>
      <c r="H100" s="370" t="s">
        <v>244</v>
      </c>
      <c r="I100" s="416"/>
      <c r="J100" s="418"/>
    </row>
    <row r="101" ht="15.0" customHeight="1">
      <c r="A101" s="410"/>
      <c r="B101" s="410"/>
      <c r="C101" s="410"/>
      <c r="D101" s="414"/>
      <c r="E101" s="414"/>
      <c r="F101" s="415"/>
      <c r="G101" s="407" t="s">
        <v>3802</v>
      </c>
      <c r="H101" s="370" t="s">
        <v>33</v>
      </c>
      <c r="I101" s="370"/>
      <c r="J101" s="418"/>
    </row>
    <row r="102" ht="15.0" customHeight="1">
      <c r="A102" s="410"/>
      <c r="B102" s="410"/>
      <c r="C102" s="410"/>
      <c r="D102" s="414"/>
      <c r="E102" s="414"/>
      <c r="F102" s="415"/>
      <c r="G102" s="407" t="s">
        <v>24878</v>
      </c>
      <c r="H102" s="370" t="s">
        <v>244</v>
      </c>
      <c r="I102" s="370"/>
      <c r="J102" s="418"/>
    </row>
    <row r="103" ht="15.0" customHeight="1">
      <c r="A103" s="410"/>
      <c r="B103" s="410"/>
      <c r="C103" s="410"/>
      <c r="D103" s="414"/>
      <c r="E103" s="414"/>
      <c r="F103" s="415"/>
      <c r="G103" s="407" t="s">
        <v>1394</v>
      </c>
      <c r="H103" s="370" t="s">
        <v>33</v>
      </c>
      <c r="I103" s="370"/>
      <c r="J103" s="419"/>
    </row>
    <row r="104" ht="15.0" customHeight="1">
      <c r="A104" s="410"/>
      <c r="B104" s="410"/>
      <c r="C104" s="410"/>
      <c r="D104" s="414"/>
      <c r="E104" s="414"/>
      <c r="F104" s="415"/>
      <c r="G104" s="407"/>
      <c r="H104" s="370"/>
      <c r="I104" s="370"/>
      <c r="J104" s="418"/>
    </row>
    <row r="105" ht="15.0" customHeight="1">
      <c r="A105" s="410"/>
      <c r="B105" s="410"/>
      <c r="C105" s="410"/>
      <c r="D105" s="414"/>
      <c r="E105" s="414"/>
      <c r="F105" s="415"/>
      <c r="G105" s="407" t="s">
        <v>378</v>
      </c>
      <c r="H105" s="370" t="s">
        <v>33</v>
      </c>
      <c r="I105" s="416"/>
      <c r="J105" s="419"/>
    </row>
    <row r="106" ht="15.0" customHeight="1">
      <c r="A106" s="410"/>
      <c r="B106" s="410"/>
      <c r="C106" s="410"/>
      <c r="D106" s="414"/>
      <c r="E106" s="414"/>
      <c r="F106" s="415"/>
      <c r="G106" s="407" t="s">
        <v>2431</v>
      </c>
      <c r="H106" s="370" t="s">
        <v>244</v>
      </c>
      <c r="I106" s="416"/>
      <c r="J106" s="418"/>
    </row>
    <row r="107" ht="15.0" customHeight="1">
      <c r="A107" s="410"/>
      <c r="B107" s="410"/>
      <c r="C107" s="410"/>
      <c r="D107" s="414"/>
      <c r="E107" s="414"/>
      <c r="F107" s="415"/>
      <c r="G107" s="407" t="s">
        <v>268</v>
      </c>
      <c r="H107" s="370" t="s">
        <v>33</v>
      </c>
      <c r="I107" s="416"/>
      <c r="J107" s="418"/>
    </row>
    <row r="108" ht="15.0" customHeight="1">
      <c r="A108" s="410"/>
      <c r="B108" s="410"/>
      <c r="C108" s="410"/>
      <c r="D108" s="414"/>
      <c r="E108" s="414"/>
      <c r="F108" s="415"/>
      <c r="G108" s="407"/>
      <c r="H108" s="370"/>
      <c r="I108" s="416"/>
      <c r="J108" s="419"/>
    </row>
    <row r="109" ht="15.0" customHeight="1">
      <c r="A109" s="410"/>
      <c r="B109" s="410"/>
      <c r="C109" s="410"/>
      <c r="D109" s="414"/>
      <c r="E109" s="414"/>
      <c r="F109" s="415"/>
      <c r="G109" s="369" t="s">
        <v>506</v>
      </c>
      <c r="H109" s="370" t="s">
        <v>33</v>
      </c>
      <c r="I109" s="416"/>
      <c r="J109" s="418"/>
    </row>
    <row r="110" ht="15.0" customHeight="1">
      <c r="A110" s="410"/>
      <c r="B110" s="410"/>
      <c r="C110" s="410"/>
      <c r="D110" s="414"/>
      <c r="E110" s="414"/>
      <c r="F110" s="415"/>
      <c r="G110" s="407" t="s">
        <v>24879</v>
      </c>
      <c r="H110" s="370" t="s">
        <v>33</v>
      </c>
      <c r="I110" s="416"/>
      <c r="J110" s="419"/>
    </row>
    <row r="111" ht="15.0" customHeight="1">
      <c r="A111" s="410"/>
      <c r="B111" s="410"/>
      <c r="C111" s="410"/>
      <c r="D111" s="414"/>
      <c r="E111" s="414"/>
      <c r="F111" s="415"/>
      <c r="G111" s="407" t="s">
        <v>2412</v>
      </c>
      <c r="H111" s="370" t="s">
        <v>244</v>
      </c>
      <c r="I111" s="418"/>
      <c r="J111" s="418"/>
    </row>
    <row r="112" ht="15.0" customHeight="1">
      <c r="A112" s="410"/>
      <c r="B112" s="410"/>
      <c r="C112" s="410"/>
      <c r="D112" s="414"/>
      <c r="E112" s="414"/>
      <c r="F112" s="415"/>
      <c r="G112" s="369" t="s">
        <v>301</v>
      </c>
      <c r="H112" s="370" t="s">
        <v>33</v>
      </c>
      <c r="I112" s="418"/>
      <c r="J112" s="418"/>
    </row>
    <row r="113" ht="15.0" customHeight="1">
      <c r="A113" s="410"/>
      <c r="B113" s="410"/>
      <c r="C113" s="410"/>
      <c r="D113" s="414"/>
      <c r="E113" s="414"/>
      <c r="F113" s="415"/>
      <c r="G113" s="407" t="s">
        <v>24880</v>
      </c>
      <c r="H113" s="370" t="s">
        <v>33</v>
      </c>
      <c r="I113" s="418"/>
      <c r="J113" s="418"/>
    </row>
    <row r="114" ht="15.0" customHeight="1">
      <c r="A114" s="410"/>
      <c r="B114" s="410"/>
      <c r="C114" s="410"/>
      <c r="D114" s="414"/>
      <c r="E114" s="414"/>
      <c r="F114" s="415"/>
      <c r="G114" s="407" t="s">
        <v>18163</v>
      </c>
      <c r="H114" s="370" t="s">
        <v>244</v>
      </c>
      <c r="I114" s="418"/>
      <c r="J114" s="418"/>
    </row>
    <row r="115" ht="15.0" customHeight="1">
      <c r="A115" s="410"/>
      <c r="B115" s="410"/>
      <c r="C115" s="410"/>
      <c r="D115" s="414"/>
      <c r="E115" s="414"/>
      <c r="F115" s="415"/>
      <c r="G115" s="407" t="s">
        <v>2618</v>
      </c>
      <c r="H115" s="370" t="s">
        <v>33</v>
      </c>
      <c r="I115" s="419"/>
      <c r="J115" s="418"/>
    </row>
    <row r="116" ht="15.0" customHeight="1">
      <c r="A116" s="410"/>
      <c r="B116" s="410"/>
      <c r="C116" s="410"/>
      <c r="D116" s="414"/>
      <c r="E116" s="414"/>
      <c r="F116" s="415"/>
      <c r="G116" s="369" t="s">
        <v>22172</v>
      </c>
      <c r="H116" s="370"/>
      <c r="I116" s="418"/>
      <c r="J116" s="416"/>
    </row>
    <row r="117" ht="15.0" customHeight="1">
      <c r="A117" s="410"/>
      <c r="B117" s="410"/>
      <c r="C117" s="410"/>
      <c r="D117" s="414"/>
      <c r="E117" s="414"/>
      <c r="F117" s="415"/>
      <c r="G117" s="407" t="s">
        <v>2337</v>
      </c>
      <c r="H117" s="370" t="s">
        <v>33</v>
      </c>
      <c r="I117" s="419"/>
      <c r="J117" s="370"/>
    </row>
    <row r="118" ht="15.0" customHeight="1">
      <c r="A118" s="410"/>
      <c r="B118" s="410"/>
      <c r="C118" s="410"/>
      <c r="D118" s="414"/>
      <c r="E118" s="414"/>
      <c r="F118" s="415"/>
      <c r="G118" s="407" t="s">
        <v>2106</v>
      </c>
      <c r="H118" s="370" t="s">
        <v>244</v>
      </c>
      <c r="I118" s="418"/>
      <c r="J118" s="370"/>
    </row>
    <row r="119" ht="15.0" customHeight="1">
      <c r="A119" s="410"/>
      <c r="B119" s="410"/>
      <c r="C119" s="410"/>
      <c r="D119" s="414"/>
      <c r="E119" s="414"/>
      <c r="F119" s="415"/>
      <c r="G119" s="407" t="s">
        <v>1595</v>
      </c>
      <c r="H119" s="370" t="s">
        <v>33</v>
      </c>
      <c r="I119" s="418"/>
      <c r="J119" s="370"/>
    </row>
    <row r="120" ht="15.0" customHeight="1">
      <c r="A120" s="410"/>
      <c r="B120" s="410"/>
      <c r="C120" s="410"/>
      <c r="D120" s="414"/>
      <c r="E120" s="414"/>
      <c r="F120" s="415"/>
      <c r="G120" s="407"/>
      <c r="H120" s="370"/>
      <c r="I120" s="419"/>
      <c r="J120" s="370"/>
    </row>
    <row r="121" ht="15.0" customHeight="1">
      <c r="A121" s="410"/>
      <c r="B121" s="410"/>
      <c r="C121" s="410"/>
      <c r="D121" s="414"/>
      <c r="E121" s="414"/>
      <c r="F121" s="415"/>
      <c r="G121" s="407" t="s">
        <v>2089</v>
      </c>
      <c r="H121" s="370" t="s">
        <v>33</v>
      </c>
      <c r="I121" s="418"/>
      <c r="J121" s="416"/>
    </row>
    <row r="122" ht="15.0" customHeight="1">
      <c r="A122" s="410"/>
      <c r="B122" s="410"/>
      <c r="C122" s="410"/>
      <c r="D122" s="414"/>
      <c r="E122" s="414"/>
      <c r="F122" s="415"/>
      <c r="G122" s="407" t="s">
        <v>9782</v>
      </c>
      <c r="H122" s="370" t="s">
        <v>244</v>
      </c>
      <c r="I122" s="419"/>
      <c r="J122" s="370"/>
    </row>
    <row r="123" ht="15.0" customHeight="1">
      <c r="A123" s="410"/>
      <c r="B123" s="410"/>
      <c r="C123" s="410"/>
      <c r="D123" s="414"/>
      <c r="E123" s="414"/>
      <c r="F123" s="415"/>
      <c r="G123" s="407" t="s">
        <v>545</v>
      </c>
      <c r="H123" s="370" t="s">
        <v>33</v>
      </c>
      <c r="I123" s="418"/>
      <c r="J123" s="370"/>
    </row>
    <row r="124" ht="15.0" customHeight="1">
      <c r="A124" s="410"/>
      <c r="B124" s="410"/>
      <c r="C124" s="410"/>
      <c r="D124" s="414"/>
      <c r="E124" s="414"/>
      <c r="F124" s="415"/>
      <c r="G124" s="407"/>
      <c r="H124" s="370"/>
      <c r="I124" s="418"/>
      <c r="J124" s="370"/>
    </row>
    <row r="125" ht="15.0" customHeight="1">
      <c r="A125" s="410"/>
      <c r="B125" s="410"/>
      <c r="C125" s="410"/>
      <c r="D125" s="414"/>
      <c r="E125" s="414"/>
      <c r="F125" s="415"/>
      <c r="G125" s="407" t="s">
        <v>1724</v>
      </c>
      <c r="H125" s="370" t="s">
        <v>33</v>
      </c>
      <c r="I125" s="418"/>
      <c r="J125" s="370"/>
    </row>
    <row r="126" ht="15.0" customHeight="1">
      <c r="A126" s="410"/>
      <c r="B126" s="410"/>
      <c r="C126" s="410"/>
      <c r="D126" s="414"/>
      <c r="E126" s="414"/>
      <c r="F126" s="415"/>
      <c r="G126" s="407" t="s">
        <v>453</v>
      </c>
      <c r="H126" s="370" t="s">
        <v>244</v>
      </c>
      <c r="I126" s="418"/>
      <c r="J126" s="370"/>
    </row>
    <row r="127" ht="15.0" customHeight="1">
      <c r="A127" s="410"/>
      <c r="B127" s="410"/>
      <c r="C127" s="410"/>
      <c r="D127" s="414"/>
      <c r="E127" s="414"/>
      <c r="F127" s="415"/>
      <c r="G127" s="407" t="s">
        <v>165</v>
      </c>
      <c r="H127" s="370" t="s">
        <v>33</v>
      </c>
      <c r="I127" s="418"/>
      <c r="J127" s="370"/>
    </row>
    <row r="128" ht="15.0" customHeight="1">
      <c r="A128" s="410"/>
      <c r="B128" s="410"/>
      <c r="C128" s="410"/>
      <c r="D128" s="414"/>
      <c r="E128" s="414"/>
      <c r="F128" s="415"/>
      <c r="G128" s="369" t="s">
        <v>18009</v>
      </c>
      <c r="H128" s="370"/>
      <c r="I128" s="416"/>
      <c r="J128" s="370"/>
    </row>
    <row r="129" ht="15.0" customHeight="1">
      <c r="A129" s="410"/>
      <c r="B129" s="410"/>
      <c r="C129" s="410"/>
      <c r="D129" s="414"/>
      <c r="E129" s="414"/>
      <c r="F129" s="415"/>
      <c r="G129" s="407"/>
      <c r="H129" s="370"/>
      <c r="I129" s="370"/>
      <c r="J129" s="370"/>
    </row>
    <row r="130" ht="15.0" customHeight="1">
      <c r="A130" s="410"/>
      <c r="B130" s="410"/>
      <c r="C130" s="410"/>
      <c r="D130" s="414"/>
      <c r="E130" s="414"/>
      <c r="F130" s="415"/>
      <c r="G130" s="407" t="s">
        <v>491</v>
      </c>
      <c r="H130" s="370" t="s">
        <v>33</v>
      </c>
      <c r="I130" s="370"/>
      <c r="J130" s="370"/>
    </row>
    <row r="131" ht="15.0" customHeight="1">
      <c r="A131" s="410"/>
      <c r="B131" s="410"/>
      <c r="C131" s="410"/>
      <c r="D131" s="414"/>
      <c r="E131" s="414"/>
      <c r="F131" s="415"/>
      <c r="G131" s="369" t="s">
        <v>24881</v>
      </c>
      <c r="H131" s="370"/>
      <c r="I131" s="370"/>
      <c r="J131" s="370"/>
    </row>
    <row r="132" ht="15.0" customHeight="1">
      <c r="A132" s="410"/>
      <c r="B132" s="410"/>
      <c r="C132" s="410"/>
      <c r="D132" s="414"/>
      <c r="E132" s="414"/>
      <c r="F132" s="415"/>
      <c r="G132" s="407" t="s">
        <v>532</v>
      </c>
      <c r="H132" s="370" t="s">
        <v>244</v>
      </c>
      <c r="I132" s="370"/>
      <c r="J132" s="370"/>
    </row>
    <row r="133" ht="15.0" customHeight="1">
      <c r="A133" s="410"/>
      <c r="B133" s="410"/>
      <c r="C133" s="410"/>
      <c r="D133" s="414"/>
      <c r="E133" s="414"/>
      <c r="F133" s="415"/>
      <c r="G133" s="407" t="s">
        <v>511</v>
      </c>
      <c r="H133" s="370" t="s">
        <v>33</v>
      </c>
      <c r="I133" s="416"/>
      <c r="J133" s="370"/>
    </row>
    <row r="134" ht="15.0" customHeight="1">
      <c r="A134" s="410"/>
      <c r="B134" s="410"/>
      <c r="C134" s="410"/>
      <c r="D134" s="414"/>
      <c r="E134" s="414"/>
      <c r="F134" s="415"/>
      <c r="G134" s="407"/>
      <c r="H134" s="370"/>
      <c r="I134" s="370"/>
      <c r="J134" s="370"/>
    </row>
    <row r="135" ht="15.0" customHeight="1">
      <c r="A135" s="410"/>
      <c r="B135" s="410"/>
      <c r="C135" s="410"/>
      <c r="D135" s="414"/>
      <c r="E135" s="414"/>
      <c r="F135" s="415"/>
      <c r="G135" s="407" t="s">
        <v>713</v>
      </c>
      <c r="H135" s="370" t="s">
        <v>33</v>
      </c>
      <c r="I135" s="370"/>
      <c r="J135" s="370"/>
    </row>
    <row r="136" ht="15.0" customHeight="1">
      <c r="A136" s="410"/>
      <c r="B136" s="410"/>
      <c r="C136" s="410"/>
      <c r="D136" s="414"/>
      <c r="E136" s="414"/>
      <c r="F136" s="415"/>
      <c r="G136" s="369" t="s">
        <v>1911</v>
      </c>
      <c r="H136" s="370" t="s">
        <v>244</v>
      </c>
      <c r="I136" s="370"/>
      <c r="J136" s="370"/>
    </row>
    <row r="137" ht="15.0" customHeight="1">
      <c r="A137" s="410"/>
      <c r="B137" s="410"/>
      <c r="C137" s="410"/>
      <c r="D137" s="414"/>
      <c r="E137" s="414"/>
      <c r="F137" s="415"/>
      <c r="G137" s="369" t="s">
        <v>98</v>
      </c>
      <c r="H137" s="370" t="s">
        <v>33</v>
      </c>
      <c r="I137" s="370"/>
      <c r="J137" s="370"/>
    </row>
    <row r="138" ht="15.0" customHeight="1">
      <c r="A138" s="410"/>
      <c r="B138" s="410"/>
      <c r="C138" s="410"/>
      <c r="D138" s="414"/>
      <c r="E138" s="414"/>
      <c r="F138" s="415"/>
      <c r="G138" s="369" t="s">
        <v>17047</v>
      </c>
      <c r="H138" s="370"/>
      <c r="I138" s="370"/>
      <c r="J138" s="370"/>
    </row>
    <row r="139" ht="15.0" customHeight="1">
      <c r="A139" s="410"/>
      <c r="B139" s="410"/>
      <c r="C139" s="410"/>
      <c r="D139" s="414"/>
      <c r="E139" s="414"/>
      <c r="F139" s="415"/>
      <c r="G139" s="369" t="s">
        <v>882</v>
      </c>
      <c r="H139" s="370" t="s">
        <v>33</v>
      </c>
      <c r="I139" s="370"/>
      <c r="J139" s="370"/>
    </row>
    <row r="140" ht="15.0" customHeight="1">
      <c r="A140" s="410"/>
      <c r="B140" s="410"/>
      <c r="C140" s="410"/>
      <c r="D140" s="414"/>
      <c r="E140" s="414"/>
      <c r="F140" s="415"/>
      <c r="G140" s="369" t="s">
        <v>804</v>
      </c>
      <c r="H140" s="370" t="s">
        <v>244</v>
      </c>
      <c r="I140" s="370"/>
      <c r="J140" s="370"/>
    </row>
    <row r="141" ht="15.0" customHeight="1">
      <c r="A141" s="410"/>
      <c r="B141" s="410"/>
      <c r="C141" s="410"/>
      <c r="D141" s="414"/>
      <c r="E141" s="414"/>
      <c r="F141" s="415"/>
      <c r="G141" s="369" t="s">
        <v>1119</v>
      </c>
      <c r="H141" s="370" t="s">
        <v>33</v>
      </c>
      <c r="I141" s="370"/>
      <c r="J141" s="370"/>
    </row>
    <row r="142" ht="15.0" customHeight="1">
      <c r="A142" s="410"/>
      <c r="B142" s="410"/>
      <c r="C142" s="410"/>
      <c r="D142" s="414"/>
      <c r="E142" s="414"/>
      <c r="F142" s="415"/>
      <c r="G142" s="369" t="s">
        <v>24882</v>
      </c>
      <c r="H142" s="370"/>
      <c r="I142" s="370"/>
      <c r="J142" s="370"/>
    </row>
    <row r="143" ht="15.0" customHeight="1">
      <c r="A143" s="410"/>
      <c r="B143" s="410"/>
      <c r="C143" s="410"/>
      <c r="D143" s="414"/>
      <c r="E143" s="414"/>
      <c r="F143" s="415"/>
      <c r="G143" s="369"/>
      <c r="H143" s="370"/>
      <c r="I143" s="370"/>
      <c r="J143" s="370"/>
    </row>
    <row r="144" ht="15.0" customHeight="1">
      <c r="A144" s="410"/>
      <c r="B144" s="410"/>
      <c r="C144" s="410"/>
      <c r="D144" s="414"/>
      <c r="E144" s="414"/>
      <c r="F144" s="415"/>
      <c r="G144" s="369" t="s">
        <v>2167</v>
      </c>
      <c r="H144" s="370" t="s">
        <v>33</v>
      </c>
      <c r="I144" s="370"/>
      <c r="J144" s="370"/>
    </row>
    <row r="145" ht="15.0" customHeight="1">
      <c r="A145" s="410"/>
      <c r="B145" s="410"/>
      <c r="C145" s="410"/>
      <c r="D145" s="414"/>
      <c r="E145" s="414"/>
      <c r="F145" s="415"/>
      <c r="G145" s="369" t="s">
        <v>257</v>
      </c>
      <c r="H145" s="370" t="s">
        <v>244</v>
      </c>
      <c r="I145" s="370"/>
      <c r="J145" s="370"/>
    </row>
    <row r="146" ht="15.0" customHeight="1">
      <c r="A146" s="410"/>
      <c r="B146" s="410"/>
      <c r="C146" s="410"/>
      <c r="D146" s="414"/>
      <c r="E146" s="414"/>
      <c r="F146" s="415"/>
      <c r="G146" s="407" t="s">
        <v>117</v>
      </c>
      <c r="H146" s="370" t="s">
        <v>33</v>
      </c>
      <c r="I146" s="370"/>
      <c r="J146" s="370"/>
    </row>
    <row r="147" ht="15.0" customHeight="1">
      <c r="A147" s="410"/>
      <c r="B147" s="410"/>
      <c r="C147" s="410"/>
      <c r="D147" s="414"/>
      <c r="E147" s="414"/>
      <c r="F147" s="415"/>
      <c r="G147" s="369" t="s">
        <v>15373</v>
      </c>
      <c r="H147" s="370"/>
      <c r="I147" s="370"/>
      <c r="J147" s="370"/>
    </row>
    <row r="148" ht="15.0" customHeight="1">
      <c r="A148" s="410"/>
      <c r="B148" s="410"/>
      <c r="C148" s="410"/>
      <c r="D148" s="414"/>
      <c r="E148" s="414"/>
      <c r="F148" s="415"/>
      <c r="G148" s="369" t="s">
        <v>3863</v>
      </c>
      <c r="H148" s="370" t="s">
        <v>244</v>
      </c>
      <c r="I148" s="370"/>
      <c r="J148" s="370"/>
    </row>
    <row r="149" ht="15.0" customHeight="1">
      <c r="A149" s="410"/>
      <c r="B149" s="410"/>
      <c r="C149" s="410"/>
      <c r="D149" s="414"/>
      <c r="E149" s="414"/>
      <c r="F149" s="415"/>
      <c r="G149" s="369" t="s">
        <v>731</v>
      </c>
      <c r="H149" s="370" t="s">
        <v>33</v>
      </c>
      <c r="I149" s="370"/>
      <c r="J149" s="370"/>
    </row>
    <row r="150" ht="15.0" customHeight="1">
      <c r="A150" s="410"/>
      <c r="B150" s="410"/>
      <c r="C150" s="410"/>
      <c r="D150" s="414"/>
      <c r="E150" s="414"/>
      <c r="F150" s="415"/>
      <c r="G150" s="369" t="s">
        <v>24883</v>
      </c>
      <c r="H150" s="370"/>
      <c r="I150" s="370"/>
      <c r="J150" s="370"/>
    </row>
    <row r="151" ht="15.0" customHeight="1">
      <c r="A151" s="410"/>
      <c r="B151" s="410"/>
      <c r="C151" s="410"/>
      <c r="D151" s="414"/>
      <c r="E151" s="414"/>
      <c r="F151" s="415"/>
      <c r="G151" s="369"/>
      <c r="H151" s="370"/>
      <c r="I151" s="370"/>
      <c r="J151" s="370"/>
    </row>
    <row r="152" ht="15.0" customHeight="1">
      <c r="A152" s="410"/>
      <c r="B152" s="410"/>
      <c r="C152" s="410"/>
      <c r="D152" s="414"/>
      <c r="E152" s="414"/>
      <c r="F152" s="415"/>
      <c r="G152" s="369" t="s">
        <v>32</v>
      </c>
      <c r="H152" s="370" t="s">
        <v>33</v>
      </c>
      <c r="I152" s="370"/>
      <c r="J152" s="370"/>
    </row>
    <row r="153" ht="15.0" customHeight="1">
      <c r="A153" s="410"/>
      <c r="B153" s="410"/>
      <c r="C153" s="410"/>
      <c r="D153" s="414"/>
      <c r="E153" s="414"/>
      <c r="F153" s="415"/>
      <c r="G153" s="369" t="s">
        <v>24884</v>
      </c>
      <c r="H153" s="370"/>
      <c r="I153" s="370"/>
      <c r="J153" s="370"/>
    </row>
    <row r="154" ht="15.0" customHeight="1">
      <c r="A154" s="410"/>
      <c r="B154" s="410"/>
      <c r="C154" s="410"/>
      <c r="D154" s="414"/>
      <c r="E154" s="414"/>
      <c r="F154" s="415"/>
      <c r="G154" s="369" t="s">
        <v>4766</v>
      </c>
      <c r="H154" s="370" t="s">
        <v>244</v>
      </c>
      <c r="I154" s="370"/>
      <c r="J154" s="370"/>
    </row>
    <row r="155" ht="15.0" customHeight="1">
      <c r="A155" s="410"/>
      <c r="B155" s="410"/>
      <c r="C155" s="410"/>
      <c r="D155" s="414"/>
      <c r="E155" s="414"/>
      <c r="F155" s="415"/>
      <c r="G155" s="369" t="s">
        <v>913</v>
      </c>
      <c r="H155" s="370" t="s">
        <v>33</v>
      </c>
      <c r="I155" s="370"/>
      <c r="J155" s="370"/>
    </row>
    <row r="156" ht="15.0" customHeight="1">
      <c r="A156" s="410"/>
      <c r="B156" s="410"/>
      <c r="C156" s="410"/>
      <c r="D156" s="414"/>
      <c r="E156" s="414"/>
      <c r="F156" s="415"/>
      <c r="G156" s="369" t="s">
        <v>16479</v>
      </c>
      <c r="H156" s="370"/>
      <c r="I156" s="370"/>
      <c r="J156" s="370"/>
    </row>
    <row r="157" ht="15.0" customHeight="1">
      <c r="A157" s="410"/>
      <c r="B157" s="410"/>
      <c r="C157" s="410"/>
      <c r="D157" s="414"/>
      <c r="E157" s="414"/>
      <c r="F157" s="415"/>
      <c r="G157" s="369"/>
      <c r="H157" s="370"/>
      <c r="I157" s="370"/>
      <c r="J157" s="370"/>
    </row>
    <row r="158" ht="15.0" customHeight="1">
      <c r="A158" s="410"/>
      <c r="B158" s="410"/>
      <c r="C158" s="410"/>
      <c r="D158" s="414"/>
      <c r="E158" s="414"/>
      <c r="F158" s="415"/>
      <c r="G158" s="369" t="s">
        <v>289</v>
      </c>
      <c r="H158" s="370" t="s">
        <v>33</v>
      </c>
      <c r="I158" s="370"/>
      <c r="J158" s="370"/>
    </row>
    <row r="159" ht="15.0" customHeight="1">
      <c r="A159" s="410"/>
      <c r="B159" s="410"/>
      <c r="C159" s="410"/>
      <c r="D159" s="414"/>
      <c r="E159" s="414"/>
      <c r="F159" s="415"/>
      <c r="G159" s="369" t="s">
        <v>24885</v>
      </c>
      <c r="H159" s="370"/>
      <c r="I159" s="370"/>
      <c r="J159" s="371" t="s">
        <v>6028</v>
      </c>
    </row>
    <row r="160" ht="15.0" customHeight="1">
      <c r="A160" s="410"/>
      <c r="B160" s="410"/>
      <c r="C160" s="410"/>
      <c r="D160" s="414"/>
      <c r="E160" s="414"/>
      <c r="F160" s="415"/>
      <c r="G160" s="407" t="s">
        <v>24886</v>
      </c>
      <c r="H160" s="370" t="s">
        <v>33</v>
      </c>
      <c r="I160" s="370"/>
      <c r="J160" s="371" t="s">
        <v>6028</v>
      </c>
    </row>
    <row r="161" ht="15.0" customHeight="1">
      <c r="A161" s="410"/>
      <c r="B161" s="410"/>
      <c r="C161" s="410"/>
      <c r="D161" s="414"/>
      <c r="E161" s="414"/>
      <c r="F161" s="415"/>
      <c r="G161" s="407" t="s">
        <v>24887</v>
      </c>
      <c r="H161" s="370" t="s">
        <v>33</v>
      </c>
      <c r="I161" s="370"/>
      <c r="J161" s="371" t="s">
        <v>6028</v>
      </c>
    </row>
    <row r="162" ht="15.0" customHeight="1">
      <c r="A162" s="410"/>
      <c r="B162" s="410"/>
      <c r="C162" s="410"/>
      <c r="D162" s="414"/>
      <c r="E162" s="414"/>
      <c r="F162" s="415"/>
      <c r="G162" s="407" t="s">
        <v>461</v>
      </c>
      <c r="H162" s="370" t="s">
        <v>244</v>
      </c>
      <c r="I162" s="370"/>
      <c r="J162" s="371" t="s">
        <v>6028</v>
      </c>
    </row>
    <row r="163" ht="15.0" customHeight="1">
      <c r="A163" s="410"/>
      <c r="B163" s="410"/>
      <c r="C163" s="410"/>
      <c r="D163" s="414"/>
      <c r="E163" s="414"/>
      <c r="F163" s="415"/>
      <c r="G163" s="407" t="s">
        <v>338</v>
      </c>
      <c r="H163" s="370" t="s">
        <v>33</v>
      </c>
      <c r="I163" s="370"/>
      <c r="J163" s="371" t="s">
        <v>6028</v>
      </c>
    </row>
    <row r="164" ht="15.0" customHeight="1">
      <c r="A164" s="410"/>
      <c r="B164" s="410"/>
      <c r="C164" s="410"/>
      <c r="D164" s="414"/>
      <c r="E164" s="414"/>
      <c r="F164" s="415"/>
      <c r="G164" s="369" t="s">
        <v>15497</v>
      </c>
      <c r="H164" s="370"/>
      <c r="I164" s="370"/>
      <c r="J164" s="371" t="s">
        <v>6028</v>
      </c>
    </row>
    <row r="165" ht="15.0" customHeight="1">
      <c r="A165" s="410"/>
      <c r="B165" s="410"/>
      <c r="C165" s="410"/>
      <c r="D165" s="414"/>
      <c r="E165" s="414"/>
      <c r="F165" s="415"/>
      <c r="G165" s="407" t="s">
        <v>24888</v>
      </c>
      <c r="H165" s="370" t="s">
        <v>33</v>
      </c>
      <c r="I165" s="370"/>
      <c r="J165" s="371" t="s">
        <v>6028</v>
      </c>
    </row>
    <row r="166" ht="15.0" customHeight="1">
      <c r="A166" s="410"/>
      <c r="B166" s="410"/>
      <c r="C166" s="410"/>
      <c r="D166" s="414"/>
      <c r="E166" s="414"/>
      <c r="F166" s="415"/>
      <c r="G166" s="407" t="s">
        <v>243</v>
      </c>
      <c r="H166" s="370" t="s">
        <v>244</v>
      </c>
      <c r="I166" s="370"/>
      <c r="J166" s="371" t="s">
        <v>6028</v>
      </c>
    </row>
    <row r="167" ht="15.0" customHeight="1">
      <c r="A167" s="410"/>
      <c r="B167" s="410"/>
      <c r="C167" s="410"/>
      <c r="D167" s="414"/>
      <c r="E167" s="414"/>
      <c r="F167" s="415"/>
      <c r="G167" s="407" t="s">
        <v>79</v>
      </c>
      <c r="H167" s="370" t="s">
        <v>33</v>
      </c>
      <c r="I167" s="370"/>
      <c r="J167" s="371" t="s">
        <v>6028</v>
      </c>
    </row>
    <row r="168" ht="15.0" customHeight="1">
      <c r="A168" s="410"/>
      <c r="B168" s="410"/>
      <c r="C168" s="410"/>
      <c r="D168" s="414"/>
      <c r="E168" s="414"/>
      <c r="F168" s="415"/>
      <c r="G168" s="369" t="s">
        <v>14519</v>
      </c>
      <c r="H168" s="370"/>
      <c r="I168" s="370"/>
      <c r="J168" s="371" t="s">
        <v>6028</v>
      </c>
    </row>
    <row r="169" ht="15.0" customHeight="1">
      <c r="A169" s="410"/>
      <c r="B169" s="410"/>
      <c r="C169" s="410"/>
      <c r="D169" s="414"/>
      <c r="E169" s="414"/>
      <c r="F169" s="415"/>
      <c r="G169" s="407"/>
      <c r="H169" s="370"/>
      <c r="I169" s="370"/>
      <c r="J169" s="371" t="s">
        <v>6028</v>
      </c>
    </row>
    <row r="170" ht="15.0" customHeight="1">
      <c r="A170" s="410"/>
      <c r="B170" s="410"/>
      <c r="C170" s="410"/>
      <c r="D170" s="414"/>
      <c r="E170" s="414"/>
      <c r="F170" s="415"/>
      <c r="G170" s="407" t="s">
        <v>383</v>
      </c>
      <c r="H170" s="370" t="s">
        <v>33</v>
      </c>
      <c r="I170" s="370"/>
      <c r="J170" s="371" t="s">
        <v>6028</v>
      </c>
    </row>
    <row r="171" ht="15.0" customHeight="1">
      <c r="A171" s="410"/>
      <c r="B171" s="410"/>
      <c r="C171" s="410"/>
      <c r="D171" s="414"/>
      <c r="E171" s="414"/>
      <c r="F171" s="415"/>
      <c r="G171" s="369" t="s">
        <v>17892</v>
      </c>
      <c r="H171" s="370"/>
      <c r="I171" s="370"/>
      <c r="J171" s="371" t="s">
        <v>6028</v>
      </c>
    </row>
    <row r="172" ht="15.0" customHeight="1">
      <c r="A172" s="410"/>
      <c r="B172" s="410"/>
      <c r="C172" s="410"/>
      <c r="D172" s="414"/>
      <c r="E172" s="414"/>
      <c r="F172" s="415"/>
      <c r="G172" s="407" t="s">
        <v>892</v>
      </c>
      <c r="H172" s="370" t="s">
        <v>244</v>
      </c>
      <c r="I172" s="370"/>
      <c r="J172" s="371" t="s">
        <v>6028</v>
      </c>
    </row>
    <row r="173" ht="15.0" customHeight="1">
      <c r="A173" s="410"/>
      <c r="B173" s="410"/>
      <c r="C173" s="410"/>
      <c r="D173" s="414"/>
      <c r="E173" s="414"/>
      <c r="F173" s="415"/>
      <c r="G173" s="407" t="s">
        <v>213</v>
      </c>
      <c r="H173" s="370" t="s">
        <v>33</v>
      </c>
      <c r="I173" s="370"/>
      <c r="J173" s="371" t="s">
        <v>6028</v>
      </c>
    </row>
    <row r="174" ht="15.0" customHeight="1">
      <c r="A174" s="410"/>
      <c r="B174" s="410"/>
      <c r="C174" s="410"/>
      <c r="D174" s="414"/>
      <c r="E174" s="414"/>
      <c r="F174" s="415"/>
      <c r="G174" s="369" t="s">
        <v>14531</v>
      </c>
      <c r="H174" s="370"/>
      <c r="I174" s="370"/>
      <c r="J174" s="371" t="s">
        <v>6028</v>
      </c>
    </row>
    <row r="175" ht="15.0" customHeight="1">
      <c r="A175" s="410"/>
      <c r="B175" s="410"/>
      <c r="C175" s="410"/>
      <c r="D175" s="420"/>
      <c r="E175" s="420"/>
      <c r="F175" s="421"/>
      <c r="G175" s="407"/>
      <c r="H175" s="370"/>
      <c r="I175" s="371"/>
      <c r="J175" s="371" t="s">
        <v>6028</v>
      </c>
    </row>
    <row r="176" ht="15.0" customHeight="1">
      <c r="A176" s="410"/>
      <c r="B176" s="410"/>
      <c r="C176" s="410"/>
      <c r="D176" s="420"/>
      <c r="E176" s="420"/>
      <c r="F176" s="421"/>
      <c r="G176" s="407" t="s">
        <v>1040</v>
      </c>
      <c r="H176" s="370" t="s">
        <v>33</v>
      </c>
      <c r="I176" s="371"/>
      <c r="J176" s="371" t="s">
        <v>6028</v>
      </c>
    </row>
    <row r="177" ht="15.0" customHeight="1">
      <c r="A177" s="410"/>
      <c r="B177" s="410"/>
      <c r="C177" s="410"/>
      <c r="D177" s="420"/>
      <c r="E177" s="420"/>
      <c r="F177" s="421"/>
      <c r="G177" s="369" t="s">
        <v>17089</v>
      </c>
      <c r="H177" s="370"/>
      <c r="I177" s="371"/>
      <c r="J177" s="371" t="s">
        <v>6028</v>
      </c>
    </row>
    <row r="178" ht="15.0" customHeight="1">
      <c r="A178" s="410"/>
      <c r="B178" s="410"/>
      <c r="C178" s="410"/>
      <c r="D178" s="420"/>
      <c r="E178" s="420"/>
      <c r="F178" s="421"/>
      <c r="G178" s="407" t="s">
        <v>681</v>
      </c>
      <c r="H178" s="370" t="s">
        <v>244</v>
      </c>
      <c r="I178" s="371" t="s">
        <v>6028</v>
      </c>
      <c r="J178" s="371" t="s">
        <v>6028</v>
      </c>
    </row>
    <row r="179" ht="15.0" customHeight="1">
      <c r="A179" s="410"/>
      <c r="B179" s="410"/>
      <c r="C179" s="410"/>
      <c r="D179" s="420"/>
      <c r="E179" s="420"/>
      <c r="F179" s="421"/>
      <c r="G179" s="422" t="s">
        <v>681</v>
      </c>
      <c r="H179" s="370" t="s">
        <v>244</v>
      </c>
      <c r="I179" s="371" t="s">
        <v>6028</v>
      </c>
      <c r="J179" s="371" t="s">
        <v>6028</v>
      </c>
    </row>
    <row r="180" ht="15.0" customHeight="1">
      <c r="A180" s="410"/>
      <c r="B180" s="410"/>
      <c r="C180" s="410"/>
      <c r="D180" s="420"/>
      <c r="E180" s="420"/>
      <c r="F180" s="421"/>
      <c r="G180" s="407" t="s">
        <v>701</v>
      </c>
      <c r="H180" s="370" t="s">
        <v>33</v>
      </c>
      <c r="I180" s="371" t="s">
        <v>6028</v>
      </c>
      <c r="J180" s="370"/>
    </row>
    <row r="181" ht="15.0" customHeight="1">
      <c r="A181" s="410"/>
      <c r="B181" s="410"/>
      <c r="C181" s="410"/>
      <c r="D181" s="420"/>
      <c r="E181" s="420"/>
      <c r="F181" s="421"/>
      <c r="G181" s="422" t="s">
        <v>701</v>
      </c>
      <c r="H181" s="370" t="s">
        <v>33</v>
      </c>
      <c r="I181" s="371"/>
      <c r="J181" s="371"/>
    </row>
    <row r="182" ht="15.0" customHeight="1">
      <c r="A182" s="410"/>
      <c r="B182" s="410"/>
      <c r="C182" s="410"/>
      <c r="D182" s="420"/>
      <c r="E182" s="420"/>
      <c r="F182" s="421"/>
      <c r="G182" s="369" t="s">
        <v>16715</v>
      </c>
      <c r="H182" s="370"/>
      <c r="I182" s="371"/>
      <c r="J182" s="371"/>
    </row>
    <row r="183" ht="15.0" customHeight="1">
      <c r="A183" s="410"/>
      <c r="B183" s="410"/>
      <c r="C183" s="410"/>
      <c r="D183" s="420"/>
      <c r="E183" s="420"/>
      <c r="F183" s="421"/>
      <c r="G183" s="407"/>
      <c r="H183" s="370"/>
      <c r="I183" s="371"/>
      <c r="J183" s="370"/>
    </row>
    <row r="184" ht="15.0" customHeight="1">
      <c r="A184" s="410"/>
      <c r="B184" s="410"/>
      <c r="C184" s="410"/>
      <c r="D184" s="420"/>
      <c r="E184" s="420"/>
      <c r="F184" s="421"/>
      <c r="G184" s="422"/>
      <c r="H184" s="370"/>
      <c r="I184" s="371"/>
      <c r="J184" s="371"/>
    </row>
    <row r="185" ht="15.0" customHeight="1">
      <c r="A185" s="410"/>
      <c r="B185" s="410"/>
      <c r="C185" s="410"/>
      <c r="D185" s="420"/>
      <c r="E185" s="420"/>
      <c r="F185" s="421"/>
      <c r="G185" s="407" t="s">
        <v>232</v>
      </c>
      <c r="H185" s="370" t="s">
        <v>33</v>
      </c>
      <c r="I185" s="371"/>
      <c r="J185" s="371"/>
    </row>
    <row r="186" ht="15.0" customHeight="1">
      <c r="A186" s="410"/>
      <c r="B186" s="410"/>
      <c r="C186" s="410"/>
      <c r="D186" s="420"/>
      <c r="E186" s="420"/>
      <c r="F186" s="421"/>
      <c r="G186" s="422" t="s">
        <v>232</v>
      </c>
      <c r="H186" s="370" t="s">
        <v>33</v>
      </c>
      <c r="I186" s="371"/>
      <c r="J186" s="371"/>
    </row>
    <row r="187" ht="15.0" customHeight="1">
      <c r="A187" s="410"/>
      <c r="B187" s="410"/>
      <c r="C187" s="410"/>
      <c r="D187" s="420"/>
      <c r="E187" s="420"/>
      <c r="F187" s="421"/>
      <c r="G187" s="369" t="s">
        <v>16641</v>
      </c>
      <c r="H187" s="370"/>
      <c r="I187" s="371"/>
      <c r="J187" s="371"/>
    </row>
    <row r="188" ht="15.0" customHeight="1">
      <c r="A188" s="410"/>
      <c r="B188" s="410"/>
      <c r="C188" s="410"/>
      <c r="D188" s="420"/>
      <c r="E188" s="420"/>
      <c r="F188" s="421"/>
      <c r="G188" s="41" t="s">
        <v>3714</v>
      </c>
      <c r="H188" s="370" t="s">
        <v>244</v>
      </c>
      <c r="I188" s="371"/>
      <c r="J188" s="370"/>
    </row>
    <row r="189" ht="15.0" customHeight="1">
      <c r="A189" s="410"/>
      <c r="B189" s="410"/>
      <c r="C189" s="410"/>
      <c r="D189" s="420"/>
      <c r="E189" s="420"/>
      <c r="F189" s="421"/>
      <c r="G189" s="422" t="s">
        <v>3714</v>
      </c>
      <c r="H189" s="370" t="s">
        <v>244</v>
      </c>
      <c r="I189" s="371"/>
      <c r="J189" s="371"/>
    </row>
    <row r="190" ht="15.0" customHeight="1">
      <c r="A190" s="410"/>
      <c r="B190" s="410"/>
      <c r="C190" s="410"/>
      <c r="D190" s="420"/>
      <c r="E190" s="420"/>
      <c r="F190" s="421"/>
      <c r="G190" s="423" t="s">
        <v>1077</v>
      </c>
      <c r="H190" s="370" t="s">
        <v>33</v>
      </c>
      <c r="I190" s="371"/>
      <c r="J190" s="371"/>
    </row>
    <row r="191" ht="15.0" customHeight="1">
      <c r="A191" s="410"/>
      <c r="B191" s="410"/>
      <c r="C191" s="410"/>
      <c r="D191" s="420"/>
      <c r="E191" s="420"/>
      <c r="F191" s="421"/>
      <c r="G191" s="422" t="s">
        <v>1077</v>
      </c>
      <c r="H191" s="370" t="s">
        <v>33</v>
      </c>
      <c r="I191" s="371" t="s">
        <v>6028</v>
      </c>
      <c r="J191" s="371"/>
    </row>
    <row r="192" ht="15.0" customHeight="1">
      <c r="A192" s="410"/>
      <c r="B192" s="410"/>
      <c r="C192" s="410"/>
      <c r="D192" s="420"/>
      <c r="E192" s="420"/>
      <c r="F192" s="421"/>
      <c r="G192" s="423"/>
      <c r="H192" s="370"/>
      <c r="I192" s="371"/>
      <c r="J192" s="371"/>
    </row>
    <row r="193" ht="15.0" customHeight="1">
      <c r="A193" s="410"/>
      <c r="B193" s="410"/>
      <c r="C193" s="410"/>
      <c r="D193" s="420"/>
      <c r="E193" s="420"/>
      <c r="F193" s="421"/>
      <c r="G193" s="422"/>
      <c r="H193" s="370"/>
      <c r="I193" s="371"/>
      <c r="J193" s="371"/>
    </row>
    <row r="194" ht="15.0" customHeight="1">
      <c r="A194" s="410"/>
      <c r="B194" s="410"/>
      <c r="C194" s="410"/>
      <c r="D194" s="420"/>
      <c r="E194" s="420"/>
      <c r="F194" s="421"/>
      <c r="G194" s="423" t="s">
        <v>1248</v>
      </c>
      <c r="H194" s="370" t="s">
        <v>33</v>
      </c>
      <c r="I194" s="371"/>
      <c r="J194" s="371"/>
    </row>
    <row r="195" ht="15.0" customHeight="1">
      <c r="A195" s="410"/>
      <c r="B195" s="410"/>
      <c r="C195" s="410"/>
      <c r="D195" s="420"/>
      <c r="E195" s="420"/>
      <c r="F195" s="421"/>
      <c r="G195" s="422" t="s">
        <v>1248</v>
      </c>
      <c r="H195" s="370" t="s">
        <v>33</v>
      </c>
      <c r="J195" s="371"/>
    </row>
    <row r="196" ht="15.0" customHeight="1">
      <c r="A196" s="410"/>
      <c r="B196" s="410"/>
      <c r="C196" s="410"/>
      <c r="D196" s="420"/>
      <c r="E196" s="420"/>
      <c r="F196" s="421"/>
      <c r="G196" s="422" t="s">
        <v>9835</v>
      </c>
      <c r="H196" s="370" t="s">
        <v>244</v>
      </c>
      <c r="J196" s="371"/>
    </row>
    <row r="197" ht="15.0" customHeight="1">
      <c r="A197" s="410"/>
      <c r="B197" s="410"/>
      <c r="C197" s="410"/>
      <c r="D197" s="420"/>
      <c r="E197" s="420"/>
      <c r="F197" s="421"/>
      <c r="G197" s="422" t="s">
        <v>550</v>
      </c>
      <c r="H197" s="370" t="s">
        <v>33</v>
      </c>
      <c r="J197" s="371"/>
    </row>
    <row r="198" ht="15.0" customHeight="1">
      <c r="A198" s="410"/>
      <c r="B198" s="410"/>
      <c r="C198" s="410"/>
      <c r="D198" s="420"/>
      <c r="E198" s="420"/>
      <c r="F198" s="421"/>
      <c r="G198" s="422"/>
      <c r="H198" s="370"/>
      <c r="J198" s="370"/>
    </row>
    <row r="199" ht="15.0" customHeight="1">
      <c r="A199" s="410"/>
      <c r="B199" s="410"/>
      <c r="C199" s="410"/>
      <c r="D199" s="420"/>
      <c r="E199" s="420"/>
      <c r="F199" s="421"/>
      <c r="G199" s="422" t="s">
        <v>2205</v>
      </c>
      <c r="H199" s="370" t="s">
        <v>33</v>
      </c>
    </row>
    <row r="200" ht="15.0" customHeight="1">
      <c r="A200" s="410"/>
      <c r="B200" s="410"/>
      <c r="C200" s="410"/>
      <c r="D200" s="420"/>
      <c r="E200" s="420"/>
      <c r="F200" s="421"/>
      <c r="G200" s="422" t="s">
        <v>1682</v>
      </c>
      <c r="H200" s="370" t="s">
        <v>244</v>
      </c>
    </row>
    <row r="201" ht="15.0" customHeight="1">
      <c r="A201" s="410"/>
      <c r="B201" s="410"/>
      <c r="C201" s="410"/>
      <c r="D201" s="420"/>
      <c r="E201" s="420"/>
      <c r="F201" s="421"/>
      <c r="G201" s="422" t="s">
        <v>251</v>
      </c>
      <c r="H201" s="370" t="s">
        <v>33</v>
      </c>
    </row>
    <row r="202" ht="15.0" customHeight="1">
      <c r="A202" s="410"/>
      <c r="B202" s="410"/>
      <c r="C202" s="410"/>
      <c r="D202" s="420"/>
      <c r="E202" s="420"/>
      <c r="F202" s="421"/>
      <c r="G202" s="369" t="s">
        <v>13781</v>
      </c>
      <c r="H202" s="370"/>
    </row>
    <row r="203" ht="15.0" customHeight="1">
      <c r="A203" s="410"/>
      <c r="B203" s="410"/>
      <c r="C203" s="410"/>
      <c r="D203" s="420"/>
      <c r="E203" s="420"/>
      <c r="F203" s="421"/>
      <c r="G203" s="369" t="s">
        <v>13781</v>
      </c>
      <c r="H203" s="370"/>
    </row>
    <row r="204" ht="15.0" customHeight="1">
      <c r="A204" s="410"/>
      <c r="B204" s="410"/>
      <c r="C204" s="410"/>
      <c r="D204" s="420"/>
      <c r="E204" s="420"/>
      <c r="F204" s="421"/>
      <c r="G204" s="422"/>
      <c r="H204" s="370"/>
    </row>
    <row r="205" ht="15.0" customHeight="1">
      <c r="A205" s="410"/>
      <c r="B205" s="410"/>
      <c r="C205" s="410"/>
      <c r="D205" s="420"/>
      <c r="E205" s="420"/>
      <c r="F205" s="421"/>
      <c r="G205" s="369" t="s">
        <v>1027</v>
      </c>
      <c r="H205" s="370" t="s">
        <v>33</v>
      </c>
    </row>
    <row r="206" ht="15.0" customHeight="1">
      <c r="A206" s="410"/>
      <c r="B206" s="410"/>
      <c r="C206" s="410"/>
      <c r="D206" s="420"/>
      <c r="E206" s="420"/>
      <c r="F206" s="421"/>
      <c r="G206" s="369" t="s">
        <v>24889</v>
      </c>
      <c r="H206" s="370"/>
    </row>
    <row r="207" ht="15.0" customHeight="1">
      <c r="A207" s="410"/>
      <c r="B207" s="410"/>
      <c r="C207" s="410"/>
      <c r="D207" s="420"/>
      <c r="E207" s="420"/>
      <c r="F207" s="421"/>
      <c r="G207" s="369" t="s">
        <v>5944</v>
      </c>
      <c r="H207" s="370" t="s">
        <v>244</v>
      </c>
    </row>
    <row r="208" ht="15.0" customHeight="1">
      <c r="A208" s="410"/>
      <c r="B208" s="410"/>
      <c r="C208" s="410"/>
      <c r="D208" s="420"/>
      <c r="E208" s="420"/>
      <c r="F208" s="421"/>
      <c r="G208" s="369" t="s">
        <v>408</v>
      </c>
      <c r="H208" s="370" t="s">
        <v>33</v>
      </c>
    </row>
    <row r="209" ht="15.0" customHeight="1">
      <c r="A209" s="410"/>
      <c r="B209" s="410"/>
      <c r="C209" s="410"/>
      <c r="D209" s="420"/>
      <c r="E209" s="420"/>
      <c r="F209" s="421"/>
      <c r="G209" s="369"/>
      <c r="H209" s="370"/>
    </row>
    <row r="210" ht="15.0" customHeight="1">
      <c r="A210" s="410"/>
      <c r="B210" s="410"/>
      <c r="C210" s="410"/>
      <c r="D210" s="420"/>
      <c r="E210" s="420"/>
      <c r="F210" s="421"/>
      <c r="G210" s="369" t="s">
        <v>1268</v>
      </c>
      <c r="H210" s="370" t="s">
        <v>33</v>
      </c>
    </row>
    <row r="211" ht="15.0" customHeight="1">
      <c r="A211" s="410"/>
      <c r="B211" s="410"/>
      <c r="C211" s="410"/>
      <c r="D211" s="420"/>
      <c r="E211" s="420"/>
      <c r="F211" s="421"/>
      <c r="G211" s="369" t="s">
        <v>1468</v>
      </c>
      <c r="H211" s="370" t="s">
        <v>244</v>
      </c>
    </row>
    <row r="212" ht="15.0" customHeight="1">
      <c r="A212" s="410"/>
      <c r="B212" s="410"/>
      <c r="C212" s="410"/>
      <c r="D212" s="420"/>
      <c r="E212" s="420"/>
      <c r="F212" s="421"/>
      <c r="G212" s="369" t="s">
        <v>295</v>
      </c>
      <c r="H212" s="370" t="s">
        <v>33</v>
      </c>
    </row>
    <row r="213" ht="15.0" customHeight="1">
      <c r="A213" s="410"/>
      <c r="B213" s="410"/>
      <c r="C213" s="410"/>
      <c r="D213" s="420"/>
      <c r="E213" s="420"/>
      <c r="F213" s="421"/>
      <c r="G213" s="369"/>
      <c r="H213" s="370"/>
    </row>
    <row r="214" ht="15.0" customHeight="1">
      <c r="A214" s="410"/>
      <c r="B214" s="410"/>
      <c r="C214" s="410"/>
      <c r="D214" s="420"/>
      <c r="E214" s="420"/>
      <c r="F214" s="421"/>
      <c r="G214" s="369" t="s">
        <v>1520</v>
      </c>
      <c r="H214" s="370" t="s">
        <v>33</v>
      </c>
    </row>
    <row r="215" ht="15.0" customHeight="1">
      <c r="A215" s="410"/>
      <c r="B215" s="410"/>
      <c r="C215" s="410"/>
      <c r="D215" s="420"/>
      <c r="E215" s="420"/>
      <c r="F215" s="421"/>
      <c r="G215" s="407"/>
      <c r="H215" s="371"/>
      <c r="J215" s="417" t="s">
        <v>21399</v>
      </c>
    </row>
    <row r="216" ht="15.0" customHeight="1">
      <c r="A216" s="410"/>
      <c r="B216" s="410"/>
      <c r="C216" s="410"/>
      <c r="D216" s="420"/>
      <c r="E216" s="420"/>
      <c r="F216" s="421"/>
      <c r="G216" s="407"/>
      <c r="H216" s="371"/>
      <c r="I216" s="371" t="s">
        <v>24890</v>
      </c>
    </row>
    <row r="217" ht="15.0" customHeight="1">
      <c r="A217" s="410"/>
      <c r="B217" s="410"/>
      <c r="C217" s="410"/>
      <c r="D217" s="420"/>
      <c r="E217" s="420"/>
      <c r="F217" s="421"/>
      <c r="G217" s="407"/>
      <c r="H217" s="371"/>
      <c r="I217" s="371"/>
      <c r="J217" s="417" t="s">
        <v>21881</v>
      </c>
    </row>
    <row r="218" ht="15.0" customHeight="1">
      <c r="A218" s="410"/>
      <c r="B218" s="410"/>
      <c r="C218" s="410"/>
      <c r="D218" s="420"/>
      <c r="E218" s="420"/>
      <c r="F218" s="421"/>
      <c r="G218" s="407"/>
      <c r="H218" s="371"/>
      <c r="I218" s="371"/>
      <c r="J218" s="371" t="s">
        <v>21950</v>
      </c>
    </row>
    <row r="219" ht="15.0" customHeight="1">
      <c r="A219" s="410"/>
      <c r="B219" s="410"/>
      <c r="C219" s="410"/>
      <c r="D219" s="420"/>
      <c r="E219" s="420"/>
      <c r="F219" s="421"/>
      <c r="G219" s="407"/>
      <c r="H219" s="371"/>
      <c r="I219" s="371"/>
      <c r="J219" s="371" t="s">
        <v>22046</v>
      </c>
    </row>
    <row r="220" ht="15.0" customHeight="1">
      <c r="A220" s="410"/>
      <c r="B220" s="410"/>
      <c r="C220" s="410"/>
      <c r="D220" s="420"/>
      <c r="E220" s="420"/>
      <c r="F220" s="421"/>
      <c r="G220" s="424"/>
      <c r="H220" s="371"/>
      <c r="I220" s="371"/>
      <c r="J220" s="371" t="s">
        <v>24891</v>
      </c>
    </row>
    <row r="221" ht="15.0" customHeight="1">
      <c r="A221" s="410"/>
      <c r="B221" s="410"/>
      <c r="C221" s="410"/>
      <c r="D221" s="420"/>
      <c r="E221" s="420"/>
      <c r="F221" s="421"/>
      <c r="G221" s="424"/>
      <c r="H221" s="371"/>
      <c r="I221" s="371"/>
      <c r="J221" s="371" t="s">
        <v>22600</v>
      </c>
    </row>
    <row r="222" ht="15.0" customHeight="1">
      <c r="A222" s="410"/>
      <c r="B222" s="410"/>
      <c r="C222" s="410"/>
      <c r="D222" s="420"/>
      <c r="E222" s="420"/>
      <c r="F222" s="421"/>
      <c r="G222" s="424"/>
      <c r="H222" s="371"/>
      <c r="I222" s="371"/>
      <c r="J222" s="371" t="s">
        <v>21926</v>
      </c>
    </row>
    <row r="223" ht="15.0" customHeight="1">
      <c r="A223" s="410"/>
      <c r="B223" s="410"/>
      <c r="C223" s="410"/>
      <c r="D223" s="420"/>
      <c r="E223" s="420"/>
      <c r="F223" s="421"/>
      <c r="G223" s="424"/>
      <c r="H223" s="371"/>
      <c r="I223" s="371" t="s">
        <v>24892</v>
      </c>
      <c r="J223" s="370"/>
    </row>
    <row r="224" ht="15.0" customHeight="1">
      <c r="A224" s="410"/>
      <c r="B224" s="410"/>
      <c r="C224" s="410"/>
      <c r="D224" s="420"/>
      <c r="E224" s="420"/>
      <c r="F224" s="421"/>
      <c r="G224" s="424"/>
      <c r="H224" s="371"/>
      <c r="I224" s="371"/>
      <c r="J224" s="371" t="s">
        <v>24892</v>
      </c>
    </row>
    <row r="225" ht="15.0" customHeight="1">
      <c r="A225" s="410"/>
      <c r="B225" s="410"/>
      <c r="C225" s="410"/>
      <c r="D225" s="420"/>
      <c r="E225" s="420"/>
      <c r="F225" s="421"/>
      <c r="G225" s="407"/>
      <c r="H225" s="371"/>
      <c r="I225" s="371"/>
      <c r="J225" s="371" t="s">
        <v>22745</v>
      </c>
    </row>
    <row r="226" ht="15.0" customHeight="1">
      <c r="A226" s="410"/>
      <c r="B226" s="410"/>
      <c r="C226" s="410"/>
      <c r="D226" s="414"/>
      <c r="E226" s="414"/>
      <c r="F226" s="415"/>
      <c r="G226" s="369"/>
      <c r="H226" s="370"/>
      <c r="I226" s="370"/>
      <c r="J226" s="370"/>
    </row>
    <row r="227" ht="15.0" customHeight="1">
      <c r="A227" s="410"/>
      <c r="B227" s="410"/>
      <c r="C227" s="410"/>
      <c r="D227" s="414"/>
      <c r="E227" s="414"/>
      <c r="F227" s="415"/>
      <c r="G227" s="369"/>
      <c r="H227" s="370"/>
      <c r="I227" s="370"/>
      <c r="J227" s="370"/>
    </row>
    <row r="228" ht="15.0" customHeight="1">
      <c r="A228" s="410"/>
      <c r="B228" s="410"/>
      <c r="C228" s="410"/>
      <c r="D228" s="414"/>
      <c r="E228" s="414"/>
      <c r="F228" s="415"/>
      <c r="G228" s="369"/>
      <c r="H228" s="370"/>
      <c r="I228" s="370"/>
      <c r="J228" s="370"/>
    </row>
    <row r="229" ht="15.0" customHeight="1">
      <c r="A229" s="410"/>
      <c r="B229" s="410"/>
      <c r="C229" s="410"/>
      <c r="D229" s="414"/>
      <c r="E229" s="414"/>
      <c r="F229" s="415"/>
      <c r="G229" s="369"/>
      <c r="H229" s="370"/>
      <c r="I229" s="370"/>
      <c r="J229" s="370"/>
    </row>
    <row r="230" ht="15.0" customHeight="1">
      <c r="A230" s="410"/>
      <c r="B230" s="410"/>
      <c r="C230" s="410"/>
      <c r="D230" s="414"/>
      <c r="E230" s="414"/>
      <c r="F230" s="415"/>
      <c r="G230" s="369"/>
      <c r="H230" s="370"/>
      <c r="I230" s="370"/>
      <c r="J230" s="370"/>
    </row>
    <row r="231" ht="15.0" customHeight="1">
      <c r="A231" s="410"/>
      <c r="B231" s="410"/>
      <c r="C231" s="410"/>
      <c r="D231" s="414"/>
      <c r="E231" s="414"/>
      <c r="F231" s="415"/>
      <c r="G231" s="369"/>
      <c r="H231" s="370"/>
      <c r="I231" s="370"/>
      <c r="J231" s="370"/>
    </row>
    <row r="232" ht="15.0" customHeight="1">
      <c r="A232" s="410"/>
      <c r="B232" s="410"/>
      <c r="C232" s="410"/>
      <c r="D232" s="414"/>
      <c r="E232" s="414"/>
      <c r="F232" s="415"/>
      <c r="G232" s="369"/>
      <c r="H232" s="370"/>
      <c r="I232" s="370"/>
      <c r="J232" s="370"/>
    </row>
    <row r="233" ht="15.0" customHeight="1">
      <c r="A233" s="410"/>
      <c r="B233" s="410"/>
      <c r="C233" s="410"/>
      <c r="D233" s="414"/>
      <c r="E233" s="414"/>
      <c r="F233" s="415"/>
      <c r="G233" s="369"/>
      <c r="H233" s="370"/>
      <c r="I233" s="370"/>
      <c r="J233" s="370"/>
    </row>
    <row r="234" ht="15.0" customHeight="1">
      <c r="A234" s="410"/>
      <c r="B234" s="410"/>
      <c r="C234" s="410"/>
      <c r="D234" s="414"/>
      <c r="E234" s="414"/>
      <c r="F234" s="415"/>
      <c r="G234" s="369"/>
      <c r="H234" s="370"/>
      <c r="I234" s="370"/>
      <c r="J234" s="370"/>
    </row>
    <row r="235" ht="15.0" customHeight="1">
      <c r="A235" s="410"/>
      <c r="B235" s="410"/>
      <c r="C235" s="410"/>
      <c r="D235" s="414"/>
      <c r="E235" s="414"/>
      <c r="F235" s="415"/>
      <c r="G235" s="369"/>
      <c r="H235" s="370"/>
      <c r="I235" s="370"/>
      <c r="J235" s="370"/>
    </row>
    <row r="236" ht="15.0" customHeight="1">
      <c r="A236" s="410"/>
      <c r="B236" s="410"/>
      <c r="C236" s="410"/>
      <c r="D236" s="414"/>
      <c r="E236" s="414"/>
      <c r="F236" s="415"/>
      <c r="G236" s="369"/>
      <c r="H236" s="370"/>
      <c r="I236" s="370"/>
      <c r="J236" s="370"/>
    </row>
    <row r="237" ht="15.0" customHeight="1">
      <c r="A237" s="410"/>
      <c r="B237" s="410"/>
      <c r="C237" s="410"/>
      <c r="D237" s="414"/>
      <c r="E237" s="414"/>
      <c r="F237" s="415"/>
      <c r="G237" s="369"/>
      <c r="H237" s="370"/>
      <c r="I237" s="370"/>
      <c r="J237" s="370"/>
    </row>
    <row r="238" ht="15.0" customHeight="1">
      <c r="A238" s="410"/>
      <c r="B238" s="410"/>
      <c r="C238" s="410"/>
      <c r="D238" s="414"/>
      <c r="E238" s="414"/>
      <c r="F238" s="415"/>
      <c r="G238" s="369"/>
      <c r="H238" s="370"/>
      <c r="I238" s="370"/>
      <c r="J238" s="370"/>
    </row>
    <row r="239" ht="15.0" customHeight="1">
      <c r="A239" s="410"/>
      <c r="B239" s="410"/>
      <c r="C239" s="410"/>
      <c r="D239" s="414"/>
      <c r="E239" s="414"/>
      <c r="F239" s="415"/>
      <c r="G239" s="369"/>
      <c r="H239" s="370"/>
      <c r="I239" s="370"/>
      <c r="J239" s="370"/>
    </row>
  </sheetData>
  <autoFilter ref="$A$1:$J$239"/>
  <conditionalFormatting sqref="B21:C21">
    <cfRule type="expression" dxfId="13" priority="1">
      <formula>$I21="ENTREGUE"</formula>
    </cfRule>
  </conditionalFormatting>
  <conditionalFormatting sqref="B21:C21">
    <cfRule type="expression" dxfId="16" priority="2">
      <formula>$I21="A PAGAR"</formula>
    </cfRule>
  </conditionalFormatting>
  <conditionalFormatting sqref="B21:C21">
    <cfRule type="expression" dxfId="16" priority="3">
      <formula>$I21=" A PAGAR"</formula>
    </cfRule>
  </conditionalFormatting>
  <conditionalFormatting sqref="B21:C21">
    <cfRule type="expression" dxfId="17" priority="4">
      <formula>$I21="ENTREGA FUTURA"</formula>
    </cfRule>
  </conditionalFormatting>
  <conditionalFormatting sqref="B21:C21">
    <cfRule type="expression" dxfId="18" priority="5">
      <formula>$I21="EM APROVAÇÃO"</formula>
    </cfRule>
  </conditionalFormatting>
  <conditionalFormatting sqref="B21:C21">
    <cfRule type="expression" dxfId="19" priority="6">
      <formula>$I21="FINALIZADO"</formula>
    </cfRule>
  </conditionalFormatting>
  <conditionalFormatting sqref="B21:C21">
    <cfRule type="expression" dxfId="20" priority="7">
      <formula>$I21="EM ABERTO"</formula>
    </cfRule>
  </conditionalFormatting>
  <conditionalFormatting sqref="B21:C21">
    <cfRule type="expression" dxfId="21" priority="8">
      <formula>$I21="PRODUÇÃO"</formula>
    </cfRule>
  </conditionalFormatting>
  <conditionalFormatting sqref="B21:C21">
    <cfRule type="expression" dxfId="22" priority="9">
      <formula>$I21="TESTAR"</formula>
    </cfRule>
  </conditionalFormatting>
  <conditionalFormatting sqref="B21:C21">
    <cfRule type="expression" dxfId="23" priority="10">
      <formula>$I21="PRIORIDADE"</formula>
    </cfRule>
  </conditionalFormatting>
  <conditionalFormatting sqref="B21:C21">
    <cfRule type="expression" dxfId="24" priority="11">
      <formula>$I21="CANCELADO"</formula>
    </cfRule>
  </conditionalFormatting>
  <conditionalFormatting sqref="B21:C21">
    <cfRule type="expression" dxfId="25" priority="12">
      <formula>$I21="FILIAL PARANA"</formula>
    </cfRule>
  </conditionalFormatting>
  <conditionalFormatting sqref="B21:C21">
    <cfRule type="expression" dxfId="26" priority="13">
      <formula>$I21="DEVOLVIDO"</formula>
    </cfRule>
  </conditionalFormatting>
  <conditionalFormatting sqref="B21">
    <cfRule type="expression" dxfId="21" priority="14">
      <formula>$I21="PRODUÇÃO"</formula>
    </cfRule>
  </conditionalFormatting>
  <conditionalFormatting sqref="B21">
    <cfRule type="expression" dxfId="20" priority="15">
      <formula>$I21="EM ABERTO"</formula>
    </cfRule>
  </conditionalFormatting>
  <conditionalFormatting sqref="B21:C21">
    <cfRule type="expression" dxfId="27" priority="16">
      <formula>$I21="AGUARDAR CONTAINER"</formula>
    </cfRule>
  </conditionalFormatting>
  <conditionalFormatting sqref="B21:C21">
    <cfRule type="expression" dxfId="28" priority="17">
      <formula>$I21="EM APROVAÇÃO - CD SAO PAULO"</formula>
    </cfRule>
  </conditionalFormatting>
  <printOptions/>
  <pageMargins bottom="0.787401575" footer="0.0" header="0.0" left="0.511811024" right="0.511811024"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57"/>
    <col customWidth="1" min="2" max="2" width="18.0"/>
    <col customWidth="1" min="3" max="3" width="42.0"/>
    <col customWidth="1" min="5" max="6" width="19.86"/>
    <col customWidth="1" min="8" max="8" width="23.29"/>
    <col customWidth="1" min="9" max="9" width="35.0"/>
    <col customWidth="1" min="11" max="11" width="27.14"/>
  </cols>
  <sheetData>
    <row r="1">
      <c r="A1" s="425" t="s">
        <v>24893</v>
      </c>
      <c r="B1" s="426" t="s">
        <v>24894</v>
      </c>
      <c r="C1" s="426" t="s">
        <v>24895</v>
      </c>
      <c r="D1" s="426" t="s">
        <v>24896</v>
      </c>
      <c r="E1" s="426" t="s">
        <v>24897</v>
      </c>
      <c r="F1" s="426" t="s">
        <v>24898</v>
      </c>
      <c r="G1" s="426" t="s">
        <v>24899</v>
      </c>
      <c r="H1" s="426" t="s">
        <v>24900</v>
      </c>
      <c r="I1" s="426" t="s">
        <v>24901</v>
      </c>
      <c r="J1" s="426" t="s">
        <v>24902</v>
      </c>
      <c r="K1" s="427" t="s">
        <v>24903</v>
      </c>
    </row>
    <row r="2">
      <c r="A2" s="428">
        <v>45821.352222222224</v>
      </c>
      <c r="B2" s="429">
        <v>17747.0</v>
      </c>
      <c r="C2" s="429" t="s">
        <v>4293</v>
      </c>
      <c r="D2" s="429" t="s">
        <v>47</v>
      </c>
      <c r="E2" s="429" t="s">
        <v>16656</v>
      </c>
      <c r="F2" s="429" t="s">
        <v>48</v>
      </c>
      <c r="G2" s="429" t="s">
        <v>35</v>
      </c>
      <c r="H2" s="429" t="s">
        <v>65</v>
      </c>
      <c r="I2" s="429" t="s">
        <v>38</v>
      </c>
      <c r="J2" s="430">
        <v>13239.0</v>
      </c>
      <c r="K2" s="431" t="s">
        <v>18148</v>
      </c>
    </row>
    <row r="3">
      <c r="A3" s="432">
        <v>45821.41884259259</v>
      </c>
      <c r="B3" s="433">
        <v>17752.0</v>
      </c>
      <c r="C3" s="433" t="s">
        <v>16682</v>
      </c>
      <c r="D3" s="433" t="s">
        <v>47</v>
      </c>
      <c r="E3" s="433" t="s">
        <v>16683</v>
      </c>
      <c r="F3" s="433" t="s">
        <v>48</v>
      </c>
      <c r="G3" s="433" t="s">
        <v>35</v>
      </c>
      <c r="H3" s="433" t="s">
        <v>49</v>
      </c>
      <c r="I3" s="433" t="s">
        <v>38</v>
      </c>
      <c r="J3" s="434">
        <v>13241.0</v>
      </c>
      <c r="K3" s="435" t="s">
        <v>18148</v>
      </c>
    </row>
    <row r="4">
      <c r="A4" s="428">
        <v>45821.418854166666</v>
      </c>
      <c r="B4" s="429">
        <v>17693.0</v>
      </c>
      <c r="C4" s="429" t="s">
        <v>725</v>
      </c>
      <c r="D4" s="429" t="s">
        <v>11957</v>
      </c>
      <c r="E4" s="429">
        <v>20060.0</v>
      </c>
      <c r="F4" s="429" t="s">
        <v>48</v>
      </c>
      <c r="G4" s="429" t="s">
        <v>35</v>
      </c>
      <c r="H4" s="429" t="s">
        <v>49</v>
      </c>
      <c r="I4" s="429" t="s">
        <v>38</v>
      </c>
      <c r="J4" s="430">
        <v>13240.0</v>
      </c>
      <c r="K4" s="431" t="s">
        <v>18148</v>
      </c>
    </row>
    <row r="5">
      <c r="A5" s="432">
        <v>45824.42758101852</v>
      </c>
      <c r="B5" s="433">
        <v>17683.0</v>
      </c>
      <c r="C5" s="433" t="s">
        <v>5469</v>
      </c>
      <c r="D5" s="433" t="s">
        <v>11957</v>
      </c>
      <c r="E5" s="433">
        <v>20055.0</v>
      </c>
      <c r="F5" s="433" t="s">
        <v>48</v>
      </c>
      <c r="G5" s="433" t="s">
        <v>35</v>
      </c>
      <c r="H5" s="433" t="s">
        <v>49</v>
      </c>
      <c r="I5" s="433" t="s">
        <v>38</v>
      </c>
      <c r="J5" s="434">
        <v>13243.0</v>
      </c>
      <c r="K5" s="435" t="s">
        <v>18148</v>
      </c>
    </row>
    <row r="6">
      <c r="A6" s="428">
        <v>45824.44228009259</v>
      </c>
      <c r="B6" s="429">
        <v>17750.0</v>
      </c>
      <c r="C6" s="429" t="s">
        <v>12692</v>
      </c>
      <c r="D6" s="429" t="s">
        <v>72</v>
      </c>
      <c r="E6" s="429" t="s">
        <v>16671</v>
      </c>
      <c r="F6" s="429" t="s">
        <v>48</v>
      </c>
      <c r="G6" s="429" t="s">
        <v>35</v>
      </c>
      <c r="H6" s="429" t="s">
        <v>9775</v>
      </c>
      <c r="I6" s="429" t="s">
        <v>38</v>
      </c>
      <c r="J6" s="430">
        <v>13244.0</v>
      </c>
      <c r="K6" s="431" t="s">
        <v>18148</v>
      </c>
    </row>
    <row r="7">
      <c r="A7" s="432">
        <v>45824.44232638889</v>
      </c>
      <c r="B7" s="433">
        <v>17434.0</v>
      </c>
      <c r="C7" s="433" t="s">
        <v>548</v>
      </c>
      <c r="D7" s="433" t="s">
        <v>91</v>
      </c>
      <c r="E7" s="433" t="s">
        <v>14957</v>
      </c>
      <c r="F7" s="433" t="s">
        <v>48</v>
      </c>
      <c r="G7" s="433" t="s">
        <v>35</v>
      </c>
      <c r="H7" s="433" t="s">
        <v>92</v>
      </c>
      <c r="I7" s="433" t="s">
        <v>38</v>
      </c>
      <c r="J7" s="434">
        <v>13246.0</v>
      </c>
      <c r="K7" s="435" t="s">
        <v>18148</v>
      </c>
    </row>
    <row r="8">
      <c r="A8" s="428">
        <v>45824.44238425926</v>
      </c>
      <c r="B8" s="429">
        <v>17755.0</v>
      </c>
      <c r="C8" s="429" t="s">
        <v>548</v>
      </c>
      <c r="D8" s="429" t="s">
        <v>91</v>
      </c>
      <c r="E8" s="429" t="s">
        <v>16692</v>
      </c>
      <c r="F8" s="429" t="s">
        <v>48</v>
      </c>
      <c r="G8" s="429" t="s">
        <v>35</v>
      </c>
      <c r="H8" s="429" t="s">
        <v>92</v>
      </c>
      <c r="I8" s="429" t="s">
        <v>38</v>
      </c>
      <c r="J8" s="430">
        <v>13245.0</v>
      </c>
      <c r="K8" s="431" t="s">
        <v>18148</v>
      </c>
    </row>
    <row r="9">
      <c r="A9" s="432">
        <v>45825.33373842593</v>
      </c>
      <c r="B9" s="433">
        <v>17754.0</v>
      </c>
      <c r="C9" s="433" t="s">
        <v>9205</v>
      </c>
      <c r="D9" s="433" t="s">
        <v>47</v>
      </c>
      <c r="E9" s="433" t="s">
        <v>16687</v>
      </c>
      <c r="F9" s="433" t="s">
        <v>48</v>
      </c>
      <c r="G9" s="433" t="s">
        <v>35</v>
      </c>
      <c r="H9" s="433" t="s">
        <v>49</v>
      </c>
      <c r="I9" s="433" t="s">
        <v>38</v>
      </c>
      <c r="J9" s="434">
        <v>13247.0</v>
      </c>
      <c r="K9" s="435" t="s">
        <v>18148</v>
      </c>
    </row>
    <row r="10">
      <c r="A10" s="428">
        <v>45825.42055555555</v>
      </c>
      <c r="B10" s="429">
        <v>17706.0</v>
      </c>
      <c r="C10" s="429" t="s">
        <v>96</v>
      </c>
      <c r="D10" s="429" t="s">
        <v>11957</v>
      </c>
      <c r="E10" s="429">
        <v>20067.0</v>
      </c>
      <c r="F10" s="429" t="s">
        <v>48</v>
      </c>
      <c r="G10" s="429" t="s">
        <v>35</v>
      </c>
      <c r="H10" s="429" t="s">
        <v>49</v>
      </c>
      <c r="I10" s="429" t="s">
        <v>38</v>
      </c>
      <c r="J10" s="430">
        <v>13249.0</v>
      </c>
      <c r="K10" s="431" t="s">
        <v>18148</v>
      </c>
    </row>
    <row r="11">
      <c r="A11" s="432">
        <v>45825.420578703706</v>
      </c>
      <c r="B11" s="433">
        <v>17744.0</v>
      </c>
      <c r="C11" s="433" t="s">
        <v>1345</v>
      </c>
      <c r="D11" s="433" t="s">
        <v>16641</v>
      </c>
      <c r="E11" s="436">
        <v>20073.0</v>
      </c>
      <c r="F11" s="433" t="s">
        <v>48</v>
      </c>
      <c r="G11" s="433" t="s">
        <v>35</v>
      </c>
      <c r="H11" s="433" t="s">
        <v>420</v>
      </c>
      <c r="I11" s="433" t="s">
        <v>38</v>
      </c>
      <c r="J11" s="434">
        <v>13248.0</v>
      </c>
      <c r="K11" s="435" t="s">
        <v>18148</v>
      </c>
    </row>
    <row r="12">
      <c r="A12" s="428">
        <v>45825.549375</v>
      </c>
      <c r="B12" s="429">
        <v>17741.0</v>
      </c>
      <c r="C12" s="429" t="s">
        <v>4941</v>
      </c>
      <c r="D12" s="429" t="s">
        <v>155</v>
      </c>
      <c r="E12" s="429">
        <v>13973.0</v>
      </c>
      <c r="F12" s="429" t="s">
        <v>48</v>
      </c>
      <c r="G12" s="429" t="s">
        <v>35</v>
      </c>
      <c r="H12" s="429" t="s">
        <v>49</v>
      </c>
      <c r="I12" s="429" t="s">
        <v>38</v>
      </c>
      <c r="J12" s="430">
        <v>13250.0</v>
      </c>
      <c r="K12" s="431" t="s">
        <v>18148</v>
      </c>
    </row>
    <row r="13">
      <c r="A13" s="432">
        <v>45826.4796412037</v>
      </c>
      <c r="B13" s="433" t="s">
        <v>16660</v>
      </c>
      <c r="C13" s="433" t="s">
        <v>16661</v>
      </c>
      <c r="D13" s="433" t="s">
        <v>47</v>
      </c>
      <c r="E13" s="433" t="s">
        <v>16662</v>
      </c>
      <c r="F13" s="433" t="s">
        <v>48</v>
      </c>
      <c r="G13" s="433" t="s">
        <v>35</v>
      </c>
      <c r="H13" s="433" t="s">
        <v>49</v>
      </c>
      <c r="I13" s="433" t="s">
        <v>447</v>
      </c>
      <c r="J13" s="434">
        <v>13260.0</v>
      </c>
      <c r="K13" s="435" t="s">
        <v>18148</v>
      </c>
    </row>
    <row r="14">
      <c r="A14" s="428">
        <v>45826.47966435185</v>
      </c>
      <c r="B14" s="429" t="s">
        <v>16666</v>
      </c>
      <c r="C14" s="429" t="s">
        <v>16661</v>
      </c>
      <c r="D14" s="429" t="s">
        <v>47</v>
      </c>
      <c r="E14" s="429" t="s">
        <v>16667</v>
      </c>
      <c r="F14" s="429" t="s">
        <v>48</v>
      </c>
      <c r="G14" s="429" t="s">
        <v>35</v>
      </c>
      <c r="H14" s="429" t="s">
        <v>49</v>
      </c>
      <c r="I14" s="429" t="s">
        <v>38</v>
      </c>
      <c r="J14" s="430">
        <v>13260.0</v>
      </c>
      <c r="K14" s="431" t="s">
        <v>18148</v>
      </c>
    </row>
    <row r="15">
      <c r="A15" s="432">
        <v>45826.47971064815</v>
      </c>
      <c r="B15" s="433">
        <v>17716.0</v>
      </c>
      <c r="C15" s="433" t="s">
        <v>16493</v>
      </c>
      <c r="D15" s="433" t="s">
        <v>4430</v>
      </c>
      <c r="E15" s="433" t="s">
        <v>16494</v>
      </c>
      <c r="F15" s="433" t="s">
        <v>48</v>
      </c>
      <c r="G15" s="433" t="s">
        <v>35</v>
      </c>
      <c r="H15" s="433" t="s">
        <v>49</v>
      </c>
      <c r="I15" s="433" t="s">
        <v>805</v>
      </c>
      <c r="J15" s="434">
        <v>13259.0</v>
      </c>
      <c r="K15" s="435" t="s">
        <v>18148</v>
      </c>
    </row>
    <row r="16">
      <c r="A16" s="428">
        <v>45826.47971064815</v>
      </c>
      <c r="B16" s="429">
        <v>17709.0</v>
      </c>
      <c r="C16" s="429" t="s">
        <v>16459</v>
      </c>
      <c r="D16" s="429" t="s">
        <v>85</v>
      </c>
      <c r="E16" s="429" t="s">
        <v>16460</v>
      </c>
      <c r="F16" s="429" t="s">
        <v>48</v>
      </c>
      <c r="G16" s="429" t="s">
        <v>35</v>
      </c>
      <c r="H16" s="429" t="s">
        <v>49</v>
      </c>
      <c r="I16" s="429" t="s">
        <v>447</v>
      </c>
      <c r="J16" s="430">
        <v>13258.0</v>
      </c>
      <c r="K16" s="431" t="s">
        <v>18148</v>
      </c>
    </row>
    <row r="17">
      <c r="A17" s="432">
        <v>45826.47972222222</v>
      </c>
      <c r="B17" s="433">
        <v>17771.0</v>
      </c>
      <c r="C17" s="433" t="s">
        <v>10846</v>
      </c>
      <c r="D17" s="433" t="s">
        <v>91</v>
      </c>
      <c r="E17" s="433" t="s">
        <v>16752</v>
      </c>
      <c r="F17" s="433" t="s">
        <v>48</v>
      </c>
      <c r="G17" s="433" t="s">
        <v>35</v>
      </c>
      <c r="H17" s="433" t="s">
        <v>49</v>
      </c>
      <c r="I17" s="433" t="s">
        <v>10848</v>
      </c>
      <c r="J17" s="434">
        <v>13262.0</v>
      </c>
      <c r="K17" s="435" t="s">
        <v>18148</v>
      </c>
    </row>
    <row r="18">
      <c r="A18" s="428">
        <v>45826.47976851852</v>
      </c>
      <c r="B18" s="429">
        <v>17778.0</v>
      </c>
      <c r="C18" s="429" t="s">
        <v>16791</v>
      </c>
      <c r="D18" s="429" t="s">
        <v>91</v>
      </c>
      <c r="E18" s="429" t="s">
        <v>16792</v>
      </c>
      <c r="F18" s="429" t="s">
        <v>48</v>
      </c>
      <c r="G18" s="429" t="s">
        <v>35</v>
      </c>
      <c r="H18" s="429" t="s">
        <v>65</v>
      </c>
      <c r="I18" s="429" t="s">
        <v>38</v>
      </c>
      <c r="J18" s="430">
        <v>13257.0</v>
      </c>
      <c r="K18" s="431" t="s">
        <v>18148</v>
      </c>
    </row>
    <row r="19">
      <c r="A19" s="432">
        <v>45826.47976851852</v>
      </c>
      <c r="B19" s="433">
        <v>17756.0</v>
      </c>
      <c r="C19" s="433" t="s">
        <v>473</v>
      </c>
      <c r="D19" s="433" t="s">
        <v>3441</v>
      </c>
      <c r="E19" s="433" t="s">
        <v>16697</v>
      </c>
      <c r="F19" s="433" t="s">
        <v>48</v>
      </c>
      <c r="G19" s="433" t="s">
        <v>35</v>
      </c>
      <c r="H19" s="433" t="s">
        <v>65</v>
      </c>
      <c r="I19" s="433" t="s">
        <v>38</v>
      </c>
      <c r="J19" s="434">
        <v>13255.0</v>
      </c>
      <c r="K19" s="435" t="s">
        <v>18148</v>
      </c>
    </row>
    <row r="20">
      <c r="A20" s="428">
        <v>45826.47980324074</v>
      </c>
      <c r="B20" s="429">
        <v>17773.0</v>
      </c>
      <c r="C20" s="429" t="s">
        <v>16778</v>
      </c>
      <c r="D20" s="429" t="s">
        <v>72</v>
      </c>
      <c r="E20" s="429" t="s">
        <v>16779</v>
      </c>
      <c r="F20" s="429" t="s">
        <v>48</v>
      </c>
      <c r="G20" s="429" t="s">
        <v>35</v>
      </c>
      <c r="H20" s="429" t="s">
        <v>49</v>
      </c>
      <c r="I20" s="429" t="s">
        <v>238</v>
      </c>
      <c r="J20" s="430">
        <v>13263.0</v>
      </c>
      <c r="K20" s="431" t="s">
        <v>18148</v>
      </c>
    </row>
    <row r="21">
      <c r="A21" s="432">
        <v>45826.47980324074</v>
      </c>
      <c r="B21" s="433">
        <v>17768.0</v>
      </c>
      <c r="C21" s="433" t="s">
        <v>16742</v>
      </c>
      <c r="D21" s="433" t="s">
        <v>47</v>
      </c>
      <c r="E21" s="433" t="s">
        <v>16743</v>
      </c>
      <c r="F21" s="433" t="s">
        <v>48</v>
      </c>
      <c r="G21" s="433" t="s">
        <v>35</v>
      </c>
      <c r="H21" s="433" t="s">
        <v>49</v>
      </c>
      <c r="I21" s="433" t="s">
        <v>238</v>
      </c>
      <c r="J21" s="434">
        <v>13261.0</v>
      </c>
      <c r="K21" s="435" t="s">
        <v>18148</v>
      </c>
    </row>
    <row r="22">
      <c r="A22" s="437">
        <v>45826.479849537034</v>
      </c>
      <c r="B22" s="438">
        <v>17766.0</v>
      </c>
      <c r="C22" s="438" t="s">
        <v>12133</v>
      </c>
      <c r="D22" s="438" t="s">
        <v>47</v>
      </c>
      <c r="E22" s="438" t="s">
        <v>16737</v>
      </c>
      <c r="F22" s="438" t="s">
        <v>48</v>
      </c>
      <c r="G22" s="438" t="s">
        <v>35</v>
      </c>
      <c r="H22" s="438" t="s">
        <v>65</v>
      </c>
      <c r="I22" s="438" t="s">
        <v>38</v>
      </c>
      <c r="J22" s="439">
        <v>13256.0</v>
      </c>
      <c r="K22" s="440" t="s">
        <v>18148</v>
      </c>
    </row>
    <row r="23">
      <c r="A23" s="441">
        <v>45826.58508101852</v>
      </c>
      <c r="B23" s="442">
        <v>17784.0</v>
      </c>
      <c r="C23" s="442" t="s">
        <v>16810</v>
      </c>
      <c r="D23" s="442" t="s">
        <v>72</v>
      </c>
      <c r="E23" s="442" t="s">
        <v>16811</v>
      </c>
      <c r="F23" s="442" t="s">
        <v>48</v>
      </c>
      <c r="G23" s="442" t="s">
        <v>35</v>
      </c>
      <c r="H23" s="442" t="s">
        <v>49</v>
      </c>
      <c r="I23" s="442" t="s">
        <v>238</v>
      </c>
      <c r="J23" s="443">
        <v>13265.0</v>
      </c>
      <c r="K23" s="444" t="s">
        <v>18148</v>
      </c>
    </row>
    <row r="24">
      <c r="A24" s="437">
        <v>45826.58509259259</v>
      </c>
      <c r="B24" s="438">
        <v>17760.0</v>
      </c>
      <c r="C24" s="438" t="s">
        <v>3645</v>
      </c>
      <c r="D24" s="438" t="s">
        <v>47</v>
      </c>
      <c r="E24" s="438" t="s">
        <v>16710</v>
      </c>
      <c r="F24" s="438" t="s">
        <v>48</v>
      </c>
      <c r="G24" s="438" t="s">
        <v>35</v>
      </c>
      <c r="H24" s="438" t="s">
        <v>49</v>
      </c>
      <c r="I24" s="438" t="s">
        <v>38</v>
      </c>
      <c r="J24" s="439">
        <v>13266.0</v>
      </c>
      <c r="K24" s="440" t="s">
        <v>18148</v>
      </c>
    </row>
    <row r="25">
      <c r="A25" s="441">
        <v>45826.59119212963</v>
      </c>
      <c r="B25" s="442">
        <v>17761.0</v>
      </c>
      <c r="C25" s="442" t="s">
        <v>3645</v>
      </c>
      <c r="D25" s="442" t="s">
        <v>16715</v>
      </c>
      <c r="E25" s="442">
        <v>20069.0</v>
      </c>
      <c r="F25" s="442" t="s">
        <v>48</v>
      </c>
      <c r="G25" s="442" t="s">
        <v>35</v>
      </c>
      <c r="H25" s="442" t="s">
        <v>49</v>
      </c>
      <c r="I25" s="442" t="s">
        <v>38</v>
      </c>
      <c r="J25" s="443">
        <v>13264.0</v>
      </c>
      <c r="K25" s="444" t="s">
        <v>18148</v>
      </c>
    </row>
    <row r="26">
      <c r="A26" s="437">
        <v>45828.47</v>
      </c>
      <c r="B26" s="438">
        <v>17712.0</v>
      </c>
      <c r="C26" s="438" t="s">
        <v>3049</v>
      </c>
      <c r="D26" s="438" t="s">
        <v>16479</v>
      </c>
      <c r="E26" s="438">
        <v>20078.0</v>
      </c>
      <c r="F26" s="438" t="s">
        <v>48</v>
      </c>
      <c r="G26" s="438" t="s">
        <v>35</v>
      </c>
      <c r="H26" s="438" t="s">
        <v>49</v>
      </c>
      <c r="I26" s="438" t="s">
        <v>3051</v>
      </c>
      <c r="J26" s="439">
        <v>13268.0</v>
      </c>
      <c r="K26" s="440" t="s">
        <v>18148</v>
      </c>
    </row>
    <row r="27">
      <c r="A27" s="441">
        <v>45828.47009259259</v>
      </c>
      <c r="B27" s="442">
        <v>17779.0</v>
      </c>
      <c r="C27" s="442" t="s">
        <v>104</v>
      </c>
      <c r="D27" s="442" t="s">
        <v>3395</v>
      </c>
      <c r="E27" s="442" t="s">
        <v>16796</v>
      </c>
      <c r="F27" s="442" t="s">
        <v>48</v>
      </c>
      <c r="G27" s="442" t="s">
        <v>35</v>
      </c>
      <c r="H27" s="442" t="s">
        <v>49</v>
      </c>
      <c r="I27" s="442" t="s">
        <v>1184</v>
      </c>
      <c r="J27" s="443">
        <v>13270.0</v>
      </c>
      <c r="K27" s="444" t="s">
        <v>18148</v>
      </c>
    </row>
    <row r="28">
      <c r="A28" s="437">
        <v>45828.47011574074</v>
      </c>
      <c r="B28" s="438">
        <v>17769.0</v>
      </c>
      <c r="C28" s="438" t="s">
        <v>802</v>
      </c>
      <c r="D28" s="438" t="s">
        <v>85</v>
      </c>
      <c r="E28" s="438" t="s">
        <v>17007</v>
      </c>
      <c r="F28" s="438" t="s">
        <v>48</v>
      </c>
      <c r="G28" s="438" t="s">
        <v>35</v>
      </c>
      <c r="H28" s="438" t="s">
        <v>49</v>
      </c>
      <c r="I28" s="438" t="s">
        <v>805</v>
      </c>
      <c r="J28" s="439">
        <v>13269.0</v>
      </c>
      <c r="K28" s="440" t="s">
        <v>18148</v>
      </c>
    </row>
    <row r="29">
      <c r="A29" s="441">
        <v>45828.470185185186</v>
      </c>
      <c r="B29" s="442">
        <v>17785.0</v>
      </c>
      <c r="C29" s="442" t="s">
        <v>16816</v>
      </c>
      <c r="D29" s="442" t="s">
        <v>3395</v>
      </c>
      <c r="E29" s="442" t="s">
        <v>16817</v>
      </c>
      <c r="F29" s="442" t="s">
        <v>48</v>
      </c>
      <c r="G29" s="442" t="s">
        <v>35</v>
      </c>
      <c r="H29" s="442" t="s">
        <v>65</v>
      </c>
      <c r="I29" s="442" t="s">
        <v>38</v>
      </c>
      <c r="J29" s="443">
        <v>13271.0</v>
      </c>
      <c r="K29" s="444" t="s">
        <v>18148</v>
      </c>
    </row>
    <row r="30">
      <c r="A30" s="437">
        <v>45828.56984953704</v>
      </c>
      <c r="B30" s="438">
        <v>17770.0</v>
      </c>
      <c r="C30" s="438" t="s">
        <v>8933</v>
      </c>
      <c r="D30" s="438" t="s">
        <v>91</v>
      </c>
      <c r="E30" s="438" t="s">
        <v>16748</v>
      </c>
      <c r="F30" s="438" t="s">
        <v>48</v>
      </c>
      <c r="G30" s="438" t="s">
        <v>35</v>
      </c>
      <c r="H30" s="438" t="s">
        <v>65</v>
      </c>
      <c r="I30" s="438" t="s">
        <v>38</v>
      </c>
      <c r="J30" s="439">
        <v>13272.0</v>
      </c>
      <c r="K30" s="440" t="s">
        <v>18148</v>
      </c>
    </row>
    <row r="31">
      <c r="A31" s="441">
        <v>45828.59886574074</v>
      </c>
      <c r="B31" s="442" t="s">
        <v>16773</v>
      </c>
      <c r="C31" s="442" t="s">
        <v>4604</v>
      </c>
      <c r="D31" s="442" t="s">
        <v>3441</v>
      </c>
      <c r="E31" s="442" t="s">
        <v>16774</v>
      </c>
      <c r="F31" s="442" t="s">
        <v>48</v>
      </c>
      <c r="G31" s="442" t="s">
        <v>35</v>
      </c>
      <c r="H31" s="442" t="s">
        <v>65</v>
      </c>
      <c r="I31" s="442" t="s">
        <v>38</v>
      </c>
      <c r="J31" s="443">
        <v>13273.0</v>
      </c>
      <c r="K31" s="444" t="s">
        <v>18148</v>
      </c>
    </row>
    <row r="32">
      <c r="A32" s="437">
        <v>45828.59894675926</v>
      </c>
      <c r="B32" s="438" t="s">
        <v>16765</v>
      </c>
      <c r="C32" s="438" t="s">
        <v>4604</v>
      </c>
      <c r="D32" s="438" t="s">
        <v>112</v>
      </c>
      <c r="E32" s="438" t="s">
        <v>16766</v>
      </c>
      <c r="F32" s="438" t="s">
        <v>48</v>
      </c>
      <c r="G32" s="438" t="s">
        <v>35</v>
      </c>
      <c r="H32" s="438" t="s">
        <v>65</v>
      </c>
      <c r="I32" s="438" t="s">
        <v>38</v>
      </c>
      <c r="J32" s="439">
        <v>13273.0</v>
      </c>
      <c r="K32" s="440" t="s">
        <v>18148</v>
      </c>
    </row>
    <row r="33">
      <c r="A33" s="441">
        <v>45828.598958333336</v>
      </c>
      <c r="B33" s="442" t="s">
        <v>16769</v>
      </c>
      <c r="C33" s="442" t="s">
        <v>4604</v>
      </c>
      <c r="D33" s="442" t="s">
        <v>112</v>
      </c>
      <c r="E33" s="442" t="s">
        <v>16770</v>
      </c>
      <c r="F33" s="442" t="s">
        <v>48</v>
      </c>
      <c r="G33" s="442" t="s">
        <v>35</v>
      </c>
      <c r="H33" s="442" t="s">
        <v>65</v>
      </c>
      <c r="I33" s="442" t="s">
        <v>38</v>
      </c>
      <c r="J33" s="443">
        <v>13273.0</v>
      </c>
      <c r="K33" s="444" t="s">
        <v>18148</v>
      </c>
    </row>
    <row r="34">
      <c r="A34" s="437">
        <v>45828.59898148148</v>
      </c>
      <c r="B34" s="438" t="s">
        <v>16756</v>
      </c>
      <c r="C34" s="438" t="s">
        <v>4604</v>
      </c>
      <c r="D34" s="438" t="s">
        <v>112</v>
      </c>
      <c r="E34" s="438" t="s">
        <v>16757</v>
      </c>
      <c r="F34" s="438" t="s">
        <v>48</v>
      </c>
      <c r="G34" s="438" t="s">
        <v>35</v>
      </c>
      <c r="H34" s="438" t="s">
        <v>65</v>
      </c>
      <c r="I34" s="438" t="s">
        <v>38</v>
      </c>
      <c r="J34" s="439">
        <v>13273.0</v>
      </c>
      <c r="K34" s="440" t="s">
        <v>18148</v>
      </c>
    </row>
    <row r="35">
      <c r="A35" s="441">
        <v>45828.59899305556</v>
      </c>
      <c r="B35" s="442" t="s">
        <v>16761</v>
      </c>
      <c r="C35" s="442" t="s">
        <v>4604</v>
      </c>
      <c r="D35" s="442" t="s">
        <v>112</v>
      </c>
      <c r="E35" s="442" t="s">
        <v>16762</v>
      </c>
      <c r="F35" s="442" t="s">
        <v>48</v>
      </c>
      <c r="G35" s="442" t="s">
        <v>35</v>
      </c>
      <c r="H35" s="442" t="s">
        <v>65</v>
      </c>
      <c r="I35" s="442" t="s">
        <v>38</v>
      </c>
      <c r="J35" s="443">
        <v>13273.0</v>
      </c>
      <c r="K35" s="444" t="s">
        <v>18148</v>
      </c>
    </row>
    <row r="36">
      <c r="A36" s="437">
        <v>45831.58641203704</v>
      </c>
      <c r="B36" s="438">
        <v>17787.0</v>
      </c>
      <c r="C36" s="438" t="s">
        <v>693</v>
      </c>
      <c r="D36" s="438" t="s">
        <v>47</v>
      </c>
      <c r="E36" s="438" t="s">
        <v>16834</v>
      </c>
      <c r="F36" s="438" t="s">
        <v>48</v>
      </c>
      <c r="G36" s="438" t="s">
        <v>35</v>
      </c>
      <c r="H36" s="438" t="s">
        <v>49</v>
      </c>
      <c r="I36" s="438" t="s">
        <v>38</v>
      </c>
      <c r="J36" s="439">
        <v>13278.0</v>
      </c>
      <c r="K36" s="440" t="s">
        <v>18148</v>
      </c>
    </row>
    <row r="37">
      <c r="A37" s="441">
        <v>45831.58650462963</v>
      </c>
      <c r="B37" s="442">
        <v>17789.0</v>
      </c>
      <c r="C37" s="442" t="s">
        <v>4352</v>
      </c>
      <c r="D37" s="442" t="s">
        <v>47</v>
      </c>
      <c r="E37" s="442" t="s">
        <v>16847</v>
      </c>
      <c r="F37" s="442" t="s">
        <v>48</v>
      </c>
      <c r="G37" s="442" t="s">
        <v>35</v>
      </c>
      <c r="H37" s="442" t="s">
        <v>49</v>
      </c>
      <c r="I37" s="442" t="s">
        <v>38</v>
      </c>
      <c r="J37" s="443">
        <v>13277.0</v>
      </c>
      <c r="K37" s="444" t="s">
        <v>18148</v>
      </c>
    </row>
    <row r="38">
      <c r="A38" s="437">
        <v>45831.5865162037</v>
      </c>
      <c r="B38" s="438">
        <v>17798.0</v>
      </c>
      <c r="C38" s="438" t="s">
        <v>5586</v>
      </c>
      <c r="D38" s="438" t="s">
        <v>91</v>
      </c>
      <c r="E38" s="438" t="s">
        <v>16904</v>
      </c>
      <c r="F38" s="438" t="s">
        <v>48</v>
      </c>
      <c r="G38" s="438" t="s">
        <v>35</v>
      </c>
      <c r="H38" s="438" t="s">
        <v>49</v>
      </c>
      <c r="I38" s="438" t="s">
        <v>16905</v>
      </c>
      <c r="J38" s="439">
        <v>13276.0</v>
      </c>
      <c r="K38" s="440" t="s">
        <v>18148</v>
      </c>
    </row>
    <row r="39">
      <c r="A39" s="441">
        <v>45831.586539351854</v>
      </c>
      <c r="B39" s="442">
        <v>17790.0</v>
      </c>
      <c r="C39" s="442" t="s">
        <v>4352</v>
      </c>
      <c r="D39" s="442" t="s">
        <v>3395</v>
      </c>
      <c r="E39" s="442" t="s">
        <v>16852</v>
      </c>
      <c r="F39" s="442" t="s">
        <v>48</v>
      </c>
      <c r="G39" s="442" t="s">
        <v>35</v>
      </c>
      <c r="H39" s="442" t="s">
        <v>49</v>
      </c>
      <c r="I39" s="442" t="s">
        <v>38</v>
      </c>
      <c r="J39" s="443">
        <v>13274.0</v>
      </c>
      <c r="K39" s="444" t="s">
        <v>18148</v>
      </c>
    </row>
    <row r="40">
      <c r="A40" s="437">
        <v>45831.5865625</v>
      </c>
      <c r="B40" s="438">
        <v>17791.0</v>
      </c>
      <c r="C40" s="438" t="s">
        <v>4352</v>
      </c>
      <c r="D40" s="438" t="s">
        <v>85</v>
      </c>
      <c r="E40" s="438" t="s">
        <v>16857</v>
      </c>
      <c r="F40" s="438" t="s">
        <v>48</v>
      </c>
      <c r="G40" s="438" t="s">
        <v>35</v>
      </c>
      <c r="H40" s="438" t="s">
        <v>49</v>
      </c>
      <c r="I40" s="438" t="s">
        <v>38</v>
      </c>
      <c r="J40" s="439">
        <v>13275.0</v>
      </c>
      <c r="K40" s="440" t="s">
        <v>18148</v>
      </c>
    </row>
    <row r="41">
      <c r="A41" s="441">
        <v>45832.41297453704</v>
      </c>
      <c r="B41" s="442" t="s">
        <v>24904</v>
      </c>
      <c r="C41" s="442" t="s">
        <v>4313</v>
      </c>
      <c r="D41" s="442" t="s">
        <v>4430</v>
      </c>
      <c r="E41" s="442" t="s">
        <v>18097</v>
      </c>
      <c r="F41" s="442" t="s">
        <v>48</v>
      </c>
      <c r="G41" s="442" t="s">
        <v>35</v>
      </c>
      <c r="H41" s="442" t="s">
        <v>92</v>
      </c>
      <c r="I41" s="442" t="s">
        <v>38</v>
      </c>
      <c r="J41" s="443">
        <v>13280.0</v>
      </c>
      <c r="K41" s="444" t="s">
        <v>18148</v>
      </c>
    </row>
    <row r="42">
      <c r="A42" s="437">
        <v>45832.41303240741</v>
      </c>
      <c r="B42" s="438" t="s">
        <v>24905</v>
      </c>
      <c r="C42" s="438" t="s">
        <v>4313</v>
      </c>
      <c r="D42" s="438" t="s">
        <v>91</v>
      </c>
      <c r="E42" s="438" t="s">
        <v>17597</v>
      </c>
      <c r="F42" s="438" t="s">
        <v>48</v>
      </c>
      <c r="G42" s="438" t="s">
        <v>35</v>
      </c>
      <c r="H42" s="438" t="s">
        <v>92</v>
      </c>
      <c r="I42" s="438" t="s">
        <v>38</v>
      </c>
      <c r="J42" s="439">
        <v>13280.0</v>
      </c>
      <c r="K42" s="440" t="s">
        <v>18148</v>
      </c>
    </row>
    <row r="43">
      <c r="A43" s="441">
        <v>45832.433900462966</v>
      </c>
      <c r="B43" s="442">
        <v>17759.0</v>
      </c>
      <c r="C43" s="442" t="s">
        <v>3645</v>
      </c>
      <c r="D43" s="442" t="s">
        <v>13781</v>
      </c>
      <c r="E43" s="442">
        <v>20080.0</v>
      </c>
      <c r="F43" s="442" t="s">
        <v>48</v>
      </c>
      <c r="G43" s="442" t="s">
        <v>35</v>
      </c>
      <c r="H43" s="442" t="s">
        <v>49</v>
      </c>
      <c r="I43" s="442" t="s">
        <v>38</v>
      </c>
      <c r="J43" s="443">
        <v>13279.0</v>
      </c>
      <c r="K43" s="444" t="s">
        <v>18148</v>
      </c>
    </row>
    <row r="44">
      <c r="A44" s="437">
        <v>45832.495208333334</v>
      </c>
      <c r="B44" s="438" t="s">
        <v>16392</v>
      </c>
      <c r="C44" s="438" t="s">
        <v>5650</v>
      </c>
      <c r="D44" s="438" t="s">
        <v>47</v>
      </c>
      <c r="E44" s="438" t="s">
        <v>16393</v>
      </c>
      <c r="F44" s="438" t="s">
        <v>48</v>
      </c>
      <c r="G44" s="438" t="s">
        <v>35</v>
      </c>
      <c r="H44" s="438" t="s">
        <v>49</v>
      </c>
      <c r="I44" s="438" t="s">
        <v>38</v>
      </c>
      <c r="J44" s="439">
        <v>13282.0</v>
      </c>
      <c r="K44" s="440" t="s">
        <v>18148</v>
      </c>
    </row>
    <row r="45">
      <c r="A45" s="441">
        <v>45832.495254629626</v>
      </c>
      <c r="B45" s="442" t="s">
        <v>16396</v>
      </c>
      <c r="C45" s="442" t="s">
        <v>5650</v>
      </c>
      <c r="D45" s="442" t="s">
        <v>47</v>
      </c>
      <c r="E45" s="442" t="s">
        <v>16397</v>
      </c>
      <c r="F45" s="442" t="s">
        <v>48</v>
      </c>
      <c r="G45" s="442" t="s">
        <v>35</v>
      </c>
      <c r="H45" s="442" t="s">
        <v>49</v>
      </c>
      <c r="I45" s="442" t="s">
        <v>38</v>
      </c>
      <c r="J45" s="443">
        <v>13282.0</v>
      </c>
      <c r="K45" s="444" t="s">
        <v>18148</v>
      </c>
    </row>
    <row r="46">
      <c r="A46" s="437">
        <v>45832.495300925926</v>
      </c>
      <c r="B46" s="438" t="s">
        <v>16388</v>
      </c>
      <c r="C46" s="438" t="s">
        <v>5650</v>
      </c>
      <c r="D46" s="438" t="s">
        <v>91</v>
      </c>
      <c r="E46" s="438" t="s">
        <v>16389</v>
      </c>
      <c r="F46" s="438" t="s">
        <v>48</v>
      </c>
      <c r="G46" s="438" t="s">
        <v>35</v>
      </c>
      <c r="H46" s="438" t="s">
        <v>49</v>
      </c>
      <c r="I46" s="438" t="s">
        <v>38</v>
      </c>
      <c r="J46" s="439">
        <v>13282.0</v>
      </c>
      <c r="K46" s="440" t="s">
        <v>18148</v>
      </c>
    </row>
    <row r="47">
      <c r="A47" s="441">
        <v>45832.4953125</v>
      </c>
      <c r="B47" s="442">
        <v>17675.0</v>
      </c>
      <c r="C47" s="442" t="s">
        <v>1359</v>
      </c>
      <c r="D47" s="442" t="s">
        <v>47</v>
      </c>
      <c r="E47" s="442" t="s">
        <v>16299</v>
      </c>
      <c r="F47" s="442" t="s">
        <v>48</v>
      </c>
      <c r="G47" s="442" t="s">
        <v>35</v>
      </c>
      <c r="H47" s="442" t="s">
        <v>420</v>
      </c>
      <c r="I47" s="442" t="s">
        <v>38</v>
      </c>
      <c r="J47" s="443">
        <v>13283.0</v>
      </c>
      <c r="K47" s="444" t="s">
        <v>18148</v>
      </c>
    </row>
    <row r="48">
      <c r="A48" s="437">
        <v>45833.34851851852</v>
      </c>
      <c r="B48" s="438" t="s">
        <v>15655</v>
      </c>
      <c r="C48" s="438" t="s">
        <v>10785</v>
      </c>
      <c r="D48" s="438" t="s">
        <v>511</v>
      </c>
      <c r="E48" s="438">
        <v>13862.0</v>
      </c>
      <c r="F48" s="438" t="s">
        <v>33</v>
      </c>
      <c r="G48" s="438" t="s">
        <v>35</v>
      </c>
      <c r="H48" s="438" t="s">
        <v>92</v>
      </c>
      <c r="I48" s="438" t="s">
        <v>38</v>
      </c>
      <c r="J48" s="439"/>
      <c r="K48" s="440" t="s">
        <v>18148</v>
      </c>
    </row>
    <row r="49">
      <c r="A49" s="441">
        <v>45833.48483796296</v>
      </c>
      <c r="B49" s="442">
        <v>17805.0</v>
      </c>
      <c r="C49" s="442" t="s">
        <v>9674</v>
      </c>
      <c r="D49" s="442" t="s">
        <v>3395</v>
      </c>
      <c r="E49" s="442" t="s">
        <v>16947</v>
      </c>
      <c r="F49" s="442" t="s">
        <v>48</v>
      </c>
      <c r="G49" s="442" t="s">
        <v>35</v>
      </c>
      <c r="H49" s="442" t="s">
        <v>49</v>
      </c>
      <c r="I49" s="442" t="s">
        <v>38</v>
      </c>
      <c r="J49" s="443">
        <v>13285.0</v>
      </c>
      <c r="K49" s="444" t="s">
        <v>18148</v>
      </c>
    </row>
    <row r="50">
      <c r="A50" s="437">
        <v>45833.48484953704</v>
      </c>
      <c r="B50" s="438">
        <v>17797.0</v>
      </c>
      <c r="C50" s="438" t="s">
        <v>7736</v>
      </c>
      <c r="D50" s="438" t="s">
        <v>91</v>
      </c>
      <c r="E50" s="438" t="s">
        <v>16898</v>
      </c>
      <c r="F50" s="438" t="s">
        <v>48</v>
      </c>
      <c r="G50" s="438" t="s">
        <v>35</v>
      </c>
      <c r="H50" s="438" t="s">
        <v>49</v>
      </c>
      <c r="I50" s="438" t="s">
        <v>16899</v>
      </c>
      <c r="J50" s="439">
        <v>13290.0</v>
      </c>
      <c r="K50" s="440" t="s">
        <v>18148</v>
      </c>
    </row>
    <row r="51">
      <c r="A51" s="441">
        <v>45833.48486111111</v>
      </c>
      <c r="B51" s="442" t="s">
        <v>16969</v>
      </c>
      <c r="C51" s="442" t="s">
        <v>5507</v>
      </c>
      <c r="D51" s="442" t="s">
        <v>112</v>
      </c>
      <c r="E51" s="442" t="s">
        <v>16970</v>
      </c>
      <c r="F51" s="442" t="s">
        <v>48</v>
      </c>
      <c r="G51" s="442" t="s">
        <v>35</v>
      </c>
      <c r="H51" s="442" t="s">
        <v>49</v>
      </c>
      <c r="I51" s="442" t="s">
        <v>38</v>
      </c>
      <c r="J51" s="443">
        <v>13287.0</v>
      </c>
      <c r="K51" s="444" t="s">
        <v>18148</v>
      </c>
    </row>
    <row r="52">
      <c r="A52" s="437">
        <v>45833.48490740741</v>
      </c>
      <c r="B52" s="438" t="s">
        <v>16932</v>
      </c>
      <c r="C52" s="438" t="s">
        <v>11671</v>
      </c>
      <c r="D52" s="438" t="s">
        <v>4430</v>
      </c>
      <c r="E52" s="438" t="s">
        <v>16933</v>
      </c>
      <c r="F52" s="438" t="s">
        <v>48</v>
      </c>
      <c r="G52" s="438" t="s">
        <v>35</v>
      </c>
      <c r="H52" s="438" t="s">
        <v>518</v>
      </c>
      <c r="I52" s="438" t="s">
        <v>38</v>
      </c>
      <c r="J52" s="439">
        <v>13289.0</v>
      </c>
      <c r="K52" s="440" t="s">
        <v>18148</v>
      </c>
    </row>
    <row r="53">
      <c r="A53" s="441">
        <v>45833.484918981485</v>
      </c>
      <c r="B53" s="442" t="s">
        <v>16937</v>
      </c>
      <c r="C53" s="442" t="s">
        <v>11671</v>
      </c>
      <c r="D53" s="442" t="s">
        <v>4430</v>
      </c>
      <c r="E53" s="442" t="s">
        <v>16938</v>
      </c>
      <c r="F53" s="442" t="s">
        <v>48</v>
      </c>
      <c r="G53" s="442" t="s">
        <v>35</v>
      </c>
      <c r="H53" s="442" t="s">
        <v>518</v>
      </c>
      <c r="I53" s="442" t="s">
        <v>38</v>
      </c>
      <c r="J53" s="443">
        <v>13289.0</v>
      </c>
      <c r="K53" s="444" t="s">
        <v>18148</v>
      </c>
    </row>
    <row r="54">
      <c r="A54" s="437">
        <v>45833.484976851854</v>
      </c>
      <c r="B54" s="438">
        <v>17801.0</v>
      </c>
      <c r="C54" s="438" t="s">
        <v>4975</v>
      </c>
      <c r="D54" s="438" t="s">
        <v>47</v>
      </c>
      <c r="E54" s="438" t="s">
        <v>16928</v>
      </c>
      <c r="F54" s="438" t="s">
        <v>48</v>
      </c>
      <c r="G54" s="438" t="s">
        <v>35</v>
      </c>
      <c r="H54" s="438" t="s">
        <v>65</v>
      </c>
      <c r="I54" s="438" t="s">
        <v>38</v>
      </c>
      <c r="J54" s="439">
        <v>13288.0</v>
      </c>
      <c r="K54" s="440" t="s">
        <v>18148</v>
      </c>
    </row>
    <row r="55">
      <c r="A55" s="441">
        <v>45833.48501157408</v>
      </c>
      <c r="B55" s="442" t="s">
        <v>16964</v>
      </c>
      <c r="C55" s="442" t="s">
        <v>5507</v>
      </c>
      <c r="D55" s="442" t="s">
        <v>3441</v>
      </c>
      <c r="E55" s="442" t="s">
        <v>16965</v>
      </c>
      <c r="F55" s="442" t="s">
        <v>48</v>
      </c>
      <c r="G55" s="442" t="s">
        <v>35</v>
      </c>
      <c r="H55" s="442" t="s">
        <v>49</v>
      </c>
      <c r="I55" s="442" t="s">
        <v>38</v>
      </c>
      <c r="J55" s="443">
        <v>13287.0</v>
      </c>
      <c r="K55" s="444" t="s">
        <v>18148</v>
      </c>
    </row>
    <row r="56">
      <c r="A56" s="437">
        <v>45833.48502314815</v>
      </c>
      <c r="B56" s="438">
        <v>17808.0</v>
      </c>
      <c r="C56" s="438" t="s">
        <v>14771</v>
      </c>
      <c r="D56" s="438" t="s">
        <v>3441</v>
      </c>
      <c r="E56" s="438" t="s">
        <v>16960</v>
      </c>
      <c r="F56" s="438" t="s">
        <v>48</v>
      </c>
      <c r="G56" s="438" t="s">
        <v>35</v>
      </c>
      <c r="H56" s="438" t="s">
        <v>49</v>
      </c>
      <c r="I56" s="438" t="s">
        <v>447</v>
      </c>
      <c r="J56" s="439">
        <v>13286.0</v>
      </c>
      <c r="K56" s="440" t="s">
        <v>18148</v>
      </c>
    </row>
    <row r="57">
      <c r="A57" s="441">
        <v>45833.48504629629</v>
      </c>
      <c r="B57" s="442">
        <v>17730.0</v>
      </c>
      <c r="C57" s="442" t="s">
        <v>15712</v>
      </c>
      <c r="D57" s="442" t="s">
        <v>3441</v>
      </c>
      <c r="E57" s="442" t="s">
        <v>16569</v>
      </c>
      <c r="F57" s="442" t="s">
        <v>48</v>
      </c>
      <c r="G57" s="442" t="s">
        <v>35</v>
      </c>
      <c r="H57" s="442" t="s">
        <v>65</v>
      </c>
      <c r="I57" s="442" t="s">
        <v>38</v>
      </c>
      <c r="J57" s="443">
        <v>13291.0</v>
      </c>
      <c r="K57" s="444" t="s">
        <v>18148</v>
      </c>
    </row>
    <row r="58">
      <c r="A58" s="437">
        <v>45833.54592592592</v>
      </c>
      <c r="B58" s="438" t="s">
        <v>15651</v>
      </c>
      <c r="C58" s="438" t="s">
        <v>10785</v>
      </c>
      <c r="D58" s="438" t="s">
        <v>511</v>
      </c>
      <c r="E58" s="438">
        <v>13714.0</v>
      </c>
      <c r="F58" s="438" t="s">
        <v>33</v>
      </c>
      <c r="G58" s="438" t="s">
        <v>35</v>
      </c>
      <c r="H58" s="438" t="s">
        <v>92</v>
      </c>
      <c r="I58" s="438" t="s">
        <v>38</v>
      </c>
      <c r="J58" s="439">
        <v>13292.0</v>
      </c>
      <c r="K58" s="440" t="s">
        <v>18148</v>
      </c>
    </row>
    <row r="59">
      <c r="A59" s="441">
        <v>45833.54592592592</v>
      </c>
      <c r="B59" s="442" t="s">
        <v>15655</v>
      </c>
      <c r="C59" s="442" t="s">
        <v>10785</v>
      </c>
      <c r="D59" s="442" t="s">
        <v>511</v>
      </c>
      <c r="E59" s="442">
        <v>13862.0</v>
      </c>
      <c r="F59" s="442" t="s">
        <v>33</v>
      </c>
      <c r="G59" s="442" t="s">
        <v>35</v>
      </c>
      <c r="H59" s="442" t="s">
        <v>92</v>
      </c>
      <c r="I59" s="442" t="s">
        <v>38</v>
      </c>
      <c r="J59" s="443">
        <v>13292.0</v>
      </c>
      <c r="K59" s="444" t="s">
        <v>18148</v>
      </c>
    </row>
    <row r="60">
      <c r="A60" s="437">
        <v>45833.57157407407</v>
      </c>
      <c r="B60" s="438" t="s">
        <v>16979</v>
      </c>
      <c r="C60" s="438" t="s">
        <v>104</v>
      </c>
      <c r="D60" s="438" t="s">
        <v>47</v>
      </c>
      <c r="E60" s="438" t="s">
        <v>16980</v>
      </c>
      <c r="F60" s="438" t="s">
        <v>48</v>
      </c>
      <c r="G60" s="438" t="s">
        <v>35</v>
      </c>
      <c r="H60" s="438" t="s">
        <v>49</v>
      </c>
      <c r="I60" s="438" t="s">
        <v>38</v>
      </c>
      <c r="J60" s="439">
        <v>13293.0</v>
      </c>
      <c r="K60" s="440" t="s">
        <v>18148</v>
      </c>
    </row>
    <row r="61">
      <c r="A61" s="441">
        <v>45833.571597222224</v>
      </c>
      <c r="B61" s="442" t="s">
        <v>16984</v>
      </c>
      <c r="C61" s="442" t="s">
        <v>104</v>
      </c>
      <c r="D61" s="442" t="s">
        <v>47</v>
      </c>
      <c r="E61" s="442" t="s">
        <v>16985</v>
      </c>
      <c r="F61" s="442" t="s">
        <v>48</v>
      </c>
      <c r="G61" s="442" t="s">
        <v>35</v>
      </c>
      <c r="H61" s="442" t="s">
        <v>49</v>
      </c>
      <c r="I61" s="442" t="s">
        <v>38</v>
      </c>
      <c r="J61" s="443">
        <v>13293.0</v>
      </c>
      <c r="K61" s="444" t="s">
        <v>18148</v>
      </c>
    </row>
    <row r="62">
      <c r="A62" s="437">
        <v>45833.58758101852</v>
      </c>
      <c r="B62" s="438" t="s">
        <v>16235</v>
      </c>
      <c r="C62" s="438" t="s">
        <v>15016</v>
      </c>
      <c r="D62" s="438" t="s">
        <v>112</v>
      </c>
      <c r="E62" s="438" t="s">
        <v>16236</v>
      </c>
      <c r="F62" s="438" t="s">
        <v>48</v>
      </c>
      <c r="G62" s="438" t="s">
        <v>35</v>
      </c>
      <c r="H62" s="438" t="s">
        <v>65</v>
      </c>
      <c r="I62" s="438" t="s">
        <v>38</v>
      </c>
      <c r="J62" s="439">
        <v>13294.0</v>
      </c>
      <c r="K62" s="440" t="s">
        <v>18148</v>
      </c>
    </row>
    <row r="63">
      <c r="A63" s="441">
        <v>45833.587592592594</v>
      </c>
      <c r="B63" s="442" t="s">
        <v>16227</v>
      </c>
      <c r="C63" s="442" t="s">
        <v>15016</v>
      </c>
      <c r="D63" s="442" t="s">
        <v>112</v>
      </c>
      <c r="E63" s="442" t="s">
        <v>16228</v>
      </c>
      <c r="F63" s="442" t="s">
        <v>48</v>
      </c>
      <c r="G63" s="442" t="s">
        <v>35</v>
      </c>
      <c r="H63" s="442" t="s">
        <v>65</v>
      </c>
      <c r="I63" s="442" t="s">
        <v>38</v>
      </c>
      <c r="J63" s="443">
        <v>13294.0</v>
      </c>
      <c r="K63" s="444" t="s">
        <v>18148</v>
      </c>
    </row>
    <row r="64">
      <c r="A64" s="437">
        <v>45833.58760416666</v>
      </c>
      <c r="B64" s="438" t="s">
        <v>16231</v>
      </c>
      <c r="C64" s="438" t="s">
        <v>15016</v>
      </c>
      <c r="D64" s="438" t="s">
        <v>112</v>
      </c>
      <c r="E64" s="438" t="s">
        <v>16232</v>
      </c>
      <c r="F64" s="438" t="s">
        <v>48</v>
      </c>
      <c r="G64" s="438" t="s">
        <v>35</v>
      </c>
      <c r="H64" s="438" t="s">
        <v>65</v>
      </c>
      <c r="I64" s="438" t="s">
        <v>38</v>
      </c>
      <c r="J64" s="439">
        <v>13294.0</v>
      </c>
      <c r="K64" s="440" t="s">
        <v>18148</v>
      </c>
    </row>
    <row r="65">
      <c r="A65" s="441">
        <v>45833.59180555555</v>
      </c>
      <c r="B65" s="442">
        <v>17803.0</v>
      </c>
      <c r="C65" s="442" t="s">
        <v>4941</v>
      </c>
      <c r="D65" s="442" t="s">
        <v>47</v>
      </c>
      <c r="E65" s="442" t="s">
        <v>16942</v>
      </c>
      <c r="F65" s="442" t="s">
        <v>48</v>
      </c>
      <c r="G65" s="442" t="s">
        <v>35</v>
      </c>
      <c r="H65" s="442" t="s">
        <v>92</v>
      </c>
      <c r="I65" s="442" t="s">
        <v>38</v>
      </c>
      <c r="J65" s="443">
        <v>13295.0</v>
      </c>
      <c r="K65" s="444" t="s">
        <v>18148</v>
      </c>
    </row>
    <row r="66">
      <c r="A66" s="437">
        <v>45834.54388888889</v>
      </c>
      <c r="B66" s="438" t="s">
        <v>17006</v>
      </c>
      <c r="C66" s="438" t="s">
        <v>11777</v>
      </c>
      <c r="D66" s="438" t="s">
        <v>85</v>
      </c>
      <c r="E66" s="438" t="s">
        <v>17007</v>
      </c>
      <c r="F66" s="438" t="s">
        <v>48</v>
      </c>
      <c r="G66" s="438" t="s">
        <v>35</v>
      </c>
      <c r="H66" s="438" t="s">
        <v>518</v>
      </c>
      <c r="I66" s="438" t="s">
        <v>38</v>
      </c>
      <c r="J66" s="439">
        <v>13296.0</v>
      </c>
      <c r="K66" s="440" t="s">
        <v>18148</v>
      </c>
    </row>
    <row r="67">
      <c r="A67" s="441">
        <v>45834.54392361111</v>
      </c>
      <c r="B67" s="442" t="s">
        <v>16870</v>
      </c>
      <c r="C67" s="442" t="s">
        <v>10447</v>
      </c>
      <c r="D67" s="442" t="s">
        <v>72</v>
      </c>
      <c r="E67" s="442" t="s">
        <v>16871</v>
      </c>
      <c r="F67" s="442" t="s">
        <v>48</v>
      </c>
      <c r="G67" s="442" t="s">
        <v>35</v>
      </c>
      <c r="H67" s="442" t="s">
        <v>65</v>
      </c>
      <c r="I67" s="442" t="s">
        <v>38</v>
      </c>
      <c r="J67" s="443">
        <v>13298.0</v>
      </c>
      <c r="K67" s="444" t="s">
        <v>18148</v>
      </c>
    </row>
    <row r="68">
      <c r="A68" s="437">
        <v>45834.543958333335</v>
      </c>
      <c r="B68" s="438">
        <v>17751.0</v>
      </c>
      <c r="C68" s="438" t="s">
        <v>12493</v>
      </c>
      <c r="D68" s="438" t="s">
        <v>3441</v>
      </c>
      <c r="E68" s="438" t="s">
        <v>16677</v>
      </c>
      <c r="F68" s="438" t="s">
        <v>48</v>
      </c>
      <c r="G68" s="438" t="s">
        <v>35</v>
      </c>
      <c r="H68" s="438" t="s">
        <v>65</v>
      </c>
      <c r="I68" s="438" t="s">
        <v>38</v>
      </c>
      <c r="J68" s="439">
        <v>13303.0</v>
      </c>
      <c r="K68" s="440" t="s">
        <v>18148</v>
      </c>
    </row>
    <row r="69">
      <c r="A69" s="441">
        <v>45834.543958333335</v>
      </c>
      <c r="B69" s="442" t="s">
        <v>16874</v>
      </c>
      <c r="C69" s="442" t="s">
        <v>10447</v>
      </c>
      <c r="D69" s="442" t="s">
        <v>85</v>
      </c>
      <c r="E69" s="442" t="s">
        <v>16875</v>
      </c>
      <c r="F69" s="442" t="s">
        <v>48</v>
      </c>
      <c r="G69" s="442" t="s">
        <v>35</v>
      </c>
      <c r="H69" s="442" t="s">
        <v>65</v>
      </c>
      <c r="I69" s="442" t="s">
        <v>38</v>
      </c>
      <c r="J69" s="443">
        <v>13298.0</v>
      </c>
      <c r="K69" s="444" t="s">
        <v>18148</v>
      </c>
    </row>
    <row r="70">
      <c r="A70" s="437">
        <v>45834.54398148148</v>
      </c>
      <c r="B70" s="438" t="s">
        <v>16865</v>
      </c>
      <c r="C70" s="438" t="s">
        <v>10447</v>
      </c>
      <c r="D70" s="438" t="s">
        <v>3395</v>
      </c>
      <c r="E70" s="438" t="s">
        <v>16866</v>
      </c>
      <c r="F70" s="438" t="s">
        <v>48</v>
      </c>
      <c r="G70" s="438" t="s">
        <v>35</v>
      </c>
      <c r="H70" s="438" t="s">
        <v>65</v>
      </c>
      <c r="I70" s="438" t="s">
        <v>38</v>
      </c>
      <c r="J70" s="439">
        <v>13298.0</v>
      </c>
      <c r="K70" s="440" t="s">
        <v>18148</v>
      </c>
    </row>
    <row r="71">
      <c r="A71" s="441">
        <v>45834.54398148148</v>
      </c>
      <c r="B71" s="442">
        <v>17816.0</v>
      </c>
      <c r="C71" s="442" t="s">
        <v>8459</v>
      </c>
      <c r="D71" s="442" t="s">
        <v>91</v>
      </c>
      <c r="E71" s="442" t="s">
        <v>16997</v>
      </c>
      <c r="F71" s="442" t="s">
        <v>48</v>
      </c>
      <c r="G71" s="442" t="s">
        <v>35</v>
      </c>
      <c r="H71" s="442" t="s">
        <v>49</v>
      </c>
      <c r="I71" s="442" t="s">
        <v>1506</v>
      </c>
      <c r="J71" s="443">
        <v>13297.0</v>
      </c>
      <c r="K71" s="444" t="s">
        <v>18148</v>
      </c>
    </row>
    <row r="72">
      <c r="A72" s="437">
        <v>45834.54400462963</v>
      </c>
      <c r="B72" s="438">
        <v>17793.0</v>
      </c>
      <c r="C72" s="438" t="s">
        <v>543</v>
      </c>
      <c r="D72" s="438" t="s">
        <v>72</v>
      </c>
      <c r="E72" s="438" t="s">
        <v>16862</v>
      </c>
      <c r="F72" s="438" t="s">
        <v>48</v>
      </c>
      <c r="G72" s="438" t="s">
        <v>35</v>
      </c>
      <c r="H72" s="438" t="s">
        <v>420</v>
      </c>
      <c r="I72" s="438" t="s">
        <v>38</v>
      </c>
      <c r="J72" s="439">
        <v>13299.0</v>
      </c>
      <c r="K72" s="440" t="s">
        <v>18148</v>
      </c>
    </row>
    <row r="73">
      <c r="A73" s="441">
        <v>45834.54413194444</v>
      </c>
      <c r="B73" s="442" t="s">
        <v>16837</v>
      </c>
      <c r="C73" s="442" t="s">
        <v>8426</v>
      </c>
      <c r="D73" s="442" t="s">
        <v>32</v>
      </c>
      <c r="E73" s="442">
        <v>20092.0</v>
      </c>
      <c r="F73" s="442" t="s">
        <v>33</v>
      </c>
      <c r="G73" s="442" t="s">
        <v>35</v>
      </c>
      <c r="H73" s="442" t="s">
        <v>49</v>
      </c>
      <c r="I73" s="442" t="s">
        <v>38</v>
      </c>
      <c r="J73" s="443">
        <v>13300.0</v>
      </c>
      <c r="K73" s="444" t="s">
        <v>18148</v>
      </c>
    </row>
    <row r="74">
      <c r="A74" s="437">
        <v>45834.54416666667</v>
      </c>
      <c r="B74" s="438" t="s">
        <v>16842</v>
      </c>
      <c r="C74" s="438" t="s">
        <v>8426</v>
      </c>
      <c r="D74" s="438" t="s">
        <v>32</v>
      </c>
      <c r="E74" s="438">
        <v>20093.0</v>
      </c>
      <c r="F74" s="438" t="s">
        <v>33</v>
      </c>
      <c r="G74" s="438" t="s">
        <v>35</v>
      </c>
      <c r="H74" s="438" t="s">
        <v>49</v>
      </c>
      <c r="I74" s="438" t="s">
        <v>38</v>
      </c>
      <c r="J74" s="439">
        <v>13300.0</v>
      </c>
      <c r="K74" s="440" t="s">
        <v>18148</v>
      </c>
    </row>
    <row r="75">
      <c r="A75" s="441">
        <v>45834.563414351855</v>
      </c>
      <c r="B75" s="442" t="s">
        <v>16829</v>
      </c>
      <c r="C75" s="442" t="s">
        <v>16822</v>
      </c>
      <c r="D75" s="442" t="s">
        <v>165</v>
      </c>
      <c r="E75" s="442">
        <v>20034.0</v>
      </c>
      <c r="F75" s="442" t="s">
        <v>33</v>
      </c>
      <c r="G75" s="442" t="s">
        <v>35</v>
      </c>
      <c r="H75" s="442" t="s">
        <v>49</v>
      </c>
      <c r="I75" s="442" t="s">
        <v>38</v>
      </c>
      <c r="J75" s="443">
        <v>13301.0</v>
      </c>
      <c r="K75" s="444" t="s">
        <v>18148</v>
      </c>
    </row>
    <row r="76">
      <c r="A76" s="437">
        <v>45834.56344907408</v>
      </c>
      <c r="B76" s="438" t="s">
        <v>16826</v>
      </c>
      <c r="C76" s="438" t="s">
        <v>16822</v>
      </c>
      <c r="D76" s="438" t="s">
        <v>165</v>
      </c>
      <c r="E76" s="438">
        <v>20025.0</v>
      </c>
      <c r="F76" s="438" t="s">
        <v>33</v>
      </c>
      <c r="G76" s="438" t="s">
        <v>35</v>
      </c>
      <c r="H76" s="438" t="s">
        <v>49</v>
      </c>
      <c r="I76" s="438" t="s">
        <v>38</v>
      </c>
      <c r="J76" s="439">
        <v>13301.0</v>
      </c>
      <c r="K76" s="440" t="s">
        <v>18148</v>
      </c>
    </row>
    <row r="77">
      <c r="A77" s="441">
        <v>45834.563472222224</v>
      </c>
      <c r="B77" s="442">
        <v>17765.0</v>
      </c>
      <c r="C77" s="442" t="s">
        <v>7528</v>
      </c>
      <c r="D77" s="442" t="s">
        <v>11712</v>
      </c>
      <c r="E77" s="442">
        <v>20082.0</v>
      </c>
      <c r="F77" s="442" t="s">
        <v>48</v>
      </c>
      <c r="G77" s="442" t="s">
        <v>35</v>
      </c>
      <c r="H77" s="442" t="s">
        <v>49</v>
      </c>
      <c r="I77" s="442" t="s">
        <v>11967</v>
      </c>
      <c r="J77" s="443">
        <v>13302.0</v>
      </c>
      <c r="K77" s="444" t="s">
        <v>18148</v>
      </c>
    </row>
    <row r="78">
      <c r="A78" s="437">
        <v>45834.652407407404</v>
      </c>
      <c r="B78" s="438">
        <v>17825.0</v>
      </c>
      <c r="C78" s="438" t="s">
        <v>17053</v>
      </c>
      <c r="D78" s="438" t="s">
        <v>47</v>
      </c>
      <c r="E78" s="438" t="s">
        <v>17054</v>
      </c>
      <c r="F78" s="438" t="s">
        <v>48</v>
      </c>
      <c r="G78" s="438" t="s">
        <v>35</v>
      </c>
      <c r="H78" s="438" t="s">
        <v>49</v>
      </c>
      <c r="I78" s="438" t="s">
        <v>38</v>
      </c>
      <c r="J78" s="439">
        <v>13305.0</v>
      </c>
      <c r="K78" s="440" t="s">
        <v>18148</v>
      </c>
    </row>
    <row r="79">
      <c r="A79" s="441">
        <v>45834.65247685185</v>
      </c>
      <c r="B79" s="442">
        <v>17820.0</v>
      </c>
      <c r="C79" s="442" t="s">
        <v>13244</v>
      </c>
      <c r="D79" s="442" t="s">
        <v>3395</v>
      </c>
      <c r="E79" s="442" t="s">
        <v>17020</v>
      </c>
      <c r="F79" s="442" t="s">
        <v>48</v>
      </c>
      <c r="G79" s="442" t="s">
        <v>35</v>
      </c>
      <c r="H79" s="442" t="s">
        <v>49</v>
      </c>
      <c r="I79" s="442" t="s">
        <v>13246</v>
      </c>
      <c r="J79" s="443">
        <v>13304.0</v>
      </c>
      <c r="K79" s="444" t="s">
        <v>18148</v>
      </c>
    </row>
    <row r="80">
      <c r="A80" s="437">
        <v>45834.69787037037</v>
      </c>
      <c r="B80" s="438" t="s">
        <v>16821</v>
      </c>
      <c r="C80" s="438" t="s">
        <v>16822</v>
      </c>
      <c r="D80" s="438" t="s">
        <v>15497</v>
      </c>
      <c r="E80" s="438">
        <v>20090.0</v>
      </c>
      <c r="F80" s="438" t="s">
        <v>48</v>
      </c>
      <c r="G80" s="438" t="s">
        <v>35</v>
      </c>
      <c r="H80" s="438" t="s">
        <v>49</v>
      </c>
      <c r="I80" s="438" t="s">
        <v>38</v>
      </c>
      <c r="J80" s="439">
        <v>13301.0</v>
      </c>
      <c r="K80" s="440" t="s">
        <v>18148</v>
      </c>
    </row>
    <row r="81">
      <c r="A81" s="441">
        <v>45835.44068287037</v>
      </c>
      <c r="B81" s="442">
        <v>17781.0</v>
      </c>
      <c r="C81" s="442" t="s">
        <v>5039</v>
      </c>
      <c r="D81" s="442" t="s">
        <v>14531</v>
      </c>
      <c r="E81" s="442">
        <v>20085.0</v>
      </c>
      <c r="F81" s="442" t="s">
        <v>48</v>
      </c>
      <c r="G81" s="442" t="s">
        <v>35</v>
      </c>
      <c r="H81" s="442" t="s">
        <v>49</v>
      </c>
      <c r="I81" s="442" t="s">
        <v>38</v>
      </c>
      <c r="J81" s="443">
        <v>13308.0</v>
      </c>
      <c r="K81" s="444" t="s">
        <v>18148</v>
      </c>
    </row>
    <row r="82">
      <c r="A82" s="437">
        <v>45835.44074074074</v>
      </c>
      <c r="B82" s="438" t="s">
        <v>17041</v>
      </c>
      <c r="C82" s="438" t="s">
        <v>725</v>
      </c>
      <c r="D82" s="438" t="s">
        <v>91</v>
      </c>
      <c r="E82" s="438" t="s">
        <v>17042</v>
      </c>
      <c r="F82" s="438" t="s">
        <v>48</v>
      </c>
      <c r="G82" s="438" t="s">
        <v>35</v>
      </c>
      <c r="H82" s="438" t="s">
        <v>49</v>
      </c>
      <c r="I82" s="438" t="s">
        <v>38</v>
      </c>
      <c r="J82" s="439">
        <v>13309.0</v>
      </c>
      <c r="K82" s="440" t="s">
        <v>18148</v>
      </c>
    </row>
    <row r="83">
      <c r="A83" s="441">
        <v>45835.44076388889</v>
      </c>
      <c r="B83" s="442" t="s">
        <v>17037</v>
      </c>
      <c r="C83" s="442" t="s">
        <v>725</v>
      </c>
      <c r="D83" s="442" t="s">
        <v>91</v>
      </c>
      <c r="E83" s="442" t="s">
        <v>17038</v>
      </c>
      <c r="F83" s="442" t="s">
        <v>48</v>
      </c>
      <c r="G83" s="442" t="s">
        <v>35</v>
      </c>
      <c r="H83" s="442" t="s">
        <v>49</v>
      </c>
      <c r="I83" s="442" t="s">
        <v>38</v>
      </c>
      <c r="J83" s="443">
        <v>13309.0</v>
      </c>
      <c r="K83" s="444" t="s">
        <v>18148</v>
      </c>
    </row>
    <row r="84">
      <c r="A84" s="437">
        <v>45835.44079861111</v>
      </c>
      <c r="B84" s="438">
        <v>17806.0</v>
      </c>
      <c r="C84" s="438" t="s">
        <v>9909</v>
      </c>
      <c r="D84" s="438" t="s">
        <v>3441</v>
      </c>
      <c r="E84" s="438" t="s">
        <v>16951</v>
      </c>
      <c r="F84" s="438" t="s">
        <v>48</v>
      </c>
      <c r="G84" s="438" t="s">
        <v>35</v>
      </c>
      <c r="H84" s="438" t="s">
        <v>420</v>
      </c>
      <c r="I84" s="438" t="s">
        <v>38</v>
      </c>
      <c r="J84" s="439">
        <v>13310.0</v>
      </c>
      <c r="K84" s="440" t="s">
        <v>18148</v>
      </c>
    </row>
    <row r="85">
      <c r="A85" s="441">
        <v>45835.564479166664</v>
      </c>
      <c r="B85" s="442">
        <v>17839.0</v>
      </c>
      <c r="C85" s="442" t="s">
        <v>12697</v>
      </c>
      <c r="D85" s="442" t="s">
        <v>91</v>
      </c>
      <c r="E85" s="442" t="s">
        <v>17104</v>
      </c>
      <c r="F85" s="442" t="s">
        <v>48</v>
      </c>
      <c r="G85" s="442" t="s">
        <v>35</v>
      </c>
      <c r="H85" s="442" t="s">
        <v>49</v>
      </c>
      <c r="I85" s="442" t="s">
        <v>38</v>
      </c>
      <c r="J85" s="443"/>
      <c r="K85" s="444" t="s">
        <v>18148</v>
      </c>
    </row>
    <row r="86">
      <c r="A86" s="437">
        <v>45835.565034722225</v>
      </c>
      <c r="B86" s="438">
        <v>17839.0</v>
      </c>
      <c r="C86" s="438" t="s">
        <v>12697</v>
      </c>
      <c r="D86" s="438" t="s">
        <v>91</v>
      </c>
      <c r="E86" s="438" t="s">
        <v>17104</v>
      </c>
      <c r="F86" s="438" t="s">
        <v>48</v>
      </c>
      <c r="G86" s="438" t="s">
        <v>35</v>
      </c>
      <c r="H86" s="438" t="s">
        <v>49</v>
      </c>
      <c r="I86" s="438" t="s">
        <v>38</v>
      </c>
      <c r="J86" s="439"/>
      <c r="K86" s="440" t="s">
        <v>18148</v>
      </c>
    </row>
    <row r="87">
      <c r="A87" s="441">
        <v>45835.5658912037</v>
      </c>
      <c r="B87" s="442">
        <v>17839.0</v>
      </c>
      <c r="C87" s="442" t="s">
        <v>12697</v>
      </c>
      <c r="D87" s="442" t="s">
        <v>91</v>
      </c>
      <c r="E87" s="442" t="s">
        <v>17104</v>
      </c>
      <c r="F87" s="442" t="s">
        <v>48</v>
      </c>
      <c r="G87" s="442" t="s">
        <v>35</v>
      </c>
      <c r="H87" s="442" t="s">
        <v>49</v>
      </c>
      <c r="I87" s="442" t="s">
        <v>38</v>
      </c>
      <c r="J87" s="443"/>
      <c r="K87" s="444" t="s">
        <v>18148</v>
      </c>
    </row>
    <row r="88">
      <c r="A88" s="437">
        <v>45835.566828703704</v>
      </c>
      <c r="B88" s="438">
        <v>17839.0</v>
      </c>
      <c r="C88" s="438" t="s">
        <v>12697</v>
      </c>
      <c r="D88" s="438" t="s">
        <v>91</v>
      </c>
      <c r="E88" s="438" t="s">
        <v>17104</v>
      </c>
      <c r="F88" s="438" t="s">
        <v>48</v>
      </c>
      <c r="G88" s="438" t="s">
        <v>35</v>
      </c>
      <c r="H88" s="438" t="s">
        <v>49</v>
      </c>
      <c r="I88" s="438" t="s">
        <v>38</v>
      </c>
      <c r="J88" s="439">
        <v>13311.0</v>
      </c>
      <c r="K88" s="440" t="s">
        <v>18148</v>
      </c>
    </row>
    <row r="89">
      <c r="A89" s="441">
        <v>45835.58199074074</v>
      </c>
      <c r="B89" s="442">
        <v>17757.0</v>
      </c>
      <c r="C89" s="442" t="s">
        <v>16702</v>
      </c>
      <c r="D89" s="442" t="s">
        <v>135</v>
      </c>
      <c r="E89" s="442">
        <v>20104.0</v>
      </c>
      <c r="F89" s="442" t="s">
        <v>48</v>
      </c>
      <c r="G89" s="442" t="s">
        <v>35</v>
      </c>
      <c r="H89" s="442" t="s">
        <v>49</v>
      </c>
      <c r="I89" s="442" t="s">
        <v>38</v>
      </c>
      <c r="J89" s="443">
        <v>13312.0</v>
      </c>
      <c r="K89" s="444" t="s">
        <v>18148</v>
      </c>
    </row>
    <row r="90">
      <c r="A90" s="437">
        <v>45838.38815972222</v>
      </c>
      <c r="B90" s="438" t="s">
        <v>17058</v>
      </c>
      <c r="C90" s="438" t="s">
        <v>5047</v>
      </c>
      <c r="D90" s="438" t="s">
        <v>85</v>
      </c>
      <c r="E90" s="438" t="s">
        <v>17059</v>
      </c>
      <c r="F90" s="438" t="s">
        <v>48</v>
      </c>
      <c r="G90" s="438" t="s">
        <v>35</v>
      </c>
      <c r="H90" s="438" t="s">
        <v>37</v>
      </c>
      <c r="I90" s="438" t="s">
        <v>38</v>
      </c>
      <c r="J90" s="439">
        <v>13313.0</v>
      </c>
      <c r="K90" s="440" t="s">
        <v>18148</v>
      </c>
    </row>
    <row r="91">
      <c r="A91" s="441">
        <v>45838.38849537037</v>
      </c>
      <c r="B91" s="442">
        <v>17836.0</v>
      </c>
      <c r="C91" s="442" t="s">
        <v>8459</v>
      </c>
      <c r="D91" s="442" t="s">
        <v>91</v>
      </c>
      <c r="E91" s="442" t="s">
        <v>17099</v>
      </c>
      <c r="F91" s="442" t="s">
        <v>48</v>
      </c>
      <c r="G91" s="442" t="s">
        <v>35</v>
      </c>
      <c r="H91" s="442" t="s">
        <v>49</v>
      </c>
      <c r="I91" s="442" t="s">
        <v>1506</v>
      </c>
      <c r="J91" s="443">
        <v>13315.0</v>
      </c>
      <c r="K91" s="444" t="s">
        <v>18148</v>
      </c>
    </row>
    <row r="92">
      <c r="A92" s="437">
        <v>45838.38853009259</v>
      </c>
      <c r="B92" s="438" t="s">
        <v>17063</v>
      </c>
      <c r="C92" s="438" t="s">
        <v>5047</v>
      </c>
      <c r="D92" s="438" t="s">
        <v>91</v>
      </c>
      <c r="E92" s="438" t="s">
        <v>17064</v>
      </c>
      <c r="F92" s="438" t="s">
        <v>48</v>
      </c>
      <c r="G92" s="438" t="s">
        <v>35</v>
      </c>
      <c r="H92" s="438" t="s">
        <v>37</v>
      </c>
      <c r="I92" s="438" t="s">
        <v>38</v>
      </c>
      <c r="J92" s="439">
        <v>13313.0</v>
      </c>
      <c r="K92" s="440" t="s">
        <v>18148</v>
      </c>
    </row>
    <row r="93">
      <c r="A93" s="441">
        <v>45838.38854166667</v>
      </c>
      <c r="B93" s="442">
        <v>17828.0</v>
      </c>
      <c r="C93" s="442" t="s">
        <v>3289</v>
      </c>
      <c r="D93" s="442" t="s">
        <v>91</v>
      </c>
      <c r="E93" s="442" t="s">
        <v>17075</v>
      </c>
      <c r="F93" s="442" t="s">
        <v>48</v>
      </c>
      <c r="G93" s="442" t="s">
        <v>35</v>
      </c>
      <c r="H93" s="442" t="s">
        <v>92</v>
      </c>
      <c r="I93" s="442" t="s">
        <v>38</v>
      </c>
      <c r="J93" s="443">
        <v>13314.0</v>
      </c>
      <c r="K93" s="444" t="s">
        <v>18148</v>
      </c>
    </row>
    <row r="94">
      <c r="A94" s="437">
        <v>45838.39203703704</v>
      </c>
      <c r="B94" s="438" t="s">
        <v>17058</v>
      </c>
      <c r="C94" s="438" t="s">
        <v>5047</v>
      </c>
      <c r="D94" s="438" t="s">
        <v>85</v>
      </c>
      <c r="E94" s="438" t="s">
        <v>17059</v>
      </c>
      <c r="F94" s="438" t="s">
        <v>48</v>
      </c>
      <c r="G94" s="438" t="s">
        <v>35</v>
      </c>
      <c r="H94" s="438" t="s">
        <v>37</v>
      </c>
      <c r="I94" s="438" t="s">
        <v>38</v>
      </c>
      <c r="J94" s="439">
        <v>13313.0</v>
      </c>
      <c r="K94" s="440" t="s">
        <v>18148</v>
      </c>
    </row>
    <row r="95">
      <c r="A95" s="441">
        <v>45838.40216435185</v>
      </c>
      <c r="B95" s="442" t="s">
        <v>16593</v>
      </c>
      <c r="C95" s="442" t="s">
        <v>5287</v>
      </c>
      <c r="D95" s="442" t="s">
        <v>3395</v>
      </c>
      <c r="E95" s="442" t="s">
        <v>16594</v>
      </c>
      <c r="F95" s="442" t="s">
        <v>48</v>
      </c>
      <c r="G95" s="442" t="s">
        <v>35</v>
      </c>
      <c r="H95" s="442" t="s">
        <v>49</v>
      </c>
      <c r="I95" s="442" t="s">
        <v>12614</v>
      </c>
      <c r="J95" s="443">
        <v>13316.0</v>
      </c>
      <c r="K95" s="444" t="s">
        <v>18148</v>
      </c>
    </row>
    <row r="96">
      <c r="A96" s="437">
        <v>45838.40216435185</v>
      </c>
      <c r="B96" s="438" t="s">
        <v>16588</v>
      </c>
      <c r="C96" s="438" t="s">
        <v>5287</v>
      </c>
      <c r="D96" s="438" t="s">
        <v>3395</v>
      </c>
      <c r="E96" s="438" t="s">
        <v>16589</v>
      </c>
      <c r="F96" s="438" t="s">
        <v>48</v>
      </c>
      <c r="G96" s="438" t="s">
        <v>35</v>
      </c>
      <c r="H96" s="438" t="s">
        <v>49</v>
      </c>
      <c r="I96" s="438" t="s">
        <v>12614</v>
      </c>
      <c r="J96" s="439">
        <v>13316.0</v>
      </c>
      <c r="K96" s="440" t="s">
        <v>18148</v>
      </c>
    </row>
    <row r="97">
      <c r="A97" s="441">
        <v>45838.402233796296</v>
      </c>
      <c r="B97" s="442" t="s">
        <v>16601</v>
      </c>
      <c r="C97" s="442" t="s">
        <v>5287</v>
      </c>
      <c r="D97" s="442" t="s">
        <v>72</v>
      </c>
      <c r="E97" s="442" t="s">
        <v>16602</v>
      </c>
      <c r="F97" s="442" t="s">
        <v>48</v>
      </c>
      <c r="G97" s="442" t="s">
        <v>35</v>
      </c>
      <c r="H97" s="442" t="s">
        <v>49</v>
      </c>
      <c r="I97" s="442" t="s">
        <v>12614</v>
      </c>
      <c r="J97" s="443">
        <v>13316.0</v>
      </c>
      <c r="K97" s="444" t="s">
        <v>18148</v>
      </c>
    </row>
    <row r="98">
      <c r="A98" s="437">
        <v>45838.40224537037</v>
      </c>
      <c r="B98" s="438" t="s">
        <v>16597</v>
      </c>
      <c r="C98" s="438" t="s">
        <v>5287</v>
      </c>
      <c r="D98" s="438" t="s">
        <v>3441</v>
      </c>
      <c r="E98" s="438" t="s">
        <v>16598</v>
      </c>
      <c r="F98" s="438" t="s">
        <v>48</v>
      </c>
      <c r="G98" s="438" t="s">
        <v>35</v>
      </c>
      <c r="H98" s="438" t="s">
        <v>49</v>
      </c>
      <c r="I98" s="438" t="s">
        <v>12614</v>
      </c>
      <c r="J98" s="439">
        <v>13316.0</v>
      </c>
      <c r="K98" s="440" t="s">
        <v>18148</v>
      </c>
    </row>
    <row r="99">
      <c r="A99" s="441">
        <v>45838.50564814815</v>
      </c>
      <c r="B99" s="442">
        <v>17842.0</v>
      </c>
      <c r="C99" s="442" t="s">
        <v>96</v>
      </c>
      <c r="D99" s="442" t="s">
        <v>3441</v>
      </c>
      <c r="E99" s="442" t="s">
        <v>17119</v>
      </c>
      <c r="F99" s="442" t="s">
        <v>48</v>
      </c>
      <c r="G99" s="442" t="s">
        <v>35</v>
      </c>
      <c r="H99" s="442" t="s">
        <v>49</v>
      </c>
      <c r="I99" s="442" t="s">
        <v>38</v>
      </c>
      <c r="J99" s="443">
        <v>13318.0</v>
      </c>
      <c r="K99" s="444" t="s">
        <v>18148</v>
      </c>
    </row>
    <row r="100">
      <c r="A100" s="437">
        <v>45838.5056712963</v>
      </c>
      <c r="B100" s="438">
        <v>17822.0</v>
      </c>
      <c r="C100" s="438" t="s">
        <v>8893</v>
      </c>
      <c r="D100" s="438" t="s">
        <v>72</v>
      </c>
      <c r="E100" s="438" t="s">
        <v>17030</v>
      </c>
      <c r="F100" s="438" t="s">
        <v>48</v>
      </c>
      <c r="G100" s="438" t="s">
        <v>35</v>
      </c>
      <c r="H100" s="438" t="s">
        <v>49</v>
      </c>
      <c r="I100" s="438" t="s">
        <v>38</v>
      </c>
      <c r="J100" s="439">
        <v>13317.0</v>
      </c>
      <c r="K100" s="440" t="s">
        <v>18148</v>
      </c>
    </row>
    <row r="101">
      <c r="A101" s="441">
        <v>45838.50740740741</v>
      </c>
      <c r="B101" s="442">
        <v>17842.0</v>
      </c>
      <c r="C101" s="442" t="s">
        <v>96</v>
      </c>
      <c r="D101" s="442" t="s">
        <v>3441</v>
      </c>
      <c r="E101" s="442" t="s">
        <v>17119</v>
      </c>
      <c r="F101" s="442" t="s">
        <v>48</v>
      </c>
      <c r="G101" s="442" t="s">
        <v>35</v>
      </c>
      <c r="H101" s="442" t="s">
        <v>49</v>
      </c>
      <c r="I101" s="442" t="s">
        <v>38</v>
      </c>
      <c r="J101" s="443">
        <v>13318.0</v>
      </c>
      <c r="K101" s="444" t="s">
        <v>18148</v>
      </c>
    </row>
    <row r="102">
      <c r="A102" s="437">
        <v>45838.507418981484</v>
      </c>
      <c r="B102" s="438">
        <v>17822.0</v>
      </c>
      <c r="C102" s="438" t="s">
        <v>8893</v>
      </c>
      <c r="D102" s="438" t="s">
        <v>72</v>
      </c>
      <c r="E102" s="438" t="s">
        <v>17030</v>
      </c>
      <c r="F102" s="438" t="s">
        <v>48</v>
      </c>
      <c r="G102" s="438" t="s">
        <v>35</v>
      </c>
      <c r="H102" s="438" t="s">
        <v>49</v>
      </c>
      <c r="I102" s="438" t="s">
        <v>38</v>
      </c>
      <c r="J102" s="439">
        <v>13317.0</v>
      </c>
      <c r="K102" s="440" t="s">
        <v>18148</v>
      </c>
    </row>
    <row r="103">
      <c r="A103" s="441">
        <v>45838.619571759256</v>
      </c>
      <c r="B103" s="442">
        <v>17720.0</v>
      </c>
      <c r="C103" s="442" t="s">
        <v>3289</v>
      </c>
      <c r="D103" s="442" t="s">
        <v>713</v>
      </c>
      <c r="E103" s="442">
        <v>20045.0</v>
      </c>
      <c r="F103" s="442" t="s">
        <v>33</v>
      </c>
      <c r="G103" s="442" t="s">
        <v>35</v>
      </c>
      <c r="H103" s="442" t="s">
        <v>92</v>
      </c>
      <c r="I103" s="442" t="s">
        <v>38</v>
      </c>
      <c r="J103" s="443">
        <v>13222.0</v>
      </c>
      <c r="K103" s="444" t="s">
        <v>18148</v>
      </c>
    </row>
    <row r="104">
      <c r="A104" s="437">
        <v>45839.416180555556</v>
      </c>
      <c r="B104" s="438" t="s">
        <v>24906</v>
      </c>
      <c r="C104" s="438" t="s">
        <v>13433</v>
      </c>
      <c r="D104" s="438" t="s">
        <v>91</v>
      </c>
      <c r="E104" s="438" t="s">
        <v>17400</v>
      </c>
      <c r="F104" s="438" t="s">
        <v>48</v>
      </c>
      <c r="G104" s="438" t="s">
        <v>35</v>
      </c>
      <c r="H104" s="438" t="s">
        <v>49</v>
      </c>
      <c r="I104" s="438" t="s">
        <v>38</v>
      </c>
      <c r="J104" s="439">
        <v>13323.0</v>
      </c>
      <c r="K104" s="440" t="s">
        <v>18148</v>
      </c>
    </row>
    <row r="105">
      <c r="A105" s="441">
        <v>45839.416238425925</v>
      </c>
      <c r="B105" s="442" t="s">
        <v>24907</v>
      </c>
      <c r="C105" s="442" t="s">
        <v>13433</v>
      </c>
      <c r="D105" s="442" t="s">
        <v>91</v>
      </c>
      <c r="E105" s="442" t="s">
        <v>17405</v>
      </c>
      <c r="F105" s="442" t="s">
        <v>48</v>
      </c>
      <c r="G105" s="442" t="s">
        <v>35</v>
      </c>
      <c r="H105" s="442" t="s">
        <v>49</v>
      </c>
      <c r="I105" s="442" t="s">
        <v>38</v>
      </c>
      <c r="J105" s="443">
        <v>13323.0</v>
      </c>
      <c r="K105" s="444" t="s">
        <v>18148</v>
      </c>
    </row>
    <row r="106">
      <c r="A106" s="437">
        <v>45839.41625</v>
      </c>
      <c r="B106" s="438" t="s">
        <v>24908</v>
      </c>
      <c r="C106" s="438" t="s">
        <v>13433</v>
      </c>
      <c r="D106" s="438" t="s">
        <v>91</v>
      </c>
      <c r="E106" s="438" t="s">
        <v>17409</v>
      </c>
      <c r="F106" s="438" t="s">
        <v>48</v>
      </c>
      <c r="G106" s="438" t="s">
        <v>35</v>
      </c>
      <c r="H106" s="438" t="s">
        <v>49</v>
      </c>
      <c r="I106" s="438" t="s">
        <v>38</v>
      </c>
      <c r="J106" s="439">
        <v>13323.0</v>
      </c>
      <c r="K106" s="440" t="s">
        <v>18148</v>
      </c>
    </row>
    <row r="107">
      <c r="A107" s="441">
        <v>45839.41627314815</v>
      </c>
      <c r="B107" s="442" t="s">
        <v>24909</v>
      </c>
      <c r="C107" s="442" t="s">
        <v>13433</v>
      </c>
      <c r="D107" s="442" t="s">
        <v>72</v>
      </c>
      <c r="E107" s="442" t="s">
        <v>17421</v>
      </c>
      <c r="F107" s="442" t="s">
        <v>48</v>
      </c>
      <c r="G107" s="442" t="s">
        <v>35</v>
      </c>
      <c r="H107" s="442" t="s">
        <v>49</v>
      </c>
      <c r="I107" s="442" t="s">
        <v>38</v>
      </c>
      <c r="J107" s="443">
        <v>13323.0</v>
      </c>
      <c r="K107" s="444" t="s">
        <v>18148</v>
      </c>
    </row>
    <row r="108">
      <c r="A108" s="437">
        <v>45839.41626157407</v>
      </c>
      <c r="B108" s="438" t="s">
        <v>24910</v>
      </c>
      <c r="C108" s="438" t="s">
        <v>13433</v>
      </c>
      <c r="D108" s="438" t="s">
        <v>91</v>
      </c>
      <c r="E108" s="438" t="s">
        <v>17413</v>
      </c>
      <c r="F108" s="438" t="s">
        <v>48</v>
      </c>
      <c r="G108" s="438" t="s">
        <v>35</v>
      </c>
      <c r="H108" s="438" t="s">
        <v>49</v>
      </c>
      <c r="I108" s="438" t="s">
        <v>38</v>
      </c>
      <c r="J108" s="439">
        <v>13323.0</v>
      </c>
      <c r="K108" s="440" t="s">
        <v>18148</v>
      </c>
    </row>
    <row r="109">
      <c r="A109" s="441">
        <v>45839.416296296295</v>
      </c>
      <c r="B109" s="442" t="s">
        <v>24911</v>
      </c>
      <c r="C109" s="442" t="s">
        <v>13433</v>
      </c>
      <c r="D109" s="442" t="s">
        <v>72</v>
      </c>
      <c r="E109" s="442" t="s">
        <v>17425</v>
      </c>
      <c r="F109" s="442" t="s">
        <v>48</v>
      </c>
      <c r="G109" s="442" t="s">
        <v>35</v>
      </c>
      <c r="H109" s="442" t="s">
        <v>49</v>
      </c>
      <c r="I109" s="442" t="s">
        <v>38</v>
      </c>
      <c r="J109" s="443">
        <v>13323.0</v>
      </c>
      <c r="K109" s="444" t="s">
        <v>18148</v>
      </c>
    </row>
    <row r="110">
      <c r="A110" s="437">
        <v>45839.41630787037</v>
      </c>
      <c r="B110" s="438">
        <v>17847.0</v>
      </c>
      <c r="C110" s="438" t="s">
        <v>9674</v>
      </c>
      <c r="D110" s="438" t="s">
        <v>3395</v>
      </c>
      <c r="E110" s="438" t="s">
        <v>17151</v>
      </c>
      <c r="F110" s="438" t="s">
        <v>48</v>
      </c>
      <c r="G110" s="438" t="s">
        <v>35</v>
      </c>
      <c r="H110" s="438" t="s">
        <v>49</v>
      </c>
      <c r="I110" s="438" t="s">
        <v>38</v>
      </c>
      <c r="J110" s="439">
        <v>13329.0</v>
      </c>
      <c r="K110" s="440" t="s">
        <v>18148</v>
      </c>
    </row>
    <row r="111">
      <c r="A111" s="441">
        <v>45839.416342592594</v>
      </c>
      <c r="B111" s="442">
        <v>17846.0</v>
      </c>
      <c r="C111" s="442" t="s">
        <v>3636</v>
      </c>
      <c r="D111" s="442" t="s">
        <v>85</v>
      </c>
      <c r="E111" s="442" t="s">
        <v>17146</v>
      </c>
      <c r="F111" s="442" t="s">
        <v>48</v>
      </c>
      <c r="G111" s="442" t="s">
        <v>35</v>
      </c>
      <c r="H111" s="442" t="s">
        <v>49</v>
      </c>
      <c r="I111" s="442" t="s">
        <v>38</v>
      </c>
      <c r="J111" s="443"/>
      <c r="K111" s="444" t="s">
        <v>18148</v>
      </c>
    </row>
    <row r="112">
      <c r="A112" s="437">
        <v>45839.416354166664</v>
      </c>
      <c r="B112" s="438" t="s">
        <v>24912</v>
      </c>
      <c r="C112" s="438" t="s">
        <v>13433</v>
      </c>
      <c r="D112" s="438" t="s">
        <v>3441</v>
      </c>
      <c r="E112" s="438" t="s">
        <v>17433</v>
      </c>
      <c r="F112" s="438" t="s">
        <v>48</v>
      </c>
      <c r="G112" s="438" t="s">
        <v>35</v>
      </c>
      <c r="H112" s="438" t="s">
        <v>49</v>
      </c>
      <c r="I112" s="438" t="s">
        <v>38</v>
      </c>
      <c r="J112" s="439">
        <v>13323.0</v>
      </c>
      <c r="K112" s="440" t="s">
        <v>18148</v>
      </c>
    </row>
    <row r="113">
      <c r="A113" s="441">
        <v>45839.41638888889</v>
      </c>
      <c r="B113" s="442" t="s">
        <v>24913</v>
      </c>
      <c r="C113" s="442" t="s">
        <v>13433</v>
      </c>
      <c r="D113" s="442" t="s">
        <v>3441</v>
      </c>
      <c r="E113" s="442" t="s">
        <v>17437</v>
      </c>
      <c r="F113" s="442" t="s">
        <v>48</v>
      </c>
      <c r="G113" s="442" t="s">
        <v>35</v>
      </c>
      <c r="H113" s="442" t="s">
        <v>49</v>
      </c>
      <c r="I113" s="442" t="s">
        <v>38</v>
      </c>
      <c r="J113" s="443">
        <v>13323.0</v>
      </c>
      <c r="K113" s="444" t="s">
        <v>18148</v>
      </c>
    </row>
    <row r="114">
      <c r="A114" s="437">
        <v>45839.416400462964</v>
      </c>
      <c r="B114" s="438" t="s">
        <v>24914</v>
      </c>
      <c r="C114" s="438" t="s">
        <v>13433</v>
      </c>
      <c r="D114" s="438" t="s">
        <v>112</v>
      </c>
      <c r="E114" s="438" t="s">
        <v>17429</v>
      </c>
      <c r="F114" s="438" t="s">
        <v>48</v>
      </c>
      <c r="G114" s="438" t="s">
        <v>35</v>
      </c>
      <c r="H114" s="438" t="s">
        <v>49</v>
      </c>
      <c r="I114" s="438" t="s">
        <v>38</v>
      </c>
      <c r="J114" s="439">
        <v>13323.0</v>
      </c>
      <c r="K114" s="440" t="s">
        <v>18148</v>
      </c>
    </row>
    <row r="115">
      <c r="A115" s="441">
        <v>45839.41641203704</v>
      </c>
      <c r="B115" s="442" t="s">
        <v>24915</v>
      </c>
      <c r="C115" s="442" t="s">
        <v>13433</v>
      </c>
      <c r="D115" s="442" t="s">
        <v>47</v>
      </c>
      <c r="E115" s="442" t="s">
        <v>17417</v>
      </c>
      <c r="F115" s="442" t="s">
        <v>48</v>
      </c>
      <c r="G115" s="442" t="s">
        <v>35</v>
      </c>
      <c r="H115" s="442" t="s">
        <v>49</v>
      </c>
      <c r="I115" s="442" t="s">
        <v>38</v>
      </c>
      <c r="J115" s="443">
        <v>13323.0</v>
      </c>
      <c r="K115" s="444" t="s">
        <v>18148</v>
      </c>
    </row>
    <row r="116">
      <c r="A116" s="437">
        <v>45839.41645833333</v>
      </c>
      <c r="B116" s="438">
        <v>17841.0</v>
      </c>
      <c r="C116" s="438" t="s">
        <v>17114</v>
      </c>
      <c r="D116" s="438" t="s">
        <v>72</v>
      </c>
      <c r="E116" s="438" t="s">
        <v>17115</v>
      </c>
      <c r="F116" s="438" t="s">
        <v>48</v>
      </c>
      <c r="G116" s="438" t="s">
        <v>35</v>
      </c>
      <c r="H116" s="438" t="s">
        <v>65</v>
      </c>
      <c r="I116" s="438" t="s">
        <v>38</v>
      </c>
      <c r="J116" s="439">
        <v>13325.0</v>
      </c>
      <c r="K116" s="440" t="s">
        <v>18148</v>
      </c>
    </row>
    <row r="117">
      <c r="A117" s="441">
        <v>45839.41645833333</v>
      </c>
      <c r="B117" s="442">
        <v>17844.0</v>
      </c>
      <c r="C117" s="442" t="s">
        <v>17137</v>
      </c>
      <c r="D117" s="442" t="s">
        <v>85</v>
      </c>
      <c r="E117" s="442" t="s">
        <v>17138</v>
      </c>
      <c r="F117" s="442" t="s">
        <v>48</v>
      </c>
      <c r="G117" s="442" t="s">
        <v>35</v>
      </c>
      <c r="H117" s="442" t="s">
        <v>420</v>
      </c>
      <c r="I117" s="442" t="s">
        <v>38</v>
      </c>
      <c r="J117" s="443">
        <v>13326.0</v>
      </c>
      <c r="K117" s="444" t="s">
        <v>18148</v>
      </c>
    </row>
    <row r="118">
      <c r="A118" s="437">
        <v>45839.41648148148</v>
      </c>
      <c r="B118" s="438" t="s">
        <v>17015</v>
      </c>
      <c r="C118" s="438" t="s">
        <v>7173</v>
      </c>
      <c r="D118" s="438" t="s">
        <v>3441</v>
      </c>
      <c r="E118" s="438" t="s">
        <v>17016</v>
      </c>
      <c r="F118" s="438" t="s">
        <v>48</v>
      </c>
      <c r="G118" s="438" t="s">
        <v>35</v>
      </c>
      <c r="H118" s="438" t="s">
        <v>518</v>
      </c>
      <c r="I118" s="438" t="s">
        <v>38</v>
      </c>
      <c r="J118" s="439">
        <v>13324.0</v>
      </c>
      <c r="K118" s="440" t="s">
        <v>18148</v>
      </c>
    </row>
    <row r="119">
      <c r="A119" s="441">
        <v>45839.41648148148</v>
      </c>
      <c r="B119" s="442">
        <v>17715.0</v>
      </c>
      <c r="C119" s="442" t="s">
        <v>12907</v>
      </c>
      <c r="D119" s="442" t="s">
        <v>85</v>
      </c>
      <c r="E119" s="442" t="s">
        <v>16488</v>
      </c>
      <c r="F119" s="442" t="s">
        <v>48</v>
      </c>
      <c r="G119" s="442" t="s">
        <v>35</v>
      </c>
      <c r="H119" s="442" t="s">
        <v>65</v>
      </c>
      <c r="I119" s="442" t="s">
        <v>38</v>
      </c>
      <c r="J119" s="443">
        <v>13322.0</v>
      </c>
      <c r="K119" s="444" t="s">
        <v>18148</v>
      </c>
    </row>
    <row r="120">
      <c r="A120" s="437">
        <v>45839.41650462963</v>
      </c>
      <c r="B120" s="438" t="s">
        <v>17010</v>
      </c>
      <c r="C120" s="438" t="s">
        <v>7173</v>
      </c>
      <c r="D120" s="438" t="s">
        <v>112</v>
      </c>
      <c r="E120" s="438" t="s">
        <v>17011</v>
      </c>
      <c r="F120" s="438" t="s">
        <v>48</v>
      </c>
      <c r="G120" s="438" t="s">
        <v>35</v>
      </c>
      <c r="H120" s="438" t="s">
        <v>518</v>
      </c>
      <c r="I120" s="438" t="s">
        <v>38</v>
      </c>
      <c r="J120" s="439">
        <v>13324.0</v>
      </c>
      <c r="K120" s="440" t="s">
        <v>18148</v>
      </c>
    </row>
    <row r="121">
      <c r="A121" s="441">
        <v>45839.54523148148</v>
      </c>
      <c r="B121" s="442">
        <v>17584.0</v>
      </c>
      <c r="C121" s="442" t="s">
        <v>10785</v>
      </c>
      <c r="D121" s="442" t="s">
        <v>15497</v>
      </c>
      <c r="E121" s="442">
        <v>20094.0</v>
      </c>
      <c r="F121" s="442" t="s">
        <v>48</v>
      </c>
      <c r="G121" s="442" t="s">
        <v>35</v>
      </c>
      <c r="H121" s="442" t="s">
        <v>92</v>
      </c>
      <c r="I121" s="442" t="s">
        <v>38</v>
      </c>
      <c r="J121" s="443"/>
      <c r="K121" s="444" t="s">
        <v>18148</v>
      </c>
    </row>
    <row r="122">
      <c r="A122" s="437">
        <v>45839.54728009259</v>
      </c>
      <c r="B122" s="438">
        <v>17845.0</v>
      </c>
      <c r="C122" s="438" t="s">
        <v>3121</v>
      </c>
      <c r="D122" s="438" t="s">
        <v>72</v>
      </c>
      <c r="E122" s="438" t="s">
        <v>17142</v>
      </c>
      <c r="F122" s="438" t="s">
        <v>48</v>
      </c>
      <c r="G122" s="438" t="s">
        <v>35</v>
      </c>
      <c r="H122" s="438" t="s">
        <v>92</v>
      </c>
      <c r="I122" s="438" t="s">
        <v>38</v>
      </c>
      <c r="J122" s="439">
        <v>13327.0</v>
      </c>
      <c r="K122" s="440" t="s">
        <v>18148</v>
      </c>
    </row>
    <row r="123">
      <c r="A123" s="441">
        <v>45839.54730324074</v>
      </c>
      <c r="B123" s="442">
        <v>17848.0</v>
      </c>
      <c r="C123" s="442" t="s">
        <v>17155</v>
      </c>
      <c r="D123" s="442" t="s">
        <v>112</v>
      </c>
      <c r="E123" s="442" t="s">
        <v>17156</v>
      </c>
      <c r="F123" s="442" t="s">
        <v>48</v>
      </c>
      <c r="G123" s="442" t="s">
        <v>35</v>
      </c>
      <c r="H123" s="442" t="s">
        <v>92</v>
      </c>
      <c r="I123" s="442" t="s">
        <v>38</v>
      </c>
      <c r="J123" s="443">
        <v>13330.0</v>
      </c>
      <c r="K123" s="444" t="s">
        <v>18148</v>
      </c>
    </row>
    <row r="124">
      <c r="A124" s="437">
        <v>45839.557962962965</v>
      </c>
      <c r="B124" s="438">
        <v>17584.0</v>
      </c>
      <c r="C124" s="438" t="s">
        <v>10785</v>
      </c>
      <c r="D124" s="438" t="s">
        <v>15497</v>
      </c>
      <c r="E124" s="438">
        <v>20094.0</v>
      </c>
      <c r="F124" s="438" t="s">
        <v>48</v>
      </c>
      <c r="G124" s="438" t="s">
        <v>35</v>
      </c>
      <c r="H124" s="438" t="s">
        <v>92</v>
      </c>
      <c r="I124" s="438" t="s">
        <v>38</v>
      </c>
      <c r="J124" s="439">
        <v>13331.0</v>
      </c>
      <c r="K124" s="440" t="s">
        <v>18148</v>
      </c>
    </row>
    <row r="125">
      <c r="A125" s="441">
        <v>45840.35884259259</v>
      </c>
      <c r="B125" s="442">
        <v>17851.0</v>
      </c>
      <c r="C125" s="442" t="s">
        <v>4472</v>
      </c>
      <c r="D125" s="442" t="s">
        <v>47</v>
      </c>
      <c r="E125" s="442" t="s">
        <v>17166</v>
      </c>
      <c r="F125" s="442" t="s">
        <v>48</v>
      </c>
      <c r="G125" s="442" t="s">
        <v>35</v>
      </c>
      <c r="H125" s="442" t="s">
        <v>49</v>
      </c>
      <c r="I125" s="442" t="s">
        <v>38</v>
      </c>
      <c r="J125" s="443">
        <v>13333.0</v>
      </c>
      <c r="K125" s="444" t="s">
        <v>18148</v>
      </c>
    </row>
    <row r="126">
      <c r="A126" s="437">
        <v>45840.45752314815</v>
      </c>
      <c r="B126" s="438">
        <v>17840.0</v>
      </c>
      <c r="C126" s="438" t="s">
        <v>7708</v>
      </c>
      <c r="D126" s="438" t="s">
        <v>112</v>
      </c>
      <c r="E126" s="438" t="s">
        <v>17108</v>
      </c>
      <c r="F126" s="438" t="s">
        <v>48</v>
      </c>
      <c r="G126" s="438" t="s">
        <v>35</v>
      </c>
      <c r="H126" s="438" t="s">
        <v>49</v>
      </c>
      <c r="I126" s="438" t="s">
        <v>17109</v>
      </c>
      <c r="J126" s="439">
        <v>13334.0</v>
      </c>
      <c r="K126" s="440" t="s">
        <v>18148</v>
      </c>
    </row>
    <row r="127">
      <c r="A127" s="441">
        <v>45840.61863425926</v>
      </c>
      <c r="B127" s="442">
        <v>17859.0</v>
      </c>
      <c r="C127" s="442" t="s">
        <v>122</v>
      </c>
      <c r="D127" s="442" t="s">
        <v>3441</v>
      </c>
      <c r="E127" s="442" t="s">
        <v>17233</v>
      </c>
      <c r="F127" s="442" t="s">
        <v>48</v>
      </c>
      <c r="G127" s="442" t="s">
        <v>35</v>
      </c>
      <c r="H127" s="442" t="s">
        <v>49</v>
      </c>
      <c r="I127" s="442" t="s">
        <v>38</v>
      </c>
      <c r="J127" s="443">
        <v>13335.0</v>
      </c>
      <c r="K127" s="444" t="s">
        <v>18148</v>
      </c>
    </row>
    <row r="128">
      <c r="A128" s="437">
        <v>45840.61865740741</v>
      </c>
      <c r="B128" s="438">
        <v>17858.0</v>
      </c>
      <c r="C128" s="438" t="s">
        <v>122</v>
      </c>
      <c r="D128" s="438" t="s">
        <v>91</v>
      </c>
      <c r="E128" s="438" t="s">
        <v>17228</v>
      </c>
      <c r="F128" s="438" t="s">
        <v>48</v>
      </c>
      <c r="G128" s="438" t="s">
        <v>35</v>
      </c>
      <c r="H128" s="438" t="s">
        <v>49</v>
      </c>
      <c r="I128" s="438" t="s">
        <v>38</v>
      </c>
      <c r="J128" s="439">
        <v>13336.0</v>
      </c>
      <c r="K128" s="440" t="s">
        <v>18148</v>
      </c>
    </row>
    <row r="129">
      <c r="A129" s="441">
        <v>45841.487604166665</v>
      </c>
      <c r="B129" s="442" t="s">
        <v>16889</v>
      </c>
      <c r="C129" s="442" t="s">
        <v>16879</v>
      </c>
      <c r="D129" s="442" t="s">
        <v>72</v>
      </c>
      <c r="E129" s="442" t="s">
        <v>16890</v>
      </c>
      <c r="F129" s="442" t="s">
        <v>48</v>
      </c>
      <c r="G129" s="442" t="s">
        <v>35</v>
      </c>
      <c r="H129" s="442" t="s">
        <v>49</v>
      </c>
      <c r="I129" s="442" t="s">
        <v>16881</v>
      </c>
      <c r="J129" s="443">
        <v>13338.0</v>
      </c>
      <c r="K129" s="444" t="s">
        <v>18148</v>
      </c>
    </row>
    <row r="130">
      <c r="A130" s="437">
        <v>45841.48762731482</v>
      </c>
      <c r="B130" s="438" t="s">
        <v>16893</v>
      </c>
      <c r="C130" s="438" t="s">
        <v>16879</v>
      </c>
      <c r="D130" s="438" t="s">
        <v>72</v>
      </c>
      <c r="E130" s="438" t="s">
        <v>16894</v>
      </c>
      <c r="F130" s="438" t="s">
        <v>48</v>
      </c>
      <c r="G130" s="438" t="s">
        <v>35</v>
      </c>
      <c r="H130" s="438" t="s">
        <v>49</v>
      </c>
      <c r="I130" s="438" t="s">
        <v>16881</v>
      </c>
      <c r="J130" s="439">
        <v>13338.0</v>
      </c>
      <c r="K130" s="440" t="s">
        <v>18148</v>
      </c>
    </row>
    <row r="131">
      <c r="A131" s="441">
        <v>45841.48763888889</v>
      </c>
      <c r="B131" s="442" t="s">
        <v>16878</v>
      </c>
      <c r="C131" s="442" t="s">
        <v>16879</v>
      </c>
      <c r="D131" s="442" t="s">
        <v>112</v>
      </c>
      <c r="E131" s="442" t="s">
        <v>16880</v>
      </c>
      <c r="F131" s="442" t="s">
        <v>48</v>
      </c>
      <c r="G131" s="442" t="s">
        <v>35</v>
      </c>
      <c r="H131" s="442" t="s">
        <v>49</v>
      </c>
      <c r="I131" s="442" t="s">
        <v>16881</v>
      </c>
      <c r="J131" s="443">
        <v>13338.0</v>
      </c>
      <c r="K131" s="444" t="s">
        <v>18148</v>
      </c>
    </row>
    <row r="132">
      <c r="A132" s="437">
        <v>45841.48767361111</v>
      </c>
      <c r="B132" s="438" t="s">
        <v>16885</v>
      </c>
      <c r="C132" s="438" t="s">
        <v>16879</v>
      </c>
      <c r="D132" s="438" t="s">
        <v>112</v>
      </c>
      <c r="E132" s="438" t="s">
        <v>16886</v>
      </c>
      <c r="F132" s="438" t="s">
        <v>48</v>
      </c>
      <c r="G132" s="438" t="s">
        <v>35</v>
      </c>
      <c r="H132" s="438" t="s">
        <v>49</v>
      </c>
      <c r="I132" s="438" t="s">
        <v>16881</v>
      </c>
      <c r="J132" s="439">
        <v>13338.0</v>
      </c>
      <c r="K132" s="440" t="s">
        <v>18148</v>
      </c>
    </row>
    <row r="133">
      <c r="A133" s="441">
        <v>45841.53734953704</v>
      </c>
      <c r="B133" s="442">
        <v>17860.0</v>
      </c>
      <c r="C133" s="442" t="s">
        <v>8071</v>
      </c>
      <c r="D133" s="442" t="s">
        <v>91</v>
      </c>
      <c r="E133" s="442" t="s">
        <v>17238</v>
      </c>
      <c r="F133" s="442" t="s">
        <v>48</v>
      </c>
      <c r="G133" s="442" t="s">
        <v>35</v>
      </c>
      <c r="H133" s="442" t="s">
        <v>49</v>
      </c>
      <c r="I133" s="442" t="s">
        <v>38</v>
      </c>
      <c r="J133" s="443">
        <v>13339.0</v>
      </c>
      <c r="K133" s="444" t="s">
        <v>18148</v>
      </c>
    </row>
    <row r="134">
      <c r="A134" s="437">
        <v>45842.36109953704</v>
      </c>
      <c r="B134" s="438">
        <v>17861.0</v>
      </c>
      <c r="C134" s="438" t="s">
        <v>4941</v>
      </c>
      <c r="D134" s="438" t="s">
        <v>72</v>
      </c>
      <c r="E134" s="438" t="s">
        <v>17243</v>
      </c>
      <c r="F134" s="438" t="s">
        <v>48</v>
      </c>
      <c r="G134" s="438" t="s">
        <v>35</v>
      </c>
      <c r="H134" s="438" t="s">
        <v>49</v>
      </c>
      <c r="I134" s="438" t="s">
        <v>38</v>
      </c>
      <c r="J134" s="439"/>
      <c r="K134" s="440" t="s">
        <v>18148</v>
      </c>
    </row>
    <row r="135">
      <c r="A135" s="441">
        <v>45842.361122685186</v>
      </c>
      <c r="B135" s="442">
        <v>17862.0</v>
      </c>
      <c r="C135" s="442" t="s">
        <v>6334</v>
      </c>
      <c r="D135" s="442" t="s">
        <v>47</v>
      </c>
      <c r="E135" s="442" t="s">
        <v>17248</v>
      </c>
      <c r="F135" s="442" t="s">
        <v>48</v>
      </c>
      <c r="G135" s="442" t="s">
        <v>35</v>
      </c>
      <c r="H135" s="442" t="s">
        <v>49</v>
      </c>
      <c r="I135" s="442" t="s">
        <v>38</v>
      </c>
      <c r="J135" s="443">
        <v>13340.0</v>
      </c>
      <c r="K135" s="444" t="s">
        <v>18148</v>
      </c>
    </row>
    <row r="136">
      <c r="A136" s="437">
        <v>45842.36116898148</v>
      </c>
      <c r="B136" s="438">
        <v>17864.0</v>
      </c>
      <c r="C136" s="438" t="s">
        <v>1811</v>
      </c>
      <c r="D136" s="438" t="s">
        <v>3395</v>
      </c>
      <c r="E136" s="438" t="s">
        <v>17253</v>
      </c>
      <c r="F136" s="438" t="s">
        <v>48</v>
      </c>
      <c r="G136" s="438" t="s">
        <v>35</v>
      </c>
      <c r="H136" s="438" t="s">
        <v>49</v>
      </c>
      <c r="I136" s="438" t="s">
        <v>1506</v>
      </c>
      <c r="J136" s="439">
        <v>13341.0</v>
      </c>
      <c r="K136" s="440" t="s">
        <v>18148</v>
      </c>
    </row>
    <row r="137">
      <c r="A137" s="441">
        <v>45842.41336805555</v>
      </c>
      <c r="B137" s="442">
        <v>17861.0</v>
      </c>
      <c r="C137" s="442" t="s">
        <v>4941</v>
      </c>
      <c r="D137" s="442" t="s">
        <v>72</v>
      </c>
      <c r="E137" s="442" t="s">
        <v>17243</v>
      </c>
      <c r="F137" s="442" t="s">
        <v>48</v>
      </c>
      <c r="G137" s="442" t="s">
        <v>35</v>
      </c>
      <c r="H137" s="442" t="s">
        <v>49</v>
      </c>
      <c r="I137" s="442" t="s">
        <v>38</v>
      </c>
      <c r="J137" s="443">
        <v>13342.0</v>
      </c>
      <c r="K137" s="444" t="s">
        <v>18148</v>
      </c>
    </row>
    <row r="138">
      <c r="A138" s="437">
        <v>45842.630428240744</v>
      </c>
      <c r="B138" s="438">
        <v>17865.0</v>
      </c>
      <c r="C138" s="438" t="s">
        <v>17258</v>
      </c>
      <c r="D138" s="438" t="s">
        <v>72</v>
      </c>
      <c r="E138" s="438" t="s">
        <v>17259</v>
      </c>
      <c r="F138" s="438" t="s">
        <v>48</v>
      </c>
      <c r="G138" s="438" t="s">
        <v>35</v>
      </c>
      <c r="H138" s="438" t="s">
        <v>49</v>
      </c>
      <c r="I138" s="438" t="s">
        <v>38</v>
      </c>
      <c r="J138" s="439"/>
      <c r="K138" s="440" t="s">
        <v>18148</v>
      </c>
    </row>
    <row r="139">
      <c r="A139" s="441">
        <v>45842.63043981481</v>
      </c>
      <c r="B139" s="442">
        <v>17868.0</v>
      </c>
      <c r="C139" s="442" t="s">
        <v>122</v>
      </c>
      <c r="D139" s="442" t="s">
        <v>3441</v>
      </c>
      <c r="E139" s="442" t="s">
        <v>17269</v>
      </c>
      <c r="F139" s="442" t="s">
        <v>48</v>
      </c>
      <c r="G139" s="442" t="s">
        <v>35</v>
      </c>
      <c r="H139" s="442" t="s">
        <v>49</v>
      </c>
      <c r="I139" s="442" t="s">
        <v>38</v>
      </c>
      <c r="J139" s="443"/>
      <c r="K139" s="444" t="s">
        <v>18148</v>
      </c>
    </row>
    <row r="140">
      <c r="A140" s="437">
        <v>45842.63197916667</v>
      </c>
      <c r="B140" s="438">
        <v>17865.0</v>
      </c>
      <c r="C140" s="438" t="s">
        <v>17258</v>
      </c>
      <c r="D140" s="438" t="s">
        <v>72</v>
      </c>
      <c r="E140" s="438" t="s">
        <v>17259</v>
      </c>
      <c r="F140" s="438" t="s">
        <v>48</v>
      </c>
      <c r="G140" s="438" t="s">
        <v>35</v>
      </c>
      <c r="H140" s="438" t="s">
        <v>49</v>
      </c>
      <c r="I140" s="438" t="s">
        <v>38</v>
      </c>
      <c r="J140" s="439">
        <v>13343.0</v>
      </c>
      <c r="K140" s="440" t="s">
        <v>18148</v>
      </c>
    </row>
    <row r="141">
      <c r="A141" s="441">
        <v>45842.63211805555</v>
      </c>
      <c r="B141" s="442">
        <v>17868.0</v>
      </c>
      <c r="C141" s="442" t="s">
        <v>122</v>
      </c>
      <c r="D141" s="442" t="s">
        <v>3441</v>
      </c>
      <c r="E141" s="442" t="s">
        <v>17269</v>
      </c>
      <c r="F141" s="442" t="s">
        <v>48</v>
      </c>
      <c r="G141" s="442" t="s">
        <v>35</v>
      </c>
      <c r="H141" s="442" t="s">
        <v>49</v>
      </c>
      <c r="I141" s="442" t="s">
        <v>38</v>
      </c>
      <c r="J141" s="443">
        <v>13344.0</v>
      </c>
      <c r="K141" s="444" t="s">
        <v>18148</v>
      </c>
    </row>
    <row r="142">
      <c r="A142" s="437">
        <v>45845.478472222225</v>
      </c>
      <c r="B142" s="438" t="s">
        <v>17300</v>
      </c>
      <c r="C142" s="438" t="s">
        <v>5346</v>
      </c>
      <c r="D142" s="438" t="s">
        <v>112</v>
      </c>
      <c r="E142" s="438" t="s">
        <v>17301</v>
      </c>
      <c r="F142" s="438" t="s">
        <v>48</v>
      </c>
      <c r="G142" s="438" t="s">
        <v>35</v>
      </c>
      <c r="H142" s="438" t="s">
        <v>49</v>
      </c>
      <c r="I142" s="438" t="s">
        <v>38</v>
      </c>
      <c r="J142" s="439">
        <v>13348.0</v>
      </c>
      <c r="K142" s="440" t="s">
        <v>18148</v>
      </c>
    </row>
    <row r="143">
      <c r="A143" s="441">
        <v>45845.478483796294</v>
      </c>
      <c r="B143" s="442" t="s">
        <v>17295</v>
      </c>
      <c r="C143" s="442" t="s">
        <v>5346</v>
      </c>
      <c r="D143" s="442" t="s">
        <v>112</v>
      </c>
      <c r="E143" s="442" t="s">
        <v>17296</v>
      </c>
      <c r="F143" s="442" t="s">
        <v>48</v>
      </c>
      <c r="G143" s="442" t="s">
        <v>35</v>
      </c>
      <c r="H143" s="442" t="s">
        <v>49</v>
      </c>
      <c r="I143" s="442" t="s">
        <v>38</v>
      </c>
      <c r="J143" s="443">
        <v>13348.0</v>
      </c>
      <c r="K143" s="444" t="s">
        <v>18148</v>
      </c>
    </row>
    <row r="144">
      <c r="A144" s="437">
        <v>45845.478541666664</v>
      </c>
      <c r="B144" s="438">
        <v>17872.0</v>
      </c>
      <c r="C144" s="438" t="s">
        <v>4352</v>
      </c>
      <c r="D144" s="438" t="s">
        <v>91</v>
      </c>
      <c r="E144" s="438" t="s">
        <v>17286</v>
      </c>
      <c r="F144" s="438" t="s">
        <v>48</v>
      </c>
      <c r="G144" s="438" t="s">
        <v>35</v>
      </c>
      <c r="H144" s="438" t="s">
        <v>49</v>
      </c>
      <c r="I144" s="438" t="s">
        <v>38</v>
      </c>
      <c r="J144" s="439">
        <v>13346.0</v>
      </c>
      <c r="K144" s="440" t="s">
        <v>18148</v>
      </c>
    </row>
    <row r="145">
      <c r="A145" s="441">
        <v>45845.47857638889</v>
      </c>
      <c r="B145" s="442">
        <v>17873.0</v>
      </c>
      <c r="C145" s="442" t="s">
        <v>4352</v>
      </c>
      <c r="D145" s="442" t="s">
        <v>91</v>
      </c>
      <c r="E145" s="442" t="s">
        <v>17291</v>
      </c>
      <c r="F145" s="442" t="s">
        <v>48</v>
      </c>
      <c r="G145" s="442" t="s">
        <v>35</v>
      </c>
      <c r="H145" s="442" t="s">
        <v>49</v>
      </c>
      <c r="I145" s="442" t="s">
        <v>38</v>
      </c>
      <c r="J145" s="443">
        <v>13347.0</v>
      </c>
      <c r="K145" s="444" t="s">
        <v>18148</v>
      </c>
    </row>
    <row r="146">
      <c r="A146" s="437">
        <v>45845.47857638889</v>
      </c>
      <c r="B146" s="438">
        <v>17866.0</v>
      </c>
      <c r="C146" s="438" t="s">
        <v>7945</v>
      </c>
      <c r="D146" s="438" t="s">
        <v>91</v>
      </c>
      <c r="E146" s="438" t="s">
        <v>17264</v>
      </c>
      <c r="F146" s="438" t="s">
        <v>48</v>
      </c>
      <c r="G146" s="438" t="s">
        <v>35</v>
      </c>
      <c r="H146" s="438" t="s">
        <v>49</v>
      </c>
      <c r="I146" s="438" t="s">
        <v>447</v>
      </c>
      <c r="J146" s="439">
        <v>13345.0</v>
      </c>
      <c r="K146" s="440" t="s">
        <v>18148</v>
      </c>
    </row>
    <row r="147">
      <c r="A147" s="441">
        <v>45845.47864583333</v>
      </c>
      <c r="B147" s="442" t="s">
        <v>17204</v>
      </c>
      <c r="C147" s="442" t="s">
        <v>911</v>
      </c>
      <c r="D147" s="442" t="s">
        <v>3441</v>
      </c>
      <c r="E147" s="442" t="s">
        <v>17281</v>
      </c>
      <c r="F147" s="442" t="s">
        <v>48</v>
      </c>
      <c r="G147" s="442" t="s">
        <v>35</v>
      </c>
      <c r="H147" s="442" t="s">
        <v>49</v>
      </c>
      <c r="I147" s="442" t="s">
        <v>38</v>
      </c>
      <c r="J147" s="443"/>
      <c r="K147" s="444" t="s">
        <v>22853</v>
      </c>
    </row>
    <row r="148">
      <c r="A148" s="437">
        <v>45845.47869212963</v>
      </c>
      <c r="B148" s="438" t="s">
        <v>17200</v>
      </c>
      <c r="C148" s="438" t="s">
        <v>911</v>
      </c>
      <c r="D148" s="438" t="s">
        <v>4430</v>
      </c>
      <c r="E148" s="438" t="s">
        <v>17201</v>
      </c>
      <c r="F148" s="438" t="s">
        <v>48</v>
      </c>
      <c r="G148" s="438" t="s">
        <v>35</v>
      </c>
      <c r="H148" s="438" t="s">
        <v>49</v>
      </c>
      <c r="I148" s="438" t="s">
        <v>38</v>
      </c>
      <c r="J148" s="439"/>
      <c r="K148" s="440" t="s">
        <v>22853</v>
      </c>
    </row>
    <row r="149">
      <c r="A149" s="441">
        <v>45845.47988425926</v>
      </c>
      <c r="B149" s="442" t="s">
        <v>17204</v>
      </c>
      <c r="C149" s="442" t="s">
        <v>911</v>
      </c>
      <c r="D149" s="442" t="s">
        <v>3441</v>
      </c>
      <c r="E149" s="442" t="s">
        <v>17281</v>
      </c>
      <c r="F149" s="442" t="s">
        <v>48</v>
      </c>
      <c r="G149" s="442" t="s">
        <v>35</v>
      </c>
      <c r="H149" s="442" t="s">
        <v>49</v>
      </c>
      <c r="I149" s="442" t="s">
        <v>38</v>
      </c>
      <c r="J149" s="443"/>
      <c r="K149" s="444" t="s">
        <v>22853</v>
      </c>
    </row>
    <row r="150">
      <c r="A150" s="437">
        <v>45845.480219907404</v>
      </c>
      <c r="B150" s="438">
        <v>17872.0</v>
      </c>
      <c r="C150" s="438" t="s">
        <v>4352</v>
      </c>
      <c r="D150" s="438" t="s">
        <v>91</v>
      </c>
      <c r="E150" s="438" t="s">
        <v>17286</v>
      </c>
      <c r="F150" s="438" t="s">
        <v>48</v>
      </c>
      <c r="G150" s="438" t="s">
        <v>35</v>
      </c>
      <c r="H150" s="438" t="s">
        <v>49</v>
      </c>
      <c r="I150" s="438" t="s">
        <v>38</v>
      </c>
      <c r="J150" s="439">
        <v>13346.0</v>
      </c>
      <c r="K150" s="440" t="s">
        <v>18148</v>
      </c>
    </row>
    <row r="151">
      <c r="A151" s="441">
        <v>45845.48024305556</v>
      </c>
      <c r="B151" s="442">
        <v>17873.0</v>
      </c>
      <c r="C151" s="442" t="s">
        <v>4352</v>
      </c>
      <c r="D151" s="442" t="s">
        <v>91</v>
      </c>
      <c r="E151" s="442" t="s">
        <v>17291</v>
      </c>
      <c r="F151" s="442" t="s">
        <v>48</v>
      </c>
      <c r="G151" s="442" t="s">
        <v>35</v>
      </c>
      <c r="H151" s="442" t="s">
        <v>49</v>
      </c>
      <c r="I151" s="442" t="s">
        <v>38</v>
      </c>
      <c r="J151" s="443">
        <v>13347.0</v>
      </c>
      <c r="K151" s="444" t="s">
        <v>18148</v>
      </c>
    </row>
    <row r="152">
      <c r="A152" s="437">
        <v>45845.480266203704</v>
      </c>
      <c r="B152" s="438">
        <v>17866.0</v>
      </c>
      <c r="C152" s="438" t="s">
        <v>7945</v>
      </c>
      <c r="D152" s="438" t="s">
        <v>91</v>
      </c>
      <c r="E152" s="438" t="s">
        <v>17264</v>
      </c>
      <c r="F152" s="438" t="s">
        <v>48</v>
      </c>
      <c r="G152" s="438" t="s">
        <v>35</v>
      </c>
      <c r="H152" s="438" t="s">
        <v>49</v>
      </c>
      <c r="I152" s="438" t="s">
        <v>447</v>
      </c>
      <c r="J152" s="439">
        <v>13345.0</v>
      </c>
      <c r="K152" s="440" t="s">
        <v>18148</v>
      </c>
    </row>
    <row r="153">
      <c r="A153" s="441">
        <v>45845.48030092593</v>
      </c>
      <c r="B153" s="442" t="s">
        <v>17295</v>
      </c>
      <c r="C153" s="442" t="s">
        <v>5346</v>
      </c>
      <c r="D153" s="442" t="s">
        <v>112</v>
      </c>
      <c r="E153" s="442" t="s">
        <v>17296</v>
      </c>
      <c r="F153" s="442" t="s">
        <v>48</v>
      </c>
      <c r="G153" s="442" t="s">
        <v>35</v>
      </c>
      <c r="H153" s="442" t="s">
        <v>49</v>
      </c>
      <c r="I153" s="442" t="s">
        <v>38</v>
      </c>
      <c r="J153" s="443">
        <v>13348.0</v>
      </c>
      <c r="K153" s="444" t="s">
        <v>18148</v>
      </c>
    </row>
    <row r="154">
      <c r="A154" s="437">
        <v>45845.48032407407</v>
      </c>
      <c r="B154" s="438" t="s">
        <v>17300</v>
      </c>
      <c r="C154" s="438" t="s">
        <v>5346</v>
      </c>
      <c r="D154" s="438" t="s">
        <v>112</v>
      </c>
      <c r="E154" s="438" t="s">
        <v>17301</v>
      </c>
      <c r="F154" s="438" t="s">
        <v>48</v>
      </c>
      <c r="G154" s="438" t="s">
        <v>35</v>
      </c>
      <c r="H154" s="438" t="s">
        <v>49</v>
      </c>
      <c r="I154" s="438" t="s">
        <v>38</v>
      </c>
      <c r="J154" s="439">
        <v>13348.0</v>
      </c>
      <c r="K154" s="440" t="s">
        <v>18148</v>
      </c>
    </row>
    <row r="155">
      <c r="A155" s="441">
        <v>45845.480416666665</v>
      </c>
      <c r="B155" s="442" t="s">
        <v>17200</v>
      </c>
      <c r="C155" s="442" t="s">
        <v>911</v>
      </c>
      <c r="D155" s="442" t="s">
        <v>4430</v>
      </c>
      <c r="E155" s="442" t="s">
        <v>17201</v>
      </c>
      <c r="F155" s="442" t="s">
        <v>48</v>
      </c>
      <c r="G155" s="442" t="s">
        <v>35</v>
      </c>
      <c r="H155" s="442" t="s">
        <v>49</v>
      </c>
      <c r="I155" s="442" t="s">
        <v>38</v>
      </c>
      <c r="J155" s="443"/>
      <c r="K155" s="444" t="s">
        <v>22853</v>
      </c>
    </row>
    <row r="156">
      <c r="A156" s="437">
        <v>45845.5883912037</v>
      </c>
      <c r="B156" s="438">
        <v>17871.0</v>
      </c>
      <c r="C156" s="438" t="s">
        <v>4352</v>
      </c>
      <c r="D156" s="438" t="s">
        <v>3441</v>
      </c>
      <c r="E156" s="438" t="s">
        <v>17281</v>
      </c>
      <c r="F156" s="438" t="s">
        <v>48</v>
      </c>
      <c r="G156" s="438" t="s">
        <v>35</v>
      </c>
      <c r="H156" s="438" t="s">
        <v>49</v>
      </c>
      <c r="I156" s="438" t="s">
        <v>38</v>
      </c>
      <c r="J156" s="439">
        <v>13349.0</v>
      </c>
      <c r="K156" s="440" t="s">
        <v>18148</v>
      </c>
    </row>
    <row r="157">
      <c r="A157" s="441">
        <v>45845.58840277778</v>
      </c>
      <c r="B157" s="442">
        <v>17863.0</v>
      </c>
      <c r="C157" s="442" t="s">
        <v>4681</v>
      </c>
      <c r="D157" s="442" t="s">
        <v>72</v>
      </c>
      <c r="E157" s="442" t="s">
        <v>17372</v>
      </c>
      <c r="F157" s="442" t="s">
        <v>48</v>
      </c>
      <c r="G157" s="442" t="s">
        <v>35</v>
      </c>
      <c r="H157" s="442" t="s">
        <v>49</v>
      </c>
      <c r="I157" s="442" t="s">
        <v>38</v>
      </c>
      <c r="J157" s="443">
        <v>13350.0</v>
      </c>
      <c r="K157" s="444" t="s">
        <v>18148</v>
      </c>
    </row>
    <row r="158">
      <c r="A158" s="437">
        <v>45845.589837962965</v>
      </c>
      <c r="B158" s="438" t="s">
        <v>16914</v>
      </c>
      <c r="C158" s="438" t="s">
        <v>9399</v>
      </c>
      <c r="D158" s="438" t="s">
        <v>13303</v>
      </c>
      <c r="E158" s="438">
        <v>20063.0</v>
      </c>
      <c r="F158" s="438" t="s">
        <v>48</v>
      </c>
      <c r="G158" s="438" t="s">
        <v>35</v>
      </c>
      <c r="H158" s="438" t="s">
        <v>65</v>
      </c>
      <c r="I158" s="438" t="s">
        <v>38</v>
      </c>
      <c r="J158" s="439">
        <v>13351.0</v>
      </c>
      <c r="K158" s="440" t="s">
        <v>18148</v>
      </c>
    </row>
    <row r="159">
      <c r="A159" s="441">
        <v>45845.58986111111</v>
      </c>
      <c r="B159" s="442" t="s">
        <v>16924</v>
      </c>
      <c r="C159" s="442" t="s">
        <v>9399</v>
      </c>
      <c r="D159" s="442" t="s">
        <v>13303</v>
      </c>
      <c r="E159" s="442">
        <v>20105.0</v>
      </c>
      <c r="F159" s="442" t="s">
        <v>48</v>
      </c>
      <c r="G159" s="442" t="s">
        <v>35</v>
      </c>
      <c r="H159" s="442" t="s">
        <v>65</v>
      </c>
      <c r="I159" s="442" t="s">
        <v>38</v>
      </c>
      <c r="J159" s="443">
        <v>13351.0</v>
      </c>
      <c r="K159" s="444" t="s">
        <v>18148</v>
      </c>
    </row>
    <row r="160">
      <c r="A160" s="437">
        <v>45845.58987268519</v>
      </c>
      <c r="B160" s="438" t="s">
        <v>16918</v>
      </c>
      <c r="C160" s="438" t="s">
        <v>9399</v>
      </c>
      <c r="D160" s="438" t="s">
        <v>13303</v>
      </c>
      <c r="E160" s="438">
        <v>20106.0</v>
      </c>
      <c r="F160" s="438" t="s">
        <v>48</v>
      </c>
      <c r="G160" s="438" t="s">
        <v>35</v>
      </c>
      <c r="H160" s="438" t="s">
        <v>65</v>
      </c>
      <c r="I160" s="438" t="s">
        <v>38</v>
      </c>
      <c r="J160" s="439">
        <v>13351.0</v>
      </c>
      <c r="K160" s="440" t="s">
        <v>18148</v>
      </c>
    </row>
    <row r="161">
      <c r="A161" s="441">
        <v>45845.58988425926</v>
      </c>
      <c r="B161" s="442" t="s">
        <v>16921</v>
      </c>
      <c r="C161" s="442" t="s">
        <v>9399</v>
      </c>
      <c r="D161" s="442" t="s">
        <v>13303</v>
      </c>
      <c r="E161" s="442">
        <v>20107.0</v>
      </c>
      <c r="F161" s="442" t="s">
        <v>48</v>
      </c>
      <c r="G161" s="442" t="s">
        <v>35</v>
      </c>
      <c r="H161" s="442" t="s">
        <v>65</v>
      </c>
      <c r="I161" s="442" t="s">
        <v>38</v>
      </c>
      <c r="J161" s="443">
        <v>13351.0</v>
      </c>
      <c r="K161" s="444" t="s">
        <v>18148</v>
      </c>
    </row>
    <row r="162">
      <c r="A162" s="437">
        <v>45846.37724537037</v>
      </c>
      <c r="B162" s="438">
        <v>17876.0</v>
      </c>
      <c r="C162" s="438" t="s">
        <v>1811</v>
      </c>
      <c r="D162" s="438" t="s">
        <v>91</v>
      </c>
      <c r="E162" s="438" t="s">
        <v>17311</v>
      </c>
      <c r="F162" s="438" t="s">
        <v>48</v>
      </c>
      <c r="G162" s="438" t="s">
        <v>35</v>
      </c>
      <c r="H162" s="438" t="s">
        <v>49</v>
      </c>
      <c r="I162" s="438" t="s">
        <v>1506</v>
      </c>
      <c r="J162" s="439">
        <v>13356.0</v>
      </c>
      <c r="K162" s="440" t="s">
        <v>18148</v>
      </c>
    </row>
    <row r="163">
      <c r="A163" s="441">
        <v>45846.37725694444</v>
      </c>
      <c r="B163" s="442">
        <v>17882.0</v>
      </c>
      <c r="C163" s="442" t="s">
        <v>911</v>
      </c>
      <c r="D163" s="442" t="s">
        <v>3395</v>
      </c>
      <c r="E163" s="442" t="s">
        <v>17343</v>
      </c>
      <c r="F163" s="442" t="s">
        <v>48</v>
      </c>
      <c r="G163" s="442" t="s">
        <v>35</v>
      </c>
      <c r="H163" s="442" t="s">
        <v>49</v>
      </c>
      <c r="I163" s="442" t="s">
        <v>38</v>
      </c>
      <c r="J163" s="443">
        <v>13357.0</v>
      </c>
      <c r="K163" s="444" t="s">
        <v>18148</v>
      </c>
    </row>
    <row r="164">
      <c r="A164" s="437">
        <v>45846.37726851852</v>
      </c>
      <c r="B164" s="438">
        <v>17887.0</v>
      </c>
      <c r="C164" s="438" t="s">
        <v>5650</v>
      </c>
      <c r="D164" s="438" t="s">
        <v>72</v>
      </c>
      <c r="E164" s="438" t="s">
        <v>17372</v>
      </c>
      <c r="F164" s="438" t="s">
        <v>48</v>
      </c>
      <c r="G164" s="438" t="s">
        <v>35</v>
      </c>
      <c r="H164" s="438" t="s">
        <v>49</v>
      </c>
      <c r="I164" s="438" t="s">
        <v>38</v>
      </c>
      <c r="J164" s="439">
        <v>13358.0</v>
      </c>
      <c r="K164" s="440" t="s">
        <v>18148</v>
      </c>
    </row>
    <row r="165">
      <c r="A165" s="441">
        <v>45846.377280092594</v>
      </c>
      <c r="B165" s="442">
        <v>17883.0</v>
      </c>
      <c r="C165" s="442" t="s">
        <v>17348</v>
      </c>
      <c r="D165" s="442" t="s">
        <v>91</v>
      </c>
      <c r="E165" s="442" t="s">
        <v>17349</v>
      </c>
      <c r="F165" s="442" t="s">
        <v>48</v>
      </c>
      <c r="G165" s="442" t="s">
        <v>35</v>
      </c>
      <c r="H165" s="442" t="s">
        <v>49</v>
      </c>
      <c r="I165" s="442" t="s">
        <v>447</v>
      </c>
      <c r="J165" s="443"/>
      <c r="K165" s="444" t="s">
        <v>18148</v>
      </c>
    </row>
    <row r="166">
      <c r="A166" s="437">
        <v>45846.377384259256</v>
      </c>
      <c r="B166" s="438">
        <v>17880.0</v>
      </c>
      <c r="C166" s="438" t="s">
        <v>4308</v>
      </c>
      <c r="D166" s="438" t="s">
        <v>91</v>
      </c>
      <c r="E166" s="438" t="s">
        <v>17332</v>
      </c>
      <c r="F166" s="438" t="s">
        <v>48</v>
      </c>
      <c r="G166" s="438" t="s">
        <v>35</v>
      </c>
      <c r="H166" s="438" t="s">
        <v>92</v>
      </c>
      <c r="I166" s="438" t="s">
        <v>38</v>
      </c>
      <c r="J166" s="439">
        <v>13355.0</v>
      </c>
      <c r="K166" s="440" t="s">
        <v>18148</v>
      </c>
    </row>
    <row r="167">
      <c r="A167" s="441">
        <v>45846.408055555556</v>
      </c>
      <c r="B167" s="442">
        <v>17875.0</v>
      </c>
      <c r="C167" s="442" t="s">
        <v>17305</v>
      </c>
      <c r="D167" s="442" t="s">
        <v>713</v>
      </c>
      <c r="E167" s="442">
        <v>20070.0</v>
      </c>
      <c r="F167" s="442" t="s">
        <v>33</v>
      </c>
      <c r="G167" s="442" t="s">
        <v>35</v>
      </c>
      <c r="H167" s="442" t="s">
        <v>92</v>
      </c>
      <c r="I167" s="442" t="s">
        <v>38</v>
      </c>
      <c r="J167" s="443">
        <v>2114.0</v>
      </c>
      <c r="K167" s="444" t="s">
        <v>18148</v>
      </c>
    </row>
    <row r="168">
      <c r="A168" s="437">
        <v>45846.40994212963</v>
      </c>
      <c r="B168" s="438">
        <v>17884.0</v>
      </c>
      <c r="C168" s="438" t="s">
        <v>14435</v>
      </c>
      <c r="D168" s="438" t="s">
        <v>3441</v>
      </c>
      <c r="E168" s="438" t="s">
        <v>17354</v>
      </c>
      <c r="F168" s="438" t="s">
        <v>48</v>
      </c>
      <c r="G168" s="438" t="s">
        <v>35</v>
      </c>
      <c r="H168" s="438" t="s">
        <v>65</v>
      </c>
      <c r="I168" s="438" t="s">
        <v>38</v>
      </c>
      <c r="J168" s="439"/>
      <c r="K168" s="440" t="s">
        <v>18148</v>
      </c>
    </row>
    <row r="169">
      <c r="A169" s="441">
        <v>45846.41275462963</v>
      </c>
      <c r="B169" s="442">
        <v>17884.0</v>
      </c>
      <c r="C169" s="442" t="s">
        <v>14435</v>
      </c>
      <c r="D169" s="442" t="s">
        <v>3441</v>
      </c>
      <c r="E169" s="442" t="s">
        <v>17354</v>
      </c>
      <c r="F169" s="442" t="s">
        <v>48</v>
      </c>
      <c r="G169" s="442" t="s">
        <v>35</v>
      </c>
      <c r="H169" s="442" t="s">
        <v>65</v>
      </c>
      <c r="I169" s="442" t="s">
        <v>38</v>
      </c>
      <c r="J169" s="443">
        <v>13361.0</v>
      </c>
      <c r="K169" s="444" t="s">
        <v>18148</v>
      </c>
    </row>
    <row r="170">
      <c r="A170" s="437">
        <v>45846.41475694445</v>
      </c>
      <c r="B170" s="438" t="s">
        <v>17067</v>
      </c>
      <c r="C170" s="438" t="s">
        <v>115</v>
      </c>
      <c r="D170" s="438" t="s">
        <v>15373</v>
      </c>
      <c r="E170" s="438">
        <v>20118.0</v>
      </c>
      <c r="F170" s="438" t="s">
        <v>48</v>
      </c>
      <c r="G170" s="438" t="s">
        <v>35</v>
      </c>
      <c r="H170" s="438" t="s">
        <v>92</v>
      </c>
      <c r="I170" s="438" t="s">
        <v>38</v>
      </c>
      <c r="J170" s="439">
        <v>13359.0</v>
      </c>
      <c r="K170" s="440" t="s">
        <v>18148</v>
      </c>
    </row>
    <row r="171">
      <c r="A171" s="441">
        <v>45846.41484953704</v>
      </c>
      <c r="B171" s="442">
        <v>17832.0</v>
      </c>
      <c r="C171" s="442" t="s">
        <v>96</v>
      </c>
      <c r="D171" s="442" t="s">
        <v>11712</v>
      </c>
      <c r="E171" s="442">
        <v>20111.0</v>
      </c>
      <c r="F171" s="442" t="s">
        <v>48</v>
      </c>
      <c r="G171" s="442" t="s">
        <v>35</v>
      </c>
      <c r="H171" s="442" t="s">
        <v>49</v>
      </c>
      <c r="I171" s="442" t="s">
        <v>38</v>
      </c>
      <c r="J171" s="443">
        <v>13354.0</v>
      </c>
      <c r="K171" s="444" t="s">
        <v>18148</v>
      </c>
    </row>
    <row r="172">
      <c r="A172" s="437">
        <v>45846.41488425926</v>
      </c>
      <c r="B172" s="438" t="s">
        <v>17071</v>
      </c>
      <c r="C172" s="438" t="s">
        <v>115</v>
      </c>
      <c r="D172" s="438" t="s">
        <v>15373</v>
      </c>
      <c r="E172" s="438">
        <v>20119.0</v>
      </c>
      <c r="F172" s="438" t="s">
        <v>48</v>
      </c>
      <c r="G172" s="438" t="s">
        <v>35</v>
      </c>
      <c r="H172" s="438" t="s">
        <v>92</v>
      </c>
      <c r="I172" s="438" t="s">
        <v>38</v>
      </c>
      <c r="J172" s="439">
        <v>13359.0</v>
      </c>
      <c r="K172" s="440" t="s">
        <v>18148</v>
      </c>
    </row>
    <row r="173">
      <c r="A173" s="441">
        <v>45846.46258101852</v>
      </c>
      <c r="B173" s="442">
        <v>17883.0</v>
      </c>
      <c r="C173" s="442" t="s">
        <v>17348</v>
      </c>
      <c r="D173" s="442" t="s">
        <v>91</v>
      </c>
      <c r="E173" s="442" t="s">
        <v>17349</v>
      </c>
      <c r="F173" s="442" t="s">
        <v>48</v>
      </c>
      <c r="G173" s="442" t="s">
        <v>35</v>
      </c>
      <c r="H173" s="442" t="s">
        <v>49</v>
      </c>
      <c r="I173" s="442" t="s">
        <v>447</v>
      </c>
      <c r="J173" s="443">
        <v>13360.0</v>
      </c>
      <c r="K173" s="444" t="s">
        <v>18148</v>
      </c>
    </row>
    <row r="174">
      <c r="A174" s="437">
        <v>45846.57775462963</v>
      </c>
      <c r="B174" s="438" t="s">
        <v>17318</v>
      </c>
      <c r="C174" s="438" t="s">
        <v>13433</v>
      </c>
      <c r="D174" s="438" t="s">
        <v>112</v>
      </c>
      <c r="E174" s="438" t="s">
        <v>17319</v>
      </c>
      <c r="F174" s="438" t="s">
        <v>48</v>
      </c>
      <c r="G174" s="438" t="s">
        <v>35</v>
      </c>
      <c r="H174" s="438" t="s">
        <v>49</v>
      </c>
      <c r="I174" s="438" t="s">
        <v>10380</v>
      </c>
      <c r="J174" s="439">
        <v>13364.0</v>
      </c>
      <c r="K174" s="440" t="s">
        <v>18148</v>
      </c>
    </row>
    <row r="175">
      <c r="A175" s="441">
        <v>45846.57780092592</v>
      </c>
      <c r="B175" s="442" t="s">
        <v>17322</v>
      </c>
      <c r="C175" s="442" t="s">
        <v>13433</v>
      </c>
      <c r="D175" s="442" t="s">
        <v>85</v>
      </c>
      <c r="E175" s="442" t="s">
        <v>17323</v>
      </c>
      <c r="F175" s="442" t="s">
        <v>48</v>
      </c>
      <c r="G175" s="442" t="s">
        <v>35</v>
      </c>
      <c r="H175" s="442" t="s">
        <v>49</v>
      </c>
      <c r="I175" s="442" t="s">
        <v>10380</v>
      </c>
      <c r="J175" s="443">
        <v>13364.0</v>
      </c>
      <c r="K175" s="444" t="s">
        <v>18148</v>
      </c>
    </row>
    <row r="176">
      <c r="A176" s="437">
        <v>45846.57780092592</v>
      </c>
      <c r="B176" s="438" t="s">
        <v>17314</v>
      </c>
      <c r="C176" s="438" t="s">
        <v>13433</v>
      </c>
      <c r="D176" s="438" t="s">
        <v>112</v>
      </c>
      <c r="E176" s="438" t="s">
        <v>17315</v>
      </c>
      <c r="F176" s="438" t="s">
        <v>48</v>
      </c>
      <c r="G176" s="438" t="s">
        <v>35</v>
      </c>
      <c r="H176" s="438" t="s">
        <v>49</v>
      </c>
      <c r="I176" s="438" t="s">
        <v>10380</v>
      </c>
      <c r="J176" s="439">
        <v>13364.0</v>
      </c>
      <c r="K176" s="440" t="s">
        <v>18148</v>
      </c>
    </row>
    <row r="177">
      <c r="A177" s="441">
        <v>45847.351493055554</v>
      </c>
      <c r="B177" s="442">
        <v>17829.0</v>
      </c>
      <c r="C177" s="442" t="s">
        <v>3289</v>
      </c>
      <c r="D177" s="442" t="s">
        <v>13303</v>
      </c>
      <c r="E177" s="442">
        <v>20115.0</v>
      </c>
      <c r="F177" s="442" t="s">
        <v>48</v>
      </c>
      <c r="G177" s="442" t="s">
        <v>35</v>
      </c>
      <c r="H177" s="442" t="s">
        <v>92</v>
      </c>
      <c r="I177" s="442" t="s">
        <v>38</v>
      </c>
      <c r="J177" s="443">
        <v>13368.0</v>
      </c>
      <c r="K177" s="444" t="s">
        <v>18148</v>
      </c>
    </row>
    <row r="178">
      <c r="A178" s="437">
        <v>45847.508125</v>
      </c>
      <c r="B178" s="438">
        <v>17897.0</v>
      </c>
      <c r="C178" s="438" t="s">
        <v>3888</v>
      </c>
      <c r="D178" s="438" t="s">
        <v>112</v>
      </c>
      <c r="E178" s="438" t="s">
        <v>17451</v>
      </c>
      <c r="F178" s="438" t="s">
        <v>48</v>
      </c>
      <c r="G178" s="438" t="s">
        <v>35</v>
      </c>
      <c r="H178" s="438" t="s">
        <v>49</v>
      </c>
      <c r="I178" s="438" t="s">
        <v>2978</v>
      </c>
      <c r="J178" s="439">
        <v>13370.0</v>
      </c>
      <c r="K178" s="440" t="s">
        <v>18148</v>
      </c>
    </row>
    <row r="179">
      <c r="A179" s="441">
        <v>45847.50814814815</v>
      </c>
      <c r="B179" s="442" t="s">
        <v>17200</v>
      </c>
      <c r="C179" s="442" t="s">
        <v>911</v>
      </c>
      <c r="D179" s="442" t="s">
        <v>4430</v>
      </c>
      <c r="E179" s="442" t="s">
        <v>17201</v>
      </c>
      <c r="F179" s="442" t="s">
        <v>48</v>
      </c>
      <c r="G179" s="442" t="s">
        <v>35</v>
      </c>
      <c r="H179" s="442" t="s">
        <v>49</v>
      </c>
      <c r="I179" s="442" t="s">
        <v>38</v>
      </c>
      <c r="J179" s="443">
        <v>13373.0</v>
      </c>
      <c r="K179" s="444" t="s">
        <v>18148</v>
      </c>
    </row>
    <row r="180">
      <c r="A180" s="437">
        <v>45847.50815972222</v>
      </c>
      <c r="B180" s="438">
        <v>17850.0</v>
      </c>
      <c r="C180" s="438" t="s">
        <v>17160</v>
      </c>
      <c r="D180" s="438" t="s">
        <v>72</v>
      </c>
      <c r="E180" s="438" t="s">
        <v>17161</v>
      </c>
      <c r="F180" s="438" t="s">
        <v>48</v>
      </c>
      <c r="G180" s="438" t="s">
        <v>35</v>
      </c>
      <c r="H180" s="438" t="s">
        <v>49</v>
      </c>
      <c r="I180" s="438" t="s">
        <v>238</v>
      </c>
      <c r="J180" s="439">
        <v>13375.0</v>
      </c>
      <c r="K180" s="440" t="s">
        <v>18148</v>
      </c>
    </row>
    <row r="181">
      <c r="A181" s="441">
        <v>45847.50815972222</v>
      </c>
      <c r="B181" s="442">
        <v>17899.0</v>
      </c>
      <c r="C181" s="442" t="s">
        <v>8825</v>
      </c>
      <c r="D181" s="442" t="s">
        <v>72</v>
      </c>
      <c r="E181" s="442" t="s">
        <v>17460</v>
      </c>
      <c r="F181" s="442" t="s">
        <v>48</v>
      </c>
      <c r="G181" s="442" t="s">
        <v>35</v>
      </c>
      <c r="H181" s="442" t="s">
        <v>49</v>
      </c>
      <c r="I181" s="442" t="s">
        <v>11095</v>
      </c>
      <c r="J181" s="443">
        <v>13371.0</v>
      </c>
      <c r="K181" s="444" t="s">
        <v>18148</v>
      </c>
    </row>
    <row r="182">
      <c r="A182" s="437">
        <v>45847.508206018516</v>
      </c>
      <c r="B182" s="438" t="s">
        <v>17204</v>
      </c>
      <c r="C182" s="438" t="s">
        <v>911</v>
      </c>
      <c r="D182" s="438" t="s">
        <v>3441</v>
      </c>
      <c r="E182" s="438" t="s">
        <v>17205</v>
      </c>
      <c r="F182" s="438" t="s">
        <v>48</v>
      </c>
      <c r="G182" s="438" t="s">
        <v>35</v>
      </c>
      <c r="H182" s="438" t="s">
        <v>49</v>
      </c>
      <c r="I182" s="438" t="s">
        <v>38</v>
      </c>
      <c r="J182" s="439">
        <v>13373.0</v>
      </c>
      <c r="K182" s="440" t="s">
        <v>18148</v>
      </c>
    </row>
    <row r="183">
      <c r="A183" s="441">
        <v>45847.50821759259</v>
      </c>
      <c r="B183" s="442">
        <v>17898.0</v>
      </c>
      <c r="C183" s="442" t="s">
        <v>9336</v>
      </c>
      <c r="D183" s="442" t="s">
        <v>3441</v>
      </c>
      <c r="E183" s="442" t="s">
        <v>17456</v>
      </c>
      <c r="F183" s="442" t="s">
        <v>48</v>
      </c>
      <c r="G183" s="442" t="s">
        <v>35</v>
      </c>
      <c r="H183" s="442" t="s">
        <v>65</v>
      </c>
      <c r="I183" s="442" t="s">
        <v>38</v>
      </c>
      <c r="J183" s="443">
        <v>13366.0</v>
      </c>
      <c r="K183" s="444" t="s">
        <v>18148</v>
      </c>
    </row>
    <row r="184">
      <c r="A184" s="437">
        <v>45847.508263888885</v>
      </c>
      <c r="B184" s="438" t="s">
        <v>17390</v>
      </c>
      <c r="C184" s="438" t="s">
        <v>16284</v>
      </c>
      <c r="D184" s="438" t="s">
        <v>3395</v>
      </c>
      <c r="E184" s="438" t="s">
        <v>17391</v>
      </c>
      <c r="F184" s="438" t="s">
        <v>48</v>
      </c>
      <c r="G184" s="438" t="s">
        <v>35</v>
      </c>
      <c r="H184" s="438" t="s">
        <v>65</v>
      </c>
      <c r="I184" s="438" t="s">
        <v>38</v>
      </c>
      <c r="J184" s="439">
        <v>13372.0</v>
      </c>
      <c r="K184" s="440" t="s">
        <v>18148</v>
      </c>
    </row>
    <row r="185">
      <c r="A185" s="441">
        <v>45847.50828703704</v>
      </c>
      <c r="B185" s="442" t="s">
        <v>17395</v>
      </c>
      <c r="C185" s="442" t="s">
        <v>16284</v>
      </c>
      <c r="D185" s="442" t="s">
        <v>3395</v>
      </c>
      <c r="E185" s="442" t="s">
        <v>17396</v>
      </c>
      <c r="F185" s="442" t="s">
        <v>48</v>
      </c>
      <c r="G185" s="442" t="s">
        <v>35</v>
      </c>
      <c r="H185" s="442" t="s">
        <v>65</v>
      </c>
      <c r="I185" s="442" t="s">
        <v>38</v>
      </c>
      <c r="J185" s="443">
        <v>13372.0</v>
      </c>
      <c r="K185" s="444" t="s">
        <v>18148</v>
      </c>
    </row>
    <row r="186">
      <c r="A186" s="437">
        <v>45847.56324074074</v>
      </c>
      <c r="B186" s="438" t="s">
        <v>17194</v>
      </c>
      <c r="C186" s="438" t="s">
        <v>911</v>
      </c>
      <c r="D186" s="438" t="s">
        <v>1119</v>
      </c>
      <c r="E186" s="438">
        <v>14047.0</v>
      </c>
      <c r="F186" s="438" t="s">
        <v>33</v>
      </c>
      <c r="G186" s="438" t="s">
        <v>35</v>
      </c>
      <c r="H186" s="438" t="s">
        <v>49</v>
      </c>
      <c r="I186" s="438" t="s">
        <v>38</v>
      </c>
      <c r="J186" s="439">
        <v>13373.0</v>
      </c>
      <c r="K186" s="440" t="s">
        <v>18148</v>
      </c>
    </row>
    <row r="187">
      <c r="A187" s="441">
        <v>45847.5633912037</v>
      </c>
      <c r="B187" s="442" t="s">
        <v>17211</v>
      </c>
      <c r="C187" s="442" t="s">
        <v>911</v>
      </c>
      <c r="D187" s="442" t="s">
        <v>511</v>
      </c>
      <c r="E187" s="442">
        <v>20102.0</v>
      </c>
      <c r="F187" s="442" t="s">
        <v>33</v>
      </c>
      <c r="G187" s="442" t="s">
        <v>35</v>
      </c>
      <c r="H187" s="442" t="s">
        <v>49</v>
      </c>
      <c r="I187" s="442" t="s">
        <v>38</v>
      </c>
      <c r="J187" s="443">
        <v>13373.0</v>
      </c>
      <c r="K187" s="444" t="s">
        <v>18148</v>
      </c>
    </row>
    <row r="188">
      <c r="A188" s="437">
        <v>45847.5633912037</v>
      </c>
      <c r="B188" s="438" t="s">
        <v>13698</v>
      </c>
      <c r="C188" s="438" t="s">
        <v>96</v>
      </c>
      <c r="D188" s="438" t="s">
        <v>165</v>
      </c>
      <c r="E188" s="438">
        <v>20028.0</v>
      </c>
      <c r="F188" s="438" t="s">
        <v>33</v>
      </c>
      <c r="G188" s="438" t="s">
        <v>35</v>
      </c>
      <c r="H188" s="438" t="s">
        <v>49</v>
      </c>
      <c r="I188" s="438" t="s">
        <v>38</v>
      </c>
      <c r="J188" s="439">
        <v>13374.0</v>
      </c>
      <c r="K188" s="440" t="s">
        <v>18148</v>
      </c>
    </row>
    <row r="189">
      <c r="A189" s="441">
        <v>45847.56340277778</v>
      </c>
      <c r="B189" s="442" t="s">
        <v>17208</v>
      </c>
      <c r="C189" s="442" t="s">
        <v>911</v>
      </c>
      <c r="D189" s="442" t="s">
        <v>301</v>
      </c>
      <c r="E189" s="442">
        <v>20122.0</v>
      </c>
      <c r="F189" s="442" t="s">
        <v>33</v>
      </c>
      <c r="G189" s="442" t="s">
        <v>35</v>
      </c>
      <c r="H189" s="442" t="s">
        <v>49</v>
      </c>
      <c r="I189" s="442" t="s">
        <v>38</v>
      </c>
      <c r="J189" s="443">
        <v>13373.0</v>
      </c>
      <c r="K189" s="444" t="s">
        <v>18148</v>
      </c>
    </row>
    <row r="190">
      <c r="A190" s="437">
        <v>45847.56349537037</v>
      </c>
      <c r="B190" s="438">
        <v>17898.0</v>
      </c>
      <c r="C190" s="438" t="s">
        <v>9336</v>
      </c>
      <c r="D190" s="438" t="s">
        <v>3441</v>
      </c>
      <c r="E190" s="438" t="s">
        <v>17456</v>
      </c>
      <c r="F190" s="438" t="s">
        <v>48</v>
      </c>
      <c r="G190" s="438" t="s">
        <v>35</v>
      </c>
      <c r="H190" s="438" t="s">
        <v>65</v>
      </c>
      <c r="I190" s="438" t="s">
        <v>38</v>
      </c>
      <c r="J190" s="439">
        <v>13366.0</v>
      </c>
      <c r="K190" s="440" t="s">
        <v>18148</v>
      </c>
    </row>
    <row r="191">
      <c r="A191" s="441">
        <v>45847.56350694445</v>
      </c>
      <c r="B191" s="442" t="s">
        <v>17197</v>
      </c>
      <c r="C191" s="442" t="s">
        <v>911</v>
      </c>
      <c r="D191" s="442" t="s">
        <v>15373</v>
      </c>
      <c r="E191" s="442">
        <v>20124.0</v>
      </c>
      <c r="F191" s="442" t="s">
        <v>48</v>
      </c>
      <c r="G191" s="442" t="s">
        <v>35</v>
      </c>
      <c r="H191" s="442" t="s">
        <v>49</v>
      </c>
      <c r="I191" s="442" t="s">
        <v>38</v>
      </c>
      <c r="J191" s="443">
        <v>13373.0</v>
      </c>
      <c r="K191" s="444" t="s">
        <v>18148</v>
      </c>
    </row>
    <row r="192">
      <c r="A192" s="437">
        <v>45847.56351851852</v>
      </c>
      <c r="B192" s="438" t="s">
        <v>17190</v>
      </c>
      <c r="C192" s="438" t="s">
        <v>911</v>
      </c>
      <c r="D192" s="438" t="s">
        <v>14531</v>
      </c>
      <c r="E192" s="438">
        <v>20126.0</v>
      </c>
      <c r="F192" s="438" t="s">
        <v>48</v>
      </c>
      <c r="G192" s="438" t="s">
        <v>35</v>
      </c>
      <c r="H192" s="438" t="s">
        <v>49</v>
      </c>
      <c r="I192" s="438" t="s">
        <v>38</v>
      </c>
      <c r="J192" s="439">
        <v>13373.0</v>
      </c>
      <c r="K192" s="440" t="s">
        <v>18148</v>
      </c>
    </row>
    <row r="193">
      <c r="A193" s="441">
        <v>45847.56354166667</v>
      </c>
      <c r="B193" s="442" t="s">
        <v>17204</v>
      </c>
      <c r="C193" s="442" t="s">
        <v>911</v>
      </c>
      <c r="D193" s="442" t="s">
        <v>3441</v>
      </c>
      <c r="E193" s="442" t="s">
        <v>17205</v>
      </c>
      <c r="F193" s="442" t="s">
        <v>48</v>
      </c>
      <c r="G193" s="442" t="s">
        <v>35</v>
      </c>
      <c r="H193" s="442" t="s">
        <v>49</v>
      </c>
      <c r="I193" s="442" t="s">
        <v>38</v>
      </c>
      <c r="J193" s="443">
        <v>13373.0</v>
      </c>
      <c r="K193" s="444" t="s">
        <v>18148</v>
      </c>
    </row>
    <row r="194">
      <c r="A194" s="437">
        <v>45847.563564814816</v>
      </c>
      <c r="B194" s="438" t="s">
        <v>17390</v>
      </c>
      <c r="C194" s="438" t="s">
        <v>16284</v>
      </c>
      <c r="D194" s="438" t="s">
        <v>3395</v>
      </c>
      <c r="E194" s="438" t="s">
        <v>17391</v>
      </c>
      <c r="F194" s="438" t="s">
        <v>48</v>
      </c>
      <c r="G194" s="438" t="s">
        <v>35</v>
      </c>
      <c r="H194" s="438" t="s">
        <v>65</v>
      </c>
      <c r="I194" s="438" t="s">
        <v>38</v>
      </c>
      <c r="J194" s="439">
        <v>13372.0</v>
      </c>
      <c r="K194" s="440" t="s">
        <v>18148</v>
      </c>
    </row>
    <row r="195">
      <c r="A195" s="441">
        <v>45847.563576388886</v>
      </c>
      <c r="B195" s="442">
        <v>17899.0</v>
      </c>
      <c r="C195" s="442" t="s">
        <v>8825</v>
      </c>
      <c r="D195" s="442" t="s">
        <v>72</v>
      </c>
      <c r="E195" s="442" t="s">
        <v>17460</v>
      </c>
      <c r="F195" s="442" t="s">
        <v>48</v>
      </c>
      <c r="G195" s="442" t="s">
        <v>35</v>
      </c>
      <c r="H195" s="442" t="s">
        <v>49</v>
      </c>
      <c r="I195" s="442" t="s">
        <v>11095</v>
      </c>
      <c r="J195" s="443">
        <v>13371.0</v>
      </c>
      <c r="K195" s="444" t="s">
        <v>18148</v>
      </c>
    </row>
    <row r="196">
      <c r="A196" s="437">
        <v>45847.563576388886</v>
      </c>
      <c r="B196" s="438" t="s">
        <v>17395</v>
      </c>
      <c r="C196" s="438" t="s">
        <v>16284</v>
      </c>
      <c r="D196" s="438" t="s">
        <v>3395</v>
      </c>
      <c r="E196" s="438" t="s">
        <v>17396</v>
      </c>
      <c r="F196" s="438" t="s">
        <v>48</v>
      </c>
      <c r="G196" s="438" t="s">
        <v>35</v>
      </c>
      <c r="H196" s="438" t="s">
        <v>65</v>
      </c>
      <c r="I196" s="438" t="s">
        <v>38</v>
      </c>
      <c r="J196" s="439">
        <v>13372.0</v>
      </c>
      <c r="K196" s="440" t="s">
        <v>18148</v>
      </c>
    </row>
    <row r="197">
      <c r="A197" s="441">
        <v>45847.56361111111</v>
      </c>
      <c r="B197" s="442">
        <v>17850.0</v>
      </c>
      <c r="C197" s="442" t="s">
        <v>17160</v>
      </c>
      <c r="D197" s="442" t="s">
        <v>72</v>
      </c>
      <c r="E197" s="442" t="s">
        <v>17161</v>
      </c>
      <c r="F197" s="442" t="s">
        <v>48</v>
      </c>
      <c r="G197" s="442" t="s">
        <v>35</v>
      </c>
      <c r="H197" s="442" t="s">
        <v>49</v>
      </c>
      <c r="I197" s="442" t="s">
        <v>238</v>
      </c>
      <c r="J197" s="443">
        <v>13375.0</v>
      </c>
      <c r="K197" s="444" t="s">
        <v>18148</v>
      </c>
    </row>
    <row r="198">
      <c r="A198" s="437">
        <v>45847.56365740741</v>
      </c>
      <c r="B198" s="438">
        <v>17897.0</v>
      </c>
      <c r="C198" s="438" t="s">
        <v>3888</v>
      </c>
      <c r="D198" s="438" t="s">
        <v>112</v>
      </c>
      <c r="E198" s="438" t="s">
        <v>17451</v>
      </c>
      <c r="F198" s="438" t="s">
        <v>48</v>
      </c>
      <c r="G198" s="438" t="s">
        <v>35</v>
      </c>
      <c r="H198" s="438" t="s">
        <v>49</v>
      </c>
      <c r="I198" s="438" t="s">
        <v>2978</v>
      </c>
      <c r="J198" s="439">
        <v>13370.0</v>
      </c>
      <c r="K198" s="440" t="s">
        <v>18148</v>
      </c>
    </row>
    <row r="199">
      <c r="A199" s="441">
        <v>45847.56701388889</v>
      </c>
      <c r="B199" s="442" t="s">
        <v>17200</v>
      </c>
      <c r="C199" s="442" t="s">
        <v>911</v>
      </c>
      <c r="D199" s="442" t="s">
        <v>4430</v>
      </c>
      <c r="E199" s="442" t="s">
        <v>17201</v>
      </c>
      <c r="F199" s="442" t="s">
        <v>48</v>
      </c>
      <c r="G199" s="442" t="s">
        <v>35</v>
      </c>
      <c r="H199" s="442" t="s">
        <v>49</v>
      </c>
      <c r="I199" s="442" t="s">
        <v>38</v>
      </c>
      <c r="J199" s="443">
        <v>13373.0</v>
      </c>
      <c r="K199" s="444" t="s">
        <v>18148</v>
      </c>
    </row>
    <row r="200">
      <c r="A200" s="437">
        <v>45847.58157407407</v>
      </c>
      <c r="B200" s="438" t="s">
        <v>17390</v>
      </c>
      <c r="C200" s="438" t="s">
        <v>16284</v>
      </c>
      <c r="D200" s="438" t="s">
        <v>3395</v>
      </c>
      <c r="E200" s="438" t="s">
        <v>17391</v>
      </c>
      <c r="F200" s="438" t="s">
        <v>48</v>
      </c>
      <c r="G200" s="438" t="s">
        <v>35</v>
      </c>
      <c r="H200" s="438" t="s">
        <v>65</v>
      </c>
      <c r="I200" s="438" t="s">
        <v>38</v>
      </c>
      <c r="J200" s="439">
        <v>13372.0</v>
      </c>
      <c r="K200" s="440" t="s">
        <v>18148</v>
      </c>
    </row>
    <row r="201">
      <c r="A201" s="441">
        <v>45847.6659375</v>
      </c>
      <c r="B201" s="442" t="s">
        <v>10298</v>
      </c>
      <c r="C201" s="442" t="s">
        <v>4313</v>
      </c>
      <c r="D201" s="442" t="s">
        <v>47</v>
      </c>
      <c r="E201" s="442" t="s">
        <v>10299</v>
      </c>
      <c r="F201" s="442" t="s">
        <v>48</v>
      </c>
      <c r="G201" s="442" t="s">
        <v>35</v>
      </c>
      <c r="H201" s="442" t="s">
        <v>92</v>
      </c>
      <c r="I201" s="442" t="s">
        <v>38</v>
      </c>
      <c r="J201" s="443">
        <v>13376.0</v>
      </c>
      <c r="K201" s="444" t="s">
        <v>18148</v>
      </c>
    </row>
    <row r="202">
      <c r="A202" s="437">
        <v>45847.66601851852</v>
      </c>
      <c r="B202" s="438" t="s">
        <v>10298</v>
      </c>
      <c r="C202" s="438" t="s">
        <v>4313</v>
      </c>
      <c r="D202" s="438" t="s">
        <v>47</v>
      </c>
      <c r="E202" s="438" t="s">
        <v>10299</v>
      </c>
      <c r="F202" s="438" t="s">
        <v>48</v>
      </c>
      <c r="G202" s="438" t="s">
        <v>35</v>
      </c>
      <c r="H202" s="438" t="s">
        <v>92</v>
      </c>
      <c r="I202" s="438" t="s">
        <v>38</v>
      </c>
      <c r="J202" s="439">
        <v>13376.0</v>
      </c>
      <c r="K202" s="440" t="s">
        <v>18148</v>
      </c>
    </row>
    <row r="203">
      <c r="A203" s="441">
        <v>45847.66605324074</v>
      </c>
      <c r="B203" s="442" t="s">
        <v>10302</v>
      </c>
      <c r="C203" s="442" t="s">
        <v>4313</v>
      </c>
      <c r="D203" s="442" t="s">
        <v>47</v>
      </c>
      <c r="E203" s="442" t="s">
        <v>10303</v>
      </c>
      <c r="F203" s="442" t="s">
        <v>48</v>
      </c>
      <c r="G203" s="442" t="s">
        <v>35</v>
      </c>
      <c r="H203" s="442" t="s">
        <v>92</v>
      </c>
      <c r="I203" s="442" t="s">
        <v>38</v>
      </c>
      <c r="J203" s="443">
        <v>13376.0</v>
      </c>
      <c r="K203" s="444" t="s">
        <v>18148</v>
      </c>
    </row>
    <row r="204">
      <c r="A204" s="437">
        <v>45848.55704861111</v>
      </c>
      <c r="B204" s="438">
        <v>17824.0</v>
      </c>
      <c r="C204" s="438" t="s">
        <v>725</v>
      </c>
      <c r="D204" s="438" t="s">
        <v>17047</v>
      </c>
      <c r="E204" s="438">
        <v>20121.0</v>
      </c>
      <c r="F204" s="438" t="s">
        <v>48</v>
      </c>
      <c r="G204" s="438" t="s">
        <v>35</v>
      </c>
      <c r="H204" s="438" t="s">
        <v>49</v>
      </c>
      <c r="I204" s="438" t="s">
        <v>38</v>
      </c>
      <c r="J204" s="439">
        <v>13378.0</v>
      </c>
      <c r="K204" s="440" t="s">
        <v>18148</v>
      </c>
    </row>
    <row r="205">
      <c r="A205" s="441">
        <v>45848.55708333333</v>
      </c>
      <c r="B205" s="442" t="s">
        <v>17479</v>
      </c>
      <c r="C205" s="442" t="s">
        <v>16682</v>
      </c>
      <c r="D205" s="442" t="s">
        <v>3441</v>
      </c>
      <c r="E205" s="442" t="s">
        <v>17480</v>
      </c>
      <c r="F205" s="442" t="s">
        <v>48</v>
      </c>
      <c r="G205" s="442" t="s">
        <v>35</v>
      </c>
      <c r="H205" s="442" t="s">
        <v>49</v>
      </c>
      <c r="I205" s="442" t="s">
        <v>38</v>
      </c>
      <c r="J205" s="443">
        <v>13382.0</v>
      </c>
      <c r="K205" s="444" t="s">
        <v>18148</v>
      </c>
    </row>
    <row r="206">
      <c r="A206" s="437">
        <v>45848.55709490741</v>
      </c>
      <c r="B206" s="438" t="s">
        <v>17474</v>
      </c>
      <c r="C206" s="438" t="s">
        <v>16682</v>
      </c>
      <c r="D206" s="438" t="s">
        <v>3395</v>
      </c>
      <c r="E206" s="438" t="s">
        <v>17475</v>
      </c>
      <c r="F206" s="438" t="s">
        <v>48</v>
      </c>
      <c r="G206" s="438" t="s">
        <v>35</v>
      </c>
      <c r="H206" s="438" t="s">
        <v>49</v>
      </c>
      <c r="I206" s="438" t="s">
        <v>38</v>
      </c>
      <c r="J206" s="439">
        <v>13382.0</v>
      </c>
      <c r="K206" s="440" t="s">
        <v>18148</v>
      </c>
    </row>
    <row r="207">
      <c r="A207" s="441">
        <v>45848.557118055556</v>
      </c>
      <c r="B207" s="442">
        <v>17895.0</v>
      </c>
      <c r="C207" s="442" t="s">
        <v>4352</v>
      </c>
      <c r="D207" s="442" t="s">
        <v>85</v>
      </c>
      <c r="E207" s="442" t="s">
        <v>17441</v>
      </c>
      <c r="F207" s="442" t="s">
        <v>48</v>
      </c>
      <c r="G207" s="442" t="s">
        <v>35</v>
      </c>
      <c r="H207" s="442" t="s">
        <v>49</v>
      </c>
      <c r="I207" s="442" t="s">
        <v>38</v>
      </c>
      <c r="J207" s="443">
        <v>13380.0</v>
      </c>
      <c r="K207" s="444" t="s">
        <v>18148</v>
      </c>
    </row>
    <row r="208">
      <c r="A208" s="437">
        <v>45848.5571412037</v>
      </c>
      <c r="B208" s="438">
        <v>17896.0</v>
      </c>
      <c r="C208" s="438" t="s">
        <v>4352</v>
      </c>
      <c r="D208" s="438" t="s">
        <v>47</v>
      </c>
      <c r="E208" s="438" t="s">
        <v>17446</v>
      </c>
      <c r="F208" s="438" t="s">
        <v>48</v>
      </c>
      <c r="G208" s="438" t="s">
        <v>35</v>
      </c>
      <c r="H208" s="438" t="s">
        <v>49</v>
      </c>
      <c r="I208" s="438" t="s">
        <v>38</v>
      </c>
      <c r="J208" s="439">
        <v>13381.0</v>
      </c>
      <c r="K208" s="440" t="s">
        <v>18148</v>
      </c>
    </row>
    <row r="209">
      <c r="A209" s="441">
        <v>45849.33789351852</v>
      </c>
      <c r="B209" s="442">
        <v>17881.0</v>
      </c>
      <c r="C209" s="442" t="s">
        <v>17337</v>
      </c>
      <c r="D209" s="442" t="s">
        <v>72</v>
      </c>
      <c r="E209" s="442" t="s">
        <v>17338</v>
      </c>
      <c r="F209" s="442" t="s">
        <v>48</v>
      </c>
      <c r="G209" s="442" t="s">
        <v>35</v>
      </c>
      <c r="H209" s="442" t="s">
        <v>92</v>
      </c>
      <c r="I209" s="442" t="s">
        <v>38</v>
      </c>
      <c r="J209" s="443">
        <v>13379.0</v>
      </c>
      <c r="K209" s="444" t="s">
        <v>18148</v>
      </c>
    </row>
    <row r="210">
      <c r="A210" s="437">
        <v>45849.33961805556</v>
      </c>
      <c r="B210" s="438">
        <v>17881.0</v>
      </c>
      <c r="C210" s="438" t="s">
        <v>17337</v>
      </c>
      <c r="D210" s="438" t="s">
        <v>72</v>
      </c>
      <c r="E210" s="438" t="s">
        <v>17338</v>
      </c>
      <c r="F210" s="438" t="s">
        <v>48</v>
      </c>
      <c r="G210" s="438" t="s">
        <v>35</v>
      </c>
      <c r="H210" s="438" t="s">
        <v>92</v>
      </c>
      <c r="I210" s="438" t="s">
        <v>38</v>
      </c>
      <c r="J210" s="439">
        <v>13379.0</v>
      </c>
      <c r="K210" s="440" t="s">
        <v>18148</v>
      </c>
    </row>
    <row r="211">
      <c r="A211" s="441">
        <v>45849.340775462966</v>
      </c>
      <c r="B211" s="442">
        <v>17881.0</v>
      </c>
      <c r="C211" s="442" t="s">
        <v>17337</v>
      </c>
      <c r="D211" s="442" t="s">
        <v>72</v>
      </c>
      <c r="E211" s="442" t="s">
        <v>17338</v>
      </c>
      <c r="F211" s="442" t="s">
        <v>48</v>
      </c>
      <c r="G211" s="442" t="s">
        <v>35</v>
      </c>
      <c r="H211" s="442" t="s">
        <v>92</v>
      </c>
      <c r="I211" s="442" t="s">
        <v>38</v>
      </c>
      <c r="J211" s="443">
        <v>13379.0</v>
      </c>
      <c r="K211" s="444" t="s">
        <v>18148</v>
      </c>
    </row>
    <row r="212">
      <c r="A212" s="437">
        <v>45849.350266203706</v>
      </c>
      <c r="B212" s="438">
        <v>17904.0</v>
      </c>
      <c r="C212" s="438" t="s">
        <v>17484</v>
      </c>
      <c r="D212" s="438" t="s">
        <v>3441</v>
      </c>
      <c r="E212" s="438" t="s">
        <v>17485</v>
      </c>
      <c r="F212" s="438" t="s">
        <v>48</v>
      </c>
      <c r="G212" s="438" t="s">
        <v>35</v>
      </c>
      <c r="H212" s="438" t="s">
        <v>92</v>
      </c>
      <c r="I212" s="438" t="s">
        <v>38</v>
      </c>
      <c r="J212" s="439">
        <v>13384.0</v>
      </c>
      <c r="K212" s="440" t="s">
        <v>18148</v>
      </c>
    </row>
    <row r="213">
      <c r="A213" s="441">
        <v>45849.44849537037</v>
      </c>
      <c r="B213" s="442">
        <v>17833.0</v>
      </c>
      <c r="C213" s="442" t="s">
        <v>96</v>
      </c>
      <c r="D213" s="442" t="s">
        <v>17089</v>
      </c>
      <c r="E213" s="442">
        <v>20113.0</v>
      </c>
      <c r="F213" s="442" t="s">
        <v>48</v>
      </c>
      <c r="G213" s="442" t="s">
        <v>35</v>
      </c>
      <c r="H213" s="442" t="s">
        <v>49</v>
      </c>
      <c r="I213" s="442" t="s">
        <v>38</v>
      </c>
      <c r="J213" s="443">
        <v>13390.0</v>
      </c>
      <c r="K213" s="444" t="s">
        <v>18148</v>
      </c>
    </row>
    <row r="214">
      <c r="A214" s="437">
        <v>45849.44851851852</v>
      </c>
      <c r="B214" s="438" t="s">
        <v>17464</v>
      </c>
      <c r="C214" s="438" t="s">
        <v>17465</v>
      </c>
      <c r="D214" s="438" t="s">
        <v>3395</v>
      </c>
      <c r="E214" s="438" t="s">
        <v>17466</v>
      </c>
      <c r="F214" s="438" t="s">
        <v>48</v>
      </c>
      <c r="G214" s="438" t="s">
        <v>35</v>
      </c>
      <c r="H214" s="438" t="s">
        <v>65</v>
      </c>
      <c r="I214" s="438" t="s">
        <v>38</v>
      </c>
      <c r="J214" s="439">
        <v>13386.0</v>
      </c>
      <c r="K214" s="440" t="s">
        <v>18148</v>
      </c>
    </row>
    <row r="215">
      <c r="A215" s="441">
        <v>45849.448530092595</v>
      </c>
      <c r="B215" s="442">
        <v>17907.0</v>
      </c>
      <c r="C215" s="442" t="s">
        <v>17502</v>
      </c>
      <c r="D215" s="442" t="s">
        <v>3395</v>
      </c>
      <c r="E215" s="442" t="s">
        <v>17503</v>
      </c>
      <c r="F215" s="442" t="s">
        <v>48</v>
      </c>
      <c r="G215" s="442" t="s">
        <v>35</v>
      </c>
      <c r="H215" s="442" t="s">
        <v>65</v>
      </c>
      <c r="I215" s="442" t="s">
        <v>38</v>
      </c>
      <c r="J215" s="443">
        <v>13387.0</v>
      </c>
      <c r="K215" s="444" t="s">
        <v>18148</v>
      </c>
    </row>
    <row r="216">
      <c r="A216" s="437">
        <v>45849.44856481482</v>
      </c>
      <c r="B216" s="438" t="s">
        <v>17532</v>
      </c>
      <c r="C216" s="438" t="s">
        <v>8743</v>
      </c>
      <c r="D216" s="438" t="s">
        <v>3441</v>
      </c>
      <c r="E216" s="438" t="s">
        <v>17533</v>
      </c>
      <c r="F216" s="438" t="s">
        <v>48</v>
      </c>
      <c r="G216" s="438" t="s">
        <v>35</v>
      </c>
      <c r="H216" s="438" t="s">
        <v>65</v>
      </c>
      <c r="I216" s="438" t="s">
        <v>38</v>
      </c>
      <c r="J216" s="439">
        <v>13388.0</v>
      </c>
      <c r="K216" s="440" t="s">
        <v>18148</v>
      </c>
    </row>
    <row r="217">
      <c r="A217" s="441">
        <v>45849.448587962965</v>
      </c>
      <c r="B217" s="442" t="s">
        <v>17528</v>
      </c>
      <c r="C217" s="442" t="s">
        <v>8743</v>
      </c>
      <c r="D217" s="442" t="s">
        <v>3441</v>
      </c>
      <c r="E217" s="442" t="s">
        <v>17529</v>
      </c>
      <c r="F217" s="442" t="s">
        <v>48</v>
      </c>
      <c r="G217" s="442" t="s">
        <v>35</v>
      </c>
      <c r="H217" s="442" t="s">
        <v>65</v>
      </c>
      <c r="I217" s="442" t="s">
        <v>38</v>
      </c>
      <c r="J217" s="443">
        <v>13388.0</v>
      </c>
      <c r="K217" s="444" t="s">
        <v>18148</v>
      </c>
    </row>
    <row r="218">
      <c r="A218" s="437">
        <v>45849.448599537034</v>
      </c>
      <c r="B218" s="438" t="s">
        <v>17470</v>
      </c>
      <c r="C218" s="438" t="s">
        <v>17465</v>
      </c>
      <c r="D218" s="438" t="s">
        <v>47</v>
      </c>
      <c r="E218" s="438" t="s">
        <v>17471</v>
      </c>
      <c r="F218" s="438" t="s">
        <v>48</v>
      </c>
      <c r="G218" s="438" t="s">
        <v>35</v>
      </c>
      <c r="H218" s="438" t="s">
        <v>65</v>
      </c>
      <c r="I218" s="438" t="s">
        <v>38</v>
      </c>
      <c r="J218" s="439">
        <v>13386.0</v>
      </c>
      <c r="K218" s="440" t="s">
        <v>18148</v>
      </c>
    </row>
    <row r="219">
      <c r="A219" s="441">
        <v>45849.44861111111</v>
      </c>
      <c r="B219" s="442" t="s">
        <v>17512</v>
      </c>
      <c r="C219" s="442" t="s">
        <v>17507</v>
      </c>
      <c r="D219" s="442" t="s">
        <v>85</v>
      </c>
      <c r="E219" s="442" t="s">
        <v>17513</v>
      </c>
      <c r="F219" s="442" t="s">
        <v>48</v>
      </c>
      <c r="G219" s="442" t="s">
        <v>35</v>
      </c>
      <c r="H219" s="442" t="s">
        <v>65</v>
      </c>
      <c r="I219" s="442" t="s">
        <v>38</v>
      </c>
      <c r="J219" s="443">
        <v>13391.0</v>
      </c>
      <c r="K219" s="444" t="s">
        <v>18148</v>
      </c>
    </row>
    <row r="220">
      <c r="A220" s="437">
        <v>45849.44862268519</v>
      </c>
      <c r="B220" s="438" t="s">
        <v>17506</v>
      </c>
      <c r="C220" s="438" t="s">
        <v>17507</v>
      </c>
      <c r="D220" s="438" t="s">
        <v>85</v>
      </c>
      <c r="E220" s="438" t="s">
        <v>17508</v>
      </c>
      <c r="F220" s="438" t="s">
        <v>48</v>
      </c>
      <c r="G220" s="438" t="s">
        <v>35</v>
      </c>
      <c r="H220" s="438" t="s">
        <v>65</v>
      </c>
      <c r="I220" s="438" t="s">
        <v>38</v>
      </c>
      <c r="J220" s="439">
        <v>13391.0</v>
      </c>
      <c r="K220" s="440" t="s">
        <v>18148</v>
      </c>
    </row>
    <row r="221">
      <c r="A221" s="441">
        <v>45849.448912037034</v>
      </c>
      <c r="B221" s="442">
        <v>17834.0</v>
      </c>
      <c r="C221" s="442" t="s">
        <v>96</v>
      </c>
      <c r="D221" s="442" t="s">
        <v>11957</v>
      </c>
      <c r="E221" s="442">
        <v>20112.0</v>
      </c>
      <c r="F221" s="442" t="s">
        <v>48</v>
      </c>
      <c r="G221" s="442" t="s">
        <v>35</v>
      </c>
      <c r="H221" s="442" t="s">
        <v>49</v>
      </c>
      <c r="I221" s="442" t="s">
        <v>38</v>
      </c>
      <c r="J221" s="443">
        <v>13385.0</v>
      </c>
      <c r="K221" s="444" t="s">
        <v>18148</v>
      </c>
    </row>
    <row r="222">
      <c r="A222" s="437">
        <v>45849.61630787037</v>
      </c>
      <c r="B222" s="438">
        <v>17921.0</v>
      </c>
      <c r="C222" s="438" t="s">
        <v>14663</v>
      </c>
      <c r="D222" s="438" t="s">
        <v>85</v>
      </c>
      <c r="E222" s="438" t="s">
        <v>17579</v>
      </c>
      <c r="F222" s="438" t="s">
        <v>48</v>
      </c>
      <c r="G222" s="438" t="s">
        <v>35</v>
      </c>
      <c r="H222" s="438" t="s">
        <v>65</v>
      </c>
      <c r="I222" s="438" t="s">
        <v>38</v>
      </c>
      <c r="J222" s="439">
        <v>13395.0</v>
      </c>
      <c r="K222" s="440" t="s">
        <v>18148</v>
      </c>
    </row>
    <row r="223">
      <c r="A223" s="441">
        <v>45849.61699074074</v>
      </c>
      <c r="B223" s="442">
        <v>17921.0</v>
      </c>
      <c r="C223" s="442" t="s">
        <v>14663</v>
      </c>
      <c r="D223" s="442" t="s">
        <v>85</v>
      </c>
      <c r="E223" s="442" t="s">
        <v>17579</v>
      </c>
      <c r="F223" s="442" t="s">
        <v>48</v>
      </c>
      <c r="G223" s="442" t="s">
        <v>35</v>
      </c>
      <c r="H223" s="442" t="s">
        <v>65</v>
      </c>
      <c r="I223" s="442" t="s">
        <v>38</v>
      </c>
      <c r="J223" s="443">
        <v>13395.0</v>
      </c>
      <c r="K223" s="444" t="s">
        <v>18148</v>
      </c>
    </row>
    <row r="224">
      <c r="A224" s="437">
        <v>45849.64481481481</v>
      </c>
      <c r="B224" s="438">
        <v>17910.0</v>
      </c>
      <c r="C224" s="438" t="s">
        <v>17523</v>
      </c>
      <c r="D224" s="438" t="s">
        <v>3395</v>
      </c>
      <c r="E224" s="438" t="s">
        <v>17524</v>
      </c>
      <c r="F224" s="438" t="s">
        <v>48</v>
      </c>
      <c r="G224" s="438" t="s">
        <v>35</v>
      </c>
      <c r="H224" s="438" t="s">
        <v>65</v>
      </c>
      <c r="I224" s="438" t="s">
        <v>38</v>
      </c>
      <c r="J224" s="439">
        <v>13393.0</v>
      </c>
      <c r="K224" s="440" t="s">
        <v>18148</v>
      </c>
    </row>
    <row r="225">
      <c r="A225" s="441">
        <v>45849.645208333335</v>
      </c>
      <c r="B225" s="442">
        <v>17909.0</v>
      </c>
      <c r="C225" s="442" t="s">
        <v>17517</v>
      </c>
      <c r="D225" s="442" t="s">
        <v>3441</v>
      </c>
      <c r="E225" s="442" t="s">
        <v>17518</v>
      </c>
      <c r="F225" s="442" t="s">
        <v>48</v>
      </c>
      <c r="G225" s="442" t="s">
        <v>35</v>
      </c>
      <c r="H225" s="442" t="s">
        <v>65</v>
      </c>
      <c r="I225" s="442" t="s">
        <v>38</v>
      </c>
      <c r="J225" s="443">
        <v>13392.0</v>
      </c>
      <c r="K225" s="444" t="s">
        <v>18148</v>
      </c>
    </row>
    <row r="226">
      <c r="A226" s="437">
        <v>45852.35556712963</v>
      </c>
      <c r="B226" s="438" t="s">
        <v>17583</v>
      </c>
      <c r="C226" s="438" t="s">
        <v>3888</v>
      </c>
      <c r="D226" s="438" t="s">
        <v>3441</v>
      </c>
      <c r="E226" s="438" t="s">
        <v>17584</v>
      </c>
      <c r="F226" s="438" t="s">
        <v>48</v>
      </c>
      <c r="G226" s="438" t="s">
        <v>35</v>
      </c>
      <c r="H226" s="438" t="s">
        <v>49</v>
      </c>
      <c r="I226" s="438" t="s">
        <v>2978</v>
      </c>
      <c r="J226" s="439">
        <v>13396.0</v>
      </c>
      <c r="K226" s="440" t="s">
        <v>18148</v>
      </c>
    </row>
    <row r="227">
      <c r="A227" s="441">
        <v>45852.355775462966</v>
      </c>
      <c r="B227" s="442" t="s">
        <v>17588</v>
      </c>
      <c r="C227" s="442" t="s">
        <v>3888</v>
      </c>
      <c r="D227" s="442" t="s">
        <v>3441</v>
      </c>
      <c r="E227" s="442" t="s">
        <v>17589</v>
      </c>
      <c r="F227" s="442" t="s">
        <v>48</v>
      </c>
      <c r="G227" s="442" t="s">
        <v>35</v>
      </c>
      <c r="H227" s="442" t="s">
        <v>49</v>
      </c>
      <c r="I227" s="442" t="s">
        <v>2978</v>
      </c>
      <c r="J227" s="443">
        <v>13396.0</v>
      </c>
      <c r="K227" s="444" t="s">
        <v>18148</v>
      </c>
    </row>
    <row r="228">
      <c r="A228" s="437">
        <v>45852.405856481484</v>
      </c>
      <c r="B228" s="438">
        <v>17886.0</v>
      </c>
      <c r="C228" s="438" t="s">
        <v>7945</v>
      </c>
      <c r="D228" s="438" t="s">
        <v>3395</v>
      </c>
      <c r="E228" s="438" t="s">
        <v>17368</v>
      </c>
      <c r="F228" s="438" t="s">
        <v>48</v>
      </c>
      <c r="G228" s="438" t="s">
        <v>35</v>
      </c>
      <c r="H228" s="438" t="s">
        <v>49</v>
      </c>
      <c r="I228" s="438" t="s">
        <v>447</v>
      </c>
      <c r="J228" s="439">
        <v>13397.0</v>
      </c>
      <c r="K228" s="440" t="s">
        <v>18148</v>
      </c>
    </row>
    <row r="229">
      <c r="A229" s="441">
        <v>45852.571747685186</v>
      </c>
      <c r="B229" s="442">
        <v>17346.0</v>
      </c>
      <c r="C229" s="442" t="s">
        <v>4215</v>
      </c>
      <c r="D229" s="442" t="s">
        <v>301</v>
      </c>
      <c r="E229" s="442">
        <v>20140.0</v>
      </c>
      <c r="F229" s="442" t="s">
        <v>33</v>
      </c>
      <c r="G229" s="442" t="s">
        <v>34</v>
      </c>
      <c r="H229" s="442" t="s">
        <v>420</v>
      </c>
      <c r="I229" s="442" t="s">
        <v>38</v>
      </c>
      <c r="J229" s="443">
        <v>13399.0</v>
      </c>
      <c r="K229" s="444" t="s">
        <v>18148</v>
      </c>
    </row>
    <row r="230">
      <c r="A230" s="437">
        <v>45852.61739583333</v>
      </c>
      <c r="B230" s="438">
        <v>17914.0</v>
      </c>
      <c r="C230" s="438" t="s">
        <v>3289</v>
      </c>
      <c r="D230" s="438" t="s">
        <v>2167</v>
      </c>
      <c r="E230" s="438">
        <v>20142.0</v>
      </c>
      <c r="F230" s="438" t="s">
        <v>33</v>
      </c>
      <c r="G230" s="438" t="s">
        <v>35</v>
      </c>
      <c r="H230" s="438" t="s">
        <v>92</v>
      </c>
      <c r="I230" s="438" t="s">
        <v>38</v>
      </c>
      <c r="J230" s="439">
        <v>13401.0</v>
      </c>
      <c r="K230" s="440" t="s">
        <v>18148</v>
      </c>
    </row>
    <row r="231">
      <c r="A231" s="441">
        <v>45852.699953703705</v>
      </c>
      <c r="B231" s="442" t="s">
        <v>17570</v>
      </c>
      <c r="C231" s="442" t="s">
        <v>4313</v>
      </c>
      <c r="D231" s="442" t="s">
        <v>72</v>
      </c>
      <c r="E231" s="442" t="s">
        <v>17571</v>
      </c>
      <c r="F231" s="442" t="s">
        <v>48</v>
      </c>
      <c r="G231" s="442" t="s">
        <v>35</v>
      </c>
      <c r="H231" s="442" t="s">
        <v>92</v>
      </c>
      <c r="I231" s="442" t="s">
        <v>38</v>
      </c>
      <c r="J231" s="443">
        <v>13404.0</v>
      </c>
      <c r="K231" s="444" t="s">
        <v>18148</v>
      </c>
    </row>
    <row r="232">
      <c r="A232" s="437">
        <v>45852.699953703705</v>
      </c>
      <c r="B232" s="438">
        <v>17918.0</v>
      </c>
      <c r="C232" s="438" t="s">
        <v>4313</v>
      </c>
      <c r="D232" s="438" t="s">
        <v>91</v>
      </c>
      <c r="E232" s="438" t="s">
        <v>17561</v>
      </c>
      <c r="F232" s="438" t="s">
        <v>48</v>
      </c>
      <c r="G232" s="438" t="s">
        <v>35</v>
      </c>
      <c r="H232" s="438" t="s">
        <v>92</v>
      </c>
      <c r="I232" s="438" t="s">
        <v>38</v>
      </c>
      <c r="J232" s="439">
        <v>13403.0</v>
      </c>
      <c r="K232" s="440" t="s">
        <v>18148</v>
      </c>
    </row>
    <row r="233">
      <c r="A233" s="441">
        <v>45852.69996527778</v>
      </c>
      <c r="B233" s="442" t="s">
        <v>17565</v>
      </c>
      <c r="C233" s="442" t="s">
        <v>4313</v>
      </c>
      <c r="D233" s="442" t="s">
        <v>72</v>
      </c>
      <c r="E233" s="442" t="s">
        <v>17566</v>
      </c>
      <c r="F233" s="442" t="s">
        <v>48</v>
      </c>
      <c r="G233" s="442" t="s">
        <v>35</v>
      </c>
      <c r="H233" s="442" t="s">
        <v>92</v>
      </c>
      <c r="I233" s="442" t="s">
        <v>38</v>
      </c>
      <c r="J233" s="443">
        <v>13404.0</v>
      </c>
      <c r="K233" s="444" t="s">
        <v>18148</v>
      </c>
    </row>
    <row r="234">
      <c r="A234" s="437">
        <v>45852.717256944445</v>
      </c>
      <c r="B234" s="438">
        <v>17925.0</v>
      </c>
      <c r="C234" s="438" t="s">
        <v>4941</v>
      </c>
      <c r="D234" s="438" t="s">
        <v>91</v>
      </c>
      <c r="E234" s="438" t="s">
        <v>17597</v>
      </c>
      <c r="F234" s="438" t="s">
        <v>48</v>
      </c>
      <c r="G234" s="438" t="s">
        <v>35</v>
      </c>
      <c r="H234" s="438" t="s">
        <v>92</v>
      </c>
      <c r="I234" s="438" t="s">
        <v>38</v>
      </c>
      <c r="J234" s="439"/>
      <c r="K234" s="440" t="s">
        <v>18148</v>
      </c>
    </row>
    <row r="235">
      <c r="A235" s="441">
        <v>45852.71771990741</v>
      </c>
      <c r="B235" s="442">
        <v>17925.0</v>
      </c>
      <c r="C235" s="442" t="s">
        <v>4941</v>
      </c>
      <c r="D235" s="442" t="s">
        <v>91</v>
      </c>
      <c r="E235" s="442" t="s">
        <v>17597</v>
      </c>
      <c r="F235" s="442" t="s">
        <v>48</v>
      </c>
      <c r="G235" s="442" t="s">
        <v>35</v>
      </c>
      <c r="H235" s="442" t="s">
        <v>92</v>
      </c>
      <c r="I235" s="442" t="s">
        <v>38</v>
      </c>
      <c r="J235" s="443"/>
      <c r="K235" s="444" t="s">
        <v>18148</v>
      </c>
    </row>
    <row r="236">
      <c r="A236" s="437">
        <v>45852.71797453704</v>
      </c>
      <c r="B236" s="438">
        <v>17925.0</v>
      </c>
      <c r="C236" s="438" t="s">
        <v>4941</v>
      </c>
      <c r="D236" s="438" t="s">
        <v>91</v>
      </c>
      <c r="E236" s="438" t="s">
        <v>17597</v>
      </c>
      <c r="F236" s="438" t="s">
        <v>48</v>
      </c>
      <c r="G236" s="438" t="s">
        <v>35</v>
      </c>
      <c r="H236" s="438" t="s">
        <v>92</v>
      </c>
      <c r="I236" s="438" t="s">
        <v>38</v>
      </c>
      <c r="J236" s="439">
        <v>13405.0</v>
      </c>
      <c r="K236" s="440" t="s">
        <v>18148</v>
      </c>
    </row>
    <row r="237">
      <c r="A237" s="441">
        <v>45852.71810185185</v>
      </c>
      <c r="B237" s="442">
        <v>17925.0</v>
      </c>
      <c r="C237" s="442" t="s">
        <v>4941</v>
      </c>
      <c r="D237" s="442" t="s">
        <v>91</v>
      </c>
      <c r="E237" s="442" t="s">
        <v>17597</v>
      </c>
      <c r="F237" s="442" t="s">
        <v>48</v>
      </c>
      <c r="G237" s="442" t="s">
        <v>35</v>
      </c>
      <c r="H237" s="442" t="s">
        <v>92</v>
      </c>
      <c r="I237" s="442" t="s">
        <v>38</v>
      </c>
      <c r="J237" s="443">
        <v>13405.0</v>
      </c>
      <c r="K237" s="444" t="s">
        <v>18148</v>
      </c>
    </row>
    <row r="238">
      <c r="A238" s="437">
        <v>45853.453148148146</v>
      </c>
      <c r="B238" s="438" t="s">
        <v>17132</v>
      </c>
      <c r="C238" s="438" t="s">
        <v>17124</v>
      </c>
      <c r="D238" s="438" t="s">
        <v>12405</v>
      </c>
      <c r="E238" s="438">
        <v>20130.0</v>
      </c>
      <c r="F238" s="438" t="s">
        <v>48</v>
      </c>
      <c r="G238" s="438" t="s">
        <v>35</v>
      </c>
      <c r="H238" s="438" t="s">
        <v>49</v>
      </c>
      <c r="I238" s="438" t="s">
        <v>38</v>
      </c>
      <c r="J238" s="439">
        <v>13406.0</v>
      </c>
      <c r="K238" s="440" t="s">
        <v>18148</v>
      </c>
    </row>
    <row r="239">
      <c r="A239" s="441">
        <v>45853.45318287037</v>
      </c>
      <c r="B239" s="442" t="s">
        <v>17128</v>
      </c>
      <c r="C239" s="442" t="s">
        <v>17124</v>
      </c>
      <c r="D239" s="442" t="s">
        <v>12405</v>
      </c>
      <c r="E239" s="442">
        <v>20129.0</v>
      </c>
      <c r="F239" s="442" t="s">
        <v>48</v>
      </c>
      <c r="G239" s="442" t="s">
        <v>35</v>
      </c>
      <c r="H239" s="442" t="s">
        <v>49</v>
      </c>
      <c r="I239" s="442" t="s">
        <v>38</v>
      </c>
      <c r="J239" s="443">
        <v>13406.0</v>
      </c>
      <c r="K239" s="444" t="s">
        <v>18148</v>
      </c>
    </row>
    <row r="240">
      <c r="A240" s="437">
        <v>45853.453194444446</v>
      </c>
      <c r="B240" s="438" t="s">
        <v>17601</v>
      </c>
      <c r="C240" s="438" t="s">
        <v>14771</v>
      </c>
      <c r="D240" s="438" t="s">
        <v>3441</v>
      </c>
      <c r="E240" s="438" t="s">
        <v>17602</v>
      </c>
      <c r="F240" s="438" t="s">
        <v>48</v>
      </c>
      <c r="G240" s="438" t="s">
        <v>35</v>
      </c>
      <c r="H240" s="438" t="s">
        <v>49</v>
      </c>
      <c r="I240" s="438" t="s">
        <v>447</v>
      </c>
      <c r="J240" s="439">
        <v>13408.0</v>
      </c>
      <c r="K240" s="440" t="s">
        <v>18148</v>
      </c>
    </row>
    <row r="241">
      <c r="A241" s="441">
        <v>45853.45327546296</v>
      </c>
      <c r="B241" s="442">
        <v>17923.0</v>
      </c>
      <c r="C241" s="442" t="s">
        <v>11288</v>
      </c>
      <c r="D241" s="442" t="s">
        <v>91</v>
      </c>
      <c r="E241" s="442" t="s">
        <v>17593</v>
      </c>
      <c r="F241" s="442" t="s">
        <v>48</v>
      </c>
      <c r="G241" s="442" t="s">
        <v>35</v>
      </c>
      <c r="H241" s="442" t="s">
        <v>49</v>
      </c>
      <c r="I241" s="442" t="s">
        <v>38</v>
      </c>
      <c r="J241" s="443">
        <v>13407.0</v>
      </c>
      <c r="K241" s="444" t="s">
        <v>18148</v>
      </c>
    </row>
    <row r="242">
      <c r="A242" s="437">
        <v>45853.45332175926</v>
      </c>
      <c r="B242" s="438" t="s">
        <v>17606</v>
      </c>
      <c r="C242" s="438" t="s">
        <v>14771</v>
      </c>
      <c r="D242" s="438" t="s">
        <v>72</v>
      </c>
      <c r="E242" s="438" t="s">
        <v>17607</v>
      </c>
      <c r="F242" s="438" t="s">
        <v>48</v>
      </c>
      <c r="G242" s="438" t="s">
        <v>35</v>
      </c>
      <c r="H242" s="438" t="s">
        <v>49</v>
      </c>
      <c r="I242" s="438" t="s">
        <v>447</v>
      </c>
      <c r="J242" s="439">
        <v>13408.0</v>
      </c>
      <c r="K242" s="440" t="s">
        <v>18148</v>
      </c>
    </row>
    <row r="243">
      <c r="A243" s="441">
        <v>45853.45454861111</v>
      </c>
      <c r="B243" s="442" t="s">
        <v>17132</v>
      </c>
      <c r="C243" s="442" t="s">
        <v>17124</v>
      </c>
      <c r="D243" s="442" t="s">
        <v>12405</v>
      </c>
      <c r="E243" s="442">
        <v>20130.0</v>
      </c>
      <c r="F243" s="442" t="s">
        <v>48</v>
      </c>
      <c r="G243" s="442" t="s">
        <v>35</v>
      </c>
      <c r="H243" s="442" t="s">
        <v>49</v>
      </c>
      <c r="I243" s="442" t="s">
        <v>38</v>
      </c>
      <c r="J243" s="443">
        <v>13406.0</v>
      </c>
      <c r="K243" s="444" t="s">
        <v>18148</v>
      </c>
    </row>
    <row r="244">
      <c r="A244" s="437">
        <v>45853.45458333333</v>
      </c>
      <c r="B244" s="438" t="s">
        <v>17123</v>
      </c>
      <c r="C244" s="438" t="s">
        <v>17124</v>
      </c>
      <c r="D244" s="438" t="s">
        <v>12405</v>
      </c>
      <c r="E244" s="438">
        <v>20128.0</v>
      </c>
      <c r="F244" s="438" t="s">
        <v>48</v>
      </c>
      <c r="G244" s="438" t="s">
        <v>35</v>
      </c>
      <c r="H244" s="438" t="s">
        <v>49</v>
      </c>
      <c r="I244" s="438" t="s">
        <v>38</v>
      </c>
      <c r="J244" s="439">
        <v>13406.0</v>
      </c>
      <c r="K244" s="440" t="s">
        <v>18148</v>
      </c>
    </row>
    <row r="245">
      <c r="A245" s="441">
        <v>45853.45459490741</v>
      </c>
      <c r="B245" s="442" t="s">
        <v>17128</v>
      </c>
      <c r="C245" s="442" t="s">
        <v>17124</v>
      </c>
      <c r="D245" s="442" t="s">
        <v>12405</v>
      </c>
      <c r="E245" s="442">
        <v>20129.0</v>
      </c>
      <c r="F245" s="442" t="s">
        <v>48</v>
      </c>
      <c r="G245" s="442" t="s">
        <v>35</v>
      </c>
      <c r="H245" s="442" t="s">
        <v>49</v>
      </c>
      <c r="I245" s="442" t="s">
        <v>38</v>
      </c>
      <c r="J245" s="443">
        <v>13406.0</v>
      </c>
      <c r="K245" s="444" t="s">
        <v>18148</v>
      </c>
    </row>
    <row r="246">
      <c r="A246" s="437">
        <v>45853.4546412037</v>
      </c>
      <c r="B246" s="438" t="s">
        <v>17601</v>
      </c>
      <c r="C246" s="438" t="s">
        <v>14771</v>
      </c>
      <c r="D246" s="438" t="s">
        <v>3441</v>
      </c>
      <c r="E246" s="438" t="s">
        <v>17602</v>
      </c>
      <c r="F246" s="438" t="s">
        <v>48</v>
      </c>
      <c r="G246" s="438" t="s">
        <v>35</v>
      </c>
      <c r="H246" s="438" t="s">
        <v>49</v>
      </c>
      <c r="I246" s="438" t="s">
        <v>447</v>
      </c>
      <c r="J246" s="439">
        <v>13408.0</v>
      </c>
      <c r="K246" s="440" t="s">
        <v>18148</v>
      </c>
    </row>
    <row r="247">
      <c r="A247" s="441">
        <v>45853.454675925925</v>
      </c>
      <c r="B247" s="442">
        <v>17923.0</v>
      </c>
      <c r="C247" s="442" t="s">
        <v>11288</v>
      </c>
      <c r="D247" s="442" t="s">
        <v>91</v>
      </c>
      <c r="E247" s="442" t="s">
        <v>17593</v>
      </c>
      <c r="F247" s="442" t="s">
        <v>48</v>
      </c>
      <c r="G247" s="442" t="s">
        <v>35</v>
      </c>
      <c r="H247" s="442" t="s">
        <v>49</v>
      </c>
      <c r="I247" s="442" t="s">
        <v>38</v>
      </c>
      <c r="J247" s="443">
        <v>13407.0</v>
      </c>
      <c r="K247" s="444" t="s">
        <v>18148</v>
      </c>
    </row>
    <row r="248">
      <c r="A248" s="437">
        <v>45853.454675925925</v>
      </c>
      <c r="B248" s="438" t="s">
        <v>17606</v>
      </c>
      <c r="C248" s="438" t="s">
        <v>14771</v>
      </c>
      <c r="D248" s="438" t="s">
        <v>72</v>
      </c>
      <c r="E248" s="438" t="s">
        <v>17607</v>
      </c>
      <c r="F248" s="438" t="s">
        <v>48</v>
      </c>
      <c r="G248" s="438" t="s">
        <v>35</v>
      </c>
      <c r="H248" s="438" t="s">
        <v>49</v>
      </c>
      <c r="I248" s="438" t="s">
        <v>447</v>
      </c>
      <c r="J248" s="439">
        <v>13408.0</v>
      </c>
      <c r="K248" s="440" t="s">
        <v>18148</v>
      </c>
    </row>
    <row r="249">
      <c r="A249" s="441">
        <v>45853.54523148148</v>
      </c>
      <c r="B249" s="442">
        <v>17927.0</v>
      </c>
      <c r="C249" s="442" t="s">
        <v>3709</v>
      </c>
      <c r="D249" s="442" t="s">
        <v>713</v>
      </c>
      <c r="E249" s="442">
        <v>20071.0</v>
      </c>
      <c r="F249" s="442" t="s">
        <v>33</v>
      </c>
      <c r="G249" s="442" t="s">
        <v>35</v>
      </c>
      <c r="H249" s="442" t="s">
        <v>92</v>
      </c>
      <c r="I249" s="442" t="s">
        <v>38</v>
      </c>
      <c r="J249" s="443">
        <v>13411.0</v>
      </c>
      <c r="K249" s="444" t="s">
        <v>18148</v>
      </c>
    </row>
    <row r="250">
      <c r="A250" s="437">
        <v>45853.5453587963</v>
      </c>
      <c r="B250" s="438">
        <v>17927.0</v>
      </c>
      <c r="C250" s="438" t="s">
        <v>3709</v>
      </c>
      <c r="D250" s="438" t="s">
        <v>713</v>
      </c>
      <c r="E250" s="438">
        <v>20071.0</v>
      </c>
      <c r="F250" s="438" t="s">
        <v>33</v>
      </c>
      <c r="G250" s="438" t="s">
        <v>35</v>
      </c>
      <c r="H250" s="438" t="s">
        <v>92</v>
      </c>
      <c r="I250" s="438" t="s">
        <v>38</v>
      </c>
      <c r="J250" s="439">
        <v>13411.0</v>
      </c>
      <c r="K250" s="440" t="s">
        <v>18148</v>
      </c>
    </row>
    <row r="251">
      <c r="A251" s="441">
        <v>45853.546423611115</v>
      </c>
      <c r="B251" s="442">
        <v>17931.0</v>
      </c>
      <c r="C251" s="442" t="s">
        <v>17625</v>
      </c>
      <c r="D251" s="442" t="s">
        <v>91</v>
      </c>
      <c r="E251" s="442" t="s">
        <v>17626</v>
      </c>
      <c r="F251" s="442" t="s">
        <v>48</v>
      </c>
      <c r="G251" s="442" t="s">
        <v>35</v>
      </c>
      <c r="H251" s="442" t="s">
        <v>49</v>
      </c>
      <c r="I251" s="442" t="s">
        <v>38</v>
      </c>
      <c r="J251" s="443"/>
      <c r="K251" s="444" t="s">
        <v>22853</v>
      </c>
    </row>
    <row r="252">
      <c r="A252" s="437">
        <v>45853.5534837963</v>
      </c>
      <c r="B252" s="438">
        <v>17931.0</v>
      </c>
      <c r="C252" s="438" t="s">
        <v>17625</v>
      </c>
      <c r="D252" s="438" t="s">
        <v>91</v>
      </c>
      <c r="E252" s="438" t="s">
        <v>17626</v>
      </c>
      <c r="F252" s="438" t="s">
        <v>48</v>
      </c>
      <c r="G252" s="438" t="s">
        <v>35</v>
      </c>
      <c r="H252" s="438" t="s">
        <v>49</v>
      </c>
      <c r="I252" s="438" t="s">
        <v>38</v>
      </c>
      <c r="J252" s="439">
        <v>13412.0</v>
      </c>
      <c r="K252" s="440" t="s">
        <v>18148</v>
      </c>
    </row>
    <row r="253">
      <c r="A253" s="441">
        <v>45853.55359953704</v>
      </c>
      <c r="B253" s="442">
        <v>17931.0</v>
      </c>
      <c r="C253" s="442" t="s">
        <v>17625</v>
      </c>
      <c r="D253" s="442" t="s">
        <v>91</v>
      </c>
      <c r="E253" s="442" t="s">
        <v>17626</v>
      </c>
      <c r="F253" s="442" t="s">
        <v>48</v>
      </c>
      <c r="G253" s="442" t="s">
        <v>35</v>
      </c>
      <c r="H253" s="442" t="s">
        <v>49</v>
      </c>
      <c r="I253" s="442" t="s">
        <v>38</v>
      </c>
      <c r="J253" s="443">
        <v>13412.0</v>
      </c>
      <c r="K253" s="444" t="s">
        <v>18148</v>
      </c>
    </row>
    <row r="254">
      <c r="A254" s="437">
        <v>45854.37939814815</v>
      </c>
      <c r="B254" s="438">
        <v>17929.0</v>
      </c>
      <c r="C254" s="438" t="s">
        <v>4313</v>
      </c>
      <c r="D254" s="438" t="s">
        <v>72</v>
      </c>
      <c r="E254" s="438" t="s">
        <v>17620</v>
      </c>
      <c r="F254" s="438" t="s">
        <v>48</v>
      </c>
      <c r="G254" s="438" t="s">
        <v>35</v>
      </c>
      <c r="H254" s="438" t="s">
        <v>92</v>
      </c>
      <c r="I254" s="438" t="s">
        <v>38</v>
      </c>
      <c r="J254" s="439">
        <v>13413.0</v>
      </c>
      <c r="K254" s="440" t="s">
        <v>18148</v>
      </c>
    </row>
    <row r="255">
      <c r="A255" s="441">
        <v>45854.37971064815</v>
      </c>
      <c r="B255" s="442">
        <v>17928.0</v>
      </c>
      <c r="C255" s="442" t="s">
        <v>10785</v>
      </c>
      <c r="D255" s="442" t="s">
        <v>112</v>
      </c>
      <c r="E255" s="442" t="s">
        <v>17615</v>
      </c>
      <c r="F255" s="442" t="s">
        <v>48</v>
      </c>
      <c r="G255" s="442" t="s">
        <v>35</v>
      </c>
      <c r="H255" s="442" t="s">
        <v>92</v>
      </c>
      <c r="I255" s="442" t="s">
        <v>38</v>
      </c>
      <c r="J255" s="443">
        <v>13414.0</v>
      </c>
      <c r="K255" s="444" t="s">
        <v>18148</v>
      </c>
    </row>
    <row r="256">
      <c r="A256" s="437">
        <v>45854.61287037037</v>
      </c>
      <c r="B256" s="438" t="s">
        <v>17186</v>
      </c>
      <c r="C256" s="438" t="s">
        <v>4885</v>
      </c>
      <c r="D256" s="438" t="s">
        <v>3395</v>
      </c>
      <c r="E256" s="438" t="s">
        <v>17187</v>
      </c>
      <c r="F256" s="438" t="s">
        <v>48</v>
      </c>
      <c r="G256" s="438" t="s">
        <v>35</v>
      </c>
      <c r="H256" s="438" t="s">
        <v>92</v>
      </c>
      <c r="I256" s="438" t="s">
        <v>38</v>
      </c>
      <c r="J256" s="439">
        <v>13422.0</v>
      </c>
      <c r="K256" s="440" t="s">
        <v>18148</v>
      </c>
    </row>
    <row r="257">
      <c r="A257" s="441">
        <v>45854.613020833334</v>
      </c>
      <c r="B257" s="442" t="s">
        <v>17169</v>
      </c>
      <c r="C257" s="442" t="s">
        <v>4885</v>
      </c>
      <c r="D257" s="442" t="s">
        <v>6133</v>
      </c>
      <c r="E257" s="442" t="s">
        <v>17170</v>
      </c>
      <c r="F257" s="442" t="s">
        <v>48</v>
      </c>
      <c r="G257" s="442" t="s">
        <v>35</v>
      </c>
      <c r="H257" s="442" t="s">
        <v>92</v>
      </c>
      <c r="I257" s="442" t="s">
        <v>38</v>
      </c>
      <c r="J257" s="443">
        <v>13422.0</v>
      </c>
      <c r="K257" s="444" t="s">
        <v>18148</v>
      </c>
    </row>
    <row r="258">
      <c r="A258" s="437">
        <v>45854.61319444444</v>
      </c>
      <c r="B258" s="438" t="s">
        <v>17174</v>
      </c>
      <c r="C258" s="438" t="s">
        <v>4885</v>
      </c>
      <c r="D258" s="438" t="s">
        <v>6133</v>
      </c>
      <c r="E258" s="438" t="s">
        <v>17175</v>
      </c>
      <c r="F258" s="438" t="s">
        <v>48</v>
      </c>
      <c r="G258" s="438" t="s">
        <v>35</v>
      </c>
      <c r="H258" s="438" t="s">
        <v>92</v>
      </c>
      <c r="I258" s="438" t="s">
        <v>38</v>
      </c>
      <c r="J258" s="439">
        <v>134223.0</v>
      </c>
      <c r="K258" s="440" t="s">
        <v>18148</v>
      </c>
    </row>
    <row r="259">
      <c r="A259" s="441">
        <v>45854.61378472222</v>
      </c>
      <c r="B259" s="442" t="s">
        <v>17174</v>
      </c>
      <c r="C259" s="442" t="s">
        <v>4885</v>
      </c>
      <c r="D259" s="442" t="s">
        <v>6133</v>
      </c>
      <c r="E259" s="442" t="s">
        <v>17175</v>
      </c>
      <c r="F259" s="442" t="s">
        <v>48</v>
      </c>
      <c r="G259" s="442" t="s">
        <v>35</v>
      </c>
      <c r="H259" s="442" t="s">
        <v>92</v>
      </c>
      <c r="I259" s="442" t="s">
        <v>38</v>
      </c>
      <c r="J259" s="443">
        <v>134223.0</v>
      </c>
      <c r="K259" s="444" t="s">
        <v>18148</v>
      </c>
    </row>
    <row r="260">
      <c r="A260" s="437">
        <v>45854.61400462963</v>
      </c>
      <c r="B260" s="438" t="s">
        <v>17178</v>
      </c>
      <c r="C260" s="438" t="s">
        <v>4885</v>
      </c>
      <c r="D260" s="438" t="s">
        <v>6133</v>
      </c>
      <c r="E260" s="438" t="s">
        <v>17179</v>
      </c>
      <c r="F260" s="438" t="s">
        <v>48</v>
      </c>
      <c r="G260" s="438" t="s">
        <v>35</v>
      </c>
      <c r="H260" s="438" t="s">
        <v>92</v>
      </c>
      <c r="I260" s="438" t="s">
        <v>38</v>
      </c>
      <c r="J260" s="439">
        <v>13422.0</v>
      </c>
      <c r="K260" s="440" t="s">
        <v>18148</v>
      </c>
    </row>
    <row r="261">
      <c r="A261" s="441">
        <v>45854.61413194444</v>
      </c>
      <c r="B261" s="442" t="s">
        <v>17182</v>
      </c>
      <c r="C261" s="442" t="s">
        <v>4885</v>
      </c>
      <c r="D261" s="442" t="s">
        <v>6133</v>
      </c>
      <c r="E261" s="442" t="s">
        <v>17183</v>
      </c>
      <c r="F261" s="442" t="s">
        <v>48</v>
      </c>
      <c r="G261" s="442" t="s">
        <v>35</v>
      </c>
      <c r="H261" s="442" t="s">
        <v>92</v>
      </c>
      <c r="I261" s="442" t="s">
        <v>38</v>
      </c>
      <c r="J261" s="443">
        <v>13422.0</v>
      </c>
      <c r="K261" s="444" t="s">
        <v>18148</v>
      </c>
    </row>
    <row r="262">
      <c r="A262" s="437">
        <v>45854.61423611111</v>
      </c>
      <c r="B262" s="438" t="s">
        <v>17174</v>
      </c>
      <c r="C262" s="438" t="s">
        <v>4885</v>
      </c>
      <c r="D262" s="438" t="s">
        <v>6133</v>
      </c>
      <c r="E262" s="438" t="s">
        <v>17175</v>
      </c>
      <c r="F262" s="438" t="s">
        <v>48</v>
      </c>
      <c r="G262" s="438" t="s">
        <v>35</v>
      </c>
      <c r="H262" s="438" t="s">
        <v>92</v>
      </c>
      <c r="I262" s="438" t="s">
        <v>38</v>
      </c>
      <c r="J262" s="439">
        <v>134223.0</v>
      </c>
      <c r="K262" s="440" t="s">
        <v>18148</v>
      </c>
    </row>
    <row r="263">
      <c r="A263" s="441">
        <v>45854.61519675926</v>
      </c>
      <c r="B263" s="442" t="s">
        <v>17174</v>
      </c>
      <c r="C263" s="442" t="s">
        <v>4885</v>
      </c>
      <c r="D263" s="442" t="s">
        <v>6133</v>
      </c>
      <c r="E263" s="442" t="s">
        <v>17175</v>
      </c>
      <c r="F263" s="442" t="s">
        <v>48</v>
      </c>
      <c r="G263" s="442" t="s">
        <v>35</v>
      </c>
      <c r="H263" s="442" t="s">
        <v>92</v>
      </c>
      <c r="I263" s="442" t="s">
        <v>38</v>
      </c>
      <c r="J263" s="443">
        <v>134223.0</v>
      </c>
      <c r="K263" s="444" t="s">
        <v>18148</v>
      </c>
    </row>
    <row r="264">
      <c r="A264" s="437">
        <v>45854.615428240744</v>
      </c>
      <c r="B264" s="438" t="s">
        <v>17174</v>
      </c>
      <c r="C264" s="438" t="s">
        <v>4885</v>
      </c>
      <c r="D264" s="438" t="s">
        <v>6133</v>
      </c>
      <c r="E264" s="438" t="s">
        <v>17175</v>
      </c>
      <c r="F264" s="438" t="s">
        <v>48</v>
      </c>
      <c r="G264" s="438" t="s">
        <v>35</v>
      </c>
      <c r="H264" s="438" t="s">
        <v>92</v>
      </c>
      <c r="I264" s="438" t="s">
        <v>38</v>
      </c>
      <c r="J264" s="439">
        <v>134223.0</v>
      </c>
      <c r="K264" s="440" t="s">
        <v>18148</v>
      </c>
    </row>
    <row r="265">
      <c r="A265" s="441">
        <v>45854.61603009259</v>
      </c>
      <c r="B265" s="442" t="s">
        <v>17174</v>
      </c>
      <c r="C265" s="442" t="s">
        <v>4885</v>
      </c>
      <c r="D265" s="442" t="s">
        <v>6133</v>
      </c>
      <c r="E265" s="442" t="s">
        <v>17175</v>
      </c>
      <c r="F265" s="442" t="s">
        <v>48</v>
      </c>
      <c r="G265" s="442" t="s">
        <v>35</v>
      </c>
      <c r="H265" s="442" t="s">
        <v>92</v>
      </c>
      <c r="I265" s="442" t="s">
        <v>38</v>
      </c>
      <c r="J265" s="443">
        <v>13422.0</v>
      </c>
      <c r="K265" s="444" t="s">
        <v>18148</v>
      </c>
    </row>
    <row r="266">
      <c r="A266" s="437">
        <v>45855.42855324074</v>
      </c>
      <c r="B266" s="438">
        <v>17764.0</v>
      </c>
      <c r="C266" s="438" t="s">
        <v>16728</v>
      </c>
      <c r="D266" s="438" t="s">
        <v>4097</v>
      </c>
      <c r="E266" s="438">
        <v>20147.0</v>
      </c>
      <c r="F266" s="438" t="s">
        <v>33</v>
      </c>
      <c r="G266" s="438" t="s">
        <v>35</v>
      </c>
      <c r="H266" s="438" t="s">
        <v>65</v>
      </c>
      <c r="I266" s="438" t="s">
        <v>38</v>
      </c>
      <c r="J266" s="439">
        <v>13423.0</v>
      </c>
      <c r="K266" s="440" t="s">
        <v>18148</v>
      </c>
    </row>
    <row r="267">
      <c r="A267" s="441">
        <v>45855.42878472222</v>
      </c>
      <c r="B267" s="442">
        <v>17764.0</v>
      </c>
      <c r="C267" s="442" t="s">
        <v>16728</v>
      </c>
      <c r="D267" s="442" t="s">
        <v>4097</v>
      </c>
      <c r="E267" s="442">
        <v>20147.0</v>
      </c>
      <c r="F267" s="442" t="s">
        <v>33</v>
      </c>
      <c r="G267" s="442" t="s">
        <v>35</v>
      </c>
      <c r="H267" s="442" t="s">
        <v>65</v>
      </c>
      <c r="I267" s="442" t="s">
        <v>38</v>
      </c>
      <c r="J267" s="443">
        <v>13423.0</v>
      </c>
      <c r="K267" s="444" t="s">
        <v>18148</v>
      </c>
    </row>
    <row r="268">
      <c r="A268" s="437">
        <v>45855.45706018519</v>
      </c>
      <c r="B268" s="438">
        <v>17916.0</v>
      </c>
      <c r="C268" s="438" t="s">
        <v>4313</v>
      </c>
      <c r="D268" s="438" t="s">
        <v>15373</v>
      </c>
      <c r="E268" s="438">
        <v>20144.0</v>
      </c>
      <c r="F268" s="438" t="s">
        <v>48</v>
      </c>
      <c r="G268" s="438" t="s">
        <v>35</v>
      </c>
      <c r="H268" s="438" t="s">
        <v>92</v>
      </c>
      <c r="I268" s="438" t="s">
        <v>38</v>
      </c>
      <c r="J268" s="439">
        <v>13424.0</v>
      </c>
      <c r="K268" s="440" t="s">
        <v>18148</v>
      </c>
    </row>
    <row r="269">
      <c r="A269" s="441">
        <v>45855.463958333334</v>
      </c>
      <c r="B269" s="442">
        <v>17916.0</v>
      </c>
      <c r="C269" s="442" t="s">
        <v>4313</v>
      </c>
      <c r="D269" s="442" t="s">
        <v>15373</v>
      </c>
      <c r="E269" s="442">
        <v>20144.0</v>
      </c>
      <c r="F269" s="442" t="s">
        <v>48</v>
      </c>
      <c r="G269" s="442" t="s">
        <v>35</v>
      </c>
      <c r="H269" s="442" t="s">
        <v>92</v>
      </c>
      <c r="I269" s="442" t="s">
        <v>38</v>
      </c>
      <c r="J269" s="443">
        <v>13424.0</v>
      </c>
      <c r="K269" s="444" t="s">
        <v>18148</v>
      </c>
    </row>
    <row r="270">
      <c r="A270" s="437">
        <v>45855.46414351852</v>
      </c>
      <c r="B270" s="438">
        <v>17916.0</v>
      </c>
      <c r="C270" s="438" t="s">
        <v>4313</v>
      </c>
      <c r="D270" s="438" t="s">
        <v>15373</v>
      </c>
      <c r="E270" s="438">
        <v>20144.0</v>
      </c>
      <c r="F270" s="438" t="s">
        <v>48</v>
      </c>
      <c r="G270" s="438" t="s">
        <v>35</v>
      </c>
      <c r="H270" s="438" t="s">
        <v>92</v>
      </c>
      <c r="I270" s="438" t="s">
        <v>38</v>
      </c>
      <c r="J270" s="439">
        <v>13424.0</v>
      </c>
      <c r="K270" s="440" t="s">
        <v>18148</v>
      </c>
    </row>
    <row r="271">
      <c r="A271" s="441">
        <v>45855.493055555555</v>
      </c>
      <c r="B271" s="442">
        <v>17856.0</v>
      </c>
      <c r="C271" s="442" t="s">
        <v>4604</v>
      </c>
      <c r="D271" s="442" t="s">
        <v>3441</v>
      </c>
      <c r="E271" s="442" t="s">
        <v>17224</v>
      </c>
      <c r="F271" s="442" t="s">
        <v>48</v>
      </c>
      <c r="G271" s="442" t="s">
        <v>35</v>
      </c>
      <c r="H271" s="442" t="s">
        <v>65</v>
      </c>
      <c r="I271" s="442" t="s">
        <v>38</v>
      </c>
      <c r="J271" s="443">
        <v>13425.0</v>
      </c>
      <c r="K271" s="444" t="s">
        <v>18148</v>
      </c>
    </row>
    <row r="272">
      <c r="A272" s="437">
        <v>45855.493159722224</v>
      </c>
      <c r="B272" s="438">
        <v>17856.0</v>
      </c>
      <c r="C272" s="438" t="s">
        <v>4604</v>
      </c>
      <c r="D272" s="438" t="s">
        <v>3441</v>
      </c>
      <c r="E272" s="438" t="s">
        <v>17224</v>
      </c>
      <c r="F272" s="438" t="s">
        <v>48</v>
      </c>
      <c r="G272" s="438" t="s">
        <v>35</v>
      </c>
      <c r="H272" s="438" t="s">
        <v>65</v>
      </c>
      <c r="I272" s="438" t="s">
        <v>38</v>
      </c>
      <c r="J272" s="439">
        <v>13425.0</v>
      </c>
      <c r="K272" s="440" t="s">
        <v>18148</v>
      </c>
    </row>
    <row r="273">
      <c r="A273" s="441">
        <v>45855.49319444445</v>
      </c>
      <c r="B273" s="442" t="s">
        <v>17382</v>
      </c>
      <c r="C273" s="442" t="s">
        <v>8666</v>
      </c>
      <c r="D273" s="442" t="s">
        <v>3441</v>
      </c>
      <c r="E273" s="442" t="s">
        <v>17383</v>
      </c>
      <c r="F273" s="442" t="s">
        <v>48</v>
      </c>
      <c r="G273" s="442" t="s">
        <v>35</v>
      </c>
      <c r="H273" s="442" t="s">
        <v>49</v>
      </c>
      <c r="I273" s="442" t="s">
        <v>38</v>
      </c>
      <c r="J273" s="443">
        <v>13426.0</v>
      </c>
      <c r="K273" s="444" t="s">
        <v>18148</v>
      </c>
    </row>
    <row r="274">
      <c r="A274" s="437">
        <v>45855.49321759259</v>
      </c>
      <c r="B274" s="438" t="s">
        <v>17382</v>
      </c>
      <c r="C274" s="438" t="s">
        <v>8666</v>
      </c>
      <c r="D274" s="438" t="s">
        <v>3441</v>
      </c>
      <c r="E274" s="438" t="s">
        <v>17383</v>
      </c>
      <c r="F274" s="438" t="s">
        <v>48</v>
      </c>
      <c r="G274" s="438" t="s">
        <v>35</v>
      </c>
      <c r="H274" s="438" t="s">
        <v>49</v>
      </c>
      <c r="I274" s="438" t="s">
        <v>38</v>
      </c>
      <c r="J274" s="439">
        <v>13426.0</v>
      </c>
      <c r="K274" s="440" t="s">
        <v>18148</v>
      </c>
    </row>
    <row r="275">
      <c r="A275" s="441">
        <v>45855.49328703704</v>
      </c>
      <c r="B275" s="442" t="s">
        <v>17378</v>
      </c>
      <c r="C275" s="442" t="s">
        <v>8666</v>
      </c>
      <c r="D275" s="442" t="s">
        <v>72</v>
      </c>
      <c r="E275" s="442" t="s">
        <v>17379</v>
      </c>
      <c r="F275" s="442" t="s">
        <v>48</v>
      </c>
      <c r="G275" s="442" t="s">
        <v>35</v>
      </c>
      <c r="H275" s="442" t="s">
        <v>49</v>
      </c>
      <c r="I275" s="442" t="s">
        <v>38</v>
      </c>
      <c r="J275" s="443">
        <v>13426.0</v>
      </c>
      <c r="K275" s="444" t="s">
        <v>18148</v>
      </c>
    </row>
    <row r="276">
      <c r="A276" s="437">
        <v>45855.49328703704</v>
      </c>
      <c r="B276" s="438" t="s">
        <v>17655</v>
      </c>
      <c r="C276" s="438" t="s">
        <v>17258</v>
      </c>
      <c r="D276" s="438" t="s">
        <v>3395</v>
      </c>
      <c r="E276" s="438" t="s">
        <v>17656</v>
      </c>
      <c r="F276" s="438" t="s">
        <v>48</v>
      </c>
      <c r="G276" s="438" t="s">
        <v>35</v>
      </c>
      <c r="H276" s="438" t="s">
        <v>49</v>
      </c>
      <c r="I276" s="438" t="s">
        <v>9027</v>
      </c>
      <c r="J276" s="439">
        <v>13427.0</v>
      </c>
      <c r="K276" s="440" t="s">
        <v>18148</v>
      </c>
    </row>
    <row r="277">
      <c r="A277" s="441">
        <v>45855.49329861111</v>
      </c>
      <c r="B277" s="442" t="s">
        <v>17378</v>
      </c>
      <c r="C277" s="442" t="s">
        <v>8666</v>
      </c>
      <c r="D277" s="442" t="s">
        <v>72</v>
      </c>
      <c r="E277" s="442" t="s">
        <v>17379</v>
      </c>
      <c r="F277" s="442" t="s">
        <v>48</v>
      </c>
      <c r="G277" s="442" t="s">
        <v>35</v>
      </c>
      <c r="H277" s="442" t="s">
        <v>49</v>
      </c>
      <c r="I277" s="442" t="s">
        <v>38</v>
      </c>
      <c r="J277" s="443">
        <v>13426.0</v>
      </c>
      <c r="K277" s="444" t="s">
        <v>18148</v>
      </c>
    </row>
    <row r="278">
      <c r="A278" s="437">
        <v>45855.49329861111</v>
      </c>
      <c r="B278" s="438" t="s">
        <v>17655</v>
      </c>
      <c r="C278" s="438" t="s">
        <v>17258</v>
      </c>
      <c r="D278" s="438" t="s">
        <v>3395</v>
      </c>
      <c r="E278" s="438" t="s">
        <v>17656</v>
      </c>
      <c r="F278" s="438" t="s">
        <v>48</v>
      </c>
      <c r="G278" s="438" t="s">
        <v>35</v>
      </c>
      <c r="H278" s="438" t="s">
        <v>49</v>
      </c>
      <c r="I278" s="438" t="s">
        <v>9027</v>
      </c>
      <c r="J278" s="439">
        <v>13427.0</v>
      </c>
      <c r="K278" s="440" t="s">
        <v>18148</v>
      </c>
    </row>
    <row r="279">
      <c r="A279" s="441">
        <v>45855.493310185186</v>
      </c>
      <c r="B279" s="442" t="s">
        <v>17660</v>
      </c>
      <c r="C279" s="442" t="s">
        <v>17258</v>
      </c>
      <c r="D279" s="442" t="s">
        <v>112</v>
      </c>
      <c r="E279" s="442" t="s">
        <v>17661</v>
      </c>
      <c r="F279" s="442" t="s">
        <v>48</v>
      </c>
      <c r="G279" s="442" t="s">
        <v>35</v>
      </c>
      <c r="H279" s="442" t="s">
        <v>49</v>
      </c>
      <c r="I279" s="442" t="s">
        <v>9027</v>
      </c>
      <c r="J279" s="443">
        <v>13427.0</v>
      </c>
      <c r="K279" s="444" t="s">
        <v>18148</v>
      </c>
    </row>
    <row r="280">
      <c r="A280" s="437">
        <v>45855.49332175926</v>
      </c>
      <c r="B280" s="438" t="s">
        <v>17660</v>
      </c>
      <c r="C280" s="438" t="s">
        <v>17258</v>
      </c>
      <c r="D280" s="438" t="s">
        <v>112</v>
      </c>
      <c r="E280" s="438" t="s">
        <v>17661</v>
      </c>
      <c r="F280" s="438" t="s">
        <v>48</v>
      </c>
      <c r="G280" s="438" t="s">
        <v>35</v>
      </c>
      <c r="H280" s="438" t="s">
        <v>49</v>
      </c>
      <c r="I280" s="438" t="s">
        <v>9027</v>
      </c>
      <c r="J280" s="439">
        <v>13427.0</v>
      </c>
      <c r="K280" s="440" t="s">
        <v>18148</v>
      </c>
    </row>
    <row r="281">
      <c r="A281" s="441">
        <v>45855.57309027778</v>
      </c>
      <c r="B281" s="442">
        <v>17943.0</v>
      </c>
      <c r="C281" s="442" t="s">
        <v>96</v>
      </c>
      <c r="D281" s="442" t="s">
        <v>112</v>
      </c>
      <c r="E281" s="442" t="s">
        <v>17678</v>
      </c>
      <c r="F281" s="442" t="s">
        <v>48</v>
      </c>
      <c r="G281" s="442" t="s">
        <v>35</v>
      </c>
      <c r="H281" s="442" t="s">
        <v>49</v>
      </c>
      <c r="I281" s="442" t="s">
        <v>38</v>
      </c>
      <c r="J281" s="443"/>
      <c r="K281" s="444" t="s">
        <v>18148</v>
      </c>
    </row>
    <row r="282">
      <c r="A282" s="437">
        <v>45855.57355324074</v>
      </c>
      <c r="B282" s="438">
        <v>17943.0</v>
      </c>
      <c r="C282" s="438" t="s">
        <v>96</v>
      </c>
      <c r="D282" s="438" t="s">
        <v>112</v>
      </c>
      <c r="E282" s="438" t="s">
        <v>17678</v>
      </c>
      <c r="F282" s="438" t="s">
        <v>48</v>
      </c>
      <c r="G282" s="438" t="s">
        <v>35</v>
      </c>
      <c r="H282" s="438" t="s">
        <v>49</v>
      </c>
      <c r="I282" s="438" t="s">
        <v>38</v>
      </c>
      <c r="J282" s="439">
        <v>13428.0</v>
      </c>
      <c r="K282" s="440" t="s">
        <v>18148</v>
      </c>
    </row>
    <row r="283">
      <c r="A283" s="441">
        <v>45855.57398148148</v>
      </c>
      <c r="B283" s="442">
        <v>17943.0</v>
      </c>
      <c r="C283" s="442" t="s">
        <v>96</v>
      </c>
      <c r="D283" s="442" t="s">
        <v>112</v>
      </c>
      <c r="E283" s="442" t="s">
        <v>17678</v>
      </c>
      <c r="F283" s="442" t="s">
        <v>48</v>
      </c>
      <c r="G283" s="442" t="s">
        <v>35</v>
      </c>
      <c r="H283" s="442" t="s">
        <v>49</v>
      </c>
      <c r="I283" s="442" t="s">
        <v>38</v>
      </c>
      <c r="J283" s="443">
        <v>13428.0</v>
      </c>
      <c r="K283" s="444" t="s">
        <v>18148</v>
      </c>
    </row>
    <row r="284">
      <c r="A284" s="437">
        <v>45855.61079861111</v>
      </c>
      <c r="B284" s="438">
        <v>17935.0</v>
      </c>
      <c r="C284" s="438" t="s">
        <v>17650</v>
      </c>
      <c r="D284" s="438" t="s">
        <v>3441</v>
      </c>
      <c r="E284" s="438" t="s">
        <v>17651</v>
      </c>
      <c r="F284" s="438" t="s">
        <v>48</v>
      </c>
      <c r="G284" s="438" t="s">
        <v>35</v>
      </c>
      <c r="H284" s="438" t="s">
        <v>65</v>
      </c>
      <c r="I284" s="438" t="s">
        <v>38</v>
      </c>
      <c r="J284" s="439">
        <v>13429.0</v>
      </c>
      <c r="K284" s="440" t="s">
        <v>18148</v>
      </c>
    </row>
    <row r="285">
      <c r="A285" s="441">
        <v>45855.61083333333</v>
      </c>
      <c r="B285" s="442">
        <v>17945.0</v>
      </c>
      <c r="C285" s="442" t="s">
        <v>5556</v>
      </c>
      <c r="D285" s="442" t="s">
        <v>91</v>
      </c>
      <c r="E285" s="442" t="s">
        <v>17687</v>
      </c>
      <c r="F285" s="442" t="s">
        <v>48</v>
      </c>
      <c r="G285" s="442" t="s">
        <v>35</v>
      </c>
      <c r="H285" s="442" t="s">
        <v>49</v>
      </c>
      <c r="I285" s="442" t="s">
        <v>38</v>
      </c>
      <c r="J285" s="443">
        <v>13430.0</v>
      </c>
      <c r="K285" s="444" t="s">
        <v>18148</v>
      </c>
    </row>
    <row r="286">
      <c r="A286" s="437">
        <v>45855.61209490741</v>
      </c>
      <c r="B286" s="438">
        <v>17935.0</v>
      </c>
      <c r="C286" s="438" t="s">
        <v>17650</v>
      </c>
      <c r="D286" s="438" t="s">
        <v>3441</v>
      </c>
      <c r="E286" s="438" t="s">
        <v>17651</v>
      </c>
      <c r="F286" s="438" t="s">
        <v>48</v>
      </c>
      <c r="G286" s="438" t="s">
        <v>35</v>
      </c>
      <c r="H286" s="438" t="s">
        <v>65</v>
      </c>
      <c r="I286" s="438" t="s">
        <v>38</v>
      </c>
      <c r="J286" s="439">
        <v>13429.0</v>
      </c>
      <c r="K286" s="440" t="s">
        <v>18148</v>
      </c>
    </row>
    <row r="287">
      <c r="A287" s="441">
        <v>45855.61210648148</v>
      </c>
      <c r="B287" s="442">
        <v>17945.0</v>
      </c>
      <c r="C287" s="442" t="s">
        <v>5556</v>
      </c>
      <c r="D287" s="442" t="s">
        <v>91</v>
      </c>
      <c r="E287" s="442" t="s">
        <v>17687</v>
      </c>
      <c r="F287" s="442" t="s">
        <v>48</v>
      </c>
      <c r="G287" s="442" t="s">
        <v>35</v>
      </c>
      <c r="H287" s="442" t="s">
        <v>49</v>
      </c>
      <c r="I287" s="442" t="s">
        <v>38</v>
      </c>
      <c r="J287" s="443">
        <v>13430.0</v>
      </c>
      <c r="K287" s="444" t="s">
        <v>18148</v>
      </c>
    </row>
    <row r="288">
      <c r="A288" s="437">
        <v>45856.4916087963</v>
      </c>
      <c r="B288" s="438" t="s">
        <v>17634</v>
      </c>
      <c r="C288" s="438" t="s">
        <v>3674</v>
      </c>
      <c r="D288" s="438" t="s">
        <v>3395</v>
      </c>
      <c r="E288" s="438" t="s">
        <v>17635</v>
      </c>
      <c r="F288" s="438" t="s">
        <v>48</v>
      </c>
      <c r="G288" s="438" t="s">
        <v>35</v>
      </c>
      <c r="H288" s="438" t="s">
        <v>65</v>
      </c>
      <c r="I288" s="438" t="s">
        <v>38</v>
      </c>
      <c r="J288" s="439">
        <v>13432.0</v>
      </c>
      <c r="K288" s="440" t="s">
        <v>18148</v>
      </c>
    </row>
    <row r="289">
      <c r="A289" s="441">
        <v>45856.491736111115</v>
      </c>
      <c r="B289" s="442" t="s">
        <v>17629</v>
      </c>
      <c r="C289" s="442" t="s">
        <v>3674</v>
      </c>
      <c r="D289" s="442" t="s">
        <v>112</v>
      </c>
      <c r="E289" s="442" t="s">
        <v>17630</v>
      </c>
      <c r="F289" s="442" t="s">
        <v>48</v>
      </c>
      <c r="G289" s="442" t="s">
        <v>35</v>
      </c>
      <c r="H289" s="442" t="s">
        <v>65</v>
      </c>
      <c r="I289" s="442" t="s">
        <v>38</v>
      </c>
      <c r="J289" s="443">
        <v>13432.0</v>
      </c>
      <c r="K289" s="444" t="s">
        <v>18148</v>
      </c>
    </row>
    <row r="290">
      <c r="A290" s="437">
        <v>45856.491747685184</v>
      </c>
      <c r="B290" s="438" t="s">
        <v>17629</v>
      </c>
      <c r="C290" s="438" t="s">
        <v>3674</v>
      </c>
      <c r="D290" s="438" t="s">
        <v>112</v>
      </c>
      <c r="E290" s="438" t="s">
        <v>17630</v>
      </c>
      <c r="F290" s="438" t="s">
        <v>48</v>
      </c>
      <c r="G290" s="438" t="s">
        <v>35</v>
      </c>
      <c r="H290" s="438" t="s">
        <v>65</v>
      </c>
      <c r="I290" s="438" t="s">
        <v>38</v>
      </c>
      <c r="J290" s="439">
        <v>13432.0</v>
      </c>
      <c r="K290" s="440" t="s">
        <v>18148</v>
      </c>
    </row>
    <row r="291">
      <c r="A291" s="441">
        <v>45856.49175925926</v>
      </c>
      <c r="B291" s="442" t="s">
        <v>17634</v>
      </c>
      <c r="C291" s="442" t="s">
        <v>3674</v>
      </c>
      <c r="D291" s="442" t="s">
        <v>3395</v>
      </c>
      <c r="E291" s="442" t="s">
        <v>17635</v>
      </c>
      <c r="F291" s="442" t="s">
        <v>48</v>
      </c>
      <c r="G291" s="442" t="s">
        <v>35</v>
      </c>
      <c r="H291" s="442" t="s">
        <v>65</v>
      </c>
      <c r="I291" s="442" t="s">
        <v>38</v>
      </c>
      <c r="J291" s="443">
        <v>13432.0</v>
      </c>
      <c r="K291" s="444" t="s">
        <v>18148</v>
      </c>
    </row>
    <row r="292">
      <c r="A292" s="437">
        <v>45856.49178240741</v>
      </c>
      <c r="B292" s="438">
        <v>17946.0</v>
      </c>
      <c r="C292" s="438" t="s">
        <v>5704</v>
      </c>
      <c r="D292" s="438" t="s">
        <v>91</v>
      </c>
      <c r="E292" s="438" t="s">
        <v>17692</v>
      </c>
      <c r="F292" s="438" t="s">
        <v>48</v>
      </c>
      <c r="G292" s="438" t="s">
        <v>35</v>
      </c>
      <c r="H292" s="438" t="s">
        <v>65</v>
      </c>
      <c r="I292" s="438" t="s">
        <v>38</v>
      </c>
      <c r="J292" s="439"/>
      <c r="K292" s="440" t="s">
        <v>18148</v>
      </c>
    </row>
    <row r="293">
      <c r="A293" s="441">
        <v>45856.49180555555</v>
      </c>
      <c r="B293" s="442">
        <v>17959.0</v>
      </c>
      <c r="C293" s="442" t="s">
        <v>96</v>
      </c>
      <c r="D293" s="442" t="s">
        <v>47</v>
      </c>
      <c r="E293" s="442" t="s">
        <v>17751</v>
      </c>
      <c r="F293" s="442" t="s">
        <v>48</v>
      </c>
      <c r="G293" s="442" t="s">
        <v>35</v>
      </c>
      <c r="H293" s="442" t="s">
        <v>49</v>
      </c>
      <c r="I293" s="442" t="s">
        <v>38</v>
      </c>
      <c r="J293" s="443"/>
      <c r="K293" s="444" t="s">
        <v>18148</v>
      </c>
    </row>
    <row r="294">
      <c r="A294" s="437">
        <v>45856.49180555555</v>
      </c>
      <c r="B294" s="438">
        <v>17946.0</v>
      </c>
      <c r="C294" s="438" t="s">
        <v>5704</v>
      </c>
      <c r="D294" s="438" t="s">
        <v>91</v>
      </c>
      <c r="E294" s="438" t="s">
        <v>17692</v>
      </c>
      <c r="F294" s="438" t="s">
        <v>48</v>
      </c>
      <c r="G294" s="438" t="s">
        <v>35</v>
      </c>
      <c r="H294" s="438" t="s">
        <v>65</v>
      </c>
      <c r="I294" s="438" t="s">
        <v>38</v>
      </c>
      <c r="J294" s="439"/>
      <c r="K294" s="440" t="s">
        <v>18148</v>
      </c>
    </row>
    <row r="295">
      <c r="A295" s="441">
        <v>45856.49181712963</v>
      </c>
      <c r="B295" s="442">
        <v>17947.0</v>
      </c>
      <c r="C295" s="442" t="s">
        <v>17697</v>
      </c>
      <c r="D295" s="442" t="s">
        <v>72</v>
      </c>
      <c r="E295" s="442" t="s">
        <v>17698</v>
      </c>
      <c r="F295" s="442" t="s">
        <v>48</v>
      </c>
      <c r="G295" s="442" t="s">
        <v>35</v>
      </c>
      <c r="H295" s="442" t="s">
        <v>65</v>
      </c>
      <c r="I295" s="442" t="s">
        <v>38</v>
      </c>
      <c r="J295" s="443">
        <v>13434.0</v>
      </c>
      <c r="K295" s="444" t="s">
        <v>18148</v>
      </c>
    </row>
    <row r="296">
      <c r="A296" s="437">
        <v>45856.49182870371</v>
      </c>
      <c r="B296" s="438">
        <v>17947.0</v>
      </c>
      <c r="C296" s="438" t="s">
        <v>17697</v>
      </c>
      <c r="D296" s="438" t="s">
        <v>72</v>
      </c>
      <c r="E296" s="438" t="s">
        <v>17698</v>
      </c>
      <c r="F296" s="438" t="s">
        <v>48</v>
      </c>
      <c r="G296" s="438" t="s">
        <v>35</v>
      </c>
      <c r="H296" s="438" t="s">
        <v>65</v>
      </c>
      <c r="I296" s="438" t="s">
        <v>38</v>
      </c>
      <c r="J296" s="439">
        <v>13434.0</v>
      </c>
      <c r="K296" s="440" t="s">
        <v>18148</v>
      </c>
    </row>
    <row r="297">
      <c r="A297" s="441">
        <v>45856.49184027778</v>
      </c>
      <c r="B297" s="442">
        <v>17959.0</v>
      </c>
      <c r="C297" s="442" t="s">
        <v>96</v>
      </c>
      <c r="D297" s="442" t="s">
        <v>47</v>
      </c>
      <c r="E297" s="442" t="s">
        <v>17751</v>
      </c>
      <c r="F297" s="442" t="s">
        <v>48</v>
      </c>
      <c r="G297" s="442" t="s">
        <v>35</v>
      </c>
      <c r="H297" s="442" t="s">
        <v>49</v>
      </c>
      <c r="I297" s="442" t="s">
        <v>38</v>
      </c>
      <c r="J297" s="443"/>
      <c r="K297" s="444" t="s">
        <v>18148</v>
      </c>
    </row>
    <row r="298">
      <c r="A298" s="437">
        <v>45856.49185185185</v>
      </c>
      <c r="B298" s="438">
        <v>17955.0</v>
      </c>
      <c r="C298" s="438" t="s">
        <v>5507</v>
      </c>
      <c r="D298" s="438" t="s">
        <v>72</v>
      </c>
      <c r="E298" s="438" t="s">
        <v>17731</v>
      </c>
      <c r="F298" s="438" t="s">
        <v>48</v>
      </c>
      <c r="G298" s="438" t="s">
        <v>35</v>
      </c>
      <c r="H298" s="438" t="s">
        <v>49</v>
      </c>
      <c r="I298" s="438" t="s">
        <v>38</v>
      </c>
      <c r="J298" s="439"/>
      <c r="K298" s="440" t="s">
        <v>18148</v>
      </c>
    </row>
    <row r="299">
      <c r="A299" s="441">
        <v>45856.49185185185</v>
      </c>
      <c r="B299" s="442">
        <v>17950.0</v>
      </c>
      <c r="C299" s="442" t="s">
        <v>11288</v>
      </c>
      <c r="D299" s="442" t="s">
        <v>47</v>
      </c>
      <c r="E299" s="442" t="s">
        <v>17712</v>
      </c>
      <c r="F299" s="442" t="s">
        <v>48</v>
      </c>
      <c r="G299" s="442" t="s">
        <v>35</v>
      </c>
      <c r="H299" s="442" t="s">
        <v>49</v>
      </c>
      <c r="I299" s="442" t="s">
        <v>38</v>
      </c>
      <c r="J299" s="443">
        <v>13435.0</v>
      </c>
      <c r="K299" s="444" t="s">
        <v>18148</v>
      </c>
    </row>
    <row r="300">
      <c r="A300" s="437">
        <v>45856.491898148146</v>
      </c>
      <c r="B300" s="438">
        <v>17955.0</v>
      </c>
      <c r="C300" s="438" t="s">
        <v>5507</v>
      </c>
      <c r="D300" s="438" t="s">
        <v>72</v>
      </c>
      <c r="E300" s="438" t="s">
        <v>17731</v>
      </c>
      <c r="F300" s="438" t="s">
        <v>48</v>
      </c>
      <c r="G300" s="438" t="s">
        <v>35</v>
      </c>
      <c r="H300" s="438" t="s">
        <v>49</v>
      </c>
      <c r="I300" s="438" t="s">
        <v>38</v>
      </c>
      <c r="J300" s="439"/>
      <c r="K300" s="440" t="s">
        <v>18148</v>
      </c>
    </row>
    <row r="301">
      <c r="A301" s="441">
        <v>45856.4919212963</v>
      </c>
      <c r="B301" s="442">
        <v>17941.0</v>
      </c>
      <c r="C301" s="442" t="s">
        <v>17668</v>
      </c>
      <c r="D301" s="442" t="s">
        <v>47</v>
      </c>
      <c r="E301" s="442" t="s">
        <v>17669</v>
      </c>
      <c r="F301" s="442" t="s">
        <v>48</v>
      </c>
      <c r="G301" s="442" t="s">
        <v>35</v>
      </c>
      <c r="H301" s="442" t="s">
        <v>518</v>
      </c>
      <c r="I301" s="442" t="s">
        <v>38</v>
      </c>
      <c r="J301" s="443">
        <v>13431.0</v>
      </c>
      <c r="K301" s="444" t="s">
        <v>18148</v>
      </c>
    </row>
    <row r="302">
      <c r="A302" s="437">
        <v>45856.49193287037</v>
      </c>
      <c r="B302" s="438">
        <v>17941.0</v>
      </c>
      <c r="C302" s="438" t="s">
        <v>17668</v>
      </c>
      <c r="D302" s="438" t="s">
        <v>47</v>
      </c>
      <c r="E302" s="438" t="s">
        <v>17669</v>
      </c>
      <c r="F302" s="438" t="s">
        <v>48</v>
      </c>
      <c r="G302" s="438" t="s">
        <v>35</v>
      </c>
      <c r="H302" s="438" t="s">
        <v>518</v>
      </c>
      <c r="I302" s="438" t="s">
        <v>38</v>
      </c>
      <c r="J302" s="439">
        <v>13431.0</v>
      </c>
      <c r="K302" s="440" t="s">
        <v>18148</v>
      </c>
    </row>
    <row r="303">
      <c r="A303" s="441">
        <v>45856.494525462964</v>
      </c>
      <c r="B303" s="442">
        <v>17955.0</v>
      </c>
      <c r="C303" s="442" t="s">
        <v>5507</v>
      </c>
      <c r="D303" s="442" t="s">
        <v>72</v>
      </c>
      <c r="E303" s="442" t="s">
        <v>17731</v>
      </c>
      <c r="F303" s="442" t="s">
        <v>48</v>
      </c>
      <c r="G303" s="442" t="s">
        <v>35</v>
      </c>
      <c r="H303" s="442" t="s">
        <v>49</v>
      </c>
      <c r="I303" s="442" t="s">
        <v>38</v>
      </c>
      <c r="J303" s="443">
        <v>13436.0</v>
      </c>
      <c r="K303" s="444" t="s">
        <v>18148</v>
      </c>
    </row>
    <row r="304">
      <c r="A304" s="437">
        <v>45856.49466435185</v>
      </c>
      <c r="B304" s="438">
        <v>17955.0</v>
      </c>
      <c r="C304" s="438" t="s">
        <v>5507</v>
      </c>
      <c r="D304" s="438" t="s">
        <v>72</v>
      </c>
      <c r="E304" s="438" t="s">
        <v>17731</v>
      </c>
      <c r="F304" s="438" t="s">
        <v>48</v>
      </c>
      <c r="G304" s="438" t="s">
        <v>35</v>
      </c>
      <c r="H304" s="438" t="s">
        <v>49</v>
      </c>
      <c r="I304" s="438" t="s">
        <v>38</v>
      </c>
      <c r="J304" s="439">
        <v>13436.0</v>
      </c>
      <c r="K304" s="440" t="s">
        <v>18148</v>
      </c>
    </row>
    <row r="305">
      <c r="A305" s="441">
        <v>45856.497777777775</v>
      </c>
      <c r="B305" s="442">
        <v>17946.0</v>
      </c>
      <c r="C305" s="442" t="s">
        <v>5704</v>
      </c>
      <c r="D305" s="442" t="s">
        <v>91</v>
      </c>
      <c r="E305" s="442" t="s">
        <v>17692</v>
      </c>
      <c r="F305" s="442" t="s">
        <v>48</v>
      </c>
      <c r="G305" s="442" t="s">
        <v>35</v>
      </c>
      <c r="H305" s="442" t="s">
        <v>65</v>
      </c>
      <c r="I305" s="442" t="s">
        <v>38</v>
      </c>
      <c r="J305" s="443"/>
      <c r="K305" s="444" t="s">
        <v>18148</v>
      </c>
    </row>
    <row r="306">
      <c r="A306" s="437">
        <v>45856.49778935185</v>
      </c>
      <c r="B306" s="438">
        <v>17959.0</v>
      </c>
      <c r="C306" s="438" t="s">
        <v>96</v>
      </c>
      <c r="D306" s="438" t="s">
        <v>47</v>
      </c>
      <c r="E306" s="438" t="s">
        <v>17751</v>
      </c>
      <c r="F306" s="438" t="s">
        <v>48</v>
      </c>
      <c r="G306" s="438" t="s">
        <v>35</v>
      </c>
      <c r="H306" s="438" t="s">
        <v>49</v>
      </c>
      <c r="I306" s="438" t="s">
        <v>38</v>
      </c>
      <c r="J306" s="439">
        <v>13437.0</v>
      </c>
      <c r="K306" s="440" t="s">
        <v>18148</v>
      </c>
    </row>
    <row r="307">
      <c r="A307" s="441">
        <v>45856.49820601852</v>
      </c>
      <c r="B307" s="442">
        <v>17959.0</v>
      </c>
      <c r="C307" s="442" t="s">
        <v>96</v>
      </c>
      <c r="D307" s="442" t="s">
        <v>47</v>
      </c>
      <c r="E307" s="442" t="s">
        <v>17751</v>
      </c>
      <c r="F307" s="442" t="s">
        <v>48</v>
      </c>
      <c r="G307" s="442" t="s">
        <v>35</v>
      </c>
      <c r="H307" s="442" t="s">
        <v>49</v>
      </c>
      <c r="I307" s="442" t="s">
        <v>38</v>
      </c>
      <c r="J307" s="443">
        <v>13437.0</v>
      </c>
      <c r="K307" s="444" t="s">
        <v>18148</v>
      </c>
    </row>
    <row r="308">
      <c r="A308" s="437">
        <v>45856.503125</v>
      </c>
      <c r="B308" s="438">
        <v>17946.0</v>
      </c>
      <c r="C308" s="438" t="s">
        <v>5704</v>
      </c>
      <c r="D308" s="438" t="s">
        <v>91</v>
      </c>
      <c r="E308" s="438" t="s">
        <v>17692</v>
      </c>
      <c r="F308" s="438" t="s">
        <v>48</v>
      </c>
      <c r="G308" s="438" t="s">
        <v>35</v>
      </c>
      <c r="H308" s="438" t="s">
        <v>65</v>
      </c>
      <c r="I308" s="438" t="s">
        <v>38</v>
      </c>
      <c r="J308" s="439">
        <v>13438.0</v>
      </c>
      <c r="K308" s="440" t="s">
        <v>18148</v>
      </c>
    </row>
    <row r="309">
      <c r="A309" s="441">
        <v>45856.50341435185</v>
      </c>
      <c r="B309" s="442">
        <v>17946.0</v>
      </c>
      <c r="C309" s="442" t="s">
        <v>5704</v>
      </c>
      <c r="D309" s="442" t="s">
        <v>91</v>
      </c>
      <c r="E309" s="442" t="s">
        <v>17692</v>
      </c>
      <c r="F309" s="442" t="s">
        <v>48</v>
      </c>
      <c r="G309" s="442" t="s">
        <v>35</v>
      </c>
      <c r="H309" s="442" t="s">
        <v>65</v>
      </c>
      <c r="I309" s="442" t="s">
        <v>38</v>
      </c>
      <c r="J309" s="443">
        <v>13438.0</v>
      </c>
      <c r="K309" s="444" t="s">
        <v>18148</v>
      </c>
    </row>
    <row r="310">
      <c r="A310" s="437">
        <v>45859.38545138889</v>
      </c>
      <c r="B310" s="438">
        <v>17960.0</v>
      </c>
      <c r="C310" s="438" t="s">
        <v>13266</v>
      </c>
      <c r="D310" s="438" t="s">
        <v>3395</v>
      </c>
      <c r="E310" s="438" t="s">
        <v>17756</v>
      </c>
      <c r="F310" s="438" t="s">
        <v>48</v>
      </c>
      <c r="G310" s="438" t="s">
        <v>35</v>
      </c>
      <c r="H310" s="438" t="s">
        <v>49</v>
      </c>
      <c r="I310" s="438" t="s">
        <v>13268</v>
      </c>
      <c r="J310" s="439">
        <v>13442.0</v>
      </c>
      <c r="K310" s="440" t="s">
        <v>18148</v>
      </c>
    </row>
    <row r="311">
      <c r="A311" s="441">
        <v>45859.38552083333</v>
      </c>
      <c r="B311" s="442">
        <v>17965.0</v>
      </c>
      <c r="C311" s="442" t="s">
        <v>1593</v>
      </c>
      <c r="D311" s="442" t="s">
        <v>72</v>
      </c>
      <c r="E311" s="442" t="s">
        <v>17784</v>
      </c>
      <c r="F311" s="442" t="s">
        <v>48</v>
      </c>
      <c r="G311" s="442" t="s">
        <v>35</v>
      </c>
      <c r="H311" s="442" t="s">
        <v>49</v>
      </c>
      <c r="I311" s="442" t="s">
        <v>17785</v>
      </c>
      <c r="J311" s="443">
        <v>13445.0</v>
      </c>
      <c r="K311" s="444" t="s">
        <v>18148</v>
      </c>
    </row>
    <row r="312">
      <c r="A312" s="437">
        <v>45859.38554398148</v>
      </c>
      <c r="B312" s="438">
        <v>17966.0</v>
      </c>
      <c r="C312" s="438" t="s">
        <v>17625</v>
      </c>
      <c r="D312" s="438" t="s">
        <v>3395</v>
      </c>
      <c r="E312" s="438" t="s">
        <v>17789</v>
      </c>
      <c r="F312" s="438" t="s">
        <v>48</v>
      </c>
      <c r="G312" s="438" t="s">
        <v>35</v>
      </c>
      <c r="H312" s="438" t="s">
        <v>49</v>
      </c>
      <c r="I312" s="438" t="s">
        <v>38</v>
      </c>
      <c r="J312" s="439">
        <v>13444.0</v>
      </c>
      <c r="K312" s="440" t="s">
        <v>18148</v>
      </c>
    </row>
    <row r="313">
      <c r="A313" s="441">
        <v>45859.3855787037</v>
      </c>
      <c r="B313" s="442">
        <v>17956.0</v>
      </c>
      <c r="C313" s="442" t="s">
        <v>8666</v>
      </c>
      <c r="D313" s="442" t="s">
        <v>85</v>
      </c>
      <c r="E313" s="442" t="s">
        <v>17736</v>
      </c>
      <c r="F313" s="442" t="s">
        <v>48</v>
      </c>
      <c r="G313" s="442" t="s">
        <v>35</v>
      </c>
      <c r="H313" s="442" t="s">
        <v>49</v>
      </c>
      <c r="I313" s="442" t="s">
        <v>38</v>
      </c>
      <c r="J313" s="443">
        <v>13443.0</v>
      </c>
      <c r="K313" s="444" t="s">
        <v>18148</v>
      </c>
    </row>
    <row r="314">
      <c r="A314" s="437">
        <v>45859.385613425926</v>
      </c>
      <c r="B314" s="438">
        <v>17958.0</v>
      </c>
      <c r="C314" s="438" t="s">
        <v>16801</v>
      </c>
      <c r="D314" s="438" t="s">
        <v>3395</v>
      </c>
      <c r="E314" s="438" t="s">
        <v>17746</v>
      </c>
      <c r="F314" s="438" t="s">
        <v>48</v>
      </c>
      <c r="G314" s="438" t="s">
        <v>35</v>
      </c>
      <c r="H314" s="438" t="s">
        <v>65</v>
      </c>
      <c r="I314" s="438" t="s">
        <v>17747</v>
      </c>
      <c r="J314" s="439">
        <v>13447.0</v>
      </c>
      <c r="K314" s="440" t="s">
        <v>18148</v>
      </c>
    </row>
    <row r="315">
      <c r="A315" s="441">
        <v>45859.411828703705</v>
      </c>
      <c r="B315" s="442">
        <v>17960.0</v>
      </c>
      <c r="C315" s="442" t="s">
        <v>13266</v>
      </c>
      <c r="D315" s="442" t="s">
        <v>3395</v>
      </c>
      <c r="E315" s="442" t="s">
        <v>17756</v>
      </c>
      <c r="F315" s="442" t="s">
        <v>48</v>
      </c>
      <c r="G315" s="442" t="s">
        <v>35</v>
      </c>
      <c r="H315" s="442" t="s">
        <v>49</v>
      </c>
      <c r="I315" s="442" t="s">
        <v>13268</v>
      </c>
      <c r="J315" s="443">
        <v>13442.0</v>
      </c>
      <c r="K315" s="444" t="s">
        <v>18148</v>
      </c>
    </row>
    <row r="316">
      <c r="A316" s="437">
        <v>45859.41189814815</v>
      </c>
      <c r="B316" s="438">
        <v>17966.0</v>
      </c>
      <c r="C316" s="438" t="s">
        <v>17625</v>
      </c>
      <c r="D316" s="438" t="s">
        <v>3395</v>
      </c>
      <c r="E316" s="438" t="s">
        <v>17789</v>
      </c>
      <c r="F316" s="438" t="s">
        <v>48</v>
      </c>
      <c r="G316" s="438" t="s">
        <v>35</v>
      </c>
      <c r="H316" s="438" t="s">
        <v>49</v>
      </c>
      <c r="I316" s="438" t="s">
        <v>38</v>
      </c>
      <c r="J316" s="439">
        <v>13444.0</v>
      </c>
      <c r="K316" s="440" t="s">
        <v>18148</v>
      </c>
    </row>
    <row r="317">
      <c r="A317" s="441">
        <v>45859.4119212963</v>
      </c>
      <c r="B317" s="442">
        <v>17965.0</v>
      </c>
      <c r="C317" s="442" t="s">
        <v>1593</v>
      </c>
      <c r="D317" s="442" t="s">
        <v>72</v>
      </c>
      <c r="E317" s="442" t="s">
        <v>17784</v>
      </c>
      <c r="F317" s="442" t="s">
        <v>48</v>
      </c>
      <c r="G317" s="442" t="s">
        <v>35</v>
      </c>
      <c r="H317" s="442" t="s">
        <v>49</v>
      </c>
      <c r="I317" s="442" t="s">
        <v>17785</v>
      </c>
      <c r="J317" s="443">
        <v>13445.0</v>
      </c>
      <c r="K317" s="444" t="s">
        <v>18148</v>
      </c>
    </row>
    <row r="318">
      <c r="A318" s="437">
        <v>45859.411944444444</v>
      </c>
      <c r="B318" s="438">
        <v>17956.0</v>
      </c>
      <c r="C318" s="438" t="s">
        <v>8666</v>
      </c>
      <c r="D318" s="438" t="s">
        <v>85</v>
      </c>
      <c r="E318" s="438" t="s">
        <v>17736</v>
      </c>
      <c r="F318" s="438" t="s">
        <v>48</v>
      </c>
      <c r="G318" s="438" t="s">
        <v>35</v>
      </c>
      <c r="H318" s="438" t="s">
        <v>49</v>
      </c>
      <c r="I318" s="438" t="s">
        <v>38</v>
      </c>
      <c r="J318" s="439">
        <v>13443.0</v>
      </c>
      <c r="K318" s="440" t="s">
        <v>18148</v>
      </c>
    </row>
    <row r="319">
      <c r="A319" s="441">
        <v>45859.41197916667</v>
      </c>
      <c r="B319" s="442">
        <v>17958.0</v>
      </c>
      <c r="C319" s="442" t="s">
        <v>16801</v>
      </c>
      <c r="D319" s="442" t="s">
        <v>3395</v>
      </c>
      <c r="E319" s="442" t="s">
        <v>17746</v>
      </c>
      <c r="F319" s="442" t="s">
        <v>48</v>
      </c>
      <c r="G319" s="442" t="s">
        <v>35</v>
      </c>
      <c r="H319" s="442" t="s">
        <v>65</v>
      </c>
      <c r="I319" s="442" t="s">
        <v>17747</v>
      </c>
      <c r="J319" s="443">
        <v>13447.0</v>
      </c>
      <c r="K319" s="444" t="s">
        <v>18148</v>
      </c>
    </row>
    <row r="320">
      <c r="A320" s="437">
        <v>45859.44445601852</v>
      </c>
      <c r="B320" s="438">
        <v>17777.0</v>
      </c>
      <c r="C320" s="438" t="s">
        <v>24916</v>
      </c>
      <c r="D320" s="438" t="s">
        <v>7436</v>
      </c>
      <c r="E320" s="438">
        <v>20131.0</v>
      </c>
      <c r="F320" s="438" t="s">
        <v>33</v>
      </c>
      <c r="G320" s="438" t="s">
        <v>35</v>
      </c>
      <c r="H320" s="438" t="s">
        <v>49</v>
      </c>
      <c r="I320" s="438" t="s">
        <v>38</v>
      </c>
      <c r="J320" s="439"/>
      <c r="K320" s="440" t="s">
        <v>18148</v>
      </c>
    </row>
    <row r="321">
      <c r="A321" s="441">
        <v>45859.444502314815</v>
      </c>
      <c r="B321" s="442" t="s">
        <v>16988</v>
      </c>
      <c r="C321" s="442" t="s">
        <v>15141</v>
      </c>
      <c r="D321" s="442" t="s">
        <v>16989</v>
      </c>
      <c r="E321" s="442">
        <v>20133.0</v>
      </c>
      <c r="F321" s="442" t="s">
        <v>33</v>
      </c>
      <c r="G321" s="442" t="s">
        <v>35</v>
      </c>
      <c r="H321" s="442" t="s">
        <v>65</v>
      </c>
      <c r="I321" s="442" t="s">
        <v>38</v>
      </c>
      <c r="J321" s="443">
        <v>13441.0</v>
      </c>
      <c r="K321" s="444" t="s">
        <v>18148</v>
      </c>
    </row>
    <row r="322">
      <c r="A322" s="437">
        <v>45859.44452546296</v>
      </c>
      <c r="B322" s="438" t="s">
        <v>16988</v>
      </c>
      <c r="C322" s="438" t="s">
        <v>15141</v>
      </c>
      <c r="D322" s="438" t="s">
        <v>16989</v>
      </c>
      <c r="E322" s="438">
        <v>20133.0</v>
      </c>
      <c r="F322" s="438" t="s">
        <v>33</v>
      </c>
      <c r="G322" s="438" t="s">
        <v>35</v>
      </c>
      <c r="H322" s="438" t="s">
        <v>65</v>
      </c>
      <c r="I322" s="438" t="s">
        <v>38</v>
      </c>
      <c r="J322" s="439">
        <v>13441.0</v>
      </c>
      <c r="K322" s="440" t="s">
        <v>18148</v>
      </c>
    </row>
    <row r="323">
      <c r="A323" s="441">
        <v>45859.44452546296</v>
      </c>
      <c r="B323" s="442">
        <v>17962.0</v>
      </c>
      <c r="C323" s="442" t="s">
        <v>96</v>
      </c>
      <c r="D323" s="442" t="s">
        <v>14519</v>
      </c>
      <c r="E323" s="442">
        <v>20158.0</v>
      </c>
      <c r="F323" s="442" t="s">
        <v>48</v>
      </c>
      <c r="G323" s="442" t="s">
        <v>35</v>
      </c>
      <c r="H323" s="442" t="s">
        <v>49</v>
      </c>
      <c r="I323" s="442" t="s">
        <v>38</v>
      </c>
      <c r="J323" s="443">
        <v>13446.0</v>
      </c>
      <c r="K323" s="444" t="s">
        <v>18148</v>
      </c>
    </row>
    <row r="324">
      <c r="A324" s="437">
        <v>45859.444548611114</v>
      </c>
      <c r="B324" s="438">
        <v>17962.0</v>
      </c>
      <c r="C324" s="438" t="s">
        <v>96</v>
      </c>
      <c r="D324" s="438" t="s">
        <v>14519</v>
      </c>
      <c r="E324" s="438">
        <v>20158.0</v>
      </c>
      <c r="F324" s="438" t="s">
        <v>48</v>
      </c>
      <c r="G324" s="438" t="s">
        <v>35</v>
      </c>
      <c r="H324" s="438" t="s">
        <v>49</v>
      </c>
      <c r="I324" s="438" t="s">
        <v>38</v>
      </c>
      <c r="J324" s="439">
        <v>13446.0</v>
      </c>
      <c r="K324" s="440" t="s">
        <v>18148</v>
      </c>
    </row>
    <row r="325">
      <c r="A325" s="441">
        <v>45859.44572916667</v>
      </c>
      <c r="B325" s="442">
        <v>17777.0</v>
      </c>
      <c r="C325" s="442" t="s">
        <v>24916</v>
      </c>
      <c r="D325" s="442" t="s">
        <v>7436</v>
      </c>
      <c r="E325" s="442">
        <v>20131.0</v>
      </c>
      <c r="F325" s="442" t="s">
        <v>33</v>
      </c>
      <c r="G325" s="442" t="s">
        <v>35</v>
      </c>
      <c r="H325" s="442" t="s">
        <v>49</v>
      </c>
      <c r="I325" s="442" t="s">
        <v>38</v>
      </c>
      <c r="J325" s="443"/>
      <c r="K325" s="444" t="s">
        <v>18148</v>
      </c>
    </row>
    <row r="326">
      <c r="A326" s="437">
        <v>45859.44603009259</v>
      </c>
      <c r="B326" s="438" t="s">
        <v>16993</v>
      </c>
      <c r="C326" s="438" t="s">
        <v>15141</v>
      </c>
      <c r="D326" s="438" t="s">
        <v>2288</v>
      </c>
      <c r="E326" s="438">
        <v>20132.0</v>
      </c>
      <c r="F326" s="438" t="s">
        <v>33</v>
      </c>
      <c r="G326" s="438" t="s">
        <v>35</v>
      </c>
      <c r="H326" s="438" t="s">
        <v>65</v>
      </c>
      <c r="I326" s="438" t="s">
        <v>38</v>
      </c>
      <c r="J326" s="439">
        <v>13441.0</v>
      </c>
      <c r="K326" s="440" t="s">
        <v>18148</v>
      </c>
    </row>
    <row r="327">
      <c r="A327" s="441">
        <v>45859.446909722225</v>
      </c>
      <c r="B327" s="442" t="s">
        <v>16993</v>
      </c>
      <c r="C327" s="442" t="s">
        <v>15141</v>
      </c>
      <c r="D327" s="442" t="s">
        <v>2288</v>
      </c>
      <c r="E327" s="442">
        <v>20132.0</v>
      </c>
      <c r="F327" s="442" t="s">
        <v>33</v>
      </c>
      <c r="G327" s="442" t="s">
        <v>35</v>
      </c>
      <c r="H327" s="442" t="s">
        <v>65</v>
      </c>
      <c r="I327" s="442" t="s">
        <v>38</v>
      </c>
      <c r="J327" s="443">
        <v>13441.0</v>
      </c>
      <c r="K327" s="444" t="s">
        <v>18148</v>
      </c>
    </row>
    <row r="328">
      <c r="A328" s="437">
        <v>45859.55668981482</v>
      </c>
      <c r="B328" s="438">
        <v>17958.0</v>
      </c>
      <c r="C328" s="438" t="s">
        <v>16801</v>
      </c>
      <c r="D328" s="438" t="s">
        <v>3395</v>
      </c>
      <c r="E328" s="438" t="s">
        <v>17746</v>
      </c>
      <c r="F328" s="438" t="s">
        <v>48</v>
      </c>
      <c r="G328" s="438" t="s">
        <v>35</v>
      </c>
      <c r="H328" s="438" t="s">
        <v>49</v>
      </c>
      <c r="I328" s="438" t="s">
        <v>17747</v>
      </c>
      <c r="J328" s="439">
        <v>13447.0</v>
      </c>
      <c r="K328" s="440" t="s">
        <v>18148</v>
      </c>
    </row>
    <row r="329">
      <c r="A329" s="441">
        <v>45859.55708333333</v>
      </c>
      <c r="B329" s="442">
        <v>17958.0</v>
      </c>
      <c r="C329" s="442" t="s">
        <v>16801</v>
      </c>
      <c r="D329" s="442" t="s">
        <v>3395</v>
      </c>
      <c r="E329" s="442" t="s">
        <v>17746</v>
      </c>
      <c r="F329" s="442" t="s">
        <v>48</v>
      </c>
      <c r="G329" s="442" t="s">
        <v>35</v>
      </c>
      <c r="H329" s="442" t="s">
        <v>49</v>
      </c>
      <c r="I329" s="442" t="s">
        <v>17747</v>
      </c>
      <c r="J329" s="443">
        <v>13447.0</v>
      </c>
      <c r="K329" s="444" t="s">
        <v>18148</v>
      </c>
    </row>
    <row r="330">
      <c r="A330" s="437">
        <v>45859.558275462965</v>
      </c>
      <c r="B330" s="438">
        <v>17958.0</v>
      </c>
      <c r="C330" s="438" t="s">
        <v>16801</v>
      </c>
      <c r="D330" s="438" t="s">
        <v>3395</v>
      </c>
      <c r="E330" s="438" t="s">
        <v>17746</v>
      </c>
      <c r="F330" s="438" t="s">
        <v>48</v>
      </c>
      <c r="G330" s="438" t="s">
        <v>35</v>
      </c>
      <c r="H330" s="438" t="s">
        <v>49</v>
      </c>
      <c r="I330" s="438" t="s">
        <v>17747</v>
      </c>
      <c r="J330" s="439">
        <v>13447.0</v>
      </c>
      <c r="K330" s="440" t="s">
        <v>18148</v>
      </c>
    </row>
    <row r="331">
      <c r="A331" s="441">
        <v>45859.56002314815</v>
      </c>
      <c r="B331" s="442">
        <v>17954.0</v>
      </c>
      <c r="C331" s="442" t="s">
        <v>7173</v>
      </c>
      <c r="D331" s="442" t="s">
        <v>6133</v>
      </c>
      <c r="E331" s="442" t="s">
        <v>17726</v>
      </c>
      <c r="F331" s="442" t="s">
        <v>48</v>
      </c>
      <c r="G331" s="442" t="s">
        <v>35</v>
      </c>
      <c r="H331" s="442" t="s">
        <v>518</v>
      </c>
      <c r="I331" s="442" t="s">
        <v>38</v>
      </c>
      <c r="J331" s="443">
        <v>13450.0</v>
      </c>
      <c r="K331" s="444" t="s">
        <v>18148</v>
      </c>
    </row>
    <row r="332">
      <c r="A332" s="437">
        <v>45859.56018518518</v>
      </c>
      <c r="B332" s="438">
        <v>17954.0</v>
      </c>
      <c r="C332" s="438" t="s">
        <v>7173</v>
      </c>
      <c r="D332" s="438" t="s">
        <v>6133</v>
      </c>
      <c r="E332" s="438" t="s">
        <v>17726</v>
      </c>
      <c r="F332" s="438" t="s">
        <v>48</v>
      </c>
      <c r="G332" s="438" t="s">
        <v>35</v>
      </c>
      <c r="H332" s="438" t="s">
        <v>518</v>
      </c>
      <c r="I332" s="438" t="s">
        <v>38</v>
      </c>
      <c r="J332" s="439">
        <v>13450.0</v>
      </c>
      <c r="K332" s="440" t="s">
        <v>18148</v>
      </c>
    </row>
    <row r="333">
      <c r="A333" s="441">
        <v>45859.581655092596</v>
      </c>
      <c r="B333" s="442">
        <v>17953.0</v>
      </c>
      <c r="C333" s="442" t="s">
        <v>3674</v>
      </c>
      <c r="D333" s="442" t="s">
        <v>91</v>
      </c>
      <c r="E333" s="442" t="s">
        <v>17721</v>
      </c>
      <c r="F333" s="442" t="s">
        <v>48</v>
      </c>
      <c r="G333" s="442" t="s">
        <v>35</v>
      </c>
      <c r="H333" s="442" t="s">
        <v>65</v>
      </c>
      <c r="I333" s="442" t="s">
        <v>38</v>
      </c>
      <c r="J333" s="443">
        <v>13451.0</v>
      </c>
      <c r="K333" s="444" t="s">
        <v>18148</v>
      </c>
    </row>
    <row r="334">
      <c r="A334" s="437">
        <v>45859.58184027778</v>
      </c>
      <c r="B334" s="438">
        <v>17953.0</v>
      </c>
      <c r="C334" s="438" t="s">
        <v>3674</v>
      </c>
      <c r="D334" s="438" t="s">
        <v>91</v>
      </c>
      <c r="E334" s="438" t="s">
        <v>17721</v>
      </c>
      <c r="F334" s="438" t="s">
        <v>48</v>
      </c>
      <c r="G334" s="438" t="s">
        <v>35</v>
      </c>
      <c r="H334" s="438" t="s">
        <v>65</v>
      </c>
      <c r="I334" s="438" t="s">
        <v>38</v>
      </c>
      <c r="J334" s="439">
        <v>13451.0</v>
      </c>
      <c r="K334" s="440" t="s">
        <v>18148</v>
      </c>
    </row>
    <row r="335">
      <c r="A335" s="441">
        <v>45859.59150462963</v>
      </c>
      <c r="B335" s="442">
        <v>17954.0</v>
      </c>
      <c r="C335" s="442" t="s">
        <v>7173</v>
      </c>
      <c r="D335" s="442" t="s">
        <v>6133</v>
      </c>
      <c r="E335" s="442" t="s">
        <v>17726</v>
      </c>
      <c r="F335" s="442" t="s">
        <v>48</v>
      </c>
      <c r="G335" s="442" t="s">
        <v>35</v>
      </c>
      <c r="H335" s="442" t="s">
        <v>65</v>
      </c>
      <c r="I335" s="442" t="s">
        <v>38</v>
      </c>
      <c r="J335" s="443">
        <v>13450.0</v>
      </c>
      <c r="K335" s="444" t="s">
        <v>18148</v>
      </c>
    </row>
    <row r="336">
      <c r="A336" s="437">
        <v>45859.59153935185</v>
      </c>
      <c r="B336" s="438">
        <v>17954.0</v>
      </c>
      <c r="C336" s="438" t="s">
        <v>7173</v>
      </c>
      <c r="D336" s="438" t="s">
        <v>6133</v>
      </c>
      <c r="E336" s="438" t="s">
        <v>17726</v>
      </c>
      <c r="F336" s="438" t="s">
        <v>48</v>
      </c>
      <c r="G336" s="438" t="s">
        <v>35</v>
      </c>
      <c r="H336" s="438" t="s">
        <v>65</v>
      </c>
      <c r="I336" s="438" t="s">
        <v>38</v>
      </c>
      <c r="J336" s="439">
        <v>13450.0</v>
      </c>
      <c r="K336" s="440" t="s">
        <v>18148</v>
      </c>
    </row>
    <row r="337">
      <c r="A337" s="441">
        <v>45859.591574074075</v>
      </c>
      <c r="B337" s="442">
        <v>17949.0</v>
      </c>
      <c r="C337" s="442" t="s">
        <v>4313</v>
      </c>
      <c r="D337" s="442" t="s">
        <v>1119</v>
      </c>
      <c r="E337" s="442">
        <v>14048.0</v>
      </c>
      <c r="F337" s="442" t="s">
        <v>33</v>
      </c>
      <c r="G337" s="442" t="s">
        <v>35</v>
      </c>
      <c r="H337" s="442" t="s">
        <v>92</v>
      </c>
      <c r="I337" s="442" t="s">
        <v>38</v>
      </c>
      <c r="J337" s="443">
        <v>13440.0</v>
      </c>
      <c r="K337" s="444" t="s">
        <v>18148</v>
      </c>
    </row>
    <row r="338">
      <c r="A338" s="437">
        <v>45859.59158564815</v>
      </c>
      <c r="B338" s="438">
        <v>17949.0</v>
      </c>
      <c r="C338" s="438" t="s">
        <v>4313</v>
      </c>
      <c r="D338" s="438" t="s">
        <v>1119</v>
      </c>
      <c r="E338" s="438">
        <v>14048.0</v>
      </c>
      <c r="F338" s="438" t="s">
        <v>33</v>
      </c>
      <c r="G338" s="438" t="s">
        <v>35</v>
      </c>
      <c r="H338" s="438" t="s">
        <v>92</v>
      </c>
      <c r="I338" s="438" t="s">
        <v>38</v>
      </c>
      <c r="J338" s="439">
        <v>13440.0</v>
      </c>
      <c r="K338" s="440" t="s">
        <v>18148</v>
      </c>
    </row>
    <row r="339">
      <c r="A339" s="441">
        <v>45860.40017361111</v>
      </c>
      <c r="B339" s="442" t="s">
        <v>17646</v>
      </c>
      <c r="C339" s="442" t="s">
        <v>10785</v>
      </c>
      <c r="D339" s="442" t="s">
        <v>15373</v>
      </c>
      <c r="E339" s="442">
        <v>20151.0</v>
      </c>
      <c r="F339" s="442" t="s">
        <v>48</v>
      </c>
      <c r="G339" s="442" t="s">
        <v>35</v>
      </c>
      <c r="H339" s="442" t="s">
        <v>92</v>
      </c>
      <c r="I339" s="442" t="s">
        <v>38</v>
      </c>
      <c r="J339" s="443">
        <v>13454.0</v>
      </c>
      <c r="K339" s="444" t="s">
        <v>18148</v>
      </c>
    </row>
    <row r="340">
      <c r="A340" s="437">
        <v>45860.40020833333</v>
      </c>
      <c r="B340" s="438" t="s">
        <v>17643</v>
      </c>
      <c r="C340" s="438" t="s">
        <v>10785</v>
      </c>
      <c r="D340" s="438" t="s">
        <v>15373</v>
      </c>
      <c r="E340" s="438">
        <v>20150.0</v>
      </c>
      <c r="F340" s="438" t="s">
        <v>48</v>
      </c>
      <c r="G340" s="438" t="s">
        <v>35</v>
      </c>
      <c r="H340" s="438" t="s">
        <v>92</v>
      </c>
      <c r="I340" s="438" t="s">
        <v>38</v>
      </c>
      <c r="J340" s="439">
        <v>13454.0</v>
      </c>
      <c r="K340" s="440" t="s">
        <v>18148</v>
      </c>
    </row>
    <row r="341">
      <c r="A341" s="441">
        <v>45860.4415625</v>
      </c>
      <c r="B341" s="442">
        <v>17878.0</v>
      </c>
      <c r="C341" s="442" t="s">
        <v>17327</v>
      </c>
      <c r="D341" s="442" t="s">
        <v>3441</v>
      </c>
      <c r="E341" s="442" t="s">
        <v>17328</v>
      </c>
      <c r="F341" s="442" t="s">
        <v>48</v>
      </c>
      <c r="G341" s="442" t="s">
        <v>35</v>
      </c>
      <c r="H341" s="442" t="s">
        <v>65</v>
      </c>
      <c r="I341" s="442" t="s">
        <v>38</v>
      </c>
      <c r="J341" s="443">
        <v>13456.0</v>
      </c>
      <c r="K341" s="444" t="s">
        <v>18148</v>
      </c>
    </row>
    <row r="342">
      <c r="A342" s="437">
        <v>45860.44158564815</v>
      </c>
      <c r="B342" s="438">
        <v>17948.0</v>
      </c>
      <c r="C342" s="438" t="s">
        <v>17702</v>
      </c>
      <c r="D342" s="438" t="s">
        <v>72</v>
      </c>
      <c r="E342" s="438" t="s">
        <v>17703</v>
      </c>
      <c r="F342" s="438" t="s">
        <v>48</v>
      </c>
      <c r="G342" s="438" t="s">
        <v>35</v>
      </c>
      <c r="H342" s="438" t="s">
        <v>65</v>
      </c>
      <c r="I342" s="438" t="s">
        <v>38</v>
      </c>
      <c r="J342" s="439">
        <v>13455.0</v>
      </c>
      <c r="K342" s="440" t="s">
        <v>18148</v>
      </c>
    </row>
    <row r="343">
      <c r="A343" s="441">
        <v>45860.44173611111</v>
      </c>
      <c r="B343" s="442">
        <v>17933.0</v>
      </c>
      <c r="C343" s="442" t="s">
        <v>17639</v>
      </c>
      <c r="D343" s="442" t="s">
        <v>91</v>
      </c>
      <c r="E343" s="442" t="s">
        <v>17640</v>
      </c>
      <c r="F343" s="442" t="s">
        <v>48</v>
      </c>
      <c r="G343" s="442" t="s">
        <v>35</v>
      </c>
      <c r="H343" s="442" t="s">
        <v>65</v>
      </c>
      <c r="I343" s="442" t="s">
        <v>38</v>
      </c>
      <c r="J343" s="443">
        <v>13457.0</v>
      </c>
      <c r="K343" s="444" t="s">
        <v>18148</v>
      </c>
    </row>
    <row r="344">
      <c r="A344" s="437">
        <v>45860.44211805556</v>
      </c>
      <c r="B344" s="438">
        <v>17878.0</v>
      </c>
      <c r="C344" s="438" t="s">
        <v>17327</v>
      </c>
      <c r="D344" s="438" t="s">
        <v>3441</v>
      </c>
      <c r="E344" s="438" t="s">
        <v>17328</v>
      </c>
      <c r="F344" s="438" t="s">
        <v>48</v>
      </c>
      <c r="G344" s="438" t="s">
        <v>35</v>
      </c>
      <c r="H344" s="438" t="s">
        <v>65</v>
      </c>
      <c r="I344" s="438" t="s">
        <v>38</v>
      </c>
      <c r="J344" s="439">
        <v>13456.0</v>
      </c>
      <c r="K344" s="440" t="s">
        <v>18148</v>
      </c>
    </row>
    <row r="345">
      <c r="A345" s="441">
        <v>45860.44226851852</v>
      </c>
      <c r="B345" s="442">
        <v>17948.0</v>
      </c>
      <c r="C345" s="442" t="s">
        <v>17702</v>
      </c>
      <c r="D345" s="442" t="s">
        <v>72</v>
      </c>
      <c r="E345" s="442" t="s">
        <v>17703</v>
      </c>
      <c r="F345" s="442" t="s">
        <v>48</v>
      </c>
      <c r="G345" s="442" t="s">
        <v>35</v>
      </c>
      <c r="H345" s="442" t="s">
        <v>65</v>
      </c>
      <c r="I345" s="442" t="s">
        <v>38</v>
      </c>
      <c r="J345" s="443">
        <v>13455.0</v>
      </c>
      <c r="K345" s="444" t="s">
        <v>18148</v>
      </c>
    </row>
    <row r="346">
      <c r="A346" s="437">
        <v>45860.44248842593</v>
      </c>
      <c r="B346" s="438">
        <v>17933.0</v>
      </c>
      <c r="C346" s="438" t="s">
        <v>17639</v>
      </c>
      <c r="D346" s="438" t="s">
        <v>91</v>
      </c>
      <c r="E346" s="438" t="s">
        <v>17640</v>
      </c>
      <c r="F346" s="438" t="s">
        <v>48</v>
      </c>
      <c r="G346" s="438" t="s">
        <v>35</v>
      </c>
      <c r="H346" s="438" t="s">
        <v>65</v>
      </c>
      <c r="I346" s="438" t="s">
        <v>38</v>
      </c>
      <c r="J346" s="439">
        <v>13457.0</v>
      </c>
      <c r="K346" s="440" t="s">
        <v>18148</v>
      </c>
    </row>
    <row r="347">
      <c r="A347" s="441">
        <v>45860.55298611111</v>
      </c>
      <c r="B347" s="442">
        <v>17218.0</v>
      </c>
      <c r="C347" s="442" t="s">
        <v>14195</v>
      </c>
      <c r="D347" s="442" t="s">
        <v>91</v>
      </c>
      <c r="E347" s="442" t="s">
        <v>14196</v>
      </c>
      <c r="F347" s="442" t="s">
        <v>48</v>
      </c>
      <c r="G347" s="442" t="s">
        <v>35</v>
      </c>
      <c r="H347" s="442" t="s">
        <v>65</v>
      </c>
      <c r="I347" s="442" t="s">
        <v>38</v>
      </c>
      <c r="J347" s="443"/>
      <c r="K347" s="444" t="s">
        <v>22853</v>
      </c>
    </row>
    <row r="348">
      <c r="A348" s="437">
        <v>45860.57150462963</v>
      </c>
      <c r="B348" s="438" t="s">
        <v>17357</v>
      </c>
      <c r="C348" s="438" t="s">
        <v>17358</v>
      </c>
      <c r="D348" s="438" t="s">
        <v>4430</v>
      </c>
      <c r="E348" s="438" t="s">
        <v>17359</v>
      </c>
      <c r="F348" s="438" t="s">
        <v>48</v>
      </c>
      <c r="G348" s="438" t="s">
        <v>35</v>
      </c>
      <c r="H348" s="438" t="s">
        <v>49</v>
      </c>
      <c r="I348" s="438" t="s">
        <v>16881</v>
      </c>
      <c r="J348" s="439">
        <v>13459.0</v>
      </c>
      <c r="K348" s="440" t="s">
        <v>18148</v>
      </c>
    </row>
    <row r="349">
      <c r="A349" s="441">
        <v>45860.57152777778</v>
      </c>
      <c r="B349" s="442" t="s">
        <v>17363</v>
      </c>
      <c r="C349" s="442" t="s">
        <v>17358</v>
      </c>
      <c r="D349" s="442" t="s">
        <v>4430</v>
      </c>
      <c r="E349" s="442" t="s">
        <v>17364</v>
      </c>
      <c r="F349" s="442" t="s">
        <v>48</v>
      </c>
      <c r="G349" s="442" t="s">
        <v>35</v>
      </c>
      <c r="H349" s="442" t="s">
        <v>49</v>
      </c>
      <c r="I349" s="442" t="s">
        <v>16881</v>
      </c>
      <c r="J349" s="443">
        <v>13459.0</v>
      </c>
      <c r="K349" s="444" t="s">
        <v>18148</v>
      </c>
    </row>
    <row r="350">
      <c r="A350" s="437">
        <v>45860.571539351855</v>
      </c>
      <c r="B350" s="438" t="s">
        <v>17363</v>
      </c>
      <c r="C350" s="438" t="s">
        <v>17358</v>
      </c>
      <c r="D350" s="438" t="s">
        <v>4430</v>
      </c>
      <c r="E350" s="438" t="s">
        <v>17364</v>
      </c>
      <c r="F350" s="438" t="s">
        <v>48</v>
      </c>
      <c r="G350" s="438" t="s">
        <v>35</v>
      </c>
      <c r="H350" s="438" t="s">
        <v>49</v>
      </c>
      <c r="I350" s="438" t="s">
        <v>16881</v>
      </c>
      <c r="J350" s="439">
        <v>13459.0</v>
      </c>
      <c r="K350" s="440" t="s">
        <v>18148</v>
      </c>
    </row>
    <row r="351">
      <c r="A351" s="441">
        <v>45860.5715625</v>
      </c>
      <c r="B351" s="442" t="s">
        <v>16719</v>
      </c>
      <c r="C351" s="442" t="s">
        <v>16720</v>
      </c>
      <c r="D351" s="442" t="s">
        <v>135</v>
      </c>
      <c r="E351" s="442">
        <v>20145.0</v>
      </c>
      <c r="F351" s="442" t="s">
        <v>48</v>
      </c>
      <c r="G351" s="442" t="s">
        <v>35</v>
      </c>
      <c r="H351" s="442" t="s">
        <v>65</v>
      </c>
      <c r="I351" s="442" t="s">
        <v>38</v>
      </c>
      <c r="J351" s="443">
        <v>13460.0</v>
      </c>
      <c r="K351" s="444" t="s">
        <v>18148</v>
      </c>
    </row>
    <row r="352">
      <c r="A352" s="437">
        <v>45860.57158564815</v>
      </c>
      <c r="B352" s="438" t="s">
        <v>16719</v>
      </c>
      <c r="C352" s="438" t="s">
        <v>16720</v>
      </c>
      <c r="D352" s="438" t="s">
        <v>135</v>
      </c>
      <c r="E352" s="438">
        <v>20145.0</v>
      </c>
      <c r="F352" s="438" t="s">
        <v>48</v>
      </c>
      <c r="G352" s="438" t="s">
        <v>35</v>
      </c>
      <c r="H352" s="438" t="s">
        <v>65</v>
      </c>
      <c r="I352" s="438" t="s">
        <v>38</v>
      </c>
      <c r="J352" s="439">
        <v>13460.0</v>
      </c>
      <c r="K352" s="440" t="s">
        <v>18148</v>
      </c>
    </row>
    <row r="353">
      <c r="A353" s="441">
        <v>45860.571597222224</v>
      </c>
      <c r="B353" s="442" t="s">
        <v>16724</v>
      </c>
      <c r="C353" s="442" t="s">
        <v>16720</v>
      </c>
      <c r="D353" s="442" t="s">
        <v>11957</v>
      </c>
      <c r="E353" s="442">
        <v>20146.0</v>
      </c>
      <c r="F353" s="442" t="s">
        <v>48</v>
      </c>
      <c r="G353" s="442" t="s">
        <v>35</v>
      </c>
      <c r="H353" s="442" t="s">
        <v>65</v>
      </c>
      <c r="I353" s="442" t="s">
        <v>38</v>
      </c>
      <c r="J353" s="443">
        <v>13460.0</v>
      </c>
      <c r="K353" s="444" t="s">
        <v>18148</v>
      </c>
    </row>
    <row r="354">
      <c r="A354" s="437">
        <v>45860.571608796294</v>
      </c>
      <c r="B354" s="438" t="s">
        <v>16724</v>
      </c>
      <c r="C354" s="438" t="s">
        <v>16720</v>
      </c>
      <c r="D354" s="438" t="s">
        <v>11957</v>
      </c>
      <c r="E354" s="438">
        <v>20146.0</v>
      </c>
      <c r="F354" s="438" t="s">
        <v>48</v>
      </c>
      <c r="G354" s="438" t="s">
        <v>35</v>
      </c>
      <c r="H354" s="438" t="s">
        <v>65</v>
      </c>
      <c r="I354" s="438" t="s">
        <v>38</v>
      </c>
      <c r="J354" s="439">
        <v>13460.0</v>
      </c>
      <c r="K354" s="440" t="s">
        <v>18148</v>
      </c>
    </row>
    <row r="355">
      <c r="A355" s="441">
        <v>45860.57163194445</v>
      </c>
      <c r="B355" s="442" t="s">
        <v>17357</v>
      </c>
      <c r="C355" s="442" t="s">
        <v>17358</v>
      </c>
      <c r="D355" s="442" t="s">
        <v>4430</v>
      </c>
      <c r="E355" s="442" t="s">
        <v>17359</v>
      </c>
      <c r="F355" s="442" t="s">
        <v>48</v>
      </c>
      <c r="G355" s="442" t="s">
        <v>35</v>
      </c>
      <c r="H355" s="442" t="s">
        <v>49</v>
      </c>
      <c r="I355" s="442" t="s">
        <v>16881</v>
      </c>
      <c r="J355" s="443">
        <v>13459.0</v>
      </c>
      <c r="K355" s="444" t="s">
        <v>18148</v>
      </c>
    </row>
    <row r="356">
      <c r="A356" s="437">
        <v>45860.57163194445</v>
      </c>
      <c r="B356" s="438">
        <v>17969.0</v>
      </c>
      <c r="C356" s="438" t="s">
        <v>4293</v>
      </c>
      <c r="D356" s="438" t="s">
        <v>112</v>
      </c>
      <c r="E356" s="438" t="s">
        <v>17798</v>
      </c>
      <c r="F356" s="438" t="s">
        <v>48</v>
      </c>
      <c r="G356" s="438" t="s">
        <v>35</v>
      </c>
      <c r="H356" s="438" t="s">
        <v>65</v>
      </c>
      <c r="I356" s="438" t="s">
        <v>38</v>
      </c>
      <c r="J356" s="439">
        <v>13458.0</v>
      </c>
      <c r="K356" s="440" t="s">
        <v>18148</v>
      </c>
    </row>
    <row r="357">
      <c r="A357" s="441">
        <v>45860.57165509259</v>
      </c>
      <c r="B357" s="442">
        <v>17969.0</v>
      </c>
      <c r="C357" s="442" t="s">
        <v>4293</v>
      </c>
      <c r="D357" s="442" t="s">
        <v>112</v>
      </c>
      <c r="E357" s="442" t="s">
        <v>17798</v>
      </c>
      <c r="F357" s="442" t="s">
        <v>48</v>
      </c>
      <c r="G357" s="442" t="s">
        <v>35</v>
      </c>
      <c r="H357" s="442" t="s">
        <v>65</v>
      </c>
      <c r="I357" s="442" t="s">
        <v>38</v>
      </c>
      <c r="J357" s="443">
        <v>13458.0</v>
      </c>
      <c r="K357" s="444" t="s">
        <v>18148</v>
      </c>
    </row>
    <row r="358">
      <c r="A358" s="437">
        <v>45860.57165509259</v>
      </c>
      <c r="B358" s="438">
        <v>17218.0</v>
      </c>
      <c r="C358" s="438" t="s">
        <v>14195</v>
      </c>
      <c r="D358" s="438" t="s">
        <v>91</v>
      </c>
      <c r="E358" s="438" t="s">
        <v>14196</v>
      </c>
      <c r="F358" s="438" t="s">
        <v>48</v>
      </c>
      <c r="G358" s="438" t="s">
        <v>35</v>
      </c>
      <c r="H358" s="438" t="s">
        <v>65</v>
      </c>
      <c r="I358" s="438" t="s">
        <v>38</v>
      </c>
      <c r="J358" s="439">
        <v>13461.0</v>
      </c>
      <c r="K358" s="440" t="s">
        <v>18148</v>
      </c>
    </row>
    <row r="359">
      <c r="A359" s="441">
        <v>45860.57165509259</v>
      </c>
      <c r="B359" s="442">
        <v>17218.0</v>
      </c>
      <c r="C359" s="442" t="s">
        <v>14195</v>
      </c>
      <c r="D359" s="442" t="s">
        <v>91</v>
      </c>
      <c r="E359" s="442" t="s">
        <v>14196</v>
      </c>
      <c r="F359" s="442" t="s">
        <v>48</v>
      </c>
      <c r="G359" s="442" t="s">
        <v>35</v>
      </c>
      <c r="H359" s="442" t="s">
        <v>65</v>
      </c>
      <c r="I359" s="442" t="s">
        <v>38</v>
      </c>
      <c r="J359" s="443">
        <v>13461.0</v>
      </c>
      <c r="K359" s="444" t="s">
        <v>18148</v>
      </c>
    </row>
    <row r="360">
      <c r="A360" s="437">
        <v>45860.63520833333</v>
      </c>
      <c r="B360" s="438">
        <v>17942.0</v>
      </c>
      <c r="C360" s="438" t="s">
        <v>96</v>
      </c>
      <c r="D360" s="438" t="s">
        <v>11957</v>
      </c>
      <c r="E360" s="438">
        <v>20157.0</v>
      </c>
      <c r="F360" s="438" t="s">
        <v>48</v>
      </c>
      <c r="G360" s="438" t="s">
        <v>35</v>
      </c>
      <c r="H360" s="438" t="s">
        <v>49</v>
      </c>
      <c r="I360" s="438" t="s">
        <v>38</v>
      </c>
      <c r="J360" s="439">
        <v>13462.0</v>
      </c>
      <c r="K360" s="440" t="s">
        <v>18148</v>
      </c>
    </row>
    <row r="361">
      <c r="A361" s="441">
        <v>45860.635347222225</v>
      </c>
      <c r="B361" s="442">
        <v>17942.0</v>
      </c>
      <c r="C361" s="442" t="s">
        <v>96</v>
      </c>
      <c r="D361" s="442" t="s">
        <v>11957</v>
      </c>
      <c r="E361" s="442">
        <v>20157.0</v>
      </c>
      <c r="F361" s="442" t="s">
        <v>48</v>
      </c>
      <c r="G361" s="442" t="s">
        <v>35</v>
      </c>
      <c r="H361" s="442" t="s">
        <v>49</v>
      </c>
      <c r="I361" s="442" t="s">
        <v>38</v>
      </c>
      <c r="J361" s="443">
        <v>13462.0</v>
      </c>
      <c r="K361" s="444" t="s">
        <v>18148</v>
      </c>
    </row>
    <row r="362">
      <c r="A362" s="437">
        <v>45861.48737268519</v>
      </c>
      <c r="B362" s="438">
        <v>17920.0</v>
      </c>
      <c r="C362" s="438" t="s">
        <v>147</v>
      </c>
      <c r="D362" s="438" t="s">
        <v>3441</v>
      </c>
      <c r="E362" s="438" t="s">
        <v>17575</v>
      </c>
      <c r="F362" s="438" t="s">
        <v>48</v>
      </c>
      <c r="G362" s="438" t="s">
        <v>35</v>
      </c>
      <c r="H362" s="438" t="s">
        <v>65</v>
      </c>
      <c r="I362" s="438" t="s">
        <v>38</v>
      </c>
      <c r="J362" s="439">
        <v>13467.0</v>
      </c>
      <c r="K362" s="440" t="s">
        <v>18148</v>
      </c>
    </row>
    <row r="363">
      <c r="A363" s="441">
        <v>45861.48738425926</v>
      </c>
      <c r="B363" s="442">
        <v>17984.0</v>
      </c>
      <c r="C363" s="442" t="s">
        <v>17896</v>
      </c>
      <c r="D363" s="442" t="s">
        <v>112</v>
      </c>
      <c r="E363" s="442" t="s">
        <v>17897</v>
      </c>
      <c r="F363" s="442" t="s">
        <v>48</v>
      </c>
      <c r="G363" s="442" t="s">
        <v>35</v>
      </c>
      <c r="H363" s="442" t="s">
        <v>65</v>
      </c>
      <c r="I363" s="442" t="s">
        <v>38</v>
      </c>
      <c r="J363" s="443"/>
      <c r="K363" s="444" t="s">
        <v>18148</v>
      </c>
    </row>
    <row r="364">
      <c r="A364" s="437">
        <v>45861.487395833334</v>
      </c>
      <c r="B364" s="438">
        <v>17920.0</v>
      </c>
      <c r="C364" s="438" t="s">
        <v>147</v>
      </c>
      <c r="D364" s="438" t="s">
        <v>3441</v>
      </c>
      <c r="E364" s="438" t="s">
        <v>17575</v>
      </c>
      <c r="F364" s="438" t="s">
        <v>48</v>
      </c>
      <c r="G364" s="438" t="s">
        <v>35</v>
      </c>
      <c r="H364" s="438" t="s">
        <v>65</v>
      </c>
      <c r="I364" s="438" t="s">
        <v>38</v>
      </c>
      <c r="J364" s="439">
        <v>13467.0</v>
      </c>
      <c r="K364" s="440" t="s">
        <v>18148</v>
      </c>
    </row>
    <row r="365">
      <c r="A365" s="441">
        <v>45861.48740740741</v>
      </c>
      <c r="B365" s="442">
        <v>17984.0</v>
      </c>
      <c r="C365" s="442" t="s">
        <v>17896</v>
      </c>
      <c r="D365" s="442" t="s">
        <v>112</v>
      </c>
      <c r="E365" s="442" t="s">
        <v>17897</v>
      </c>
      <c r="F365" s="442" t="s">
        <v>48</v>
      </c>
      <c r="G365" s="442" t="s">
        <v>35</v>
      </c>
      <c r="H365" s="442" t="s">
        <v>65</v>
      </c>
      <c r="I365" s="442" t="s">
        <v>38</v>
      </c>
      <c r="J365" s="443"/>
      <c r="K365" s="444" t="s">
        <v>18148</v>
      </c>
    </row>
    <row r="366">
      <c r="A366" s="437">
        <v>45861.48753472222</v>
      </c>
      <c r="B366" s="438">
        <v>17979.0</v>
      </c>
      <c r="C366" s="438" t="s">
        <v>11507</v>
      </c>
      <c r="D366" s="438" t="s">
        <v>85</v>
      </c>
      <c r="E366" s="438" t="s">
        <v>17888</v>
      </c>
      <c r="F366" s="438" t="s">
        <v>48</v>
      </c>
      <c r="G366" s="438" t="s">
        <v>35</v>
      </c>
      <c r="H366" s="438" t="s">
        <v>49</v>
      </c>
      <c r="I366" s="438" t="s">
        <v>38</v>
      </c>
      <c r="J366" s="439">
        <v>13468.0</v>
      </c>
      <c r="K366" s="440" t="s">
        <v>18148</v>
      </c>
    </row>
    <row r="367">
      <c r="A367" s="441">
        <v>45861.487546296295</v>
      </c>
      <c r="B367" s="442">
        <v>17979.0</v>
      </c>
      <c r="C367" s="442" t="s">
        <v>11507</v>
      </c>
      <c r="D367" s="442" t="s">
        <v>85</v>
      </c>
      <c r="E367" s="442" t="s">
        <v>17888</v>
      </c>
      <c r="F367" s="442" t="s">
        <v>48</v>
      </c>
      <c r="G367" s="442" t="s">
        <v>35</v>
      </c>
      <c r="H367" s="442" t="s">
        <v>49</v>
      </c>
      <c r="I367" s="442" t="s">
        <v>38</v>
      </c>
      <c r="J367" s="443">
        <v>13468.0</v>
      </c>
      <c r="K367" s="444" t="s">
        <v>18148</v>
      </c>
    </row>
    <row r="368">
      <c r="A368" s="437">
        <v>45861.61002314815</v>
      </c>
      <c r="B368" s="438" t="s">
        <v>17773</v>
      </c>
      <c r="C368" s="438" t="s">
        <v>17124</v>
      </c>
      <c r="D368" s="438" t="s">
        <v>135</v>
      </c>
      <c r="E368" s="438">
        <v>20161.0</v>
      </c>
      <c r="F368" s="438" t="s">
        <v>48</v>
      </c>
      <c r="G368" s="438" t="s">
        <v>35</v>
      </c>
      <c r="H368" s="438" t="s">
        <v>49</v>
      </c>
      <c r="I368" s="438" t="s">
        <v>38</v>
      </c>
      <c r="J368" s="439">
        <v>13470.0</v>
      </c>
      <c r="K368" s="440" t="s">
        <v>18148</v>
      </c>
    </row>
    <row r="369">
      <c r="A369" s="441">
        <v>45861.610034722224</v>
      </c>
      <c r="B369" s="442" t="s">
        <v>17780</v>
      </c>
      <c r="C369" s="442" t="s">
        <v>17124</v>
      </c>
      <c r="D369" s="442" t="s">
        <v>135</v>
      </c>
      <c r="E369" s="442">
        <v>20163.0</v>
      </c>
      <c r="F369" s="442" t="s">
        <v>48</v>
      </c>
      <c r="G369" s="442" t="s">
        <v>35</v>
      </c>
      <c r="H369" s="442" t="s">
        <v>49</v>
      </c>
      <c r="I369" s="442" t="s">
        <v>38</v>
      </c>
      <c r="J369" s="443">
        <v>13470.0</v>
      </c>
      <c r="K369" s="444" t="s">
        <v>18148</v>
      </c>
    </row>
    <row r="370">
      <c r="A370" s="437">
        <v>45861.61004629629</v>
      </c>
      <c r="B370" s="438" t="s">
        <v>17780</v>
      </c>
      <c r="C370" s="438" t="s">
        <v>17124</v>
      </c>
      <c r="D370" s="438" t="s">
        <v>135</v>
      </c>
      <c r="E370" s="438">
        <v>20163.0</v>
      </c>
      <c r="F370" s="438" t="s">
        <v>48</v>
      </c>
      <c r="G370" s="438" t="s">
        <v>35</v>
      </c>
      <c r="H370" s="438" t="s">
        <v>49</v>
      </c>
      <c r="I370" s="438" t="s">
        <v>38</v>
      </c>
      <c r="J370" s="439">
        <v>13470.0</v>
      </c>
      <c r="K370" s="440" t="s">
        <v>18148</v>
      </c>
    </row>
    <row r="371">
      <c r="A371" s="441">
        <v>45861.61009259259</v>
      </c>
      <c r="B371" s="442" t="s">
        <v>17777</v>
      </c>
      <c r="C371" s="442" t="s">
        <v>17124</v>
      </c>
      <c r="D371" s="442" t="s">
        <v>135</v>
      </c>
      <c r="E371" s="442">
        <v>20162.0</v>
      </c>
      <c r="F371" s="442" t="s">
        <v>48</v>
      </c>
      <c r="G371" s="442" t="s">
        <v>35</v>
      </c>
      <c r="H371" s="442" t="s">
        <v>49</v>
      </c>
      <c r="I371" s="442" t="s">
        <v>38</v>
      </c>
      <c r="J371" s="443">
        <v>13470.0</v>
      </c>
      <c r="K371" s="444" t="s">
        <v>18148</v>
      </c>
    </row>
    <row r="372">
      <c r="A372" s="437">
        <v>45861.61010416667</v>
      </c>
      <c r="B372" s="438" t="s">
        <v>17777</v>
      </c>
      <c r="C372" s="438" t="s">
        <v>17124</v>
      </c>
      <c r="D372" s="438" t="s">
        <v>135</v>
      </c>
      <c r="E372" s="438">
        <v>20162.0</v>
      </c>
      <c r="F372" s="438" t="s">
        <v>48</v>
      </c>
      <c r="G372" s="438" t="s">
        <v>35</v>
      </c>
      <c r="H372" s="438" t="s">
        <v>49</v>
      </c>
      <c r="I372" s="438" t="s">
        <v>38</v>
      </c>
      <c r="J372" s="439">
        <v>13470.0</v>
      </c>
      <c r="K372" s="440" t="s">
        <v>18148</v>
      </c>
    </row>
    <row r="373">
      <c r="A373" s="441">
        <v>45861.61015046296</v>
      </c>
      <c r="B373" s="442" t="s">
        <v>17773</v>
      </c>
      <c r="C373" s="442" t="s">
        <v>17124</v>
      </c>
      <c r="D373" s="442" t="s">
        <v>135</v>
      </c>
      <c r="E373" s="442">
        <v>20161.0</v>
      </c>
      <c r="F373" s="442" t="s">
        <v>48</v>
      </c>
      <c r="G373" s="442" t="s">
        <v>35</v>
      </c>
      <c r="H373" s="442" t="s">
        <v>49</v>
      </c>
      <c r="I373" s="442" t="s">
        <v>38</v>
      </c>
      <c r="J373" s="443">
        <v>13470.0</v>
      </c>
      <c r="K373" s="444" t="s">
        <v>18148</v>
      </c>
    </row>
    <row r="374">
      <c r="A374" s="437">
        <v>45861.692766203705</v>
      </c>
      <c r="B374" s="438" t="s">
        <v>24917</v>
      </c>
      <c r="C374" s="438" t="s">
        <v>3121</v>
      </c>
      <c r="D374" s="438" t="s">
        <v>3395</v>
      </c>
      <c r="E374" s="438" t="s">
        <v>19267</v>
      </c>
      <c r="F374" s="438" t="s">
        <v>48</v>
      </c>
      <c r="G374" s="438" t="s">
        <v>35</v>
      </c>
      <c r="H374" s="438" t="s">
        <v>92</v>
      </c>
      <c r="I374" s="438" t="s">
        <v>38</v>
      </c>
      <c r="J374" s="439">
        <v>13471.0</v>
      </c>
      <c r="K374" s="440" t="s">
        <v>18148</v>
      </c>
    </row>
    <row r="375">
      <c r="A375" s="441">
        <v>45861.692777777775</v>
      </c>
      <c r="B375" s="442" t="s">
        <v>24918</v>
      </c>
      <c r="C375" s="442" t="s">
        <v>3121</v>
      </c>
      <c r="D375" s="442" t="s">
        <v>91</v>
      </c>
      <c r="E375" s="442" t="s">
        <v>19271</v>
      </c>
      <c r="F375" s="442" t="s">
        <v>48</v>
      </c>
      <c r="G375" s="442" t="s">
        <v>35</v>
      </c>
      <c r="H375" s="442" t="s">
        <v>92</v>
      </c>
      <c r="I375" s="442" t="s">
        <v>38</v>
      </c>
      <c r="J375" s="443">
        <v>13471.0</v>
      </c>
      <c r="K375" s="444" t="s">
        <v>18148</v>
      </c>
    </row>
    <row r="376">
      <c r="A376" s="437">
        <v>45861.69278935185</v>
      </c>
      <c r="B376" s="438" t="s">
        <v>24919</v>
      </c>
      <c r="C376" s="438" t="s">
        <v>3121</v>
      </c>
      <c r="D376" s="438" t="s">
        <v>3395</v>
      </c>
      <c r="E376" s="438" t="s">
        <v>19263</v>
      </c>
      <c r="F376" s="438" t="s">
        <v>48</v>
      </c>
      <c r="G376" s="438" t="s">
        <v>35</v>
      </c>
      <c r="H376" s="438" t="s">
        <v>92</v>
      </c>
      <c r="I376" s="438" t="s">
        <v>38</v>
      </c>
      <c r="J376" s="439">
        <v>13471.0</v>
      </c>
      <c r="K376" s="440" t="s">
        <v>18148</v>
      </c>
    </row>
    <row r="377">
      <c r="A377" s="441">
        <v>45861.69278935185</v>
      </c>
      <c r="B377" s="442" t="s">
        <v>24920</v>
      </c>
      <c r="C377" s="442" t="s">
        <v>3121</v>
      </c>
      <c r="D377" s="442" t="s">
        <v>3395</v>
      </c>
      <c r="E377" s="442" t="s">
        <v>19258</v>
      </c>
      <c r="F377" s="442" t="s">
        <v>48</v>
      </c>
      <c r="G377" s="442" t="s">
        <v>35</v>
      </c>
      <c r="H377" s="442" t="s">
        <v>92</v>
      </c>
      <c r="I377" s="442" t="s">
        <v>38</v>
      </c>
      <c r="J377" s="443">
        <v>13471.0</v>
      </c>
      <c r="K377" s="444" t="s">
        <v>18148</v>
      </c>
    </row>
    <row r="378">
      <c r="A378" s="437">
        <v>45862.33708333333</v>
      </c>
      <c r="B378" s="438">
        <v>17957.0</v>
      </c>
      <c r="C378" s="438" t="s">
        <v>17740</v>
      </c>
      <c r="D378" s="438" t="s">
        <v>2167</v>
      </c>
      <c r="E378" s="438">
        <v>20164.0</v>
      </c>
      <c r="F378" s="438" t="s">
        <v>33</v>
      </c>
      <c r="G378" s="438" t="s">
        <v>35</v>
      </c>
      <c r="H378" s="438" t="s">
        <v>92</v>
      </c>
      <c r="I378" s="438" t="s">
        <v>38</v>
      </c>
      <c r="J378" s="439">
        <v>13473.0</v>
      </c>
      <c r="K378" s="440" t="s">
        <v>18148</v>
      </c>
    </row>
    <row r="379">
      <c r="A379" s="441">
        <v>45862.337118055555</v>
      </c>
      <c r="B379" s="442">
        <v>17957.0</v>
      </c>
      <c r="C379" s="442" t="s">
        <v>17740</v>
      </c>
      <c r="D379" s="442" t="s">
        <v>2167</v>
      </c>
      <c r="E379" s="442">
        <v>20164.0</v>
      </c>
      <c r="F379" s="442" t="s">
        <v>33</v>
      </c>
      <c r="G379" s="442" t="s">
        <v>35</v>
      </c>
      <c r="H379" s="442" t="s">
        <v>92</v>
      </c>
      <c r="I379" s="442" t="s">
        <v>38</v>
      </c>
      <c r="J379" s="443">
        <v>13473.0</v>
      </c>
      <c r="K379" s="444" t="s">
        <v>18148</v>
      </c>
    </row>
    <row r="380">
      <c r="A380" s="437">
        <v>45862.35424768519</v>
      </c>
      <c r="B380" s="438" t="s">
        <v>17830</v>
      </c>
      <c r="C380" s="438" t="s">
        <v>7459</v>
      </c>
      <c r="D380" s="438" t="s">
        <v>1530</v>
      </c>
      <c r="E380" s="438">
        <v>20097.0</v>
      </c>
      <c r="F380" s="438" t="s">
        <v>33</v>
      </c>
      <c r="G380" s="438" t="s">
        <v>35</v>
      </c>
      <c r="H380" s="438" t="s">
        <v>92</v>
      </c>
      <c r="I380" s="438" t="s">
        <v>38</v>
      </c>
      <c r="J380" s="439">
        <v>13465.0</v>
      </c>
      <c r="K380" s="440" t="s">
        <v>18148</v>
      </c>
    </row>
    <row r="381">
      <c r="A381" s="441">
        <v>45862.354537037034</v>
      </c>
      <c r="B381" s="442" t="s">
        <v>17846</v>
      </c>
      <c r="C381" s="442" t="s">
        <v>7459</v>
      </c>
      <c r="D381" s="442" t="s">
        <v>1530</v>
      </c>
      <c r="E381" s="442">
        <v>20100.0</v>
      </c>
      <c r="F381" s="442" t="s">
        <v>33</v>
      </c>
      <c r="G381" s="442" t="s">
        <v>35</v>
      </c>
      <c r="H381" s="442" t="s">
        <v>92</v>
      </c>
      <c r="I381" s="442" t="s">
        <v>38</v>
      </c>
      <c r="J381" s="443">
        <v>13465.0</v>
      </c>
      <c r="K381" s="444" t="s">
        <v>18148</v>
      </c>
    </row>
    <row r="382">
      <c r="A382" s="437">
        <v>45862.355462962965</v>
      </c>
      <c r="B382" s="438" t="s">
        <v>17834</v>
      </c>
      <c r="C382" s="438" t="s">
        <v>7459</v>
      </c>
      <c r="D382" s="438" t="s">
        <v>1530</v>
      </c>
      <c r="E382" s="438">
        <v>20101.0</v>
      </c>
      <c r="F382" s="438" t="s">
        <v>33</v>
      </c>
      <c r="G382" s="438" t="s">
        <v>35</v>
      </c>
      <c r="H382" s="438" t="s">
        <v>92</v>
      </c>
      <c r="I382" s="438" t="s">
        <v>38</v>
      </c>
      <c r="J382" s="439">
        <v>13465.0</v>
      </c>
      <c r="K382" s="440" t="s">
        <v>18148</v>
      </c>
    </row>
    <row r="383">
      <c r="A383" s="441">
        <v>45862.38560185185</v>
      </c>
      <c r="B383" s="442">
        <v>17975.0</v>
      </c>
      <c r="C383" s="442" t="s">
        <v>17465</v>
      </c>
      <c r="D383" s="442" t="s">
        <v>3441</v>
      </c>
      <c r="E383" s="442" t="s">
        <v>17855</v>
      </c>
      <c r="F383" s="442" t="s">
        <v>48</v>
      </c>
      <c r="G383" s="442" t="s">
        <v>35</v>
      </c>
      <c r="H383" s="442" t="s">
        <v>65</v>
      </c>
      <c r="I383" s="442" t="s">
        <v>38</v>
      </c>
      <c r="J383" s="443">
        <v>13476.0</v>
      </c>
      <c r="K383" s="444" t="s">
        <v>18148</v>
      </c>
    </row>
    <row r="384">
      <c r="A384" s="437">
        <v>45862.385625</v>
      </c>
      <c r="B384" s="438">
        <v>17961.0</v>
      </c>
      <c r="C384" s="438" t="s">
        <v>5630</v>
      </c>
      <c r="D384" s="438" t="s">
        <v>112</v>
      </c>
      <c r="E384" s="438" t="s">
        <v>17761</v>
      </c>
      <c r="F384" s="438" t="s">
        <v>48</v>
      </c>
      <c r="G384" s="438" t="s">
        <v>35</v>
      </c>
      <c r="H384" s="438" t="s">
        <v>49</v>
      </c>
      <c r="I384" s="438" t="s">
        <v>38</v>
      </c>
      <c r="J384" s="439">
        <v>13474.0</v>
      </c>
      <c r="K384" s="440" t="s">
        <v>18148</v>
      </c>
    </row>
    <row r="385">
      <c r="A385" s="441">
        <v>45862.38564814815</v>
      </c>
      <c r="B385" s="442">
        <v>17968.0</v>
      </c>
      <c r="C385" s="442" t="s">
        <v>1811</v>
      </c>
      <c r="D385" s="442" t="s">
        <v>112</v>
      </c>
      <c r="E385" s="442" t="s">
        <v>17793</v>
      </c>
      <c r="F385" s="442" t="s">
        <v>48</v>
      </c>
      <c r="G385" s="442" t="s">
        <v>35</v>
      </c>
      <c r="H385" s="442" t="s">
        <v>49</v>
      </c>
      <c r="I385" s="442" t="s">
        <v>1506</v>
      </c>
      <c r="J385" s="443">
        <v>13475.0</v>
      </c>
      <c r="K385" s="444" t="s">
        <v>18148</v>
      </c>
    </row>
    <row r="386">
      <c r="A386" s="437">
        <v>45862.38591435185</v>
      </c>
      <c r="B386" s="438">
        <v>17975.0</v>
      </c>
      <c r="C386" s="438" t="s">
        <v>17465</v>
      </c>
      <c r="D386" s="438" t="s">
        <v>3441</v>
      </c>
      <c r="E386" s="438" t="s">
        <v>17855</v>
      </c>
      <c r="F386" s="438" t="s">
        <v>48</v>
      </c>
      <c r="G386" s="438" t="s">
        <v>35</v>
      </c>
      <c r="H386" s="438" t="s">
        <v>65</v>
      </c>
      <c r="I386" s="438" t="s">
        <v>38</v>
      </c>
      <c r="J386" s="439">
        <v>13476.0</v>
      </c>
      <c r="K386" s="440" t="s">
        <v>18148</v>
      </c>
    </row>
    <row r="387">
      <c r="A387" s="441">
        <v>45862.3859375</v>
      </c>
      <c r="B387" s="442">
        <v>17968.0</v>
      </c>
      <c r="C387" s="442" t="s">
        <v>1811</v>
      </c>
      <c r="D387" s="442" t="s">
        <v>112</v>
      </c>
      <c r="E387" s="442" t="s">
        <v>17793</v>
      </c>
      <c r="F387" s="442" t="s">
        <v>48</v>
      </c>
      <c r="G387" s="442" t="s">
        <v>35</v>
      </c>
      <c r="H387" s="442" t="s">
        <v>49</v>
      </c>
      <c r="I387" s="442" t="s">
        <v>1506</v>
      </c>
      <c r="J387" s="443">
        <v>13475.0</v>
      </c>
      <c r="K387" s="444" t="s">
        <v>18148</v>
      </c>
    </row>
    <row r="388">
      <c r="A388" s="437">
        <v>45862.38596064815</v>
      </c>
      <c r="B388" s="438">
        <v>17961.0</v>
      </c>
      <c r="C388" s="438" t="s">
        <v>5630</v>
      </c>
      <c r="D388" s="438" t="s">
        <v>112</v>
      </c>
      <c r="E388" s="438" t="s">
        <v>17761</v>
      </c>
      <c r="F388" s="438" t="s">
        <v>48</v>
      </c>
      <c r="G388" s="438" t="s">
        <v>35</v>
      </c>
      <c r="H388" s="438" t="s">
        <v>49</v>
      </c>
      <c r="I388" s="438" t="s">
        <v>38</v>
      </c>
      <c r="J388" s="439">
        <v>13474.0</v>
      </c>
      <c r="K388" s="440" t="s">
        <v>18148</v>
      </c>
    </row>
    <row r="389">
      <c r="A389" s="441">
        <v>45862.387511574074</v>
      </c>
      <c r="B389" s="442">
        <v>17988.0</v>
      </c>
      <c r="C389" s="442" t="s">
        <v>10785</v>
      </c>
      <c r="D389" s="442" t="s">
        <v>91</v>
      </c>
      <c r="E389" s="442" t="s">
        <v>17911</v>
      </c>
      <c r="F389" s="442" t="s">
        <v>48</v>
      </c>
      <c r="G389" s="442" t="s">
        <v>35</v>
      </c>
      <c r="H389" s="442" t="s">
        <v>92</v>
      </c>
      <c r="I389" s="442" t="s">
        <v>38</v>
      </c>
      <c r="J389" s="443">
        <v>13477.0</v>
      </c>
      <c r="K389" s="444" t="s">
        <v>18148</v>
      </c>
    </row>
    <row r="390">
      <c r="A390" s="437">
        <v>45862.38763888889</v>
      </c>
      <c r="B390" s="438">
        <v>17988.0</v>
      </c>
      <c r="C390" s="438" t="s">
        <v>10785</v>
      </c>
      <c r="D390" s="438" t="s">
        <v>91</v>
      </c>
      <c r="E390" s="438" t="s">
        <v>17911</v>
      </c>
      <c r="F390" s="438" t="s">
        <v>48</v>
      </c>
      <c r="G390" s="438" t="s">
        <v>35</v>
      </c>
      <c r="H390" s="438" t="s">
        <v>92</v>
      </c>
      <c r="I390" s="438" t="s">
        <v>38</v>
      </c>
      <c r="J390" s="439">
        <v>13477.0</v>
      </c>
      <c r="K390" s="440" t="s">
        <v>18148</v>
      </c>
    </row>
    <row r="391">
      <c r="A391" s="441">
        <v>45862.38827546296</v>
      </c>
      <c r="B391" s="442">
        <v>17975.0</v>
      </c>
      <c r="C391" s="442" t="s">
        <v>17465</v>
      </c>
      <c r="D391" s="442" t="s">
        <v>3441</v>
      </c>
      <c r="E391" s="442" t="s">
        <v>17855</v>
      </c>
      <c r="F391" s="442" t="s">
        <v>48</v>
      </c>
      <c r="G391" s="442" t="s">
        <v>35</v>
      </c>
      <c r="H391" s="442" t="s">
        <v>65</v>
      </c>
      <c r="I391" s="442" t="s">
        <v>38</v>
      </c>
      <c r="J391" s="443">
        <v>13476.0</v>
      </c>
      <c r="K391" s="444" t="s">
        <v>18148</v>
      </c>
    </row>
    <row r="392">
      <c r="A392" s="437">
        <v>45862.50108796296</v>
      </c>
      <c r="B392" s="438" t="s">
        <v>17846</v>
      </c>
      <c r="C392" s="438" t="s">
        <v>7459</v>
      </c>
      <c r="D392" s="438" t="s">
        <v>1530</v>
      </c>
      <c r="E392" s="438">
        <v>20100.0</v>
      </c>
      <c r="F392" s="438" t="s">
        <v>33</v>
      </c>
      <c r="G392" s="438" t="s">
        <v>35</v>
      </c>
      <c r="H392" s="438" t="s">
        <v>92</v>
      </c>
      <c r="I392" s="438" t="s">
        <v>38</v>
      </c>
      <c r="J392" s="439">
        <v>13465.0</v>
      </c>
      <c r="K392" s="440" t="s">
        <v>18148</v>
      </c>
    </row>
    <row r="393">
      <c r="A393" s="441">
        <v>45862.50140046296</v>
      </c>
      <c r="B393" s="442">
        <v>17991.0</v>
      </c>
      <c r="C393" s="442" t="s">
        <v>17916</v>
      </c>
      <c r="D393" s="442" t="s">
        <v>3441</v>
      </c>
      <c r="E393" s="442" t="s">
        <v>17917</v>
      </c>
      <c r="F393" s="442" t="s">
        <v>48</v>
      </c>
      <c r="G393" s="442" t="s">
        <v>35</v>
      </c>
      <c r="H393" s="442" t="s">
        <v>49</v>
      </c>
      <c r="I393" s="442" t="s">
        <v>38</v>
      </c>
      <c r="J393" s="443">
        <v>13480.0</v>
      </c>
      <c r="K393" s="444" t="s">
        <v>18148</v>
      </c>
    </row>
    <row r="394">
      <c r="A394" s="437">
        <v>45862.50146990741</v>
      </c>
      <c r="B394" s="438" t="s">
        <v>17838</v>
      </c>
      <c r="C394" s="438" t="s">
        <v>7459</v>
      </c>
      <c r="D394" s="438" t="s">
        <v>1530</v>
      </c>
      <c r="E394" s="438">
        <v>20098.0</v>
      </c>
      <c r="F394" s="438" t="s">
        <v>33</v>
      </c>
      <c r="G394" s="438" t="s">
        <v>35</v>
      </c>
      <c r="H394" s="438" t="s">
        <v>92</v>
      </c>
      <c r="I394" s="438" t="s">
        <v>38</v>
      </c>
      <c r="J394" s="439">
        <v>13465.0</v>
      </c>
      <c r="K394" s="440" t="s">
        <v>18148</v>
      </c>
    </row>
    <row r="395">
      <c r="A395" s="441">
        <v>45862.50146990741</v>
      </c>
      <c r="B395" s="442" t="s">
        <v>17825</v>
      </c>
      <c r="C395" s="442" t="s">
        <v>7459</v>
      </c>
      <c r="D395" s="442" t="s">
        <v>1530</v>
      </c>
      <c r="E395" s="442">
        <v>20096.0</v>
      </c>
      <c r="F395" s="442" t="s">
        <v>33</v>
      </c>
      <c r="G395" s="442" t="s">
        <v>35</v>
      </c>
      <c r="H395" s="442" t="s">
        <v>92</v>
      </c>
      <c r="I395" s="442" t="s">
        <v>38</v>
      </c>
      <c r="J395" s="443">
        <v>13465.0</v>
      </c>
      <c r="K395" s="444" t="s">
        <v>18148</v>
      </c>
    </row>
    <row r="396">
      <c r="A396" s="437">
        <v>45862.58181712963</v>
      </c>
      <c r="B396" s="438">
        <v>17986.0</v>
      </c>
      <c r="C396" s="438" t="s">
        <v>16822</v>
      </c>
      <c r="D396" s="438" t="s">
        <v>731</v>
      </c>
      <c r="E396" s="438">
        <v>13997.0</v>
      </c>
      <c r="F396" s="438" t="s">
        <v>33</v>
      </c>
      <c r="G396" s="438" t="s">
        <v>34</v>
      </c>
      <c r="H396" s="438" t="s">
        <v>49</v>
      </c>
      <c r="I396" s="438" t="s">
        <v>38</v>
      </c>
      <c r="J396" s="439">
        <v>13482.0</v>
      </c>
      <c r="K396" s="440" t="s">
        <v>18148</v>
      </c>
    </row>
    <row r="397">
      <c r="A397" s="441">
        <v>45862.58185185185</v>
      </c>
      <c r="B397" s="442">
        <v>17986.0</v>
      </c>
      <c r="C397" s="442" t="s">
        <v>16822</v>
      </c>
      <c r="D397" s="442" t="s">
        <v>731</v>
      </c>
      <c r="E397" s="442">
        <v>13997.0</v>
      </c>
      <c r="F397" s="442" t="s">
        <v>33</v>
      </c>
      <c r="G397" s="442" t="s">
        <v>34</v>
      </c>
      <c r="H397" s="442" t="s">
        <v>49</v>
      </c>
      <c r="I397" s="442" t="s">
        <v>38</v>
      </c>
      <c r="J397" s="443">
        <v>13482.0</v>
      </c>
      <c r="K397" s="444" t="s">
        <v>18148</v>
      </c>
    </row>
    <row r="398">
      <c r="A398" s="437">
        <v>45862.58390046296</v>
      </c>
      <c r="B398" s="438">
        <v>17991.0</v>
      </c>
      <c r="C398" s="438" t="s">
        <v>17916</v>
      </c>
      <c r="D398" s="438" t="s">
        <v>3441</v>
      </c>
      <c r="E398" s="438" t="s">
        <v>17917</v>
      </c>
      <c r="F398" s="438" t="s">
        <v>48</v>
      </c>
      <c r="G398" s="438" t="s">
        <v>35</v>
      </c>
      <c r="H398" s="438" t="s">
        <v>49</v>
      </c>
      <c r="I398" s="438" t="s">
        <v>38</v>
      </c>
      <c r="J398" s="439">
        <v>13480.0</v>
      </c>
      <c r="K398" s="440" t="s">
        <v>18148</v>
      </c>
    </row>
    <row r="399">
      <c r="A399" s="441">
        <v>45863.36918981482</v>
      </c>
      <c r="B399" s="442">
        <v>17985.0</v>
      </c>
      <c r="C399" s="442" t="s">
        <v>17901</v>
      </c>
      <c r="D399" s="442" t="s">
        <v>4430</v>
      </c>
      <c r="E399" s="442" t="s">
        <v>17902</v>
      </c>
      <c r="F399" s="442" t="s">
        <v>48</v>
      </c>
      <c r="G399" s="442" t="s">
        <v>35</v>
      </c>
      <c r="H399" s="442" t="s">
        <v>49</v>
      </c>
      <c r="I399" s="442" t="s">
        <v>38</v>
      </c>
      <c r="J399" s="443">
        <v>13484.0</v>
      </c>
      <c r="K399" s="444" t="s">
        <v>18148</v>
      </c>
    </row>
    <row r="400">
      <c r="A400" s="437">
        <v>45863.36918981482</v>
      </c>
      <c r="B400" s="438">
        <v>17952.0</v>
      </c>
      <c r="C400" s="438" t="s">
        <v>6334</v>
      </c>
      <c r="D400" s="438" t="s">
        <v>85</v>
      </c>
      <c r="E400" s="438" t="s">
        <v>17716</v>
      </c>
      <c r="F400" s="438" t="s">
        <v>48</v>
      </c>
      <c r="G400" s="438" t="s">
        <v>35</v>
      </c>
      <c r="H400" s="438" t="s">
        <v>49</v>
      </c>
      <c r="I400" s="438" t="s">
        <v>38</v>
      </c>
      <c r="J400" s="439">
        <v>13483.0</v>
      </c>
      <c r="K400" s="440" t="s">
        <v>18148</v>
      </c>
    </row>
    <row r="401">
      <c r="A401" s="441">
        <v>45863.36927083333</v>
      </c>
      <c r="B401" s="442">
        <v>17952.0</v>
      </c>
      <c r="C401" s="442" t="s">
        <v>6334</v>
      </c>
      <c r="D401" s="442" t="s">
        <v>85</v>
      </c>
      <c r="E401" s="442" t="s">
        <v>17716</v>
      </c>
      <c r="F401" s="442" t="s">
        <v>48</v>
      </c>
      <c r="G401" s="442" t="s">
        <v>35</v>
      </c>
      <c r="H401" s="442" t="s">
        <v>49</v>
      </c>
      <c r="I401" s="442" t="s">
        <v>38</v>
      </c>
      <c r="J401" s="443">
        <v>13483.0</v>
      </c>
      <c r="K401" s="444" t="s">
        <v>18148</v>
      </c>
    </row>
    <row r="402">
      <c r="A402" s="437">
        <v>45863.36928240741</v>
      </c>
      <c r="B402" s="438">
        <v>17985.0</v>
      </c>
      <c r="C402" s="438" t="s">
        <v>17901</v>
      </c>
      <c r="D402" s="438" t="s">
        <v>4430</v>
      </c>
      <c r="E402" s="438" t="s">
        <v>17902</v>
      </c>
      <c r="F402" s="438" t="s">
        <v>48</v>
      </c>
      <c r="G402" s="438" t="s">
        <v>35</v>
      </c>
      <c r="H402" s="438" t="s">
        <v>49</v>
      </c>
      <c r="I402" s="438" t="s">
        <v>38</v>
      </c>
      <c r="J402" s="439">
        <v>13484.0</v>
      </c>
      <c r="K402" s="440" t="s">
        <v>18148</v>
      </c>
    </row>
    <row r="403">
      <c r="A403" s="441">
        <v>45863.488078703704</v>
      </c>
      <c r="B403" s="442" t="s">
        <v>17865</v>
      </c>
      <c r="C403" s="442" t="s">
        <v>17866</v>
      </c>
      <c r="D403" s="442" t="s">
        <v>112</v>
      </c>
      <c r="E403" s="442" t="s">
        <v>17867</v>
      </c>
      <c r="F403" s="442" t="s">
        <v>48</v>
      </c>
      <c r="G403" s="442" t="s">
        <v>35</v>
      </c>
      <c r="H403" s="442" t="s">
        <v>49</v>
      </c>
      <c r="I403" s="442" t="s">
        <v>38</v>
      </c>
      <c r="J403" s="443">
        <v>13485.0</v>
      </c>
      <c r="K403" s="444" t="s">
        <v>18148</v>
      </c>
    </row>
    <row r="404">
      <c r="A404" s="437">
        <v>45863.48811342593</v>
      </c>
      <c r="B404" s="438" t="s">
        <v>17883</v>
      </c>
      <c r="C404" s="438" t="s">
        <v>17866</v>
      </c>
      <c r="D404" s="438" t="s">
        <v>112</v>
      </c>
      <c r="E404" s="438" t="s">
        <v>17884</v>
      </c>
      <c r="F404" s="438" t="s">
        <v>48</v>
      </c>
      <c r="G404" s="438" t="s">
        <v>35</v>
      </c>
      <c r="H404" s="438" t="s">
        <v>49</v>
      </c>
      <c r="I404" s="438" t="s">
        <v>38</v>
      </c>
      <c r="J404" s="439">
        <v>13485.0</v>
      </c>
      <c r="K404" s="440" t="s">
        <v>18148</v>
      </c>
    </row>
    <row r="405">
      <c r="A405" s="441">
        <v>45863.48811342593</v>
      </c>
      <c r="B405" s="442" t="s">
        <v>17883</v>
      </c>
      <c r="C405" s="442" t="s">
        <v>17866</v>
      </c>
      <c r="D405" s="442" t="s">
        <v>112</v>
      </c>
      <c r="E405" s="442" t="s">
        <v>17884</v>
      </c>
      <c r="F405" s="442" t="s">
        <v>48</v>
      </c>
      <c r="G405" s="442" t="s">
        <v>35</v>
      </c>
      <c r="H405" s="442" t="s">
        <v>49</v>
      </c>
      <c r="I405" s="442" t="s">
        <v>38</v>
      </c>
      <c r="J405" s="443">
        <v>13485.0</v>
      </c>
      <c r="K405" s="444" t="s">
        <v>18148</v>
      </c>
    </row>
    <row r="406">
      <c r="A406" s="437">
        <v>45863.48814814815</v>
      </c>
      <c r="B406" s="438" t="s">
        <v>17871</v>
      </c>
      <c r="C406" s="438" t="s">
        <v>17866</v>
      </c>
      <c r="D406" s="438" t="s">
        <v>112</v>
      </c>
      <c r="E406" s="438" t="s">
        <v>17872</v>
      </c>
      <c r="F406" s="438" t="s">
        <v>48</v>
      </c>
      <c r="G406" s="438" t="s">
        <v>35</v>
      </c>
      <c r="H406" s="438" t="s">
        <v>49</v>
      </c>
      <c r="I406" s="438" t="s">
        <v>38</v>
      </c>
      <c r="J406" s="439">
        <v>13485.0</v>
      </c>
      <c r="K406" s="440" t="s">
        <v>18148</v>
      </c>
    </row>
    <row r="407">
      <c r="A407" s="441">
        <v>45863.48814814815</v>
      </c>
      <c r="B407" s="442" t="s">
        <v>17871</v>
      </c>
      <c r="C407" s="442" t="s">
        <v>17866</v>
      </c>
      <c r="D407" s="442" t="s">
        <v>112</v>
      </c>
      <c r="E407" s="442" t="s">
        <v>17872</v>
      </c>
      <c r="F407" s="442" t="s">
        <v>48</v>
      </c>
      <c r="G407" s="442" t="s">
        <v>35</v>
      </c>
      <c r="H407" s="442" t="s">
        <v>49</v>
      </c>
      <c r="I407" s="442" t="s">
        <v>38</v>
      </c>
      <c r="J407" s="443">
        <v>13485.0</v>
      </c>
      <c r="K407" s="444" t="s">
        <v>18148</v>
      </c>
    </row>
    <row r="408">
      <c r="A408" s="437">
        <v>45863.488171296296</v>
      </c>
      <c r="B408" s="438" t="s">
        <v>17879</v>
      </c>
      <c r="C408" s="438" t="s">
        <v>17866</v>
      </c>
      <c r="D408" s="438" t="s">
        <v>112</v>
      </c>
      <c r="E408" s="438" t="s">
        <v>17880</v>
      </c>
      <c r="F408" s="438" t="s">
        <v>48</v>
      </c>
      <c r="G408" s="438" t="s">
        <v>35</v>
      </c>
      <c r="H408" s="438" t="s">
        <v>49</v>
      </c>
      <c r="I408" s="438" t="s">
        <v>38</v>
      </c>
      <c r="J408" s="439">
        <v>13485.0</v>
      </c>
      <c r="K408" s="440" t="s">
        <v>18148</v>
      </c>
    </row>
    <row r="409">
      <c r="A409" s="441">
        <v>45863.48824074074</v>
      </c>
      <c r="B409" s="442">
        <v>18001.0</v>
      </c>
      <c r="C409" s="442" t="s">
        <v>17955</v>
      </c>
      <c r="D409" s="442" t="s">
        <v>3395</v>
      </c>
      <c r="E409" s="442" t="s">
        <v>17956</v>
      </c>
      <c r="F409" s="442" t="s">
        <v>48</v>
      </c>
      <c r="G409" s="442" t="s">
        <v>35</v>
      </c>
      <c r="H409" s="442" t="s">
        <v>49</v>
      </c>
      <c r="I409" s="442" t="s">
        <v>38</v>
      </c>
      <c r="J409" s="443">
        <v>13487.0</v>
      </c>
      <c r="K409" s="444" t="s">
        <v>18148</v>
      </c>
    </row>
    <row r="410">
      <c r="A410" s="437">
        <v>45863.48824074074</v>
      </c>
      <c r="B410" s="438" t="s">
        <v>17875</v>
      </c>
      <c r="C410" s="438" t="s">
        <v>17866</v>
      </c>
      <c r="D410" s="438" t="s">
        <v>112</v>
      </c>
      <c r="E410" s="438" t="s">
        <v>17876</v>
      </c>
      <c r="F410" s="438" t="s">
        <v>48</v>
      </c>
      <c r="G410" s="438" t="s">
        <v>35</v>
      </c>
      <c r="H410" s="438" t="s">
        <v>49</v>
      </c>
      <c r="I410" s="438" t="s">
        <v>38</v>
      </c>
      <c r="J410" s="439">
        <v>13485.0</v>
      </c>
      <c r="K410" s="440" t="s">
        <v>18148</v>
      </c>
    </row>
    <row r="411">
      <c r="A411" s="441">
        <v>45863.488275462965</v>
      </c>
      <c r="B411" s="442">
        <v>17963.0</v>
      </c>
      <c r="C411" s="442" t="s">
        <v>96</v>
      </c>
      <c r="D411" s="442" t="s">
        <v>11712</v>
      </c>
      <c r="E411" s="442">
        <v>13958.0</v>
      </c>
      <c r="F411" s="442" t="s">
        <v>48</v>
      </c>
      <c r="G411" s="442" t="s">
        <v>35</v>
      </c>
      <c r="H411" s="442" t="s">
        <v>49</v>
      </c>
      <c r="I411" s="442" t="s">
        <v>38</v>
      </c>
      <c r="J411" s="443">
        <v>13489.0</v>
      </c>
      <c r="K411" s="444" t="s">
        <v>18148</v>
      </c>
    </row>
    <row r="412">
      <c r="A412" s="437">
        <v>45863.48832175926</v>
      </c>
      <c r="B412" s="438">
        <v>17977.0</v>
      </c>
      <c r="C412" s="438" t="s">
        <v>5277</v>
      </c>
      <c r="D412" s="438" t="s">
        <v>155</v>
      </c>
      <c r="E412" s="438">
        <v>13953.0</v>
      </c>
      <c r="F412" s="438" t="s">
        <v>48</v>
      </c>
      <c r="G412" s="438" t="s">
        <v>35</v>
      </c>
      <c r="H412" s="438" t="s">
        <v>65</v>
      </c>
      <c r="I412" s="438" t="s">
        <v>38</v>
      </c>
      <c r="J412" s="439">
        <v>13488.0</v>
      </c>
      <c r="K412" s="440" t="s">
        <v>18148</v>
      </c>
    </row>
    <row r="413">
      <c r="A413" s="441">
        <v>45863.488333333335</v>
      </c>
      <c r="B413" s="442">
        <v>17977.0</v>
      </c>
      <c r="C413" s="442" t="s">
        <v>5277</v>
      </c>
      <c r="D413" s="442" t="s">
        <v>155</v>
      </c>
      <c r="E413" s="442">
        <v>13953.0</v>
      </c>
      <c r="F413" s="442" t="s">
        <v>48</v>
      </c>
      <c r="G413" s="442" t="s">
        <v>35</v>
      </c>
      <c r="H413" s="442" t="s">
        <v>65</v>
      </c>
      <c r="I413" s="442" t="s">
        <v>38</v>
      </c>
      <c r="J413" s="443">
        <v>13488.0</v>
      </c>
      <c r="K413" s="444" t="s">
        <v>18148</v>
      </c>
    </row>
    <row r="414">
      <c r="A414" s="437">
        <v>45866.40826388889</v>
      </c>
      <c r="B414" s="438">
        <v>17976.0</v>
      </c>
      <c r="C414" s="438" t="s">
        <v>104</v>
      </c>
      <c r="D414" s="438" t="s">
        <v>98</v>
      </c>
      <c r="E414" s="438">
        <v>20165.0</v>
      </c>
      <c r="F414" s="438" t="s">
        <v>33</v>
      </c>
      <c r="G414" s="438" t="s">
        <v>34</v>
      </c>
      <c r="H414" s="438" t="s">
        <v>49</v>
      </c>
      <c r="I414" s="438" t="s">
        <v>38</v>
      </c>
      <c r="J414" s="439">
        <v>13492.0</v>
      </c>
      <c r="K414" s="440" t="s">
        <v>18148</v>
      </c>
    </row>
    <row r="415">
      <c r="A415" s="441">
        <v>45866.408368055556</v>
      </c>
      <c r="B415" s="442">
        <v>17976.0</v>
      </c>
      <c r="C415" s="442" t="s">
        <v>104</v>
      </c>
      <c r="D415" s="442" t="s">
        <v>98</v>
      </c>
      <c r="E415" s="442">
        <v>20165.0</v>
      </c>
      <c r="F415" s="442" t="s">
        <v>33</v>
      </c>
      <c r="G415" s="442" t="s">
        <v>34</v>
      </c>
      <c r="H415" s="442" t="s">
        <v>49</v>
      </c>
      <c r="I415" s="442" t="s">
        <v>38</v>
      </c>
      <c r="J415" s="443">
        <v>13492.0</v>
      </c>
      <c r="K415" s="444" t="s">
        <v>18148</v>
      </c>
    </row>
    <row r="416">
      <c r="A416" s="437">
        <v>45866.429768518516</v>
      </c>
      <c r="B416" s="438">
        <v>17997.0</v>
      </c>
      <c r="C416" s="438" t="s">
        <v>1811</v>
      </c>
      <c r="D416" s="438" t="s">
        <v>47</v>
      </c>
      <c r="E416" s="438" t="s">
        <v>17932</v>
      </c>
      <c r="F416" s="438" t="s">
        <v>48</v>
      </c>
      <c r="G416" s="438" t="s">
        <v>35</v>
      </c>
      <c r="H416" s="438" t="s">
        <v>49</v>
      </c>
      <c r="I416" s="438" t="s">
        <v>1506</v>
      </c>
      <c r="J416" s="439">
        <v>13491.0</v>
      </c>
      <c r="K416" s="440" t="s">
        <v>18148</v>
      </c>
    </row>
    <row r="417">
      <c r="A417" s="441">
        <v>45866.42984953704</v>
      </c>
      <c r="B417" s="442">
        <v>17997.0</v>
      </c>
      <c r="C417" s="442" t="s">
        <v>1811</v>
      </c>
      <c r="D417" s="442" t="s">
        <v>47</v>
      </c>
      <c r="E417" s="442" t="s">
        <v>17932</v>
      </c>
      <c r="F417" s="442" t="s">
        <v>48</v>
      </c>
      <c r="G417" s="442" t="s">
        <v>35</v>
      </c>
      <c r="H417" s="442" t="s">
        <v>49</v>
      </c>
      <c r="I417" s="442" t="s">
        <v>1506</v>
      </c>
      <c r="J417" s="443">
        <v>13491.0</v>
      </c>
      <c r="K417" s="444" t="s">
        <v>18148</v>
      </c>
    </row>
    <row r="418">
      <c r="A418" s="437">
        <v>45866.471967592595</v>
      </c>
      <c r="B418" s="438">
        <v>17999.0</v>
      </c>
      <c r="C418" s="438" t="s">
        <v>10831</v>
      </c>
      <c r="D418" s="438" t="s">
        <v>112</v>
      </c>
      <c r="E418" s="438" t="s">
        <v>17945</v>
      </c>
      <c r="F418" s="438" t="s">
        <v>48</v>
      </c>
      <c r="G418" s="438" t="s">
        <v>35</v>
      </c>
      <c r="H418" s="438" t="s">
        <v>92</v>
      </c>
      <c r="I418" s="438" t="s">
        <v>38</v>
      </c>
      <c r="J418" s="439">
        <v>13486.0</v>
      </c>
      <c r="K418" s="440" t="s">
        <v>18148</v>
      </c>
    </row>
    <row r="419">
      <c r="A419" s="441">
        <v>45866.47206018519</v>
      </c>
      <c r="B419" s="442">
        <v>17999.0</v>
      </c>
      <c r="C419" s="442" t="s">
        <v>10831</v>
      </c>
      <c r="D419" s="442" t="s">
        <v>112</v>
      </c>
      <c r="E419" s="442" t="s">
        <v>17945</v>
      </c>
      <c r="F419" s="442" t="s">
        <v>48</v>
      </c>
      <c r="G419" s="442" t="s">
        <v>35</v>
      </c>
      <c r="H419" s="442" t="s">
        <v>92</v>
      </c>
      <c r="I419" s="442" t="s">
        <v>38</v>
      </c>
      <c r="J419" s="443">
        <v>13486.0</v>
      </c>
      <c r="K419" s="444" t="s">
        <v>18148</v>
      </c>
    </row>
    <row r="420">
      <c r="A420" s="437">
        <v>45866.4728125</v>
      </c>
      <c r="B420" s="438">
        <v>17999.0</v>
      </c>
      <c r="C420" s="438" t="s">
        <v>10831</v>
      </c>
      <c r="D420" s="438" t="s">
        <v>112</v>
      </c>
      <c r="E420" s="438" t="s">
        <v>17945</v>
      </c>
      <c r="F420" s="438" t="s">
        <v>48</v>
      </c>
      <c r="G420" s="438" t="s">
        <v>35</v>
      </c>
      <c r="H420" s="438" t="s">
        <v>92</v>
      </c>
      <c r="I420" s="438" t="s">
        <v>38</v>
      </c>
      <c r="J420" s="439">
        <v>13486.0</v>
      </c>
      <c r="K420" s="440" t="s">
        <v>18148</v>
      </c>
    </row>
    <row r="421">
      <c r="A421" s="441">
        <v>45866.472916666666</v>
      </c>
      <c r="B421" s="442">
        <v>17999.0</v>
      </c>
      <c r="C421" s="442" t="s">
        <v>10831</v>
      </c>
      <c r="D421" s="442" t="s">
        <v>112</v>
      </c>
      <c r="E421" s="442" t="s">
        <v>17945</v>
      </c>
      <c r="F421" s="442" t="s">
        <v>48</v>
      </c>
      <c r="G421" s="442" t="s">
        <v>35</v>
      </c>
      <c r="H421" s="442" t="s">
        <v>92</v>
      </c>
      <c r="I421" s="442" t="s">
        <v>38</v>
      </c>
      <c r="J421" s="443">
        <v>13486.0</v>
      </c>
      <c r="K421" s="444" t="s">
        <v>18148</v>
      </c>
    </row>
    <row r="422">
      <c r="A422" s="437">
        <v>45866.55315972222</v>
      </c>
      <c r="B422" s="438" t="s">
        <v>18066</v>
      </c>
      <c r="C422" s="438" t="s">
        <v>3888</v>
      </c>
      <c r="D422" s="438" t="s">
        <v>85</v>
      </c>
      <c r="E422" s="438" t="s">
        <v>18067</v>
      </c>
      <c r="F422" s="438" t="s">
        <v>48</v>
      </c>
      <c r="G422" s="438" t="s">
        <v>35</v>
      </c>
      <c r="H422" s="438" t="s">
        <v>49</v>
      </c>
      <c r="I422" s="438" t="s">
        <v>2978</v>
      </c>
      <c r="J422" s="439">
        <v>13493.0</v>
      </c>
      <c r="K422" s="440" t="s">
        <v>18148</v>
      </c>
    </row>
    <row r="423">
      <c r="A423" s="441">
        <v>45866.55320601852</v>
      </c>
      <c r="B423" s="442" t="s">
        <v>18062</v>
      </c>
      <c r="C423" s="442" t="s">
        <v>3888</v>
      </c>
      <c r="D423" s="442" t="s">
        <v>3395</v>
      </c>
      <c r="E423" s="442" t="s">
        <v>18063</v>
      </c>
      <c r="F423" s="442" t="s">
        <v>48</v>
      </c>
      <c r="G423" s="442" t="s">
        <v>35</v>
      </c>
      <c r="H423" s="442" t="s">
        <v>49</v>
      </c>
      <c r="I423" s="442" t="s">
        <v>2978</v>
      </c>
      <c r="J423" s="443">
        <v>13493.0</v>
      </c>
      <c r="K423" s="444" t="s">
        <v>18148</v>
      </c>
    </row>
    <row r="424">
      <c r="A424" s="437">
        <v>45866.55321759259</v>
      </c>
      <c r="B424" s="438" t="s">
        <v>18057</v>
      </c>
      <c r="C424" s="438" t="s">
        <v>3888</v>
      </c>
      <c r="D424" s="438" t="s">
        <v>3441</v>
      </c>
      <c r="E424" s="438" t="s">
        <v>18058</v>
      </c>
      <c r="F424" s="438" t="s">
        <v>48</v>
      </c>
      <c r="G424" s="438" t="s">
        <v>35</v>
      </c>
      <c r="H424" s="438" t="s">
        <v>49</v>
      </c>
      <c r="I424" s="438" t="s">
        <v>2978</v>
      </c>
      <c r="J424" s="439">
        <v>13493.0</v>
      </c>
      <c r="K424" s="440" t="s">
        <v>18148</v>
      </c>
    </row>
    <row r="425">
      <c r="A425" s="441">
        <v>45866.55375</v>
      </c>
      <c r="B425" s="442" t="s">
        <v>18070</v>
      </c>
      <c r="C425" s="442" t="s">
        <v>3888</v>
      </c>
      <c r="D425" s="442" t="s">
        <v>24921</v>
      </c>
      <c r="E425" s="442" t="s">
        <v>18071</v>
      </c>
      <c r="F425" s="442"/>
      <c r="G425" s="442" t="s">
        <v>35</v>
      </c>
      <c r="H425" s="442" t="s">
        <v>49</v>
      </c>
      <c r="I425" s="442" t="s">
        <v>2978</v>
      </c>
      <c r="J425" s="443">
        <v>13493.0</v>
      </c>
      <c r="K425" s="444" t="s">
        <v>18148</v>
      </c>
    </row>
    <row r="426">
      <c r="A426" s="437">
        <v>45866.57729166667</v>
      </c>
      <c r="B426" s="438" t="s">
        <v>18066</v>
      </c>
      <c r="C426" s="438" t="s">
        <v>3888</v>
      </c>
      <c r="D426" s="438" t="s">
        <v>85</v>
      </c>
      <c r="E426" s="438" t="s">
        <v>18067</v>
      </c>
      <c r="F426" s="438" t="s">
        <v>48</v>
      </c>
      <c r="G426" s="438" t="s">
        <v>35</v>
      </c>
      <c r="H426" s="438" t="s">
        <v>49</v>
      </c>
      <c r="I426" s="438" t="s">
        <v>2978</v>
      </c>
      <c r="J426" s="439">
        <v>13493.0</v>
      </c>
      <c r="K426" s="440" t="s">
        <v>18148</v>
      </c>
    </row>
    <row r="427">
      <c r="A427" s="441">
        <v>45866.57733796296</v>
      </c>
      <c r="B427" s="442" t="s">
        <v>18062</v>
      </c>
      <c r="C427" s="442" t="s">
        <v>3888</v>
      </c>
      <c r="D427" s="442" t="s">
        <v>3395</v>
      </c>
      <c r="E427" s="442" t="s">
        <v>18063</v>
      </c>
      <c r="F427" s="442" t="s">
        <v>48</v>
      </c>
      <c r="G427" s="442" t="s">
        <v>35</v>
      </c>
      <c r="H427" s="442" t="s">
        <v>49</v>
      </c>
      <c r="I427" s="442" t="s">
        <v>2978</v>
      </c>
      <c r="J427" s="443">
        <v>13493.0</v>
      </c>
      <c r="K427" s="444" t="s">
        <v>18148</v>
      </c>
    </row>
    <row r="428">
      <c r="A428" s="437">
        <v>45866.57734953704</v>
      </c>
      <c r="B428" s="438" t="s">
        <v>18057</v>
      </c>
      <c r="C428" s="438" t="s">
        <v>3888</v>
      </c>
      <c r="D428" s="438" t="s">
        <v>3441</v>
      </c>
      <c r="E428" s="438" t="s">
        <v>18058</v>
      </c>
      <c r="F428" s="438" t="s">
        <v>48</v>
      </c>
      <c r="G428" s="438" t="s">
        <v>35</v>
      </c>
      <c r="H428" s="438" t="s">
        <v>49</v>
      </c>
      <c r="I428" s="438" t="s">
        <v>2978</v>
      </c>
      <c r="J428" s="439">
        <v>13493.0</v>
      </c>
      <c r="K428" s="440" t="s">
        <v>18148</v>
      </c>
    </row>
    <row r="429">
      <c r="A429" s="441">
        <v>45866.577361111114</v>
      </c>
      <c r="B429" s="442" t="s">
        <v>18070</v>
      </c>
      <c r="C429" s="442" t="s">
        <v>3888</v>
      </c>
      <c r="D429" s="442" t="s">
        <v>24921</v>
      </c>
      <c r="E429" s="442" t="s">
        <v>18071</v>
      </c>
      <c r="F429" s="442"/>
      <c r="G429" s="442" t="s">
        <v>35</v>
      </c>
      <c r="H429" s="442" t="s">
        <v>49</v>
      </c>
      <c r="I429" s="442" t="s">
        <v>2978</v>
      </c>
      <c r="J429" s="443">
        <v>13493.0</v>
      </c>
      <c r="K429" s="444" t="s">
        <v>18148</v>
      </c>
    </row>
    <row r="430">
      <c r="A430" s="437">
        <v>45866.577372685184</v>
      </c>
      <c r="B430" s="438">
        <v>18019.0</v>
      </c>
      <c r="C430" s="438" t="s">
        <v>1593</v>
      </c>
      <c r="D430" s="438" t="s">
        <v>85</v>
      </c>
      <c r="E430" s="438" t="s">
        <v>18115</v>
      </c>
      <c r="F430" s="438" t="s">
        <v>48</v>
      </c>
      <c r="G430" s="438" t="s">
        <v>35</v>
      </c>
      <c r="H430" s="438" t="s">
        <v>49</v>
      </c>
      <c r="I430" s="438" t="s">
        <v>38</v>
      </c>
      <c r="J430" s="439">
        <v>13494.0</v>
      </c>
      <c r="K430" s="440" t="s">
        <v>18148</v>
      </c>
    </row>
    <row r="431">
      <c r="A431" s="441">
        <v>45866.57738425926</v>
      </c>
      <c r="B431" s="442">
        <v>18019.0</v>
      </c>
      <c r="C431" s="442" t="s">
        <v>1593</v>
      </c>
      <c r="D431" s="442" t="s">
        <v>85</v>
      </c>
      <c r="E431" s="442" t="s">
        <v>18115</v>
      </c>
      <c r="F431" s="442" t="s">
        <v>48</v>
      </c>
      <c r="G431" s="442" t="s">
        <v>35</v>
      </c>
      <c r="H431" s="442" t="s">
        <v>49</v>
      </c>
      <c r="I431" s="442" t="s">
        <v>38</v>
      </c>
      <c r="J431" s="443">
        <v>13494.0</v>
      </c>
      <c r="K431" s="444" t="s">
        <v>18148</v>
      </c>
    </row>
    <row r="432">
      <c r="A432" s="437">
        <v>45866.57743055555</v>
      </c>
      <c r="B432" s="438" t="s">
        <v>18119</v>
      </c>
      <c r="C432" s="438" t="s">
        <v>16682</v>
      </c>
      <c r="D432" s="438" t="s">
        <v>91</v>
      </c>
      <c r="E432" s="438" t="s">
        <v>18120</v>
      </c>
      <c r="F432" s="438" t="s">
        <v>48</v>
      </c>
      <c r="G432" s="438" t="s">
        <v>35</v>
      </c>
      <c r="H432" s="438" t="s">
        <v>49</v>
      </c>
      <c r="I432" s="438" t="s">
        <v>38</v>
      </c>
      <c r="J432" s="439">
        <v>13495.0</v>
      </c>
      <c r="K432" s="440" t="s">
        <v>18148</v>
      </c>
    </row>
    <row r="433">
      <c r="A433" s="441">
        <v>45866.57743055555</v>
      </c>
      <c r="B433" s="442" t="s">
        <v>18119</v>
      </c>
      <c r="C433" s="442" t="s">
        <v>16682</v>
      </c>
      <c r="D433" s="442" t="s">
        <v>91</v>
      </c>
      <c r="E433" s="442" t="s">
        <v>18120</v>
      </c>
      <c r="F433" s="442" t="s">
        <v>48</v>
      </c>
      <c r="G433" s="442" t="s">
        <v>35</v>
      </c>
      <c r="H433" s="442" t="s">
        <v>49</v>
      </c>
      <c r="I433" s="442" t="s">
        <v>38</v>
      </c>
      <c r="J433" s="443">
        <v>13495.0</v>
      </c>
      <c r="K433" s="444" t="s">
        <v>18148</v>
      </c>
    </row>
    <row r="434">
      <c r="A434" s="437">
        <v>45866.57744212963</v>
      </c>
      <c r="B434" s="438">
        <v>18022.0</v>
      </c>
      <c r="C434" s="438" t="s">
        <v>8071</v>
      </c>
      <c r="D434" s="438" t="s">
        <v>91</v>
      </c>
      <c r="E434" s="438" t="s">
        <v>18137</v>
      </c>
      <c r="F434" s="438" t="s">
        <v>48</v>
      </c>
      <c r="G434" s="438" t="s">
        <v>35</v>
      </c>
      <c r="H434" s="438" t="s">
        <v>49</v>
      </c>
      <c r="I434" s="438" t="s">
        <v>38</v>
      </c>
      <c r="J434" s="439">
        <v>13496.0</v>
      </c>
      <c r="K434" s="440" t="s">
        <v>18148</v>
      </c>
    </row>
    <row r="435">
      <c r="A435" s="441">
        <v>45866.57745370371</v>
      </c>
      <c r="B435" s="442">
        <v>18022.0</v>
      </c>
      <c r="C435" s="442" t="s">
        <v>8071</v>
      </c>
      <c r="D435" s="442" t="s">
        <v>91</v>
      </c>
      <c r="E435" s="442" t="s">
        <v>18137</v>
      </c>
      <c r="F435" s="442" t="s">
        <v>48</v>
      </c>
      <c r="G435" s="442" t="s">
        <v>35</v>
      </c>
      <c r="H435" s="442" t="s">
        <v>49</v>
      </c>
      <c r="I435" s="442" t="s">
        <v>38</v>
      </c>
      <c r="J435" s="443">
        <v>13496.0</v>
      </c>
      <c r="K435" s="444" t="s">
        <v>18148</v>
      </c>
    </row>
    <row r="436">
      <c r="A436" s="437">
        <v>45866.57747685185</v>
      </c>
      <c r="B436" s="438" t="s">
        <v>18132</v>
      </c>
      <c r="C436" s="438" t="s">
        <v>16682</v>
      </c>
      <c r="D436" s="438" t="s">
        <v>47</v>
      </c>
      <c r="E436" s="438" t="s">
        <v>18133</v>
      </c>
      <c r="F436" s="438" t="s">
        <v>48</v>
      </c>
      <c r="G436" s="438" t="s">
        <v>35</v>
      </c>
      <c r="H436" s="438" t="s">
        <v>49</v>
      </c>
      <c r="I436" s="438" t="s">
        <v>38</v>
      </c>
      <c r="J436" s="439">
        <v>13495.0</v>
      </c>
      <c r="K436" s="440" t="s">
        <v>18148</v>
      </c>
    </row>
    <row r="437">
      <c r="A437" s="441">
        <v>45866.57748842592</v>
      </c>
      <c r="B437" s="442" t="s">
        <v>18132</v>
      </c>
      <c r="C437" s="442" t="s">
        <v>16682</v>
      </c>
      <c r="D437" s="442" t="s">
        <v>47</v>
      </c>
      <c r="E437" s="442" t="s">
        <v>18133</v>
      </c>
      <c r="F437" s="442" t="s">
        <v>48</v>
      </c>
      <c r="G437" s="442" t="s">
        <v>35</v>
      </c>
      <c r="H437" s="442" t="s">
        <v>49</v>
      </c>
      <c r="I437" s="442" t="s">
        <v>38</v>
      </c>
      <c r="J437" s="443">
        <v>13495.0</v>
      </c>
      <c r="K437" s="444" t="s">
        <v>18148</v>
      </c>
    </row>
    <row r="438">
      <c r="A438" s="437">
        <v>45866.57753472222</v>
      </c>
      <c r="B438" s="438" t="s">
        <v>18128</v>
      </c>
      <c r="C438" s="438" t="s">
        <v>16682</v>
      </c>
      <c r="D438" s="438" t="s">
        <v>3441</v>
      </c>
      <c r="E438" s="438" t="s">
        <v>18129</v>
      </c>
      <c r="F438" s="438" t="s">
        <v>48</v>
      </c>
      <c r="G438" s="438" t="s">
        <v>35</v>
      </c>
      <c r="H438" s="438" t="s">
        <v>49</v>
      </c>
      <c r="I438" s="438" t="s">
        <v>38</v>
      </c>
      <c r="J438" s="439">
        <v>13495.0</v>
      </c>
      <c r="K438" s="440" t="s">
        <v>18148</v>
      </c>
    </row>
    <row r="439">
      <c r="A439" s="441">
        <v>45866.57753472222</v>
      </c>
      <c r="B439" s="442" t="s">
        <v>18128</v>
      </c>
      <c r="C439" s="442" t="s">
        <v>16682</v>
      </c>
      <c r="D439" s="442" t="s">
        <v>3441</v>
      </c>
      <c r="E439" s="442" t="s">
        <v>18129</v>
      </c>
      <c r="F439" s="442" t="s">
        <v>48</v>
      </c>
      <c r="G439" s="442" t="s">
        <v>35</v>
      </c>
      <c r="H439" s="442" t="s">
        <v>49</v>
      </c>
      <c r="I439" s="442" t="s">
        <v>38</v>
      </c>
      <c r="J439" s="443">
        <v>13495.0</v>
      </c>
      <c r="K439" s="444" t="s">
        <v>18148</v>
      </c>
    </row>
    <row r="440">
      <c r="A440" s="437">
        <v>45866.5775462963</v>
      </c>
      <c r="B440" s="438" t="s">
        <v>18124</v>
      </c>
      <c r="C440" s="438" t="s">
        <v>16682</v>
      </c>
      <c r="D440" s="438" t="s">
        <v>3441</v>
      </c>
      <c r="E440" s="438" t="s">
        <v>18125</v>
      </c>
      <c r="F440" s="438" t="s">
        <v>48</v>
      </c>
      <c r="G440" s="438" t="s">
        <v>35</v>
      </c>
      <c r="H440" s="438" t="s">
        <v>49</v>
      </c>
      <c r="I440" s="438" t="s">
        <v>38</v>
      </c>
      <c r="J440" s="439">
        <v>13495.0</v>
      </c>
      <c r="K440" s="440" t="s">
        <v>18148</v>
      </c>
    </row>
    <row r="441">
      <c r="A441" s="441">
        <v>45866.57755787037</v>
      </c>
      <c r="B441" s="442" t="s">
        <v>18124</v>
      </c>
      <c r="C441" s="442" t="s">
        <v>16682</v>
      </c>
      <c r="D441" s="442" t="s">
        <v>3441</v>
      </c>
      <c r="E441" s="442" t="s">
        <v>18125</v>
      </c>
      <c r="F441" s="442" t="s">
        <v>48</v>
      </c>
      <c r="G441" s="442" t="s">
        <v>35</v>
      </c>
      <c r="H441" s="442" t="s">
        <v>49</v>
      </c>
      <c r="I441" s="442" t="s">
        <v>38</v>
      </c>
      <c r="J441" s="443">
        <v>13495.0</v>
      </c>
      <c r="K441" s="444" t="s">
        <v>18148</v>
      </c>
    </row>
    <row r="442">
      <c r="A442" s="437">
        <v>45866.577581018515</v>
      </c>
      <c r="B442" s="438">
        <v>17980.0</v>
      </c>
      <c r="C442" s="438" t="s">
        <v>5650</v>
      </c>
      <c r="D442" s="438" t="s">
        <v>17892</v>
      </c>
      <c r="E442" s="438">
        <v>20166.0</v>
      </c>
      <c r="F442" s="438" t="s">
        <v>48</v>
      </c>
      <c r="G442" s="438" t="s">
        <v>35</v>
      </c>
      <c r="H442" s="438" t="s">
        <v>49</v>
      </c>
      <c r="I442" s="438" t="s">
        <v>38</v>
      </c>
      <c r="J442" s="439">
        <v>13490.0</v>
      </c>
      <c r="K442" s="440" t="s">
        <v>18148</v>
      </c>
    </row>
    <row r="443">
      <c r="A443" s="441">
        <v>45866.57759259259</v>
      </c>
      <c r="B443" s="442">
        <v>17980.0</v>
      </c>
      <c r="C443" s="442" t="s">
        <v>5650</v>
      </c>
      <c r="D443" s="442" t="s">
        <v>17892</v>
      </c>
      <c r="E443" s="442">
        <v>20166.0</v>
      </c>
      <c r="F443" s="442" t="s">
        <v>48</v>
      </c>
      <c r="G443" s="442" t="s">
        <v>35</v>
      </c>
      <c r="H443" s="442" t="s">
        <v>49</v>
      </c>
      <c r="I443" s="442" t="s">
        <v>38</v>
      </c>
      <c r="J443" s="443">
        <v>13490.0</v>
      </c>
      <c r="K443" s="444" t="s">
        <v>18148</v>
      </c>
    </row>
    <row r="444">
      <c r="A444" s="437">
        <v>45866.57763888889</v>
      </c>
      <c r="B444" s="438">
        <v>18006.0</v>
      </c>
      <c r="C444" s="438" t="s">
        <v>3645</v>
      </c>
      <c r="D444" s="438" t="s">
        <v>882</v>
      </c>
      <c r="E444" s="438">
        <v>20049.0</v>
      </c>
      <c r="F444" s="438" t="s">
        <v>33</v>
      </c>
      <c r="G444" s="438" t="s">
        <v>35</v>
      </c>
      <c r="H444" s="438" t="s">
        <v>49</v>
      </c>
      <c r="I444" s="438" t="s">
        <v>38</v>
      </c>
      <c r="J444" s="439">
        <v>13497.0</v>
      </c>
      <c r="K444" s="440" t="s">
        <v>18148</v>
      </c>
    </row>
    <row r="445">
      <c r="A445" s="441">
        <v>45866.57765046296</v>
      </c>
      <c r="B445" s="442">
        <v>18006.0</v>
      </c>
      <c r="C445" s="442" t="s">
        <v>3645</v>
      </c>
      <c r="D445" s="442" t="s">
        <v>882</v>
      </c>
      <c r="E445" s="442">
        <v>20049.0</v>
      </c>
      <c r="F445" s="442" t="s">
        <v>33</v>
      </c>
      <c r="G445" s="442" t="s">
        <v>35</v>
      </c>
      <c r="H445" s="442" t="s">
        <v>49</v>
      </c>
      <c r="I445" s="442" t="s">
        <v>38</v>
      </c>
      <c r="J445" s="443">
        <v>13497.0</v>
      </c>
      <c r="K445" s="444" t="s">
        <v>18148</v>
      </c>
    </row>
    <row r="446">
      <c r="A446" s="437">
        <v>45867.52837962963</v>
      </c>
      <c r="B446" s="438">
        <v>17995.0</v>
      </c>
      <c r="C446" s="438" t="s">
        <v>96</v>
      </c>
      <c r="D446" s="438" t="s">
        <v>491</v>
      </c>
      <c r="E446" s="438">
        <v>20180.0</v>
      </c>
      <c r="F446" s="438" t="s">
        <v>33</v>
      </c>
      <c r="G446" s="438" t="s">
        <v>34</v>
      </c>
      <c r="H446" s="438" t="s">
        <v>49</v>
      </c>
      <c r="I446" s="438" t="s">
        <v>38</v>
      </c>
      <c r="J446" s="439">
        <v>13500.0</v>
      </c>
      <c r="K446" s="440" t="s">
        <v>18148</v>
      </c>
    </row>
    <row r="447">
      <c r="A447" s="441">
        <v>45867.52850694444</v>
      </c>
      <c r="B447" s="442" t="s">
        <v>18003</v>
      </c>
      <c r="C447" s="442" t="s">
        <v>1811</v>
      </c>
      <c r="D447" s="442" t="s">
        <v>85</v>
      </c>
      <c r="E447" s="442" t="s">
        <v>18004</v>
      </c>
      <c r="F447" s="442" t="s">
        <v>48</v>
      </c>
      <c r="G447" s="442" t="s">
        <v>35</v>
      </c>
      <c r="H447" s="442" t="s">
        <v>49</v>
      </c>
      <c r="I447" s="442" t="s">
        <v>1506</v>
      </c>
      <c r="J447" s="443">
        <v>13507.0</v>
      </c>
      <c r="K447" s="444" t="s">
        <v>18148</v>
      </c>
    </row>
    <row r="448">
      <c r="A448" s="437">
        <v>45867.52854166667</v>
      </c>
      <c r="B448" s="438">
        <v>18033.0</v>
      </c>
      <c r="C448" s="438" t="s">
        <v>8825</v>
      </c>
      <c r="D448" s="438" t="s">
        <v>91</v>
      </c>
      <c r="E448" s="438" t="s">
        <v>18189</v>
      </c>
      <c r="F448" s="438" t="s">
        <v>48</v>
      </c>
      <c r="G448" s="438" t="s">
        <v>35</v>
      </c>
      <c r="H448" s="438" t="s">
        <v>49</v>
      </c>
      <c r="I448" s="438" t="s">
        <v>11095</v>
      </c>
      <c r="J448" s="439">
        <v>13512.0</v>
      </c>
      <c r="K448" s="440" t="s">
        <v>18148</v>
      </c>
    </row>
    <row r="449">
      <c r="A449" s="441">
        <v>45867.52857638889</v>
      </c>
      <c r="B449" s="442" t="s">
        <v>17998</v>
      </c>
      <c r="C449" s="442" t="s">
        <v>1811</v>
      </c>
      <c r="D449" s="442" t="s">
        <v>72</v>
      </c>
      <c r="E449" s="442" t="s">
        <v>17999</v>
      </c>
      <c r="F449" s="442" t="s">
        <v>48</v>
      </c>
      <c r="G449" s="442" t="s">
        <v>35</v>
      </c>
      <c r="H449" s="442" t="s">
        <v>49</v>
      </c>
      <c r="I449" s="442" t="s">
        <v>1506</v>
      </c>
      <c r="J449" s="443">
        <v>13507.0</v>
      </c>
      <c r="K449" s="444" t="s">
        <v>18148</v>
      </c>
    </row>
    <row r="450">
      <c r="A450" s="437">
        <v>45867.52861111111</v>
      </c>
      <c r="B450" s="438" t="s">
        <v>17801</v>
      </c>
      <c r="C450" s="438" t="s">
        <v>4450</v>
      </c>
      <c r="D450" s="438" t="s">
        <v>3441</v>
      </c>
      <c r="E450" s="438" t="s">
        <v>17802</v>
      </c>
      <c r="F450" s="438" t="s">
        <v>48</v>
      </c>
      <c r="G450" s="438" t="s">
        <v>35</v>
      </c>
      <c r="H450" s="438" t="s">
        <v>420</v>
      </c>
      <c r="I450" s="438" t="s">
        <v>38</v>
      </c>
      <c r="J450" s="439">
        <v>13513.0</v>
      </c>
      <c r="K450" s="440" t="s">
        <v>18148</v>
      </c>
    </row>
    <row r="451">
      <c r="A451" s="441">
        <v>45867.52863425926</v>
      </c>
      <c r="B451" s="442">
        <v>18027.0</v>
      </c>
      <c r="C451" s="442" t="s">
        <v>4352</v>
      </c>
      <c r="D451" s="442" t="s">
        <v>3441</v>
      </c>
      <c r="E451" s="442" t="s">
        <v>18158</v>
      </c>
      <c r="F451" s="442" t="s">
        <v>48</v>
      </c>
      <c r="G451" s="442" t="s">
        <v>35</v>
      </c>
      <c r="H451" s="442" t="s">
        <v>49</v>
      </c>
      <c r="I451" s="442" t="s">
        <v>38</v>
      </c>
      <c r="J451" s="443">
        <v>13510.0</v>
      </c>
      <c r="K451" s="444" t="s">
        <v>18148</v>
      </c>
    </row>
    <row r="452">
      <c r="A452" s="437">
        <v>45867.528657407405</v>
      </c>
      <c r="B452" s="438" t="s">
        <v>17814</v>
      </c>
      <c r="C452" s="438" t="s">
        <v>4450</v>
      </c>
      <c r="D452" s="438" t="s">
        <v>72</v>
      </c>
      <c r="E452" s="438" t="s">
        <v>17815</v>
      </c>
      <c r="F452" s="438" t="s">
        <v>48</v>
      </c>
      <c r="G452" s="438" t="s">
        <v>35</v>
      </c>
      <c r="H452" s="438" t="s">
        <v>420</v>
      </c>
      <c r="I452" s="438" t="s">
        <v>38</v>
      </c>
      <c r="J452" s="439">
        <v>13513.0</v>
      </c>
      <c r="K452" s="440" t="s">
        <v>18148</v>
      </c>
    </row>
    <row r="453">
      <c r="A453" s="441">
        <v>45867.52866898148</v>
      </c>
      <c r="B453" s="442" t="s">
        <v>17810</v>
      </c>
      <c r="C453" s="442" t="s">
        <v>4450</v>
      </c>
      <c r="D453" s="442" t="s">
        <v>3441</v>
      </c>
      <c r="E453" s="442" t="s">
        <v>17811</v>
      </c>
      <c r="F453" s="442" t="s">
        <v>48</v>
      </c>
      <c r="G453" s="442" t="s">
        <v>35</v>
      </c>
      <c r="H453" s="442" t="s">
        <v>420</v>
      </c>
      <c r="I453" s="442" t="s">
        <v>38</v>
      </c>
      <c r="J453" s="443">
        <v>13513.0</v>
      </c>
      <c r="K453" s="444" t="s">
        <v>18148</v>
      </c>
    </row>
    <row r="454">
      <c r="A454" s="437">
        <v>45867.52868055556</v>
      </c>
      <c r="B454" s="438" t="s">
        <v>17806</v>
      </c>
      <c r="C454" s="438" t="s">
        <v>4450</v>
      </c>
      <c r="D454" s="438" t="s">
        <v>3441</v>
      </c>
      <c r="E454" s="438" t="s">
        <v>17807</v>
      </c>
      <c r="F454" s="438" t="s">
        <v>48</v>
      </c>
      <c r="G454" s="438" t="s">
        <v>35</v>
      </c>
      <c r="H454" s="438" t="s">
        <v>420</v>
      </c>
      <c r="I454" s="438" t="s">
        <v>38</v>
      </c>
      <c r="J454" s="439">
        <v>13513.0</v>
      </c>
      <c r="K454" s="440" t="s">
        <v>18148</v>
      </c>
    </row>
    <row r="455">
      <c r="A455" s="441">
        <v>45867.528703703705</v>
      </c>
      <c r="B455" s="442">
        <v>18000.0</v>
      </c>
      <c r="C455" s="442" t="s">
        <v>10396</v>
      </c>
      <c r="D455" s="442" t="s">
        <v>112</v>
      </c>
      <c r="E455" s="442" t="s">
        <v>18091</v>
      </c>
      <c r="F455" s="442" t="s">
        <v>48</v>
      </c>
      <c r="G455" s="442" t="s">
        <v>35</v>
      </c>
      <c r="H455" s="442" t="s">
        <v>65</v>
      </c>
      <c r="I455" s="442" t="s">
        <v>38</v>
      </c>
      <c r="J455" s="443">
        <v>13503.0</v>
      </c>
      <c r="K455" s="444" t="s">
        <v>18148</v>
      </c>
    </row>
    <row r="456">
      <c r="A456" s="437">
        <v>45867.528715277775</v>
      </c>
      <c r="B456" s="438" t="s">
        <v>17990</v>
      </c>
      <c r="C456" s="438" t="s">
        <v>3323</v>
      </c>
      <c r="D456" s="438" t="s">
        <v>47</v>
      </c>
      <c r="E456" s="438" t="s">
        <v>17991</v>
      </c>
      <c r="F456" s="438" t="s">
        <v>48</v>
      </c>
      <c r="G456" s="438" t="s">
        <v>35</v>
      </c>
      <c r="H456" s="438" t="s">
        <v>65</v>
      </c>
      <c r="I456" s="438" t="s">
        <v>38</v>
      </c>
      <c r="J456" s="439">
        <v>13505.0</v>
      </c>
      <c r="K456" s="440" t="s">
        <v>18148</v>
      </c>
    </row>
    <row r="457">
      <c r="A457" s="441">
        <v>45867.528715277775</v>
      </c>
      <c r="B457" s="442">
        <v>18023.0</v>
      </c>
      <c r="C457" s="442" t="s">
        <v>6153</v>
      </c>
      <c r="D457" s="442" t="s">
        <v>112</v>
      </c>
      <c r="E457" s="442" t="s">
        <v>18142</v>
      </c>
      <c r="F457" s="442" t="s">
        <v>48</v>
      </c>
      <c r="G457" s="442" t="s">
        <v>35</v>
      </c>
      <c r="H457" s="442" t="s">
        <v>420</v>
      </c>
      <c r="I457" s="442" t="s">
        <v>38</v>
      </c>
      <c r="J457" s="443">
        <v>13515.0</v>
      </c>
      <c r="K457" s="444" t="s">
        <v>18148</v>
      </c>
    </row>
    <row r="458">
      <c r="A458" s="437">
        <v>45867.52873842593</v>
      </c>
      <c r="B458" s="438" t="s">
        <v>17969</v>
      </c>
      <c r="C458" s="438" t="s">
        <v>3323</v>
      </c>
      <c r="D458" s="438" t="s">
        <v>112</v>
      </c>
      <c r="E458" s="438" t="s">
        <v>17970</v>
      </c>
      <c r="F458" s="438" t="s">
        <v>48</v>
      </c>
      <c r="G458" s="438" t="s">
        <v>35</v>
      </c>
      <c r="H458" s="438" t="s">
        <v>65</v>
      </c>
      <c r="I458" s="438" t="s">
        <v>38</v>
      </c>
      <c r="J458" s="439">
        <v>13505.0</v>
      </c>
      <c r="K458" s="440" t="s">
        <v>18148</v>
      </c>
    </row>
    <row r="459">
      <c r="A459" s="441">
        <v>45867.52877314815</v>
      </c>
      <c r="B459" s="442" t="s">
        <v>17986</v>
      </c>
      <c r="C459" s="442" t="s">
        <v>3323</v>
      </c>
      <c r="D459" s="442" t="s">
        <v>91</v>
      </c>
      <c r="E459" s="442" t="s">
        <v>17987</v>
      </c>
      <c r="F459" s="442" t="s">
        <v>48</v>
      </c>
      <c r="G459" s="442" t="s">
        <v>35</v>
      </c>
      <c r="H459" s="442" t="s">
        <v>65</v>
      </c>
      <c r="I459" s="442" t="s">
        <v>38</v>
      </c>
      <c r="J459" s="443">
        <v>13505.0</v>
      </c>
      <c r="K459" s="444" t="s">
        <v>18148</v>
      </c>
    </row>
    <row r="460">
      <c r="A460" s="437">
        <v>45867.52883101852</v>
      </c>
      <c r="B460" s="438" t="s">
        <v>17935</v>
      </c>
      <c r="C460" s="438" t="s">
        <v>4126</v>
      </c>
      <c r="D460" s="438" t="s">
        <v>3395</v>
      </c>
      <c r="E460" s="438" t="s">
        <v>17936</v>
      </c>
      <c r="F460" s="438" t="s">
        <v>48</v>
      </c>
      <c r="G460" s="438" t="s">
        <v>35</v>
      </c>
      <c r="H460" s="438" t="s">
        <v>65</v>
      </c>
      <c r="I460" s="438" t="s">
        <v>38</v>
      </c>
      <c r="J460" s="439">
        <v>13506.0</v>
      </c>
      <c r="K460" s="440" t="s">
        <v>18148</v>
      </c>
    </row>
    <row r="461">
      <c r="A461" s="441">
        <v>45867.528865740744</v>
      </c>
      <c r="B461" s="442">
        <v>18003.0</v>
      </c>
      <c r="C461" s="442" t="s">
        <v>8933</v>
      </c>
      <c r="D461" s="442" t="s">
        <v>72</v>
      </c>
      <c r="E461" s="442" t="s">
        <v>17965</v>
      </c>
      <c r="F461" s="442" t="s">
        <v>48</v>
      </c>
      <c r="G461" s="442" t="s">
        <v>35</v>
      </c>
      <c r="H461" s="442" t="s">
        <v>65</v>
      </c>
      <c r="I461" s="442" t="s">
        <v>38</v>
      </c>
      <c r="J461" s="443">
        <v>13504.0</v>
      </c>
      <c r="K461" s="444" t="s">
        <v>18148</v>
      </c>
    </row>
    <row r="462">
      <c r="A462" s="437">
        <v>45867.528865740744</v>
      </c>
      <c r="B462" s="438" t="s">
        <v>17978</v>
      </c>
      <c r="C462" s="438" t="s">
        <v>3323</v>
      </c>
      <c r="D462" s="438" t="s">
        <v>91</v>
      </c>
      <c r="E462" s="438" t="s">
        <v>17979</v>
      </c>
      <c r="F462" s="438" t="s">
        <v>48</v>
      </c>
      <c r="G462" s="438" t="s">
        <v>35</v>
      </c>
      <c r="H462" s="438" t="s">
        <v>65</v>
      </c>
      <c r="I462" s="438" t="s">
        <v>38</v>
      </c>
      <c r="J462" s="439">
        <v>13505.0</v>
      </c>
      <c r="K462" s="440" t="s">
        <v>18148</v>
      </c>
    </row>
    <row r="463">
      <c r="A463" s="441">
        <v>45868.46597222222</v>
      </c>
      <c r="B463" s="442" t="s">
        <v>18297</v>
      </c>
      <c r="C463" s="442" t="s">
        <v>3645</v>
      </c>
      <c r="D463" s="442" t="s">
        <v>47</v>
      </c>
      <c r="E463" s="442" t="s">
        <v>18298</v>
      </c>
      <c r="F463" s="442" t="s">
        <v>48</v>
      </c>
      <c r="G463" s="442" t="s">
        <v>35</v>
      </c>
      <c r="H463" s="442" t="s">
        <v>49</v>
      </c>
      <c r="I463" s="442" t="s">
        <v>38</v>
      </c>
      <c r="J463" s="443">
        <v>13523.0</v>
      </c>
      <c r="K463" s="444" t="s">
        <v>18148</v>
      </c>
    </row>
    <row r="464">
      <c r="A464" s="437">
        <v>45868.46638888889</v>
      </c>
      <c r="B464" s="438" t="s">
        <v>18297</v>
      </c>
      <c r="C464" s="438" t="s">
        <v>3645</v>
      </c>
      <c r="D464" s="438" t="s">
        <v>47</v>
      </c>
      <c r="E464" s="438" t="s">
        <v>18298</v>
      </c>
      <c r="F464" s="438" t="s">
        <v>48</v>
      </c>
      <c r="G464" s="438" t="s">
        <v>35</v>
      </c>
      <c r="H464" s="438" t="s">
        <v>49</v>
      </c>
      <c r="I464" s="438" t="s">
        <v>38</v>
      </c>
      <c r="J464" s="439">
        <v>13523.0</v>
      </c>
      <c r="K464" s="440" t="s">
        <v>18148</v>
      </c>
    </row>
    <row r="465">
      <c r="A465" s="441">
        <v>45868.46668981481</v>
      </c>
      <c r="B465" s="442" t="s">
        <v>18297</v>
      </c>
      <c r="C465" s="442" t="s">
        <v>3645</v>
      </c>
      <c r="D465" s="442" t="s">
        <v>47</v>
      </c>
      <c r="E465" s="442" t="s">
        <v>18298</v>
      </c>
      <c r="F465" s="442" t="s">
        <v>48</v>
      </c>
      <c r="G465" s="442" t="s">
        <v>35</v>
      </c>
      <c r="H465" s="442" t="s">
        <v>49</v>
      </c>
      <c r="I465" s="442" t="s">
        <v>38</v>
      </c>
      <c r="J465" s="443">
        <v>13523.0</v>
      </c>
      <c r="K465" s="444" t="s">
        <v>18148</v>
      </c>
    </row>
    <row r="466">
      <c r="A466" s="437">
        <v>45868.46724537037</v>
      </c>
      <c r="B466" s="438" t="s">
        <v>18305</v>
      </c>
      <c r="C466" s="438" t="s">
        <v>3645</v>
      </c>
      <c r="D466" s="438" t="s">
        <v>47</v>
      </c>
      <c r="E466" s="438" t="s">
        <v>18306</v>
      </c>
      <c r="F466" s="438" t="s">
        <v>48</v>
      </c>
      <c r="G466" s="438" t="s">
        <v>35</v>
      </c>
      <c r="H466" s="438" t="s">
        <v>49</v>
      </c>
      <c r="I466" s="438" t="s">
        <v>38</v>
      </c>
      <c r="J466" s="439">
        <v>13523.0</v>
      </c>
      <c r="K466" s="440" t="s">
        <v>18148</v>
      </c>
    </row>
    <row r="467">
      <c r="A467" s="441">
        <v>45868.46973379629</v>
      </c>
      <c r="B467" s="442" t="s">
        <v>18297</v>
      </c>
      <c r="C467" s="442" t="s">
        <v>3645</v>
      </c>
      <c r="D467" s="442" t="s">
        <v>47</v>
      </c>
      <c r="E467" s="442" t="s">
        <v>18298</v>
      </c>
      <c r="F467" s="442" t="s">
        <v>48</v>
      </c>
      <c r="G467" s="442" t="s">
        <v>35</v>
      </c>
      <c r="H467" s="442" t="s">
        <v>49</v>
      </c>
      <c r="I467" s="442" t="s">
        <v>38</v>
      </c>
      <c r="J467" s="443">
        <v>13523.0</v>
      </c>
      <c r="K467" s="444" t="s">
        <v>18148</v>
      </c>
    </row>
    <row r="468">
      <c r="A468" s="437">
        <v>45868.47032407407</v>
      </c>
      <c r="B468" s="438" t="s">
        <v>18297</v>
      </c>
      <c r="C468" s="438" t="s">
        <v>3645</v>
      </c>
      <c r="D468" s="438" t="s">
        <v>47</v>
      </c>
      <c r="E468" s="438" t="s">
        <v>18298</v>
      </c>
      <c r="F468" s="438" t="s">
        <v>48</v>
      </c>
      <c r="G468" s="438" t="s">
        <v>35</v>
      </c>
      <c r="H468" s="438" t="s">
        <v>49</v>
      </c>
      <c r="I468" s="438" t="s">
        <v>38</v>
      </c>
      <c r="J468" s="439">
        <v>13523.0</v>
      </c>
      <c r="K468" s="440" t="s">
        <v>18148</v>
      </c>
    </row>
    <row r="469">
      <c r="A469" s="441">
        <v>45868.47096064815</v>
      </c>
      <c r="B469" s="442" t="s">
        <v>18297</v>
      </c>
      <c r="C469" s="442" t="s">
        <v>3645</v>
      </c>
      <c r="D469" s="442" t="s">
        <v>47</v>
      </c>
      <c r="E469" s="442" t="s">
        <v>18298</v>
      </c>
      <c r="F469" s="442" t="s">
        <v>48</v>
      </c>
      <c r="G469" s="442" t="s">
        <v>35</v>
      </c>
      <c r="H469" s="442" t="s">
        <v>49</v>
      </c>
      <c r="I469" s="442" t="s">
        <v>38</v>
      </c>
      <c r="J469" s="443">
        <v>13523.0</v>
      </c>
      <c r="K469" s="444" t="s">
        <v>18148</v>
      </c>
    </row>
    <row r="470">
      <c r="A470" s="437">
        <v>45868.475960648146</v>
      </c>
      <c r="B470" s="438" t="s">
        <v>18297</v>
      </c>
      <c r="C470" s="438" t="s">
        <v>3645</v>
      </c>
      <c r="D470" s="438" t="s">
        <v>47</v>
      </c>
      <c r="E470" s="438" t="s">
        <v>18298</v>
      </c>
      <c r="F470" s="438" t="s">
        <v>48</v>
      </c>
      <c r="G470" s="438" t="s">
        <v>35</v>
      </c>
      <c r="H470" s="438" t="s">
        <v>49</v>
      </c>
      <c r="I470" s="438" t="s">
        <v>38</v>
      </c>
      <c r="J470" s="439">
        <v>13523.0</v>
      </c>
      <c r="K470" s="440" t="s">
        <v>18148</v>
      </c>
    </row>
    <row r="471">
      <c r="A471" s="441">
        <v>45868.477164351854</v>
      </c>
      <c r="B471" s="442" t="s">
        <v>18297</v>
      </c>
      <c r="C471" s="442" t="s">
        <v>3645</v>
      </c>
      <c r="D471" s="442" t="s">
        <v>47</v>
      </c>
      <c r="E471" s="442" t="s">
        <v>18298</v>
      </c>
      <c r="F471" s="442" t="s">
        <v>48</v>
      </c>
      <c r="G471" s="442" t="s">
        <v>35</v>
      </c>
      <c r="H471" s="442" t="s">
        <v>49</v>
      </c>
      <c r="I471" s="442" t="s">
        <v>38</v>
      </c>
      <c r="J471" s="443">
        <v>13523.0</v>
      </c>
      <c r="K471" s="444" t="s">
        <v>18148</v>
      </c>
    </row>
    <row r="472">
      <c r="A472" s="437">
        <v>45868.47741898148</v>
      </c>
      <c r="B472" s="438" t="s">
        <v>18375</v>
      </c>
      <c r="C472" s="438" t="s">
        <v>4352</v>
      </c>
      <c r="D472" s="438" t="s">
        <v>91</v>
      </c>
      <c r="E472" s="438" t="s">
        <v>18376</v>
      </c>
      <c r="F472" s="438" t="s">
        <v>48</v>
      </c>
      <c r="G472" s="438" t="s">
        <v>35</v>
      </c>
      <c r="H472" s="438" t="s">
        <v>49</v>
      </c>
      <c r="I472" s="438" t="s">
        <v>38</v>
      </c>
      <c r="J472" s="439">
        <v>13524.0</v>
      </c>
      <c r="K472" s="440" t="s">
        <v>18148</v>
      </c>
    </row>
    <row r="473">
      <c r="A473" s="441">
        <v>45868.477430555555</v>
      </c>
      <c r="B473" s="442" t="s">
        <v>18383</v>
      </c>
      <c r="C473" s="442" t="s">
        <v>4352</v>
      </c>
      <c r="D473" s="442" t="s">
        <v>91</v>
      </c>
      <c r="E473" s="442" t="s">
        <v>18384</v>
      </c>
      <c r="F473" s="442" t="s">
        <v>48</v>
      </c>
      <c r="G473" s="442" t="s">
        <v>35</v>
      </c>
      <c r="H473" s="442" t="s">
        <v>49</v>
      </c>
      <c r="I473" s="442" t="s">
        <v>38</v>
      </c>
      <c r="J473" s="443">
        <v>13524.0</v>
      </c>
      <c r="K473" s="444" t="s">
        <v>18148</v>
      </c>
    </row>
    <row r="474">
      <c r="A474" s="437">
        <v>45868.47744212963</v>
      </c>
      <c r="B474" s="438" t="s">
        <v>18387</v>
      </c>
      <c r="C474" s="438" t="s">
        <v>4352</v>
      </c>
      <c r="D474" s="438" t="s">
        <v>91</v>
      </c>
      <c r="E474" s="438" t="s">
        <v>18388</v>
      </c>
      <c r="F474" s="438" t="s">
        <v>48</v>
      </c>
      <c r="G474" s="438" t="s">
        <v>35</v>
      </c>
      <c r="H474" s="438" t="s">
        <v>49</v>
      </c>
      <c r="I474" s="438" t="s">
        <v>38</v>
      </c>
      <c r="J474" s="439">
        <v>13524.0</v>
      </c>
      <c r="K474" s="440" t="s">
        <v>18148</v>
      </c>
    </row>
    <row r="475">
      <c r="A475" s="441">
        <v>45868.477476851855</v>
      </c>
      <c r="B475" s="442" t="s">
        <v>18391</v>
      </c>
      <c r="C475" s="442" t="s">
        <v>4352</v>
      </c>
      <c r="D475" s="442" t="s">
        <v>91</v>
      </c>
      <c r="E475" s="442" t="s">
        <v>18392</v>
      </c>
      <c r="F475" s="442" t="s">
        <v>48</v>
      </c>
      <c r="G475" s="442" t="s">
        <v>35</v>
      </c>
      <c r="H475" s="442" t="s">
        <v>49</v>
      </c>
      <c r="I475" s="442" t="s">
        <v>38</v>
      </c>
      <c r="J475" s="443">
        <v>13524.0</v>
      </c>
      <c r="K475" s="444" t="s">
        <v>18148</v>
      </c>
    </row>
    <row r="476">
      <c r="A476" s="437">
        <v>45868.47751157408</v>
      </c>
      <c r="B476" s="438" t="s">
        <v>18253</v>
      </c>
      <c r="C476" s="438" t="s">
        <v>3645</v>
      </c>
      <c r="D476" s="438" t="s">
        <v>91</v>
      </c>
      <c r="E476" s="438" t="s">
        <v>18254</v>
      </c>
      <c r="F476" s="438" t="s">
        <v>48</v>
      </c>
      <c r="G476" s="438" t="s">
        <v>35</v>
      </c>
      <c r="H476" s="438" t="s">
        <v>49</v>
      </c>
      <c r="I476" s="438" t="s">
        <v>38</v>
      </c>
      <c r="J476" s="439">
        <v>13523.0</v>
      </c>
      <c r="K476" s="440" t="s">
        <v>18148</v>
      </c>
    </row>
    <row r="477">
      <c r="A477" s="441">
        <v>45868.4775</v>
      </c>
      <c r="B477" s="442" t="s">
        <v>18261</v>
      </c>
      <c r="C477" s="442" t="s">
        <v>3645</v>
      </c>
      <c r="D477" s="442" t="s">
        <v>91</v>
      </c>
      <c r="E477" s="442" t="s">
        <v>18262</v>
      </c>
      <c r="F477" s="442" t="s">
        <v>48</v>
      </c>
      <c r="G477" s="442" t="s">
        <v>35</v>
      </c>
      <c r="H477" s="442" t="s">
        <v>49</v>
      </c>
      <c r="I477" s="442" t="s">
        <v>38</v>
      </c>
      <c r="J477" s="443">
        <v>13523.0</v>
      </c>
      <c r="K477" s="444" t="s">
        <v>18148</v>
      </c>
    </row>
    <row r="478">
      <c r="A478" s="437">
        <v>45868.47754629629</v>
      </c>
      <c r="B478" s="438" t="s">
        <v>18395</v>
      </c>
      <c r="C478" s="438" t="s">
        <v>4352</v>
      </c>
      <c r="D478" s="438" t="s">
        <v>91</v>
      </c>
      <c r="E478" s="438" t="s">
        <v>18396</v>
      </c>
      <c r="F478" s="438" t="s">
        <v>48</v>
      </c>
      <c r="G478" s="438" t="s">
        <v>35</v>
      </c>
      <c r="H478" s="438" t="s">
        <v>49</v>
      </c>
      <c r="I478" s="438" t="s">
        <v>38</v>
      </c>
      <c r="J478" s="439">
        <v>13524.0</v>
      </c>
      <c r="K478" s="440" t="s">
        <v>18148</v>
      </c>
    </row>
    <row r="479">
      <c r="A479" s="441">
        <v>45868.47754629629</v>
      </c>
      <c r="B479" s="442" t="s">
        <v>18265</v>
      </c>
      <c r="C479" s="442" t="s">
        <v>3645</v>
      </c>
      <c r="D479" s="442" t="s">
        <v>91</v>
      </c>
      <c r="E479" s="442" t="s">
        <v>18266</v>
      </c>
      <c r="F479" s="442" t="s">
        <v>48</v>
      </c>
      <c r="G479" s="442" t="s">
        <v>35</v>
      </c>
      <c r="H479" s="442" t="s">
        <v>49</v>
      </c>
      <c r="I479" s="442" t="s">
        <v>38</v>
      </c>
      <c r="J479" s="443">
        <v>13523.0</v>
      </c>
      <c r="K479" s="444" t="s">
        <v>18148</v>
      </c>
    </row>
    <row r="480">
      <c r="A480" s="437">
        <v>45868.47756944445</v>
      </c>
      <c r="B480" s="438" t="s">
        <v>18269</v>
      </c>
      <c r="C480" s="438" t="s">
        <v>3645</v>
      </c>
      <c r="D480" s="438" t="s">
        <v>91</v>
      </c>
      <c r="E480" s="438" t="s">
        <v>18270</v>
      </c>
      <c r="F480" s="438" t="s">
        <v>48</v>
      </c>
      <c r="G480" s="438" t="s">
        <v>35</v>
      </c>
      <c r="H480" s="438" t="s">
        <v>49</v>
      </c>
      <c r="I480" s="438" t="s">
        <v>38</v>
      </c>
      <c r="J480" s="439">
        <v>13523.0</v>
      </c>
      <c r="K480" s="440" t="s">
        <v>18148</v>
      </c>
    </row>
    <row r="481">
      <c r="A481" s="441">
        <v>45868.47759259259</v>
      </c>
      <c r="B481" s="442" t="s">
        <v>18439</v>
      </c>
      <c r="C481" s="442" t="s">
        <v>4352</v>
      </c>
      <c r="D481" s="442" t="s">
        <v>85</v>
      </c>
      <c r="E481" s="442" t="s">
        <v>18440</v>
      </c>
      <c r="F481" s="442" t="s">
        <v>48</v>
      </c>
      <c r="G481" s="442" t="s">
        <v>35</v>
      </c>
      <c r="H481" s="442" t="s">
        <v>49</v>
      </c>
      <c r="I481" s="442" t="s">
        <v>38</v>
      </c>
      <c r="J481" s="443">
        <v>13524.0</v>
      </c>
      <c r="K481" s="444" t="s">
        <v>18148</v>
      </c>
    </row>
    <row r="482">
      <c r="A482" s="437">
        <v>45868.47759259259</v>
      </c>
      <c r="B482" s="438" t="s">
        <v>18273</v>
      </c>
      <c r="C482" s="438" t="s">
        <v>3645</v>
      </c>
      <c r="D482" s="438" t="s">
        <v>91</v>
      </c>
      <c r="E482" s="438" t="s">
        <v>18274</v>
      </c>
      <c r="F482" s="438" t="s">
        <v>48</v>
      </c>
      <c r="G482" s="438" t="s">
        <v>35</v>
      </c>
      <c r="H482" s="438" t="s">
        <v>49</v>
      </c>
      <c r="I482" s="438" t="s">
        <v>38</v>
      </c>
      <c r="J482" s="439">
        <v>13523.0</v>
      </c>
      <c r="K482" s="440" t="s">
        <v>18148</v>
      </c>
    </row>
    <row r="483">
      <c r="A483" s="441">
        <v>45868.47761574074</v>
      </c>
      <c r="B483" s="442" t="s">
        <v>18318</v>
      </c>
      <c r="C483" s="442" t="s">
        <v>3645</v>
      </c>
      <c r="D483" s="442" t="s">
        <v>3441</v>
      </c>
      <c r="E483" s="442" t="s">
        <v>18319</v>
      </c>
      <c r="F483" s="442" t="s">
        <v>48</v>
      </c>
      <c r="G483" s="442" t="s">
        <v>35</v>
      </c>
      <c r="H483" s="442" t="s">
        <v>49</v>
      </c>
      <c r="I483" s="442" t="s">
        <v>38</v>
      </c>
      <c r="J483" s="443">
        <v>13523.0</v>
      </c>
      <c r="K483" s="444" t="s">
        <v>18148</v>
      </c>
    </row>
    <row r="484">
      <c r="A484" s="437">
        <v>45868.477627314816</v>
      </c>
      <c r="B484" s="438" t="s">
        <v>18322</v>
      </c>
      <c r="C484" s="438" t="s">
        <v>3645</v>
      </c>
      <c r="D484" s="438" t="s">
        <v>3441</v>
      </c>
      <c r="E484" s="438" t="s">
        <v>18323</v>
      </c>
      <c r="F484" s="438" t="s">
        <v>48</v>
      </c>
      <c r="G484" s="438" t="s">
        <v>35</v>
      </c>
      <c r="H484" s="438" t="s">
        <v>49</v>
      </c>
      <c r="I484" s="438" t="s">
        <v>38</v>
      </c>
      <c r="J484" s="439">
        <v>13523.0</v>
      </c>
      <c r="K484" s="440" t="s">
        <v>18148</v>
      </c>
    </row>
    <row r="485">
      <c r="A485" s="441">
        <v>45868.47765046296</v>
      </c>
      <c r="B485" s="442" t="s">
        <v>18415</v>
      </c>
      <c r="C485" s="442" t="s">
        <v>4352</v>
      </c>
      <c r="D485" s="442" t="s">
        <v>3441</v>
      </c>
      <c r="E485" s="442" t="s">
        <v>18416</v>
      </c>
      <c r="F485" s="442" t="s">
        <v>48</v>
      </c>
      <c r="G485" s="442" t="s">
        <v>35</v>
      </c>
      <c r="H485" s="442" t="s">
        <v>49</v>
      </c>
      <c r="I485" s="442" t="s">
        <v>38</v>
      </c>
      <c r="J485" s="443">
        <v>13524.0</v>
      </c>
      <c r="K485" s="444" t="s">
        <v>18148</v>
      </c>
    </row>
    <row r="486">
      <c r="A486" s="437">
        <v>45868.47766203704</v>
      </c>
      <c r="B486" s="438" t="s">
        <v>18419</v>
      </c>
      <c r="C486" s="438" t="s">
        <v>4352</v>
      </c>
      <c r="D486" s="438" t="s">
        <v>3441</v>
      </c>
      <c r="E486" s="438" t="s">
        <v>18420</v>
      </c>
      <c r="F486" s="438" t="s">
        <v>48</v>
      </c>
      <c r="G486" s="438" t="s">
        <v>35</v>
      </c>
      <c r="H486" s="438" t="s">
        <v>49</v>
      </c>
      <c r="I486" s="438" t="s">
        <v>38</v>
      </c>
      <c r="J486" s="439">
        <v>13524.0</v>
      </c>
      <c r="K486" s="440" t="s">
        <v>18148</v>
      </c>
    </row>
    <row r="487">
      <c r="A487" s="441">
        <v>45868.478541666664</v>
      </c>
      <c r="B487" s="442" t="s">
        <v>18334</v>
      </c>
      <c r="C487" s="442" t="s">
        <v>4352</v>
      </c>
      <c r="D487" s="442" t="s">
        <v>3441</v>
      </c>
      <c r="E487" s="442" t="s">
        <v>18335</v>
      </c>
      <c r="F487" s="442" t="s">
        <v>48</v>
      </c>
      <c r="G487" s="442" t="s">
        <v>35</v>
      </c>
      <c r="H487" s="442" t="s">
        <v>49</v>
      </c>
      <c r="I487" s="442" t="s">
        <v>38</v>
      </c>
      <c r="J487" s="443">
        <v>13524.0</v>
      </c>
      <c r="K487" s="444" t="s">
        <v>18148</v>
      </c>
    </row>
    <row r="488">
      <c r="A488" s="437">
        <v>45868.47856481482</v>
      </c>
      <c r="B488" s="438" t="s">
        <v>18379</v>
      </c>
      <c r="C488" s="438" t="s">
        <v>4352</v>
      </c>
      <c r="D488" s="438" t="s">
        <v>3441</v>
      </c>
      <c r="E488" s="438" t="s">
        <v>18380</v>
      </c>
      <c r="F488" s="438" t="s">
        <v>48</v>
      </c>
      <c r="G488" s="438" t="s">
        <v>35</v>
      </c>
      <c r="H488" s="438" t="s">
        <v>49</v>
      </c>
      <c r="I488" s="438" t="s">
        <v>38</v>
      </c>
      <c r="J488" s="439">
        <v>13524.0</v>
      </c>
      <c r="K488" s="440" t="s">
        <v>18148</v>
      </c>
    </row>
    <row r="489">
      <c r="A489" s="441">
        <v>45868.47858796296</v>
      </c>
      <c r="B489" s="442" t="s">
        <v>18257</v>
      </c>
      <c r="C489" s="442" t="s">
        <v>3645</v>
      </c>
      <c r="D489" s="442" t="s">
        <v>3395</v>
      </c>
      <c r="E489" s="442" t="s">
        <v>18258</v>
      </c>
      <c r="F489" s="442" t="s">
        <v>48</v>
      </c>
      <c r="G489" s="442" t="s">
        <v>35</v>
      </c>
      <c r="H489" s="442" t="s">
        <v>49</v>
      </c>
      <c r="I489" s="442" t="s">
        <v>38</v>
      </c>
      <c r="J489" s="443">
        <v>13523.0</v>
      </c>
      <c r="K489" s="444" t="s">
        <v>18148</v>
      </c>
    </row>
    <row r="490">
      <c r="A490" s="437">
        <v>45868.47862268519</v>
      </c>
      <c r="B490" s="438" t="s">
        <v>18222</v>
      </c>
      <c r="C490" s="438" t="s">
        <v>3645</v>
      </c>
      <c r="D490" s="438" t="s">
        <v>72</v>
      </c>
      <c r="E490" s="438" t="s">
        <v>18223</v>
      </c>
      <c r="F490" s="438" t="s">
        <v>48</v>
      </c>
      <c r="G490" s="438" t="s">
        <v>35</v>
      </c>
      <c r="H490" s="438" t="s">
        <v>49</v>
      </c>
      <c r="I490" s="438" t="s">
        <v>38</v>
      </c>
      <c r="J490" s="439">
        <v>13523.0</v>
      </c>
      <c r="K490" s="440" t="s">
        <v>18148</v>
      </c>
    </row>
    <row r="491">
      <c r="A491" s="441">
        <v>45868.47862268519</v>
      </c>
      <c r="B491" s="442" t="s">
        <v>18218</v>
      </c>
      <c r="C491" s="442" t="s">
        <v>3645</v>
      </c>
      <c r="D491" s="442" t="s">
        <v>72</v>
      </c>
      <c r="E491" s="442" t="s">
        <v>18219</v>
      </c>
      <c r="F491" s="442" t="s">
        <v>48</v>
      </c>
      <c r="G491" s="442" t="s">
        <v>35</v>
      </c>
      <c r="H491" s="442" t="s">
        <v>49</v>
      </c>
      <c r="I491" s="442" t="s">
        <v>38</v>
      </c>
      <c r="J491" s="443">
        <v>13523.0</v>
      </c>
      <c r="K491" s="444" t="s">
        <v>18148</v>
      </c>
    </row>
    <row r="492">
      <c r="A492" s="437">
        <v>45868.47862268519</v>
      </c>
      <c r="B492" s="438" t="s">
        <v>18226</v>
      </c>
      <c r="C492" s="438" t="s">
        <v>3645</v>
      </c>
      <c r="D492" s="438" t="s">
        <v>72</v>
      </c>
      <c r="E492" s="438" t="s">
        <v>18227</v>
      </c>
      <c r="F492" s="438" t="s">
        <v>48</v>
      </c>
      <c r="G492" s="438" t="s">
        <v>35</v>
      </c>
      <c r="H492" s="438" t="s">
        <v>49</v>
      </c>
      <c r="I492" s="438" t="s">
        <v>38</v>
      </c>
      <c r="J492" s="439">
        <v>13523.0</v>
      </c>
      <c r="K492" s="440" t="s">
        <v>18148</v>
      </c>
    </row>
    <row r="493">
      <c r="A493" s="441">
        <v>45868.47862268519</v>
      </c>
      <c r="B493" s="442" t="s">
        <v>18301</v>
      </c>
      <c r="C493" s="442" t="s">
        <v>3645</v>
      </c>
      <c r="D493" s="442" t="s">
        <v>3395</v>
      </c>
      <c r="E493" s="442" t="s">
        <v>18302</v>
      </c>
      <c r="F493" s="442" t="s">
        <v>48</v>
      </c>
      <c r="G493" s="442" t="s">
        <v>35</v>
      </c>
      <c r="H493" s="442" t="s">
        <v>49</v>
      </c>
      <c r="I493" s="442" t="s">
        <v>38</v>
      </c>
      <c r="J493" s="443">
        <v>13523.0</v>
      </c>
      <c r="K493" s="444" t="s">
        <v>18148</v>
      </c>
    </row>
    <row r="494">
      <c r="A494" s="437">
        <v>45868.478634259256</v>
      </c>
      <c r="B494" s="438" t="s">
        <v>18213</v>
      </c>
      <c r="C494" s="438" t="s">
        <v>3645</v>
      </c>
      <c r="D494" s="438" t="s">
        <v>3395</v>
      </c>
      <c r="E494" s="438" t="s">
        <v>18214</v>
      </c>
      <c r="F494" s="438" t="s">
        <v>48</v>
      </c>
      <c r="G494" s="438" t="s">
        <v>35</v>
      </c>
      <c r="H494" s="438" t="s">
        <v>49</v>
      </c>
      <c r="I494" s="438" t="s">
        <v>38</v>
      </c>
      <c r="J494" s="439">
        <v>13523.0</v>
      </c>
      <c r="K494" s="440" t="s">
        <v>18148</v>
      </c>
    </row>
    <row r="495">
      <c r="A495" s="441">
        <v>45868.47864583333</v>
      </c>
      <c r="B495" s="442" t="s">
        <v>18339</v>
      </c>
      <c r="C495" s="442" t="s">
        <v>4352</v>
      </c>
      <c r="D495" s="442" t="s">
        <v>85</v>
      </c>
      <c r="E495" s="442" t="s">
        <v>18340</v>
      </c>
      <c r="F495" s="442" t="s">
        <v>48</v>
      </c>
      <c r="G495" s="442" t="s">
        <v>35</v>
      </c>
      <c r="H495" s="442" t="s">
        <v>49</v>
      </c>
      <c r="I495" s="442" t="s">
        <v>38</v>
      </c>
      <c r="J495" s="443">
        <v>13524.0</v>
      </c>
      <c r="K495" s="444" t="s">
        <v>18148</v>
      </c>
    </row>
    <row r="496">
      <c r="A496" s="437">
        <v>45868.47865740741</v>
      </c>
      <c r="B496" s="438" t="s">
        <v>18343</v>
      </c>
      <c r="C496" s="438" t="s">
        <v>4352</v>
      </c>
      <c r="D496" s="438" t="s">
        <v>85</v>
      </c>
      <c r="E496" s="438" t="s">
        <v>18344</v>
      </c>
      <c r="F496" s="438" t="s">
        <v>48</v>
      </c>
      <c r="G496" s="438" t="s">
        <v>35</v>
      </c>
      <c r="H496" s="438" t="s">
        <v>49</v>
      </c>
      <c r="I496" s="438" t="s">
        <v>38</v>
      </c>
      <c r="J496" s="439">
        <v>13524.0</v>
      </c>
      <c r="K496" s="440" t="s">
        <v>18148</v>
      </c>
    </row>
    <row r="497">
      <c r="A497" s="441">
        <v>45868.47871527778</v>
      </c>
      <c r="B497" s="442" t="s">
        <v>18359</v>
      </c>
      <c r="C497" s="442" t="s">
        <v>4352</v>
      </c>
      <c r="D497" s="442" t="s">
        <v>85</v>
      </c>
      <c r="E497" s="442" t="s">
        <v>18360</v>
      </c>
      <c r="F497" s="442" t="s">
        <v>48</v>
      </c>
      <c r="G497" s="442" t="s">
        <v>35</v>
      </c>
      <c r="H497" s="442" t="s">
        <v>49</v>
      </c>
      <c r="I497" s="442" t="s">
        <v>38</v>
      </c>
      <c r="J497" s="443">
        <v>13524.0</v>
      </c>
      <c r="K497" s="444" t="s">
        <v>18148</v>
      </c>
    </row>
    <row r="498">
      <c r="A498" s="437">
        <v>45868.479097222225</v>
      </c>
      <c r="B498" s="438" t="s">
        <v>18343</v>
      </c>
      <c r="C498" s="438" t="s">
        <v>4352</v>
      </c>
      <c r="D498" s="438" t="s">
        <v>85</v>
      </c>
      <c r="E498" s="438" t="s">
        <v>18344</v>
      </c>
      <c r="F498" s="438" t="s">
        <v>48</v>
      </c>
      <c r="G498" s="438" t="s">
        <v>35</v>
      </c>
      <c r="H498" s="438" t="s">
        <v>49</v>
      </c>
      <c r="I498" s="438" t="s">
        <v>38</v>
      </c>
      <c r="J498" s="439">
        <v>13524.0</v>
      </c>
      <c r="K498" s="440" t="s">
        <v>18148</v>
      </c>
    </row>
    <row r="499">
      <c r="A499" s="441">
        <v>45868.479108796295</v>
      </c>
      <c r="B499" s="442" t="s">
        <v>18347</v>
      </c>
      <c r="C499" s="442" t="s">
        <v>4352</v>
      </c>
      <c r="D499" s="442" t="s">
        <v>85</v>
      </c>
      <c r="E499" s="442" t="s">
        <v>18348</v>
      </c>
      <c r="F499" s="442" t="s">
        <v>48</v>
      </c>
      <c r="G499" s="442" t="s">
        <v>35</v>
      </c>
      <c r="H499" s="442" t="s">
        <v>49</v>
      </c>
      <c r="I499" s="442" t="s">
        <v>38</v>
      </c>
      <c r="J499" s="443">
        <v>13524.0</v>
      </c>
      <c r="K499" s="444" t="s">
        <v>18148</v>
      </c>
    </row>
    <row r="500">
      <c r="A500" s="437">
        <v>45868.479212962964</v>
      </c>
      <c r="B500" s="438" t="s">
        <v>18245</v>
      </c>
      <c r="C500" s="438" t="s">
        <v>3645</v>
      </c>
      <c r="D500" s="438" t="s">
        <v>85</v>
      </c>
      <c r="E500" s="438" t="s">
        <v>18246</v>
      </c>
      <c r="F500" s="438" t="s">
        <v>48</v>
      </c>
      <c r="G500" s="438" t="s">
        <v>35</v>
      </c>
      <c r="H500" s="438" t="s">
        <v>49</v>
      </c>
      <c r="I500" s="438" t="s">
        <v>38</v>
      </c>
      <c r="J500" s="439">
        <v>13523.0</v>
      </c>
      <c r="K500" s="440" t="s">
        <v>18148</v>
      </c>
    </row>
    <row r="501">
      <c r="A501" s="441">
        <v>45868.479212962964</v>
      </c>
      <c r="B501" s="442" t="s">
        <v>18242</v>
      </c>
      <c r="C501" s="442" t="s">
        <v>3645</v>
      </c>
      <c r="D501" s="442" t="s">
        <v>85</v>
      </c>
      <c r="E501" s="442" t="s">
        <v>18243</v>
      </c>
      <c r="F501" s="442" t="s">
        <v>48</v>
      </c>
      <c r="G501" s="442" t="s">
        <v>35</v>
      </c>
      <c r="H501" s="442" t="s">
        <v>49</v>
      </c>
      <c r="I501" s="442" t="s">
        <v>38</v>
      </c>
      <c r="J501" s="443">
        <v>13523.0</v>
      </c>
      <c r="K501" s="444" t="s">
        <v>18148</v>
      </c>
    </row>
    <row r="502">
      <c r="A502" s="437">
        <v>45868.479212962964</v>
      </c>
      <c r="B502" s="438">
        <v>18037.0</v>
      </c>
      <c r="C502" s="438" t="s">
        <v>3674</v>
      </c>
      <c r="D502" s="438" t="s">
        <v>91</v>
      </c>
      <c r="E502" s="438" t="s">
        <v>18209</v>
      </c>
      <c r="F502" s="438" t="s">
        <v>48</v>
      </c>
      <c r="G502" s="438" t="s">
        <v>35</v>
      </c>
      <c r="H502" s="438" t="s">
        <v>65</v>
      </c>
      <c r="I502" s="438" t="s">
        <v>38</v>
      </c>
      <c r="J502" s="439">
        <v>13521.0</v>
      </c>
      <c r="K502" s="440" t="s">
        <v>18148</v>
      </c>
    </row>
    <row r="503">
      <c r="A503" s="441">
        <v>45868.47923611111</v>
      </c>
      <c r="B503" s="442">
        <v>17855.0</v>
      </c>
      <c r="C503" s="442" t="s">
        <v>4711</v>
      </c>
      <c r="D503" s="442" t="s">
        <v>3441</v>
      </c>
      <c r="E503" s="442" t="s">
        <v>17220</v>
      </c>
      <c r="F503" s="442" t="s">
        <v>48</v>
      </c>
      <c r="G503" s="442" t="s">
        <v>35</v>
      </c>
      <c r="H503" s="442" t="s">
        <v>65</v>
      </c>
      <c r="I503" s="442" t="s">
        <v>38</v>
      </c>
      <c r="J503" s="443">
        <v>13520.0</v>
      </c>
      <c r="K503" s="444" t="s">
        <v>18148</v>
      </c>
    </row>
    <row r="504">
      <c r="A504" s="437">
        <v>45868.5559375</v>
      </c>
      <c r="B504" s="438">
        <v>18056.0</v>
      </c>
      <c r="C504" s="438" t="s">
        <v>18513</v>
      </c>
      <c r="D504" s="438" t="s">
        <v>91</v>
      </c>
      <c r="E504" s="438" t="s">
        <v>18514</v>
      </c>
      <c r="F504" s="438" t="s">
        <v>48</v>
      </c>
      <c r="G504" s="438" t="s">
        <v>35</v>
      </c>
      <c r="H504" s="438" t="s">
        <v>49</v>
      </c>
      <c r="I504" s="438" t="s">
        <v>1184</v>
      </c>
      <c r="J504" s="439">
        <v>13533.0</v>
      </c>
      <c r="K504" s="440" t="s">
        <v>18148</v>
      </c>
    </row>
    <row r="505">
      <c r="A505" s="441">
        <v>45868.5559375</v>
      </c>
      <c r="B505" s="442">
        <v>18048.0</v>
      </c>
      <c r="C505" s="442" t="s">
        <v>18466</v>
      </c>
      <c r="D505" s="442" t="s">
        <v>91</v>
      </c>
      <c r="E505" s="442" t="s">
        <v>18467</v>
      </c>
      <c r="F505" s="442" t="s">
        <v>48</v>
      </c>
      <c r="G505" s="442" t="s">
        <v>35</v>
      </c>
      <c r="H505" s="442" t="s">
        <v>49</v>
      </c>
      <c r="I505" s="442" t="s">
        <v>38</v>
      </c>
      <c r="J505" s="443">
        <v>13531.0</v>
      </c>
      <c r="K505" s="444" t="s">
        <v>18148</v>
      </c>
    </row>
    <row r="506">
      <c r="A506" s="437">
        <v>45868.55600694445</v>
      </c>
      <c r="B506" s="438">
        <v>18045.0</v>
      </c>
      <c r="C506" s="438" t="s">
        <v>8459</v>
      </c>
      <c r="D506" s="438" t="s">
        <v>3441</v>
      </c>
      <c r="E506" s="438" t="s">
        <v>18461</v>
      </c>
      <c r="F506" s="438" t="s">
        <v>48</v>
      </c>
      <c r="G506" s="438" t="s">
        <v>35</v>
      </c>
      <c r="H506" s="438" t="s">
        <v>49</v>
      </c>
      <c r="I506" s="438" t="s">
        <v>1506</v>
      </c>
      <c r="J506" s="439">
        <v>13534.0</v>
      </c>
      <c r="K506" s="440" t="s">
        <v>18148</v>
      </c>
    </row>
    <row r="507">
      <c r="A507" s="441">
        <v>45868.55609953704</v>
      </c>
      <c r="B507" s="442">
        <v>18050.0</v>
      </c>
      <c r="C507" s="442" t="s">
        <v>18090</v>
      </c>
      <c r="D507" s="442" t="s">
        <v>85</v>
      </c>
      <c r="E507" s="442" t="s">
        <v>18472</v>
      </c>
      <c r="F507" s="442" t="s">
        <v>48</v>
      </c>
      <c r="G507" s="442" t="s">
        <v>35</v>
      </c>
      <c r="H507" s="442" t="s">
        <v>65</v>
      </c>
      <c r="I507" s="442" t="s">
        <v>38</v>
      </c>
      <c r="J507" s="443">
        <v>13532.0</v>
      </c>
      <c r="K507" s="444" t="s">
        <v>18148</v>
      </c>
    </row>
    <row r="508">
      <c r="A508" s="437">
        <v>45868.556226851855</v>
      </c>
      <c r="B508" s="438">
        <v>18024.0</v>
      </c>
      <c r="C508" s="438" t="s">
        <v>4450</v>
      </c>
      <c r="D508" s="438" t="s">
        <v>3441</v>
      </c>
      <c r="E508" s="438" t="s">
        <v>18147</v>
      </c>
      <c r="F508" s="438" t="s">
        <v>48</v>
      </c>
      <c r="G508" s="438" t="s">
        <v>35</v>
      </c>
      <c r="H508" s="438" t="s">
        <v>92</v>
      </c>
      <c r="I508" s="438" t="s">
        <v>38</v>
      </c>
      <c r="J508" s="439">
        <v>13528.0</v>
      </c>
      <c r="K508" s="440" t="s">
        <v>18148</v>
      </c>
    </row>
    <row r="509">
      <c r="A509" s="441">
        <v>45868.556226851855</v>
      </c>
      <c r="B509" s="442">
        <v>17996.0</v>
      </c>
      <c r="C509" s="442" t="s">
        <v>17925</v>
      </c>
      <c r="D509" s="442" t="s">
        <v>91</v>
      </c>
      <c r="E509" s="442" t="s">
        <v>17926</v>
      </c>
      <c r="F509" s="442" t="s">
        <v>48</v>
      </c>
      <c r="G509" s="442" t="s">
        <v>35</v>
      </c>
      <c r="H509" s="442" t="s">
        <v>92</v>
      </c>
      <c r="I509" s="442" t="s">
        <v>38</v>
      </c>
      <c r="J509" s="443">
        <v>13525.0</v>
      </c>
      <c r="K509" s="444" t="s">
        <v>18148</v>
      </c>
    </row>
    <row r="510">
      <c r="A510" s="437">
        <v>45868.556296296294</v>
      </c>
      <c r="B510" s="438" t="s">
        <v>18104</v>
      </c>
      <c r="C510" s="438" t="s">
        <v>18105</v>
      </c>
      <c r="D510" s="438" t="s">
        <v>3441</v>
      </c>
      <c r="E510" s="438" t="s">
        <v>18106</v>
      </c>
      <c r="F510" s="438" t="s">
        <v>48</v>
      </c>
      <c r="G510" s="438" t="s">
        <v>35</v>
      </c>
      <c r="H510" s="438" t="s">
        <v>92</v>
      </c>
      <c r="I510" s="438" t="s">
        <v>38</v>
      </c>
      <c r="J510" s="439">
        <v>13527.0</v>
      </c>
      <c r="K510" s="440" t="s">
        <v>18148</v>
      </c>
    </row>
    <row r="511">
      <c r="A511" s="441">
        <v>45868.55631944445</v>
      </c>
      <c r="B511" s="442">
        <v>18015.0</v>
      </c>
      <c r="C511" s="442" t="s">
        <v>10529</v>
      </c>
      <c r="D511" s="442" t="s">
        <v>4430</v>
      </c>
      <c r="E511" s="442" t="s">
        <v>18097</v>
      </c>
      <c r="F511" s="442" t="s">
        <v>48</v>
      </c>
      <c r="G511" s="442" t="s">
        <v>35</v>
      </c>
      <c r="H511" s="442" t="s">
        <v>92</v>
      </c>
      <c r="I511" s="442" t="s">
        <v>38</v>
      </c>
      <c r="J511" s="443">
        <v>13526.0</v>
      </c>
      <c r="K511" s="444" t="s">
        <v>18148</v>
      </c>
    </row>
    <row r="512">
      <c r="A512" s="437">
        <v>45868.55635416666</v>
      </c>
      <c r="B512" s="438">
        <v>18025.0</v>
      </c>
      <c r="C512" s="438" t="s">
        <v>4450</v>
      </c>
      <c r="D512" s="438" t="s">
        <v>85</v>
      </c>
      <c r="E512" s="438" t="s">
        <v>18152</v>
      </c>
      <c r="F512" s="438" t="s">
        <v>48</v>
      </c>
      <c r="G512" s="438" t="s">
        <v>35</v>
      </c>
      <c r="H512" s="438" t="s">
        <v>92</v>
      </c>
      <c r="I512" s="438" t="s">
        <v>38</v>
      </c>
      <c r="J512" s="439">
        <v>13529.0</v>
      </c>
      <c r="K512" s="440" t="s">
        <v>18148</v>
      </c>
    </row>
    <row r="513">
      <c r="A513" s="441">
        <v>45868.63747685185</v>
      </c>
      <c r="B513" s="442" t="s">
        <v>18487</v>
      </c>
      <c r="C513" s="442" t="s">
        <v>1345</v>
      </c>
      <c r="D513" s="442" t="s">
        <v>112</v>
      </c>
      <c r="E513" s="442" t="s">
        <v>18488</v>
      </c>
      <c r="F513" s="442" t="s">
        <v>48</v>
      </c>
      <c r="G513" s="442" t="s">
        <v>35</v>
      </c>
      <c r="H513" s="442" t="s">
        <v>65</v>
      </c>
      <c r="I513" s="442" t="s">
        <v>38</v>
      </c>
      <c r="J513" s="443">
        <v>13536.0</v>
      </c>
      <c r="K513" s="444" t="s">
        <v>18148</v>
      </c>
    </row>
    <row r="514">
      <c r="A514" s="437">
        <v>45868.63793981481</v>
      </c>
      <c r="B514" s="438" t="s">
        <v>18496</v>
      </c>
      <c r="C514" s="438" t="s">
        <v>1345</v>
      </c>
      <c r="D514" s="438" t="s">
        <v>47</v>
      </c>
      <c r="E514" s="438" t="s">
        <v>18497</v>
      </c>
      <c r="F514" s="438" t="s">
        <v>48</v>
      </c>
      <c r="G514" s="438" t="s">
        <v>35</v>
      </c>
      <c r="H514" s="438" t="s">
        <v>65</v>
      </c>
      <c r="I514" s="438" t="s">
        <v>38</v>
      </c>
      <c r="J514" s="439">
        <v>13536.0</v>
      </c>
      <c r="K514" s="440" t="s">
        <v>18148</v>
      </c>
    </row>
    <row r="515">
      <c r="A515" s="441">
        <v>45868.63793981481</v>
      </c>
      <c r="B515" s="442" t="s">
        <v>18492</v>
      </c>
      <c r="C515" s="442" t="s">
        <v>1345</v>
      </c>
      <c r="D515" s="442" t="s">
        <v>112</v>
      </c>
      <c r="E515" s="442" t="s">
        <v>18493</v>
      </c>
      <c r="F515" s="442" t="s">
        <v>48</v>
      </c>
      <c r="G515" s="442" t="s">
        <v>35</v>
      </c>
      <c r="H515" s="442" t="s">
        <v>65</v>
      </c>
      <c r="I515" s="442" t="s">
        <v>38</v>
      </c>
      <c r="J515" s="443">
        <v>13536.0</v>
      </c>
      <c r="K515" s="444" t="s">
        <v>18148</v>
      </c>
    </row>
    <row r="516">
      <c r="A516" s="437">
        <v>45868.63868055555</v>
      </c>
      <c r="B516" s="438" t="s">
        <v>18500</v>
      </c>
      <c r="C516" s="438" t="s">
        <v>1345</v>
      </c>
      <c r="D516" s="438" t="s">
        <v>3441</v>
      </c>
      <c r="E516" s="438" t="s">
        <v>18501</v>
      </c>
      <c r="F516" s="438" t="s">
        <v>48</v>
      </c>
      <c r="G516" s="438" t="s">
        <v>35</v>
      </c>
      <c r="H516" s="438" t="s">
        <v>65</v>
      </c>
      <c r="I516" s="438" t="s">
        <v>38</v>
      </c>
      <c r="J516" s="439">
        <v>13536.0</v>
      </c>
      <c r="K516" s="440" t="s">
        <v>18148</v>
      </c>
    </row>
    <row r="517">
      <c r="A517" s="441">
        <v>45868.638715277775</v>
      </c>
      <c r="B517" s="442" t="s">
        <v>18504</v>
      </c>
      <c r="C517" s="442" t="s">
        <v>1345</v>
      </c>
      <c r="D517" s="442" t="s">
        <v>85</v>
      </c>
      <c r="E517" s="442" t="s">
        <v>18505</v>
      </c>
      <c r="F517" s="442" t="s">
        <v>48</v>
      </c>
      <c r="G517" s="442" t="s">
        <v>35</v>
      </c>
      <c r="H517" s="442" t="s">
        <v>65</v>
      </c>
      <c r="I517" s="442" t="s">
        <v>38</v>
      </c>
      <c r="J517" s="443">
        <v>13536.0</v>
      </c>
      <c r="K517" s="444" t="s">
        <v>18148</v>
      </c>
    </row>
    <row r="518">
      <c r="A518" s="437">
        <v>45869.42804398148</v>
      </c>
      <c r="B518" s="438" t="s">
        <v>18162</v>
      </c>
      <c r="C518" s="438" t="s">
        <v>451</v>
      </c>
      <c r="D518" s="438" t="s">
        <v>18163</v>
      </c>
      <c r="E518" s="438">
        <v>20219.0</v>
      </c>
      <c r="F518" s="438" t="s">
        <v>244</v>
      </c>
      <c r="G518" s="438" t="s">
        <v>35</v>
      </c>
      <c r="H518" s="438" t="s">
        <v>49</v>
      </c>
      <c r="I518" s="438" t="s">
        <v>38</v>
      </c>
      <c r="J518" s="439">
        <v>13537.0</v>
      </c>
      <c r="K518" s="440" t="s">
        <v>18148</v>
      </c>
    </row>
    <row r="519">
      <c r="A519" s="441">
        <v>45869.42806712963</v>
      </c>
      <c r="B519" s="442" t="s">
        <v>18167</v>
      </c>
      <c r="C519" s="442" t="s">
        <v>451</v>
      </c>
      <c r="D519" s="442" t="s">
        <v>2106</v>
      </c>
      <c r="E519" s="442">
        <v>20023.0</v>
      </c>
      <c r="F519" s="442" t="s">
        <v>244</v>
      </c>
      <c r="G519" s="442" t="s">
        <v>35</v>
      </c>
      <c r="H519" s="442" t="s">
        <v>49</v>
      </c>
      <c r="I519" s="442" t="s">
        <v>38</v>
      </c>
      <c r="J519" s="443">
        <v>13537.0</v>
      </c>
      <c r="K519" s="444" t="s">
        <v>18148</v>
      </c>
    </row>
    <row r="520">
      <c r="A520" s="437">
        <v>45869.42811342593</v>
      </c>
      <c r="B520" s="438" t="s">
        <v>18170</v>
      </c>
      <c r="C520" s="438" t="s">
        <v>451</v>
      </c>
      <c r="D520" s="438" t="s">
        <v>2106</v>
      </c>
      <c r="E520" s="438">
        <v>20218.0</v>
      </c>
      <c r="F520" s="438" t="s">
        <v>244</v>
      </c>
      <c r="G520" s="438" t="s">
        <v>35</v>
      </c>
      <c r="H520" s="438" t="s">
        <v>49</v>
      </c>
      <c r="I520" s="438" t="s">
        <v>38</v>
      </c>
      <c r="J520" s="439">
        <v>13537.0</v>
      </c>
      <c r="K520" s="440" t="s">
        <v>18148</v>
      </c>
    </row>
    <row r="521">
      <c r="A521" s="441">
        <v>45869.49421296296</v>
      </c>
      <c r="B521" s="442" t="s">
        <v>17497</v>
      </c>
      <c r="C521" s="442" t="s">
        <v>1192</v>
      </c>
      <c r="D521" s="442" t="s">
        <v>85</v>
      </c>
      <c r="E521" s="442" t="s">
        <v>17498</v>
      </c>
      <c r="F521" s="442" t="s">
        <v>48</v>
      </c>
      <c r="G521" s="442" t="s">
        <v>35</v>
      </c>
      <c r="H521" s="442" t="s">
        <v>65</v>
      </c>
      <c r="I521" s="442" t="s">
        <v>38</v>
      </c>
      <c r="J521" s="443">
        <v>13540.0</v>
      </c>
      <c r="K521" s="444" t="s">
        <v>18148</v>
      </c>
    </row>
    <row r="522">
      <c r="A522" s="437">
        <v>45869.494479166664</v>
      </c>
      <c r="B522" s="438" t="s">
        <v>17497</v>
      </c>
      <c r="C522" s="438" t="s">
        <v>1192</v>
      </c>
      <c r="D522" s="438" t="s">
        <v>85</v>
      </c>
      <c r="E522" s="438" t="s">
        <v>17498</v>
      </c>
      <c r="F522" s="438" t="s">
        <v>48</v>
      </c>
      <c r="G522" s="438" t="s">
        <v>35</v>
      </c>
      <c r="H522" s="438" t="s">
        <v>65</v>
      </c>
      <c r="I522" s="438" t="s">
        <v>38</v>
      </c>
      <c r="J522" s="439">
        <v>13540.0</v>
      </c>
      <c r="K522" s="440" t="s">
        <v>18148</v>
      </c>
    </row>
    <row r="523">
      <c r="A523" s="441">
        <v>45869.49466435185</v>
      </c>
      <c r="B523" s="442" t="s">
        <v>17489</v>
      </c>
      <c r="C523" s="442" t="s">
        <v>1192</v>
      </c>
      <c r="D523" s="442" t="s">
        <v>72</v>
      </c>
      <c r="E523" s="442" t="s">
        <v>17490</v>
      </c>
      <c r="F523" s="442" t="s">
        <v>48</v>
      </c>
      <c r="G523" s="442" t="s">
        <v>35</v>
      </c>
      <c r="H523" s="442" t="s">
        <v>65</v>
      </c>
      <c r="I523" s="442" t="s">
        <v>38</v>
      </c>
      <c r="J523" s="443">
        <v>13540.0</v>
      </c>
      <c r="K523" s="444" t="s">
        <v>18148</v>
      </c>
    </row>
    <row r="524">
      <c r="A524" s="437">
        <v>45869.49475694444</v>
      </c>
      <c r="B524" s="438" t="s">
        <v>17493</v>
      </c>
      <c r="C524" s="438" t="s">
        <v>1192</v>
      </c>
      <c r="D524" s="438" t="s">
        <v>72</v>
      </c>
      <c r="E524" s="438" t="s">
        <v>17494</v>
      </c>
      <c r="F524" s="438" t="s">
        <v>48</v>
      </c>
      <c r="G524" s="438" t="s">
        <v>35</v>
      </c>
      <c r="H524" s="438" t="s">
        <v>65</v>
      </c>
      <c r="I524" s="438" t="s">
        <v>38</v>
      </c>
      <c r="J524" s="439">
        <v>13540.0</v>
      </c>
      <c r="K524" s="440" t="s">
        <v>18148</v>
      </c>
    </row>
    <row r="525">
      <c r="A525" s="441">
        <v>45869.49481481482</v>
      </c>
      <c r="B525" s="442" t="s">
        <v>18525</v>
      </c>
      <c r="C525" s="442" t="s">
        <v>13433</v>
      </c>
      <c r="D525" s="442" t="s">
        <v>91</v>
      </c>
      <c r="E525" s="442" t="s">
        <v>18526</v>
      </c>
      <c r="F525" s="442" t="s">
        <v>48</v>
      </c>
      <c r="G525" s="442" t="s">
        <v>35</v>
      </c>
      <c r="H525" s="442" t="s">
        <v>18527</v>
      </c>
      <c r="I525" s="442" t="s">
        <v>38</v>
      </c>
      <c r="J525" s="443">
        <v>13538.0</v>
      </c>
      <c r="K525" s="444" t="s">
        <v>18148</v>
      </c>
    </row>
    <row r="526">
      <c r="A526" s="437">
        <v>45869.494837962964</v>
      </c>
      <c r="B526" s="438" t="s">
        <v>18531</v>
      </c>
      <c r="C526" s="438" t="s">
        <v>13433</v>
      </c>
      <c r="D526" s="438" t="s">
        <v>91</v>
      </c>
      <c r="E526" s="438" t="s">
        <v>18532</v>
      </c>
      <c r="F526" s="438" t="s">
        <v>48</v>
      </c>
      <c r="G526" s="438" t="s">
        <v>35</v>
      </c>
      <c r="H526" s="438" t="s">
        <v>18527</v>
      </c>
      <c r="I526" s="438" t="s">
        <v>38</v>
      </c>
      <c r="J526" s="439">
        <v>13538.0</v>
      </c>
      <c r="K526" s="440" t="s">
        <v>18148</v>
      </c>
    </row>
    <row r="527">
      <c r="A527" s="441">
        <v>45869.49487268519</v>
      </c>
      <c r="B527" s="442" t="s">
        <v>18535</v>
      </c>
      <c r="C527" s="442" t="s">
        <v>13433</v>
      </c>
      <c r="D527" s="442" t="s">
        <v>91</v>
      </c>
      <c r="E527" s="442" t="s">
        <v>18536</v>
      </c>
      <c r="F527" s="442" t="s">
        <v>48</v>
      </c>
      <c r="G527" s="442" t="s">
        <v>35</v>
      </c>
      <c r="H527" s="442" t="s">
        <v>18527</v>
      </c>
      <c r="I527" s="442" t="s">
        <v>38</v>
      </c>
      <c r="J527" s="443">
        <v>13538.0</v>
      </c>
      <c r="K527" s="444" t="s">
        <v>18148</v>
      </c>
    </row>
    <row r="528">
      <c r="A528" s="437">
        <v>45869.49487268519</v>
      </c>
      <c r="B528" s="438" t="s">
        <v>18547</v>
      </c>
      <c r="C528" s="438" t="s">
        <v>13433</v>
      </c>
      <c r="D528" s="438" t="s">
        <v>85</v>
      </c>
      <c r="E528" s="438" t="s">
        <v>18548</v>
      </c>
      <c r="F528" s="438" t="s">
        <v>48</v>
      </c>
      <c r="G528" s="438" t="s">
        <v>35</v>
      </c>
      <c r="H528" s="438" t="s">
        <v>18527</v>
      </c>
      <c r="I528" s="438" t="s">
        <v>38</v>
      </c>
      <c r="J528" s="439">
        <v>13538.0</v>
      </c>
      <c r="K528" s="440" t="s">
        <v>18148</v>
      </c>
    </row>
    <row r="529">
      <c r="A529" s="441">
        <v>45869.49489583333</v>
      </c>
      <c r="B529" s="442" t="s">
        <v>18551</v>
      </c>
      <c r="C529" s="442" t="s">
        <v>13433</v>
      </c>
      <c r="D529" s="442" t="s">
        <v>85</v>
      </c>
      <c r="E529" s="442" t="s">
        <v>18552</v>
      </c>
      <c r="F529" s="442" t="s">
        <v>48</v>
      </c>
      <c r="G529" s="442" t="s">
        <v>35</v>
      </c>
      <c r="H529" s="442" t="s">
        <v>18527</v>
      </c>
      <c r="I529" s="442" t="s">
        <v>38</v>
      </c>
      <c r="J529" s="443">
        <v>13538.0</v>
      </c>
      <c r="K529" s="444" t="s">
        <v>18148</v>
      </c>
    </row>
    <row r="530">
      <c r="A530" s="437">
        <v>45869.49490740741</v>
      </c>
      <c r="B530" s="438" t="s">
        <v>18555</v>
      </c>
      <c r="C530" s="438" t="s">
        <v>13433</v>
      </c>
      <c r="D530" s="438" t="s">
        <v>85</v>
      </c>
      <c r="E530" s="438" t="s">
        <v>18556</v>
      </c>
      <c r="F530" s="438" t="s">
        <v>48</v>
      </c>
      <c r="G530" s="438" t="s">
        <v>35</v>
      </c>
      <c r="H530" s="438" t="s">
        <v>18527</v>
      </c>
      <c r="I530" s="438" t="s">
        <v>38</v>
      </c>
      <c r="J530" s="439">
        <v>13538.0</v>
      </c>
      <c r="K530" s="440" t="s">
        <v>18148</v>
      </c>
    </row>
    <row r="531">
      <c r="A531" s="441">
        <v>45869.49493055556</v>
      </c>
      <c r="B531" s="442" t="s">
        <v>18539</v>
      </c>
      <c r="C531" s="442" t="s">
        <v>13433</v>
      </c>
      <c r="D531" s="442" t="s">
        <v>72</v>
      </c>
      <c r="E531" s="442" t="s">
        <v>18540</v>
      </c>
      <c r="F531" s="442" t="s">
        <v>48</v>
      </c>
      <c r="G531" s="442" t="s">
        <v>35</v>
      </c>
      <c r="H531" s="442" t="s">
        <v>18527</v>
      </c>
      <c r="I531" s="442" t="s">
        <v>38</v>
      </c>
      <c r="J531" s="443">
        <v>13538.0</v>
      </c>
      <c r="K531" s="444" t="s">
        <v>18148</v>
      </c>
    </row>
    <row r="532">
      <c r="A532" s="437">
        <v>45869.494942129626</v>
      </c>
      <c r="B532" s="438" t="s">
        <v>18543</v>
      </c>
      <c r="C532" s="438" t="s">
        <v>13433</v>
      </c>
      <c r="D532" s="438" t="s">
        <v>72</v>
      </c>
      <c r="E532" s="438" t="s">
        <v>18544</v>
      </c>
      <c r="F532" s="438" t="s">
        <v>48</v>
      </c>
      <c r="G532" s="438" t="s">
        <v>35</v>
      </c>
      <c r="H532" s="438" t="s">
        <v>18527</v>
      </c>
      <c r="I532" s="438" t="s">
        <v>38</v>
      </c>
      <c r="J532" s="439">
        <v>13538.0</v>
      </c>
      <c r="K532" s="440" t="s">
        <v>18148</v>
      </c>
    </row>
    <row r="533">
      <c r="A533" s="441">
        <v>45869.495</v>
      </c>
      <c r="B533" s="442" t="s">
        <v>18569</v>
      </c>
      <c r="C533" s="442" t="s">
        <v>5287</v>
      </c>
      <c r="D533" s="442" t="s">
        <v>85</v>
      </c>
      <c r="E533" s="442" t="s">
        <v>18570</v>
      </c>
      <c r="F533" s="442" t="s">
        <v>48</v>
      </c>
      <c r="G533" s="442" t="s">
        <v>35</v>
      </c>
      <c r="H533" s="442" t="s">
        <v>49</v>
      </c>
      <c r="I533" s="442" t="s">
        <v>12614</v>
      </c>
      <c r="J533" s="443">
        <v>13541.0</v>
      </c>
      <c r="K533" s="444" t="s">
        <v>18148</v>
      </c>
    </row>
    <row r="534">
      <c r="A534" s="437">
        <v>45869.495034722226</v>
      </c>
      <c r="B534" s="438" t="s">
        <v>18573</v>
      </c>
      <c r="C534" s="438" t="s">
        <v>5287</v>
      </c>
      <c r="D534" s="438" t="s">
        <v>91</v>
      </c>
      <c r="E534" s="438" t="s">
        <v>18574</v>
      </c>
      <c r="F534" s="438" t="s">
        <v>48</v>
      </c>
      <c r="G534" s="438" t="s">
        <v>35</v>
      </c>
      <c r="H534" s="438" t="s">
        <v>49</v>
      </c>
      <c r="I534" s="438" t="s">
        <v>12614</v>
      </c>
      <c r="J534" s="439">
        <v>13541.0</v>
      </c>
      <c r="K534" s="440" t="s">
        <v>18148</v>
      </c>
    </row>
    <row r="535">
      <c r="A535" s="441">
        <v>45869.495034722226</v>
      </c>
      <c r="B535" s="442" t="s">
        <v>18564</v>
      </c>
      <c r="C535" s="442" t="s">
        <v>5287</v>
      </c>
      <c r="D535" s="442" t="s">
        <v>3395</v>
      </c>
      <c r="E535" s="442" t="s">
        <v>18565</v>
      </c>
      <c r="F535" s="442" t="s">
        <v>48</v>
      </c>
      <c r="G535" s="442" t="s">
        <v>35</v>
      </c>
      <c r="H535" s="442" t="s">
        <v>49</v>
      </c>
      <c r="I535" s="442" t="s">
        <v>12614</v>
      </c>
      <c r="J535" s="443">
        <v>13541.0</v>
      </c>
      <c r="K535" s="444" t="s">
        <v>18148</v>
      </c>
    </row>
    <row r="536">
      <c r="A536" s="437">
        <v>45869.49506944444</v>
      </c>
      <c r="B536" s="438">
        <v>18061.0</v>
      </c>
      <c r="C536" s="438" t="s">
        <v>16801</v>
      </c>
      <c r="D536" s="438" t="s">
        <v>3395</v>
      </c>
      <c r="E536" s="438" t="s">
        <v>18560</v>
      </c>
      <c r="F536" s="438" t="s">
        <v>48</v>
      </c>
      <c r="G536" s="438" t="s">
        <v>35</v>
      </c>
      <c r="H536" s="438" t="s">
        <v>49</v>
      </c>
      <c r="I536" s="438" t="s">
        <v>38</v>
      </c>
      <c r="J536" s="439">
        <v>13539.0</v>
      </c>
      <c r="K536" s="440" t="s">
        <v>18148</v>
      </c>
    </row>
    <row r="537">
      <c r="A537" s="441">
        <v>45869.49511574074</v>
      </c>
      <c r="B537" s="442">
        <v>18012.0</v>
      </c>
      <c r="C537" s="442" t="s">
        <v>18076</v>
      </c>
      <c r="D537" s="442" t="s">
        <v>3441</v>
      </c>
      <c r="E537" s="442" t="s">
        <v>18077</v>
      </c>
      <c r="F537" s="442" t="s">
        <v>48</v>
      </c>
      <c r="G537" s="442" t="s">
        <v>35</v>
      </c>
      <c r="H537" s="442" t="s">
        <v>18078</v>
      </c>
      <c r="I537" s="442" t="s">
        <v>38</v>
      </c>
      <c r="J537" s="443">
        <v>13542.0</v>
      </c>
      <c r="K537" s="444" t="s">
        <v>18148</v>
      </c>
    </row>
    <row r="538">
      <c r="A538" s="437">
        <v>45869.57946759259</v>
      </c>
      <c r="B538" s="438" t="s">
        <v>18456</v>
      </c>
      <c r="C538" s="438" t="s">
        <v>18450</v>
      </c>
      <c r="D538" s="438" t="s">
        <v>3395</v>
      </c>
      <c r="E538" s="438" t="s">
        <v>18457</v>
      </c>
      <c r="F538" s="438" t="s">
        <v>48</v>
      </c>
      <c r="G538" s="438" t="s">
        <v>35</v>
      </c>
      <c r="H538" s="438" t="s">
        <v>339</v>
      </c>
      <c r="I538" s="438" t="s">
        <v>38</v>
      </c>
      <c r="J538" s="439">
        <v>13543.0</v>
      </c>
      <c r="K538" s="440" t="s">
        <v>18148</v>
      </c>
    </row>
    <row r="539">
      <c r="A539" s="441">
        <v>45869.57949074074</v>
      </c>
      <c r="B539" s="442" t="s">
        <v>18449</v>
      </c>
      <c r="C539" s="442" t="s">
        <v>18450</v>
      </c>
      <c r="D539" s="442" t="s">
        <v>3395</v>
      </c>
      <c r="E539" s="442" t="s">
        <v>18451</v>
      </c>
      <c r="F539" s="442" t="s">
        <v>48</v>
      </c>
      <c r="G539" s="442" t="s">
        <v>35</v>
      </c>
      <c r="H539" s="442" t="s">
        <v>339</v>
      </c>
      <c r="I539" s="442" t="s">
        <v>38</v>
      </c>
      <c r="J539" s="443">
        <v>13543.0</v>
      </c>
      <c r="K539" s="444" t="s">
        <v>18148</v>
      </c>
    </row>
    <row r="540">
      <c r="A540" s="437">
        <v>45870.42246527778</v>
      </c>
      <c r="B540" s="438">
        <v>18063.0</v>
      </c>
      <c r="C540" s="438" t="s">
        <v>1428</v>
      </c>
      <c r="D540" s="438" t="s">
        <v>112</v>
      </c>
      <c r="E540" s="438" t="s">
        <v>18578</v>
      </c>
      <c r="F540" s="438" t="s">
        <v>48</v>
      </c>
      <c r="G540" s="438" t="s">
        <v>35</v>
      </c>
      <c r="H540" s="438" t="s">
        <v>49</v>
      </c>
      <c r="I540" s="438" t="s">
        <v>1430</v>
      </c>
      <c r="J540" s="439">
        <v>13544.0</v>
      </c>
      <c r="K540" s="440" t="s">
        <v>18148</v>
      </c>
    </row>
    <row r="541">
      <c r="A541" s="441">
        <v>45870.4225</v>
      </c>
      <c r="B541" s="442">
        <v>18066.0</v>
      </c>
      <c r="C541" s="442" t="s">
        <v>9101</v>
      </c>
      <c r="D541" s="442" t="s">
        <v>91</v>
      </c>
      <c r="E541" s="442" t="s">
        <v>18596</v>
      </c>
      <c r="F541" s="442" t="s">
        <v>48</v>
      </c>
      <c r="G541" s="442" t="s">
        <v>35</v>
      </c>
      <c r="H541" s="442" t="s">
        <v>65</v>
      </c>
      <c r="I541" s="442" t="s">
        <v>38</v>
      </c>
      <c r="J541" s="443">
        <v>13545.0</v>
      </c>
      <c r="K541" s="444" t="s">
        <v>18148</v>
      </c>
    </row>
    <row r="542">
      <c r="A542" s="437">
        <v>45870.474490740744</v>
      </c>
      <c r="B542" s="438">
        <v>18070.0</v>
      </c>
      <c r="C542" s="438" t="s">
        <v>18616</v>
      </c>
      <c r="D542" s="438" t="s">
        <v>91</v>
      </c>
      <c r="E542" s="438" t="s">
        <v>18617</v>
      </c>
      <c r="F542" s="438" t="s">
        <v>48</v>
      </c>
      <c r="G542" s="438" t="s">
        <v>35</v>
      </c>
      <c r="H542" s="438" t="s">
        <v>65</v>
      </c>
      <c r="I542" s="438" t="s">
        <v>38</v>
      </c>
      <c r="J542" s="439"/>
      <c r="K542" s="440" t="s">
        <v>18148</v>
      </c>
    </row>
    <row r="543">
      <c r="A543" s="441">
        <v>45870.47452546296</v>
      </c>
      <c r="B543" s="442">
        <v>18065.0</v>
      </c>
      <c r="C543" s="442" t="s">
        <v>18591</v>
      </c>
      <c r="D543" s="442" t="s">
        <v>91</v>
      </c>
      <c r="E543" s="442" t="s">
        <v>18592</v>
      </c>
      <c r="F543" s="442" t="s">
        <v>48</v>
      </c>
      <c r="G543" s="442" t="s">
        <v>35</v>
      </c>
      <c r="H543" s="442" t="s">
        <v>65</v>
      </c>
      <c r="I543" s="442" t="s">
        <v>38</v>
      </c>
      <c r="J543" s="443"/>
      <c r="K543" s="444" t="s">
        <v>18148</v>
      </c>
    </row>
    <row r="544">
      <c r="A544" s="437">
        <v>45870.478159722225</v>
      </c>
      <c r="B544" s="438">
        <v>18065.0</v>
      </c>
      <c r="C544" s="438" t="s">
        <v>18591</v>
      </c>
      <c r="D544" s="438" t="s">
        <v>91</v>
      </c>
      <c r="E544" s="438" t="s">
        <v>18592</v>
      </c>
      <c r="F544" s="438" t="s">
        <v>48</v>
      </c>
      <c r="G544" s="438" t="s">
        <v>35</v>
      </c>
      <c r="H544" s="438" t="s">
        <v>65</v>
      </c>
      <c r="I544" s="438" t="s">
        <v>38</v>
      </c>
      <c r="J544" s="439">
        <v>13546.0</v>
      </c>
      <c r="K544" s="440" t="s">
        <v>18148</v>
      </c>
    </row>
    <row r="545">
      <c r="A545" s="441">
        <v>45870.478171296294</v>
      </c>
      <c r="B545" s="442">
        <v>18070.0</v>
      </c>
      <c r="C545" s="442" t="s">
        <v>18616</v>
      </c>
      <c r="D545" s="442" t="s">
        <v>91</v>
      </c>
      <c r="E545" s="442" t="s">
        <v>18617</v>
      </c>
      <c r="F545" s="442" t="s">
        <v>48</v>
      </c>
      <c r="G545" s="442" t="s">
        <v>35</v>
      </c>
      <c r="H545" s="442" t="s">
        <v>65</v>
      </c>
      <c r="I545" s="442" t="s">
        <v>38</v>
      </c>
      <c r="J545" s="443">
        <v>13547.0</v>
      </c>
      <c r="K545" s="444" t="s">
        <v>18148</v>
      </c>
    </row>
    <row r="546">
      <c r="A546" s="437">
        <v>45870.5555787037</v>
      </c>
      <c r="B546" s="438">
        <v>18084.0</v>
      </c>
      <c r="C546" s="438" t="s">
        <v>12692</v>
      </c>
      <c r="D546" s="438" t="s">
        <v>112</v>
      </c>
      <c r="E546" s="438" t="s">
        <v>18659</v>
      </c>
      <c r="F546" s="438" t="s">
        <v>48</v>
      </c>
      <c r="G546" s="438" t="s">
        <v>35</v>
      </c>
      <c r="H546" s="438" t="s">
        <v>92</v>
      </c>
      <c r="I546" s="438" t="s">
        <v>38</v>
      </c>
      <c r="J546" s="439">
        <v>13548.0</v>
      </c>
      <c r="K546" s="440" t="s">
        <v>18148</v>
      </c>
    </row>
    <row r="547">
      <c r="A547" s="441">
        <v>45870.590578703705</v>
      </c>
      <c r="B547" s="442">
        <v>18055.0</v>
      </c>
      <c r="C547" s="442" t="s">
        <v>4313</v>
      </c>
      <c r="D547" s="442" t="s">
        <v>913</v>
      </c>
      <c r="E547" s="442">
        <v>14049.0</v>
      </c>
      <c r="F547" s="442" t="s">
        <v>33</v>
      </c>
      <c r="G547" s="442" t="s">
        <v>35</v>
      </c>
      <c r="H547" s="442" t="s">
        <v>92</v>
      </c>
      <c r="I547" s="442" t="s">
        <v>38</v>
      </c>
      <c r="J547" s="443">
        <v>13549.0</v>
      </c>
      <c r="K547" s="444" t="s">
        <v>18148</v>
      </c>
    </row>
    <row r="548">
      <c r="A548" s="437">
        <v>45870.625925925924</v>
      </c>
      <c r="B548" s="438" t="s">
        <v>24922</v>
      </c>
      <c r="C548" s="438" t="s">
        <v>3121</v>
      </c>
      <c r="D548" s="438" t="s">
        <v>72</v>
      </c>
      <c r="E548" s="438" t="s">
        <v>19275</v>
      </c>
      <c r="F548" s="438" t="s">
        <v>48</v>
      </c>
      <c r="G548" s="438" t="s">
        <v>35</v>
      </c>
      <c r="H548" s="438" t="s">
        <v>92</v>
      </c>
      <c r="I548" s="438" t="s">
        <v>38</v>
      </c>
      <c r="J548" s="439">
        <v>13550.0</v>
      </c>
      <c r="K548" s="440" t="s">
        <v>18148</v>
      </c>
    </row>
    <row r="549">
      <c r="A549" s="441">
        <v>45870.62596064815</v>
      </c>
      <c r="B549" s="442" t="s">
        <v>24923</v>
      </c>
      <c r="C549" s="442" t="s">
        <v>3121</v>
      </c>
      <c r="D549" s="442" t="s">
        <v>72</v>
      </c>
      <c r="E549" s="442" t="s">
        <v>19280</v>
      </c>
      <c r="F549" s="442" t="s">
        <v>48</v>
      </c>
      <c r="G549" s="442" t="s">
        <v>35</v>
      </c>
      <c r="H549" s="442" t="s">
        <v>92</v>
      </c>
      <c r="I549" s="442" t="s">
        <v>38</v>
      </c>
      <c r="J549" s="443">
        <v>13550.0</v>
      </c>
      <c r="K549" s="444" t="s">
        <v>18148</v>
      </c>
    </row>
    <row r="550">
      <c r="A550" s="437">
        <v>45870.62599537037</v>
      </c>
      <c r="B550" s="438">
        <v>18074.0</v>
      </c>
      <c r="C550" s="438" t="s">
        <v>3709</v>
      </c>
      <c r="D550" s="438" t="s">
        <v>3441</v>
      </c>
      <c r="E550" s="438" t="s">
        <v>18632</v>
      </c>
      <c r="F550" s="438" t="s">
        <v>48</v>
      </c>
      <c r="G550" s="438" t="s">
        <v>35</v>
      </c>
      <c r="H550" s="438" t="s">
        <v>92</v>
      </c>
      <c r="I550" s="438" t="s">
        <v>38</v>
      </c>
      <c r="J550" s="439">
        <v>13551.0</v>
      </c>
      <c r="K550" s="440" t="s">
        <v>18148</v>
      </c>
    </row>
    <row r="551">
      <c r="A551" s="441">
        <v>45870.62601851852</v>
      </c>
      <c r="B551" s="442">
        <v>18051.0</v>
      </c>
      <c r="C551" s="442" t="s">
        <v>4313</v>
      </c>
      <c r="D551" s="442" t="s">
        <v>91</v>
      </c>
      <c r="E551" s="442" t="s">
        <v>18477</v>
      </c>
      <c r="F551" s="442" t="s">
        <v>48</v>
      </c>
      <c r="G551" s="442" t="s">
        <v>35</v>
      </c>
      <c r="H551" s="442" t="s">
        <v>92</v>
      </c>
      <c r="I551" s="442" t="s">
        <v>38</v>
      </c>
      <c r="J551" s="443">
        <v>13552.0</v>
      </c>
      <c r="K551" s="444" t="s">
        <v>18148</v>
      </c>
    </row>
    <row r="552">
      <c r="A552" s="437">
        <v>45870.62603009259</v>
      </c>
      <c r="B552" s="438" t="s">
        <v>24924</v>
      </c>
      <c r="C552" s="438" t="s">
        <v>3121</v>
      </c>
      <c r="D552" s="438" t="s">
        <v>3395</v>
      </c>
      <c r="E552" s="438" t="s">
        <v>19284</v>
      </c>
      <c r="F552" s="438" t="s">
        <v>48</v>
      </c>
      <c r="G552" s="438" t="s">
        <v>35</v>
      </c>
      <c r="H552" s="438" t="s">
        <v>92</v>
      </c>
      <c r="I552" s="438" t="s">
        <v>38</v>
      </c>
      <c r="J552" s="439">
        <v>13550.0</v>
      </c>
      <c r="K552" s="440" t="s">
        <v>18148</v>
      </c>
    </row>
    <row r="553">
      <c r="A553" s="441">
        <v>45870.62605324074</v>
      </c>
      <c r="B553" s="442" t="s">
        <v>24925</v>
      </c>
      <c r="C553" s="442" t="s">
        <v>3121</v>
      </c>
      <c r="D553" s="442" t="s">
        <v>3395</v>
      </c>
      <c r="E553" s="442" t="s">
        <v>19292</v>
      </c>
      <c r="F553" s="442" t="s">
        <v>48</v>
      </c>
      <c r="G553" s="442" t="s">
        <v>35</v>
      </c>
      <c r="H553" s="442" t="s">
        <v>92</v>
      </c>
      <c r="I553" s="442" t="s">
        <v>38</v>
      </c>
      <c r="J553" s="443">
        <v>13550.0</v>
      </c>
      <c r="K553" s="444" t="s">
        <v>18148</v>
      </c>
    </row>
    <row r="554">
      <c r="A554" s="437">
        <v>45870.62605324074</v>
      </c>
      <c r="B554" s="438" t="s">
        <v>24926</v>
      </c>
      <c r="C554" s="438" t="s">
        <v>3121</v>
      </c>
      <c r="D554" s="438" t="s">
        <v>3395</v>
      </c>
      <c r="E554" s="438" t="s">
        <v>19288</v>
      </c>
      <c r="F554" s="438" t="s">
        <v>48</v>
      </c>
      <c r="G554" s="438" t="s">
        <v>35</v>
      </c>
      <c r="H554" s="438" t="s">
        <v>92</v>
      </c>
      <c r="I554" s="438" t="s">
        <v>38</v>
      </c>
      <c r="J554" s="439">
        <v>13550.0</v>
      </c>
      <c r="K554" s="440" t="s">
        <v>18148</v>
      </c>
    </row>
    <row r="555">
      <c r="A555" s="441">
        <v>45870.626076388886</v>
      </c>
      <c r="B555" s="442" t="s">
        <v>24925</v>
      </c>
      <c r="C555" s="442" t="s">
        <v>3121</v>
      </c>
      <c r="D555" s="442" t="s">
        <v>3395</v>
      </c>
      <c r="E555" s="442" t="s">
        <v>19292</v>
      </c>
      <c r="F555" s="442" t="s">
        <v>48</v>
      </c>
      <c r="G555" s="442" t="s">
        <v>35</v>
      </c>
      <c r="H555" s="442" t="s">
        <v>92</v>
      </c>
      <c r="I555" s="442" t="s">
        <v>38</v>
      </c>
      <c r="J555" s="443">
        <v>13550.0</v>
      </c>
      <c r="K555" s="444" t="s">
        <v>18148</v>
      </c>
    </row>
    <row r="556">
      <c r="A556" s="437">
        <v>45873.45929398148</v>
      </c>
      <c r="B556" s="438">
        <v>18014.0</v>
      </c>
      <c r="C556" s="438" t="s">
        <v>18090</v>
      </c>
      <c r="D556" s="438" t="s">
        <v>91</v>
      </c>
      <c r="E556" s="438" t="s">
        <v>17950</v>
      </c>
      <c r="F556" s="438" t="s">
        <v>48</v>
      </c>
      <c r="G556" s="438" t="s">
        <v>35</v>
      </c>
      <c r="H556" s="438" t="s">
        <v>65</v>
      </c>
      <c r="I556" s="438" t="s">
        <v>38</v>
      </c>
      <c r="J556" s="439">
        <v>13509.0</v>
      </c>
      <c r="K556" s="440" t="s">
        <v>18148</v>
      </c>
    </row>
    <row r="557">
      <c r="A557" s="441">
        <v>45873.459444444445</v>
      </c>
      <c r="B557" s="442">
        <v>18014.0</v>
      </c>
      <c r="C557" s="442" t="s">
        <v>18090</v>
      </c>
      <c r="D557" s="442" t="s">
        <v>91</v>
      </c>
      <c r="E557" s="442" t="s">
        <v>17950</v>
      </c>
      <c r="F557" s="442" t="s">
        <v>48</v>
      </c>
      <c r="G557" s="442" t="s">
        <v>35</v>
      </c>
      <c r="H557" s="442" t="s">
        <v>65</v>
      </c>
      <c r="I557" s="442" t="s">
        <v>38</v>
      </c>
      <c r="J557" s="443">
        <v>13509.0</v>
      </c>
      <c r="K557" s="444" t="s">
        <v>18148</v>
      </c>
    </row>
    <row r="558">
      <c r="A558" s="437">
        <v>45873.45983796296</v>
      </c>
      <c r="B558" s="438">
        <v>18014.0</v>
      </c>
      <c r="C558" s="438" t="s">
        <v>18090</v>
      </c>
      <c r="D558" s="438" t="s">
        <v>91</v>
      </c>
      <c r="E558" s="438" t="s">
        <v>17950</v>
      </c>
      <c r="F558" s="438" t="s">
        <v>48</v>
      </c>
      <c r="G558" s="438" t="s">
        <v>35</v>
      </c>
      <c r="H558" s="438" t="s">
        <v>65</v>
      </c>
      <c r="I558" s="438" t="s">
        <v>38</v>
      </c>
      <c r="J558" s="439">
        <v>13509.0</v>
      </c>
      <c r="K558" s="440" t="s">
        <v>18148</v>
      </c>
    </row>
    <row r="559">
      <c r="A559" s="441">
        <v>45873.461493055554</v>
      </c>
      <c r="B559" s="442">
        <v>18014.0</v>
      </c>
      <c r="C559" s="442" t="s">
        <v>18090</v>
      </c>
      <c r="D559" s="442" t="s">
        <v>91</v>
      </c>
      <c r="E559" s="442" t="s">
        <v>17950</v>
      </c>
      <c r="F559" s="442" t="s">
        <v>48</v>
      </c>
      <c r="G559" s="442" t="s">
        <v>35</v>
      </c>
      <c r="H559" s="442" t="s">
        <v>518</v>
      </c>
      <c r="I559" s="442" t="s">
        <v>38</v>
      </c>
      <c r="J559" s="443">
        <v>13509.0</v>
      </c>
      <c r="K559" s="444" t="s">
        <v>18148</v>
      </c>
    </row>
    <row r="560">
      <c r="A560" s="437">
        <v>45873.476805555554</v>
      </c>
      <c r="B560" s="438" t="s">
        <v>18642</v>
      </c>
      <c r="C560" s="438" t="s">
        <v>18643</v>
      </c>
      <c r="D560" s="438" t="s">
        <v>72</v>
      </c>
      <c r="E560" s="438" t="s">
        <v>18644</v>
      </c>
      <c r="F560" s="438" t="s">
        <v>48</v>
      </c>
      <c r="G560" s="438" t="s">
        <v>35</v>
      </c>
      <c r="H560" s="438" t="s">
        <v>65</v>
      </c>
      <c r="I560" s="438" t="s">
        <v>38</v>
      </c>
      <c r="J560" s="439">
        <v>13553.0</v>
      </c>
      <c r="K560" s="440" t="s">
        <v>18148</v>
      </c>
    </row>
    <row r="561">
      <c r="A561" s="441">
        <v>45873.47684027778</v>
      </c>
      <c r="B561" s="442" t="s">
        <v>18649</v>
      </c>
      <c r="C561" s="442" t="s">
        <v>18643</v>
      </c>
      <c r="D561" s="442" t="s">
        <v>3441</v>
      </c>
      <c r="E561" s="442" t="s">
        <v>18650</v>
      </c>
      <c r="F561" s="442" t="s">
        <v>48</v>
      </c>
      <c r="G561" s="442" t="s">
        <v>35</v>
      </c>
      <c r="H561" s="442" t="s">
        <v>65</v>
      </c>
      <c r="I561" s="442" t="s">
        <v>38</v>
      </c>
      <c r="J561" s="443">
        <v>13553.0</v>
      </c>
      <c r="K561" s="444" t="s">
        <v>18148</v>
      </c>
    </row>
    <row r="562">
      <c r="A562" s="437">
        <v>45873.47689814815</v>
      </c>
      <c r="B562" s="438">
        <v>18083.0</v>
      </c>
      <c r="C562" s="438" t="s">
        <v>4126</v>
      </c>
      <c r="D562" s="438" t="s">
        <v>3395</v>
      </c>
      <c r="E562" s="438" t="s">
        <v>18654</v>
      </c>
      <c r="F562" s="438" t="s">
        <v>48</v>
      </c>
      <c r="G562" s="438" t="s">
        <v>35</v>
      </c>
      <c r="H562" s="438" t="s">
        <v>65</v>
      </c>
      <c r="I562" s="438" t="s">
        <v>38</v>
      </c>
      <c r="J562" s="439">
        <v>13554.0</v>
      </c>
      <c r="K562" s="440" t="s">
        <v>18148</v>
      </c>
    </row>
    <row r="563">
      <c r="A563" s="441">
        <v>45873.47693287037</v>
      </c>
      <c r="B563" s="442">
        <v>18088.0</v>
      </c>
      <c r="C563" s="442" t="s">
        <v>122</v>
      </c>
      <c r="D563" s="442" t="s">
        <v>112</v>
      </c>
      <c r="E563" s="442" t="s">
        <v>18665</v>
      </c>
      <c r="F563" s="442" t="s">
        <v>48</v>
      </c>
      <c r="G563" s="442" t="s">
        <v>35</v>
      </c>
      <c r="H563" s="442" t="s">
        <v>49</v>
      </c>
      <c r="I563" s="442" t="s">
        <v>38</v>
      </c>
      <c r="J563" s="443">
        <v>13555.0</v>
      </c>
      <c r="K563" s="444" t="s">
        <v>18148</v>
      </c>
    </row>
    <row r="564">
      <c r="A564" s="437">
        <v>45873.61690972222</v>
      </c>
      <c r="B564" s="438" t="s">
        <v>18041</v>
      </c>
      <c r="C564" s="438" t="s">
        <v>13507</v>
      </c>
      <c r="D564" s="438" t="s">
        <v>18009</v>
      </c>
      <c r="E564" s="438">
        <v>20199.0</v>
      </c>
      <c r="F564" s="438" t="s">
        <v>48</v>
      </c>
      <c r="G564" s="438" t="s">
        <v>35</v>
      </c>
      <c r="H564" s="438" t="s">
        <v>65</v>
      </c>
      <c r="I564" s="438" t="s">
        <v>38</v>
      </c>
      <c r="J564" s="439">
        <v>13556.0</v>
      </c>
      <c r="K564" s="440" t="s">
        <v>18148</v>
      </c>
    </row>
    <row r="565">
      <c r="A565" s="441">
        <v>45873.61703703704</v>
      </c>
      <c r="B565" s="442" t="s">
        <v>18049</v>
      </c>
      <c r="C565" s="442" t="s">
        <v>13507</v>
      </c>
      <c r="D565" s="442" t="s">
        <v>18009</v>
      </c>
      <c r="E565" s="442">
        <v>20195.0</v>
      </c>
      <c r="F565" s="442" t="s">
        <v>48</v>
      </c>
      <c r="G565" s="442" t="s">
        <v>35</v>
      </c>
      <c r="H565" s="442" t="s">
        <v>65</v>
      </c>
      <c r="I565" s="442" t="s">
        <v>38</v>
      </c>
      <c r="J565" s="443">
        <v>13556.0</v>
      </c>
      <c r="K565" s="444" t="s">
        <v>18148</v>
      </c>
    </row>
    <row r="566">
      <c r="A566" s="437">
        <v>45873.617060185185</v>
      </c>
      <c r="B566" s="438" t="s">
        <v>18037</v>
      </c>
      <c r="C566" s="438" t="s">
        <v>13507</v>
      </c>
      <c r="D566" s="438" t="s">
        <v>18009</v>
      </c>
      <c r="E566" s="438">
        <v>20201.0</v>
      </c>
      <c r="F566" s="438" t="s">
        <v>48</v>
      </c>
      <c r="G566" s="438" t="s">
        <v>35</v>
      </c>
      <c r="H566" s="438" t="s">
        <v>65</v>
      </c>
      <c r="I566" s="438" t="s">
        <v>38</v>
      </c>
      <c r="J566" s="439">
        <v>13556.0</v>
      </c>
      <c r="K566" s="440" t="s">
        <v>18148</v>
      </c>
    </row>
    <row r="567">
      <c r="A567" s="441">
        <v>45873.61707175926</v>
      </c>
      <c r="B567" s="442" t="s">
        <v>18021</v>
      </c>
      <c r="C567" s="442" t="s">
        <v>13507</v>
      </c>
      <c r="D567" s="442" t="s">
        <v>18009</v>
      </c>
      <c r="E567" s="442">
        <v>20209.0</v>
      </c>
      <c r="F567" s="442" t="s">
        <v>48</v>
      </c>
      <c r="G567" s="442" t="s">
        <v>35</v>
      </c>
      <c r="H567" s="442" t="s">
        <v>65</v>
      </c>
      <c r="I567" s="442" t="s">
        <v>38</v>
      </c>
      <c r="J567" s="443">
        <v>13556.0</v>
      </c>
      <c r="K567" s="444" t="s">
        <v>18148</v>
      </c>
    </row>
    <row r="568">
      <c r="A568" s="437">
        <v>45873.61709490741</v>
      </c>
      <c r="B568" s="438" t="s">
        <v>18053</v>
      </c>
      <c r="C568" s="438" t="s">
        <v>13507</v>
      </c>
      <c r="D568" s="438" t="s">
        <v>18009</v>
      </c>
      <c r="E568" s="438">
        <v>20193.0</v>
      </c>
      <c r="F568" s="438" t="s">
        <v>48</v>
      </c>
      <c r="G568" s="438" t="s">
        <v>35</v>
      </c>
      <c r="H568" s="438" t="s">
        <v>65</v>
      </c>
      <c r="I568" s="438" t="s">
        <v>38</v>
      </c>
      <c r="J568" s="439">
        <v>13556.0</v>
      </c>
      <c r="K568" s="440" t="s">
        <v>18148</v>
      </c>
    </row>
    <row r="569">
      <c r="A569" s="441">
        <v>45873.61712962963</v>
      </c>
      <c r="B569" s="442" t="s">
        <v>18007</v>
      </c>
      <c r="C569" s="442" t="s">
        <v>13507</v>
      </c>
      <c r="D569" s="442" t="s">
        <v>18009</v>
      </c>
      <c r="E569" s="442">
        <v>20191.0</v>
      </c>
      <c r="F569" s="442" t="s">
        <v>48</v>
      </c>
      <c r="G569" s="442" t="s">
        <v>35</v>
      </c>
      <c r="H569" s="442" t="s">
        <v>65</v>
      </c>
      <c r="I569" s="442" t="s">
        <v>38</v>
      </c>
      <c r="J569" s="443">
        <v>13556.0</v>
      </c>
      <c r="K569" s="444" t="s">
        <v>18148</v>
      </c>
    </row>
    <row r="570">
      <c r="A570" s="437">
        <v>45873.6171412037</v>
      </c>
      <c r="B570" s="438" t="s">
        <v>18029</v>
      </c>
      <c r="C570" s="438" t="s">
        <v>13507</v>
      </c>
      <c r="D570" s="438" t="s">
        <v>18009</v>
      </c>
      <c r="E570" s="438">
        <v>20205.0</v>
      </c>
      <c r="F570" s="438" t="s">
        <v>48</v>
      </c>
      <c r="G570" s="438" t="s">
        <v>35</v>
      </c>
      <c r="H570" s="438" t="s">
        <v>65</v>
      </c>
      <c r="I570" s="438" t="s">
        <v>38</v>
      </c>
      <c r="J570" s="439">
        <v>13556.0</v>
      </c>
      <c r="K570" s="440" t="s">
        <v>18148</v>
      </c>
    </row>
    <row r="571">
      <c r="A571" s="441">
        <v>45873.61717592592</v>
      </c>
      <c r="B571" s="442" t="s">
        <v>18045</v>
      </c>
      <c r="C571" s="442" t="s">
        <v>13507</v>
      </c>
      <c r="D571" s="442" t="s">
        <v>18009</v>
      </c>
      <c r="E571" s="442">
        <v>20197.0</v>
      </c>
      <c r="F571" s="442" t="s">
        <v>48</v>
      </c>
      <c r="G571" s="442" t="s">
        <v>35</v>
      </c>
      <c r="H571" s="442" t="s">
        <v>65</v>
      </c>
      <c r="I571" s="442" t="s">
        <v>38</v>
      </c>
      <c r="J571" s="443">
        <v>13556.0</v>
      </c>
      <c r="K571" s="444" t="s">
        <v>18148</v>
      </c>
    </row>
    <row r="572">
      <c r="A572" s="437">
        <v>45873.617210648146</v>
      </c>
      <c r="B572" s="438" t="s">
        <v>18025</v>
      </c>
      <c r="C572" s="438" t="s">
        <v>13507</v>
      </c>
      <c r="D572" s="438" t="s">
        <v>18009</v>
      </c>
      <c r="E572" s="438">
        <v>20207.0</v>
      </c>
      <c r="F572" s="438" t="s">
        <v>48</v>
      </c>
      <c r="G572" s="438" t="s">
        <v>35</v>
      </c>
      <c r="H572" s="438" t="s">
        <v>65</v>
      </c>
      <c r="I572" s="438" t="s">
        <v>38</v>
      </c>
      <c r="J572" s="439">
        <v>13556.0</v>
      </c>
      <c r="K572" s="440" t="s">
        <v>18148</v>
      </c>
    </row>
    <row r="573">
      <c r="A573" s="441">
        <v>45873.61732638889</v>
      </c>
      <c r="B573" s="442" t="s">
        <v>18017</v>
      </c>
      <c r="C573" s="442" t="s">
        <v>13507</v>
      </c>
      <c r="D573" s="442" t="s">
        <v>18009</v>
      </c>
      <c r="E573" s="442">
        <v>20211.0</v>
      </c>
      <c r="F573" s="442" t="s">
        <v>48</v>
      </c>
      <c r="G573" s="442" t="s">
        <v>35</v>
      </c>
      <c r="H573" s="442" t="s">
        <v>65</v>
      </c>
      <c r="I573" s="442" t="s">
        <v>38</v>
      </c>
      <c r="J573" s="443">
        <v>13556.0</v>
      </c>
      <c r="K573" s="444" t="s">
        <v>18148</v>
      </c>
    </row>
    <row r="574">
      <c r="A574" s="437">
        <v>45873.61736111111</v>
      </c>
      <c r="B574" s="438" t="s">
        <v>18033</v>
      </c>
      <c r="C574" s="438" t="s">
        <v>13507</v>
      </c>
      <c r="D574" s="438" t="s">
        <v>18009</v>
      </c>
      <c r="E574" s="438">
        <v>20203.0</v>
      </c>
      <c r="F574" s="438" t="s">
        <v>48</v>
      </c>
      <c r="G574" s="438" t="s">
        <v>35</v>
      </c>
      <c r="H574" s="438" t="s">
        <v>65</v>
      </c>
      <c r="I574" s="438" t="s">
        <v>38</v>
      </c>
      <c r="J574" s="439">
        <v>13556.0</v>
      </c>
      <c r="K574" s="440" t="s">
        <v>18148</v>
      </c>
    </row>
    <row r="575">
      <c r="A575" s="441">
        <v>45873.617372685185</v>
      </c>
      <c r="B575" s="442" t="s">
        <v>18013</v>
      </c>
      <c r="C575" s="442" t="s">
        <v>13507</v>
      </c>
      <c r="D575" s="442" t="s">
        <v>18009</v>
      </c>
      <c r="E575" s="442">
        <v>20213.0</v>
      </c>
      <c r="F575" s="442" t="s">
        <v>48</v>
      </c>
      <c r="G575" s="442" t="s">
        <v>35</v>
      </c>
      <c r="H575" s="442" t="s">
        <v>65</v>
      </c>
      <c r="I575" s="442" t="s">
        <v>38</v>
      </c>
      <c r="J575" s="443">
        <v>13556.0</v>
      </c>
      <c r="K575" s="444" t="s">
        <v>18148</v>
      </c>
    </row>
    <row r="576">
      <c r="A576" s="437">
        <v>45874.45513888889</v>
      </c>
      <c r="B576" s="438">
        <v>18078.0</v>
      </c>
      <c r="C576" s="438" t="s">
        <v>4472</v>
      </c>
      <c r="D576" s="438" t="s">
        <v>155</v>
      </c>
      <c r="E576" s="438">
        <v>13974.0</v>
      </c>
      <c r="F576" s="438" t="s">
        <v>48</v>
      </c>
      <c r="G576" s="438" t="s">
        <v>35</v>
      </c>
      <c r="H576" s="438" t="s">
        <v>49</v>
      </c>
      <c r="I576" s="438" t="s">
        <v>38</v>
      </c>
      <c r="J576" s="439">
        <v>13558.0</v>
      </c>
      <c r="K576" s="440" t="s">
        <v>18148</v>
      </c>
    </row>
    <row r="577">
      <c r="A577" s="441">
        <v>45874.45516203704</v>
      </c>
      <c r="B577" s="442">
        <v>18035.0</v>
      </c>
      <c r="C577" s="442" t="s">
        <v>7202</v>
      </c>
      <c r="D577" s="442" t="s">
        <v>85</v>
      </c>
      <c r="E577" s="442" t="s">
        <v>18199</v>
      </c>
      <c r="F577" s="442" t="s">
        <v>48</v>
      </c>
      <c r="G577" s="442" t="s">
        <v>35</v>
      </c>
      <c r="H577" s="442" t="s">
        <v>49</v>
      </c>
      <c r="I577" s="442" t="s">
        <v>38</v>
      </c>
      <c r="J577" s="443">
        <v>13559.0</v>
      </c>
      <c r="K577" s="444" t="s">
        <v>18148</v>
      </c>
    </row>
    <row r="578">
      <c r="A578" s="437">
        <v>45874.45517361111</v>
      </c>
      <c r="B578" s="438">
        <v>18071.0</v>
      </c>
      <c r="C578" s="438" t="s">
        <v>8459</v>
      </c>
      <c r="D578" s="438" t="s">
        <v>3395</v>
      </c>
      <c r="E578" s="438" t="s">
        <v>18622</v>
      </c>
      <c r="F578" s="438" t="s">
        <v>48</v>
      </c>
      <c r="G578" s="438" t="s">
        <v>35</v>
      </c>
      <c r="H578" s="438" t="s">
        <v>49</v>
      </c>
      <c r="I578" s="438" t="s">
        <v>38</v>
      </c>
      <c r="J578" s="439">
        <v>13560.0</v>
      </c>
      <c r="K578" s="440" t="s">
        <v>18148</v>
      </c>
    </row>
    <row r="579">
      <c r="A579" s="441">
        <v>45874.47965277778</v>
      </c>
      <c r="B579" s="442" t="s">
        <v>18709</v>
      </c>
      <c r="C579" s="442" t="s">
        <v>4206</v>
      </c>
      <c r="D579" s="442" t="s">
        <v>91</v>
      </c>
      <c r="E579" s="442" t="s">
        <v>18710</v>
      </c>
      <c r="F579" s="442" t="s">
        <v>48</v>
      </c>
      <c r="G579" s="442" t="s">
        <v>35</v>
      </c>
      <c r="H579" s="442" t="s">
        <v>92</v>
      </c>
      <c r="I579" s="442" t="s">
        <v>38</v>
      </c>
      <c r="J579" s="443">
        <v>13561.0</v>
      </c>
      <c r="K579" s="444" t="s">
        <v>18148</v>
      </c>
    </row>
    <row r="580">
      <c r="A580" s="437">
        <v>45874.47965277778</v>
      </c>
      <c r="B580" s="438" t="s">
        <v>18703</v>
      </c>
      <c r="C580" s="438" t="s">
        <v>4206</v>
      </c>
      <c r="D580" s="438" t="s">
        <v>4430</v>
      </c>
      <c r="E580" s="438" t="s">
        <v>18704</v>
      </c>
      <c r="F580" s="438" t="s">
        <v>48</v>
      </c>
      <c r="G580" s="438" t="s">
        <v>35</v>
      </c>
      <c r="H580" s="438" t="s">
        <v>92</v>
      </c>
      <c r="I580" s="438" t="s">
        <v>38</v>
      </c>
      <c r="J580" s="439">
        <v>13561.0</v>
      </c>
      <c r="K580" s="440" t="s">
        <v>18148</v>
      </c>
    </row>
    <row r="581">
      <c r="A581" s="441">
        <v>45874.500231481485</v>
      </c>
      <c r="B581" s="442">
        <v>18099.0</v>
      </c>
      <c r="C581" s="442" t="s">
        <v>3636</v>
      </c>
      <c r="D581" s="442" t="s">
        <v>72</v>
      </c>
      <c r="E581" s="442" t="s">
        <v>18723</v>
      </c>
      <c r="F581" s="442" t="s">
        <v>48</v>
      </c>
      <c r="G581" s="442" t="s">
        <v>35</v>
      </c>
      <c r="H581" s="442" t="s">
        <v>49</v>
      </c>
      <c r="I581" s="442" t="s">
        <v>9628</v>
      </c>
      <c r="J581" s="443">
        <v>13564.0</v>
      </c>
      <c r="K581" s="444" t="s">
        <v>18148</v>
      </c>
    </row>
    <row r="582">
      <c r="A582" s="437">
        <v>45874.500243055554</v>
      </c>
      <c r="B582" s="438">
        <v>18093.0</v>
      </c>
      <c r="C582" s="438" t="s">
        <v>4215</v>
      </c>
      <c r="D582" s="438" t="s">
        <v>4430</v>
      </c>
      <c r="E582" s="438" t="s">
        <v>18683</v>
      </c>
      <c r="F582" s="438" t="s">
        <v>48</v>
      </c>
      <c r="G582" s="438" t="s">
        <v>35</v>
      </c>
      <c r="H582" s="438" t="s">
        <v>420</v>
      </c>
      <c r="I582" s="438" t="s">
        <v>38</v>
      </c>
      <c r="J582" s="439">
        <v>13563.0</v>
      </c>
      <c r="K582" s="440" t="s">
        <v>18148</v>
      </c>
    </row>
    <row r="583">
      <c r="A583" s="441">
        <v>45874.50027777778</v>
      </c>
      <c r="B583" s="442" t="s">
        <v>18695</v>
      </c>
      <c r="C583" s="442" t="s">
        <v>5313</v>
      </c>
      <c r="D583" s="442" t="s">
        <v>72</v>
      </c>
      <c r="E583" s="442" t="s">
        <v>18696</v>
      </c>
      <c r="F583" s="442" t="s">
        <v>48</v>
      </c>
      <c r="G583" s="442" t="s">
        <v>35</v>
      </c>
      <c r="H583" s="442" t="s">
        <v>65</v>
      </c>
      <c r="I583" s="442" t="s">
        <v>38</v>
      </c>
      <c r="J583" s="443">
        <v>13562.0</v>
      </c>
      <c r="K583" s="444" t="s">
        <v>18148</v>
      </c>
    </row>
    <row r="584">
      <c r="A584" s="437">
        <v>45874.500289351854</v>
      </c>
      <c r="B584" s="438" t="s">
        <v>18699</v>
      </c>
      <c r="C584" s="438" t="s">
        <v>5313</v>
      </c>
      <c r="D584" s="438" t="s">
        <v>72</v>
      </c>
      <c r="E584" s="438" t="s">
        <v>18700</v>
      </c>
      <c r="F584" s="438" t="s">
        <v>48</v>
      </c>
      <c r="G584" s="438" t="s">
        <v>35</v>
      </c>
      <c r="H584" s="438" t="s">
        <v>65</v>
      </c>
      <c r="I584" s="438" t="s">
        <v>38</v>
      </c>
      <c r="J584" s="439">
        <v>13562.0</v>
      </c>
      <c r="K584" s="440" t="s">
        <v>18148</v>
      </c>
    </row>
    <row r="585">
      <c r="A585" s="441">
        <v>45874.504479166666</v>
      </c>
      <c r="B585" s="442">
        <v>18104.0</v>
      </c>
      <c r="C585" s="442" t="s">
        <v>18739</v>
      </c>
      <c r="D585" s="442" t="s">
        <v>3441</v>
      </c>
      <c r="E585" s="442" t="s">
        <v>18740</v>
      </c>
      <c r="F585" s="442" t="s">
        <v>48</v>
      </c>
      <c r="G585" s="442" t="s">
        <v>35</v>
      </c>
      <c r="H585" s="442" t="s">
        <v>92</v>
      </c>
      <c r="I585" s="442" t="s">
        <v>38</v>
      </c>
      <c r="J585" s="443">
        <v>13565.0</v>
      </c>
      <c r="K585" s="444" t="s">
        <v>18148</v>
      </c>
    </row>
    <row r="586">
      <c r="A586" s="437">
        <v>45874.571597222224</v>
      </c>
      <c r="B586" s="438">
        <v>18077.0</v>
      </c>
      <c r="C586" s="438" t="s">
        <v>13215</v>
      </c>
      <c r="D586" s="438" t="s">
        <v>3441</v>
      </c>
      <c r="E586" s="438" t="s">
        <v>18636</v>
      </c>
      <c r="F586" s="438" t="s">
        <v>48</v>
      </c>
      <c r="G586" s="438" t="s">
        <v>35</v>
      </c>
      <c r="H586" s="438" t="s">
        <v>49</v>
      </c>
      <c r="I586" s="438" t="s">
        <v>13217</v>
      </c>
      <c r="J586" s="439">
        <v>13568.0</v>
      </c>
      <c r="K586" s="440" t="s">
        <v>18148</v>
      </c>
    </row>
    <row r="587">
      <c r="A587" s="441">
        <v>45874.57163194445</v>
      </c>
      <c r="B587" s="442">
        <v>18069.0</v>
      </c>
      <c r="C587" s="442" t="s">
        <v>18610</v>
      </c>
      <c r="D587" s="442" t="s">
        <v>3441</v>
      </c>
      <c r="E587" s="442" t="s">
        <v>18611</v>
      </c>
      <c r="F587" s="442" t="s">
        <v>48</v>
      </c>
      <c r="G587" s="442" t="s">
        <v>35</v>
      </c>
      <c r="H587" s="442" t="s">
        <v>65</v>
      </c>
      <c r="I587" s="442" t="s">
        <v>38</v>
      </c>
      <c r="J587" s="443">
        <v>13566.0</v>
      </c>
      <c r="K587" s="444" t="s">
        <v>18148</v>
      </c>
    </row>
    <row r="588">
      <c r="A588" s="437">
        <v>45874.571701388886</v>
      </c>
      <c r="B588" s="438">
        <v>18102.0</v>
      </c>
      <c r="C588" s="438" t="s">
        <v>911</v>
      </c>
      <c r="D588" s="438" t="s">
        <v>91</v>
      </c>
      <c r="E588" s="438" t="s">
        <v>18734</v>
      </c>
      <c r="F588" s="438" t="s">
        <v>48</v>
      </c>
      <c r="G588" s="438" t="s">
        <v>35</v>
      </c>
      <c r="H588" s="438" t="s">
        <v>49</v>
      </c>
      <c r="I588" s="438" t="s">
        <v>38</v>
      </c>
      <c r="J588" s="439">
        <v>13569.0</v>
      </c>
      <c r="K588" s="440" t="s">
        <v>18148</v>
      </c>
    </row>
    <row r="589">
      <c r="A589" s="441">
        <v>45874.57177083333</v>
      </c>
      <c r="B589" s="442">
        <v>18092.0</v>
      </c>
      <c r="C589" s="442" t="s">
        <v>543</v>
      </c>
      <c r="D589" s="442" t="s">
        <v>91</v>
      </c>
      <c r="E589" s="442" t="s">
        <v>18679</v>
      </c>
      <c r="F589" s="442" t="s">
        <v>48</v>
      </c>
      <c r="G589" s="442" t="s">
        <v>35</v>
      </c>
      <c r="H589" s="442" t="s">
        <v>420</v>
      </c>
      <c r="I589" s="442" t="s">
        <v>38</v>
      </c>
      <c r="J589" s="443">
        <v>13567.0</v>
      </c>
      <c r="K589" s="444" t="s">
        <v>18148</v>
      </c>
    </row>
    <row r="590">
      <c r="A590" s="437">
        <v>45875.6146875</v>
      </c>
      <c r="B590" s="438" t="s">
        <v>18783</v>
      </c>
      <c r="C590" s="438" t="s">
        <v>18778</v>
      </c>
      <c r="D590" s="438" t="s">
        <v>91</v>
      </c>
      <c r="E590" s="438" t="s">
        <v>18784</v>
      </c>
      <c r="F590" s="438" t="s">
        <v>48</v>
      </c>
      <c r="G590" s="438" t="s">
        <v>35</v>
      </c>
      <c r="H590" s="438" t="s">
        <v>49</v>
      </c>
      <c r="I590" s="438" t="s">
        <v>38</v>
      </c>
      <c r="J590" s="439">
        <v>13575.0</v>
      </c>
      <c r="K590" s="440" t="s">
        <v>18148</v>
      </c>
    </row>
    <row r="591">
      <c r="A591" s="441">
        <v>45875.614907407406</v>
      </c>
      <c r="B591" s="442" t="s">
        <v>18777</v>
      </c>
      <c r="C591" s="442" t="s">
        <v>18778</v>
      </c>
      <c r="D591" s="442" t="s">
        <v>91</v>
      </c>
      <c r="E591" s="442" t="s">
        <v>18779</v>
      </c>
      <c r="F591" s="442" t="s">
        <v>48</v>
      </c>
      <c r="G591" s="442" t="s">
        <v>35</v>
      </c>
      <c r="H591" s="442" t="s">
        <v>49</v>
      </c>
      <c r="I591" s="442" t="s">
        <v>38</v>
      </c>
      <c r="J591" s="443">
        <v>13575.0</v>
      </c>
      <c r="K591" s="444" t="s">
        <v>18148</v>
      </c>
    </row>
    <row r="592">
      <c r="A592" s="437">
        <v>45875.61493055556</v>
      </c>
      <c r="B592" s="438">
        <v>18101.0</v>
      </c>
      <c r="C592" s="438" t="s">
        <v>18727</v>
      </c>
      <c r="D592" s="438" t="s">
        <v>91</v>
      </c>
      <c r="E592" s="438" t="s">
        <v>18728</v>
      </c>
      <c r="F592" s="438" t="s">
        <v>48</v>
      </c>
      <c r="G592" s="438" t="s">
        <v>35</v>
      </c>
      <c r="H592" s="438" t="s">
        <v>49</v>
      </c>
      <c r="I592" s="438" t="s">
        <v>18729</v>
      </c>
      <c r="J592" s="439">
        <v>13572.0</v>
      </c>
      <c r="K592" s="440" t="s">
        <v>18148</v>
      </c>
    </row>
    <row r="593">
      <c r="A593" s="441">
        <v>45875.615</v>
      </c>
      <c r="B593" s="442">
        <v>18110.0</v>
      </c>
      <c r="C593" s="442" t="s">
        <v>4901</v>
      </c>
      <c r="D593" s="442" t="s">
        <v>91</v>
      </c>
      <c r="E593" s="442" t="s">
        <v>18763</v>
      </c>
      <c r="F593" s="442" t="s">
        <v>48</v>
      </c>
      <c r="G593" s="442" t="s">
        <v>35</v>
      </c>
      <c r="H593" s="442" t="s">
        <v>49</v>
      </c>
      <c r="I593" s="442" t="s">
        <v>518</v>
      </c>
      <c r="J593" s="443">
        <v>13574.0</v>
      </c>
      <c r="K593" s="444" t="s">
        <v>18148</v>
      </c>
    </row>
    <row r="594">
      <c r="A594" s="437">
        <v>45875.6150462963</v>
      </c>
      <c r="B594" s="438">
        <v>18107.0</v>
      </c>
      <c r="C594" s="438" t="s">
        <v>16682</v>
      </c>
      <c r="D594" s="438" t="s">
        <v>3395</v>
      </c>
      <c r="E594" s="438" t="s">
        <v>18745</v>
      </c>
      <c r="F594" s="438" t="s">
        <v>48</v>
      </c>
      <c r="G594" s="438" t="s">
        <v>35</v>
      </c>
      <c r="H594" s="438" t="s">
        <v>49</v>
      </c>
      <c r="I594" s="438" t="s">
        <v>38</v>
      </c>
      <c r="J594" s="439">
        <v>13573.0</v>
      </c>
      <c r="K594" s="440" t="s">
        <v>18148</v>
      </c>
    </row>
    <row r="595">
      <c r="A595" s="441">
        <v>45875.615115740744</v>
      </c>
      <c r="B595" s="442" t="s">
        <v>18787</v>
      </c>
      <c r="C595" s="442" t="s">
        <v>18778</v>
      </c>
      <c r="D595" s="442" t="s">
        <v>72</v>
      </c>
      <c r="E595" s="442" t="s">
        <v>18788</v>
      </c>
      <c r="F595" s="442" t="s">
        <v>48</v>
      </c>
      <c r="G595" s="442" t="s">
        <v>35</v>
      </c>
      <c r="H595" s="442" t="s">
        <v>49</v>
      </c>
      <c r="I595" s="442" t="s">
        <v>38</v>
      </c>
      <c r="J595" s="443">
        <v>13575.0</v>
      </c>
      <c r="K595" s="444" t="s">
        <v>18148</v>
      </c>
    </row>
    <row r="596">
      <c r="A596" s="437">
        <v>45875.61512731481</v>
      </c>
      <c r="B596" s="438">
        <v>18052.0</v>
      </c>
      <c r="C596" s="438" t="s">
        <v>18482</v>
      </c>
      <c r="D596" s="438" t="s">
        <v>112</v>
      </c>
      <c r="E596" s="438" t="s">
        <v>18483</v>
      </c>
      <c r="F596" s="438" t="s">
        <v>48</v>
      </c>
      <c r="G596" s="438" t="s">
        <v>35</v>
      </c>
      <c r="H596" s="438" t="s">
        <v>49</v>
      </c>
      <c r="I596" s="438" t="s">
        <v>16881</v>
      </c>
      <c r="J596" s="439">
        <v>13571.0</v>
      </c>
      <c r="K596" s="440" t="s">
        <v>18148</v>
      </c>
    </row>
    <row r="597">
      <c r="A597" s="441">
        <v>45875.65288194444</v>
      </c>
      <c r="B597" s="442">
        <v>18108.0</v>
      </c>
      <c r="C597" s="442" t="s">
        <v>6153</v>
      </c>
      <c r="D597" s="442" t="s">
        <v>112</v>
      </c>
      <c r="E597" s="442" t="s">
        <v>18749</v>
      </c>
      <c r="F597" s="442" t="s">
        <v>48</v>
      </c>
      <c r="G597" s="442" t="s">
        <v>35</v>
      </c>
      <c r="H597" s="442" t="s">
        <v>65</v>
      </c>
      <c r="I597" s="442" t="s">
        <v>38</v>
      </c>
      <c r="J597" s="443">
        <v>13577.0</v>
      </c>
      <c r="K597" s="444" t="s">
        <v>18148</v>
      </c>
    </row>
    <row r="598">
      <c r="A598" s="437">
        <v>45875.6700462963</v>
      </c>
      <c r="B598" s="438">
        <v>18114.0</v>
      </c>
      <c r="C598" s="438" t="s">
        <v>16682</v>
      </c>
      <c r="D598" s="438" t="s">
        <v>3395</v>
      </c>
      <c r="E598" s="438" t="s">
        <v>18773</v>
      </c>
      <c r="F598" s="438" t="s">
        <v>48</v>
      </c>
      <c r="G598" s="438" t="s">
        <v>35</v>
      </c>
      <c r="H598" s="438" t="s">
        <v>49</v>
      </c>
      <c r="I598" s="438" t="s">
        <v>38</v>
      </c>
      <c r="J598" s="439">
        <v>13578.0</v>
      </c>
      <c r="K598" s="440" t="s">
        <v>18148</v>
      </c>
    </row>
    <row r="599">
      <c r="A599" s="441">
        <v>45876.373703703706</v>
      </c>
      <c r="B599" s="442">
        <v>18072.0</v>
      </c>
      <c r="C599" s="442" t="s">
        <v>3674</v>
      </c>
      <c r="D599" s="442" t="s">
        <v>91</v>
      </c>
      <c r="E599" s="442" t="s">
        <v>18626</v>
      </c>
      <c r="F599" s="442" t="s">
        <v>48</v>
      </c>
      <c r="G599" s="442" t="s">
        <v>35</v>
      </c>
      <c r="H599" s="442" t="s">
        <v>92</v>
      </c>
      <c r="I599" s="442" t="s">
        <v>38</v>
      </c>
      <c r="J599" s="443">
        <v>13579.0</v>
      </c>
      <c r="K599" s="444" t="s">
        <v>18148</v>
      </c>
    </row>
    <row r="600">
      <c r="A600" s="437">
        <v>45876.37409722222</v>
      </c>
      <c r="B600" s="438" t="s">
        <v>18691</v>
      </c>
      <c r="C600" s="438" t="s">
        <v>3674</v>
      </c>
      <c r="D600" s="438" t="s">
        <v>112</v>
      </c>
      <c r="E600" s="438" t="s">
        <v>18692</v>
      </c>
      <c r="F600" s="438" t="s">
        <v>48</v>
      </c>
      <c r="G600" s="438" t="s">
        <v>35</v>
      </c>
      <c r="H600" s="438" t="s">
        <v>92</v>
      </c>
      <c r="I600" s="438" t="s">
        <v>38</v>
      </c>
      <c r="J600" s="439">
        <v>13580.0</v>
      </c>
      <c r="K600" s="440" t="s">
        <v>18148</v>
      </c>
    </row>
    <row r="601">
      <c r="A601" s="441">
        <v>45876.37417824074</v>
      </c>
      <c r="B601" s="442" t="s">
        <v>18686</v>
      </c>
      <c r="C601" s="442" t="s">
        <v>3674</v>
      </c>
      <c r="D601" s="442" t="s">
        <v>72</v>
      </c>
      <c r="E601" s="442" t="s">
        <v>18687</v>
      </c>
      <c r="F601" s="442" t="s">
        <v>48</v>
      </c>
      <c r="G601" s="442" t="s">
        <v>35</v>
      </c>
      <c r="H601" s="442" t="s">
        <v>92</v>
      </c>
      <c r="I601" s="442" t="s">
        <v>38</v>
      </c>
      <c r="J601" s="443">
        <v>13580.0</v>
      </c>
      <c r="K601" s="444" t="s">
        <v>18148</v>
      </c>
    </row>
    <row r="602">
      <c r="A602" s="437">
        <v>45876.39506944444</v>
      </c>
      <c r="B602" s="438">
        <v>18017.0</v>
      </c>
      <c r="C602" s="438" t="s">
        <v>16702</v>
      </c>
      <c r="D602" s="438" t="s">
        <v>135</v>
      </c>
      <c r="E602" s="438">
        <v>20177.0</v>
      </c>
      <c r="F602" s="438" t="s">
        <v>48</v>
      </c>
      <c r="G602" s="438" t="s">
        <v>35</v>
      </c>
      <c r="H602" s="438" t="s">
        <v>49</v>
      </c>
      <c r="I602" s="438" t="s">
        <v>38</v>
      </c>
      <c r="J602" s="439"/>
      <c r="K602" s="440" t="s">
        <v>18148</v>
      </c>
    </row>
    <row r="603">
      <c r="A603" s="441">
        <v>45876.45270833333</v>
      </c>
      <c r="B603" s="442" t="s">
        <v>18758</v>
      </c>
      <c r="C603" s="442" t="s">
        <v>8071</v>
      </c>
      <c r="D603" s="442" t="s">
        <v>85</v>
      </c>
      <c r="E603" s="442" t="s">
        <v>18759</v>
      </c>
      <c r="F603" s="442" t="s">
        <v>48</v>
      </c>
      <c r="G603" s="442" t="s">
        <v>35</v>
      </c>
      <c r="H603" s="442" t="s">
        <v>49</v>
      </c>
      <c r="I603" s="442" t="s">
        <v>38</v>
      </c>
      <c r="J603" s="443">
        <v>13585.0</v>
      </c>
      <c r="K603" s="444" t="s">
        <v>18148</v>
      </c>
    </row>
    <row r="604">
      <c r="A604" s="437">
        <v>45876.452835648146</v>
      </c>
      <c r="B604" s="438" t="s">
        <v>18758</v>
      </c>
      <c r="C604" s="438" t="s">
        <v>8071</v>
      </c>
      <c r="D604" s="438" t="s">
        <v>85</v>
      </c>
      <c r="E604" s="438" t="s">
        <v>18759</v>
      </c>
      <c r="F604" s="438" t="s">
        <v>48</v>
      </c>
      <c r="G604" s="438" t="s">
        <v>35</v>
      </c>
      <c r="H604" s="438" t="s">
        <v>49</v>
      </c>
      <c r="I604" s="438" t="s">
        <v>38</v>
      </c>
      <c r="J604" s="439">
        <v>13585.0</v>
      </c>
      <c r="K604" s="440" t="s">
        <v>18148</v>
      </c>
    </row>
    <row r="605">
      <c r="A605" s="441">
        <v>45876.45311342592</v>
      </c>
      <c r="B605" s="442" t="s">
        <v>18753</v>
      </c>
      <c r="C605" s="442" t="s">
        <v>8071</v>
      </c>
      <c r="D605" s="442" t="s">
        <v>91</v>
      </c>
      <c r="E605" s="442" t="s">
        <v>18754</v>
      </c>
      <c r="F605" s="442" t="s">
        <v>48</v>
      </c>
      <c r="G605" s="442" t="s">
        <v>35</v>
      </c>
      <c r="H605" s="442" t="s">
        <v>49</v>
      </c>
      <c r="I605" s="442" t="s">
        <v>38</v>
      </c>
      <c r="J605" s="443">
        <v>13585.0</v>
      </c>
      <c r="K605" s="444" t="s">
        <v>18148</v>
      </c>
    </row>
    <row r="606">
      <c r="A606" s="437">
        <v>45876.45313657408</v>
      </c>
      <c r="B606" s="438">
        <v>18089.0</v>
      </c>
      <c r="C606" s="438" t="s">
        <v>18670</v>
      </c>
      <c r="D606" s="438" t="s">
        <v>2089</v>
      </c>
      <c r="E606" s="438">
        <v>20225.0</v>
      </c>
      <c r="F606" s="438" t="s">
        <v>33</v>
      </c>
      <c r="G606" s="438" t="s">
        <v>35</v>
      </c>
      <c r="H606" s="438" t="s">
        <v>49</v>
      </c>
      <c r="I606" s="438" t="s">
        <v>38</v>
      </c>
      <c r="J606" s="439">
        <v>13581.0</v>
      </c>
      <c r="K606" s="440" t="s">
        <v>18148</v>
      </c>
    </row>
    <row r="607">
      <c r="A607" s="441">
        <v>45876.453206018516</v>
      </c>
      <c r="B607" s="442">
        <v>18017.0</v>
      </c>
      <c r="C607" s="442" t="s">
        <v>16702</v>
      </c>
      <c r="D607" s="442" t="s">
        <v>135</v>
      </c>
      <c r="E607" s="442">
        <v>20177.0</v>
      </c>
      <c r="F607" s="442" t="s">
        <v>48</v>
      </c>
      <c r="G607" s="442" t="s">
        <v>35</v>
      </c>
      <c r="H607" s="442" t="s">
        <v>49</v>
      </c>
      <c r="I607" s="442" t="s">
        <v>38</v>
      </c>
      <c r="J607" s="443">
        <v>13582.0</v>
      </c>
      <c r="K607" s="444" t="s">
        <v>18148</v>
      </c>
    </row>
    <row r="608">
      <c r="A608" s="437">
        <v>45876.45327546296</v>
      </c>
      <c r="B608" s="438">
        <v>18068.0</v>
      </c>
      <c r="C608" s="438" t="s">
        <v>473</v>
      </c>
      <c r="D608" s="438" t="s">
        <v>91</v>
      </c>
      <c r="E608" s="438" t="s">
        <v>18605</v>
      </c>
      <c r="F608" s="438" t="s">
        <v>48</v>
      </c>
      <c r="G608" s="438" t="s">
        <v>35</v>
      </c>
      <c r="H608" s="438" t="s">
        <v>65</v>
      </c>
      <c r="I608" s="438" t="s">
        <v>38</v>
      </c>
      <c r="J608" s="439">
        <v>13586.0</v>
      </c>
      <c r="K608" s="440" t="s">
        <v>18148</v>
      </c>
    </row>
    <row r="609">
      <c r="A609" s="441">
        <v>45876.453414351854</v>
      </c>
      <c r="B609" s="442" t="s">
        <v>18709</v>
      </c>
      <c r="C609" s="442" t="s">
        <v>4206</v>
      </c>
      <c r="D609" s="442" t="s">
        <v>91</v>
      </c>
      <c r="E609" s="442" t="s">
        <v>18710</v>
      </c>
      <c r="F609" s="442" t="s">
        <v>48</v>
      </c>
      <c r="G609" s="442" t="s">
        <v>35</v>
      </c>
      <c r="H609" s="442" t="s">
        <v>92</v>
      </c>
      <c r="I609" s="442" t="s">
        <v>38</v>
      </c>
      <c r="J609" s="443">
        <v>13561.0</v>
      </c>
      <c r="K609" s="444" t="s">
        <v>18148</v>
      </c>
    </row>
    <row r="610">
      <c r="A610" s="437">
        <v>45876.4534375</v>
      </c>
      <c r="B610" s="438">
        <v>18090.0</v>
      </c>
      <c r="C610" s="438" t="s">
        <v>13276</v>
      </c>
      <c r="D610" s="438" t="s">
        <v>3441</v>
      </c>
      <c r="E610" s="438" t="s">
        <v>18675</v>
      </c>
      <c r="F610" s="438" t="s">
        <v>48</v>
      </c>
      <c r="G610" s="438" t="s">
        <v>35</v>
      </c>
      <c r="H610" s="438" t="s">
        <v>92</v>
      </c>
      <c r="I610" s="438" t="s">
        <v>38</v>
      </c>
      <c r="J610" s="439">
        <v>13584.0</v>
      </c>
      <c r="K610" s="440" t="s">
        <v>18148</v>
      </c>
    </row>
    <row r="611">
      <c r="A611" s="441">
        <v>45876.455462962964</v>
      </c>
      <c r="B611" s="442">
        <v>18067.0</v>
      </c>
      <c r="C611" s="442" t="s">
        <v>10785</v>
      </c>
      <c r="D611" s="442" t="s">
        <v>91</v>
      </c>
      <c r="E611" s="442" t="s">
        <v>18601</v>
      </c>
      <c r="F611" s="442" t="s">
        <v>48</v>
      </c>
      <c r="G611" s="442" t="s">
        <v>35</v>
      </c>
      <c r="H611" s="442" t="s">
        <v>92</v>
      </c>
      <c r="I611" s="442" t="s">
        <v>38</v>
      </c>
      <c r="J611" s="443">
        <v>13583.0</v>
      </c>
      <c r="K611" s="444" t="s">
        <v>18148</v>
      </c>
    </row>
    <row r="612">
      <c r="A612" s="437">
        <v>45876.56266203704</v>
      </c>
      <c r="B612" s="438">
        <v>18123.0</v>
      </c>
      <c r="C612" s="438" t="s">
        <v>1811</v>
      </c>
      <c r="D612" s="438" t="s">
        <v>112</v>
      </c>
      <c r="E612" s="438" t="s">
        <v>18832</v>
      </c>
      <c r="F612" s="438" t="s">
        <v>48</v>
      </c>
      <c r="G612" s="438" t="s">
        <v>35</v>
      </c>
      <c r="H612" s="438" t="s">
        <v>49</v>
      </c>
      <c r="I612" s="438" t="s">
        <v>1506</v>
      </c>
      <c r="J612" s="439">
        <v>13589.0</v>
      </c>
      <c r="K612" s="440" t="s">
        <v>18148</v>
      </c>
    </row>
    <row r="613">
      <c r="A613" s="441">
        <v>45876.56298611111</v>
      </c>
      <c r="B613" s="442">
        <v>18123.0</v>
      </c>
      <c r="C613" s="442" t="s">
        <v>1811</v>
      </c>
      <c r="D613" s="442" t="s">
        <v>112</v>
      </c>
      <c r="E613" s="442" t="s">
        <v>18832</v>
      </c>
      <c r="F613" s="442" t="s">
        <v>48</v>
      </c>
      <c r="G613" s="442" t="s">
        <v>35</v>
      </c>
      <c r="H613" s="442" t="s">
        <v>49</v>
      </c>
      <c r="I613" s="442" t="s">
        <v>1506</v>
      </c>
      <c r="J613" s="443">
        <v>13589.0</v>
      </c>
      <c r="K613" s="444" t="s">
        <v>18148</v>
      </c>
    </row>
    <row r="614">
      <c r="A614" s="437">
        <v>45876.565625</v>
      </c>
      <c r="B614" s="438">
        <v>17813.0</v>
      </c>
      <c r="C614" s="438" t="s">
        <v>16974</v>
      </c>
      <c r="D614" s="438" t="s">
        <v>85</v>
      </c>
      <c r="E614" s="438" t="s">
        <v>16975</v>
      </c>
      <c r="F614" s="438" t="s">
        <v>48</v>
      </c>
      <c r="G614" s="438" t="s">
        <v>35</v>
      </c>
      <c r="H614" s="438" t="s">
        <v>65</v>
      </c>
      <c r="I614" s="438" t="s">
        <v>38</v>
      </c>
      <c r="J614" s="439">
        <v>13590.0</v>
      </c>
      <c r="K614" s="440" t="s">
        <v>18148</v>
      </c>
    </row>
    <row r="615">
      <c r="A615" s="441">
        <v>45876.62327546296</v>
      </c>
      <c r="B615" s="442">
        <v>18122.0</v>
      </c>
      <c r="C615" s="442" t="s">
        <v>18826</v>
      </c>
      <c r="D615" s="442" t="s">
        <v>112</v>
      </c>
      <c r="E615" s="442" t="s">
        <v>18827</v>
      </c>
      <c r="F615" s="442" t="s">
        <v>48</v>
      </c>
      <c r="G615" s="442" t="s">
        <v>35</v>
      </c>
      <c r="H615" s="442" t="s">
        <v>65</v>
      </c>
      <c r="I615" s="442" t="s">
        <v>38</v>
      </c>
      <c r="J615" s="443">
        <v>13592.0</v>
      </c>
      <c r="K615" s="444" t="s">
        <v>18148</v>
      </c>
    </row>
    <row r="616">
      <c r="A616" s="437">
        <v>45876.628657407404</v>
      </c>
      <c r="B616" s="438">
        <v>18122.0</v>
      </c>
      <c r="C616" s="438" t="s">
        <v>18826</v>
      </c>
      <c r="D616" s="438" t="s">
        <v>112</v>
      </c>
      <c r="E616" s="438" t="s">
        <v>18827</v>
      </c>
      <c r="F616" s="438" t="s">
        <v>48</v>
      </c>
      <c r="G616" s="438" t="s">
        <v>35</v>
      </c>
      <c r="H616" s="438" t="s">
        <v>65</v>
      </c>
      <c r="I616" s="438" t="s">
        <v>38</v>
      </c>
      <c r="J616" s="439">
        <v>13592.0</v>
      </c>
      <c r="K616" s="440" t="s">
        <v>18148</v>
      </c>
    </row>
    <row r="617">
      <c r="A617" s="441">
        <v>45876.62920138889</v>
      </c>
      <c r="B617" s="442">
        <v>18122.0</v>
      </c>
      <c r="C617" s="442" t="s">
        <v>18826</v>
      </c>
      <c r="D617" s="442" t="s">
        <v>112</v>
      </c>
      <c r="E617" s="442" t="s">
        <v>18827</v>
      </c>
      <c r="F617" s="442" t="s">
        <v>48</v>
      </c>
      <c r="G617" s="442" t="s">
        <v>35</v>
      </c>
      <c r="H617" s="442" t="s">
        <v>65</v>
      </c>
      <c r="I617" s="442" t="s">
        <v>38</v>
      </c>
      <c r="J617" s="443">
        <v>13592.0</v>
      </c>
      <c r="K617" s="444" t="s">
        <v>18148</v>
      </c>
    </row>
    <row r="618">
      <c r="A618" s="437">
        <v>45876.647881944446</v>
      </c>
      <c r="B618" s="438">
        <v>18040.0</v>
      </c>
      <c r="C618" s="438" t="s">
        <v>18444</v>
      </c>
      <c r="D618" s="438" t="s">
        <v>13303</v>
      </c>
      <c r="E618" s="438">
        <v>20220.0</v>
      </c>
      <c r="F618" s="438" t="s">
        <v>48</v>
      </c>
      <c r="G618" s="438" t="s">
        <v>35</v>
      </c>
      <c r="H618" s="438" t="s">
        <v>92</v>
      </c>
      <c r="I618" s="438" t="s">
        <v>38</v>
      </c>
      <c r="J618" s="439">
        <v>13562.0</v>
      </c>
      <c r="K618" s="440" t="s">
        <v>18148</v>
      </c>
    </row>
    <row r="619">
      <c r="A619" s="441">
        <v>45877.46224537037</v>
      </c>
      <c r="B619" s="442" t="s">
        <v>18326</v>
      </c>
      <c r="C619" s="442" t="s">
        <v>3645</v>
      </c>
      <c r="D619" s="442" t="s">
        <v>3441</v>
      </c>
      <c r="E619" s="442" t="s">
        <v>18327</v>
      </c>
      <c r="F619" s="442" t="s">
        <v>48</v>
      </c>
      <c r="G619" s="442" t="s">
        <v>35</v>
      </c>
      <c r="H619" s="442" t="s">
        <v>49</v>
      </c>
      <c r="I619" s="442" t="s">
        <v>38</v>
      </c>
      <c r="J619" s="443">
        <v>13596.0</v>
      </c>
      <c r="K619" s="444" t="s">
        <v>18148</v>
      </c>
    </row>
    <row r="620">
      <c r="A620" s="437">
        <v>45877.46234953704</v>
      </c>
      <c r="B620" s="438" t="s">
        <v>18330</v>
      </c>
      <c r="C620" s="438" t="s">
        <v>3645</v>
      </c>
      <c r="D620" s="438" t="s">
        <v>3441</v>
      </c>
      <c r="E620" s="438" t="s">
        <v>18331</v>
      </c>
      <c r="F620" s="438" t="s">
        <v>48</v>
      </c>
      <c r="G620" s="438" t="s">
        <v>35</v>
      </c>
      <c r="H620" s="438" t="s">
        <v>49</v>
      </c>
      <c r="I620" s="438" t="s">
        <v>38</v>
      </c>
      <c r="J620" s="439">
        <v>13596.0</v>
      </c>
      <c r="K620" s="440" t="s">
        <v>18148</v>
      </c>
    </row>
    <row r="621">
      <c r="A621" s="441">
        <v>45877.462430555555</v>
      </c>
      <c r="B621" s="442">
        <v>18124.0</v>
      </c>
      <c r="C621" s="442" t="s">
        <v>122</v>
      </c>
      <c r="D621" s="442" t="s">
        <v>72</v>
      </c>
      <c r="E621" s="442" t="s">
        <v>18836</v>
      </c>
      <c r="F621" s="442" t="s">
        <v>48</v>
      </c>
      <c r="G621" s="442" t="s">
        <v>35</v>
      </c>
      <c r="H621" s="442" t="s">
        <v>49</v>
      </c>
      <c r="I621" s="442" t="s">
        <v>38</v>
      </c>
      <c r="J621" s="443">
        <v>13595.0</v>
      </c>
      <c r="K621" s="444" t="s">
        <v>18148</v>
      </c>
    </row>
    <row r="622">
      <c r="A622" s="437">
        <v>45877.52991898148</v>
      </c>
      <c r="B622" s="438">
        <v>18097.0</v>
      </c>
      <c r="C622" s="438" t="s">
        <v>4352</v>
      </c>
      <c r="D622" s="438" t="s">
        <v>72</v>
      </c>
      <c r="E622" s="438" t="s">
        <v>18714</v>
      </c>
      <c r="F622" s="438" t="s">
        <v>48</v>
      </c>
      <c r="G622" s="438" t="s">
        <v>35</v>
      </c>
      <c r="H622" s="438" t="s">
        <v>49</v>
      </c>
      <c r="I622" s="438" t="s">
        <v>38</v>
      </c>
      <c r="J622" s="439">
        <v>13598.0</v>
      </c>
      <c r="K622" s="440" t="s">
        <v>18148</v>
      </c>
    </row>
    <row r="623">
      <c r="A623" s="441">
        <v>45877.52998842593</v>
      </c>
      <c r="B623" s="442">
        <v>18125.0</v>
      </c>
      <c r="C623" s="442" t="s">
        <v>1811</v>
      </c>
      <c r="D623" s="442" t="s">
        <v>3395</v>
      </c>
      <c r="E623" s="442" t="s">
        <v>18841</v>
      </c>
      <c r="F623" s="442" t="s">
        <v>48</v>
      </c>
      <c r="G623" s="442" t="s">
        <v>35</v>
      </c>
      <c r="H623" s="442" t="s">
        <v>49</v>
      </c>
      <c r="I623" s="442" t="s">
        <v>1506</v>
      </c>
      <c r="J623" s="443">
        <v>13599.0</v>
      </c>
      <c r="K623" s="444" t="s">
        <v>18148</v>
      </c>
    </row>
    <row r="624">
      <c r="A624" s="437">
        <v>45877.5300462963</v>
      </c>
      <c r="B624" s="438">
        <v>18127.0</v>
      </c>
      <c r="C624" s="438" t="s">
        <v>96</v>
      </c>
      <c r="D624" s="438" t="s">
        <v>47</v>
      </c>
      <c r="E624" s="438" t="s">
        <v>18850</v>
      </c>
      <c r="F624" s="438" t="s">
        <v>48</v>
      </c>
      <c r="G624" s="438" t="s">
        <v>35</v>
      </c>
      <c r="H624" s="438" t="s">
        <v>49</v>
      </c>
      <c r="I624" s="438" t="s">
        <v>38</v>
      </c>
      <c r="J624" s="439">
        <v>13600.0</v>
      </c>
      <c r="K624" s="440" t="s">
        <v>18148</v>
      </c>
    </row>
    <row r="625">
      <c r="A625" s="441">
        <v>45877.552708333336</v>
      </c>
      <c r="B625" s="442" t="s">
        <v>18791</v>
      </c>
      <c r="C625" s="442" t="s">
        <v>18792</v>
      </c>
      <c r="D625" s="442" t="s">
        <v>3395</v>
      </c>
      <c r="E625" s="442" t="s">
        <v>18793</v>
      </c>
      <c r="F625" s="442" t="s">
        <v>48</v>
      </c>
      <c r="G625" s="442" t="s">
        <v>35</v>
      </c>
      <c r="H625" s="442" t="s">
        <v>18794</v>
      </c>
      <c r="I625" s="442" t="s">
        <v>38</v>
      </c>
      <c r="J625" s="443">
        <v>13601.0</v>
      </c>
      <c r="K625" s="444" t="s">
        <v>18148</v>
      </c>
    </row>
    <row r="626">
      <c r="A626" s="437">
        <v>45877.55275462963</v>
      </c>
      <c r="B626" s="438" t="s">
        <v>18798</v>
      </c>
      <c r="C626" s="438" t="s">
        <v>18792</v>
      </c>
      <c r="D626" s="438" t="s">
        <v>3395</v>
      </c>
      <c r="E626" s="438" t="s">
        <v>18799</v>
      </c>
      <c r="F626" s="438" t="s">
        <v>48</v>
      </c>
      <c r="G626" s="438" t="s">
        <v>35</v>
      </c>
      <c r="H626" s="438" t="s">
        <v>18794</v>
      </c>
      <c r="I626" s="438" t="s">
        <v>38</v>
      </c>
      <c r="J626" s="439">
        <v>13601.0</v>
      </c>
      <c r="K626" s="440" t="s">
        <v>18148</v>
      </c>
    </row>
    <row r="627">
      <c r="A627" s="441">
        <v>45877.5528125</v>
      </c>
      <c r="B627" s="442" t="s">
        <v>18802</v>
      </c>
      <c r="C627" s="442" t="s">
        <v>18792</v>
      </c>
      <c r="D627" s="442" t="s">
        <v>3395</v>
      </c>
      <c r="E627" s="442" t="s">
        <v>18803</v>
      </c>
      <c r="F627" s="442" t="s">
        <v>48</v>
      </c>
      <c r="G627" s="442" t="s">
        <v>35</v>
      </c>
      <c r="H627" s="442" t="s">
        <v>18794</v>
      </c>
      <c r="I627" s="442" t="s">
        <v>38</v>
      </c>
      <c r="J627" s="443">
        <v>13601.0</v>
      </c>
      <c r="K627" s="444" t="s">
        <v>18148</v>
      </c>
    </row>
    <row r="628">
      <c r="A628" s="437">
        <v>45877.5528587963</v>
      </c>
      <c r="B628" s="438" t="s">
        <v>18806</v>
      </c>
      <c r="C628" s="438" t="s">
        <v>18792</v>
      </c>
      <c r="D628" s="438" t="s">
        <v>3395</v>
      </c>
      <c r="E628" s="438" t="s">
        <v>18807</v>
      </c>
      <c r="F628" s="438" t="s">
        <v>48</v>
      </c>
      <c r="G628" s="438" t="s">
        <v>35</v>
      </c>
      <c r="H628" s="438" t="s">
        <v>18794</v>
      </c>
      <c r="I628" s="438" t="s">
        <v>38</v>
      </c>
      <c r="J628" s="439">
        <v>13601.0</v>
      </c>
      <c r="K628" s="440" t="s">
        <v>18148</v>
      </c>
    </row>
    <row r="629">
      <c r="A629" s="441">
        <v>45877.60030092593</v>
      </c>
      <c r="B629" s="442">
        <v>18128.0</v>
      </c>
      <c r="C629" s="442" t="s">
        <v>7703</v>
      </c>
      <c r="D629" s="442" t="s">
        <v>47</v>
      </c>
      <c r="E629" s="442" t="s">
        <v>18855</v>
      </c>
      <c r="F629" s="442" t="s">
        <v>48</v>
      </c>
      <c r="G629" s="442" t="s">
        <v>35</v>
      </c>
      <c r="H629" s="442" t="s">
        <v>65</v>
      </c>
      <c r="I629" s="442" t="s">
        <v>38</v>
      </c>
      <c r="J629" s="443">
        <v>13603.0</v>
      </c>
      <c r="K629" s="444" t="s">
        <v>18148</v>
      </c>
    </row>
    <row r="630">
      <c r="A630" s="437">
        <v>45880.35695601852</v>
      </c>
      <c r="B630" s="438">
        <v>18098.0</v>
      </c>
      <c r="C630" s="438" t="s">
        <v>4352</v>
      </c>
      <c r="D630" s="438" t="s">
        <v>72</v>
      </c>
      <c r="E630" s="438" t="s">
        <v>18719</v>
      </c>
      <c r="F630" s="438" t="s">
        <v>48</v>
      </c>
      <c r="G630" s="438" t="s">
        <v>35</v>
      </c>
      <c r="H630" s="438" t="s">
        <v>49</v>
      </c>
      <c r="I630" s="438" t="s">
        <v>38</v>
      </c>
      <c r="J630" s="439">
        <v>13606.0</v>
      </c>
      <c r="K630" s="440" t="s">
        <v>18148</v>
      </c>
    </row>
    <row r="631">
      <c r="A631" s="441">
        <v>45880.35696759259</v>
      </c>
      <c r="B631" s="442">
        <v>18111.0</v>
      </c>
      <c r="C631" s="442" t="s">
        <v>4352</v>
      </c>
      <c r="D631" s="442" t="s">
        <v>112</v>
      </c>
      <c r="E631" s="442" t="s">
        <v>18768</v>
      </c>
      <c r="F631" s="442" t="s">
        <v>48</v>
      </c>
      <c r="G631" s="442" t="s">
        <v>35</v>
      </c>
      <c r="H631" s="442" t="s">
        <v>49</v>
      </c>
      <c r="I631" s="442" t="s">
        <v>38</v>
      </c>
      <c r="J631" s="443">
        <v>13607.0</v>
      </c>
      <c r="K631" s="444" t="s">
        <v>18148</v>
      </c>
    </row>
    <row r="632">
      <c r="A632" s="437">
        <v>45880.423414351855</v>
      </c>
      <c r="B632" s="438">
        <v>18139.0</v>
      </c>
      <c r="C632" s="438" t="s">
        <v>8893</v>
      </c>
      <c r="D632" s="438" t="s">
        <v>3441</v>
      </c>
      <c r="E632" s="438" t="s">
        <v>18928</v>
      </c>
      <c r="F632" s="438" t="s">
        <v>48</v>
      </c>
      <c r="G632" s="438" t="s">
        <v>35</v>
      </c>
      <c r="H632" s="438" t="s">
        <v>49</v>
      </c>
      <c r="I632" s="438" t="s">
        <v>38</v>
      </c>
      <c r="J632" s="439">
        <v>13608.0</v>
      </c>
      <c r="K632" s="440" t="s">
        <v>18148</v>
      </c>
    </row>
    <row r="633">
      <c r="A633" s="441">
        <v>45880.460856481484</v>
      </c>
      <c r="B633" s="442" t="s">
        <v>18888</v>
      </c>
      <c r="C633" s="442" t="s">
        <v>1811</v>
      </c>
      <c r="D633" s="442" t="s">
        <v>3395</v>
      </c>
      <c r="E633" s="442" t="s">
        <v>18889</v>
      </c>
      <c r="F633" s="442" t="s">
        <v>48</v>
      </c>
      <c r="G633" s="442" t="s">
        <v>35</v>
      </c>
      <c r="H633" s="442" t="s">
        <v>49</v>
      </c>
      <c r="I633" s="442" t="s">
        <v>1506</v>
      </c>
      <c r="J633" s="443">
        <v>13609.0</v>
      </c>
      <c r="K633" s="444" t="s">
        <v>18148</v>
      </c>
    </row>
    <row r="634">
      <c r="A634" s="437">
        <v>45880.46087962963</v>
      </c>
      <c r="B634" s="438" t="s">
        <v>18883</v>
      </c>
      <c r="C634" s="438" t="s">
        <v>1811</v>
      </c>
      <c r="D634" s="438" t="s">
        <v>3395</v>
      </c>
      <c r="E634" s="438" t="s">
        <v>18884</v>
      </c>
      <c r="F634" s="438" t="s">
        <v>48</v>
      </c>
      <c r="G634" s="438" t="s">
        <v>35</v>
      </c>
      <c r="H634" s="438" t="s">
        <v>49</v>
      </c>
      <c r="I634" s="438" t="s">
        <v>1506</v>
      </c>
      <c r="J634" s="439">
        <v>13609.0</v>
      </c>
      <c r="K634" s="440" t="s">
        <v>18148</v>
      </c>
    </row>
    <row r="635">
      <c r="A635" s="441">
        <v>45881.35292824074</v>
      </c>
      <c r="B635" s="442">
        <v>18133.0</v>
      </c>
      <c r="C635" s="442" t="s">
        <v>11671</v>
      </c>
      <c r="D635" s="442" t="s">
        <v>4430</v>
      </c>
      <c r="E635" s="442" t="s">
        <v>18893</v>
      </c>
      <c r="F635" s="442" t="s">
        <v>48</v>
      </c>
      <c r="G635" s="442" t="s">
        <v>35</v>
      </c>
      <c r="H635" s="442" t="s">
        <v>518</v>
      </c>
      <c r="I635" s="442" t="s">
        <v>38</v>
      </c>
      <c r="J635" s="443">
        <v>13604.0</v>
      </c>
      <c r="K635" s="444" t="s">
        <v>18148</v>
      </c>
    </row>
    <row r="636">
      <c r="A636" s="437">
        <v>45881.46833333333</v>
      </c>
      <c r="B636" s="438" t="s">
        <v>18937</v>
      </c>
      <c r="C636" s="438" t="s">
        <v>1299</v>
      </c>
      <c r="D636" s="438" t="s">
        <v>4430</v>
      </c>
      <c r="E636" s="438" t="s">
        <v>18938</v>
      </c>
      <c r="F636" s="438" t="s">
        <v>48</v>
      </c>
      <c r="G636" s="438" t="s">
        <v>35</v>
      </c>
      <c r="H636" s="438" t="s">
        <v>92</v>
      </c>
      <c r="I636" s="438" t="s">
        <v>38</v>
      </c>
      <c r="J636" s="439">
        <v>13611.0</v>
      </c>
      <c r="K636" s="440" t="s">
        <v>18148</v>
      </c>
    </row>
    <row r="637">
      <c r="A637" s="441">
        <v>45881.46836805555</v>
      </c>
      <c r="B637" s="442" t="s">
        <v>18942</v>
      </c>
      <c r="C637" s="442" t="s">
        <v>1299</v>
      </c>
      <c r="D637" s="442" t="s">
        <v>85</v>
      </c>
      <c r="E637" s="442" t="s">
        <v>18943</v>
      </c>
      <c r="F637" s="442" t="s">
        <v>48</v>
      </c>
      <c r="G637" s="442" t="s">
        <v>35</v>
      </c>
      <c r="H637" s="442" t="s">
        <v>92</v>
      </c>
      <c r="I637" s="442" t="s">
        <v>38</v>
      </c>
      <c r="J637" s="443">
        <v>13611.0</v>
      </c>
      <c r="K637" s="444" t="s">
        <v>18148</v>
      </c>
    </row>
    <row r="638">
      <c r="A638" s="437">
        <v>45881.56118055555</v>
      </c>
      <c r="B638" s="438" t="s">
        <v>18813</v>
      </c>
      <c r="C638" s="438" t="s">
        <v>4293</v>
      </c>
      <c r="D638" s="438" t="s">
        <v>91</v>
      </c>
      <c r="E638" s="438" t="s">
        <v>18814</v>
      </c>
      <c r="F638" s="438" t="s">
        <v>48</v>
      </c>
      <c r="G638" s="438" t="s">
        <v>35</v>
      </c>
      <c r="H638" s="438" t="s">
        <v>65</v>
      </c>
      <c r="I638" s="438" t="s">
        <v>38</v>
      </c>
      <c r="J638" s="439">
        <v>13613.0</v>
      </c>
      <c r="K638" s="440" t="s">
        <v>18148</v>
      </c>
    </row>
    <row r="639">
      <c r="A639" s="441">
        <v>45881.56128472222</v>
      </c>
      <c r="B639" s="442" t="s">
        <v>18817</v>
      </c>
      <c r="C639" s="442" t="s">
        <v>4293</v>
      </c>
      <c r="D639" s="442" t="s">
        <v>47</v>
      </c>
      <c r="E639" s="442" t="s">
        <v>18818</v>
      </c>
      <c r="F639" s="442" t="s">
        <v>48</v>
      </c>
      <c r="G639" s="442" t="s">
        <v>35</v>
      </c>
      <c r="H639" s="442" t="s">
        <v>65</v>
      </c>
      <c r="I639" s="442" t="s">
        <v>38</v>
      </c>
      <c r="J639" s="443">
        <v>13613.0</v>
      </c>
      <c r="K639" s="444" t="s">
        <v>18148</v>
      </c>
    </row>
    <row r="640">
      <c r="A640" s="437">
        <v>45881.561423611114</v>
      </c>
      <c r="B640" s="438" t="s">
        <v>18913</v>
      </c>
      <c r="C640" s="438" t="s">
        <v>18904</v>
      </c>
      <c r="D640" s="438" t="s">
        <v>3395</v>
      </c>
      <c r="E640" s="438" t="s">
        <v>18914</v>
      </c>
      <c r="F640" s="438" t="s">
        <v>48</v>
      </c>
      <c r="G640" s="438" t="s">
        <v>35</v>
      </c>
      <c r="H640" s="438" t="s">
        <v>65</v>
      </c>
      <c r="I640" s="438" t="s">
        <v>38</v>
      </c>
      <c r="J640" s="439">
        <v>13612.0</v>
      </c>
      <c r="K640" s="440" t="s">
        <v>18148</v>
      </c>
    </row>
    <row r="641">
      <c r="A641" s="441">
        <v>45881.56146990741</v>
      </c>
      <c r="B641" s="442" t="s">
        <v>18903</v>
      </c>
      <c r="C641" s="442" t="s">
        <v>18904</v>
      </c>
      <c r="D641" s="442" t="s">
        <v>3395</v>
      </c>
      <c r="E641" s="442" t="s">
        <v>18905</v>
      </c>
      <c r="F641" s="442" t="s">
        <v>48</v>
      </c>
      <c r="G641" s="442" t="s">
        <v>35</v>
      </c>
      <c r="H641" s="442" t="s">
        <v>65</v>
      </c>
      <c r="I641" s="442" t="s">
        <v>38</v>
      </c>
      <c r="J641" s="443">
        <v>13612.0</v>
      </c>
      <c r="K641" s="444" t="s">
        <v>18148</v>
      </c>
    </row>
    <row r="642">
      <c r="A642" s="437">
        <v>45881.56150462963</v>
      </c>
      <c r="B642" s="438" t="s">
        <v>18909</v>
      </c>
      <c r="C642" s="438" t="s">
        <v>18904</v>
      </c>
      <c r="D642" s="438" t="s">
        <v>3395</v>
      </c>
      <c r="E642" s="438" t="s">
        <v>18910</v>
      </c>
      <c r="F642" s="438" t="s">
        <v>48</v>
      </c>
      <c r="G642" s="438" t="s">
        <v>35</v>
      </c>
      <c r="H642" s="438" t="s">
        <v>65</v>
      </c>
      <c r="I642" s="438" t="s">
        <v>38</v>
      </c>
      <c r="J642" s="439">
        <v>13612.0</v>
      </c>
      <c r="K642" s="440" t="s">
        <v>18148</v>
      </c>
    </row>
    <row r="643">
      <c r="A643" s="441">
        <v>45881.56153935185</v>
      </c>
      <c r="B643" s="442" t="s">
        <v>18821</v>
      </c>
      <c r="C643" s="442" t="s">
        <v>4293</v>
      </c>
      <c r="D643" s="442" t="s">
        <v>91</v>
      </c>
      <c r="E643" s="442" t="s">
        <v>18822</v>
      </c>
      <c r="F643" s="442" t="s">
        <v>48</v>
      </c>
      <c r="G643" s="442" t="s">
        <v>35</v>
      </c>
      <c r="H643" s="442" t="s">
        <v>65</v>
      </c>
      <c r="I643" s="442" t="s">
        <v>38</v>
      </c>
      <c r="J643" s="443">
        <v>13613.0</v>
      </c>
      <c r="K643" s="444" t="s">
        <v>18148</v>
      </c>
    </row>
    <row r="644">
      <c r="A644" s="437">
        <v>45881.56162037037</v>
      </c>
      <c r="B644" s="438">
        <v>18147.0</v>
      </c>
      <c r="C644" s="438" t="s">
        <v>8825</v>
      </c>
      <c r="D644" s="438" t="s">
        <v>91</v>
      </c>
      <c r="E644" s="438" t="s">
        <v>18947</v>
      </c>
      <c r="F644" s="438" t="s">
        <v>48</v>
      </c>
      <c r="G644" s="438" t="s">
        <v>35</v>
      </c>
      <c r="H644" s="438" t="s">
        <v>49</v>
      </c>
      <c r="I644" s="438" t="s">
        <v>11095</v>
      </c>
      <c r="J644" s="439">
        <v>13614.0</v>
      </c>
      <c r="K644" s="440" t="s">
        <v>18148</v>
      </c>
    </row>
    <row r="645">
      <c r="A645" s="441">
        <v>45881.57686342593</v>
      </c>
      <c r="B645" s="442">
        <v>18137.0</v>
      </c>
      <c r="C645" s="442" t="s">
        <v>18918</v>
      </c>
      <c r="D645" s="442" t="s">
        <v>3441</v>
      </c>
      <c r="E645" s="442" t="s">
        <v>18919</v>
      </c>
      <c r="F645" s="442" t="s">
        <v>48</v>
      </c>
      <c r="G645" s="442" t="s">
        <v>35</v>
      </c>
      <c r="H645" s="442" t="s">
        <v>518</v>
      </c>
      <c r="I645" s="442" t="s">
        <v>38</v>
      </c>
      <c r="J645" s="443">
        <v>13615.0</v>
      </c>
      <c r="K645" s="444" t="s">
        <v>18148</v>
      </c>
    </row>
    <row r="646">
      <c r="A646" s="437">
        <v>45881.57748842592</v>
      </c>
      <c r="B646" s="438">
        <v>18137.0</v>
      </c>
      <c r="C646" s="438" t="s">
        <v>18918</v>
      </c>
      <c r="D646" s="438" t="s">
        <v>3441</v>
      </c>
      <c r="E646" s="438" t="s">
        <v>18919</v>
      </c>
      <c r="F646" s="438" t="s">
        <v>48</v>
      </c>
      <c r="G646" s="438" t="s">
        <v>35</v>
      </c>
      <c r="H646" s="438" t="s">
        <v>518</v>
      </c>
      <c r="I646" s="438" t="s">
        <v>38</v>
      </c>
      <c r="J646" s="439">
        <v>13615.0</v>
      </c>
      <c r="K646" s="440" t="s">
        <v>18148</v>
      </c>
    </row>
    <row r="647">
      <c r="A647" s="441">
        <v>45881.5778587963</v>
      </c>
      <c r="B647" s="442">
        <v>18137.0</v>
      </c>
      <c r="C647" s="442" t="s">
        <v>18918</v>
      </c>
      <c r="D647" s="442" t="s">
        <v>3441</v>
      </c>
      <c r="E647" s="442" t="s">
        <v>18919</v>
      </c>
      <c r="F647" s="442" t="s">
        <v>48</v>
      </c>
      <c r="G647" s="442" t="s">
        <v>35</v>
      </c>
      <c r="H647" s="442" t="s">
        <v>518</v>
      </c>
      <c r="I647" s="442" t="s">
        <v>38</v>
      </c>
      <c r="J647" s="443">
        <v>13615.0</v>
      </c>
      <c r="K647" s="444" t="s">
        <v>18148</v>
      </c>
    </row>
    <row r="648">
      <c r="A648" s="437">
        <v>45881.5780787037</v>
      </c>
      <c r="B648" s="438">
        <v>18143.0</v>
      </c>
      <c r="C648" s="438" t="s">
        <v>12493</v>
      </c>
      <c r="D648" s="438" t="s">
        <v>3441</v>
      </c>
      <c r="E648" s="438" t="s">
        <v>18934</v>
      </c>
      <c r="F648" s="438" t="s">
        <v>48</v>
      </c>
      <c r="G648" s="438" t="s">
        <v>35</v>
      </c>
      <c r="H648" s="438" t="s">
        <v>65</v>
      </c>
      <c r="I648" s="438" t="s">
        <v>38</v>
      </c>
      <c r="J648" s="439">
        <v>13616.0</v>
      </c>
      <c r="K648" s="440" t="s">
        <v>18148</v>
      </c>
    </row>
    <row r="649">
      <c r="A649" s="441">
        <v>45881.64665509259</v>
      </c>
      <c r="B649" s="442">
        <v>18150.0</v>
      </c>
      <c r="C649" s="442" t="s">
        <v>4293</v>
      </c>
      <c r="D649" s="442" t="s">
        <v>85</v>
      </c>
      <c r="E649" s="442" t="s">
        <v>18964</v>
      </c>
      <c r="F649" s="442" t="s">
        <v>48</v>
      </c>
      <c r="G649" s="442" t="s">
        <v>35</v>
      </c>
      <c r="H649" s="442" t="s">
        <v>65</v>
      </c>
      <c r="I649" s="442" t="s">
        <v>38</v>
      </c>
      <c r="J649" s="443"/>
      <c r="K649" s="444" t="s">
        <v>18148</v>
      </c>
    </row>
    <row r="650">
      <c r="A650" s="437">
        <v>45881.65366898148</v>
      </c>
      <c r="B650" s="438">
        <v>18133.0</v>
      </c>
      <c r="C650" s="438" t="s">
        <v>11671</v>
      </c>
      <c r="D650" s="438" t="s">
        <v>4430</v>
      </c>
      <c r="E650" s="438" t="s">
        <v>18893</v>
      </c>
      <c r="F650" s="438" t="s">
        <v>48</v>
      </c>
      <c r="G650" s="438" t="s">
        <v>35</v>
      </c>
      <c r="H650" s="438" t="s">
        <v>518</v>
      </c>
      <c r="I650" s="438" t="s">
        <v>38</v>
      </c>
      <c r="J650" s="439">
        <v>13605.0</v>
      </c>
      <c r="K650" s="440" t="s">
        <v>18148</v>
      </c>
    </row>
    <row r="651">
      <c r="A651" s="441">
        <v>45881.65416666667</v>
      </c>
      <c r="B651" s="442">
        <v>18150.0</v>
      </c>
      <c r="C651" s="442" t="s">
        <v>4293</v>
      </c>
      <c r="D651" s="442" t="s">
        <v>85</v>
      </c>
      <c r="E651" s="442" t="s">
        <v>18964</v>
      </c>
      <c r="F651" s="442" t="s">
        <v>48</v>
      </c>
      <c r="G651" s="442" t="s">
        <v>35</v>
      </c>
      <c r="H651" s="442" t="s">
        <v>65</v>
      </c>
      <c r="I651" s="442" t="s">
        <v>38</v>
      </c>
      <c r="J651" s="443">
        <v>13617.0</v>
      </c>
      <c r="K651" s="444" t="s">
        <v>18148</v>
      </c>
    </row>
    <row r="652">
      <c r="A652" s="437">
        <v>45882.478125</v>
      </c>
      <c r="B652" s="438">
        <v>18002.0</v>
      </c>
      <c r="C652" s="438" t="s">
        <v>5277</v>
      </c>
      <c r="D652" s="438" t="s">
        <v>155</v>
      </c>
      <c r="E652" s="438">
        <v>13975.0</v>
      </c>
      <c r="F652" s="438" t="s">
        <v>48</v>
      </c>
      <c r="G652" s="438" t="s">
        <v>35</v>
      </c>
      <c r="H652" s="438" t="s">
        <v>65</v>
      </c>
      <c r="I652" s="438" t="s">
        <v>38</v>
      </c>
      <c r="J652" s="439">
        <v>13619.0</v>
      </c>
      <c r="K652" s="440" t="s">
        <v>18148</v>
      </c>
    </row>
    <row r="653">
      <c r="A653" s="441">
        <v>45882.478217592594</v>
      </c>
      <c r="B653" s="442" t="s">
        <v>18871</v>
      </c>
      <c r="C653" s="442" t="s">
        <v>911</v>
      </c>
      <c r="D653" s="442" t="s">
        <v>14519</v>
      </c>
      <c r="E653" s="442">
        <v>20168.0</v>
      </c>
      <c r="F653" s="442" t="s">
        <v>48</v>
      </c>
      <c r="G653" s="442" t="s">
        <v>35</v>
      </c>
      <c r="H653" s="442" t="s">
        <v>49</v>
      </c>
      <c r="I653" s="442" t="s">
        <v>38</v>
      </c>
      <c r="J653" s="443">
        <v>13620.0</v>
      </c>
      <c r="K653" s="444" t="s">
        <v>18148</v>
      </c>
    </row>
    <row r="654">
      <c r="A654" s="437">
        <v>45882.47829861111</v>
      </c>
      <c r="B654" s="438" t="s">
        <v>18874</v>
      </c>
      <c r="C654" s="438" t="s">
        <v>911</v>
      </c>
      <c r="D654" s="438" t="s">
        <v>14519</v>
      </c>
      <c r="E654" s="438">
        <v>20170.0</v>
      </c>
      <c r="F654" s="438" t="s">
        <v>48</v>
      </c>
      <c r="G654" s="438" t="s">
        <v>35</v>
      </c>
      <c r="H654" s="438" t="s">
        <v>49</v>
      </c>
      <c r="I654" s="438" t="s">
        <v>38</v>
      </c>
      <c r="J654" s="439">
        <v>13620.0</v>
      </c>
      <c r="K654" s="440" t="s">
        <v>18148</v>
      </c>
    </row>
    <row r="655">
      <c r="A655" s="441">
        <v>45882.4783912037</v>
      </c>
      <c r="B655" s="442" t="s">
        <v>18877</v>
      </c>
      <c r="C655" s="442" t="s">
        <v>911</v>
      </c>
      <c r="D655" s="442" t="s">
        <v>14519</v>
      </c>
      <c r="E655" s="442">
        <v>20172.0</v>
      </c>
      <c r="F655" s="442" t="s">
        <v>48</v>
      </c>
      <c r="G655" s="442" t="s">
        <v>35</v>
      </c>
      <c r="H655" s="442" t="s">
        <v>49</v>
      </c>
      <c r="I655" s="442" t="s">
        <v>38</v>
      </c>
      <c r="J655" s="443">
        <v>13620.0</v>
      </c>
      <c r="K655" s="444" t="s">
        <v>18148</v>
      </c>
    </row>
    <row r="656">
      <c r="A656" s="437">
        <v>45882.502233796295</v>
      </c>
      <c r="B656" s="438">
        <v>18155.0</v>
      </c>
      <c r="C656" s="438" t="s">
        <v>122</v>
      </c>
      <c r="D656" s="438" t="s">
        <v>91</v>
      </c>
      <c r="E656" s="438" t="s">
        <v>18983</v>
      </c>
      <c r="F656" s="438" t="s">
        <v>48</v>
      </c>
      <c r="G656" s="438" t="s">
        <v>35</v>
      </c>
      <c r="H656" s="438" t="s">
        <v>49</v>
      </c>
      <c r="I656" s="438" t="s">
        <v>38</v>
      </c>
      <c r="J656" s="439">
        <v>13623.0</v>
      </c>
      <c r="K656" s="440" t="s">
        <v>18148</v>
      </c>
    </row>
    <row r="657">
      <c r="A657" s="441">
        <v>45882.502430555556</v>
      </c>
      <c r="B657" s="442" t="s">
        <v>18959</v>
      </c>
      <c r="C657" s="442" t="s">
        <v>14663</v>
      </c>
      <c r="D657" s="442" t="s">
        <v>72</v>
      </c>
      <c r="E657" s="442" t="s">
        <v>18960</v>
      </c>
      <c r="F657" s="442" t="s">
        <v>48</v>
      </c>
      <c r="G657" s="442" t="s">
        <v>35</v>
      </c>
      <c r="H657" s="442" t="s">
        <v>65</v>
      </c>
      <c r="I657" s="442" t="s">
        <v>38</v>
      </c>
      <c r="J657" s="443">
        <v>13621.0</v>
      </c>
      <c r="K657" s="444" t="s">
        <v>18148</v>
      </c>
    </row>
    <row r="658">
      <c r="A658" s="437">
        <v>45882.5024537037</v>
      </c>
      <c r="B658" s="438" t="s">
        <v>18954</v>
      </c>
      <c r="C658" s="438" t="s">
        <v>14663</v>
      </c>
      <c r="D658" s="438" t="s">
        <v>3395</v>
      </c>
      <c r="E658" s="438" t="s">
        <v>18955</v>
      </c>
      <c r="F658" s="438" t="s">
        <v>48</v>
      </c>
      <c r="G658" s="438" t="s">
        <v>35</v>
      </c>
      <c r="H658" s="438" t="s">
        <v>65</v>
      </c>
      <c r="I658" s="438" t="s">
        <v>38</v>
      </c>
      <c r="J658" s="439">
        <v>13621.0</v>
      </c>
      <c r="K658" s="440" t="s">
        <v>18148</v>
      </c>
    </row>
    <row r="659">
      <c r="A659" s="441">
        <v>45882.50246527778</v>
      </c>
      <c r="B659" s="442">
        <v>18153.0</v>
      </c>
      <c r="C659" s="442" t="s">
        <v>18977</v>
      </c>
      <c r="D659" s="442" t="s">
        <v>3395</v>
      </c>
      <c r="E659" s="442" t="s">
        <v>18978</v>
      </c>
      <c r="F659" s="442" t="s">
        <v>48</v>
      </c>
      <c r="G659" s="442" t="s">
        <v>35</v>
      </c>
      <c r="H659" s="442" t="s">
        <v>65</v>
      </c>
      <c r="I659" s="442" t="s">
        <v>38</v>
      </c>
      <c r="J659" s="443">
        <v>13622.0</v>
      </c>
      <c r="K659" s="444" t="s">
        <v>18148</v>
      </c>
    </row>
    <row r="660">
      <c r="A660" s="437">
        <v>45882.50251157407</v>
      </c>
      <c r="B660" s="438" t="s">
        <v>18880</v>
      </c>
      <c r="C660" s="438" t="s">
        <v>911</v>
      </c>
      <c r="D660" s="438" t="s">
        <v>295</v>
      </c>
      <c r="E660" s="438">
        <v>20241.0</v>
      </c>
      <c r="F660" s="438" t="s">
        <v>33</v>
      </c>
      <c r="G660" s="438" t="s">
        <v>35</v>
      </c>
      <c r="H660" s="438" t="s">
        <v>49</v>
      </c>
      <c r="I660" s="438" t="s">
        <v>38</v>
      </c>
      <c r="J660" s="439">
        <v>13620.0</v>
      </c>
      <c r="K660" s="440" t="s">
        <v>18148</v>
      </c>
    </row>
    <row r="661">
      <c r="A661" s="441">
        <v>45882.502604166664</v>
      </c>
      <c r="B661" s="442" t="s">
        <v>18863</v>
      </c>
      <c r="C661" s="442" t="s">
        <v>911</v>
      </c>
      <c r="D661" s="442" t="s">
        <v>1119</v>
      </c>
      <c r="E661" s="442">
        <v>20239.0</v>
      </c>
      <c r="F661" s="442" t="s">
        <v>33</v>
      </c>
      <c r="G661" s="442" t="s">
        <v>35</v>
      </c>
      <c r="H661" s="442" t="s">
        <v>49</v>
      </c>
      <c r="I661" s="442" t="s">
        <v>38</v>
      </c>
      <c r="J661" s="443">
        <v>13620.0</v>
      </c>
      <c r="K661" s="444" t="s">
        <v>18148</v>
      </c>
    </row>
    <row r="662">
      <c r="A662" s="437">
        <v>45882.50292824074</v>
      </c>
      <c r="B662" s="438" t="s">
        <v>18867</v>
      </c>
      <c r="C662" s="438" t="s">
        <v>911</v>
      </c>
      <c r="D662" s="438" t="s">
        <v>1119</v>
      </c>
      <c r="E662" s="438">
        <v>20240.0</v>
      </c>
      <c r="F662" s="438" t="s">
        <v>33</v>
      </c>
      <c r="G662" s="438" t="s">
        <v>35</v>
      </c>
      <c r="H662" s="438" t="s">
        <v>49</v>
      </c>
      <c r="I662" s="438" t="s">
        <v>38</v>
      </c>
      <c r="J662" s="439">
        <v>13620.0</v>
      </c>
      <c r="K662" s="440" t="s">
        <v>18148</v>
      </c>
    </row>
    <row r="663">
      <c r="A663" s="441">
        <v>45883.396469907406</v>
      </c>
      <c r="B663" s="442" t="s">
        <v>19001</v>
      </c>
      <c r="C663" s="442" t="s">
        <v>19002</v>
      </c>
      <c r="D663" s="442" t="s">
        <v>3395</v>
      </c>
      <c r="E663" s="442" t="s">
        <v>19003</v>
      </c>
      <c r="F663" s="442" t="s">
        <v>48</v>
      </c>
      <c r="G663" s="442" t="s">
        <v>35</v>
      </c>
      <c r="H663" s="442" t="s">
        <v>92</v>
      </c>
      <c r="I663" s="442" t="s">
        <v>38</v>
      </c>
      <c r="J663" s="443">
        <v>13625.0</v>
      </c>
      <c r="K663" s="444" t="s">
        <v>18148</v>
      </c>
    </row>
    <row r="664">
      <c r="A664" s="437">
        <v>45883.39648148148</v>
      </c>
      <c r="B664" s="438" t="s">
        <v>19047</v>
      </c>
      <c r="C664" s="438" t="s">
        <v>19002</v>
      </c>
      <c r="D664" s="438" t="s">
        <v>3395</v>
      </c>
      <c r="E664" s="438" t="s">
        <v>19048</v>
      </c>
      <c r="F664" s="438" t="s">
        <v>48</v>
      </c>
      <c r="G664" s="438" t="s">
        <v>35</v>
      </c>
      <c r="H664" s="438" t="s">
        <v>92</v>
      </c>
      <c r="I664" s="438" t="s">
        <v>38</v>
      </c>
      <c r="J664" s="439">
        <v>13625.0</v>
      </c>
      <c r="K664" s="440" t="s">
        <v>18148</v>
      </c>
    </row>
    <row r="665">
      <c r="A665" s="441">
        <v>45883.396516203706</v>
      </c>
      <c r="B665" s="442" t="s">
        <v>19082</v>
      </c>
      <c r="C665" s="442" t="s">
        <v>19002</v>
      </c>
      <c r="D665" s="442" t="s">
        <v>3395</v>
      </c>
      <c r="E665" s="442" t="s">
        <v>19083</v>
      </c>
      <c r="F665" s="442" t="s">
        <v>48</v>
      </c>
      <c r="G665" s="442" t="s">
        <v>35</v>
      </c>
      <c r="H665" s="442" t="s">
        <v>92</v>
      </c>
      <c r="I665" s="442" t="s">
        <v>38</v>
      </c>
      <c r="J665" s="443">
        <v>13625.0</v>
      </c>
      <c r="K665" s="444" t="s">
        <v>18148</v>
      </c>
    </row>
    <row r="666">
      <c r="A666" s="437">
        <v>45883.396527777775</v>
      </c>
      <c r="B666" s="438" t="s">
        <v>19078</v>
      </c>
      <c r="C666" s="438" t="s">
        <v>19002</v>
      </c>
      <c r="D666" s="438" t="s">
        <v>3395</v>
      </c>
      <c r="E666" s="438" t="s">
        <v>19079</v>
      </c>
      <c r="F666" s="438" t="s">
        <v>48</v>
      </c>
      <c r="G666" s="438" t="s">
        <v>35</v>
      </c>
      <c r="H666" s="438" t="s">
        <v>92</v>
      </c>
      <c r="I666" s="438" t="s">
        <v>38</v>
      </c>
      <c r="J666" s="439">
        <v>13625.0</v>
      </c>
      <c r="K666" s="440" t="s">
        <v>18148</v>
      </c>
    </row>
    <row r="667">
      <c r="A667" s="441">
        <v>45883.39653935185</v>
      </c>
      <c r="B667" s="442" t="s">
        <v>19078</v>
      </c>
      <c r="C667" s="442" t="s">
        <v>19002</v>
      </c>
      <c r="D667" s="442" t="s">
        <v>3395</v>
      </c>
      <c r="E667" s="442" t="s">
        <v>19079</v>
      </c>
      <c r="F667" s="442" t="s">
        <v>48</v>
      </c>
      <c r="G667" s="442" t="s">
        <v>35</v>
      </c>
      <c r="H667" s="442" t="s">
        <v>92</v>
      </c>
      <c r="I667" s="442" t="s">
        <v>38</v>
      </c>
      <c r="J667" s="443">
        <v>13625.0</v>
      </c>
      <c r="K667" s="444" t="s">
        <v>18148</v>
      </c>
    </row>
    <row r="668">
      <c r="A668" s="437">
        <v>45883.396574074075</v>
      </c>
      <c r="B668" s="438" t="s">
        <v>19090</v>
      </c>
      <c r="C668" s="438" t="s">
        <v>19002</v>
      </c>
      <c r="D668" s="438" t="s">
        <v>3395</v>
      </c>
      <c r="E668" s="438" t="s">
        <v>19091</v>
      </c>
      <c r="F668" s="438" t="s">
        <v>48</v>
      </c>
      <c r="G668" s="438" t="s">
        <v>35</v>
      </c>
      <c r="H668" s="438" t="s">
        <v>92</v>
      </c>
      <c r="I668" s="438" t="s">
        <v>38</v>
      </c>
      <c r="J668" s="439">
        <v>13625.0</v>
      </c>
      <c r="K668" s="440" t="s">
        <v>18148</v>
      </c>
    </row>
    <row r="669">
      <c r="A669" s="441">
        <v>45883.396585648145</v>
      </c>
      <c r="B669" s="442" t="s">
        <v>19094</v>
      </c>
      <c r="C669" s="442" t="s">
        <v>19002</v>
      </c>
      <c r="D669" s="442" t="s">
        <v>3395</v>
      </c>
      <c r="E669" s="442" t="s">
        <v>19095</v>
      </c>
      <c r="F669" s="442" t="s">
        <v>48</v>
      </c>
      <c r="G669" s="442" t="s">
        <v>35</v>
      </c>
      <c r="H669" s="442" t="s">
        <v>92</v>
      </c>
      <c r="I669" s="442" t="s">
        <v>38</v>
      </c>
      <c r="J669" s="443">
        <v>13625.0</v>
      </c>
      <c r="K669" s="444" t="s">
        <v>18148</v>
      </c>
    </row>
    <row r="670">
      <c r="A670" s="437">
        <v>45883.396585648145</v>
      </c>
      <c r="B670" s="438" t="s">
        <v>19086</v>
      </c>
      <c r="C670" s="438" t="s">
        <v>19002</v>
      </c>
      <c r="D670" s="438" t="s">
        <v>3395</v>
      </c>
      <c r="E670" s="438" t="s">
        <v>19087</v>
      </c>
      <c r="F670" s="438" t="s">
        <v>48</v>
      </c>
      <c r="G670" s="438" t="s">
        <v>35</v>
      </c>
      <c r="H670" s="438" t="s">
        <v>92</v>
      </c>
      <c r="I670" s="438" t="s">
        <v>38</v>
      </c>
      <c r="J670" s="439">
        <v>13625.0</v>
      </c>
      <c r="K670" s="440" t="s">
        <v>18148</v>
      </c>
    </row>
    <row r="671">
      <c r="A671" s="441">
        <v>45883.396585648145</v>
      </c>
      <c r="B671" s="442" t="s">
        <v>19102</v>
      </c>
      <c r="C671" s="442" t="s">
        <v>19002</v>
      </c>
      <c r="D671" s="442" t="s">
        <v>3395</v>
      </c>
      <c r="E671" s="442" t="s">
        <v>19103</v>
      </c>
      <c r="F671" s="442" t="s">
        <v>48</v>
      </c>
      <c r="G671" s="442" t="s">
        <v>35</v>
      </c>
      <c r="H671" s="442" t="s">
        <v>92</v>
      </c>
      <c r="I671" s="442" t="s">
        <v>38</v>
      </c>
      <c r="J671" s="443">
        <v>13625.0</v>
      </c>
      <c r="K671" s="444" t="s">
        <v>18148</v>
      </c>
    </row>
    <row r="672">
      <c r="A672" s="437">
        <v>45883.39659722222</v>
      </c>
      <c r="B672" s="438" t="s">
        <v>19098</v>
      </c>
      <c r="C672" s="438" t="s">
        <v>19002</v>
      </c>
      <c r="D672" s="438" t="s">
        <v>3395</v>
      </c>
      <c r="E672" s="438" t="s">
        <v>19099</v>
      </c>
      <c r="F672" s="438" t="s">
        <v>48</v>
      </c>
      <c r="G672" s="438" t="s">
        <v>35</v>
      </c>
      <c r="H672" s="438" t="s">
        <v>92</v>
      </c>
      <c r="I672" s="438" t="s">
        <v>38</v>
      </c>
      <c r="J672" s="439">
        <v>13625.0</v>
      </c>
      <c r="K672" s="440" t="s">
        <v>18148</v>
      </c>
    </row>
    <row r="673">
      <c r="A673" s="441">
        <v>45883.396631944444</v>
      </c>
      <c r="B673" s="442" t="s">
        <v>19012</v>
      </c>
      <c r="C673" s="442" t="s">
        <v>19002</v>
      </c>
      <c r="D673" s="442" t="s">
        <v>3395</v>
      </c>
      <c r="E673" s="442" t="s">
        <v>19013</v>
      </c>
      <c r="F673" s="442" t="s">
        <v>48</v>
      </c>
      <c r="G673" s="442" t="s">
        <v>35</v>
      </c>
      <c r="H673" s="442" t="s">
        <v>92</v>
      </c>
      <c r="I673" s="442" t="s">
        <v>38</v>
      </c>
      <c r="J673" s="443">
        <v>13625.0</v>
      </c>
      <c r="K673" s="444" t="s">
        <v>18148</v>
      </c>
    </row>
    <row r="674">
      <c r="A674" s="437">
        <v>45883.39665509259</v>
      </c>
      <c r="B674" s="438" t="s">
        <v>19008</v>
      </c>
      <c r="C674" s="438" t="s">
        <v>19002</v>
      </c>
      <c r="D674" s="438" t="s">
        <v>3395</v>
      </c>
      <c r="E674" s="438" t="s">
        <v>19009</v>
      </c>
      <c r="F674" s="438" t="s">
        <v>48</v>
      </c>
      <c r="G674" s="438" t="s">
        <v>35</v>
      </c>
      <c r="H674" s="438" t="s">
        <v>92</v>
      </c>
      <c r="I674" s="438" t="s">
        <v>38</v>
      </c>
      <c r="J674" s="439">
        <v>13625.0</v>
      </c>
      <c r="K674" s="440" t="s">
        <v>18148</v>
      </c>
    </row>
    <row r="675">
      <c r="A675" s="441">
        <v>45883.396678240744</v>
      </c>
      <c r="B675" s="442" t="s">
        <v>19024</v>
      </c>
      <c r="C675" s="442" t="s">
        <v>19002</v>
      </c>
      <c r="D675" s="442" t="s">
        <v>3395</v>
      </c>
      <c r="E675" s="442" t="s">
        <v>19025</v>
      </c>
      <c r="F675" s="442" t="s">
        <v>48</v>
      </c>
      <c r="G675" s="442" t="s">
        <v>35</v>
      </c>
      <c r="H675" s="442" t="s">
        <v>92</v>
      </c>
      <c r="I675" s="442" t="s">
        <v>38</v>
      </c>
      <c r="J675" s="443">
        <v>13625.0</v>
      </c>
      <c r="K675" s="444" t="s">
        <v>18148</v>
      </c>
    </row>
    <row r="676">
      <c r="A676" s="437">
        <v>45883.396678240744</v>
      </c>
      <c r="B676" s="438" t="s">
        <v>19016</v>
      </c>
      <c r="C676" s="438" t="s">
        <v>19002</v>
      </c>
      <c r="D676" s="438" t="s">
        <v>3395</v>
      </c>
      <c r="E676" s="438" t="s">
        <v>19017</v>
      </c>
      <c r="F676" s="438" t="s">
        <v>48</v>
      </c>
      <c r="G676" s="438" t="s">
        <v>35</v>
      </c>
      <c r="H676" s="438" t="s">
        <v>92</v>
      </c>
      <c r="I676" s="438" t="s">
        <v>38</v>
      </c>
      <c r="J676" s="439">
        <v>13625.0</v>
      </c>
      <c r="K676" s="440" t="s">
        <v>18148</v>
      </c>
    </row>
    <row r="677">
      <c r="A677" s="441">
        <v>45883.39670138889</v>
      </c>
      <c r="B677" s="442" t="s">
        <v>19028</v>
      </c>
      <c r="C677" s="442" t="s">
        <v>19002</v>
      </c>
      <c r="D677" s="442" t="s">
        <v>3395</v>
      </c>
      <c r="E677" s="442" t="s">
        <v>19029</v>
      </c>
      <c r="F677" s="442" t="s">
        <v>48</v>
      </c>
      <c r="G677" s="442" t="s">
        <v>35</v>
      </c>
      <c r="H677" s="442" t="s">
        <v>92</v>
      </c>
      <c r="I677" s="442" t="s">
        <v>38</v>
      </c>
      <c r="J677" s="443">
        <v>13625.0</v>
      </c>
      <c r="K677" s="444" t="s">
        <v>18148</v>
      </c>
    </row>
    <row r="678">
      <c r="A678" s="437">
        <v>45883.39670138889</v>
      </c>
      <c r="B678" s="438" t="s">
        <v>19032</v>
      </c>
      <c r="C678" s="438" t="s">
        <v>19002</v>
      </c>
      <c r="D678" s="438" t="s">
        <v>3395</v>
      </c>
      <c r="E678" s="438" t="s">
        <v>19033</v>
      </c>
      <c r="F678" s="438" t="s">
        <v>48</v>
      </c>
      <c r="G678" s="438" t="s">
        <v>35</v>
      </c>
      <c r="H678" s="438" t="s">
        <v>92</v>
      </c>
      <c r="I678" s="438" t="s">
        <v>38</v>
      </c>
      <c r="J678" s="439">
        <v>13625.0</v>
      </c>
      <c r="K678" s="440" t="s">
        <v>18148</v>
      </c>
    </row>
    <row r="679">
      <c r="A679" s="441">
        <v>45883.39671296296</v>
      </c>
      <c r="B679" s="442" t="s">
        <v>19020</v>
      </c>
      <c r="C679" s="442" t="s">
        <v>19002</v>
      </c>
      <c r="D679" s="442" t="s">
        <v>3395</v>
      </c>
      <c r="E679" s="442" t="s">
        <v>19021</v>
      </c>
      <c r="F679" s="442" t="s">
        <v>48</v>
      </c>
      <c r="G679" s="442" t="s">
        <v>35</v>
      </c>
      <c r="H679" s="442" t="s">
        <v>92</v>
      </c>
      <c r="I679" s="442" t="s">
        <v>38</v>
      </c>
      <c r="J679" s="443">
        <v>13625.0</v>
      </c>
      <c r="K679" s="444" t="s">
        <v>18148</v>
      </c>
    </row>
    <row r="680">
      <c r="A680" s="437">
        <v>45883.39672453704</v>
      </c>
      <c r="B680" s="438" t="s">
        <v>19035</v>
      </c>
      <c r="C680" s="438" t="s">
        <v>19002</v>
      </c>
      <c r="D680" s="438" t="s">
        <v>3395</v>
      </c>
      <c r="E680" s="438" t="s">
        <v>19036</v>
      </c>
      <c r="F680" s="438" t="s">
        <v>48</v>
      </c>
      <c r="G680" s="438" t="s">
        <v>35</v>
      </c>
      <c r="H680" s="438" t="s">
        <v>92</v>
      </c>
      <c r="I680" s="438" t="s">
        <v>38</v>
      </c>
      <c r="J680" s="439">
        <v>13625.0</v>
      </c>
      <c r="K680" s="440" t="s">
        <v>18148</v>
      </c>
    </row>
    <row r="681">
      <c r="A681" s="441">
        <v>45883.39674768518</v>
      </c>
      <c r="B681" s="442" t="s">
        <v>19039</v>
      </c>
      <c r="C681" s="442" t="s">
        <v>19002</v>
      </c>
      <c r="D681" s="442" t="s">
        <v>3395</v>
      </c>
      <c r="E681" s="442" t="s">
        <v>19040</v>
      </c>
      <c r="F681" s="442" t="s">
        <v>48</v>
      </c>
      <c r="G681" s="442" t="s">
        <v>35</v>
      </c>
      <c r="H681" s="442" t="s">
        <v>92</v>
      </c>
      <c r="I681" s="442" t="s">
        <v>38</v>
      </c>
      <c r="J681" s="443">
        <v>13625.0</v>
      </c>
      <c r="K681" s="444" t="s">
        <v>18148</v>
      </c>
    </row>
    <row r="682">
      <c r="A682" s="437">
        <v>45883.39675925926</v>
      </c>
      <c r="B682" s="438" t="s">
        <v>19043</v>
      </c>
      <c r="C682" s="438" t="s">
        <v>19002</v>
      </c>
      <c r="D682" s="438" t="s">
        <v>3395</v>
      </c>
      <c r="E682" s="438" t="s">
        <v>19044</v>
      </c>
      <c r="F682" s="438" t="s">
        <v>48</v>
      </c>
      <c r="G682" s="438" t="s">
        <v>35</v>
      </c>
      <c r="H682" s="438" t="s">
        <v>92</v>
      </c>
      <c r="I682" s="438" t="s">
        <v>38</v>
      </c>
      <c r="J682" s="439">
        <v>13625.0</v>
      </c>
      <c r="K682" s="440" t="s">
        <v>18148</v>
      </c>
    </row>
    <row r="683">
      <c r="A683" s="441">
        <v>45883.39677083334</v>
      </c>
      <c r="B683" s="442" t="s">
        <v>19063</v>
      </c>
      <c r="C683" s="442" t="s">
        <v>19002</v>
      </c>
      <c r="D683" s="442" t="s">
        <v>3395</v>
      </c>
      <c r="E683" s="442" t="s">
        <v>19064</v>
      </c>
      <c r="F683" s="442" t="s">
        <v>48</v>
      </c>
      <c r="G683" s="442" t="s">
        <v>35</v>
      </c>
      <c r="H683" s="442" t="s">
        <v>92</v>
      </c>
      <c r="I683" s="442" t="s">
        <v>38</v>
      </c>
      <c r="J683" s="443">
        <v>13625.0</v>
      </c>
      <c r="K683" s="444" t="s">
        <v>18148</v>
      </c>
    </row>
    <row r="684">
      <c r="A684" s="437">
        <v>45883.39677083334</v>
      </c>
      <c r="B684" s="438" t="s">
        <v>19051</v>
      </c>
      <c r="C684" s="438" t="s">
        <v>19002</v>
      </c>
      <c r="D684" s="438" t="s">
        <v>3395</v>
      </c>
      <c r="E684" s="438" t="s">
        <v>19052</v>
      </c>
      <c r="F684" s="438" t="s">
        <v>48</v>
      </c>
      <c r="G684" s="438" t="s">
        <v>35</v>
      </c>
      <c r="H684" s="438" t="s">
        <v>92</v>
      </c>
      <c r="I684" s="438" t="s">
        <v>38</v>
      </c>
      <c r="J684" s="439">
        <v>13625.0</v>
      </c>
      <c r="K684" s="440" t="s">
        <v>18148</v>
      </c>
    </row>
    <row r="685">
      <c r="A685" s="441">
        <v>45883.396782407406</v>
      </c>
      <c r="B685" s="442" t="s">
        <v>19055</v>
      </c>
      <c r="C685" s="442" t="s">
        <v>19002</v>
      </c>
      <c r="D685" s="442" t="s">
        <v>3395</v>
      </c>
      <c r="E685" s="442" t="s">
        <v>19056</v>
      </c>
      <c r="F685" s="442" t="s">
        <v>48</v>
      </c>
      <c r="G685" s="442" t="s">
        <v>35</v>
      </c>
      <c r="H685" s="442" t="s">
        <v>92</v>
      </c>
      <c r="I685" s="442" t="s">
        <v>38</v>
      </c>
      <c r="J685" s="443">
        <v>13625.0</v>
      </c>
      <c r="K685" s="444" t="s">
        <v>18148</v>
      </c>
    </row>
    <row r="686">
      <c r="A686" s="437">
        <v>45883.39680555555</v>
      </c>
      <c r="B686" s="438" t="s">
        <v>19059</v>
      </c>
      <c r="C686" s="438" t="s">
        <v>19002</v>
      </c>
      <c r="D686" s="438" t="s">
        <v>3395</v>
      </c>
      <c r="E686" s="438" t="s">
        <v>19060</v>
      </c>
      <c r="F686" s="438" t="s">
        <v>48</v>
      </c>
      <c r="G686" s="438" t="s">
        <v>35</v>
      </c>
      <c r="H686" s="438" t="s">
        <v>92</v>
      </c>
      <c r="I686" s="438" t="s">
        <v>38</v>
      </c>
      <c r="J686" s="439">
        <v>13625.0</v>
      </c>
      <c r="K686" s="440" t="s">
        <v>18148</v>
      </c>
    </row>
    <row r="687">
      <c r="A687" s="441">
        <v>45883.396828703706</v>
      </c>
      <c r="B687" s="442" t="s">
        <v>19067</v>
      </c>
      <c r="C687" s="442" t="s">
        <v>19002</v>
      </c>
      <c r="D687" s="442" t="s">
        <v>3395</v>
      </c>
      <c r="E687" s="442" t="s">
        <v>19068</v>
      </c>
      <c r="F687" s="442" t="s">
        <v>48</v>
      </c>
      <c r="G687" s="442" t="s">
        <v>35</v>
      </c>
      <c r="H687" s="442" t="s">
        <v>92</v>
      </c>
      <c r="I687" s="442" t="s">
        <v>38</v>
      </c>
      <c r="J687" s="443">
        <v>13625.0</v>
      </c>
      <c r="K687" s="444" t="s">
        <v>18148</v>
      </c>
    </row>
    <row r="688">
      <c r="A688" s="437">
        <v>45883.396840277775</v>
      </c>
      <c r="B688" s="438" t="s">
        <v>19070</v>
      </c>
      <c r="C688" s="438" t="s">
        <v>19002</v>
      </c>
      <c r="D688" s="438" t="s">
        <v>3395</v>
      </c>
      <c r="E688" s="438" t="s">
        <v>19071</v>
      </c>
      <c r="F688" s="438" t="s">
        <v>48</v>
      </c>
      <c r="G688" s="438" t="s">
        <v>35</v>
      </c>
      <c r="H688" s="438" t="s">
        <v>92</v>
      </c>
      <c r="I688" s="438" t="s">
        <v>38</v>
      </c>
      <c r="J688" s="439">
        <v>13625.0</v>
      </c>
      <c r="K688" s="440" t="s">
        <v>18148</v>
      </c>
    </row>
    <row r="689">
      <c r="A689" s="441">
        <v>45883.40087962963</v>
      </c>
      <c r="B689" s="442" t="s">
        <v>19074</v>
      </c>
      <c r="C689" s="442" t="s">
        <v>19002</v>
      </c>
      <c r="D689" s="442" t="s">
        <v>3395</v>
      </c>
      <c r="E689" s="442" t="s">
        <v>19075</v>
      </c>
      <c r="F689" s="442" t="s">
        <v>48</v>
      </c>
      <c r="G689" s="442" t="s">
        <v>35</v>
      </c>
      <c r="H689" s="442" t="s">
        <v>92</v>
      </c>
      <c r="I689" s="442" t="s">
        <v>38</v>
      </c>
      <c r="J689" s="443">
        <v>13625.0</v>
      </c>
      <c r="K689" s="444" t="s">
        <v>18148</v>
      </c>
    </row>
    <row r="690">
      <c r="A690" s="437">
        <v>45883.43409722222</v>
      </c>
      <c r="B690" s="438">
        <v>18164.0</v>
      </c>
      <c r="C690" s="438" t="s">
        <v>6153</v>
      </c>
      <c r="D690" s="438" t="s">
        <v>112</v>
      </c>
      <c r="E690" s="438" t="s">
        <v>19117</v>
      </c>
      <c r="F690" s="438" t="s">
        <v>48</v>
      </c>
      <c r="G690" s="438" t="s">
        <v>35</v>
      </c>
      <c r="H690" s="438" t="s">
        <v>65</v>
      </c>
      <c r="I690" s="438" t="s">
        <v>38</v>
      </c>
      <c r="J690" s="439">
        <v>13626.0</v>
      </c>
      <c r="K690" s="440" t="s">
        <v>18148</v>
      </c>
    </row>
    <row r="691">
      <c r="A691" s="441">
        <v>45883.47460648148</v>
      </c>
      <c r="B691" s="442">
        <v>18163.0</v>
      </c>
      <c r="C691" s="442" t="s">
        <v>5531</v>
      </c>
      <c r="D691" s="442" t="s">
        <v>47</v>
      </c>
      <c r="E691" s="442" t="s">
        <v>19113</v>
      </c>
      <c r="F691" s="442" t="s">
        <v>48</v>
      </c>
      <c r="G691" s="442" t="s">
        <v>35</v>
      </c>
      <c r="H691" s="442" t="s">
        <v>49</v>
      </c>
      <c r="I691" s="442" t="s">
        <v>19108</v>
      </c>
      <c r="J691" s="443">
        <v>13627.0</v>
      </c>
      <c r="K691" s="444" t="s">
        <v>18148</v>
      </c>
    </row>
    <row r="692">
      <c r="A692" s="437">
        <v>45884.41097222222</v>
      </c>
      <c r="B692" s="438">
        <v>18148.0</v>
      </c>
      <c r="C692" s="438" t="s">
        <v>14726</v>
      </c>
      <c r="D692" s="438" t="s">
        <v>15373</v>
      </c>
      <c r="E692" s="438">
        <v>20230.0</v>
      </c>
      <c r="F692" s="438" t="s">
        <v>48</v>
      </c>
      <c r="G692" s="438" t="s">
        <v>35</v>
      </c>
      <c r="H692" s="438" t="s">
        <v>49</v>
      </c>
      <c r="I692" s="438" t="s">
        <v>38</v>
      </c>
      <c r="J692" s="439">
        <v>13630.0</v>
      </c>
      <c r="K692" s="440" t="s">
        <v>18148</v>
      </c>
    </row>
    <row r="693">
      <c r="A693" s="441">
        <v>45884.41101851852</v>
      </c>
      <c r="B693" s="442">
        <v>18134.0</v>
      </c>
      <c r="C693" s="442" t="s">
        <v>8994</v>
      </c>
      <c r="D693" s="442" t="s">
        <v>11712</v>
      </c>
      <c r="E693" s="442">
        <v>20243.0</v>
      </c>
      <c r="F693" s="442" t="s">
        <v>48</v>
      </c>
      <c r="G693" s="442" t="s">
        <v>35</v>
      </c>
      <c r="H693" s="442" t="s">
        <v>92</v>
      </c>
      <c r="I693" s="442" t="s">
        <v>38</v>
      </c>
      <c r="J693" s="443">
        <v>12629.0</v>
      </c>
      <c r="K693" s="444" t="s">
        <v>18148</v>
      </c>
    </row>
    <row r="694">
      <c r="A694" s="437">
        <v>45884.42387731482</v>
      </c>
      <c r="B694" s="438">
        <v>18174.0</v>
      </c>
      <c r="C694" s="438" t="s">
        <v>10396</v>
      </c>
      <c r="D694" s="438" t="s">
        <v>112</v>
      </c>
      <c r="E694" s="438" t="s">
        <v>19145</v>
      </c>
      <c r="F694" s="438" t="s">
        <v>48</v>
      </c>
      <c r="G694" s="438" t="s">
        <v>35</v>
      </c>
      <c r="H694" s="438" t="s">
        <v>49</v>
      </c>
      <c r="I694" s="438" t="s">
        <v>38</v>
      </c>
      <c r="J694" s="439">
        <v>13631.0</v>
      </c>
      <c r="K694" s="440" t="s">
        <v>18148</v>
      </c>
    </row>
    <row r="695">
      <c r="A695" s="441">
        <v>45884.61715277778</v>
      </c>
      <c r="B695" s="442" t="s">
        <v>18987</v>
      </c>
      <c r="C695" s="442" t="s">
        <v>4313</v>
      </c>
      <c r="D695" s="442" t="s">
        <v>4430</v>
      </c>
      <c r="E695" s="442" t="s">
        <v>18988</v>
      </c>
      <c r="F695" s="442" t="s">
        <v>48</v>
      </c>
      <c r="G695" s="442" t="s">
        <v>35</v>
      </c>
      <c r="H695" s="442" t="s">
        <v>92</v>
      </c>
      <c r="I695" s="442" t="s">
        <v>38</v>
      </c>
      <c r="J695" s="443">
        <v>13633.0</v>
      </c>
      <c r="K695" s="444" t="s">
        <v>18148</v>
      </c>
    </row>
    <row r="696">
      <c r="A696" s="437">
        <v>45884.61719907408</v>
      </c>
      <c r="B696" s="438" t="s">
        <v>18992</v>
      </c>
      <c r="C696" s="438" t="s">
        <v>4313</v>
      </c>
      <c r="D696" s="438" t="s">
        <v>4430</v>
      </c>
      <c r="E696" s="438" t="s">
        <v>18993</v>
      </c>
      <c r="F696" s="438" t="s">
        <v>48</v>
      </c>
      <c r="G696" s="438" t="s">
        <v>35</v>
      </c>
      <c r="H696" s="438" t="s">
        <v>92</v>
      </c>
      <c r="I696" s="438" t="s">
        <v>38</v>
      </c>
      <c r="J696" s="439">
        <v>13633.0</v>
      </c>
      <c r="K696" s="440" t="s">
        <v>18148</v>
      </c>
    </row>
    <row r="697">
      <c r="A697" s="441">
        <v>45887.49690972222</v>
      </c>
      <c r="B697" s="442" t="s">
        <v>19159</v>
      </c>
      <c r="C697" s="442" t="s">
        <v>4147</v>
      </c>
      <c r="D697" s="442" t="s">
        <v>91</v>
      </c>
      <c r="E697" s="442" t="s">
        <v>19160</v>
      </c>
      <c r="F697" s="442" t="s">
        <v>48</v>
      </c>
      <c r="G697" s="442" t="s">
        <v>35</v>
      </c>
      <c r="H697" s="442" t="s">
        <v>49</v>
      </c>
      <c r="I697" s="442" t="s">
        <v>38</v>
      </c>
      <c r="J697" s="443">
        <v>13637.0</v>
      </c>
      <c r="K697" s="444" t="s">
        <v>18148</v>
      </c>
    </row>
    <row r="698">
      <c r="A698" s="437">
        <v>45887.49717592593</v>
      </c>
      <c r="B698" s="438" t="s">
        <v>19163</v>
      </c>
      <c r="C698" s="438" t="s">
        <v>4147</v>
      </c>
      <c r="D698" s="438" t="s">
        <v>91</v>
      </c>
      <c r="E698" s="438" t="s">
        <v>19164</v>
      </c>
      <c r="F698" s="438" t="s">
        <v>48</v>
      </c>
      <c r="G698" s="438" t="s">
        <v>35</v>
      </c>
      <c r="H698" s="438" t="s">
        <v>49</v>
      </c>
      <c r="I698" s="438" t="s">
        <v>38</v>
      </c>
      <c r="J698" s="439">
        <v>13637.0</v>
      </c>
      <c r="K698" s="440" t="s">
        <v>18148</v>
      </c>
    </row>
    <row r="699">
      <c r="A699" s="441">
        <v>45887.49725694444</v>
      </c>
      <c r="B699" s="442">
        <v>18182.0</v>
      </c>
      <c r="C699" s="442" t="s">
        <v>8071</v>
      </c>
      <c r="D699" s="442" t="s">
        <v>85</v>
      </c>
      <c r="E699" s="442" t="s">
        <v>19185</v>
      </c>
      <c r="F699" s="442" t="s">
        <v>48</v>
      </c>
      <c r="G699" s="442" t="s">
        <v>35</v>
      </c>
      <c r="H699" s="442" t="s">
        <v>49</v>
      </c>
      <c r="I699" s="442" t="s">
        <v>38</v>
      </c>
      <c r="J699" s="443">
        <v>13640.0</v>
      </c>
      <c r="K699" s="444" t="s">
        <v>18148</v>
      </c>
    </row>
    <row r="700">
      <c r="A700" s="437">
        <v>45887.49738425926</v>
      </c>
      <c r="B700" s="438" t="s">
        <v>19154</v>
      </c>
      <c r="C700" s="438" t="s">
        <v>4147</v>
      </c>
      <c r="D700" s="438" t="s">
        <v>72</v>
      </c>
      <c r="E700" s="438" t="s">
        <v>19155</v>
      </c>
      <c r="F700" s="438" t="s">
        <v>48</v>
      </c>
      <c r="G700" s="438" t="s">
        <v>35</v>
      </c>
      <c r="H700" s="438" t="s">
        <v>49</v>
      </c>
      <c r="I700" s="438" t="s">
        <v>38</v>
      </c>
      <c r="J700" s="439">
        <v>13637.0</v>
      </c>
      <c r="K700" s="440" t="s">
        <v>18148</v>
      </c>
    </row>
    <row r="701">
      <c r="A701" s="441">
        <v>45887.497407407405</v>
      </c>
      <c r="B701" s="442" t="s">
        <v>18972</v>
      </c>
      <c r="C701" s="442" t="s">
        <v>3645</v>
      </c>
      <c r="D701" s="442" t="s">
        <v>112</v>
      </c>
      <c r="E701" s="442" t="s">
        <v>18973</v>
      </c>
      <c r="F701" s="442" t="s">
        <v>48</v>
      </c>
      <c r="G701" s="442" t="s">
        <v>35</v>
      </c>
      <c r="H701" s="442" t="s">
        <v>49</v>
      </c>
      <c r="I701" s="442" t="s">
        <v>38</v>
      </c>
      <c r="J701" s="443">
        <v>13634.0</v>
      </c>
      <c r="K701" s="444" t="s">
        <v>18148</v>
      </c>
    </row>
    <row r="702">
      <c r="A702" s="437">
        <v>45887.4975</v>
      </c>
      <c r="B702" s="438" t="s">
        <v>18967</v>
      </c>
      <c r="C702" s="438" t="s">
        <v>3645</v>
      </c>
      <c r="D702" s="438" t="s">
        <v>112</v>
      </c>
      <c r="E702" s="438" t="s">
        <v>18968</v>
      </c>
      <c r="F702" s="438" t="s">
        <v>48</v>
      </c>
      <c r="G702" s="438" t="s">
        <v>35</v>
      </c>
      <c r="H702" s="438" t="s">
        <v>49</v>
      </c>
      <c r="I702" s="438" t="s">
        <v>38</v>
      </c>
      <c r="J702" s="439">
        <v>13634.0</v>
      </c>
      <c r="K702" s="440" t="s">
        <v>18148</v>
      </c>
    </row>
    <row r="703">
      <c r="A703" s="441">
        <v>45887.49753472222</v>
      </c>
      <c r="B703" s="442">
        <v>18179.0</v>
      </c>
      <c r="C703" s="442" t="s">
        <v>19174</v>
      </c>
      <c r="D703" s="442" t="s">
        <v>72</v>
      </c>
      <c r="E703" s="442" t="s">
        <v>19175</v>
      </c>
      <c r="F703" s="442" t="s">
        <v>48</v>
      </c>
      <c r="G703" s="442" t="s">
        <v>35</v>
      </c>
      <c r="H703" s="442" t="s">
        <v>49</v>
      </c>
      <c r="I703" s="442" t="s">
        <v>38</v>
      </c>
      <c r="J703" s="443">
        <v>13639.0</v>
      </c>
      <c r="K703" s="444" t="s">
        <v>18148</v>
      </c>
    </row>
    <row r="704">
      <c r="A704" s="437">
        <v>45887.49759259259</v>
      </c>
      <c r="B704" s="438">
        <v>18170.0</v>
      </c>
      <c r="C704" s="438" t="s">
        <v>110</v>
      </c>
      <c r="D704" s="438" t="s">
        <v>85</v>
      </c>
      <c r="E704" s="438" t="s">
        <v>19140</v>
      </c>
      <c r="F704" s="438" t="s">
        <v>48</v>
      </c>
      <c r="G704" s="438" t="s">
        <v>35</v>
      </c>
      <c r="H704" s="438" t="s">
        <v>65</v>
      </c>
      <c r="I704" s="438" t="s">
        <v>38</v>
      </c>
      <c r="J704" s="439">
        <v>13636.0</v>
      </c>
      <c r="K704" s="440" t="s">
        <v>18148</v>
      </c>
    </row>
    <row r="705">
      <c r="A705" s="441">
        <v>45887.49759259259</v>
      </c>
      <c r="B705" s="442">
        <v>18157.0</v>
      </c>
      <c r="C705" s="442" t="s">
        <v>4293</v>
      </c>
      <c r="D705" s="442" t="s">
        <v>47</v>
      </c>
      <c r="E705" s="442" t="s">
        <v>18997</v>
      </c>
      <c r="F705" s="442" t="s">
        <v>48</v>
      </c>
      <c r="G705" s="442" t="s">
        <v>35</v>
      </c>
      <c r="H705" s="442" t="s">
        <v>65</v>
      </c>
      <c r="I705" s="442" t="s">
        <v>38</v>
      </c>
      <c r="J705" s="443">
        <v>13635.0</v>
      </c>
      <c r="K705" s="444" t="s">
        <v>18148</v>
      </c>
    </row>
    <row r="706">
      <c r="A706" s="437">
        <v>45887.49765046296</v>
      </c>
      <c r="B706" s="438">
        <v>18177.0</v>
      </c>
      <c r="C706" s="438" t="s">
        <v>19168</v>
      </c>
      <c r="D706" s="438" t="s">
        <v>72</v>
      </c>
      <c r="E706" s="438" t="s">
        <v>19169</v>
      </c>
      <c r="F706" s="438" t="s">
        <v>48</v>
      </c>
      <c r="G706" s="438" t="s">
        <v>35</v>
      </c>
      <c r="H706" s="438" t="s">
        <v>65</v>
      </c>
      <c r="I706" s="438" t="s">
        <v>38</v>
      </c>
      <c r="J706" s="439">
        <v>13638.0</v>
      </c>
      <c r="K706" s="440" t="s">
        <v>18148</v>
      </c>
    </row>
    <row r="707">
      <c r="A707" s="441">
        <v>45887.49775462963</v>
      </c>
      <c r="B707" s="442">
        <v>18178.0</v>
      </c>
      <c r="C707" s="442" t="s">
        <v>13897</v>
      </c>
      <c r="D707" s="442" t="s">
        <v>85</v>
      </c>
      <c r="E707" s="442" t="s">
        <v>13898</v>
      </c>
      <c r="F707" s="442" t="s">
        <v>48</v>
      </c>
      <c r="G707" s="442" t="s">
        <v>35</v>
      </c>
      <c r="H707" s="442" t="s">
        <v>65</v>
      </c>
      <c r="I707" s="442" t="s">
        <v>38</v>
      </c>
      <c r="J707" s="443">
        <v>13641.0</v>
      </c>
      <c r="K707" s="444" t="s">
        <v>18148</v>
      </c>
    </row>
    <row r="708">
      <c r="A708" s="437">
        <v>45887.49780092593</v>
      </c>
      <c r="B708" s="438">
        <v>18184.0</v>
      </c>
      <c r="C708" s="438" t="s">
        <v>16816</v>
      </c>
      <c r="D708" s="438" t="s">
        <v>3441</v>
      </c>
      <c r="E708" s="438" t="s">
        <v>19195</v>
      </c>
      <c r="F708" s="438" t="s">
        <v>48</v>
      </c>
      <c r="G708" s="438" t="s">
        <v>35</v>
      </c>
      <c r="H708" s="438" t="s">
        <v>65</v>
      </c>
      <c r="I708" s="438" t="s">
        <v>38</v>
      </c>
      <c r="J708" s="439">
        <v>13643.0</v>
      </c>
      <c r="K708" s="440" t="s">
        <v>18148</v>
      </c>
    </row>
    <row r="709">
      <c r="A709" s="441">
        <v>45887.49791666667</v>
      </c>
      <c r="B709" s="442">
        <v>18183.0</v>
      </c>
      <c r="C709" s="442" t="s">
        <v>10396</v>
      </c>
      <c r="D709" s="442" t="s">
        <v>72</v>
      </c>
      <c r="E709" s="442" t="s">
        <v>19190</v>
      </c>
      <c r="F709" s="442" t="s">
        <v>48</v>
      </c>
      <c r="G709" s="442" t="s">
        <v>35</v>
      </c>
      <c r="H709" s="442" t="s">
        <v>65</v>
      </c>
      <c r="I709" s="442" t="s">
        <v>38</v>
      </c>
      <c r="J709" s="443">
        <v>13642.0</v>
      </c>
      <c r="K709" s="444" t="s">
        <v>18148</v>
      </c>
    </row>
    <row r="710">
      <c r="A710" s="437">
        <v>45887.613530092596</v>
      </c>
      <c r="B710" s="438">
        <v>16244.0</v>
      </c>
      <c r="C710" s="438" t="s">
        <v>4313</v>
      </c>
      <c r="D710" s="438" t="s">
        <v>4430</v>
      </c>
      <c r="E710" s="438" t="s">
        <v>10494</v>
      </c>
      <c r="F710" s="438" t="s">
        <v>48</v>
      </c>
      <c r="G710" s="438" t="s">
        <v>35</v>
      </c>
      <c r="H710" s="438" t="s">
        <v>92</v>
      </c>
      <c r="I710" s="438" t="s">
        <v>38</v>
      </c>
      <c r="J710" s="439">
        <v>-11744.0</v>
      </c>
      <c r="K710" s="440" t="s">
        <v>18148</v>
      </c>
    </row>
    <row r="711">
      <c r="A711" s="441">
        <v>45887.61415509259</v>
      </c>
      <c r="B711" s="442">
        <v>16244.0</v>
      </c>
      <c r="C711" s="442" t="s">
        <v>4313</v>
      </c>
      <c r="D711" s="442" t="s">
        <v>4430</v>
      </c>
      <c r="E711" s="442" t="s">
        <v>10494</v>
      </c>
      <c r="F711" s="442" t="s">
        <v>48</v>
      </c>
      <c r="G711" s="442" t="s">
        <v>35</v>
      </c>
      <c r="H711" s="442" t="s">
        <v>92</v>
      </c>
      <c r="I711" s="442" t="s">
        <v>38</v>
      </c>
      <c r="J711" s="443">
        <v>-11744.0</v>
      </c>
      <c r="K711" s="444" t="s">
        <v>18148</v>
      </c>
    </row>
    <row r="712">
      <c r="A712" s="437">
        <v>45887.614849537036</v>
      </c>
      <c r="B712" s="438">
        <v>16244.0</v>
      </c>
      <c r="C712" s="438" t="s">
        <v>4313</v>
      </c>
      <c r="D712" s="438" t="s">
        <v>4430</v>
      </c>
      <c r="E712" s="438" t="s">
        <v>10494</v>
      </c>
      <c r="F712" s="438" t="s">
        <v>48</v>
      </c>
      <c r="G712" s="438" t="s">
        <v>35</v>
      </c>
      <c r="H712" s="438" t="s">
        <v>92</v>
      </c>
      <c r="I712" s="438" t="s">
        <v>38</v>
      </c>
      <c r="J712" s="439">
        <v>-11744.0</v>
      </c>
      <c r="K712" s="440" t="s">
        <v>18148</v>
      </c>
    </row>
    <row r="713">
      <c r="A713" s="441">
        <v>45887.61931712963</v>
      </c>
      <c r="B713" s="442">
        <v>18190.0</v>
      </c>
      <c r="C713" s="442" t="s">
        <v>4313</v>
      </c>
      <c r="D713" s="442" t="s">
        <v>112</v>
      </c>
      <c r="E713" s="442" t="s">
        <v>19220</v>
      </c>
      <c r="F713" s="442" t="s">
        <v>48</v>
      </c>
      <c r="G713" s="442" t="s">
        <v>35</v>
      </c>
      <c r="H713" s="442" t="s">
        <v>92</v>
      </c>
      <c r="I713" s="442" t="s">
        <v>38</v>
      </c>
      <c r="J713" s="443">
        <v>13645.0</v>
      </c>
      <c r="K713" s="444" t="s">
        <v>18148</v>
      </c>
    </row>
    <row r="714">
      <c r="A714" s="437">
        <v>45888.32927083333</v>
      </c>
      <c r="B714" s="438">
        <v>18183.0</v>
      </c>
      <c r="C714" s="438" t="s">
        <v>10396</v>
      </c>
      <c r="D714" s="438" t="s">
        <v>72</v>
      </c>
      <c r="E714" s="438" t="s">
        <v>19190</v>
      </c>
      <c r="F714" s="438" t="s">
        <v>48</v>
      </c>
      <c r="G714" s="438" t="s">
        <v>35</v>
      </c>
      <c r="H714" s="438" t="s">
        <v>518</v>
      </c>
      <c r="I714" s="438" t="s">
        <v>38</v>
      </c>
      <c r="J714" s="439">
        <v>13642.0</v>
      </c>
      <c r="K714" s="440" t="s">
        <v>18148</v>
      </c>
    </row>
    <row r="715">
      <c r="A715" s="441">
        <v>45888.45443287037</v>
      </c>
      <c r="B715" s="442">
        <v>17266.0</v>
      </c>
      <c r="C715" s="442" t="s">
        <v>96</v>
      </c>
      <c r="D715" s="442" t="s">
        <v>165</v>
      </c>
      <c r="E715" s="442">
        <v>20138.0</v>
      </c>
      <c r="F715" s="442" t="s">
        <v>33</v>
      </c>
      <c r="G715" s="442" t="s">
        <v>35</v>
      </c>
      <c r="H715" s="442" t="s">
        <v>49</v>
      </c>
      <c r="I715" s="442" t="s">
        <v>38</v>
      </c>
      <c r="J715" s="443">
        <v>13646.0</v>
      </c>
      <c r="K715" s="444" t="s">
        <v>18148</v>
      </c>
    </row>
    <row r="716">
      <c r="A716" s="437">
        <v>45888.45453703704</v>
      </c>
      <c r="B716" s="438">
        <v>18129.0</v>
      </c>
      <c r="C716" s="438" t="s">
        <v>7885</v>
      </c>
      <c r="D716" s="438" t="s">
        <v>3441</v>
      </c>
      <c r="E716" s="438" t="s">
        <v>18859</v>
      </c>
      <c r="F716" s="438" t="s">
        <v>48</v>
      </c>
      <c r="G716" s="438" t="s">
        <v>35</v>
      </c>
      <c r="H716" s="438" t="s">
        <v>49</v>
      </c>
      <c r="I716" s="438" t="s">
        <v>38</v>
      </c>
      <c r="J716" s="439">
        <v>13648.0</v>
      </c>
      <c r="K716" s="440" t="s">
        <v>18148</v>
      </c>
    </row>
    <row r="717">
      <c r="A717" s="441">
        <v>45888.454560185186</v>
      </c>
      <c r="B717" s="442">
        <v>18185.0</v>
      </c>
      <c r="C717" s="442" t="s">
        <v>3645</v>
      </c>
      <c r="D717" s="442" t="s">
        <v>135</v>
      </c>
      <c r="E717" s="442">
        <v>20176.0</v>
      </c>
      <c r="F717" s="442" t="s">
        <v>48</v>
      </c>
      <c r="G717" s="442" t="s">
        <v>35</v>
      </c>
      <c r="H717" s="442" t="s">
        <v>49</v>
      </c>
      <c r="I717" s="442" t="s">
        <v>38</v>
      </c>
      <c r="J717" s="443">
        <v>13647.0</v>
      </c>
      <c r="K717" s="444" t="s">
        <v>18148</v>
      </c>
    </row>
    <row r="718">
      <c r="A718" s="437">
        <v>45888.45459490741</v>
      </c>
      <c r="B718" s="438">
        <v>18187.0</v>
      </c>
      <c r="C718" s="438" t="s">
        <v>19209</v>
      </c>
      <c r="D718" s="438" t="s">
        <v>91</v>
      </c>
      <c r="E718" s="438" t="s">
        <v>19210</v>
      </c>
      <c r="F718" s="438" t="s">
        <v>48</v>
      </c>
      <c r="G718" s="438" t="s">
        <v>35</v>
      </c>
      <c r="H718" s="438" t="s">
        <v>49</v>
      </c>
      <c r="I718" s="438" t="s">
        <v>38</v>
      </c>
      <c r="J718" s="439">
        <v>13649.0</v>
      </c>
      <c r="K718" s="440" t="s">
        <v>18148</v>
      </c>
    </row>
    <row r="719">
      <c r="A719" s="441">
        <v>45888.549722222226</v>
      </c>
      <c r="B719" s="442">
        <v>18167.0</v>
      </c>
      <c r="C719" s="442" t="s">
        <v>7736</v>
      </c>
      <c r="D719" s="442" t="s">
        <v>91</v>
      </c>
      <c r="E719" s="442" t="s">
        <v>19132</v>
      </c>
      <c r="F719" s="442" t="s">
        <v>48</v>
      </c>
      <c r="G719" s="442" t="s">
        <v>35</v>
      </c>
      <c r="H719" s="442" t="s">
        <v>49</v>
      </c>
      <c r="I719" s="442" t="s">
        <v>16899</v>
      </c>
      <c r="J719" s="443">
        <v>13650.0</v>
      </c>
      <c r="K719" s="444" t="s">
        <v>18148</v>
      </c>
    </row>
    <row r="720">
      <c r="A720" s="437">
        <v>45888.55017361111</v>
      </c>
      <c r="B720" s="438">
        <v>18200.0</v>
      </c>
      <c r="C720" s="438" t="s">
        <v>5650</v>
      </c>
      <c r="D720" s="438" t="s">
        <v>91</v>
      </c>
      <c r="E720" s="438" t="s">
        <v>19301</v>
      </c>
      <c r="F720" s="438" t="s">
        <v>48</v>
      </c>
      <c r="G720" s="438" t="s">
        <v>35</v>
      </c>
      <c r="H720" s="438" t="s">
        <v>49</v>
      </c>
      <c r="I720" s="438" t="s">
        <v>38</v>
      </c>
      <c r="J720" s="439">
        <v>13653.0</v>
      </c>
      <c r="K720" s="440" t="s">
        <v>18148</v>
      </c>
    </row>
    <row r="721">
      <c r="A721" s="441">
        <v>45888.55019675926</v>
      </c>
      <c r="B721" s="442">
        <v>18207.0</v>
      </c>
      <c r="C721" s="442" t="s">
        <v>693</v>
      </c>
      <c r="D721" s="442" t="s">
        <v>3441</v>
      </c>
      <c r="E721" s="442" t="s">
        <v>19328</v>
      </c>
      <c r="F721" s="442" t="s">
        <v>48</v>
      </c>
      <c r="G721" s="442" t="s">
        <v>35</v>
      </c>
      <c r="H721" s="442" t="s">
        <v>49</v>
      </c>
      <c r="I721" s="442" t="s">
        <v>38</v>
      </c>
      <c r="J721" s="443">
        <v>13654.0</v>
      </c>
      <c r="K721" s="444" t="s">
        <v>18148</v>
      </c>
    </row>
    <row r="722">
      <c r="A722" s="437">
        <v>45888.55021990741</v>
      </c>
      <c r="B722" s="438">
        <v>18192.0</v>
      </c>
      <c r="C722" s="438" t="s">
        <v>19230</v>
      </c>
      <c r="D722" s="438" t="s">
        <v>3441</v>
      </c>
      <c r="E722" s="438" t="s">
        <v>19231</v>
      </c>
      <c r="F722" s="438" t="s">
        <v>48</v>
      </c>
      <c r="G722" s="438" t="s">
        <v>35</v>
      </c>
      <c r="H722" s="438" t="s">
        <v>65</v>
      </c>
      <c r="I722" s="438" t="s">
        <v>38</v>
      </c>
      <c r="J722" s="439">
        <v>13651.0</v>
      </c>
      <c r="K722" s="440" t="s">
        <v>18148</v>
      </c>
    </row>
    <row r="723">
      <c r="A723" s="441">
        <v>45888.5502662037</v>
      </c>
      <c r="B723" s="442">
        <v>18199.0</v>
      </c>
      <c r="C723" s="442" t="s">
        <v>122</v>
      </c>
      <c r="D723" s="442" t="s">
        <v>3441</v>
      </c>
      <c r="E723" s="442" t="s">
        <v>19296</v>
      </c>
      <c r="F723" s="442" t="s">
        <v>48</v>
      </c>
      <c r="G723" s="442" t="s">
        <v>35</v>
      </c>
      <c r="H723" s="442" t="s">
        <v>49</v>
      </c>
      <c r="I723" s="442" t="s">
        <v>38</v>
      </c>
      <c r="J723" s="443">
        <v>13652.0</v>
      </c>
      <c r="K723" s="444" t="s">
        <v>18148</v>
      </c>
    </row>
    <row r="724">
      <c r="A724" s="437">
        <v>45888.65693287037</v>
      </c>
      <c r="B724" s="438">
        <v>18193.0</v>
      </c>
      <c r="C724" s="438" t="s">
        <v>19236</v>
      </c>
      <c r="D724" s="438" t="s">
        <v>72</v>
      </c>
      <c r="E724" s="438" t="s">
        <v>19237</v>
      </c>
      <c r="F724" s="438" t="s">
        <v>48</v>
      </c>
      <c r="G724" s="438" t="s">
        <v>35</v>
      </c>
      <c r="H724" s="438" t="s">
        <v>92</v>
      </c>
      <c r="I724" s="438" t="s">
        <v>38</v>
      </c>
      <c r="J724" s="439">
        <v>13655.0</v>
      </c>
      <c r="K724" s="440" t="s">
        <v>18148</v>
      </c>
    </row>
    <row r="725">
      <c r="A725" s="441">
        <v>45889.46008101852</v>
      </c>
      <c r="B725" s="442" t="s">
        <v>19335</v>
      </c>
      <c r="C725" s="442" t="s">
        <v>110</v>
      </c>
      <c r="D725" s="442" t="s">
        <v>47</v>
      </c>
      <c r="E725" s="442" t="s">
        <v>19336</v>
      </c>
      <c r="F725" s="442" t="s">
        <v>48</v>
      </c>
      <c r="G725" s="442" t="s">
        <v>35</v>
      </c>
      <c r="H725" s="442" t="s">
        <v>65</v>
      </c>
      <c r="I725" s="442" t="s">
        <v>38</v>
      </c>
      <c r="J725" s="443">
        <v>13656.0</v>
      </c>
      <c r="K725" s="444" t="s">
        <v>18148</v>
      </c>
    </row>
    <row r="726">
      <c r="A726" s="437">
        <v>45889.460173611114</v>
      </c>
      <c r="B726" s="438" t="s">
        <v>19331</v>
      </c>
      <c r="C726" s="438" t="s">
        <v>110</v>
      </c>
      <c r="D726" s="438" t="s">
        <v>72</v>
      </c>
      <c r="E726" s="438" t="s">
        <v>19332</v>
      </c>
      <c r="F726" s="438" t="s">
        <v>48</v>
      </c>
      <c r="G726" s="438" t="s">
        <v>35</v>
      </c>
      <c r="H726" s="438" t="s">
        <v>65</v>
      </c>
      <c r="I726" s="438" t="s">
        <v>38</v>
      </c>
      <c r="J726" s="439">
        <v>13656.0</v>
      </c>
      <c r="K726" s="440" t="s">
        <v>18148</v>
      </c>
    </row>
    <row r="727">
      <c r="A727" s="441">
        <v>45889.48590277778</v>
      </c>
      <c r="B727" s="442">
        <v>18138.0</v>
      </c>
      <c r="C727" s="442" t="s">
        <v>96</v>
      </c>
      <c r="D727" s="442" t="s">
        <v>17089</v>
      </c>
      <c r="E727" s="442">
        <v>20249.0</v>
      </c>
      <c r="F727" s="442" t="s">
        <v>48</v>
      </c>
      <c r="G727" s="442" t="s">
        <v>35</v>
      </c>
      <c r="H727" s="442" t="s">
        <v>49</v>
      </c>
      <c r="I727" s="442" t="s">
        <v>38</v>
      </c>
      <c r="J727" s="443">
        <v>13657.0</v>
      </c>
      <c r="K727" s="444" t="s">
        <v>18148</v>
      </c>
    </row>
    <row r="728">
      <c r="A728" s="437">
        <v>45889.59872685185</v>
      </c>
      <c r="B728" s="438">
        <v>18186.0</v>
      </c>
      <c r="C728" s="438" t="s">
        <v>18977</v>
      </c>
      <c r="D728" s="438" t="s">
        <v>72</v>
      </c>
      <c r="E728" s="438" t="s">
        <v>19203</v>
      </c>
      <c r="F728" s="438" t="s">
        <v>48</v>
      </c>
      <c r="G728" s="438" t="s">
        <v>35</v>
      </c>
      <c r="H728" s="438" t="s">
        <v>65</v>
      </c>
      <c r="I728" s="438" t="s">
        <v>38</v>
      </c>
      <c r="J728" s="439"/>
      <c r="K728" s="440" t="s">
        <v>18148</v>
      </c>
    </row>
    <row r="729">
      <c r="A729" s="441">
        <v>45889.59951388889</v>
      </c>
      <c r="B729" s="442">
        <v>18186.0</v>
      </c>
      <c r="C729" s="442" t="s">
        <v>18977</v>
      </c>
      <c r="D729" s="442" t="s">
        <v>72</v>
      </c>
      <c r="E729" s="442" t="s">
        <v>19203</v>
      </c>
      <c r="F729" s="442" t="s">
        <v>48</v>
      </c>
      <c r="G729" s="442" t="s">
        <v>35</v>
      </c>
      <c r="H729" s="442" t="s">
        <v>65</v>
      </c>
      <c r="I729" s="442" t="s">
        <v>38</v>
      </c>
      <c r="J729" s="443">
        <v>13658.0</v>
      </c>
      <c r="K729" s="444" t="s">
        <v>18148</v>
      </c>
    </row>
    <row r="730">
      <c r="A730" s="437">
        <v>45890.43315972222</v>
      </c>
      <c r="B730" s="438">
        <v>18215.0</v>
      </c>
      <c r="C730" s="438" t="s">
        <v>12692</v>
      </c>
      <c r="D730" s="438" t="s">
        <v>135</v>
      </c>
      <c r="E730" s="438">
        <v>20237.0</v>
      </c>
      <c r="F730" s="438" t="s">
        <v>48</v>
      </c>
      <c r="G730" s="438" t="s">
        <v>35</v>
      </c>
      <c r="H730" s="438" t="s">
        <v>92</v>
      </c>
      <c r="I730" s="438" t="s">
        <v>38</v>
      </c>
      <c r="J730" s="439">
        <v>13660.0</v>
      </c>
      <c r="K730" s="440" t="s">
        <v>18148</v>
      </c>
    </row>
    <row r="731">
      <c r="A731" s="441">
        <v>45890.474490740744</v>
      </c>
      <c r="B731" s="442">
        <v>18217.0</v>
      </c>
      <c r="C731" s="442" t="s">
        <v>4147</v>
      </c>
      <c r="D731" s="442" t="s">
        <v>72</v>
      </c>
      <c r="E731" s="442" t="s">
        <v>19379</v>
      </c>
      <c r="F731" s="442" t="s">
        <v>48</v>
      </c>
      <c r="G731" s="442" t="s">
        <v>35</v>
      </c>
      <c r="H731" s="442" t="s">
        <v>49</v>
      </c>
      <c r="I731" s="442" t="s">
        <v>38</v>
      </c>
      <c r="J731" s="443">
        <v>13669.0</v>
      </c>
      <c r="K731" s="444" t="s">
        <v>18148</v>
      </c>
    </row>
    <row r="732">
      <c r="A732" s="437">
        <v>45890.47454861111</v>
      </c>
      <c r="B732" s="438">
        <v>18206.0</v>
      </c>
      <c r="C732" s="438" t="s">
        <v>4472</v>
      </c>
      <c r="D732" s="438" t="s">
        <v>135</v>
      </c>
      <c r="E732" s="438">
        <v>20178.0</v>
      </c>
      <c r="F732" s="438" t="s">
        <v>48</v>
      </c>
      <c r="G732" s="438" t="s">
        <v>35</v>
      </c>
      <c r="H732" s="438" t="s">
        <v>49</v>
      </c>
      <c r="I732" s="438" t="s">
        <v>38</v>
      </c>
      <c r="J732" s="439">
        <v>13664.0</v>
      </c>
      <c r="K732" s="440" t="s">
        <v>18148</v>
      </c>
    </row>
    <row r="733">
      <c r="A733" s="441">
        <v>45890.474594907406</v>
      </c>
      <c r="B733" s="442">
        <v>18204.0</v>
      </c>
      <c r="C733" s="442" t="s">
        <v>96</v>
      </c>
      <c r="D733" s="442" t="s">
        <v>11957</v>
      </c>
      <c r="E733" s="442">
        <v>20247.0</v>
      </c>
      <c r="F733" s="442" t="s">
        <v>48</v>
      </c>
      <c r="G733" s="442" t="s">
        <v>35</v>
      </c>
      <c r="H733" s="442" t="s">
        <v>49</v>
      </c>
      <c r="I733" s="442" t="s">
        <v>38</v>
      </c>
      <c r="J733" s="443">
        <v>13663.0</v>
      </c>
      <c r="K733" s="444" t="s">
        <v>18148</v>
      </c>
    </row>
    <row r="734">
      <c r="A734" s="437">
        <v>45890.474652777775</v>
      </c>
      <c r="B734" s="438">
        <v>18194.0</v>
      </c>
      <c r="C734" s="438" t="s">
        <v>11116</v>
      </c>
      <c r="D734" s="438" t="s">
        <v>112</v>
      </c>
      <c r="E734" s="438" t="s">
        <v>19243</v>
      </c>
      <c r="F734" s="438" t="s">
        <v>48</v>
      </c>
      <c r="G734" s="438" t="s">
        <v>35</v>
      </c>
      <c r="H734" s="438" t="s">
        <v>49</v>
      </c>
      <c r="I734" s="438" t="s">
        <v>19108</v>
      </c>
      <c r="J734" s="439">
        <v>13665.0</v>
      </c>
      <c r="K734" s="440" t="s">
        <v>18148</v>
      </c>
    </row>
    <row r="735">
      <c r="A735" s="441">
        <v>45890.474803240744</v>
      </c>
      <c r="B735" s="442">
        <v>18168.0</v>
      </c>
      <c r="C735" s="442" t="s">
        <v>11288</v>
      </c>
      <c r="D735" s="442" t="s">
        <v>4097</v>
      </c>
      <c r="E735" s="442">
        <v>20256.0</v>
      </c>
      <c r="F735" s="442" t="s">
        <v>33</v>
      </c>
      <c r="G735" s="442" t="s">
        <v>35</v>
      </c>
      <c r="H735" s="442" t="s">
        <v>49</v>
      </c>
      <c r="I735" s="442" t="s">
        <v>38</v>
      </c>
      <c r="J735" s="443">
        <v>13662.0</v>
      </c>
      <c r="K735" s="444" t="s">
        <v>18148</v>
      </c>
    </row>
    <row r="736">
      <c r="A736" s="437">
        <v>45890.47484953704</v>
      </c>
      <c r="B736" s="438">
        <v>18221.0</v>
      </c>
      <c r="C736" s="438" t="s">
        <v>3762</v>
      </c>
      <c r="D736" s="438" t="s">
        <v>47</v>
      </c>
      <c r="E736" s="438" t="s">
        <v>19399</v>
      </c>
      <c r="F736" s="438" t="s">
        <v>48</v>
      </c>
      <c r="G736" s="438" t="s">
        <v>35</v>
      </c>
      <c r="H736" s="438" t="s">
        <v>65</v>
      </c>
      <c r="I736" s="438" t="s">
        <v>38</v>
      </c>
      <c r="J736" s="439">
        <v>13672.0</v>
      </c>
      <c r="K736" s="440" t="s">
        <v>18148</v>
      </c>
    </row>
    <row r="737">
      <c r="A737" s="441">
        <v>45890.47491898148</v>
      </c>
      <c r="B737" s="442">
        <v>18218.0</v>
      </c>
      <c r="C737" s="442" t="s">
        <v>10666</v>
      </c>
      <c r="D737" s="442" t="s">
        <v>6133</v>
      </c>
      <c r="E737" s="442" t="s">
        <v>19384</v>
      </c>
      <c r="F737" s="442" t="s">
        <v>48</v>
      </c>
      <c r="G737" s="442" t="s">
        <v>35</v>
      </c>
      <c r="H737" s="442" t="s">
        <v>65</v>
      </c>
      <c r="I737" s="442" t="s">
        <v>38</v>
      </c>
      <c r="J737" s="443">
        <v>13670.0</v>
      </c>
      <c r="K737" s="444" t="s">
        <v>18148</v>
      </c>
    </row>
    <row r="738">
      <c r="A738" s="437">
        <v>45890.474965277775</v>
      </c>
      <c r="B738" s="438">
        <v>18222.0</v>
      </c>
      <c r="C738" s="438" t="s">
        <v>19404</v>
      </c>
      <c r="D738" s="438" t="s">
        <v>85</v>
      </c>
      <c r="E738" s="438" t="s">
        <v>19405</v>
      </c>
      <c r="F738" s="438" t="s">
        <v>48</v>
      </c>
      <c r="G738" s="438" t="s">
        <v>35</v>
      </c>
      <c r="H738" s="438" t="s">
        <v>65</v>
      </c>
      <c r="I738" s="438" t="s">
        <v>38</v>
      </c>
      <c r="J738" s="439">
        <v>13671.0</v>
      </c>
      <c r="K738" s="440" t="s">
        <v>18148</v>
      </c>
    </row>
    <row r="739">
      <c r="A739" s="441">
        <v>45890.47497685185</v>
      </c>
      <c r="B739" s="442">
        <v>18213.0</v>
      </c>
      <c r="C739" s="442" t="s">
        <v>4587</v>
      </c>
      <c r="D739" s="442" t="s">
        <v>112</v>
      </c>
      <c r="E739" s="442" t="s">
        <v>19361</v>
      </c>
      <c r="F739" s="442" t="s">
        <v>48</v>
      </c>
      <c r="G739" s="442" t="s">
        <v>35</v>
      </c>
      <c r="H739" s="442" t="s">
        <v>65</v>
      </c>
      <c r="I739" s="442" t="s">
        <v>38</v>
      </c>
      <c r="J739" s="443">
        <v>13668.0</v>
      </c>
      <c r="K739" s="444" t="s">
        <v>18148</v>
      </c>
    </row>
    <row r="740">
      <c r="A740" s="437">
        <v>45890.4750462963</v>
      </c>
      <c r="B740" s="438">
        <v>18212.0</v>
      </c>
      <c r="C740" s="438" t="s">
        <v>19230</v>
      </c>
      <c r="D740" s="438" t="s">
        <v>3441</v>
      </c>
      <c r="E740" s="438" t="s">
        <v>19357</v>
      </c>
      <c r="F740" s="438" t="s">
        <v>48</v>
      </c>
      <c r="G740" s="438" t="s">
        <v>35</v>
      </c>
      <c r="H740" s="438" t="s">
        <v>65</v>
      </c>
      <c r="I740" s="438" t="s">
        <v>38</v>
      </c>
      <c r="J740" s="439">
        <v>13667.0</v>
      </c>
      <c r="K740" s="440" t="s">
        <v>18148</v>
      </c>
    </row>
    <row r="741">
      <c r="A741" s="441">
        <v>45890.47684027778</v>
      </c>
      <c r="B741" s="442">
        <v>18222.0</v>
      </c>
      <c r="C741" s="442" t="s">
        <v>19404</v>
      </c>
      <c r="D741" s="442" t="s">
        <v>85</v>
      </c>
      <c r="E741" s="442" t="s">
        <v>19405</v>
      </c>
      <c r="F741" s="442" t="s">
        <v>48</v>
      </c>
      <c r="G741" s="442" t="s">
        <v>35</v>
      </c>
      <c r="H741" s="442" t="s">
        <v>65</v>
      </c>
      <c r="I741" s="442" t="s">
        <v>38</v>
      </c>
      <c r="J741" s="443">
        <v>13671.0</v>
      </c>
      <c r="K741" s="444" t="s">
        <v>18148</v>
      </c>
    </row>
    <row r="742">
      <c r="A742" s="437">
        <v>45890.47692129629</v>
      </c>
      <c r="B742" s="438">
        <v>18222.0</v>
      </c>
      <c r="C742" s="438" t="s">
        <v>19404</v>
      </c>
      <c r="D742" s="438" t="s">
        <v>85</v>
      </c>
      <c r="E742" s="438" t="s">
        <v>19405</v>
      </c>
      <c r="F742" s="438" t="s">
        <v>48</v>
      </c>
      <c r="G742" s="438" t="s">
        <v>35</v>
      </c>
      <c r="H742" s="438" t="s">
        <v>65</v>
      </c>
      <c r="I742" s="438" t="s">
        <v>38</v>
      </c>
      <c r="J742" s="439">
        <v>13671.0</v>
      </c>
      <c r="K742" s="440" t="s">
        <v>18148</v>
      </c>
    </row>
    <row r="743">
      <c r="A743" s="441">
        <v>45890.47702546296</v>
      </c>
      <c r="B743" s="442">
        <v>18213.0</v>
      </c>
      <c r="C743" s="442" t="s">
        <v>4587</v>
      </c>
      <c r="D743" s="442" t="s">
        <v>112</v>
      </c>
      <c r="E743" s="442" t="s">
        <v>19361</v>
      </c>
      <c r="F743" s="442" t="s">
        <v>48</v>
      </c>
      <c r="G743" s="442" t="s">
        <v>35</v>
      </c>
      <c r="H743" s="442" t="s">
        <v>65</v>
      </c>
      <c r="I743" s="442" t="s">
        <v>38</v>
      </c>
      <c r="J743" s="443">
        <v>13668.0</v>
      </c>
      <c r="K743" s="444" t="s">
        <v>18148</v>
      </c>
    </row>
    <row r="744">
      <c r="A744" s="437">
        <v>45890.477118055554</v>
      </c>
      <c r="B744" s="438">
        <v>18211.0</v>
      </c>
      <c r="C744" s="438" t="s">
        <v>7868</v>
      </c>
      <c r="D744" s="438" t="s">
        <v>72</v>
      </c>
      <c r="E744" s="438" t="s">
        <v>19353</v>
      </c>
      <c r="F744" s="438" t="s">
        <v>48</v>
      </c>
      <c r="G744" s="438" t="s">
        <v>35</v>
      </c>
      <c r="H744" s="438" t="s">
        <v>65</v>
      </c>
      <c r="I744" s="438" t="s">
        <v>38</v>
      </c>
      <c r="J744" s="439">
        <v>13666.0</v>
      </c>
      <c r="K744" s="440" t="s">
        <v>18148</v>
      </c>
    </row>
    <row r="745">
      <c r="A745" s="441">
        <v>45890.477268518516</v>
      </c>
      <c r="B745" s="442">
        <v>18212.0</v>
      </c>
      <c r="C745" s="442" t="s">
        <v>19230</v>
      </c>
      <c r="D745" s="442" t="s">
        <v>3441</v>
      </c>
      <c r="E745" s="442" t="s">
        <v>19357</v>
      </c>
      <c r="F745" s="442" t="s">
        <v>48</v>
      </c>
      <c r="G745" s="442" t="s">
        <v>35</v>
      </c>
      <c r="H745" s="442" t="s">
        <v>65</v>
      </c>
      <c r="I745" s="442" t="s">
        <v>38</v>
      </c>
      <c r="J745" s="443">
        <v>13667.0</v>
      </c>
      <c r="K745" s="444" t="s">
        <v>18148</v>
      </c>
    </row>
    <row r="746">
      <c r="A746" s="437">
        <v>45890.60303240741</v>
      </c>
      <c r="B746" s="438">
        <v>18181.0</v>
      </c>
      <c r="C746" s="438" t="s">
        <v>19179</v>
      </c>
      <c r="D746" s="438" t="s">
        <v>91</v>
      </c>
      <c r="E746" s="438" t="s">
        <v>19180</v>
      </c>
      <c r="F746" s="438" t="s">
        <v>48</v>
      </c>
      <c r="G746" s="438" t="s">
        <v>35</v>
      </c>
      <c r="H746" s="438" t="s">
        <v>49</v>
      </c>
      <c r="I746" s="438" t="s">
        <v>1184</v>
      </c>
      <c r="J746" s="439">
        <v>13673.0</v>
      </c>
      <c r="K746" s="440" t="s">
        <v>18148</v>
      </c>
    </row>
    <row r="747">
      <c r="A747" s="441">
        <v>45890.604895833334</v>
      </c>
      <c r="B747" s="442">
        <v>18205.0</v>
      </c>
      <c r="C747" s="442" t="s">
        <v>104</v>
      </c>
      <c r="D747" s="442" t="s">
        <v>91</v>
      </c>
      <c r="E747" s="442" t="s">
        <v>19320</v>
      </c>
      <c r="F747" s="442" t="s">
        <v>48</v>
      </c>
      <c r="G747" s="442" t="s">
        <v>35</v>
      </c>
      <c r="H747" s="442" t="s">
        <v>49</v>
      </c>
      <c r="I747" s="442" t="s">
        <v>1184</v>
      </c>
      <c r="J747" s="443">
        <v>13674.0</v>
      </c>
      <c r="K747" s="444" t="s">
        <v>18148</v>
      </c>
    </row>
    <row r="748">
      <c r="A748" s="437">
        <v>45890.60643518518</v>
      </c>
      <c r="B748" s="438" t="s">
        <v>19344</v>
      </c>
      <c r="C748" s="438" t="s">
        <v>3888</v>
      </c>
      <c r="D748" s="438" t="s">
        <v>3441</v>
      </c>
      <c r="E748" s="438" t="s">
        <v>19345</v>
      </c>
      <c r="F748" s="438" t="s">
        <v>48</v>
      </c>
      <c r="G748" s="438" t="s">
        <v>35</v>
      </c>
      <c r="H748" s="438" t="s">
        <v>49</v>
      </c>
      <c r="I748" s="438" t="s">
        <v>2978</v>
      </c>
      <c r="J748" s="439">
        <v>13675.0</v>
      </c>
      <c r="K748" s="440" t="s">
        <v>18148</v>
      </c>
    </row>
    <row r="749">
      <c r="A749" s="441">
        <v>45890.606458333335</v>
      </c>
      <c r="B749" s="442" t="s">
        <v>19339</v>
      </c>
      <c r="C749" s="442" t="s">
        <v>3888</v>
      </c>
      <c r="D749" s="442" t="s">
        <v>85</v>
      </c>
      <c r="E749" s="442" t="s">
        <v>19340</v>
      </c>
      <c r="F749" s="442" t="s">
        <v>48</v>
      </c>
      <c r="G749" s="442" t="s">
        <v>35</v>
      </c>
      <c r="H749" s="442" t="s">
        <v>49</v>
      </c>
      <c r="I749" s="442" t="s">
        <v>2978</v>
      </c>
      <c r="J749" s="443">
        <v>13675.0</v>
      </c>
      <c r="K749" s="444" t="s">
        <v>18148</v>
      </c>
    </row>
    <row r="750">
      <c r="A750" s="437">
        <v>45891.445972222224</v>
      </c>
      <c r="B750" s="438">
        <v>18216.0</v>
      </c>
      <c r="C750" s="438" t="s">
        <v>19374</v>
      </c>
      <c r="D750" s="438" t="s">
        <v>112</v>
      </c>
      <c r="E750" s="438" t="s">
        <v>19375</v>
      </c>
      <c r="F750" s="438" t="s">
        <v>48</v>
      </c>
      <c r="G750" s="438" t="s">
        <v>35</v>
      </c>
      <c r="H750" s="438" t="s">
        <v>92</v>
      </c>
      <c r="I750" s="438" t="s">
        <v>38</v>
      </c>
      <c r="J750" s="439">
        <v>13676.0</v>
      </c>
      <c r="K750" s="440" t="s">
        <v>18148</v>
      </c>
    </row>
    <row r="751">
      <c r="A751" s="441">
        <v>45891.47761574074</v>
      </c>
      <c r="B751" s="442">
        <v>18214.0</v>
      </c>
      <c r="C751" s="442" t="s">
        <v>10396</v>
      </c>
      <c r="D751" s="442" t="s">
        <v>91</v>
      </c>
      <c r="E751" s="442" t="s">
        <v>19365</v>
      </c>
      <c r="F751" s="442" t="s">
        <v>48</v>
      </c>
      <c r="G751" s="442" t="s">
        <v>35</v>
      </c>
      <c r="H751" s="442" t="s">
        <v>518</v>
      </c>
      <c r="I751" s="442" t="s">
        <v>38</v>
      </c>
      <c r="J751" s="443">
        <v>13677.0</v>
      </c>
      <c r="K751" s="444" t="s">
        <v>18148</v>
      </c>
    </row>
    <row r="752">
      <c r="A752" s="437">
        <v>45891.477789351855</v>
      </c>
      <c r="B752" s="438">
        <v>17641.0</v>
      </c>
      <c r="C752" s="438" t="s">
        <v>16060</v>
      </c>
      <c r="D752" s="438" t="s">
        <v>4430</v>
      </c>
      <c r="E752" s="438" t="s">
        <v>16061</v>
      </c>
      <c r="F752" s="438" t="s">
        <v>48</v>
      </c>
      <c r="G752" s="438" t="s">
        <v>35</v>
      </c>
      <c r="H752" s="438" t="s">
        <v>65</v>
      </c>
      <c r="I752" s="438" t="s">
        <v>38</v>
      </c>
      <c r="J752" s="439">
        <v>13678.0</v>
      </c>
      <c r="K752" s="440" t="s">
        <v>18148</v>
      </c>
    </row>
    <row r="753">
      <c r="A753" s="441">
        <v>45891.54809027778</v>
      </c>
      <c r="B753" s="442">
        <v>18162.0</v>
      </c>
      <c r="C753" s="442" t="s">
        <v>5392</v>
      </c>
      <c r="D753" s="442" t="s">
        <v>91</v>
      </c>
      <c r="E753" s="442" t="s">
        <v>19107</v>
      </c>
      <c r="F753" s="442" t="s">
        <v>48</v>
      </c>
      <c r="G753" s="442" t="s">
        <v>35</v>
      </c>
      <c r="H753" s="442" t="s">
        <v>49</v>
      </c>
      <c r="I753" s="442" t="s">
        <v>19108</v>
      </c>
      <c r="J753" s="443">
        <v>13681.0</v>
      </c>
      <c r="K753" s="444" t="s">
        <v>18148</v>
      </c>
    </row>
    <row r="754">
      <c r="A754" s="437">
        <v>45891.54814814815</v>
      </c>
      <c r="B754" s="438">
        <v>18166.0</v>
      </c>
      <c r="C754" s="438" t="s">
        <v>19127</v>
      </c>
      <c r="D754" s="438" t="s">
        <v>91</v>
      </c>
      <c r="E754" s="438" t="s">
        <v>19128</v>
      </c>
      <c r="F754" s="438" t="s">
        <v>48</v>
      </c>
      <c r="G754" s="438" t="s">
        <v>35</v>
      </c>
      <c r="H754" s="438" t="s">
        <v>65</v>
      </c>
      <c r="I754" s="438" t="s">
        <v>38</v>
      </c>
      <c r="J754" s="439">
        <v>13680.0</v>
      </c>
      <c r="K754" s="440" t="s">
        <v>18148</v>
      </c>
    </row>
    <row r="755">
      <c r="A755" s="441">
        <v>45894.61158564815</v>
      </c>
      <c r="B755" s="442" t="s">
        <v>19591</v>
      </c>
      <c r="C755" s="442" t="s">
        <v>4885</v>
      </c>
      <c r="D755" s="442" t="s">
        <v>4430</v>
      </c>
      <c r="E755" s="442" t="s">
        <v>19592</v>
      </c>
      <c r="F755" s="442" t="s">
        <v>48</v>
      </c>
      <c r="G755" s="442" t="s">
        <v>35</v>
      </c>
      <c r="H755" s="442" t="s">
        <v>92</v>
      </c>
      <c r="I755" s="442" t="s">
        <v>38</v>
      </c>
      <c r="J755" s="443">
        <v>13685.0</v>
      </c>
      <c r="K755" s="444" t="s">
        <v>18148</v>
      </c>
    </row>
    <row r="756">
      <c r="A756" s="437">
        <v>45894.61158564815</v>
      </c>
      <c r="B756" s="438" t="s">
        <v>19586</v>
      </c>
      <c r="C756" s="438" t="s">
        <v>4885</v>
      </c>
      <c r="D756" s="438" t="s">
        <v>6133</v>
      </c>
      <c r="E756" s="438" t="s">
        <v>19587</v>
      </c>
      <c r="F756" s="438" t="s">
        <v>48</v>
      </c>
      <c r="G756" s="438" t="s">
        <v>35</v>
      </c>
      <c r="H756" s="438" t="s">
        <v>92</v>
      </c>
      <c r="I756" s="438" t="s">
        <v>38</v>
      </c>
      <c r="J756" s="439">
        <v>13685.0</v>
      </c>
      <c r="K756" s="440" t="s">
        <v>18148</v>
      </c>
    </row>
    <row r="757">
      <c r="A757" s="441">
        <v>45894.611608796295</v>
      </c>
      <c r="B757" s="442" t="s">
        <v>19603</v>
      </c>
      <c r="C757" s="442" t="s">
        <v>4885</v>
      </c>
      <c r="D757" s="442" t="s">
        <v>91</v>
      </c>
      <c r="E757" s="442" t="s">
        <v>19604</v>
      </c>
      <c r="F757" s="442" t="s">
        <v>48</v>
      </c>
      <c r="G757" s="442" t="s">
        <v>35</v>
      </c>
      <c r="H757" s="442" t="s">
        <v>92</v>
      </c>
      <c r="I757" s="442" t="s">
        <v>38</v>
      </c>
      <c r="J757" s="443">
        <v>13685.0</v>
      </c>
      <c r="K757" s="444" t="s">
        <v>18148</v>
      </c>
    </row>
    <row r="758">
      <c r="A758" s="437">
        <v>45894.611655092594</v>
      </c>
      <c r="B758" s="438" t="s">
        <v>19595</v>
      </c>
      <c r="C758" s="438" t="s">
        <v>4885</v>
      </c>
      <c r="D758" s="438" t="s">
        <v>91</v>
      </c>
      <c r="E758" s="438" t="s">
        <v>19596</v>
      </c>
      <c r="F758" s="438" t="s">
        <v>48</v>
      </c>
      <c r="G758" s="438" t="s">
        <v>35</v>
      </c>
      <c r="H758" s="438" t="s">
        <v>92</v>
      </c>
      <c r="I758" s="438" t="s">
        <v>38</v>
      </c>
      <c r="J758" s="439">
        <v>13685.0</v>
      </c>
      <c r="K758" s="440" t="s">
        <v>18148</v>
      </c>
    </row>
    <row r="759">
      <c r="A759" s="441">
        <v>45894.611655092594</v>
      </c>
      <c r="B759" s="442" t="s">
        <v>19599</v>
      </c>
      <c r="C759" s="442" t="s">
        <v>4885</v>
      </c>
      <c r="D759" s="442" t="s">
        <v>91</v>
      </c>
      <c r="E759" s="442" t="s">
        <v>19600</v>
      </c>
      <c r="F759" s="442" t="s">
        <v>48</v>
      </c>
      <c r="G759" s="442" t="s">
        <v>35</v>
      </c>
      <c r="H759" s="442" t="s">
        <v>92</v>
      </c>
      <c r="I759" s="442" t="s">
        <v>38</v>
      </c>
      <c r="J759" s="443">
        <v>13685.0</v>
      </c>
      <c r="K759" s="444" t="s">
        <v>18148</v>
      </c>
    </row>
    <row r="760">
      <c r="A760" s="437">
        <v>45894.62836805556</v>
      </c>
      <c r="B760" s="438" t="s">
        <v>19607</v>
      </c>
      <c r="C760" s="438" t="s">
        <v>19608</v>
      </c>
      <c r="D760" s="438" t="s">
        <v>3441</v>
      </c>
      <c r="E760" s="438" t="s">
        <v>19609</v>
      </c>
      <c r="F760" s="438" t="s">
        <v>48</v>
      </c>
      <c r="G760" s="438" t="s">
        <v>35</v>
      </c>
      <c r="H760" s="438" t="s">
        <v>49</v>
      </c>
      <c r="I760" s="438" t="s">
        <v>38</v>
      </c>
      <c r="J760" s="439">
        <v>13686.0</v>
      </c>
      <c r="K760" s="440" t="s">
        <v>18148</v>
      </c>
    </row>
    <row r="761">
      <c r="A761" s="441">
        <v>45894.62836805556</v>
      </c>
      <c r="B761" s="442" t="s">
        <v>19613</v>
      </c>
      <c r="C761" s="442" t="s">
        <v>19608</v>
      </c>
      <c r="D761" s="442" t="s">
        <v>3441</v>
      </c>
      <c r="E761" s="442" t="s">
        <v>19614</v>
      </c>
      <c r="F761" s="442" t="s">
        <v>48</v>
      </c>
      <c r="G761" s="442" t="s">
        <v>35</v>
      </c>
      <c r="H761" s="442" t="s">
        <v>49</v>
      </c>
      <c r="I761" s="442" t="s">
        <v>38</v>
      </c>
      <c r="J761" s="443">
        <v>13686.0</v>
      </c>
      <c r="K761" s="444" t="s">
        <v>18148</v>
      </c>
    </row>
    <row r="762">
      <c r="A762" s="437">
        <v>45895.46444444444</v>
      </c>
      <c r="B762" s="438" t="s">
        <v>19429</v>
      </c>
      <c r="C762" s="438" t="s">
        <v>5047</v>
      </c>
      <c r="D762" s="438" t="s">
        <v>72</v>
      </c>
      <c r="E762" s="438" t="s">
        <v>19430</v>
      </c>
      <c r="F762" s="438" t="s">
        <v>48</v>
      </c>
      <c r="G762" s="438" t="s">
        <v>35</v>
      </c>
      <c r="H762" s="438" t="s">
        <v>37</v>
      </c>
      <c r="I762" s="438" t="s">
        <v>38</v>
      </c>
      <c r="J762" s="439">
        <v>13701.0</v>
      </c>
      <c r="K762" s="440" t="s">
        <v>18148</v>
      </c>
    </row>
    <row r="763">
      <c r="A763" s="441">
        <v>45895.464479166665</v>
      </c>
      <c r="B763" s="442" t="s">
        <v>19424</v>
      </c>
      <c r="C763" s="442" t="s">
        <v>5047</v>
      </c>
      <c r="D763" s="442" t="s">
        <v>91</v>
      </c>
      <c r="E763" s="442" t="s">
        <v>19425</v>
      </c>
      <c r="F763" s="442" t="s">
        <v>48</v>
      </c>
      <c r="G763" s="442" t="s">
        <v>35</v>
      </c>
      <c r="H763" s="442" t="s">
        <v>37</v>
      </c>
      <c r="I763" s="442" t="s">
        <v>38</v>
      </c>
      <c r="J763" s="443">
        <v>13701.0</v>
      </c>
      <c r="K763" s="444" t="s">
        <v>18148</v>
      </c>
    </row>
    <row r="764">
      <c r="A764" s="437">
        <v>45895.46450231481</v>
      </c>
      <c r="B764" s="438" t="s">
        <v>19433</v>
      </c>
      <c r="C764" s="438" t="s">
        <v>5047</v>
      </c>
      <c r="D764" s="438" t="s">
        <v>91</v>
      </c>
      <c r="E764" s="438" t="s">
        <v>19434</v>
      </c>
      <c r="F764" s="438" t="s">
        <v>48</v>
      </c>
      <c r="G764" s="438" t="s">
        <v>35</v>
      </c>
      <c r="H764" s="438" t="s">
        <v>37</v>
      </c>
      <c r="I764" s="438" t="s">
        <v>38</v>
      </c>
      <c r="J764" s="439">
        <v>13701.0</v>
      </c>
      <c r="K764" s="440" t="s">
        <v>18148</v>
      </c>
    </row>
    <row r="765">
      <c r="A765" s="441">
        <v>45895.46467592593</v>
      </c>
      <c r="B765" s="442">
        <v>18175.0</v>
      </c>
      <c r="C765" s="442" t="s">
        <v>10447</v>
      </c>
      <c r="D765" s="442" t="s">
        <v>3395</v>
      </c>
      <c r="E765" s="442" t="s">
        <v>19150</v>
      </c>
      <c r="F765" s="442" t="s">
        <v>48</v>
      </c>
      <c r="G765" s="442" t="s">
        <v>35</v>
      </c>
      <c r="H765" s="442" t="s">
        <v>65</v>
      </c>
      <c r="I765" s="442" t="s">
        <v>38</v>
      </c>
      <c r="J765" s="443">
        <v>13688.0</v>
      </c>
      <c r="K765" s="444" t="s">
        <v>18148</v>
      </c>
    </row>
    <row r="766">
      <c r="A766" s="437">
        <v>45895.4646875</v>
      </c>
      <c r="B766" s="438">
        <v>18165.0</v>
      </c>
      <c r="C766" s="438" t="s">
        <v>19122</v>
      </c>
      <c r="D766" s="438" t="s">
        <v>3441</v>
      </c>
      <c r="E766" s="438" t="s">
        <v>19123</v>
      </c>
      <c r="F766" s="438" t="s">
        <v>48</v>
      </c>
      <c r="G766" s="438" t="s">
        <v>35</v>
      </c>
      <c r="H766" s="438" t="s">
        <v>65</v>
      </c>
      <c r="I766" s="438" t="s">
        <v>38</v>
      </c>
      <c r="J766" s="439">
        <v>13687.0</v>
      </c>
      <c r="K766" s="440" t="s">
        <v>18148</v>
      </c>
    </row>
    <row r="767">
      <c r="A767" s="441">
        <v>45895.46475694444</v>
      </c>
      <c r="B767" s="442" t="s">
        <v>19626</v>
      </c>
      <c r="C767" s="442" t="s">
        <v>16578</v>
      </c>
      <c r="D767" s="442" t="s">
        <v>3441</v>
      </c>
      <c r="E767" s="442" t="s">
        <v>19627</v>
      </c>
      <c r="F767" s="442" t="s">
        <v>48</v>
      </c>
      <c r="G767" s="442" t="s">
        <v>35</v>
      </c>
      <c r="H767" s="442" t="s">
        <v>65</v>
      </c>
      <c r="I767" s="442" t="s">
        <v>38</v>
      </c>
      <c r="J767" s="443">
        <v>13689.0</v>
      </c>
      <c r="K767" s="444" t="s">
        <v>18148</v>
      </c>
    </row>
    <row r="768">
      <c r="A768" s="437">
        <v>45895.464791666665</v>
      </c>
      <c r="B768" s="438" t="s">
        <v>19630</v>
      </c>
      <c r="C768" s="438" t="s">
        <v>16578</v>
      </c>
      <c r="D768" s="438" t="s">
        <v>72</v>
      </c>
      <c r="E768" s="438" t="s">
        <v>19631</v>
      </c>
      <c r="F768" s="438" t="s">
        <v>48</v>
      </c>
      <c r="G768" s="438" t="s">
        <v>35</v>
      </c>
      <c r="H768" s="438" t="s">
        <v>65</v>
      </c>
      <c r="I768" s="438" t="s">
        <v>38</v>
      </c>
      <c r="J768" s="439">
        <v>13689.0</v>
      </c>
      <c r="K768" s="440" t="s">
        <v>18148</v>
      </c>
    </row>
    <row r="769">
      <c r="A769" s="441">
        <v>45895.464849537035</v>
      </c>
      <c r="B769" s="442" t="s">
        <v>19638</v>
      </c>
      <c r="C769" s="442" t="s">
        <v>3762</v>
      </c>
      <c r="D769" s="442" t="s">
        <v>112</v>
      </c>
      <c r="E769" s="442" t="s">
        <v>19639</v>
      </c>
      <c r="F769" s="442" t="s">
        <v>48</v>
      </c>
      <c r="G769" s="442" t="s">
        <v>35</v>
      </c>
      <c r="H769" s="442" t="s">
        <v>65</v>
      </c>
      <c r="I769" s="442" t="s">
        <v>38</v>
      </c>
      <c r="J769" s="443">
        <v>13690.0</v>
      </c>
      <c r="K769" s="444" t="s">
        <v>18148</v>
      </c>
    </row>
    <row r="770">
      <c r="A770" s="437">
        <v>45895.46488425926</v>
      </c>
      <c r="B770" s="438" t="s">
        <v>19634</v>
      </c>
      <c r="C770" s="438" t="s">
        <v>3762</v>
      </c>
      <c r="D770" s="438" t="s">
        <v>47</v>
      </c>
      <c r="E770" s="438" t="s">
        <v>19635</v>
      </c>
      <c r="F770" s="438" t="s">
        <v>48</v>
      </c>
      <c r="G770" s="438" t="s">
        <v>35</v>
      </c>
      <c r="H770" s="438" t="s">
        <v>65</v>
      </c>
      <c r="I770" s="438" t="s">
        <v>38</v>
      </c>
      <c r="J770" s="439">
        <v>13690.0</v>
      </c>
      <c r="K770" s="440" t="s">
        <v>18148</v>
      </c>
    </row>
    <row r="771">
      <c r="A771" s="441">
        <v>45895.46498842593</v>
      </c>
      <c r="B771" s="442" t="s">
        <v>19703</v>
      </c>
      <c r="C771" s="442" t="s">
        <v>18643</v>
      </c>
      <c r="D771" s="442" t="s">
        <v>3441</v>
      </c>
      <c r="E771" s="442" t="s">
        <v>19704</v>
      </c>
      <c r="F771" s="442" t="s">
        <v>48</v>
      </c>
      <c r="G771" s="442" t="s">
        <v>35</v>
      </c>
      <c r="H771" s="442" t="s">
        <v>65</v>
      </c>
      <c r="I771" s="442" t="s">
        <v>38</v>
      </c>
      <c r="J771" s="443">
        <v>13691.0</v>
      </c>
      <c r="K771" s="444" t="s">
        <v>18148</v>
      </c>
    </row>
    <row r="772">
      <c r="A772" s="437">
        <v>45895.46503472222</v>
      </c>
      <c r="B772" s="438">
        <v>18272.0</v>
      </c>
      <c r="C772" s="438" t="s">
        <v>14370</v>
      </c>
      <c r="D772" s="438" t="s">
        <v>3441</v>
      </c>
      <c r="E772" s="438" t="s">
        <v>19714</v>
      </c>
      <c r="F772" s="438" t="s">
        <v>48</v>
      </c>
      <c r="G772" s="438" t="s">
        <v>35</v>
      </c>
      <c r="H772" s="438" t="s">
        <v>65</v>
      </c>
      <c r="I772" s="438" t="s">
        <v>38</v>
      </c>
      <c r="J772" s="439">
        <v>13692.0</v>
      </c>
      <c r="K772" s="440" t="s">
        <v>18148</v>
      </c>
    </row>
    <row r="773">
      <c r="A773" s="441">
        <v>45895.46517361111</v>
      </c>
      <c r="B773" s="442">
        <v>18220.0</v>
      </c>
      <c r="C773" s="442" t="s">
        <v>122</v>
      </c>
      <c r="D773" s="442" t="s">
        <v>112</v>
      </c>
      <c r="E773" s="442" t="s">
        <v>19394</v>
      </c>
      <c r="F773" s="442" t="s">
        <v>48</v>
      </c>
      <c r="G773" s="442" t="s">
        <v>35</v>
      </c>
      <c r="H773" s="442" t="s">
        <v>49</v>
      </c>
      <c r="I773" s="442" t="s">
        <v>38</v>
      </c>
      <c r="J773" s="443">
        <v>13693.0</v>
      </c>
      <c r="K773" s="444" t="s">
        <v>18148</v>
      </c>
    </row>
    <row r="774">
      <c r="A774" s="437">
        <v>45895.46518518519</v>
      </c>
      <c r="B774" s="438">
        <v>18233.0</v>
      </c>
      <c r="C774" s="438" t="s">
        <v>96</v>
      </c>
      <c r="D774" s="438" t="s">
        <v>85</v>
      </c>
      <c r="E774" s="438" t="s">
        <v>19464</v>
      </c>
      <c r="F774" s="438" t="s">
        <v>48</v>
      </c>
      <c r="G774" s="438" t="s">
        <v>35</v>
      </c>
      <c r="H774" s="438" t="s">
        <v>49</v>
      </c>
      <c r="I774" s="438" t="s">
        <v>38</v>
      </c>
      <c r="J774" s="439">
        <v>13694.0</v>
      </c>
      <c r="K774" s="440" t="s">
        <v>18148</v>
      </c>
    </row>
    <row r="775">
      <c r="A775" s="441">
        <v>45895.465266203704</v>
      </c>
      <c r="B775" s="442">
        <v>18240.0</v>
      </c>
      <c r="C775" s="442" t="s">
        <v>19497</v>
      </c>
      <c r="D775" s="442" t="s">
        <v>3441</v>
      </c>
      <c r="E775" s="442" t="s">
        <v>19498</v>
      </c>
      <c r="F775" s="442" t="s">
        <v>48</v>
      </c>
      <c r="G775" s="442" t="s">
        <v>35</v>
      </c>
      <c r="H775" s="442" t="s">
        <v>49</v>
      </c>
      <c r="I775" s="442" t="s">
        <v>38</v>
      </c>
      <c r="J775" s="443">
        <v>13696.0</v>
      </c>
      <c r="K775" s="444" t="s">
        <v>18148</v>
      </c>
    </row>
    <row r="776">
      <c r="A776" s="437">
        <v>45895.46534722222</v>
      </c>
      <c r="B776" s="438">
        <v>18242.0</v>
      </c>
      <c r="C776" s="438" t="s">
        <v>96</v>
      </c>
      <c r="D776" s="438" t="s">
        <v>112</v>
      </c>
      <c r="E776" s="438" t="s">
        <v>19507</v>
      </c>
      <c r="F776" s="438" t="s">
        <v>48</v>
      </c>
      <c r="G776" s="438" t="s">
        <v>35</v>
      </c>
      <c r="H776" s="438" t="s">
        <v>49</v>
      </c>
      <c r="I776" s="438" t="s">
        <v>38</v>
      </c>
      <c r="J776" s="439">
        <v>13697.0</v>
      </c>
      <c r="K776" s="440" t="s">
        <v>18148</v>
      </c>
    </row>
    <row r="777">
      <c r="A777" s="441">
        <v>45895.4653587963</v>
      </c>
      <c r="B777" s="442">
        <v>18246.0</v>
      </c>
      <c r="C777" s="442" t="s">
        <v>10366</v>
      </c>
      <c r="D777" s="442" t="s">
        <v>3441</v>
      </c>
      <c r="E777" s="442" t="s">
        <v>19537</v>
      </c>
      <c r="F777" s="442" t="s">
        <v>48</v>
      </c>
      <c r="G777" s="442" t="s">
        <v>35</v>
      </c>
      <c r="H777" s="442" t="s">
        <v>49</v>
      </c>
      <c r="I777" s="442" t="s">
        <v>38</v>
      </c>
      <c r="J777" s="443">
        <v>13698.0</v>
      </c>
      <c r="K777" s="444" t="s">
        <v>18148</v>
      </c>
    </row>
    <row r="778">
      <c r="A778" s="437">
        <v>45895.4653587963</v>
      </c>
      <c r="B778" s="438">
        <v>18237.0</v>
      </c>
      <c r="C778" s="438" t="s">
        <v>96</v>
      </c>
      <c r="D778" s="438" t="s">
        <v>47</v>
      </c>
      <c r="E778" s="438" t="s">
        <v>19481</v>
      </c>
      <c r="F778" s="438" t="s">
        <v>48</v>
      </c>
      <c r="G778" s="438" t="s">
        <v>35</v>
      </c>
      <c r="H778" s="438" t="s">
        <v>49</v>
      </c>
      <c r="I778" s="438" t="s">
        <v>38</v>
      </c>
      <c r="J778" s="439">
        <v>13695.0</v>
      </c>
      <c r="K778" s="440" t="s">
        <v>18148</v>
      </c>
    </row>
    <row r="779">
      <c r="A779" s="441">
        <v>45895.46542824074</v>
      </c>
      <c r="B779" s="442">
        <v>18256.0</v>
      </c>
      <c r="C779" s="442" t="s">
        <v>11507</v>
      </c>
      <c r="D779" s="442" t="s">
        <v>3441</v>
      </c>
      <c r="E779" s="442" t="s">
        <v>19622</v>
      </c>
      <c r="F779" s="442" t="s">
        <v>48</v>
      </c>
      <c r="G779" s="442" t="s">
        <v>35</v>
      </c>
      <c r="H779" s="442" t="s">
        <v>49</v>
      </c>
      <c r="I779" s="442" t="s">
        <v>38</v>
      </c>
      <c r="J779" s="443">
        <v>13699.0</v>
      </c>
      <c r="K779" s="444" t="s">
        <v>18148</v>
      </c>
    </row>
    <row r="780">
      <c r="A780" s="437">
        <v>45895.46561342593</v>
      </c>
      <c r="B780" s="438">
        <v>18260.0</v>
      </c>
      <c r="C780" s="438" t="s">
        <v>8459</v>
      </c>
      <c r="D780" s="438" t="s">
        <v>72</v>
      </c>
      <c r="E780" s="438" t="s">
        <v>19648</v>
      </c>
      <c r="F780" s="438" t="s">
        <v>48</v>
      </c>
      <c r="G780" s="438" t="s">
        <v>35</v>
      </c>
      <c r="H780" s="438" t="s">
        <v>49</v>
      </c>
      <c r="I780" s="438" t="s">
        <v>1506</v>
      </c>
      <c r="J780" s="439">
        <v>13700.0</v>
      </c>
      <c r="K780" s="440" t="s">
        <v>18148</v>
      </c>
    </row>
    <row r="781">
      <c r="A781" s="441">
        <v>45895.465625</v>
      </c>
      <c r="B781" s="442">
        <v>18261.0</v>
      </c>
      <c r="C781" s="442" t="s">
        <v>8459</v>
      </c>
      <c r="D781" s="442" t="s">
        <v>91</v>
      </c>
      <c r="E781" s="442" t="s">
        <v>19653</v>
      </c>
      <c r="F781" s="442" t="s">
        <v>48</v>
      </c>
      <c r="G781" s="442" t="s">
        <v>35</v>
      </c>
      <c r="H781" s="442" t="s">
        <v>49</v>
      </c>
      <c r="I781" s="442" t="s">
        <v>1506</v>
      </c>
      <c r="J781" s="443">
        <v>13684.0</v>
      </c>
      <c r="K781" s="444" t="s">
        <v>18148</v>
      </c>
    </row>
    <row r="782">
      <c r="A782" s="437">
        <v>45895.58453703704</v>
      </c>
      <c r="B782" s="438" t="s">
        <v>19447</v>
      </c>
      <c r="C782" s="438" t="s">
        <v>4313</v>
      </c>
      <c r="D782" s="438" t="s">
        <v>91</v>
      </c>
      <c r="E782" s="438" t="s">
        <v>19448</v>
      </c>
      <c r="F782" s="438" t="s">
        <v>48</v>
      </c>
      <c r="G782" s="438" t="s">
        <v>35</v>
      </c>
      <c r="H782" s="438" t="s">
        <v>92</v>
      </c>
      <c r="I782" s="438" t="s">
        <v>38</v>
      </c>
      <c r="J782" s="439"/>
      <c r="K782" s="440" t="s">
        <v>18148</v>
      </c>
    </row>
    <row r="783">
      <c r="A783" s="441">
        <v>45895.58678240741</v>
      </c>
      <c r="B783" s="442" t="s">
        <v>19447</v>
      </c>
      <c r="C783" s="442" t="s">
        <v>4313</v>
      </c>
      <c r="D783" s="442" t="s">
        <v>91</v>
      </c>
      <c r="E783" s="442" t="s">
        <v>19448</v>
      </c>
      <c r="F783" s="442" t="s">
        <v>48</v>
      </c>
      <c r="G783" s="442" t="s">
        <v>35</v>
      </c>
      <c r="H783" s="442" t="s">
        <v>92</v>
      </c>
      <c r="I783" s="442" t="s">
        <v>38</v>
      </c>
      <c r="J783" s="443">
        <v>13702.0</v>
      </c>
      <c r="K783" s="444" t="s">
        <v>18148</v>
      </c>
    </row>
    <row r="784">
      <c r="A784" s="437">
        <v>45896.416967592595</v>
      </c>
      <c r="B784" s="438">
        <v>18247.0</v>
      </c>
      <c r="C784" s="438" t="s">
        <v>530</v>
      </c>
      <c r="D784" s="438" t="s">
        <v>72</v>
      </c>
      <c r="E784" s="438" t="s">
        <v>19542</v>
      </c>
      <c r="F784" s="438" t="s">
        <v>48</v>
      </c>
      <c r="G784" s="438" t="s">
        <v>35</v>
      </c>
      <c r="H784" s="438" t="s">
        <v>92</v>
      </c>
      <c r="I784" s="438" t="s">
        <v>38</v>
      </c>
      <c r="J784" s="439">
        <v>13706.0</v>
      </c>
      <c r="K784" s="440" t="s">
        <v>18148</v>
      </c>
    </row>
    <row r="785">
      <c r="A785" s="441">
        <v>45896.41719907407</v>
      </c>
      <c r="B785" s="442">
        <v>18228.0</v>
      </c>
      <c r="C785" s="442" t="s">
        <v>4313</v>
      </c>
      <c r="D785" s="442" t="s">
        <v>135</v>
      </c>
      <c r="E785" s="442">
        <v>20238.0</v>
      </c>
      <c r="F785" s="442" t="s">
        <v>48</v>
      </c>
      <c r="G785" s="442" t="s">
        <v>35</v>
      </c>
      <c r="H785" s="442" t="s">
        <v>92</v>
      </c>
      <c r="I785" s="442" t="s">
        <v>38</v>
      </c>
      <c r="J785" s="443">
        <v>13704.0</v>
      </c>
      <c r="K785" s="444" t="s">
        <v>18148</v>
      </c>
    </row>
    <row r="786">
      <c r="A786" s="437">
        <v>45896.43381944444</v>
      </c>
      <c r="B786" s="438">
        <v>18284.0</v>
      </c>
      <c r="C786" s="438" t="s">
        <v>19230</v>
      </c>
      <c r="D786" s="438" t="s">
        <v>91</v>
      </c>
      <c r="E786" s="438" t="s">
        <v>19765</v>
      </c>
      <c r="F786" s="438" t="s">
        <v>48</v>
      </c>
      <c r="G786" s="438" t="s">
        <v>35</v>
      </c>
      <c r="H786" s="438" t="s">
        <v>65</v>
      </c>
      <c r="I786" s="438" t="s">
        <v>38</v>
      </c>
      <c r="J786" s="439">
        <v>13709.0</v>
      </c>
      <c r="K786" s="440" t="s">
        <v>18148</v>
      </c>
    </row>
    <row r="787">
      <c r="A787" s="441">
        <v>45896.43387731481</v>
      </c>
      <c r="B787" s="442">
        <v>18277.0</v>
      </c>
      <c r="C787" s="442" t="s">
        <v>16791</v>
      </c>
      <c r="D787" s="442" t="s">
        <v>3441</v>
      </c>
      <c r="E787" s="442" t="s">
        <v>19738</v>
      </c>
      <c r="F787" s="442" t="s">
        <v>48</v>
      </c>
      <c r="G787" s="442" t="s">
        <v>35</v>
      </c>
      <c r="H787" s="442" t="s">
        <v>65</v>
      </c>
      <c r="I787" s="442" t="s">
        <v>38</v>
      </c>
      <c r="J787" s="443">
        <v>13708.0</v>
      </c>
      <c r="K787" s="444" t="s">
        <v>18148</v>
      </c>
    </row>
    <row r="788">
      <c r="A788" s="437">
        <v>45896.433912037035</v>
      </c>
      <c r="B788" s="438">
        <v>18276.0</v>
      </c>
      <c r="C788" s="438" t="s">
        <v>1299</v>
      </c>
      <c r="D788" s="438" t="s">
        <v>3441</v>
      </c>
      <c r="E788" s="438" t="s">
        <v>19733</v>
      </c>
      <c r="F788" s="438" t="s">
        <v>48</v>
      </c>
      <c r="G788" s="438" t="s">
        <v>35</v>
      </c>
      <c r="H788" s="438" t="s">
        <v>65</v>
      </c>
      <c r="I788" s="438" t="s">
        <v>38</v>
      </c>
      <c r="J788" s="439">
        <v>13707.0</v>
      </c>
      <c r="K788" s="440" t="s">
        <v>18148</v>
      </c>
    </row>
    <row r="789">
      <c r="A789" s="441">
        <v>45896.4340625</v>
      </c>
      <c r="B789" s="442" t="s">
        <v>24927</v>
      </c>
      <c r="C789" s="442" t="s">
        <v>19002</v>
      </c>
      <c r="D789" s="442" t="s">
        <v>3395</v>
      </c>
      <c r="E789" s="442" t="s">
        <v>19897</v>
      </c>
      <c r="F789" s="442" t="s">
        <v>48</v>
      </c>
      <c r="G789" s="442" t="s">
        <v>35</v>
      </c>
      <c r="H789" s="442" t="s">
        <v>92</v>
      </c>
      <c r="I789" s="442" t="s">
        <v>38</v>
      </c>
      <c r="J789" s="443">
        <v>13710.0</v>
      </c>
      <c r="K789" s="444" t="s">
        <v>18148</v>
      </c>
    </row>
    <row r="790">
      <c r="A790" s="437">
        <v>45896.4341087963</v>
      </c>
      <c r="B790" s="438" t="s">
        <v>24928</v>
      </c>
      <c r="C790" s="438" t="s">
        <v>19002</v>
      </c>
      <c r="D790" s="438" t="s">
        <v>3395</v>
      </c>
      <c r="E790" s="438" t="s">
        <v>19893</v>
      </c>
      <c r="F790" s="438" t="s">
        <v>48</v>
      </c>
      <c r="G790" s="438" t="s">
        <v>35</v>
      </c>
      <c r="H790" s="438" t="s">
        <v>92</v>
      </c>
      <c r="I790" s="438" t="s">
        <v>38</v>
      </c>
      <c r="J790" s="439">
        <v>13710.0</v>
      </c>
      <c r="K790" s="440" t="s">
        <v>18148</v>
      </c>
    </row>
    <row r="791">
      <c r="A791" s="441">
        <v>45896.434166666666</v>
      </c>
      <c r="B791" s="442" t="s">
        <v>24929</v>
      </c>
      <c r="C791" s="442" t="s">
        <v>19002</v>
      </c>
      <c r="D791" s="442" t="s">
        <v>3395</v>
      </c>
      <c r="E791" s="442" t="s">
        <v>17274</v>
      </c>
      <c r="F791" s="442" t="s">
        <v>48</v>
      </c>
      <c r="G791" s="442" t="s">
        <v>35</v>
      </c>
      <c r="H791" s="442" t="s">
        <v>92</v>
      </c>
      <c r="I791" s="442" t="s">
        <v>38</v>
      </c>
      <c r="J791" s="443">
        <v>13710.0</v>
      </c>
      <c r="K791" s="444" t="s">
        <v>18148</v>
      </c>
    </row>
    <row r="792">
      <c r="A792" s="437">
        <v>45896.434224537035</v>
      </c>
      <c r="B792" s="438" t="s">
        <v>24930</v>
      </c>
      <c r="C792" s="438" t="s">
        <v>19002</v>
      </c>
      <c r="D792" s="438" t="s">
        <v>3395</v>
      </c>
      <c r="E792" s="438" t="s">
        <v>19888</v>
      </c>
      <c r="F792" s="438" t="s">
        <v>48</v>
      </c>
      <c r="G792" s="438" t="s">
        <v>35</v>
      </c>
      <c r="H792" s="438" t="s">
        <v>92</v>
      </c>
      <c r="I792" s="438" t="s">
        <v>38</v>
      </c>
      <c r="J792" s="439">
        <v>13710.0</v>
      </c>
      <c r="K792" s="440" t="s">
        <v>18148</v>
      </c>
    </row>
    <row r="793">
      <c r="A793" s="441">
        <v>45896.45903935185</v>
      </c>
      <c r="B793" s="442" t="s">
        <v>19760</v>
      </c>
      <c r="C793" s="442" t="s">
        <v>5341</v>
      </c>
      <c r="D793" s="442" t="s">
        <v>47</v>
      </c>
      <c r="E793" s="442" t="s">
        <v>19761</v>
      </c>
      <c r="F793" s="442" t="s">
        <v>48</v>
      </c>
      <c r="G793" s="442" t="s">
        <v>35</v>
      </c>
      <c r="H793" s="442" t="s">
        <v>65</v>
      </c>
      <c r="I793" s="442" t="s">
        <v>38</v>
      </c>
      <c r="J793" s="443">
        <v>13713.0</v>
      </c>
      <c r="K793" s="444" t="s">
        <v>18148</v>
      </c>
    </row>
    <row r="794">
      <c r="A794" s="437">
        <v>45896.45912037037</v>
      </c>
      <c r="B794" s="438" t="s">
        <v>19756</v>
      </c>
      <c r="C794" s="438" t="s">
        <v>5341</v>
      </c>
      <c r="D794" s="438" t="s">
        <v>47</v>
      </c>
      <c r="E794" s="438" t="s">
        <v>19757</v>
      </c>
      <c r="F794" s="438" t="s">
        <v>48</v>
      </c>
      <c r="G794" s="438" t="s">
        <v>35</v>
      </c>
      <c r="H794" s="438" t="s">
        <v>65</v>
      </c>
      <c r="I794" s="438" t="s">
        <v>38</v>
      </c>
      <c r="J794" s="439">
        <v>13713.0</v>
      </c>
      <c r="K794" s="440" t="s">
        <v>18148</v>
      </c>
    </row>
    <row r="795">
      <c r="A795" s="441">
        <v>45896.45925925926</v>
      </c>
      <c r="B795" s="442">
        <v>18189.0</v>
      </c>
      <c r="C795" s="442" t="s">
        <v>19214</v>
      </c>
      <c r="D795" s="442" t="s">
        <v>72</v>
      </c>
      <c r="E795" s="442" t="s">
        <v>19215</v>
      </c>
      <c r="F795" s="442" t="s">
        <v>48</v>
      </c>
      <c r="G795" s="442" t="s">
        <v>35</v>
      </c>
      <c r="H795" s="442" t="s">
        <v>65</v>
      </c>
      <c r="I795" s="442" t="s">
        <v>38</v>
      </c>
      <c r="J795" s="443"/>
      <c r="K795" s="444" t="s">
        <v>18148</v>
      </c>
    </row>
    <row r="796">
      <c r="A796" s="437">
        <v>45896.45929398148</v>
      </c>
      <c r="B796" s="438">
        <v>18268.0</v>
      </c>
      <c r="C796" s="438" t="s">
        <v>5313</v>
      </c>
      <c r="D796" s="438" t="s">
        <v>85</v>
      </c>
      <c r="E796" s="438" t="s">
        <v>19690</v>
      </c>
      <c r="F796" s="438" t="s">
        <v>48</v>
      </c>
      <c r="G796" s="438" t="s">
        <v>35</v>
      </c>
      <c r="H796" s="438" t="s">
        <v>65</v>
      </c>
      <c r="I796" s="438" t="s">
        <v>38</v>
      </c>
      <c r="J796" s="439">
        <v>13711.0</v>
      </c>
      <c r="K796" s="440" t="s">
        <v>18148</v>
      </c>
    </row>
    <row r="797">
      <c r="A797" s="441">
        <v>45896.46005787037</v>
      </c>
      <c r="B797" s="442">
        <v>18274.0</v>
      </c>
      <c r="C797" s="442" t="s">
        <v>19718</v>
      </c>
      <c r="D797" s="442" t="s">
        <v>3441</v>
      </c>
      <c r="E797" s="442" t="s">
        <v>19719</v>
      </c>
      <c r="F797" s="442" t="s">
        <v>48</v>
      </c>
      <c r="G797" s="442" t="s">
        <v>35</v>
      </c>
      <c r="H797" s="442" t="s">
        <v>49</v>
      </c>
      <c r="I797" s="442" t="s">
        <v>19720</v>
      </c>
      <c r="J797" s="443">
        <v>13712.0</v>
      </c>
      <c r="K797" s="444" t="s">
        <v>18148</v>
      </c>
    </row>
    <row r="798">
      <c r="A798" s="437">
        <v>45896.47761574074</v>
      </c>
      <c r="B798" s="438">
        <v>18189.0</v>
      </c>
      <c r="C798" s="438" t="s">
        <v>19214</v>
      </c>
      <c r="D798" s="438" t="s">
        <v>72</v>
      </c>
      <c r="E798" s="438" t="s">
        <v>19215</v>
      </c>
      <c r="F798" s="438" t="s">
        <v>48</v>
      </c>
      <c r="G798" s="438" t="s">
        <v>35</v>
      </c>
      <c r="H798" s="438" t="s">
        <v>65</v>
      </c>
      <c r="I798" s="438" t="s">
        <v>38</v>
      </c>
      <c r="J798" s="439">
        <v>13714.0</v>
      </c>
      <c r="K798" s="440" t="s">
        <v>18148</v>
      </c>
    </row>
    <row r="799">
      <c r="A799" s="441">
        <v>45896.48196759259</v>
      </c>
      <c r="B799" s="442">
        <v>18298.0</v>
      </c>
      <c r="C799" s="442" t="s">
        <v>7945</v>
      </c>
      <c r="D799" s="442" t="s">
        <v>91</v>
      </c>
      <c r="E799" s="442" t="s">
        <v>19835</v>
      </c>
      <c r="F799" s="442" t="s">
        <v>48</v>
      </c>
      <c r="G799" s="442" t="s">
        <v>35</v>
      </c>
      <c r="H799" s="442" t="s">
        <v>49</v>
      </c>
      <c r="I799" s="442" t="s">
        <v>19108</v>
      </c>
      <c r="J799" s="443"/>
      <c r="K799" s="444" t="s">
        <v>18148</v>
      </c>
    </row>
    <row r="800">
      <c r="A800" s="437">
        <v>45896.48226851852</v>
      </c>
      <c r="B800" s="438">
        <v>18298.0</v>
      </c>
      <c r="C800" s="438" t="s">
        <v>7945</v>
      </c>
      <c r="D800" s="438" t="s">
        <v>91</v>
      </c>
      <c r="E800" s="438" t="s">
        <v>19835</v>
      </c>
      <c r="F800" s="438" t="s">
        <v>48</v>
      </c>
      <c r="G800" s="438" t="s">
        <v>35</v>
      </c>
      <c r="H800" s="438" t="s">
        <v>49</v>
      </c>
      <c r="I800" s="438" t="s">
        <v>19108</v>
      </c>
      <c r="J800" s="439">
        <v>13715.0</v>
      </c>
      <c r="K800" s="440" t="s">
        <v>18148</v>
      </c>
    </row>
    <row r="801">
      <c r="A801" s="441">
        <v>45897.45116898148</v>
      </c>
      <c r="B801" s="442">
        <v>18286.0</v>
      </c>
      <c r="C801" s="442" t="s">
        <v>4352</v>
      </c>
      <c r="D801" s="442" t="s">
        <v>72</v>
      </c>
      <c r="E801" s="442" t="s">
        <v>19775</v>
      </c>
      <c r="F801" s="442" t="s">
        <v>48</v>
      </c>
      <c r="G801" s="442" t="s">
        <v>35</v>
      </c>
      <c r="H801" s="442" t="s">
        <v>49</v>
      </c>
      <c r="I801" s="442" t="s">
        <v>38</v>
      </c>
      <c r="J801" s="443">
        <v>13723.0</v>
      </c>
      <c r="K801" s="444" t="s">
        <v>18148</v>
      </c>
    </row>
    <row r="802">
      <c r="A802" s="437">
        <v>45897.45142361111</v>
      </c>
      <c r="B802" s="438">
        <v>18287.0</v>
      </c>
      <c r="C802" s="438" t="s">
        <v>4352</v>
      </c>
      <c r="D802" s="438" t="s">
        <v>91</v>
      </c>
      <c r="E802" s="438" t="s">
        <v>19780</v>
      </c>
      <c r="F802" s="438" t="s">
        <v>48</v>
      </c>
      <c r="G802" s="438" t="s">
        <v>35</v>
      </c>
      <c r="H802" s="438" t="s">
        <v>49</v>
      </c>
      <c r="I802" s="438" t="s">
        <v>38</v>
      </c>
      <c r="J802" s="439">
        <v>13722.0</v>
      </c>
      <c r="K802" s="440" t="s">
        <v>18148</v>
      </c>
    </row>
    <row r="803">
      <c r="A803" s="441">
        <v>45897.45153935185</v>
      </c>
      <c r="B803" s="442">
        <v>18285.0</v>
      </c>
      <c r="C803" s="442" t="s">
        <v>4352</v>
      </c>
      <c r="D803" s="442" t="s">
        <v>91</v>
      </c>
      <c r="E803" s="442" t="s">
        <v>19770</v>
      </c>
      <c r="F803" s="442" t="s">
        <v>48</v>
      </c>
      <c r="G803" s="442" t="s">
        <v>35</v>
      </c>
      <c r="H803" s="442" t="s">
        <v>49</v>
      </c>
      <c r="I803" s="442" t="s">
        <v>38</v>
      </c>
      <c r="J803" s="443">
        <v>13721.0</v>
      </c>
      <c r="K803" s="444" t="s">
        <v>18148</v>
      </c>
    </row>
    <row r="804">
      <c r="A804" s="437">
        <v>45897.451585648145</v>
      </c>
      <c r="B804" s="438">
        <v>18299.0</v>
      </c>
      <c r="C804" s="438" t="s">
        <v>19840</v>
      </c>
      <c r="D804" s="438" t="s">
        <v>91</v>
      </c>
      <c r="E804" s="438" t="s">
        <v>19841</v>
      </c>
      <c r="F804" s="438" t="s">
        <v>48</v>
      </c>
      <c r="G804" s="438" t="s">
        <v>35</v>
      </c>
      <c r="H804" s="438" t="s">
        <v>65</v>
      </c>
      <c r="I804" s="438" t="s">
        <v>38</v>
      </c>
      <c r="J804" s="439">
        <v>13725.0</v>
      </c>
      <c r="K804" s="440" t="s">
        <v>18148</v>
      </c>
    </row>
    <row r="805">
      <c r="A805" s="441">
        <v>45897.451689814814</v>
      </c>
      <c r="B805" s="442">
        <v>18294.0</v>
      </c>
      <c r="C805" s="442" t="s">
        <v>5180</v>
      </c>
      <c r="D805" s="442" t="s">
        <v>3441</v>
      </c>
      <c r="E805" s="442" t="s">
        <v>19816</v>
      </c>
      <c r="F805" s="442" t="s">
        <v>48</v>
      </c>
      <c r="G805" s="442" t="s">
        <v>35</v>
      </c>
      <c r="H805" s="442" t="s">
        <v>65</v>
      </c>
      <c r="I805" s="442" t="s">
        <v>38</v>
      </c>
      <c r="J805" s="443">
        <v>13724.0</v>
      </c>
      <c r="K805" s="444" t="s">
        <v>18148</v>
      </c>
    </row>
    <row r="806">
      <c r="A806" s="437">
        <v>45897.45174768518</v>
      </c>
      <c r="B806" s="438">
        <v>18269.0</v>
      </c>
      <c r="C806" s="438" t="s">
        <v>18643</v>
      </c>
      <c r="D806" s="438" t="s">
        <v>72</v>
      </c>
      <c r="E806" s="438" t="s">
        <v>19695</v>
      </c>
      <c r="F806" s="438" t="s">
        <v>48</v>
      </c>
      <c r="G806" s="438" t="s">
        <v>35</v>
      </c>
      <c r="H806" s="438" t="s">
        <v>65</v>
      </c>
      <c r="I806" s="438" t="s">
        <v>38</v>
      </c>
      <c r="J806" s="439">
        <v>13720.0</v>
      </c>
      <c r="K806" s="440" t="s">
        <v>18148</v>
      </c>
    </row>
    <row r="807">
      <c r="A807" s="441">
        <v>45897.55236111111</v>
      </c>
      <c r="B807" s="442">
        <v>18202.0</v>
      </c>
      <c r="C807" s="442" t="s">
        <v>4472</v>
      </c>
      <c r="D807" s="442" t="s">
        <v>15497</v>
      </c>
      <c r="E807" s="442">
        <v>20259.0</v>
      </c>
      <c r="F807" s="442" t="s">
        <v>48</v>
      </c>
      <c r="G807" s="442" t="s">
        <v>35</v>
      </c>
      <c r="H807" s="442" t="s">
        <v>49</v>
      </c>
      <c r="I807" s="442" t="s">
        <v>38</v>
      </c>
      <c r="J807" s="443">
        <v>13731.0</v>
      </c>
      <c r="K807" s="444" t="s">
        <v>18148</v>
      </c>
    </row>
    <row r="808">
      <c r="A808" s="437">
        <v>45897.55238425926</v>
      </c>
      <c r="B808" s="438" t="s">
        <v>19679</v>
      </c>
      <c r="C808" s="438" t="s">
        <v>4035</v>
      </c>
      <c r="D808" s="438" t="s">
        <v>112</v>
      </c>
      <c r="E808" s="438" t="s">
        <v>19680</v>
      </c>
      <c r="F808" s="438" t="s">
        <v>48</v>
      </c>
      <c r="G808" s="438" t="s">
        <v>35</v>
      </c>
      <c r="H808" s="438" t="s">
        <v>65</v>
      </c>
      <c r="I808" s="438" t="s">
        <v>38</v>
      </c>
      <c r="J808" s="439">
        <v>13729.0</v>
      </c>
      <c r="K808" s="440" t="s">
        <v>18148</v>
      </c>
    </row>
    <row r="809">
      <c r="A809" s="441">
        <v>45897.552395833336</v>
      </c>
      <c r="B809" s="442" t="s">
        <v>19674</v>
      </c>
      <c r="C809" s="442" t="s">
        <v>4035</v>
      </c>
      <c r="D809" s="442" t="s">
        <v>112</v>
      </c>
      <c r="E809" s="442" t="s">
        <v>19675</v>
      </c>
      <c r="F809" s="442" t="s">
        <v>48</v>
      </c>
      <c r="G809" s="442" t="s">
        <v>35</v>
      </c>
      <c r="H809" s="442" t="s">
        <v>65</v>
      </c>
      <c r="I809" s="442" t="s">
        <v>38</v>
      </c>
      <c r="J809" s="443">
        <v>13729.0</v>
      </c>
      <c r="K809" s="444" t="s">
        <v>18148</v>
      </c>
    </row>
    <row r="810">
      <c r="A810" s="437">
        <v>45897.552407407406</v>
      </c>
      <c r="B810" s="438">
        <v>18278.0</v>
      </c>
      <c r="C810" s="438" t="s">
        <v>4035</v>
      </c>
      <c r="D810" s="438" t="s">
        <v>91</v>
      </c>
      <c r="E810" s="438" t="s">
        <v>19742</v>
      </c>
      <c r="F810" s="438" t="s">
        <v>48</v>
      </c>
      <c r="G810" s="438" t="s">
        <v>35</v>
      </c>
      <c r="H810" s="438" t="s">
        <v>65</v>
      </c>
      <c r="I810" s="438" t="s">
        <v>38</v>
      </c>
      <c r="J810" s="439">
        <v>13730.0</v>
      </c>
      <c r="K810" s="440" t="s">
        <v>18148</v>
      </c>
    </row>
    <row r="811">
      <c r="A811" s="441">
        <v>45897.55247685185</v>
      </c>
      <c r="B811" s="442">
        <v>18255.0</v>
      </c>
      <c r="C811" s="442" t="s">
        <v>4215</v>
      </c>
      <c r="D811" s="442" t="s">
        <v>1119</v>
      </c>
      <c r="E811" s="442">
        <v>20267.0</v>
      </c>
      <c r="F811" s="442" t="s">
        <v>33</v>
      </c>
      <c r="G811" s="442" t="s">
        <v>34</v>
      </c>
      <c r="H811" s="442" t="s">
        <v>420</v>
      </c>
      <c r="I811" s="442" t="s">
        <v>38</v>
      </c>
      <c r="J811" s="443">
        <v>13728.0</v>
      </c>
      <c r="K811" s="444" t="s">
        <v>18148</v>
      </c>
    </row>
    <row r="812">
      <c r="A812" s="437">
        <v>45898.48615740741</v>
      </c>
      <c r="B812" s="438" t="s">
        <v>19661</v>
      </c>
      <c r="C812" s="438" t="s">
        <v>13215</v>
      </c>
      <c r="D812" s="438" t="s">
        <v>91</v>
      </c>
      <c r="E812" s="438" t="s">
        <v>19662</v>
      </c>
      <c r="F812" s="438" t="s">
        <v>48</v>
      </c>
      <c r="G812" s="438" t="s">
        <v>35</v>
      </c>
      <c r="H812" s="438" t="s">
        <v>49</v>
      </c>
      <c r="I812" s="438" t="s">
        <v>13217</v>
      </c>
      <c r="J812" s="439">
        <v>13733.0</v>
      </c>
      <c r="K812" s="440" t="s">
        <v>18148</v>
      </c>
    </row>
    <row r="813">
      <c r="A813" s="441">
        <v>45898.486226851855</v>
      </c>
      <c r="B813" s="442" t="s">
        <v>19657</v>
      </c>
      <c r="C813" s="442" t="s">
        <v>13215</v>
      </c>
      <c r="D813" s="442" t="s">
        <v>91</v>
      </c>
      <c r="E813" s="442" t="s">
        <v>19658</v>
      </c>
      <c r="F813" s="442" t="s">
        <v>48</v>
      </c>
      <c r="G813" s="442" t="s">
        <v>35</v>
      </c>
      <c r="H813" s="442" t="s">
        <v>49</v>
      </c>
      <c r="I813" s="442" t="s">
        <v>13217</v>
      </c>
      <c r="J813" s="443">
        <v>13733.0</v>
      </c>
      <c r="K813" s="444" t="s">
        <v>18148</v>
      </c>
    </row>
    <row r="814">
      <c r="A814" s="437">
        <v>45898.486284722225</v>
      </c>
      <c r="B814" s="438">
        <v>18241.0</v>
      </c>
      <c r="C814" s="438" t="s">
        <v>96</v>
      </c>
      <c r="D814" s="438" t="s">
        <v>408</v>
      </c>
      <c r="E814" s="438">
        <v>20264.0</v>
      </c>
      <c r="F814" s="438" t="s">
        <v>33</v>
      </c>
      <c r="G814" s="438" t="s">
        <v>34</v>
      </c>
      <c r="H814" s="438" t="s">
        <v>49</v>
      </c>
      <c r="I814" s="438" t="s">
        <v>38</v>
      </c>
      <c r="J814" s="439">
        <v>13736.0</v>
      </c>
      <c r="K814" s="440" t="s">
        <v>18148</v>
      </c>
    </row>
    <row r="815">
      <c r="A815" s="441">
        <v>45898.486909722225</v>
      </c>
      <c r="B815" s="442" t="s">
        <v>19489</v>
      </c>
      <c r="C815" s="442" t="s">
        <v>96</v>
      </c>
      <c r="D815" s="442" t="s">
        <v>14519</v>
      </c>
      <c r="E815" s="442">
        <v>20174.0</v>
      </c>
      <c r="F815" s="442" t="s">
        <v>48</v>
      </c>
      <c r="G815" s="442" t="s">
        <v>34</v>
      </c>
      <c r="H815" s="442" t="s">
        <v>49</v>
      </c>
      <c r="I815" s="442" t="s">
        <v>38</v>
      </c>
      <c r="J815" s="443">
        <v>13738.0</v>
      </c>
      <c r="K815" s="444" t="s">
        <v>18148</v>
      </c>
    </row>
    <row r="816">
      <c r="A816" s="437">
        <v>45898.48699074074</v>
      </c>
      <c r="B816" s="438" t="s">
        <v>19485</v>
      </c>
      <c r="C816" s="438" t="s">
        <v>96</v>
      </c>
      <c r="D816" s="438" t="s">
        <v>165</v>
      </c>
      <c r="E816" s="438">
        <v>20262.0</v>
      </c>
      <c r="F816" s="438" t="s">
        <v>33</v>
      </c>
      <c r="G816" s="438" t="s">
        <v>34</v>
      </c>
      <c r="H816" s="438" t="s">
        <v>49</v>
      </c>
      <c r="I816" s="438" t="s">
        <v>38</v>
      </c>
      <c r="J816" s="439">
        <v>13738.0</v>
      </c>
      <c r="K816" s="440" t="s">
        <v>18148</v>
      </c>
    </row>
    <row r="817">
      <c r="A817" s="441">
        <v>45898.487025462964</v>
      </c>
      <c r="B817" s="442">
        <v>18236.0</v>
      </c>
      <c r="C817" s="442" t="s">
        <v>96</v>
      </c>
      <c r="D817" s="442" t="s">
        <v>15497</v>
      </c>
      <c r="E817" s="442">
        <v>20265.0</v>
      </c>
      <c r="F817" s="442" t="s">
        <v>48</v>
      </c>
      <c r="G817" s="442" t="s">
        <v>35</v>
      </c>
      <c r="H817" s="442" t="s">
        <v>49</v>
      </c>
      <c r="I817" s="442" t="s">
        <v>38</v>
      </c>
      <c r="J817" s="443">
        <v>13739.0</v>
      </c>
      <c r="K817" s="444" t="s">
        <v>18148</v>
      </c>
    </row>
    <row r="818">
      <c r="A818" s="437">
        <v>45898.48704861111</v>
      </c>
      <c r="B818" s="438">
        <v>18234.0</v>
      </c>
      <c r="C818" s="438" t="s">
        <v>96</v>
      </c>
      <c r="D818" s="438" t="s">
        <v>165</v>
      </c>
      <c r="E818" s="438">
        <v>20261.0</v>
      </c>
      <c r="F818" s="438" t="s">
        <v>33</v>
      </c>
      <c r="G818" s="438" t="s">
        <v>34</v>
      </c>
      <c r="H818" s="438" t="s">
        <v>49</v>
      </c>
      <c r="I818" s="438" t="s">
        <v>38</v>
      </c>
      <c r="J818" s="439">
        <v>13737.0</v>
      </c>
      <c r="K818" s="440" t="s">
        <v>18148</v>
      </c>
    </row>
    <row r="819">
      <c r="A819" s="441">
        <v>45898.48710648148</v>
      </c>
      <c r="B819" s="442">
        <v>18203.0</v>
      </c>
      <c r="C819" s="442" t="s">
        <v>96</v>
      </c>
      <c r="D819" s="442" t="s">
        <v>165</v>
      </c>
      <c r="E819" s="442">
        <v>20139.0</v>
      </c>
      <c r="F819" s="442" t="s">
        <v>33</v>
      </c>
      <c r="G819" s="442" t="s">
        <v>34</v>
      </c>
      <c r="H819" s="442" t="s">
        <v>49</v>
      </c>
      <c r="I819" s="442" t="s">
        <v>38</v>
      </c>
      <c r="J819" s="443">
        <v>13735.0</v>
      </c>
      <c r="K819" s="444" t="s">
        <v>18148</v>
      </c>
    </row>
    <row r="820">
      <c r="A820" s="437">
        <v>45898.487129629626</v>
      </c>
      <c r="B820" s="438" t="s">
        <v>19910</v>
      </c>
      <c r="C820" s="438" t="s">
        <v>19901</v>
      </c>
      <c r="D820" s="438" t="s">
        <v>47</v>
      </c>
      <c r="E820" s="438" t="s">
        <v>19911</v>
      </c>
      <c r="F820" s="438" t="s">
        <v>48</v>
      </c>
      <c r="G820" s="438" t="s">
        <v>35</v>
      </c>
      <c r="H820" s="438" t="s">
        <v>65</v>
      </c>
      <c r="I820" s="438" t="s">
        <v>38</v>
      </c>
      <c r="J820" s="439">
        <v>13734.0</v>
      </c>
      <c r="K820" s="440" t="s">
        <v>18148</v>
      </c>
    </row>
    <row r="821">
      <c r="A821" s="441">
        <v>45898.4871875</v>
      </c>
      <c r="B821" s="442" t="s">
        <v>19900</v>
      </c>
      <c r="C821" s="442" t="s">
        <v>19901</v>
      </c>
      <c r="D821" s="442" t="s">
        <v>47</v>
      </c>
      <c r="E821" s="442" t="s">
        <v>19902</v>
      </c>
      <c r="F821" s="442" t="s">
        <v>48</v>
      </c>
      <c r="G821" s="442" t="s">
        <v>35</v>
      </c>
      <c r="H821" s="442" t="s">
        <v>65</v>
      </c>
      <c r="I821" s="442" t="s">
        <v>38</v>
      </c>
      <c r="J821" s="443">
        <v>13734.0</v>
      </c>
      <c r="K821" s="444" t="s">
        <v>18148</v>
      </c>
    </row>
    <row r="822">
      <c r="A822" s="437">
        <v>45898.55773148148</v>
      </c>
      <c r="B822" s="438" t="s">
        <v>19906</v>
      </c>
      <c r="C822" s="438" t="s">
        <v>19901</v>
      </c>
      <c r="D822" s="438" t="s">
        <v>47</v>
      </c>
      <c r="E822" s="438" t="s">
        <v>19907</v>
      </c>
      <c r="F822" s="438" t="s">
        <v>48</v>
      </c>
      <c r="G822" s="438" t="s">
        <v>35</v>
      </c>
      <c r="H822" s="438" t="s">
        <v>65</v>
      </c>
      <c r="I822" s="438" t="s">
        <v>38</v>
      </c>
      <c r="J822" s="439">
        <v>13734.0</v>
      </c>
      <c r="K822" s="440" t="s">
        <v>18148</v>
      </c>
    </row>
    <row r="823">
      <c r="A823" s="441">
        <v>45898.56673611111</v>
      </c>
      <c r="B823" s="442">
        <v>18271.0</v>
      </c>
      <c r="C823" s="442" t="s">
        <v>19708</v>
      </c>
      <c r="D823" s="442" t="s">
        <v>91</v>
      </c>
      <c r="E823" s="442" t="s">
        <v>19709</v>
      </c>
      <c r="F823" s="442" t="s">
        <v>48</v>
      </c>
      <c r="G823" s="442" t="s">
        <v>35</v>
      </c>
      <c r="H823" s="442" t="s">
        <v>49</v>
      </c>
      <c r="I823" s="442" t="s">
        <v>16881</v>
      </c>
      <c r="J823" s="443">
        <v>13740.0</v>
      </c>
      <c r="K823" s="444" t="s">
        <v>18148</v>
      </c>
    </row>
    <row r="824">
      <c r="A824" s="437">
        <v>45898.56859953704</v>
      </c>
      <c r="B824" s="438">
        <v>18288.0</v>
      </c>
      <c r="C824" s="438" t="s">
        <v>4352</v>
      </c>
      <c r="D824" s="438" t="s">
        <v>91</v>
      </c>
      <c r="E824" s="438" t="s">
        <v>19785</v>
      </c>
      <c r="F824" s="438" t="s">
        <v>48</v>
      </c>
      <c r="G824" s="438" t="s">
        <v>35</v>
      </c>
      <c r="H824" s="438" t="s">
        <v>49</v>
      </c>
      <c r="I824" s="438" t="s">
        <v>38</v>
      </c>
      <c r="J824" s="439">
        <v>13741.0</v>
      </c>
      <c r="K824" s="440" t="s">
        <v>18148</v>
      </c>
    </row>
    <row r="825">
      <c r="A825" s="441">
        <v>45898.57074074074</v>
      </c>
      <c r="B825" s="442" t="s">
        <v>19936</v>
      </c>
      <c r="C825" s="442" t="s">
        <v>1192</v>
      </c>
      <c r="D825" s="442" t="s">
        <v>72</v>
      </c>
      <c r="E825" s="442" t="s">
        <v>19937</v>
      </c>
      <c r="F825" s="442" t="s">
        <v>48</v>
      </c>
      <c r="G825" s="442" t="s">
        <v>35</v>
      </c>
      <c r="H825" s="442" t="s">
        <v>65</v>
      </c>
      <c r="I825" s="442" t="s">
        <v>38</v>
      </c>
      <c r="J825" s="443">
        <v>13742.0</v>
      </c>
      <c r="K825" s="444" t="s">
        <v>18148</v>
      </c>
    </row>
    <row r="826">
      <c r="A826" s="437">
        <v>45898.57077546296</v>
      </c>
      <c r="B826" s="438" t="s">
        <v>19940</v>
      </c>
      <c r="C826" s="438" t="s">
        <v>1192</v>
      </c>
      <c r="D826" s="438" t="s">
        <v>85</v>
      </c>
      <c r="E826" s="438" t="s">
        <v>19941</v>
      </c>
      <c r="F826" s="438" t="s">
        <v>48</v>
      </c>
      <c r="G826" s="438" t="s">
        <v>35</v>
      </c>
      <c r="H826" s="438" t="s">
        <v>65</v>
      </c>
      <c r="I826" s="438" t="s">
        <v>38</v>
      </c>
      <c r="J826" s="439">
        <v>13742.0</v>
      </c>
      <c r="K826" s="440" t="s">
        <v>18148</v>
      </c>
    </row>
    <row r="827">
      <c r="A827" s="441">
        <v>45898.57082175926</v>
      </c>
      <c r="B827" s="442" t="s">
        <v>19932</v>
      </c>
      <c r="C827" s="442" t="s">
        <v>1192</v>
      </c>
      <c r="D827" s="442" t="s">
        <v>3441</v>
      </c>
      <c r="E827" s="442" t="s">
        <v>19933</v>
      </c>
      <c r="F827" s="442" t="s">
        <v>48</v>
      </c>
      <c r="G827" s="442" t="s">
        <v>35</v>
      </c>
      <c r="H827" s="442" t="s">
        <v>65</v>
      </c>
      <c r="I827" s="442" t="s">
        <v>38</v>
      </c>
      <c r="J827" s="443">
        <v>13742.0</v>
      </c>
      <c r="K827" s="444" t="s">
        <v>18148</v>
      </c>
    </row>
    <row r="828">
      <c r="A828" s="437">
        <v>45898.570868055554</v>
      </c>
      <c r="B828" s="438" t="s">
        <v>19928</v>
      </c>
      <c r="C828" s="438" t="s">
        <v>1192</v>
      </c>
      <c r="D828" s="438" t="s">
        <v>3441</v>
      </c>
      <c r="E828" s="438" t="s">
        <v>19929</v>
      </c>
      <c r="F828" s="438" t="s">
        <v>48</v>
      </c>
      <c r="G828" s="438" t="s">
        <v>35</v>
      </c>
      <c r="H828" s="438" t="s">
        <v>65</v>
      </c>
      <c r="I828" s="438" t="s">
        <v>38</v>
      </c>
      <c r="J828" s="439">
        <v>13742.0</v>
      </c>
      <c r="K828" s="440" t="s">
        <v>18148</v>
      </c>
    </row>
    <row r="829">
      <c r="A829" s="441">
        <v>45901.475856481484</v>
      </c>
      <c r="B829" s="442">
        <v>18306.0</v>
      </c>
      <c r="C829" s="442" t="s">
        <v>4352</v>
      </c>
      <c r="D829" s="442" t="s">
        <v>112</v>
      </c>
      <c r="E829" s="442" t="s">
        <v>19876</v>
      </c>
      <c r="F829" s="442" t="s">
        <v>48</v>
      </c>
      <c r="G829" s="442" t="s">
        <v>35</v>
      </c>
      <c r="H829" s="442" t="s">
        <v>49</v>
      </c>
      <c r="I829" s="442" t="s">
        <v>38</v>
      </c>
      <c r="J829" s="443">
        <v>13753.0</v>
      </c>
      <c r="K829" s="444" t="s">
        <v>18148</v>
      </c>
    </row>
    <row r="830">
      <c r="A830" s="437">
        <v>45901.475902777776</v>
      </c>
      <c r="B830" s="438">
        <v>18305.0</v>
      </c>
      <c r="C830" s="438" t="s">
        <v>4352</v>
      </c>
      <c r="D830" s="438" t="s">
        <v>91</v>
      </c>
      <c r="E830" s="438" t="s">
        <v>19871</v>
      </c>
      <c r="F830" s="438" t="s">
        <v>48</v>
      </c>
      <c r="G830" s="438" t="s">
        <v>35</v>
      </c>
      <c r="H830" s="438" t="s">
        <v>49</v>
      </c>
      <c r="I830" s="438" t="s">
        <v>38</v>
      </c>
      <c r="J830" s="439">
        <v>13749.0</v>
      </c>
      <c r="K830" s="440" t="s">
        <v>18148</v>
      </c>
    </row>
    <row r="831">
      <c r="A831" s="441">
        <v>45901.4759375</v>
      </c>
      <c r="B831" s="442">
        <v>18235.0</v>
      </c>
      <c r="C831" s="442" t="s">
        <v>96</v>
      </c>
      <c r="D831" s="442" t="s">
        <v>731</v>
      </c>
      <c r="E831" s="442">
        <v>20263.0</v>
      </c>
      <c r="F831" s="442" t="s">
        <v>33</v>
      </c>
      <c r="G831" s="442" t="s">
        <v>34</v>
      </c>
      <c r="H831" s="442" t="s">
        <v>49</v>
      </c>
      <c r="I831" s="442" t="s">
        <v>38</v>
      </c>
      <c r="J831" s="443">
        <v>13746.0</v>
      </c>
      <c r="K831" s="444" t="s">
        <v>18148</v>
      </c>
    </row>
    <row r="832">
      <c r="A832" s="437">
        <v>45901.4759837963</v>
      </c>
      <c r="B832" s="438">
        <v>18328.0</v>
      </c>
      <c r="C832" s="438" t="s">
        <v>9101</v>
      </c>
      <c r="D832" s="438" t="s">
        <v>85</v>
      </c>
      <c r="E832" s="438" t="s">
        <v>19994</v>
      </c>
      <c r="F832" s="438" t="s">
        <v>48</v>
      </c>
      <c r="G832" s="438" t="s">
        <v>35</v>
      </c>
      <c r="H832" s="438" t="s">
        <v>65</v>
      </c>
      <c r="I832" s="438" t="s">
        <v>38</v>
      </c>
      <c r="J832" s="439">
        <v>13754.0</v>
      </c>
      <c r="K832" s="440" t="s">
        <v>18148</v>
      </c>
    </row>
    <row r="833">
      <c r="A833" s="441">
        <v>45901.476006944446</v>
      </c>
      <c r="B833" s="442">
        <v>18332.0</v>
      </c>
      <c r="C833" s="442" t="s">
        <v>20030</v>
      </c>
      <c r="D833" s="442" t="s">
        <v>47</v>
      </c>
      <c r="E833" s="442" t="s">
        <v>20031</v>
      </c>
      <c r="F833" s="442" t="s">
        <v>48</v>
      </c>
      <c r="G833" s="442" t="s">
        <v>35</v>
      </c>
      <c r="H833" s="442" t="s">
        <v>65</v>
      </c>
      <c r="I833" s="442" t="s">
        <v>38</v>
      </c>
      <c r="J833" s="443">
        <v>13756.0</v>
      </c>
      <c r="K833" s="444" t="s">
        <v>18148</v>
      </c>
    </row>
    <row r="834">
      <c r="A834" s="437">
        <v>45901.476064814815</v>
      </c>
      <c r="B834" s="438">
        <v>18331.0</v>
      </c>
      <c r="C834" s="438" t="s">
        <v>20024</v>
      </c>
      <c r="D834" s="438" t="s">
        <v>3441</v>
      </c>
      <c r="E834" s="438" t="s">
        <v>20025</v>
      </c>
      <c r="F834" s="438" t="s">
        <v>48</v>
      </c>
      <c r="G834" s="438" t="s">
        <v>35</v>
      </c>
      <c r="H834" s="438" t="s">
        <v>65</v>
      </c>
      <c r="I834" s="438" t="s">
        <v>38</v>
      </c>
      <c r="J834" s="439">
        <v>13752.0</v>
      </c>
      <c r="K834" s="440" t="s">
        <v>18148</v>
      </c>
    </row>
    <row r="835">
      <c r="A835" s="441">
        <v>45901.47614583333</v>
      </c>
      <c r="B835" s="442">
        <v>18327.0</v>
      </c>
      <c r="C835" s="442" t="s">
        <v>4587</v>
      </c>
      <c r="D835" s="442" t="s">
        <v>85</v>
      </c>
      <c r="E835" s="442" t="s">
        <v>19990</v>
      </c>
      <c r="F835" s="442" t="s">
        <v>48</v>
      </c>
      <c r="G835" s="442" t="s">
        <v>35</v>
      </c>
      <c r="H835" s="442" t="s">
        <v>65</v>
      </c>
      <c r="I835" s="442" t="s">
        <v>38</v>
      </c>
      <c r="J835" s="443">
        <v>13751.0</v>
      </c>
      <c r="K835" s="444" t="s">
        <v>18148</v>
      </c>
    </row>
    <row r="836">
      <c r="A836" s="437">
        <v>45901.47618055555</v>
      </c>
      <c r="B836" s="438">
        <v>18322.0</v>
      </c>
      <c r="C836" s="438" t="s">
        <v>5180</v>
      </c>
      <c r="D836" s="438" t="s">
        <v>91</v>
      </c>
      <c r="E836" s="438" t="s">
        <v>19968</v>
      </c>
      <c r="F836" s="438" t="s">
        <v>48</v>
      </c>
      <c r="G836" s="438" t="s">
        <v>35</v>
      </c>
      <c r="H836" s="438" t="s">
        <v>65</v>
      </c>
      <c r="I836" s="438" t="s">
        <v>38</v>
      </c>
      <c r="J836" s="439">
        <v>13750.0</v>
      </c>
      <c r="K836" s="440" t="s">
        <v>18148</v>
      </c>
    </row>
    <row r="837">
      <c r="A837" s="441">
        <v>45901.47625</v>
      </c>
      <c r="B837" s="442">
        <v>18321.0</v>
      </c>
      <c r="C837" s="442" t="s">
        <v>15286</v>
      </c>
      <c r="D837" s="442" t="s">
        <v>91</v>
      </c>
      <c r="E837" s="442" t="s">
        <v>19964</v>
      </c>
      <c r="F837" s="442" t="s">
        <v>48</v>
      </c>
      <c r="G837" s="442" t="s">
        <v>35</v>
      </c>
      <c r="H837" s="442" t="s">
        <v>65</v>
      </c>
      <c r="I837" s="442" t="s">
        <v>38</v>
      </c>
      <c r="J837" s="443">
        <v>13755.0</v>
      </c>
      <c r="K837" s="444" t="s">
        <v>18148</v>
      </c>
    </row>
    <row r="838">
      <c r="A838" s="437">
        <v>45901.47626157408</v>
      </c>
      <c r="B838" s="438" t="s">
        <v>24931</v>
      </c>
      <c r="C838" s="438" t="s">
        <v>20147</v>
      </c>
      <c r="D838" s="438" t="s">
        <v>6133</v>
      </c>
      <c r="E838" s="438" t="s">
        <v>20153</v>
      </c>
      <c r="F838" s="438" t="s">
        <v>48</v>
      </c>
      <c r="G838" s="438" t="s">
        <v>35</v>
      </c>
      <c r="H838" s="438" t="s">
        <v>65</v>
      </c>
      <c r="I838" s="438" t="s">
        <v>16881</v>
      </c>
      <c r="J838" s="439">
        <v>13748.0</v>
      </c>
      <c r="K838" s="440" t="s">
        <v>18148</v>
      </c>
    </row>
    <row r="839">
      <c r="A839" s="441">
        <v>45901.476319444446</v>
      </c>
      <c r="B839" s="442" t="s">
        <v>24932</v>
      </c>
      <c r="C839" s="442" t="s">
        <v>20147</v>
      </c>
      <c r="D839" s="442" t="s">
        <v>6133</v>
      </c>
      <c r="E839" s="442" t="s">
        <v>20148</v>
      </c>
      <c r="F839" s="442" t="s">
        <v>48</v>
      </c>
      <c r="G839" s="442" t="s">
        <v>35</v>
      </c>
      <c r="H839" s="442" t="s">
        <v>65</v>
      </c>
      <c r="I839" s="442" t="s">
        <v>16881</v>
      </c>
      <c r="J839" s="443">
        <v>13748.0</v>
      </c>
      <c r="K839" s="444" t="s">
        <v>18148</v>
      </c>
    </row>
    <row r="840">
      <c r="A840" s="437">
        <v>45901.47634259259</v>
      </c>
      <c r="B840" s="438">
        <v>18310.0</v>
      </c>
      <c r="C840" s="438" t="s">
        <v>19920</v>
      </c>
      <c r="D840" s="438" t="s">
        <v>3441</v>
      </c>
      <c r="E840" s="438" t="s">
        <v>19921</v>
      </c>
      <c r="F840" s="438" t="s">
        <v>48</v>
      </c>
      <c r="G840" s="438" t="s">
        <v>35</v>
      </c>
      <c r="H840" s="438" t="s">
        <v>65</v>
      </c>
      <c r="I840" s="438" t="s">
        <v>38</v>
      </c>
      <c r="J840" s="439">
        <v>13747.0</v>
      </c>
      <c r="K840" s="440" t="s">
        <v>18148</v>
      </c>
    </row>
    <row r="841">
      <c r="A841" s="441">
        <v>45901.476493055554</v>
      </c>
      <c r="B841" s="442">
        <v>18224.0</v>
      </c>
      <c r="C841" s="442" t="s">
        <v>16563</v>
      </c>
      <c r="D841" s="442" t="s">
        <v>3441</v>
      </c>
      <c r="E841" s="442" t="s">
        <v>19410</v>
      </c>
      <c r="F841" s="442" t="s">
        <v>48</v>
      </c>
      <c r="G841" s="442" t="s">
        <v>35</v>
      </c>
      <c r="H841" s="442" t="s">
        <v>65</v>
      </c>
      <c r="I841" s="442" t="s">
        <v>38</v>
      </c>
      <c r="J841" s="443">
        <v>13745.0</v>
      </c>
      <c r="K841" s="444" t="s">
        <v>18148</v>
      </c>
    </row>
    <row r="842">
      <c r="A842" s="437">
        <v>45901.5471875</v>
      </c>
      <c r="B842" s="438" t="s">
        <v>19944</v>
      </c>
      <c r="C842" s="438" t="s">
        <v>19945</v>
      </c>
      <c r="D842" s="438" t="s">
        <v>85</v>
      </c>
      <c r="E842" s="438" t="s">
        <v>19946</v>
      </c>
      <c r="F842" s="438" t="s">
        <v>48</v>
      </c>
      <c r="G842" s="438" t="s">
        <v>35</v>
      </c>
      <c r="H842" s="438" t="s">
        <v>49</v>
      </c>
      <c r="I842" s="438" t="s">
        <v>38</v>
      </c>
      <c r="J842" s="439">
        <v>13757.0</v>
      </c>
      <c r="K842" s="440" t="s">
        <v>18148</v>
      </c>
    </row>
    <row r="843">
      <c r="A843" s="441">
        <v>45901.54725694445</v>
      </c>
      <c r="B843" s="442" t="s">
        <v>19950</v>
      </c>
      <c r="C843" s="442" t="s">
        <v>19945</v>
      </c>
      <c r="D843" s="442" t="s">
        <v>19952</v>
      </c>
      <c r="E843" s="442" t="s">
        <v>19951</v>
      </c>
      <c r="F843" s="442" t="s">
        <v>19953</v>
      </c>
      <c r="G843" s="442" t="s">
        <v>35</v>
      </c>
      <c r="H843" s="442" t="s">
        <v>49</v>
      </c>
      <c r="I843" s="442" t="s">
        <v>38</v>
      </c>
      <c r="J843" s="443">
        <v>13757.0</v>
      </c>
      <c r="K843" s="444" t="s">
        <v>18148</v>
      </c>
    </row>
    <row r="844">
      <c r="A844" s="437">
        <v>45902.45348379629</v>
      </c>
      <c r="B844" s="438">
        <v>18304.0</v>
      </c>
      <c r="C844" s="438" t="s">
        <v>5469</v>
      </c>
      <c r="D844" s="438" t="s">
        <v>11712</v>
      </c>
      <c r="E844" s="438">
        <v>20244.0</v>
      </c>
      <c r="F844" s="438" t="s">
        <v>48</v>
      </c>
      <c r="G844" s="438" t="s">
        <v>35</v>
      </c>
      <c r="H844" s="438" t="s">
        <v>49</v>
      </c>
      <c r="I844" s="438" t="s">
        <v>38</v>
      </c>
      <c r="J844" s="439">
        <v>13763.0</v>
      </c>
      <c r="K844" s="440" t="s">
        <v>18148</v>
      </c>
    </row>
    <row r="845">
      <c r="A845" s="441">
        <v>45902.453518518516</v>
      </c>
      <c r="B845" s="442">
        <v>18239.0</v>
      </c>
      <c r="C845" s="442" t="s">
        <v>96</v>
      </c>
      <c r="D845" s="442" t="s">
        <v>1077</v>
      </c>
      <c r="E845" s="442">
        <v>9708.0</v>
      </c>
      <c r="F845" s="442" t="s">
        <v>33</v>
      </c>
      <c r="G845" s="442" t="s">
        <v>34</v>
      </c>
      <c r="H845" s="442" t="s">
        <v>49</v>
      </c>
      <c r="I845" s="442" t="s">
        <v>38</v>
      </c>
      <c r="J845" s="443">
        <v>13762.0</v>
      </c>
      <c r="K845" s="444" t="s">
        <v>18148</v>
      </c>
    </row>
    <row r="846">
      <c r="A846" s="437">
        <v>45902.45354166667</v>
      </c>
      <c r="B846" s="438">
        <v>18350.0</v>
      </c>
      <c r="C846" s="438" t="s">
        <v>12493</v>
      </c>
      <c r="D846" s="438" t="s">
        <v>72</v>
      </c>
      <c r="E846" s="438" t="s">
        <v>20137</v>
      </c>
      <c r="F846" s="438" t="s">
        <v>48</v>
      </c>
      <c r="G846" s="438" t="s">
        <v>35</v>
      </c>
      <c r="H846" s="438" t="s">
        <v>65</v>
      </c>
      <c r="I846" s="438" t="s">
        <v>38</v>
      </c>
      <c r="J846" s="439">
        <v>13764.0</v>
      </c>
      <c r="K846" s="440" t="s">
        <v>18148</v>
      </c>
    </row>
    <row r="847">
      <c r="A847" s="441">
        <v>45902.453622685185</v>
      </c>
      <c r="B847" s="442">
        <v>18300.0</v>
      </c>
      <c r="C847" s="442" t="s">
        <v>4313</v>
      </c>
      <c r="D847" s="442" t="s">
        <v>72</v>
      </c>
      <c r="E847" s="442" t="s">
        <v>19846</v>
      </c>
      <c r="F847" s="442" t="s">
        <v>48</v>
      </c>
      <c r="G847" s="442" t="s">
        <v>35</v>
      </c>
      <c r="H847" s="442" t="s">
        <v>92</v>
      </c>
      <c r="I847" s="442" t="s">
        <v>38</v>
      </c>
      <c r="J847" s="443">
        <v>13766.0</v>
      </c>
      <c r="K847" s="444" t="s">
        <v>18148</v>
      </c>
    </row>
    <row r="848">
      <c r="A848" s="437">
        <v>45902.453668981485</v>
      </c>
      <c r="B848" s="438">
        <v>18303.0</v>
      </c>
      <c r="C848" s="438" t="s">
        <v>13276</v>
      </c>
      <c r="D848" s="438" t="s">
        <v>4430</v>
      </c>
      <c r="E848" s="438" t="s">
        <v>19863</v>
      </c>
      <c r="F848" s="438" t="s">
        <v>48</v>
      </c>
      <c r="G848" s="438" t="s">
        <v>35</v>
      </c>
      <c r="H848" s="438" t="s">
        <v>92</v>
      </c>
      <c r="I848" s="438" t="s">
        <v>38</v>
      </c>
      <c r="J848" s="439">
        <v>13765.0</v>
      </c>
      <c r="K848" s="440" t="s">
        <v>18148</v>
      </c>
    </row>
    <row r="849">
      <c r="A849" s="441">
        <v>45902.54876157407</v>
      </c>
      <c r="B849" s="442" t="s">
        <v>20120</v>
      </c>
      <c r="C849" s="442" t="s">
        <v>8267</v>
      </c>
      <c r="D849" s="442" t="s">
        <v>3441</v>
      </c>
      <c r="E849" s="442" t="s">
        <v>20121</v>
      </c>
      <c r="F849" s="442" t="s">
        <v>48</v>
      </c>
      <c r="G849" s="442" t="s">
        <v>35</v>
      </c>
      <c r="H849" s="442" t="s">
        <v>65</v>
      </c>
      <c r="I849" s="442" t="s">
        <v>38</v>
      </c>
      <c r="J849" s="443">
        <v>13767.0</v>
      </c>
      <c r="K849" s="444" t="s">
        <v>18148</v>
      </c>
    </row>
    <row r="850">
      <c r="A850" s="437">
        <v>45902.54876157407</v>
      </c>
      <c r="B850" s="438" t="s">
        <v>20115</v>
      </c>
      <c r="C850" s="438" t="s">
        <v>8267</v>
      </c>
      <c r="D850" s="438" t="s">
        <v>3441</v>
      </c>
      <c r="E850" s="438" t="s">
        <v>20116</v>
      </c>
      <c r="F850" s="438" t="s">
        <v>48</v>
      </c>
      <c r="G850" s="438" t="s">
        <v>35</v>
      </c>
      <c r="H850" s="438" t="s">
        <v>65</v>
      </c>
      <c r="I850" s="438" t="s">
        <v>38</v>
      </c>
      <c r="J850" s="439">
        <v>13767.0</v>
      </c>
      <c r="K850" s="440" t="s">
        <v>18148</v>
      </c>
    </row>
    <row r="851">
      <c r="A851" s="441">
        <v>45902.606782407405</v>
      </c>
      <c r="B851" s="442" t="s">
        <v>20115</v>
      </c>
      <c r="C851" s="442" t="s">
        <v>8267</v>
      </c>
      <c r="D851" s="442" t="s">
        <v>3441</v>
      </c>
      <c r="E851" s="442" t="s">
        <v>20116</v>
      </c>
      <c r="F851" s="442" t="s">
        <v>48</v>
      </c>
      <c r="G851" s="442" t="s">
        <v>35</v>
      </c>
      <c r="H851" s="442" t="s">
        <v>518</v>
      </c>
      <c r="I851" s="442" t="s">
        <v>38</v>
      </c>
      <c r="J851" s="443">
        <v>13767.0</v>
      </c>
      <c r="K851" s="444" t="s">
        <v>18148</v>
      </c>
    </row>
    <row r="852">
      <c r="A852" s="437">
        <v>45902.606840277775</v>
      </c>
      <c r="B852" s="438" t="s">
        <v>20120</v>
      </c>
      <c r="C852" s="438" t="s">
        <v>8267</v>
      </c>
      <c r="D852" s="438" t="s">
        <v>3441</v>
      </c>
      <c r="E852" s="438" t="s">
        <v>20121</v>
      </c>
      <c r="F852" s="438" t="s">
        <v>48</v>
      </c>
      <c r="G852" s="438" t="s">
        <v>35</v>
      </c>
      <c r="H852" s="438" t="s">
        <v>518</v>
      </c>
      <c r="I852" s="438" t="s">
        <v>38</v>
      </c>
      <c r="J852" s="439">
        <v>13767.0</v>
      </c>
      <c r="K852" s="440" t="s">
        <v>18148</v>
      </c>
    </row>
    <row r="853">
      <c r="A853" s="441">
        <v>45903.41354166667</v>
      </c>
      <c r="B853" s="442">
        <v>18219.0</v>
      </c>
      <c r="C853" s="442" t="s">
        <v>19388</v>
      </c>
      <c r="D853" s="442" t="s">
        <v>4430</v>
      </c>
      <c r="E853" s="442" t="s">
        <v>19389</v>
      </c>
      <c r="F853" s="442" t="s">
        <v>48</v>
      </c>
      <c r="G853" s="442" t="s">
        <v>35</v>
      </c>
      <c r="H853" s="442" t="s">
        <v>65</v>
      </c>
      <c r="I853" s="442" t="s">
        <v>38</v>
      </c>
      <c r="J853" s="443">
        <v>13768.0</v>
      </c>
      <c r="K853" s="444" t="s">
        <v>18148</v>
      </c>
    </row>
    <row r="854">
      <c r="A854" s="437">
        <v>45903.413611111115</v>
      </c>
      <c r="B854" s="438" t="s">
        <v>19975</v>
      </c>
      <c r="C854" s="438" t="s">
        <v>7403</v>
      </c>
      <c r="D854" s="438" t="s">
        <v>47</v>
      </c>
      <c r="E854" s="438" t="s">
        <v>19976</v>
      </c>
      <c r="F854" s="438" t="s">
        <v>48</v>
      </c>
      <c r="G854" s="438" t="s">
        <v>35</v>
      </c>
      <c r="H854" s="438" t="s">
        <v>65</v>
      </c>
      <c r="I854" s="438" t="s">
        <v>38</v>
      </c>
      <c r="J854" s="439">
        <v>13769.0</v>
      </c>
      <c r="K854" s="440" t="s">
        <v>18148</v>
      </c>
    </row>
    <row r="855">
      <c r="A855" s="441">
        <v>45903.41364583333</v>
      </c>
      <c r="B855" s="442" t="s">
        <v>19980</v>
      </c>
      <c r="C855" s="442" t="s">
        <v>7403</v>
      </c>
      <c r="D855" s="442" t="s">
        <v>47</v>
      </c>
      <c r="E855" s="442" t="s">
        <v>19981</v>
      </c>
      <c r="F855" s="442" t="s">
        <v>48</v>
      </c>
      <c r="G855" s="442" t="s">
        <v>35</v>
      </c>
      <c r="H855" s="442" t="s">
        <v>65</v>
      </c>
      <c r="I855" s="442" t="s">
        <v>38</v>
      </c>
      <c r="J855" s="443">
        <v>13769.0</v>
      </c>
      <c r="K855" s="444" t="s">
        <v>18148</v>
      </c>
    </row>
    <row r="856">
      <c r="A856" s="437">
        <v>45903.413668981484</v>
      </c>
      <c r="B856" s="438">
        <v>18339.0</v>
      </c>
      <c r="C856" s="438" t="s">
        <v>8203</v>
      </c>
      <c r="D856" s="438" t="s">
        <v>72</v>
      </c>
      <c r="E856" s="438" t="s">
        <v>20089</v>
      </c>
      <c r="F856" s="438" t="s">
        <v>48</v>
      </c>
      <c r="G856" s="438" t="s">
        <v>35</v>
      </c>
      <c r="H856" s="438" t="s">
        <v>65</v>
      </c>
      <c r="I856" s="438" t="s">
        <v>38</v>
      </c>
      <c r="J856" s="439">
        <v>13770.0</v>
      </c>
      <c r="K856" s="440" t="s">
        <v>18148</v>
      </c>
    </row>
    <row r="857">
      <c r="A857" s="441">
        <v>45903.41386574074</v>
      </c>
      <c r="B857" s="442">
        <v>18342.0</v>
      </c>
      <c r="C857" s="442" t="s">
        <v>4352</v>
      </c>
      <c r="D857" s="442" t="s">
        <v>6133</v>
      </c>
      <c r="E857" s="442" t="s">
        <v>20102</v>
      </c>
      <c r="F857" s="442" t="s">
        <v>48</v>
      </c>
      <c r="G857" s="442" t="s">
        <v>35</v>
      </c>
      <c r="H857" s="442" t="s">
        <v>49</v>
      </c>
      <c r="I857" s="442" t="s">
        <v>38</v>
      </c>
      <c r="J857" s="443">
        <v>13771.0</v>
      </c>
      <c r="K857" s="444" t="s">
        <v>18148</v>
      </c>
    </row>
    <row r="858">
      <c r="A858" s="437">
        <v>45903.41390046296</v>
      </c>
      <c r="B858" s="438">
        <v>18344.0</v>
      </c>
      <c r="C858" s="438" t="s">
        <v>8267</v>
      </c>
      <c r="D858" s="438" t="s">
        <v>72</v>
      </c>
      <c r="E858" s="438" t="s">
        <v>20112</v>
      </c>
      <c r="F858" s="438" t="s">
        <v>48</v>
      </c>
      <c r="G858" s="438" t="s">
        <v>35</v>
      </c>
      <c r="H858" s="438" t="s">
        <v>518</v>
      </c>
      <c r="I858" s="438" t="s">
        <v>38</v>
      </c>
      <c r="J858" s="439">
        <v>13772.0</v>
      </c>
      <c r="K858" s="440" t="s">
        <v>18148</v>
      </c>
    </row>
    <row r="859">
      <c r="A859" s="441">
        <v>45903.45295138889</v>
      </c>
      <c r="B859" s="442">
        <v>18356.0</v>
      </c>
      <c r="C859" s="442" t="s">
        <v>115</v>
      </c>
      <c r="D859" s="442" t="s">
        <v>72</v>
      </c>
      <c r="E859" s="442" t="s">
        <v>20169</v>
      </c>
      <c r="F859" s="442" t="s">
        <v>48</v>
      </c>
      <c r="G859" s="442" t="s">
        <v>35</v>
      </c>
      <c r="H859" s="442" t="s">
        <v>92</v>
      </c>
      <c r="I859" s="442" t="s">
        <v>38</v>
      </c>
      <c r="J859" s="443">
        <v>13776.0</v>
      </c>
      <c r="K859" s="444" t="s">
        <v>18148</v>
      </c>
    </row>
    <row r="860">
      <c r="A860" s="437">
        <v>45903.45303240741</v>
      </c>
      <c r="B860" s="438">
        <v>18343.0</v>
      </c>
      <c r="C860" s="438" t="s">
        <v>4206</v>
      </c>
      <c r="D860" s="438" t="s">
        <v>3441</v>
      </c>
      <c r="E860" s="438" t="s">
        <v>20107</v>
      </c>
      <c r="F860" s="438" t="s">
        <v>48</v>
      </c>
      <c r="G860" s="438" t="s">
        <v>35</v>
      </c>
      <c r="H860" s="438" t="s">
        <v>92</v>
      </c>
      <c r="I860" s="438" t="s">
        <v>38</v>
      </c>
      <c r="J860" s="439">
        <v>13775.0</v>
      </c>
      <c r="K860" s="440" t="s">
        <v>18148</v>
      </c>
    </row>
    <row r="861">
      <c r="A861" s="441">
        <v>45903.453101851854</v>
      </c>
      <c r="B861" s="442" t="s">
        <v>20015</v>
      </c>
      <c r="C861" s="442" t="s">
        <v>4206</v>
      </c>
      <c r="D861" s="442" t="s">
        <v>4430</v>
      </c>
      <c r="E861" s="442" t="s">
        <v>20016</v>
      </c>
      <c r="F861" s="442" t="s">
        <v>48</v>
      </c>
      <c r="G861" s="442" t="s">
        <v>35</v>
      </c>
      <c r="H861" s="442" t="s">
        <v>92</v>
      </c>
      <c r="I861" s="442" t="s">
        <v>38</v>
      </c>
      <c r="J861" s="443">
        <v>13773.0</v>
      </c>
      <c r="K861" s="444" t="s">
        <v>18148</v>
      </c>
    </row>
    <row r="862">
      <c r="A862" s="437">
        <v>45903.45318287037</v>
      </c>
      <c r="B862" s="438" t="s">
        <v>20019</v>
      </c>
      <c r="C862" s="438" t="s">
        <v>4206</v>
      </c>
      <c r="D862" s="438" t="s">
        <v>72</v>
      </c>
      <c r="E862" s="438" t="s">
        <v>20020</v>
      </c>
      <c r="F862" s="438" t="s">
        <v>48</v>
      </c>
      <c r="G862" s="438" t="s">
        <v>35</v>
      </c>
      <c r="H862" s="438" t="s">
        <v>92</v>
      </c>
      <c r="I862" s="438" t="s">
        <v>38</v>
      </c>
      <c r="J862" s="439">
        <v>13773.0</v>
      </c>
      <c r="K862" s="440" t="s">
        <v>18148</v>
      </c>
    </row>
    <row r="863">
      <c r="A863" s="441">
        <v>45903.45321759259</v>
      </c>
      <c r="B863" s="442" t="s">
        <v>20010</v>
      </c>
      <c r="C863" s="442" t="s">
        <v>4206</v>
      </c>
      <c r="D863" s="442" t="s">
        <v>4430</v>
      </c>
      <c r="E863" s="442" t="s">
        <v>20011</v>
      </c>
      <c r="F863" s="442" t="s">
        <v>48</v>
      </c>
      <c r="G863" s="442" t="s">
        <v>35</v>
      </c>
      <c r="H863" s="442" t="s">
        <v>92</v>
      </c>
      <c r="I863" s="442" t="s">
        <v>38</v>
      </c>
      <c r="J863" s="443">
        <v>13773.0</v>
      </c>
      <c r="K863" s="444" t="s">
        <v>18148</v>
      </c>
    </row>
    <row r="864">
      <c r="A864" s="437">
        <v>45903.453356481485</v>
      </c>
      <c r="B864" s="438">
        <v>18013.0</v>
      </c>
      <c r="C864" s="438" t="s">
        <v>18084</v>
      </c>
      <c r="D864" s="438" t="s">
        <v>3441</v>
      </c>
      <c r="E864" s="438" t="s">
        <v>18085</v>
      </c>
      <c r="F864" s="438" t="s">
        <v>48</v>
      </c>
      <c r="G864" s="438" t="s">
        <v>35</v>
      </c>
      <c r="H864" s="438" t="s">
        <v>65</v>
      </c>
      <c r="I864" s="438" t="s">
        <v>38</v>
      </c>
      <c r="J864" s="439">
        <v>13774.0</v>
      </c>
      <c r="K864" s="440" t="s">
        <v>18148</v>
      </c>
    </row>
    <row r="865">
      <c r="A865" s="441">
        <v>45903.47587962963</v>
      </c>
      <c r="B865" s="442">
        <v>18346.0</v>
      </c>
      <c r="C865" s="442" t="s">
        <v>20125</v>
      </c>
      <c r="D865" s="442" t="s">
        <v>91</v>
      </c>
      <c r="E865" s="442" t="s">
        <v>20126</v>
      </c>
      <c r="F865" s="442" t="s">
        <v>48</v>
      </c>
      <c r="G865" s="442" t="s">
        <v>35</v>
      </c>
      <c r="H865" s="442" t="s">
        <v>65</v>
      </c>
      <c r="I865" s="442" t="s">
        <v>38</v>
      </c>
      <c r="J865" s="443">
        <v>13777.0</v>
      </c>
      <c r="K865" s="444" t="s">
        <v>18148</v>
      </c>
    </row>
    <row r="866">
      <c r="A866" s="437">
        <v>45903.475949074076</v>
      </c>
      <c r="B866" s="438">
        <v>18280.0</v>
      </c>
      <c r="C866" s="438" t="s">
        <v>19746</v>
      </c>
      <c r="D866" s="438" t="s">
        <v>91</v>
      </c>
      <c r="E866" s="438" t="s">
        <v>19747</v>
      </c>
      <c r="F866" s="438" t="s">
        <v>48</v>
      </c>
      <c r="G866" s="438" t="s">
        <v>35</v>
      </c>
      <c r="H866" s="438" t="s">
        <v>65</v>
      </c>
      <c r="I866" s="438" t="s">
        <v>38</v>
      </c>
      <c r="J866" s="439">
        <v>13778.0</v>
      </c>
      <c r="K866" s="440" t="s">
        <v>18148</v>
      </c>
    </row>
    <row r="867">
      <c r="A867" s="441">
        <v>45903.553148148145</v>
      </c>
      <c r="B867" s="442">
        <v>18191.0</v>
      </c>
      <c r="C867" s="442" t="s">
        <v>4293</v>
      </c>
      <c r="D867" s="442" t="s">
        <v>91</v>
      </c>
      <c r="E867" s="442" t="s">
        <v>19225</v>
      </c>
      <c r="F867" s="442" t="s">
        <v>48</v>
      </c>
      <c r="G867" s="442" t="s">
        <v>35</v>
      </c>
      <c r="H867" s="442" t="s">
        <v>65</v>
      </c>
      <c r="I867" s="442" t="s">
        <v>38</v>
      </c>
      <c r="J867" s="443">
        <v>13782.0</v>
      </c>
      <c r="K867" s="444" t="s">
        <v>18148</v>
      </c>
    </row>
    <row r="868">
      <c r="A868" s="437">
        <v>45903.55327546296</v>
      </c>
      <c r="B868" s="438">
        <v>18355.0</v>
      </c>
      <c r="C868" s="438" t="s">
        <v>8435</v>
      </c>
      <c r="D868" s="438" t="s">
        <v>72</v>
      </c>
      <c r="E868" s="438" t="s">
        <v>20164</v>
      </c>
      <c r="F868" s="438" t="s">
        <v>48</v>
      </c>
      <c r="G868" s="438" t="s">
        <v>35</v>
      </c>
      <c r="H868" s="438" t="s">
        <v>65</v>
      </c>
      <c r="I868" s="438" t="s">
        <v>38</v>
      </c>
      <c r="J868" s="439">
        <v>13780.0</v>
      </c>
      <c r="K868" s="440" t="s">
        <v>18148</v>
      </c>
    </row>
    <row r="869">
      <c r="A869" s="441">
        <v>45903.59049768518</v>
      </c>
      <c r="B869" s="442">
        <v>18351.0</v>
      </c>
      <c r="C869" s="442" t="s">
        <v>6153</v>
      </c>
      <c r="D869" s="442" t="s">
        <v>91</v>
      </c>
      <c r="E869" s="442" t="s">
        <v>20142</v>
      </c>
      <c r="F869" s="442" t="s">
        <v>48</v>
      </c>
      <c r="G869" s="442" t="s">
        <v>35</v>
      </c>
      <c r="H869" s="442" t="s">
        <v>65</v>
      </c>
      <c r="I869" s="442" t="s">
        <v>38</v>
      </c>
      <c r="J869" s="443">
        <v>13783.0</v>
      </c>
      <c r="K869" s="444" t="s">
        <v>18148</v>
      </c>
    </row>
    <row r="870">
      <c r="A870" s="437">
        <v>45904.381631944445</v>
      </c>
      <c r="B870" s="438">
        <v>18363.0</v>
      </c>
      <c r="C870" s="438" t="s">
        <v>11671</v>
      </c>
      <c r="D870" s="438" t="s">
        <v>91</v>
      </c>
      <c r="E870" s="438" t="s">
        <v>20184</v>
      </c>
      <c r="F870" s="438" t="s">
        <v>48</v>
      </c>
      <c r="G870" s="438" t="s">
        <v>35</v>
      </c>
      <c r="H870" s="438" t="s">
        <v>49</v>
      </c>
      <c r="I870" s="438" t="s">
        <v>38</v>
      </c>
      <c r="J870" s="439">
        <v>13784.0</v>
      </c>
      <c r="K870" s="440" t="s">
        <v>18148</v>
      </c>
    </row>
    <row r="871">
      <c r="A871" s="441">
        <v>45904.42423611111</v>
      </c>
      <c r="B871" s="442" t="s">
        <v>19574</v>
      </c>
      <c r="C871" s="442" t="s">
        <v>18792</v>
      </c>
      <c r="D871" s="442" t="s">
        <v>3441</v>
      </c>
      <c r="E871" s="442" t="s">
        <v>19575</v>
      </c>
      <c r="F871" s="442" t="s">
        <v>48</v>
      </c>
      <c r="G871" s="442" t="s">
        <v>35</v>
      </c>
      <c r="H871" s="442" t="s">
        <v>540</v>
      </c>
      <c r="I871" s="442" t="s">
        <v>38</v>
      </c>
      <c r="J871" s="443">
        <v>13786.0</v>
      </c>
      <c r="K871" s="444" t="s">
        <v>18148</v>
      </c>
    </row>
    <row r="872">
      <c r="A872" s="437">
        <v>45904.42429398148</v>
      </c>
      <c r="B872" s="438" t="s">
        <v>19568</v>
      </c>
      <c r="C872" s="438" t="s">
        <v>18792</v>
      </c>
      <c r="D872" s="438" t="s">
        <v>3441</v>
      </c>
      <c r="E872" s="438" t="s">
        <v>19569</v>
      </c>
      <c r="F872" s="438" t="s">
        <v>48</v>
      </c>
      <c r="G872" s="438" t="s">
        <v>35</v>
      </c>
      <c r="H872" s="438" t="s">
        <v>540</v>
      </c>
      <c r="I872" s="438" t="s">
        <v>38</v>
      </c>
      <c r="J872" s="439">
        <v>13786.0</v>
      </c>
      <c r="K872" s="440" t="s">
        <v>18148</v>
      </c>
    </row>
    <row r="873">
      <c r="A873" s="441">
        <v>45904.42438657407</v>
      </c>
      <c r="B873" s="442">
        <v>18291.0</v>
      </c>
      <c r="C873" s="442" t="s">
        <v>14663</v>
      </c>
      <c r="D873" s="442" t="s">
        <v>72</v>
      </c>
      <c r="E873" s="442" t="s">
        <v>19790</v>
      </c>
      <c r="F873" s="442" t="s">
        <v>48</v>
      </c>
      <c r="G873" s="442" t="s">
        <v>35</v>
      </c>
      <c r="H873" s="442" t="s">
        <v>65</v>
      </c>
      <c r="I873" s="442" t="s">
        <v>38</v>
      </c>
      <c r="J873" s="443">
        <v>13788.0</v>
      </c>
      <c r="K873" s="444" t="s">
        <v>18148</v>
      </c>
    </row>
    <row r="874">
      <c r="A874" s="437">
        <v>45904.42445601852</v>
      </c>
      <c r="B874" s="438" t="s">
        <v>19811</v>
      </c>
      <c r="C874" s="438" t="s">
        <v>8223</v>
      </c>
      <c r="D874" s="438" t="s">
        <v>72</v>
      </c>
      <c r="E874" s="438" t="s">
        <v>19812</v>
      </c>
      <c r="F874" s="438" t="s">
        <v>48</v>
      </c>
      <c r="G874" s="438" t="s">
        <v>35</v>
      </c>
      <c r="H874" s="438" t="s">
        <v>65</v>
      </c>
      <c r="I874" s="438" t="s">
        <v>38</v>
      </c>
      <c r="J874" s="439">
        <v>13787.0</v>
      </c>
      <c r="K874" s="440" t="s">
        <v>18148</v>
      </c>
    </row>
    <row r="875">
      <c r="A875" s="441">
        <v>45904.42445601852</v>
      </c>
      <c r="B875" s="442" t="s">
        <v>19807</v>
      </c>
      <c r="C875" s="442" t="s">
        <v>8223</v>
      </c>
      <c r="D875" s="442" t="s">
        <v>85</v>
      </c>
      <c r="E875" s="442" t="s">
        <v>19808</v>
      </c>
      <c r="F875" s="442" t="s">
        <v>48</v>
      </c>
      <c r="G875" s="442" t="s">
        <v>35</v>
      </c>
      <c r="H875" s="442" t="s">
        <v>65</v>
      </c>
      <c r="I875" s="442" t="s">
        <v>38</v>
      </c>
      <c r="J875" s="443">
        <v>13787.0</v>
      </c>
      <c r="K875" s="444" t="s">
        <v>18148</v>
      </c>
    </row>
    <row r="876">
      <c r="A876" s="437">
        <v>45904.42449074074</v>
      </c>
      <c r="B876" s="438" t="s">
        <v>19803</v>
      </c>
      <c r="C876" s="438" t="s">
        <v>8223</v>
      </c>
      <c r="D876" s="438" t="s">
        <v>6133</v>
      </c>
      <c r="E876" s="438" t="s">
        <v>19804</v>
      </c>
      <c r="F876" s="438" t="s">
        <v>48</v>
      </c>
      <c r="G876" s="438" t="s">
        <v>35</v>
      </c>
      <c r="H876" s="438" t="s">
        <v>65</v>
      </c>
      <c r="I876" s="438" t="s">
        <v>38</v>
      </c>
      <c r="J876" s="439">
        <v>13787.0</v>
      </c>
      <c r="K876" s="440" t="s">
        <v>18148</v>
      </c>
    </row>
    <row r="877">
      <c r="A877" s="441">
        <v>45904.42456018519</v>
      </c>
      <c r="B877" s="442" t="s">
        <v>19799</v>
      </c>
      <c r="C877" s="442" t="s">
        <v>8223</v>
      </c>
      <c r="D877" s="442" t="s">
        <v>91</v>
      </c>
      <c r="E877" s="442" t="s">
        <v>19800</v>
      </c>
      <c r="F877" s="442" t="s">
        <v>48</v>
      </c>
      <c r="G877" s="442" t="s">
        <v>35</v>
      </c>
      <c r="H877" s="442" t="s">
        <v>65</v>
      </c>
      <c r="I877" s="442" t="s">
        <v>38</v>
      </c>
      <c r="J877" s="443">
        <v>13787.0</v>
      </c>
      <c r="K877" s="444" t="s">
        <v>18148</v>
      </c>
    </row>
    <row r="878">
      <c r="A878" s="437">
        <v>45904.4246412037</v>
      </c>
      <c r="B878" s="438" t="s">
        <v>19794</v>
      </c>
      <c r="C878" s="438" t="s">
        <v>8223</v>
      </c>
      <c r="D878" s="438" t="s">
        <v>91</v>
      </c>
      <c r="E878" s="438" t="s">
        <v>19795</v>
      </c>
      <c r="F878" s="438" t="s">
        <v>48</v>
      </c>
      <c r="G878" s="438" t="s">
        <v>35</v>
      </c>
      <c r="H878" s="438" t="s">
        <v>65</v>
      </c>
      <c r="I878" s="438" t="s">
        <v>38</v>
      </c>
      <c r="J878" s="439">
        <v>13787.0</v>
      </c>
      <c r="K878" s="440" t="s">
        <v>18148</v>
      </c>
    </row>
    <row r="879">
      <c r="A879" s="441">
        <v>45905.47571759259</v>
      </c>
      <c r="B879" s="442" t="s">
        <v>20240</v>
      </c>
      <c r="C879" s="442" t="s">
        <v>14922</v>
      </c>
      <c r="D879" s="442" t="s">
        <v>112</v>
      </c>
      <c r="E879" s="442" t="s">
        <v>20241</v>
      </c>
      <c r="F879" s="442" t="s">
        <v>48</v>
      </c>
      <c r="G879" s="442" t="s">
        <v>35</v>
      </c>
      <c r="H879" s="442" t="s">
        <v>49</v>
      </c>
      <c r="I879" s="442" t="s">
        <v>1506</v>
      </c>
      <c r="J879" s="443">
        <v>13799.0</v>
      </c>
      <c r="K879" s="444" t="s">
        <v>18148</v>
      </c>
    </row>
    <row r="880">
      <c r="A880" s="437">
        <v>45905.475798611114</v>
      </c>
      <c r="B880" s="438" t="s">
        <v>20236</v>
      </c>
      <c r="C880" s="438" t="s">
        <v>14922</v>
      </c>
      <c r="D880" s="438" t="s">
        <v>91</v>
      </c>
      <c r="E880" s="438" t="s">
        <v>20237</v>
      </c>
      <c r="F880" s="438" t="s">
        <v>48</v>
      </c>
      <c r="G880" s="438" t="s">
        <v>35</v>
      </c>
      <c r="H880" s="438" t="s">
        <v>49</v>
      </c>
      <c r="I880" s="438" t="s">
        <v>1506</v>
      </c>
      <c r="J880" s="439">
        <v>13799.0</v>
      </c>
      <c r="K880" s="440" t="s">
        <v>18148</v>
      </c>
    </row>
    <row r="881">
      <c r="A881" s="441">
        <v>45905.47584490741</v>
      </c>
      <c r="B881" s="442" t="s">
        <v>20231</v>
      </c>
      <c r="C881" s="442" t="s">
        <v>14922</v>
      </c>
      <c r="D881" s="442" t="s">
        <v>3441</v>
      </c>
      <c r="E881" s="442" t="s">
        <v>20232</v>
      </c>
      <c r="F881" s="442" t="s">
        <v>48</v>
      </c>
      <c r="G881" s="442" t="s">
        <v>35</v>
      </c>
      <c r="H881" s="442" t="s">
        <v>49</v>
      </c>
      <c r="I881" s="442" t="s">
        <v>1506</v>
      </c>
      <c r="J881" s="443">
        <v>13799.0</v>
      </c>
      <c r="K881" s="444" t="s">
        <v>18148</v>
      </c>
    </row>
    <row r="882">
      <c r="A882" s="437">
        <v>45905.47589120371</v>
      </c>
      <c r="B882" s="438">
        <v>18374.0</v>
      </c>
      <c r="C882" s="438" t="s">
        <v>20245</v>
      </c>
      <c r="D882" s="438" t="s">
        <v>3441</v>
      </c>
      <c r="E882" s="438" t="s">
        <v>20246</v>
      </c>
      <c r="F882" s="438" t="s">
        <v>48</v>
      </c>
      <c r="G882" s="438" t="s">
        <v>35</v>
      </c>
      <c r="H882" s="438" t="s">
        <v>49</v>
      </c>
      <c r="I882" s="438" t="s">
        <v>19108</v>
      </c>
      <c r="J882" s="439">
        <v>13798.0</v>
      </c>
      <c r="K882" s="440" t="s">
        <v>18148</v>
      </c>
    </row>
    <row r="883">
      <c r="A883" s="441">
        <v>45905.47592592592</v>
      </c>
      <c r="B883" s="442" t="s">
        <v>20258</v>
      </c>
      <c r="C883" s="442" t="s">
        <v>11507</v>
      </c>
      <c r="D883" s="442" t="s">
        <v>18072</v>
      </c>
      <c r="E883" s="442" t="s">
        <v>20259</v>
      </c>
      <c r="F883" s="442"/>
      <c r="G883" s="442" t="s">
        <v>35</v>
      </c>
      <c r="H883" s="442" t="s">
        <v>49</v>
      </c>
      <c r="I883" s="442" t="s">
        <v>38</v>
      </c>
      <c r="J883" s="443">
        <v>13801.0</v>
      </c>
      <c r="K883" s="444" t="s">
        <v>18148</v>
      </c>
    </row>
    <row r="884">
      <c r="A884" s="437">
        <v>45905.475960648146</v>
      </c>
      <c r="B884" s="438">
        <v>18377.0</v>
      </c>
      <c r="C884" s="438" t="s">
        <v>911</v>
      </c>
      <c r="D884" s="438" t="s">
        <v>91</v>
      </c>
      <c r="E884" s="438" t="s">
        <v>20263</v>
      </c>
      <c r="F884" s="438" t="s">
        <v>48</v>
      </c>
      <c r="G884" s="438" t="s">
        <v>35</v>
      </c>
      <c r="H884" s="438" t="s">
        <v>49</v>
      </c>
      <c r="I884" s="438" t="s">
        <v>38</v>
      </c>
      <c r="J884" s="439">
        <v>13795.0</v>
      </c>
      <c r="K884" s="440" t="s">
        <v>18148</v>
      </c>
    </row>
    <row r="885">
      <c r="A885" s="441">
        <v>45905.47618055555</v>
      </c>
      <c r="B885" s="442">
        <v>18378.0</v>
      </c>
      <c r="C885" s="442" t="s">
        <v>147</v>
      </c>
      <c r="D885" s="442" t="s">
        <v>3441</v>
      </c>
      <c r="E885" s="442" t="s">
        <v>20268</v>
      </c>
      <c r="F885" s="442" t="s">
        <v>48</v>
      </c>
      <c r="G885" s="442" t="s">
        <v>35</v>
      </c>
      <c r="H885" s="442" t="s">
        <v>65</v>
      </c>
      <c r="I885" s="442" t="s">
        <v>38</v>
      </c>
      <c r="J885" s="443">
        <v>13796.0</v>
      </c>
      <c r="K885" s="444" t="s">
        <v>18148</v>
      </c>
    </row>
    <row r="886">
      <c r="A886" s="437">
        <v>45905.47646990741</v>
      </c>
      <c r="B886" s="438" t="s">
        <v>20254</v>
      </c>
      <c r="C886" s="438" t="s">
        <v>11507</v>
      </c>
      <c r="D886" s="438" t="s">
        <v>3441</v>
      </c>
      <c r="E886" s="438" t="s">
        <v>20255</v>
      </c>
      <c r="F886" s="438" t="s">
        <v>48</v>
      </c>
      <c r="G886" s="438" t="s">
        <v>35</v>
      </c>
      <c r="H886" s="438" t="s">
        <v>49</v>
      </c>
      <c r="I886" s="438" t="s">
        <v>38</v>
      </c>
      <c r="J886" s="439">
        <v>13801.0</v>
      </c>
      <c r="K886" s="440" t="s">
        <v>18148</v>
      </c>
    </row>
    <row r="887">
      <c r="A887" s="441">
        <v>45905.47657407408</v>
      </c>
      <c r="B887" s="442" t="s">
        <v>20060</v>
      </c>
      <c r="C887" s="442" t="s">
        <v>96</v>
      </c>
      <c r="D887" s="442" t="s">
        <v>98</v>
      </c>
      <c r="E887" s="442">
        <v>20281.0</v>
      </c>
      <c r="F887" s="442" t="s">
        <v>33</v>
      </c>
      <c r="G887" s="442" t="s">
        <v>34</v>
      </c>
      <c r="H887" s="442" t="s">
        <v>49</v>
      </c>
      <c r="I887" s="442" t="s">
        <v>38</v>
      </c>
      <c r="J887" s="443">
        <v>13791.0</v>
      </c>
      <c r="K887" s="444" t="s">
        <v>18148</v>
      </c>
    </row>
    <row r="888">
      <c r="A888" s="437">
        <v>45905.47670138889</v>
      </c>
      <c r="B888" s="438" t="s">
        <v>20056</v>
      </c>
      <c r="C888" s="438" t="s">
        <v>96</v>
      </c>
      <c r="D888" s="438" t="s">
        <v>98</v>
      </c>
      <c r="E888" s="438">
        <v>20280.0</v>
      </c>
      <c r="F888" s="438" t="s">
        <v>33</v>
      </c>
      <c r="G888" s="438" t="s">
        <v>34</v>
      </c>
      <c r="H888" s="438" t="s">
        <v>49</v>
      </c>
      <c r="I888" s="438" t="s">
        <v>38</v>
      </c>
      <c r="J888" s="439">
        <v>13791.0</v>
      </c>
      <c r="K888" s="440" t="s">
        <v>18148</v>
      </c>
    </row>
    <row r="889">
      <c r="A889" s="441">
        <v>45905.476875</v>
      </c>
      <c r="B889" s="442">
        <v>18341.0</v>
      </c>
      <c r="C889" s="442" t="s">
        <v>17465</v>
      </c>
      <c r="D889" s="442" t="s">
        <v>3441</v>
      </c>
      <c r="E889" s="442" t="s">
        <v>20098</v>
      </c>
      <c r="F889" s="442" t="s">
        <v>48</v>
      </c>
      <c r="G889" s="442" t="s">
        <v>35</v>
      </c>
      <c r="H889" s="442" t="s">
        <v>65</v>
      </c>
      <c r="I889" s="442" t="s">
        <v>38</v>
      </c>
      <c r="J889" s="443">
        <v>13794.0</v>
      </c>
      <c r="K889" s="444" t="s">
        <v>18148</v>
      </c>
    </row>
    <row r="890">
      <c r="A890" s="437">
        <v>45905.477002314816</v>
      </c>
      <c r="B890" s="438">
        <v>18295.0</v>
      </c>
      <c r="C890" s="438" t="s">
        <v>473</v>
      </c>
      <c r="D890" s="438" t="s">
        <v>85</v>
      </c>
      <c r="E890" s="438" t="s">
        <v>19820</v>
      </c>
      <c r="F890" s="438" t="s">
        <v>48</v>
      </c>
      <c r="G890" s="438" t="s">
        <v>35</v>
      </c>
      <c r="H890" s="438" t="s">
        <v>65</v>
      </c>
      <c r="I890" s="438" t="s">
        <v>38</v>
      </c>
      <c r="J890" s="439">
        <v>13793.0</v>
      </c>
      <c r="K890" s="440" t="s">
        <v>18148</v>
      </c>
    </row>
    <row r="891">
      <c r="A891" s="441">
        <v>45905.477013888885</v>
      </c>
      <c r="B891" s="442">
        <v>18323.0</v>
      </c>
      <c r="C891" s="442" t="s">
        <v>5277</v>
      </c>
      <c r="D891" s="442" t="s">
        <v>15373</v>
      </c>
      <c r="E891" s="442">
        <v>20234.0</v>
      </c>
      <c r="F891" s="442" t="s">
        <v>48</v>
      </c>
      <c r="G891" s="442" t="s">
        <v>35</v>
      </c>
      <c r="H891" s="442" t="s">
        <v>65</v>
      </c>
      <c r="I891" s="442" t="s">
        <v>38</v>
      </c>
      <c r="J891" s="443">
        <v>13800.0</v>
      </c>
      <c r="K891" s="444" t="s">
        <v>18148</v>
      </c>
    </row>
    <row r="892">
      <c r="A892" s="437">
        <v>45905.477175925924</v>
      </c>
      <c r="B892" s="438">
        <v>18282.0</v>
      </c>
      <c r="C892" s="438" t="s">
        <v>18792</v>
      </c>
      <c r="D892" s="438" t="s">
        <v>3441</v>
      </c>
      <c r="E892" s="438" t="s">
        <v>19752</v>
      </c>
      <c r="F892" s="438" t="s">
        <v>48</v>
      </c>
      <c r="G892" s="438" t="s">
        <v>35</v>
      </c>
      <c r="H892" s="438" t="s">
        <v>65</v>
      </c>
      <c r="I892" s="438" t="s">
        <v>38</v>
      </c>
      <c r="J892" s="439">
        <v>13792.0</v>
      </c>
      <c r="K892" s="440" t="s">
        <v>18148</v>
      </c>
    </row>
    <row r="893">
      <c r="A893" s="441">
        <v>45905.47723379629</v>
      </c>
      <c r="B893" s="442">
        <v>18280.0</v>
      </c>
      <c r="C893" s="442" t="s">
        <v>19746</v>
      </c>
      <c r="D893" s="442" t="s">
        <v>91</v>
      </c>
      <c r="E893" s="442" t="s">
        <v>19747</v>
      </c>
      <c r="F893" s="442" t="s">
        <v>48</v>
      </c>
      <c r="G893" s="442" t="s">
        <v>35</v>
      </c>
      <c r="H893" s="442" t="s">
        <v>65</v>
      </c>
      <c r="I893" s="442" t="s">
        <v>38</v>
      </c>
      <c r="J893" s="443">
        <v>13778.0</v>
      </c>
      <c r="K893" s="444" t="s">
        <v>18148</v>
      </c>
    </row>
    <row r="894">
      <c r="A894" s="437">
        <v>45905.491747685184</v>
      </c>
      <c r="B894" s="438">
        <v>18381.0</v>
      </c>
      <c r="C894" s="438" t="s">
        <v>3289</v>
      </c>
      <c r="D894" s="438" t="s">
        <v>72</v>
      </c>
      <c r="E894" s="438" t="s">
        <v>20285</v>
      </c>
      <c r="F894" s="438" t="s">
        <v>48</v>
      </c>
      <c r="G894" s="438" t="s">
        <v>35</v>
      </c>
      <c r="H894" s="438" t="s">
        <v>92</v>
      </c>
      <c r="I894" s="438" t="s">
        <v>38</v>
      </c>
      <c r="J894" s="439">
        <v>13802.0</v>
      </c>
      <c r="K894" s="440" t="s">
        <v>18148</v>
      </c>
    </row>
    <row r="895">
      <c r="A895" s="441">
        <v>45905.4953125</v>
      </c>
      <c r="B895" s="442">
        <v>18390.0</v>
      </c>
      <c r="C895" s="442" t="s">
        <v>5630</v>
      </c>
      <c r="D895" s="442" t="s">
        <v>4430</v>
      </c>
      <c r="E895" s="442" t="s">
        <v>20307</v>
      </c>
      <c r="F895" s="442" t="s">
        <v>48</v>
      </c>
      <c r="G895" s="442" t="s">
        <v>35</v>
      </c>
      <c r="H895" s="442" t="s">
        <v>49</v>
      </c>
      <c r="I895" s="442" t="s">
        <v>38</v>
      </c>
      <c r="J895" s="443">
        <v>13803.0</v>
      </c>
      <c r="K895" s="444" t="s">
        <v>18148</v>
      </c>
    </row>
    <row r="896">
      <c r="A896" s="437">
        <v>45908.423738425925</v>
      </c>
      <c r="B896" s="438" t="s">
        <v>18230</v>
      </c>
      <c r="C896" s="438" t="s">
        <v>3645</v>
      </c>
      <c r="D896" s="438" t="s">
        <v>72</v>
      </c>
      <c r="E896" s="438" t="s">
        <v>18231</v>
      </c>
      <c r="F896" s="438" t="s">
        <v>48</v>
      </c>
      <c r="G896" s="438" t="s">
        <v>35</v>
      </c>
      <c r="H896" s="438" t="s">
        <v>49</v>
      </c>
      <c r="I896" s="438" t="s">
        <v>38</v>
      </c>
      <c r="J896" s="439">
        <v>13807.0</v>
      </c>
      <c r="K896" s="440" t="s">
        <v>18148</v>
      </c>
    </row>
    <row r="897">
      <c r="A897" s="441">
        <v>45908.42383101852</v>
      </c>
      <c r="B897" s="442" t="s">
        <v>18234</v>
      </c>
      <c r="C897" s="442" t="s">
        <v>3645</v>
      </c>
      <c r="D897" s="442" t="s">
        <v>72</v>
      </c>
      <c r="E897" s="442" t="s">
        <v>18235</v>
      </c>
      <c r="F897" s="442" t="s">
        <v>48</v>
      </c>
      <c r="G897" s="442" t="s">
        <v>35</v>
      </c>
      <c r="H897" s="442" t="s">
        <v>49</v>
      </c>
      <c r="I897" s="442" t="s">
        <v>38</v>
      </c>
      <c r="J897" s="443">
        <v>13807.0</v>
      </c>
      <c r="K897" s="444" t="s">
        <v>18148</v>
      </c>
    </row>
    <row r="898">
      <c r="A898" s="437">
        <v>45908.42386574074</v>
      </c>
      <c r="B898" s="438" t="s">
        <v>18238</v>
      </c>
      <c r="C898" s="438" t="s">
        <v>3645</v>
      </c>
      <c r="D898" s="438" t="s">
        <v>72</v>
      </c>
      <c r="E898" s="438" t="s">
        <v>18239</v>
      </c>
      <c r="F898" s="438" t="s">
        <v>48</v>
      </c>
      <c r="G898" s="438" t="s">
        <v>35</v>
      </c>
      <c r="H898" s="438" t="s">
        <v>49</v>
      </c>
      <c r="I898" s="438" t="s">
        <v>38</v>
      </c>
      <c r="J898" s="439">
        <v>13807.0</v>
      </c>
      <c r="K898" s="440" t="s">
        <v>18148</v>
      </c>
    </row>
    <row r="899">
      <c r="A899" s="441">
        <v>45908.42388888889</v>
      </c>
      <c r="B899" s="442" t="s">
        <v>18249</v>
      </c>
      <c r="C899" s="442" t="s">
        <v>3645</v>
      </c>
      <c r="D899" s="442" t="s">
        <v>85</v>
      </c>
      <c r="E899" s="442" t="s">
        <v>18250</v>
      </c>
      <c r="F899" s="442" t="s">
        <v>48</v>
      </c>
      <c r="G899" s="442" t="s">
        <v>35</v>
      </c>
      <c r="H899" s="442" t="s">
        <v>49</v>
      </c>
      <c r="I899" s="442" t="s">
        <v>38</v>
      </c>
      <c r="J899" s="443">
        <v>13807.0</v>
      </c>
      <c r="K899" s="444" t="s">
        <v>18148</v>
      </c>
    </row>
    <row r="900">
      <c r="A900" s="437">
        <v>45908.42395833333</v>
      </c>
      <c r="B900" s="438" t="s">
        <v>18277</v>
      </c>
      <c r="C900" s="438" t="s">
        <v>3645</v>
      </c>
      <c r="D900" s="438" t="s">
        <v>91</v>
      </c>
      <c r="E900" s="438" t="s">
        <v>18278</v>
      </c>
      <c r="F900" s="438" t="s">
        <v>48</v>
      </c>
      <c r="G900" s="438" t="s">
        <v>35</v>
      </c>
      <c r="H900" s="438" t="s">
        <v>49</v>
      </c>
      <c r="I900" s="438" t="s">
        <v>38</v>
      </c>
      <c r="J900" s="439">
        <v>13807.0</v>
      </c>
      <c r="K900" s="440" t="s">
        <v>18148</v>
      </c>
    </row>
    <row r="901">
      <c r="A901" s="441">
        <v>45908.42400462963</v>
      </c>
      <c r="B901" s="442" t="s">
        <v>18285</v>
      </c>
      <c r="C901" s="442" t="s">
        <v>3645</v>
      </c>
      <c r="D901" s="442" t="s">
        <v>91</v>
      </c>
      <c r="E901" s="442" t="s">
        <v>18286</v>
      </c>
      <c r="F901" s="442" t="s">
        <v>48</v>
      </c>
      <c r="G901" s="442" t="s">
        <v>35</v>
      </c>
      <c r="H901" s="442" t="s">
        <v>49</v>
      </c>
      <c r="I901" s="442" t="s">
        <v>38</v>
      </c>
      <c r="J901" s="443">
        <v>13807.0</v>
      </c>
      <c r="K901" s="444" t="s">
        <v>18148</v>
      </c>
    </row>
    <row r="902">
      <c r="A902" s="437">
        <v>45908.4240162037</v>
      </c>
      <c r="B902" s="438" t="s">
        <v>18281</v>
      </c>
      <c r="C902" s="438" t="s">
        <v>3645</v>
      </c>
      <c r="D902" s="438" t="s">
        <v>91</v>
      </c>
      <c r="E902" s="438" t="s">
        <v>18282</v>
      </c>
      <c r="F902" s="438" t="s">
        <v>48</v>
      </c>
      <c r="G902" s="438" t="s">
        <v>35</v>
      </c>
      <c r="H902" s="438" t="s">
        <v>49</v>
      </c>
      <c r="I902" s="438" t="s">
        <v>38</v>
      </c>
      <c r="J902" s="439">
        <v>13807.0</v>
      </c>
      <c r="K902" s="440" t="s">
        <v>18148</v>
      </c>
    </row>
    <row r="903">
      <c r="A903" s="441">
        <v>45908.42407407407</v>
      </c>
      <c r="B903" s="442" t="s">
        <v>18289</v>
      </c>
      <c r="C903" s="442" t="s">
        <v>3645</v>
      </c>
      <c r="D903" s="442" t="s">
        <v>91</v>
      </c>
      <c r="E903" s="442" t="s">
        <v>18290</v>
      </c>
      <c r="F903" s="442" t="s">
        <v>48</v>
      </c>
      <c r="G903" s="442" t="s">
        <v>35</v>
      </c>
      <c r="H903" s="442" t="s">
        <v>49</v>
      </c>
      <c r="I903" s="442" t="s">
        <v>38</v>
      </c>
      <c r="J903" s="443">
        <v>13807.0</v>
      </c>
      <c r="K903" s="444" t="s">
        <v>18148</v>
      </c>
    </row>
    <row r="904">
      <c r="A904" s="437">
        <v>45908.42413194444</v>
      </c>
      <c r="B904" s="438" t="s">
        <v>18293</v>
      </c>
      <c r="C904" s="438" t="s">
        <v>3645</v>
      </c>
      <c r="D904" s="438" t="s">
        <v>91</v>
      </c>
      <c r="E904" s="438" t="s">
        <v>18294</v>
      </c>
      <c r="F904" s="438" t="s">
        <v>48</v>
      </c>
      <c r="G904" s="438" t="s">
        <v>35</v>
      </c>
      <c r="H904" s="438" t="s">
        <v>49</v>
      </c>
      <c r="I904" s="438" t="s">
        <v>38</v>
      </c>
      <c r="J904" s="439">
        <v>13807.0</v>
      </c>
      <c r="K904" s="440" t="s">
        <v>18148</v>
      </c>
    </row>
    <row r="905">
      <c r="A905" s="441">
        <v>45908.424166666664</v>
      </c>
      <c r="B905" s="442" t="s">
        <v>18309</v>
      </c>
      <c r="C905" s="442" t="s">
        <v>3645</v>
      </c>
      <c r="D905" s="442" t="s">
        <v>47</v>
      </c>
      <c r="E905" s="442" t="s">
        <v>18310</v>
      </c>
      <c r="F905" s="442" t="s">
        <v>48</v>
      </c>
      <c r="G905" s="442" t="s">
        <v>35</v>
      </c>
      <c r="H905" s="442" t="s">
        <v>49</v>
      </c>
      <c r="I905" s="442" t="s">
        <v>38</v>
      </c>
      <c r="J905" s="443">
        <v>13807.0</v>
      </c>
      <c r="K905" s="444" t="s">
        <v>18148</v>
      </c>
    </row>
    <row r="906">
      <c r="A906" s="437">
        <v>45908.42417824074</v>
      </c>
      <c r="B906" s="438" t="s">
        <v>18423</v>
      </c>
      <c r="C906" s="438" t="s">
        <v>4352</v>
      </c>
      <c r="D906" s="438" t="s">
        <v>3441</v>
      </c>
      <c r="E906" s="438" t="s">
        <v>18424</v>
      </c>
      <c r="F906" s="438" t="s">
        <v>48</v>
      </c>
      <c r="G906" s="438" t="s">
        <v>35</v>
      </c>
      <c r="H906" s="438" t="s">
        <v>49</v>
      </c>
      <c r="I906" s="438" t="s">
        <v>38</v>
      </c>
      <c r="J906" s="439">
        <v>13808.0</v>
      </c>
      <c r="K906" s="440" t="s">
        <v>18148</v>
      </c>
    </row>
    <row r="907">
      <c r="A907" s="441">
        <v>45908.424212962964</v>
      </c>
      <c r="B907" s="442" t="s">
        <v>18427</v>
      </c>
      <c r="C907" s="442" t="s">
        <v>4352</v>
      </c>
      <c r="D907" s="442" t="s">
        <v>3441</v>
      </c>
      <c r="E907" s="442" t="s">
        <v>18428</v>
      </c>
      <c r="F907" s="442" t="s">
        <v>48</v>
      </c>
      <c r="G907" s="442" t="s">
        <v>35</v>
      </c>
      <c r="H907" s="442" t="s">
        <v>49</v>
      </c>
      <c r="I907" s="442" t="s">
        <v>38</v>
      </c>
      <c r="J907" s="443">
        <v>13808.0</v>
      </c>
      <c r="K907" s="444" t="s">
        <v>18148</v>
      </c>
    </row>
    <row r="908">
      <c r="A908" s="437">
        <v>45908.424305555556</v>
      </c>
      <c r="B908" s="438" t="s">
        <v>18431</v>
      </c>
      <c r="C908" s="438" t="s">
        <v>4352</v>
      </c>
      <c r="D908" s="438" t="s">
        <v>3441</v>
      </c>
      <c r="E908" s="438" t="s">
        <v>18432</v>
      </c>
      <c r="F908" s="438" t="s">
        <v>48</v>
      </c>
      <c r="G908" s="438" t="s">
        <v>35</v>
      </c>
      <c r="H908" s="438" t="s">
        <v>49</v>
      </c>
      <c r="I908" s="438" t="s">
        <v>38</v>
      </c>
      <c r="J908" s="439">
        <v>13808.0</v>
      </c>
      <c r="K908" s="440" t="s">
        <v>18148</v>
      </c>
    </row>
    <row r="909">
      <c r="A909" s="441">
        <v>45908.4243287037</v>
      </c>
      <c r="B909" s="442" t="s">
        <v>18435</v>
      </c>
      <c r="C909" s="442" t="s">
        <v>4352</v>
      </c>
      <c r="D909" s="442" t="s">
        <v>3441</v>
      </c>
      <c r="E909" s="442" t="s">
        <v>18436</v>
      </c>
      <c r="F909" s="442" t="s">
        <v>48</v>
      </c>
      <c r="G909" s="442" t="s">
        <v>35</v>
      </c>
      <c r="H909" s="442" t="s">
        <v>49</v>
      </c>
      <c r="I909" s="442" t="s">
        <v>38</v>
      </c>
      <c r="J909" s="443">
        <v>13808.0</v>
      </c>
      <c r="K909" s="444" t="s">
        <v>18148</v>
      </c>
    </row>
    <row r="910">
      <c r="A910" s="437">
        <v>45908.42435185185</v>
      </c>
      <c r="B910" s="438" t="s">
        <v>18351</v>
      </c>
      <c r="C910" s="438" t="s">
        <v>4352</v>
      </c>
      <c r="D910" s="438" t="s">
        <v>85</v>
      </c>
      <c r="E910" s="438" t="s">
        <v>18352</v>
      </c>
      <c r="F910" s="438" t="s">
        <v>48</v>
      </c>
      <c r="G910" s="438" t="s">
        <v>35</v>
      </c>
      <c r="H910" s="438" t="s">
        <v>49</v>
      </c>
      <c r="I910" s="438" t="s">
        <v>38</v>
      </c>
      <c r="J910" s="439">
        <v>13808.0</v>
      </c>
      <c r="K910" s="440" t="s">
        <v>18148</v>
      </c>
    </row>
    <row r="911">
      <c r="A911" s="441">
        <v>45908.42438657407</v>
      </c>
      <c r="B911" s="442" t="s">
        <v>18355</v>
      </c>
      <c r="C911" s="442" t="s">
        <v>4352</v>
      </c>
      <c r="D911" s="442" t="s">
        <v>85</v>
      </c>
      <c r="E911" s="442" t="s">
        <v>18356</v>
      </c>
      <c r="F911" s="442" t="s">
        <v>48</v>
      </c>
      <c r="G911" s="442" t="s">
        <v>35</v>
      </c>
      <c r="H911" s="442" t="s">
        <v>49</v>
      </c>
      <c r="I911" s="442" t="s">
        <v>38</v>
      </c>
      <c r="J911" s="443">
        <v>13808.0</v>
      </c>
      <c r="K911" s="444" t="s">
        <v>18148</v>
      </c>
    </row>
    <row r="912">
      <c r="A912" s="437">
        <v>45908.42449074074</v>
      </c>
      <c r="B912" s="438" t="s">
        <v>18363</v>
      </c>
      <c r="C912" s="438" t="s">
        <v>4352</v>
      </c>
      <c r="D912" s="438" t="s">
        <v>85</v>
      </c>
      <c r="E912" s="438" t="s">
        <v>18364</v>
      </c>
      <c r="F912" s="438" t="s">
        <v>48</v>
      </c>
      <c r="G912" s="438" t="s">
        <v>35</v>
      </c>
      <c r="H912" s="438" t="s">
        <v>49</v>
      </c>
      <c r="I912" s="438" t="s">
        <v>38</v>
      </c>
      <c r="J912" s="439">
        <v>13808.0</v>
      </c>
      <c r="K912" s="440" t="s">
        <v>18148</v>
      </c>
    </row>
    <row r="913">
      <c r="A913" s="441">
        <v>45908.42456018519</v>
      </c>
      <c r="B913" s="442" t="s">
        <v>18367</v>
      </c>
      <c r="C913" s="442" t="s">
        <v>4352</v>
      </c>
      <c r="D913" s="442" t="s">
        <v>85</v>
      </c>
      <c r="E913" s="442" t="s">
        <v>18368</v>
      </c>
      <c r="F913" s="442" t="s">
        <v>48</v>
      </c>
      <c r="G913" s="442" t="s">
        <v>35</v>
      </c>
      <c r="H913" s="442" t="s">
        <v>49</v>
      </c>
      <c r="I913" s="442" t="s">
        <v>38</v>
      </c>
      <c r="J913" s="443">
        <v>13808.0</v>
      </c>
      <c r="K913" s="444" t="s">
        <v>18148</v>
      </c>
    </row>
    <row r="914">
      <c r="A914" s="437">
        <v>45908.42466435185</v>
      </c>
      <c r="B914" s="438" t="s">
        <v>18399</v>
      </c>
      <c r="C914" s="438" t="s">
        <v>4352</v>
      </c>
      <c r="D914" s="438" t="s">
        <v>91</v>
      </c>
      <c r="E914" s="438" t="s">
        <v>18400</v>
      </c>
      <c r="F914" s="438" t="s">
        <v>48</v>
      </c>
      <c r="G914" s="438" t="s">
        <v>35</v>
      </c>
      <c r="H914" s="438" t="s">
        <v>49</v>
      </c>
      <c r="I914" s="438" t="s">
        <v>38</v>
      </c>
      <c r="J914" s="439">
        <v>13808.0</v>
      </c>
      <c r="K914" s="440" t="s">
        <v>18148</v>
      </c>
    </row>
    <row r="915">
      <c r="A915" s="441">
        <v>45908.424675925926</v>
      </c>
      <c r="B915" s="442" t="s">
        <v>18371</v>
      </c>
      <c r="C915" s="442" t="s">
        <v>4352</v>
      </c>
      <c r="D915" s="442" t="s">
        <v>85</v>
      </c>
      <c r="E915" s="442" t="s">
        <v>18372</v>
      </c>
      <c r="F915" s="442" t="s">
        <v>48</v>
      </c>
      <c r="G915" s="442" t="s">
        <v>35</v>
      </c>
      <c r="H915" s="442" t="s">
        <v>49</v>
      </c>
      <c r="I915" s="442" t="s">
        <v>38</v>
      </c>
      <c r="J915" s="443">
        <v>13808.0</v>
      </c>
      <c r="K915" s="444" t="s">
        <v>18148</v>
      </c>
    </row>
    <row r="916">
      <c r="A916" s="437">
        <v>45908.424675925926</v>
      </c>
      <c r="B916" s="438" t="s">
        <v>18403</v>
      </c>
      <c r="C916" s="438" t="s">
        <v>4352</v>
      </c>
      <c r="D916" s="438" t="s">
        <v>91</v>
      </c>
      <c r="E916" s="438" t="s">
        <v>18404</v>
      </c>
      <c r="F916" s="438" t="s">
        <v>48</v>
      </c>
      <c r="G916" s="438" t="s">
        <v>35</v>
      </c>
      <c r="H916" s="438" t="s">
        <v>49</v>
      </c>
      <c r="I916" s="438" t="s">
        <v>38</v>
      </c>
      <c r="J916" s="439">
        <v>13808.0</v>
      </c>
      <c r="K916" s="440" t="s">
        <v>18148</v>
      </c>
    </row>
    <row r="917">
      <c r="A917" s="441">
        <v>45908.42476851852</v>
      </c>
      <c r="B917" s="442" t="s">
        <v>18411</v>
      </c>
      <c r="C917" s="442" t="s">
        <v>4352</v>
      </c>
      <c r="D917" s="442" t="s">
        <v>91</v>
      </c>
      <c r="E917" s="442" t="s">
        <v>18412</v>
      </c>
      <c r="F917" s="442" t="s">
        <v>48</v>
      </c>
      <c r="G917" s="442" t="s">
        <v>35</v>
      </c>
      <c r="H917" s="442" t="s">
        <v>49</v>
      </c>
      <c r="I917" s="442" t="s">
        <v>38</v>
      </c>
      <c r="J917" s="443">
        <v>13808.0</v>
      </c>
      <c r="K917" s="444" t="s">
        <v>18148</v>
      </c>
    </row>
    <row r="918">
      <c r="A918" s="437">
        <v>45908.424780092595</v>
      </c>
      <c r="B918" s="438" t="s">
        <v>18407</v>
      </c>
      <c r="C918" s="438" t="s">
        <v>4352</v>
      </c>
      <c r="D918" s="438" t="s">
        <v>91</v>
      </c>
      <c r="E918" s="438" t="s">
        <v>18408</v>
      </c>
      <c r="F918" s="438" t="s">
        <v>48</v>
      </c>
      <c r="G918" s="438" t="s">
        <v>35</v>
      </c>
      <c r="H918" s="438" t="s">
        <v>49</v>
      </c>
      <c r="I918" s="438" t="s">
        <v>38</v>
      </c>
      <c r="J918" s="439">
        <v>13808.0</v>
      </c>
      <c r="K918" s="440" t="s">
        <v>18148</v>
      </c>
    </row>
    <row r="919">
      <c r="A919" s="441">
        <v>45908.42481481482</v>
      </c>
      <c r="B919" s="442" t="s">
        <v>20188</v>
      </c>
      <c r="C919" s="442" t="s">
        <v>3645</v>
      </c>
      <c r="D919" s="442" t="s">
        <v>47</v>
      </c>
      <c r="E919" s="442" t="s">
        <v>20189</v>
      </c>
      <c r="F919" s="442" t="s">
        <v>48</v>
      </c>
      <c r="G919" s="442" t="s">
        <v>35</v>
      </c>
      <c r="H919" s="442" t="s">
        <v>49</v>
      </c>
      <c r="I919" s="442" t="s">
        <v>38</v>
      </c>
      <c r="J919" s="443">
        <v>13809.0</v>
      </c>
      <c r="K919" s="444" t="s">
        <v>18148</v>
      </c>
    </row>
    <row r="920">
      <c r="A920" s="437">
        <v>45908.42487268519</v>
      </c>
      <c r="B920" s="438" t="s">
        <v>20201</v>
      </c>
      <c r="C920" s="438" t="s">
        <v>3645</v>
      </c>
      <c r="D920" s="438" t="s">
        <v>112</v>
      </c>
      <c r="E920" s="438" t="s">
        <v>20202</v>
      </c>
      <c r="F920" s="438" t="s">
        <v>48</v>
      </c>
      <c r="G920" s="438" t="s">
        <v>35</v>
      </c>
      <c r="H920" s="438" t="s">
        <v>49</v>
      </c>
      <c r="I920" s="438" t="s">
        <v>38</v>
      </c>
      <c r="J920" s="439">
        <v>13809.0</v>
      </c>
      <c r="K920" s="440" t="s">
        <v>18148</v>
      </c>
    </row>
    <row r="921">
      <c r="A921" s="441">
        <v>45908.42493055556</v>
      </c>
      <c r="B921" s="442" t="s">
        <v>20193</v>
      </c>
      <c r="C921" s="442" t="s">
        <v>3645</v>
      </c>
      <c r="D921" s="442" t="s">
        <v>47</v>
      </c>
      <c r="E921" s="442" t="s">
        <v>20194</v>
      </c>
      <c r="F921" s="442" t="s">
        <v>48</v>
      </c>
      <c r="G921" s="442" t="s">
        <v>35</v>
      </c>
      <c r="H921" s="442" t="s">
        <v>49</v>
      </c>
      <c r="I921" s="442" t="s">
        <v>38</v>
      </c>
      <c r="J921" s="443">
        <v>13809.0</v>
      </c>
      <c r="K921" s="444" t="s">
        <v>18148</v>
      </c>
    </row>
    <row r="922">
      <c r="A922" s="437">
        <v>45908.42501157407</v>
      </c>
      <c r="B922" s="438" t="s">
        <v>20197</v>
      </c>
      <c r="C922" s="438" t="s">
        <v>3645</v>
      </c>
      <c r="D922" s="438" t="s">
        <v>47</v>
      </c>
      <c r="E922" s="438" t="s">
        <v>20198</v>
      </c>
      <c r="F922" s="438" t="s">
        <v>48</v>
      </c>
      <c r="G922" s="438" t="s">
        <v>35</v>
      </c>
      <c r="H922" s="438" t="s">
        <v>49</v>
      </c>
      <c r="I922" s="438" t="s">
        <v>38</v>
      </c>
      <c r="J922" s="439">
        <v>13809.0</v>
      </c>
      <c r="K922" s="440" t="s">
        <v>18148</v>
      </c>
    </row>
    <row r="923">
      <c r="A923" s="441">
        <v>45908.42503472222</v>
      </c>
      <c r="B923" s="442">
        <v>18366.0</v>
      </c>
      <c r="C923" s="442" t="s">
        <v>3645</v>
      </c>
      <c r="D923" s="442" t="s">
        <v>4430</v>
      </c>
      <c r="E923" s="442" t="s">
        <v>20206</v>
      </c>
      <c r="F923" s="442" t="s">
        <v>48</v>
      </c>
      <c r="G923" s="442" t="s">
        <v>35</v>
      </c>
      <c r="H923" s="442" t="s">
        <v>49</v>
      </c>
      <c r="I923" s="442" t="s">
        <v>38</v>
      </c>
      <c r="J923" s="443">
        <v>13810.0</v>
      </c>
      <c r="K923" s="444" t="s">
        <v>18148</v>
      </c>
    </row>
    <row r="924">
      <c r="A924" s="437">
        <v>45908.42505787037</v>
      </c>
      <c r="B924" s="438" t="s">
        <v>19568</v>
      </c>
      <c r="C924" s="438" t="s">
        <v>18792</v>
      </c>
      <c r="D924" s="438" t="s">
        <v>3441</v>
      </c>
      <c r="E924" s="438" t="s">
        <v>19569</v>
      </c>
      <c r="F924" s="438" t="s">
        <v>48</v>
      </c>
      <c r="G924" s="438" t="s">
        <v>35</v>
      </c>
      <c r="H924" s="438" t="s">
        <v>540</v>
      </c>
      <c r="I924" s="438" t="s">
        <v>38</v>
      </c>
      <c r="J924" s="439">
        <v>13786.0</v>
      </c>
      <c r="K924" s="440" t="s">
        <v>18148</v>
      </c>
    </row>
    <row r="925">
      <c r="A925" s="441">
        <v>45909.41793981481</v>
      </c>
      <c r="B925" s="442">
        <v>18359.0</v>
      </c>
      <c r="C925" s="442" t="s">
        <v>20174</v>
      </c>
      <c r="D925" s="442" t="s">
        <v>713</v>
      </c>
      <c r="E925" s="442">
        <v>20077.0</v>
      </c>
      <c r="F925" s="442" t="s">
        <v>33</v>
      </c>
      <c r="G925" s="442" t="s">
        <v>35</v>
      </c>
      <c r="H925" s="442" t="s">
        <v>92</v>
      </c>
      <c r="I925" s="442" t="s">
        <v>38</v>
      </c>
      <c r="J925" s="443"/>
      <c r="K925" s="444" t="s">
        <v>18148</v>
      </c>
    </row>
    <row r="926">
      <c r="A926" s="437">
        <v>45909.418344907404</v>
      </c>
      <c r="B926" s="438">
        <v>18359.0</v>
      </c>
      <c r="C926" s="438" t="s">
        <v>20174</v>
      </c>
      <c r="D926" s="438" t="s">
        <v>713</v>
      </c>
      <c r="E926" s="438">
        <v>20077.0</v>
      </c>
      <c r="F926" s="438" t="s">
        <v>33</v>
      </c>
      <c r="G926" s="438" t="s">
        <v>35</v>
      </c>
      <c r="H926" s="438" t="s">
        <v>92</v>
      </c>
      <c r="I926" s="438" t="s">
        <v>38</v>
      </c>
      <c r="J926" s="439"/>
      <c r="K926" s="440" t="s">
        <v>18148</v>
      </c>
    </row>
    <row r="927">
      <c r="A927" s="441">
        <v>45909.41936342593</v>
      </c>
      <c r="B927" s="442">
        <v>18359.0</v>
      </c>
      <c r="C927" s="442" t="s">
        <v>20174</v>
      </c>
      <c r="D927" s="442" t="s">
        <v>713</v>
      </c>
      <c r="E927" s="442">
        <v>20077.0</v>
      </c>
      <c r="F927" s="442" t="s">
        <v>33</v>
      </c>
      <c r="G927" s="442" t="s">
        <v>35</v>
      </c>
      <c r="H927" s="442" t="s">
        <v>92</v>
      </c>
      <c r="I927" s="442" t="s">
        <v>38</v>
      </c>
      <c r="J927" s="443">
        <v>13823.0</v>
      </c>
      <c r="K927" s="444" t="s">
        <v>18148</v>
      </c>
    </row>
    <row r="928">
      <c r="A928" s="437">
        <v>45909.41994212963</v>
      </c>
      <c r="B928" s="438">
        <v>18359.0</v>
      </c>
      <c r="C928" s="438" t="s">
        <v>20174</v>
      </c>
      <c r="D928" s="438" t="s">
        <v>713</v>
      </c>
      <c r="E928" s="438">
        <v>20077.0</v>
      </c>
      <c r="F928" s="438" t="s">
        <v>33</v>
      </c>
      <c r="G928" s="438" t="s">
        <v>35</v>
      </c>
      <c r="H928" s="438" t="s">
        <v>92</v>
      </c>
      <c r="I928" s="438" t="s">
        <v>38</v>
      </c>
      <c r="J928" s="439">
        <v>13823.0</v>
      </c>
      <c r="K928" s="440" t="s">
        <v>18148</v>
      </c>
    </row>
    <row r="929">
      <c r="A929" s="441">
        <v>45909.420127314814</v>
      </c>
      <c r="B929" s="442">
        <v>18359.0</v>
      </c>
      <c r="C929" s="442" t="s">
        <v>20174</v>
      </c>
      <c r="D929" s="442" t="s">
        <v>713</v>
      </c>
      <c r="E929" s="442">
        <v>20077.0</v>
      </c>
      <c r="F929" s="442" t="s">
        <v>33</v>
      </c>
      <c r="G929" s="442" t="s">
        <v>35</v>
      </c>
      <c r="H929" s="442" t="s">
        <v>92</v>
      </c>
      <c r="I929" s="442" t="s">
        <v>38</v>
      </c>
      <c r="J929" s="443">
        <v>13823.0</v>
      </c>
      <c r="K929" s="444" t="s">
        <v>18148</v>
      </c>
    </row>
    <row r="930">
      <c r="A930" s="437">
        <v>45909.42074074074</v>
      </c>
      <c r="B930" s="438">
        <v>18371.0</v>
      </c>
      <c r="C930" s="438" t="s">
        <v>9359</v>
      </c>
      <c r="D930" s="438" t="s">
        <v>3441</v>
      </c>
      <c r="E930" s="438" t="s">
        <v>20227</v>
      </c>
      <c r="F930" s="438" t="s">
        <v>48</v>
      </c>
      <c r="G930" s="438" t="s">
        <v>35</v>
      </c>
      <c r="H930" s="438" t="s">
        <v>49</v>
      </c>
      <c r="I930" s="438" t="s">
        <v>518</v>
      </c>
      <c r="J930" s="439">
        <v>13821.0</v>
      </c>
      <c r="K930" s="440" t="s">
        <v>18148</v>
      </c>
    </row>
    <row r="931">
      <c r="A931" s="441">
        <v>45909.420798611114</v>
      </c>
      <c r="B931" s="442">
        <v>18405.0</v>
      </c>
      <c r="C931" s="442" t="s">
        <v>11733</v>
      </c>
      <c r="D931" s="442" t="s">
        <v>3441</v>
      </c>
      <c r="E931" s="442" t="s">
        <v>20378</v>
      </c>
      <c r="F931" s="442" t="s">
        <v>48</v>
      </c>
      <c r="G931" s="442" t="s">
        <v>35</v>
      </c>
      <c r="H931" s="442" t="s">
        <v>49</v>
      </c>
      <c r="I931" s="442" t="s">
        <v>38</v>
      </c>
      <c r="J931" s="443">
        <v>13820.0</v>
      </c>
      <c r="K931" s="444" t="s">
        <v>18148</v>
      </c>
    </row>
    <row r="932">
      <c r="A932" s="437">
        <v>45909.42086805555</v>
      </c>
      <c r="B932" s="438">
        <v>18393.0</v>
      </c>
      <c r="C932" s="438" t="s">
        <v>11733</v>
      </c>
      <c r="D932" s="438" t="s">
        <v>91</v>
      </c>
      <c r="E932" s="438" t="s">
        <v>20321</v>
      </c>
      <c r="F932" s="438" t="s">
        <v>48</v>
      </c>
      <c r="G932" s="438" t="s">
        <v>35</v>
      </c>
      <c r="H932" s="438" t="s">
        <v>49</v>
      </c>
      <c r="I932" s="438" t="s">
        <v>38</v>
      </c>
      <c r="J932" s="439">
        <v>13817.0</v>
      </c>
      <c r="K932" s="440" t="s">
        <v>18148</v>
      </c>
    </row>
    <row r="933">
      <c r="A933" s="441">
        <v>45909.42087962963</v>
      </c>
      <c r="B933" s="442" t="s">
        <v>20316</v>
      </c>
      <c r="C933" s="442" t="s">
        <v>5531</v>
      </c>
      <c r="D933" s="442" t="s">
        <v>47</v>
      </c>
      <c r="E933" s="442" t="s">
        <v>20317</v>
      </c>
      <c r="F933" s="442" t="s">
        <v>48</v>
      </c>
      <c r="G933" s="442" t="s">
        <v>35</v>
      </c>
      <c r="H933" s="442" t="s">
        <v>49</v>
      </c>
      <c r="I933" s="442" t="s">
        <v>19108</v>
      </c>
      <c r="J933" s="443">
        <v>13816.0</v>
      </c>
      <c r="K933" s="444" t="s">
        <v>18148</v>
      </c>
    </row>
    <row r="934">
      <c r="A934" s="437">
        <v>45909.42091435185</v>
      </c>
      <c r="B934" s="438" t="s">
        <v>20311</v>
      </c>
      <c r="C934" s="438" t="s">
        <v>5531</v>
      </c>
      <c r="D934" s="438" t="s">
        <v>47</v>
      </c>
      <c r="E934" s="438" t="s">
        <v>20312</v>
      </c>
      <c r="F934" s="438" t="s">
        <v>48</v>
      </c>
      <c r="G934" s="438" t="s">
        <v>35</v>
      </c>
      <c r="H934" s="438" t="s">
        <v>49</v>
      </c>
      <c r="I934" s="438" t="s">
        <v>19108</v>
      </c>
      <c r="J934" s="439">
        <v>13816.0</v>
      </c>
      <c r="K934" s="440" t="s">
        <v>18148</v>
      </c>
    </row>
    <row r="935">
      <c r="A935" s="441">
        <v>45909.4209375</v>
      </c>
      <c r="B935" s="442">
        <v>18267.0</v>
      </c>
      <c r="C935" s="442" t="s">
        <v>9895</v>
      </c>
      <c r="D935" s="442" t="s">
        <v>112</v>
      </c>
      <c r="E935" s="442" t="s">
        <v>19684</v>
      </c>
      <c r="F935" s="442" t="s">
        <v>48</v>
      </c>
      <c r="G935" s="442" t="s">
        <v>35</v>
      </c>
      <c r="H935" s="442" t="s">
        <v>49</v>
      </c>
      <c r="I935" s="442" t="s">
        <v>19685</v>
      </c>
      <c r="J935" s="443">
        <v>13813.0</v>
      </c>
      <c r="K935" s="444" t="s">
        <v>18148</v>
      </c>
    </row>
    <row r="936">
      <c r="A936" s="437">
        <v>45909.42099537037</v>
      </c>
      <c r="B936" s="438" t="s">
        <v>20347</v>
      </c>
      <c r="C936" s="438" t="s">
        <v>4711</v>
      </c>
      <c r="D936" s="438" t="s">
        <v>91</v>
      </c>
      <c r="E936" s="438" t="s">
        <v>20348</v>
      </c>
      <c r="F936" s="438" t="s">
        <v>48</v>
      </c>
      <c r="G936" s="438" t="s">
        <v>35</v>
      </c>
      <c r="H936" s="438" t="s">
        <v>65</v>
      </c>
      <c r="I936" s="438" t="s">
        <v>38</v>
      </c>
      <c r="J936" s="439">
        <v>13819.0</v>
      </c>
      <c r="K936" s="440" t="s">
        <v>18148</v>
      </c>
    </row>
    <row r="937">
      <c r="A937" s="441">
        <v>45909.42109953704</v>
      </c>
      <c r="B937" s="442" t="s">
        <v>20339</v>
      </c>
      <c r="C937" s="442" t="s">
        <v>4711</v>
      </c>
      <c r="D937" s="442" t="s">
        <v>112</v>
      </c>
      <c r="E937" s="442" t="s">
        <v>20340</v>
      </c>
      <c r="F937" s="442" t="s">
        <v>48</v>
      </c>
      <c r="G937" s="442" t="s">
        <v>35</v>
      </c>
      <c r="H937" s="442" t="s">
        <v>65</v>
      </c>
      <c r="I937" s="442" t="s">
        <v>38</v>
      </c>
      <c r="J937" s="443">
        <v>13819.0</v>
      </c>
      <c r="K937" s="444" t="s">
        <v>18148</v>
      </c>
    </row>
    <row r="938">
      <c r="A938" s="437">
        <v>45909.421111111114</v>
      </c>
      <c r="B938" s="438" t="s">
        <v>20343</v>
      </c>
      <c r="C938" s="438" t="s">
        <v>4711</v>
      </c>
      <c r="D938" s="438" t="s">
        <v>112</v>
      </c>
      <c r="E938" s="438" t="s">
        <v>20344</v>
      </c>
      <c r="F938" s="438" t="s">
        <v>48</v>
      </c>
      <c r="G938" s="438" t="s">
        <v>35</v>
      </c>
      <c r="H938" s="438" t="s">
        <v>65</v>
      </c>
      <c r="I938" s="438" t="s">
        <v>38</v>
      </c>
      <c r="J938" s="439">
        <v>13819.0</v>
      </c>
      <c r="K938" s="440" t="s">
        <v>18148</v>
      </c>
    </row>
    <row r="939">
      <c r="A939" s="441">
        <v>45909.42113425926</v>
      </c>
      <c r="B939" s="442" t="s">
        <v>20351</v>
      </c>
      <c r="C939" s="442" t="s">
        <v>4711</v>
      </c>
      <c r="D939" s="442" t="s">
        <v>91</v>
      </c>
      <c r="E939" s="442" t="s">
        <v>20352</v>
      </c>
      <c r="F939" s="442" t="s">
        <v>48</v>
      </c>
      <c r="G939" s="442" t="s">
        <v>35</v>
      </c>
      <c r="H939" s="442" t="s">
        <v>65</v>
      </c>
      <c r="I939" s="442" t="s">
        <v>38</v>
      </c>
      <c r="J939" s="443">
        <v>13819.0</v>
      </c>
      <c r="K939" s="444" t="s">
        <v>18148</v>
      </c>
    </row>
    <row r="940">
      <c r="A940" s="437">
        <v>45909.421215277776</v>
      </c>
      <c r="B940" s="438" t="s">
        <v>20334</v>
      </c>
      <c r="C940" s="438" t="s">
        <v>4711</v>
      </c>
      <c r="D940" s="438" t="s">
        <v>112</v>
      </c>
      <c r="E940" s="438" t="s">
        <v>20335</v>
      </c>
      <c r="F940" s="438" t="s">
        <v>48</v>
      </c>
      <c r="G940" s="438" t="s">
        <v>35</v>
      </c>
      <c r="H940" s="438" t="s">
        <v>65</v>
      </c>
      <c r="I940" s="438" t="s">
        <v>38</v>
      </c>
      <c r="J940" s="439">
        <v>13819.0</v>
      </c>
      <c r="K940" s="440" t="s">
        <v>18148</v>
      </c>
    </row>
    <row r="941">
      <c r="A941" s="441">
        <v>45909.42122685185</v>
      </c>
      <c r="B941" s="442">
        <v>18399.0</v>
      </c>
      <c r="C941" s="442" t="s">
        <v>7868</v>
      </c>
      <c r="D941" s="442" t="s">
        <v>3441</v>
      </c>
      <c r="E941" s="442" t="s">
        <v>20331</v>
      </c>
      <c r="F941" s="442" t="s">
        <v>48</v>
      </c>
      <c r="G941" s="442" t="s">
        <v>35</v>
      </c>
      <c r="H941" s="442" t="s">
        <v>65</v>
      </c>
      <c r="I941" s="442" t="s">
        <v>38</v>
      </c>
      <c r="J941" s="443">
        <v>13818.0</v>
      </c>
      <c r="K941" s="444" t="s">
        <v>18148</v>
      </c>
    </row>
    <row r="942">
      <c r="A942" s="437">
        <v>45909.4212962963</v>
      </c>
      <c r="B942" s="438">
        <v>18368.0</v>
      </c>
      <c r="C942" s="438" t="s">
        <v>20215</v>
      </c>
      <c r="D942" s="438" t="s">
        <v>3441</v>
      </c>
      <c r="E942" s="438" t="s">
        <v>20216</v>
      </c>
      <c r="F942" s="438" t="s">
        <v>48</v>
      </c>
      <c r="G942" s="438" t="s">
        <v>35</v>
      </c>
      <c r="H942" s="438" t="s">
        <v>65</v>
      </c>
      <c r="I942" s="438" t="s">
        <v>38</v>
      </c>
      <c r="J942" s="439">
        <v>13815.0</v>
      </c>
      <c r="K942" s="440" t="s">
        <v>18148</v>
      </c>
    </row>
    <row r="943">
      <c r="A943" s="441">
        <v>45909.421331018515</v>
      </c>
      <c r="B943" s="442">
        <v>18326.0</v>
      </c>
      <c r="C943" s="442" t="s">
        <v>18643</v>
      </c>
      <c r="D943" s="442" t="s">
        <v>85</v>
      </c>
      <c r="E943" s="442" t="s">
        <v>19985</v>
      </c>
      <c r="F943" s="442" t="s">
        <v>48</v>
      </c>
      <c r="G943" s="442" t="s">
        <v>35</v>
      </c>
      <c r="H943" s="442" t="s">
        <v>65</v>
      </c>
      <c r="I943" s="442" t="s">
        <v>38</v>
      </c>
      <c r="J943" s="443">
        <v>13814.0</v>
      </c>
      <c r="K943" s="444" t="s">
        <v>18148</v>
      </c>
    </row>
    <row r="944">
      <c r="A944" s="437">
        <v>45909.430497685185</v>
      </c>
      <c r="B944" s="438" t="s">
        <v>19459</v>
      </c>
      <c r="C944" s="438" t="s">
        <v>18904</v>
      </c>
      <c r="D944" s="438" t="s">
        <v>91</v>
      </c>
      <c r="E944" s="438" t="s">
        <v>19460</v>
      </c>
      <c r="F944" s="438" t="s">
        <v>48</v>
      </c>
      <c r="G944" s="438" t="s">
        <v>35</v>
      </c>
      <c r="H944" s="438" t="s">
        <v>65</v>
      </c>
      <c r="I944" s="438" t="s">
        <v>38</v>
      </c>
      <c r="J944" s="439">
        <v>13824.0</v>
      </c>
      <c r="K944" s="440" t="s">
        <v>18148</v>
      </c>
    </row>
    <row r="945">
      <c r="A945" s="441">
        <v>45909.430555555555</v>
      </c>
      <c r="B945" s="442" t="s">
        <v>19455</v>
      </c>
      <c r="C945" s="442" t="s">
        <v>18904</v>
      </c>
      <c r="D945" s="442" t="s">
        <v>91</v>
      </c>
      <c r="E945" s="442" t="s">
        <v>19456</v>
      </c>
      <c r="F945" s="442" t="s">
        <v>48</v>
      </c>
      <c r="G945" s="442" t="s">
        <v>35</v>
      </c>
      <c r="H945" s="442" t="s">
        <v>65</v>
      </c>
      <c r="I945" s="442" t="s">
        <v>38</v>
      </c>
      <c r="J945" s="443">
        <v>13824.0</v>
      </c>
      <c r="K945" s="444" t="s">
        <v>18148</v>
      </c>
    </row>
    <row r="946">
      <c r="A946" s="437">
        <v>45910.487175925926</v>
      </c>
      <c r="B946" s="438">
        <v>18411.0</v>
      </c>
      <c r="C946" s="438" t="s">
        <v>7511</v>
      </c>
      <c r="D946" s="438" t="s">
        <v>72</v>
      </c>
      <c r="E946" s="438" t="s">
        <v>20398</v>
      </c>
      <c r="F946" s="438" t="s">
        <v>48</v>
      </c>
      <c r="G946" s="438" t="s">
        <v>35</v>
      </c>
      <c r="H946" s="438" t="s">
        <v>49</v>
      </c>
      <c r="I946" s="438" t="s">
        <v>38</v>
      </c>
      <c r="J946" s="439">
        <v>13833.0</v>
      </c>
      <c r="K946" s="440" t="s">
        <v>18148</v>
      </c>
    </row>
    <row r="947">
      <c r="A947" s="441">
        <v>45910.487222222226</v>
      </c>
      <c r="B947" s="442" t="s">
        <v>20066</v>
      </c>
      <c r="C947" s="442" t="s">
        <v>96</v>
      </c>
      <c r="D947" s="442" t="s">
        <v>731</v>
      </c>
      <c r="E947" s="442">
        <v>20290.0</v>
      </c>
      <c r="F947" s="442" t="s">
        <v>33</v>
      </c>
      <c r="G947" s="442" t="s">
        <v>34</v>
      </c>
      <c r="H947" s="442" t="s">
        <v>49</v>
      </c>
      <c r="I947" s="442" t="s">
        <v>38</v>
      </c>
      <c r="J947" s="443">
        <v>13831.0</v>
      </c>
      <c r="K947" s="444" t="s">
        <v>18148</v>
      </c>
    </row>
    <row r="948">
      <c r="A948" s="437">
        <v>45910.48724537037</v>
      </c>
      <c r="B948" s="438" t="s">
        <v>20062</v>
      </c>
      <c r="C948" s="438" t="s">
        <v>96</v>
      </c>
      <c r="D948" s="438" t="s">
        <v>731</v>
      </c>
      <c r="E948" s="438">
        <v>20279.0</v>
      </c>
      <c r="F948" s="438" t="s">
        <v>33</v>
      </c>
      <c r="G948" s="438" t="s">
        <v>34</v>
      </c>
      <c r="H948" s="438" t="s">
        <v>49</v>
      </c>
      <c r="I948" s="438" t="s">
        <v>38</v>
      </c>
      <c r="J948" s="439">
        <v>13831.0</v>
      </c>
      <c r="K948" s="440" t="s">
        <v>18148</v>
      </c>
    </row>
    <row r="949">
      <c r="A949" s="441">
        <v>45910.48726851852</v>
      </c>
      <c r="B949" s="442">
        <v>18315.0</v>
      </c>
      <c r="C949" s="442" t="s">
        <v>96</v>
      </c>
      <c r="D949" s="442" t="s">
        <v>135</v>
      </c>
      <c r="E949" s="442">
        <v>20268.0</v>
      </c>
      <c r="F949" s="442" t="s">
        <v>48</v>
      </c>
      <c r="G949" s="442" t="s">
        <v>35</v>
      </c>
      <c r="H949" s="442" t="s">
        <v>49</v>
      </c>
      <c r="I949" s="442" t="s">
        <v>38</v>
      </c>
      <c r="J949" s="443">
        <v>13830.0</v>
      </c>
      <c r="K949" s="444" t="s">
        <v>18148</v>
      </c>
    </row>
    <row r="950">
      <c r="A950" s="437">
        <v>45910.48737268519</v>
      </c>
      <c r="B950" s="438">
        <v>18401.0</v>
      </c>
      <c r="C950" s="438" t="s">
        <v>3883</v>
      </c>
      <c r="D950" s="438" t="s">
        <v>72</v>
      </c>
      <c r="E950" s="438" t="s">
        <v>20356</v>
      </c>
      <c r="F950" s="438" t="s">
        <v>48</v>
      </c>
      <c r="G950" s="438" t="s">
        <v>35</v>
      </c>
      <c r="H950" s="438" t="s">
        <v>65</v>
      </c>
      <c r="I950" s="438" t="s">
        <v>38</v>
      </c>
      <c r="J950" s="439">
        <v>13834.0</v>
      </c>
      <c r="K950" s="440" t="s">
        <v>18148</v>
      </c>
    </row>
    <row r="951">
      <c r="A951" s="441">
        <v>45910.487395833334</v>
      </c>
      <c r="B951" s="442">
        <v>18418.0</v>
      </c>
      <c r="C951" s="442" t="s">
        <v>5674</v>
      </c>
      <c r="D951" s="442" t="s">
        <v>47</v>
      </c>
      <c r="E951" s="442" t="s">
        <v>20428</v>
      </c>
      <c r="F951" s="442" t="s">
        <v>48</v>
      </c>
      <c r="G951" s="442" t="s">
        <v>35</v>
      </c>
      <c r="H951" s="442" t="s">
        <v>65</v>
      </c>
      <c r="I951" s="442" t="s">
        <v>38</v>
      </c>
      <c r="J951" s="443">
        <v>13832.0</v>
      </c>
      <c r="K951" s="444" t="s">
        <v>18148</v>
      </c>
    </row>
    <row r="952">
      <c r="A952" s="437">
        <v>45910.54877314815</v>
      </c>
      <c r="B952" s="438">
        <v>18417.0</v>
      </c>
      <c r="C952" s="438" t="s">
        <v>4941</v>
      </c>
      <c r="D952" s="438" t="s">
        <v>112</v>
      </c>
      <c r="E952" s="438" t="s">
        <v>20422</v>
      </c>
      <c r="F952" s="438" t="s">
        <v>48</v>
      </c>
      <c r="G952" s="438" t="s">
        <v>35</v>
      </c>
      <c r="H952" s="438" t="s">
        <v>92</v>
      </c>
      <c r="I952" s="438" t="s">
        <v>38</v>
      </c>
      <c r="J952" s="439">
        <v>13835.0</v>
      </c>
      <c r="K952" s="440" t="s">
        <v>18148</v>
      </c>
    </row>
    <row r="953">
      <c r="A953" s="441">
        <v>45911.530335648145</v>
      </c>
      <c r="B953" s="442" t="s">
        <v>20516</v>
      </c>
      <c r="C953" s="442" t="s">
        <v>8041</v>
      </c>
      <c r="D953" s="442" t="s">
        <v>85</v>
      </c>
      <c r="E953" s="442" t="s">
        <v>20517</v>
      </c>
      <c r="F953" s="442" t="s">
        <v>48</v>
      </c>
      <c r="G953" s="442" t="s">
        <v>35</v>
      </c>
      <c r="H953" s="442" t="s">
        <v>49</v>
      </c>
      <c r="I953" s="442" t="s">
        <v>38</v>
      </c>
      <c r="J953" s="443">
        <v>13840.0</v>
      </c>
      <c r="K953" s="444" t="s">
        <v>18148</v>
      </c>
    </row>
    <row r="954">
      <c r="A954" s="437">
        <v>45911.53037037037</v>
      </c>
      <c r="B954" s="438" t="s">
        <v>20512</v>
      </c>
      <c r="C954" s="438" t="s">
        <v>8041</v>
      </c>
      <c r="D954" s="438" t="s">
        <v>85</v>
      </c>
      <c r="E954" s="438" t="s">
        <v>20513</v>
      </c>
      <c r="F954" s="438" t="s">
        <v>48</v>
      </c>
      <c r="G954" s="438" t="s">
        <v>35</v>
      </c>
      <c r="H954" s="438" t="s">
        <v>49</v>
      </c>
      <c r="I954" s="438" t="s">
        <v>38</v>
      </c>
      <c r="J954" s="439">
        <v>13840.0</v>
      </c>
      <c r="K954" s="440" t="s">
        <v>18148</v>
      </c>
    </row>
    <row r="955">
      <c r="A955" s="441">
        <v>45911.53040509259</v>
      </c>
      <c r="B955" s="442" t="s">
        <v>20508</v>
      </c>
      <c r="C955" s="442" t="s">
        <v>8041</v>
      </c>
      <c r="D955" s="442" t="s">
        <v>85</v>
      </c>
      <c r="E955" s="442" t="s">
        <v>20509</v>
      </c>
      <c r="F955" s="442" t="s">
        <v>48</v>
      </c>
      <c r="G955" s="442" t="s">
        <v>35</v>
      </c>
      <c r="H955" s="442" t="s">
        <v>49</v>
      </c>
      <c r="I955" s="442" t="s">
        <v>38</v>
      </c>
      <c r="J955" s="443">
        <v>13840.0</v>
      </c>
      <c r="K955" s="444" t="s">
        <v>18148</v>
      </c>
    </row>
    <row r="956">
      <c r="A956" s="437">
        <v>45911.530439814815</v>
      </c>
      <c r="B956" s="438" t="s">
        <v>20503</v>
      </c>
      <c r="C956" s="438" t="s">
        <v>8041</v>
      </c>
      <c r="D956" s="438" t="s">
        <v>85</v>
      </c>
      <c r="E956" s="438" t="s">
        <v>20504</v>
      </c>
      <c r="F956" s="438" t="s">
        <v>48</v>
      </c>
      <c r="G956" s="438" t="s">
        <v>35</v>
      </c>
      <c r="H956" s="438" t="s">
        <v>49</v>
      </c>
      <c r="I956" s="438" t="s">
        <v>38</v>
      </c>
      <c r="J956" s="439">
        <v>13840.0</v>
      </c>
      <c r="K956" s="440" t="s">
        <v>18148</v>
      </c>
    </row>
    <row r="957">
      <c r="A957" s="441">
        <v>45911.53053240741</v>
      </c>
      <c r="B957" s="442">
        <v>18429.0</v>
      </c>
      <c r="C957" s="442" t="s">
        <v>5323</v>
      </c>
      <c r="D957" s="442" t="s">
        <v>85</v>
      </c>
      <c r="E957" s="442" t="s">
        <v>20500</v>
      </c>
      <c r="F957" s="442" t="s">
        <v>48</v>
      </c>
      <c r="G957" s="442" t="s">
        <v>35</v>
      </c>
      <c r="H957" s="442" t="s">
        <v>49</v>
      </c>
      <c r="I957" s="442" t="s">
        <v>38</v>
      </c>
      <c r="J957" s="443">
        <v>13839.0</v>
      </c>
      <c r="K957" s="444" t="s">
        <v>18148</v>
      </c>
    </row>
    <row r="958">
      <c r="A958" s="437">
        <v>45911.53057870371</v>
      </c>
      <c r="B958" s="438">
        <v>18427.0</v>
      </c>
      <c r="C958" s="438" t="s">
        <v>20491</v>
      </c>
      <c r="D958" s="438" t="s">
        <v>85</v>
      </c>
      <c r="E958" s="438" t="s">
        <v>20492</v>
      </c>
      <c r="F958" s="438" t="s">
        <v>48</v>
      </c>
      <c r="G958" s="438" t="s">
        <v>35</v>
      </c>
      <c r="H958" s="438" t="s">
        <v>49</v>
      </c>
      <c r="I958" s="438" t="s">
        <v>38</v>
      </c>
      <c r="J958" s="439">
        <v>13838.0</v>
      </c>
      <c r="K958" s="440" t="s">
        <v>18148</v>
      </c>
    </row>
    <row r="959">
      <c r="A959" s="441">
        <v>45911.53061342592</v>
      </c>
      <c r="B959" s="442">
        <v>18426.0</v>
      </c>
      <c r="C959" s="442" t="s">
        <v>11507</v>
      </c>
      <c r="D959" s="442" t="s">
        <v>85</v>
      </c>
      <c r="E959" s="442" t="s">
        <v>20487</v>
      </c>
      <c r="F959" s="442" t="s">
        <v>48</v>
      </c>
      <c r="G959" s="442" t="s">
        <v>35</v>
      </c>
      <c r="H959" s="442" t="s">
        <v>49</v>
      </c>
      <c r="I959" s="442" t="s">
        <v>38</v>
      </c>
      <c r="J959" s="443">
        <v>13837.0</v>
      </c>
      <c r="K959" s="444" t="s">
        <v>18148</v>
      </c>
    </row>
    <row r="960">
      <c r="A960" s="437">
        <v>45911.530648148146</v>
      </c>
      <c r="B960" s="438">
        <v>18425.0</v>
      </c>
      <c r="C960" s="438" t="s">
        <v>4090</v>
      </c>
      <c r="D960" s="438" t="s">
        <v>3441</v>
      </c>
      <c r="E960" s="438" t="s">
        <v>20483</v>
      </c>
      <c r="F960" s="438" t="s">
        <v>48</v>
      </c>
      <c r="G960" s="438" t="s">
        <v>35</v>
      </c>
      <c r="H960" s="438" t="s">
        <v>49</v>
      </c>
      <c r="I960" s="438" t="s">
        <v>38</v>
      </c>
      <c r="J960" s="439">
        <v>13836.0</v>
      </c>
      <c r="K960" s="440" t="s">
        <v>18148</v>
      </c>
    </row>
    <row r="961">
      <c r="A961" s="441">
        <v>45911.530694444446</v>
      </c>
      <c r="B961" s="442" t="s">
        <v>20467</v>
      </c>
      <c r="C961" s="442" t="s">
        <v>20463</v>
      </c>
      <c r="D961" s="442" t="s">
        <v>47</v>
      </c>
      <c r="E961" s="442" t="s">
        <v>20468</v>
      </c>
      <c r="F961" s="442" t="s">
        <v>48</v>
      </c>
      <c r="G961" s="442" t="s">
        <v>35</v>
      </c>
      <c r="H961" s="442" t="s">
        <v>49</v>
      </c>
      <c r="I961" s="442" t="s">
        <v>38</v>
      </c>
      <c r="J961" s="443">
        <v>13841.0</v>
      </c>
      <c r="K961" s="444" t="s">
        <v>18148</v>
      </c>
    </row>
    <row r="962">
      <c r="A962" s="437">
        <v>45911.53072916667</v>
      </c>
      <c r="B962" s="438" t="s">
        <v>20462</v>
      </c>
      <c r="C962" s="438" t="s">
        <v>20463</v>
      </c>
      <c r="D962" s="438" t="s">
        <v>47</v>
      </c>
      <c r="E962" s="438" t="s">
        <v>20464</v>
      </c>
      <c r="F962" s="438" t="s">
        <v>48</v>
      </c>
      <c r="G962" s="438" t="s">
        <v>35</v>
      </c>
      <c r="H962" s="438" t="s">
        <v>49</v>
      </c>
      <c r="I962" s="438" t="s">
        <v>38</v>
      </c>
      <c r="J962" s="439">
        <v>13841.0</v>
      </c>
      <c r="K962" s="440" t="s">
        <v>18148</v>
      </c>
    </row>
    <row r="963">
      <c r="A963" s="441">
        <v>45911.53078703704</v>
      </c>
      <c r="B963" s="442" t="s">
        <v>20373</v>
      </c>
      <c r="C963" s="442" t="s">
        <v>122</v>
      </c>
      <c r="D963" s="442" t="s">
        <v>47</v>
      </c>
      <c r="E963" s="442" t="s">
        <v>20374</v>
      </c>
      <c r="F963" s="442" t="s">
        <v>48</v>
      </c>
      <c r="G963" s="442" t="s">
        <v>35</v>
      </c>
      <c r="H963" s="442" t="s">
        <v>49</v>
      </c>
      <c r="I963" s="442" t="s">
        <v>38</v>
      </c>
      <c r="J963" s="443">
        <v>13842.0</v>
      </c>
      <c r="K963" s="444" t="s">
        <v>18148</v>
      </c>
    </row>
    <row r="964">
      <c r="A964" s="437">
        <v>45911.530798611115</v>
      </c>
      <c r="B964" s="438" t="s">
        <v>20368</v>
      </c>
      <c r="C964" s="438" t="s">
        <v>122</v>
      </c>
      <c r="D964" s="438" t="s">
        <v>47</v>
      </c>
      <c r="E964" s="438" t="s">
        <v>20369</v>
      </c>
      <c r="F964" s="438" t="s">
        <v>48</v>
      </c>
      <c r="G964" s="438" t="s">
        <v>35</v>
      </c>
      <c r="H964" s="438" t="s">
        <v>49</v>
      </c>
      <c r="I964" s="438" t="s">
        <v>38</v>
      </c>
      <c r="J964" s="439">
        <v>13842.0</v>
      </c>
      <c r="K964" s="440" t="s">
        <v>18148</v>
      </c>
    </row>
    <row r="965">
      <c r="A965" s="441">
        <v>45912.44805555556</v>
      </c>
      <c r="B965" s="442">
        <v>18431.0</v>
      </c>
      <c r="C965" s="442" t="s">
        <v>20521</v>
      </c>
      <c r="D965" s="442" t="s">
        <v>72</v>
      </c>
      <c r="E965" s="442" t="s">
        <v>20522</v>
      </c>
      <c r="F965" s="442" t="s">
        <v>48</v>
      </c>
      <c r="G965" s="442" t="s">
        <v>35</v>
      </c>
      <c r="H965" s="442" t="s">
        <v>49</v>
      </c>
      <c r="I965" s="442" t="s">
        <v>38</v>
      </c>
      <c r="J965" s="443">
        <v>13845.0</v>
      </c>
      <c r="K965" s="444" t="s">
        <v>18148</v>
      </c>
    </row>
    <row r="966">
      <c r="A966" s="437">
        <v>45912.44869212963</v>
      </c>
      <c r="B966" s="438">
        <v>18431.0</v>
      </c>
      <c r="C966" s="438" t="s">
        <v>20521</v>
      </c>
      <c r="D966" s="438" t="s">
        <v>72</v>
      </c>
      <c r="E966" s="438" t="s">
        <v>20522</v>
      </c>
      <c r="F966" s="438" t="s">
        <v>48</v>
      </c>
      <c r="G966" s="438" t="s">
        <v>35</v>
      </c>
      <c r="H966" s="438" t="s">
        <v>49</v>
      </c>
      <c r="I966" s="438" t="s">
        <v>38</v>
      </c>
      <c r="J966" s="439">
        <v>13845.0</v>
      </c>
      <c r="K966" s="440" t="s">
        <v>18148</v>
      </c>
    </row>
    <row r="967">
      <c r="A967" s="441">
        <v>45912.44883101852</v>
      </c>
      <c r="B967" s="442" t="s">
        <v>20599</v>
      </c>
      <c r="C967" s="442" t="s">
        <v>12937</v>
      </c>
      <c r="D967" s="442" t="s">
        <v>3441</v>
      </c>
      <c r="E967" s="442" t="s">
        <v>20600</v>
      </c>
      <c r="F967" s="442" t="s">
        <v>48</v>
      </c>
      <c r="G967" s="442" t="s">
        <v>35</v>
      </c>
      <c r="H967" s="442" t="s">
        <v>65</v>
      </c>
      <c r="I967" s="442" t="s">
        <v>38</v>
      </c>
      <c r="J967" s="443">
        <v>13843.0</v>
      </c>
      <c r="K967" s="444" t="s">
        <v>18148</v>
      </c>
    </row>
    <row r="968">
      <c r="A968" s="437">
        <v>45912.44893518519</v>
      </c>
      <c r="B968" s="438" t="s">
        <v>20591</v>
      </c>
      <c r="C968" s="438" t="s">
        <v>12937</v>
      </c>
      <c r="D968" s="438" t="s">
        <v>3441</v>
      </c>
      <c r="E968" s="438" t="s">
        <v>20592</v>
      </c>
      <c r="F968" s="438" t="s">
        <v>48</v>
      </c>
      <c r="G968" s="438" t="s">
        <v>35</v>
      </c>
      <c r="H968" s="438" t="s">
        <v>65</v>
      </c>
      <c r="I968" s="438" t="s">
        <v>38</v>
      </c>
      <c r="J968" s="439">
        <v>13843.0</v>
      </c>
      <c r="K968" s="440" t="s">
        <v>18148</v>
      </c>
    </row>
    <row r="969">
      <c r="A969" s="441">
        <v>45912.448958333334</v>
      </c>
      <c r="B969" s="442">
        <v>18379.0</v>
      </c>
      <c r="C969" s="442" t="s">
        <v>147</v>
      </c>
      <c r="D969" s="442" t="s">
        <v>3441</v>
      </c>
      <c r="E969" s="442" t="s">
        <v>20272</v>
      </c>
      <c r="F969" s="442" t="s">
        <v>48</v>
      </c>
      <c r="G969" s="442" t="s">
        <v>35</v>
      </c>
      <c r="H969" s="442" t="s">
        <v>65</v>
      </c>
      <c r="I969" s="442" t="s">
        <v>38</v>
      </c>
      <c r="J969" s="443">
        <v>13844.0</v>
      </c>
      <c r="K969" s="444" t="s">
        <v>18148</v>
      </c>
    </row>
    <row r="970">
      <c r="A970" s="437">
        <v>45912.449282407404</v>
      </c>
      <c r="B970" s="438" t="s">
        <v>20595</v>
      </c>
      <c r="C970" s="438" t="s">
        <v>12937</v>
      </c>
      <c r="D970" s="438" t="s">
        <v>3441</v>
      </c>
      <c r="E970" s="438" t="s">
        <v>20596</v>
      </c>
      <c r="F970" s="438" t="s">
        <v>48</v>
      </c>
      <c r="G970" s="438" t="s">
        <v>35</v>
      </c>
      <c r="H970" s="438" t="s">
        <v>65</v>
      </c>
      <c r="I970" s="438" t="s">
        <v>38</v>
      </c>
      <c r="J970" s="439">
        <v>13843.0</v>
      </c>
      <c r="K970" s="440" t="s">
        <v>18148</v>
      </c>
    </row>
    <row r="971">
      <c r="A971" s="441">
        <v>45912.466944444444</v>
      </c>
      <c r="B971" s="442" t="s">
        <v>20152</v>
      </c>
      <c r="C971" s="442" t="s">
        <v>20147</v>
      </c>
      <c r="D971" s="442" t="s">
        <v>6133</v>
      </c>
      <c r="E971" s="442" t="s">
        <v>20153</v>
      </c>
      <c r="F971" s="442" t="s">
        <v>48</v>
      </c>
      <c r="G971" s="442" t="s">
        <v>35</v>
      </c>
      <c r="H971" s="442" t="s">
        <v>49</v>
      </c>
      <c r="I971" s="442" t="s">
        <v>16881</v>
      </c>
      <c r="J971" s="443">
        <v>13846.0</v>
      </c>
      <c r="K971" s="444" t="s">
        <v>18148</v>
      </c>
    </row>
    <row r="972">
      <c r="A972" s="437">
        <v>45912.46701388889</v>
      </c>
      <c r="B972" s="438" t="s">
        <v>20146</v>
      </c>
      <c r="C972" s="438" t="s">
        <v>20147</v>
      </c>
      <c r="D972" s="438" t="s">
        <v>6133</v>
      </c>
      <c r="E972" s="438" t="s">
        <v>20148</v>
      </c>
      <c r="F972" s="438" t="s">
        <v>48</v>
      </c>
      <c r="G972" s="438" t="s">
        <v>35</v>
      </c>
      <c r="H972" s="438" t="s">
        <v>49</v>
      </c>
      <c r="I972" s="438" t="s">
        <v>16881</v>
      </c>
      <c r="J972" s="439">
        <v>13846.0</v>
      </c>
      <c r="K972" s="440" t="s">
        <v>18148</v>
      </c>
    </row>
    <row r="973">
      <c r="A973" s="441">
        <v>45912.494942129626</v>
      </c>
      <c r="B973" s="442">
        <v>18445.0</v>
      </c>
      <c r="C973" s="442" t="s">
        <v>11777</v>
      </c>
      <c r="D973" s="442" t="s">
        <v>3441</v>
      </c>
      <c r="E973" s="442" t="s">
        <v>20645</v>
      </c>
      <c r="F973" s="442" t="s">
        <v>48</v>
      </c>
      <c r="G973" s="442" t="s">
        <v>35</v>
      </c>
      <c r="H973" s="442" t="s">
        <v>518</v>
      </c>
      <c r="I973" s="442" t="s">
        <v>38</v>
      </c>
      <c r="J973" s="443">
        <v>13848.0</v>
      </c>
      <c r="K973" s="444" t="s">
        <v>18148</v>
      </c>
    </row>
    <row r="974">
      <c r="A974" s="437">
        <v>45912.49506944444</v>
      </c>
      <c r="B974" s="438">
        <v>18441.0</v>
      </c>
      <c r="C974" s="438" t="s">
        <v>20622</v>
      </c>
      <c r="D974" s="438" t="s">
        <v>47</v>
      </c>
      <c r="E974" s="438" t="s">
        <v>20623</v>
      </c>
      <c r="F974" s="438" t="s">
        <v>48</v>
      </c>
      <c r="G974" s="438" t="s">
        <v>35</v>
      </c>
      <c r="H974" s="438" t="s">
        <v>49</v>
      </c>
      <c r="I974" s="438" t="s">
        <v>20624</v>
      </c>
      <c r="J974" s="439">
        <v>13847.0</v>
      </c>
      <c r="K974" s="440" t="s">
        <v>18148</v>
      </c>
    </row>
    <row r="975">
      <c r="A975" s="441">
        <v>45912.607256944444</v>
      </c>
      <c r="B975" s="442">
        <v>18441.0</v>
      </c>
      <c r="C975" s="442" t="s">
        <v>20622</v>
      </c>
      <c r="D975" s="442" t="s">
        <v>47</v>
      </c>
      <c r="E975" s="442" t="s">
        <v>20623</v>
      </c>
      <c r="F975" s="442" t="s">
        <v>48</v>
      </c>
      <c r="G975" s="442" t="s">
        <v>35</v>
      </c>
      <c r="H975" s="442" t="s">
        <v>49</v>
      </c>
      <c r="I975" s="442" t="s">
        <v>20624</v>
      </c>
      <c r="J975" s="443">
        <v>13847.0</v>
      </c>
      <c r="K975" s="444" t="s">
        <v>18148</v>
      </c>
    </row>
    <row r="976">
      <c r="A976" s="437">
        <v>45912.609131944446</v>
      </c>
      <c r="B976" s="438">
        <v>18367.0</v>
      </c>
      <c r="C976" s="438" t="s">
        <v>3645</v>
      </c>
      <c r="D976" s="438" t="s">
        <v>14519</v>
      </c>
      <c r="E976" s="438">
        <v>20251.0</v>
      </c>
      <c r="F976" s="438" t="s">
        <v>48</v>
      </c>
      <c r="G976" s="438" t="s">
        <v>35</v>
      </c>
      <c r="H976" s="438" t="s">
        <v>49</v>
      </c>
      <c r="I976" s="438" t="s">
        <v>38</v>
      </c>
      <c r="J976" s="439">
        <v>13852.0</v>
      </c>
      <c r="K976" s="440" t="s">
        <v>18148</v>
      </c>
    </row>
    <row r="977">
      <c r="A977" s="441">
        <v>45912.60917824074</v>
      </c>
      <c r="B977" s="442">
        <v>18362.0</v>
      </c>
      <c r="C977" s="442" t="s">
        <v>3645</v>
      </c>
      <c r="D977" s="442" t="s">
        <v>14519</v>
      </c>
      <c r="E977" s="442">
        <v>20181.0</v>
      </c>
      <c r="F977" s="442" t="s">
        <v>48</v>
      </c>
      <c r="G977" s="442" t="s">
        <v>35</v>
      </c>
      <c r="H977" s="442" t="s">
        <v>49</v>
      </c>
      <c r="I977" s="442" t="s">
        <v>38</v>
      </c>
      <c r="J977" s="443">
        <v>13851.0</v>
      </c>
      <c r="K977" s="444" t="s">
        <v>18148</v>
      </c>
    </row>
    <row r="978">
      <c r="A978" s="437">
        <v>45912.61168981482</v>
      </c>
      <c r="B978" s="438">
        <v>18428.0</v>
      </c>
      <c r="C978" s="438" t="s">
        <v>5307</v>
      </c>
      <c r="D978" s="438" t="s">
        <v>47</v>
      </c>
      <c r="E978" s="438" t="s">
        <v>20496</v>
      </c>
      <c r="F978" s="438" t="s">
        <v>48</v>
      </c>
      <c r="G978" s="438" t="s">
        <v>35</v>
      </c>
      <c r="H978" s="438" t="s">
        <v>49</v>
      </c>
      <c r="I978" s="438" t="s">
        <v>38</v>
      </c>
      <c r="J978" s="439">
        <v>13850.0</v>
      </c>
      <c r="K978" s="440" t="s">
        <v>18148</v>
      </c>
    </row>
    <row r="979">
      <c r="A979" s="441">
        <v>45912.67053240741</v>
      </c>
      <c r="B979" s="442">
        <v>18449.0</v>
      </c>
      <c r="C979" s="442" t="s">
        <v>6153</v>
      </c>
      <c r="D979" s="442" t="s">
        <v>72</v>
      </c>
      <c r="E979" s="442" t="s">
        <v>20672</v>
      </c>
      <c r="F979" s="442" t="s">
        <v>48</v>
      </c>
      <c r="G979" s="442" t="s">
        <v>35</v>
      </c>
      <c r="H979" s="442" t="s">
        <v>92</v>
      </c>
      <c r="I979" s="442" t="s">
        <v>38</v>
      </c>
      <c r="J979" s="443">
        <v>13853.0</v>
      </c>
      <c r="K979" s="444" t="s">
        <v>18148</v>
      </c>
    </row>
    <row r="980">
      <c r="A980" s="437">
        <v>45915.46434027778</v>
      </c>
      <c r="B980" s="438">
        <v>18446.0</v>
      </c>
      <c r="C980" s="438" t="s">
        <v>20651</v>
      </c>
      <c r="D980" s="438" t="s">
        <v>85</v>
      </c>
      <c r="E980" s="438" t="s">
        <v>20652</v>
      </c>
      <c r="F980" s="438" t="s">
        <v>48</v>
      </c>
      <c r="G980" s="438" t="s">
        <v>35</v>
      </c>
      <c r="H980" s="438" t="s">
        <v>49</v>
      </c>
      <c r="I980" s="438" t="s">
        <v>38</v>
      </c>
      <c r="J980" s="439">
        <v>13861.0</v>
      </c>
      <c r="K980" s="440" t="s">
        <v>18148</v>
      </c>
    </row>
    <row r="981">
      <c r="A981" s="441">
        <v>45915.46436342593</v>
      </c>
      <c r="B981" s="442">
        <v>18408.0</v>
      </c>
      <c r="C981" s="442" t="s">
        <v>4215</v>
      </c>
      <c r="D981" s="442" t="s">
        <v>91</v>
      </c>
      <c r="E981" s="442" t="s">
        <v>20387</v>
      </c>
      <c r="F981" s="442" t="s">
        <v>48</v>
      </c>
      <c r="G981" s="442" t="s">
        <v>35</v>
      </c>
      <c r="H981" s="442" t="s">
        <v>420</v>
      </c>
      <c r="I981" s="442" t="s">
        <v>38</v>
      </c>
      <c r="J981" s="443">
        <v>13858.0</v>
      </c>
      <c r="K981" s="444" t="s">
        <v>18148</v>
      </c>
    </row>
    <row r="982">
      <c r="A982" s="437">
        <v>45915.464467592596</v>
      </c>
      <c r="B982" s="438">
        <v>18416.0</v>
      </c>
      <c r="C982" s="438" t="s">
        <v>10396</v>
      </c>
      <c r="D982" s="438" t="s">
        <v>3441</v>
      </c>
      <c r="E982" s="438" t="s">
        <v>20417</v>
      </c>
      <c r="F982" s="438" t="s">
        <v>48</v>
      </c>
      <c r="G982" s="438" t="s">
        <v>35</v>
      </c>
      <c r="H982" s="438" t="s">
        <v>18078</v>
      </c>
      <c r="I982" s="438" t="s">
        <v>38</v>
      </c>
      <c r="J982" s="439">
        <v>13860.0</v>
      </c>
      <c r="K982" s="440" t="s">
        <v>18148</v>
      </c>
    </row>
    <row r="983">
      <c r="A983" s="441">
        <v>45915.4744212963</v>
      </c>
      <c r="B983" s="442">
        <v>18462.0</v>
      </c>
      <c r="C983" s="442" t="s">
        <v>4293</v>
      </c>
      <c r="D983" s="442" t="s">
        <v>72</v>
      </c>
      <c r="E983" s="442" t="s">
        <v>20576</v>
      </c>
      <c r="F983" s="442" t="s">
        <v>48</v>
      </c>
      <c r="G983" s="442" t="s">
        <v>35</v>
      </c>
      <c r="H983" s="442" t="s">
        <v>65</v>
      </c>
      <c r="I983" s="442" t="s">
        <v>38</v>
      </c>
      <c r="J983" s="443">
        <v>13862.0</v>
      </c>
      <c r="K983" s="444" t="s">
        <v>18148</v>
      </c>
    </row>
    <row r="984">
      <c r="A984" s="437">
        <v>45915.6215625</v>
      </c>
      <c r="B984" s="438" t="s">
        <v>20774</v>
      </c>
      <c r="C984" s="438" t="s">
        <v>4293</v>
      </c>
      <c r="D984" s="438" t="s">
        <v>85</v>
      </c>
      <c r="E984" s="438" t="s">
        <v>20775</v>
      </c>
      <c r="F984" s="438" t="s">
        <v>48</v>
      </c>
      <c r="G984" s="438" t="s">
        <v>35</v>
      </c>
      <c r="H984" s="438" t="s">
        <v>65</v>
      </c>
      <c r="I984" s="438" t="s">
        <v>38</v>
      </c>
      <c r="J984" s="439"/>
      <c r="K984" s="440" t="s">
        <v>18148</v>
      </c>
    </row>
    <row r="985">
      <c r="A985" s="441">
        <v>45915.62162037037</v>
      </c>
      <c r="B985" s="442" t="s">
        <v>20779</v>
      </c>
      <c r="C985" s="442" t="s">
        <v>4293</v>
      </c>
      <c r="D985" s="442" t="s">
        <v>85</v>
      </c>
      <c r="E985" s="442" t="s">
        <v>20780</v>
      </c>
      <c r="F985" s="442" t="s">
        <v>48</v>
      </c>
      <c r="G985" s="442" t="s">
        <v>35</v>
      </c>
      <c r="H985" s="442" t="s">
        <v>65</v>
      </c>
      <c r="I985" s="442" t="s">
        <v>38</v>
      </c>
      <c r="J985" s="443"/>
      <c r="K985" s="444" t="s">
        <v>18148</v>
      </c>
    </row>
    <row r="986">
      <c r="A986" s="437">
        <v>45915.66332175926</v>
      </c>
      <c r="B986" s="438" t="s">
        <v>20774</v>
      </c>
      <c r="C986" s="438" t="s">
        <v>4293</v>
      </c>
      <c r="D986" s="438" t="s">
        <v>85</v>
      </c>
      <c r="E986" s="438" t="s">
        <v>20775</v>
      </c>
      <c r="F986" s="438" t="s">
        <v>48</v>
      </c>
      <c r="G986" s="438" t="s">
        <v>35</v>
      </c>
      <c r="H986" s="438" t="s">
        <v>65</v>
      </c>
      <c r="I986" s="438" t="s">
        <v>38</v>
      </c>
      <c r="J986" s="439">
        <v>13866.0</v>
      </c>
      <c r="K986" s="440" t="s">
        <v>18148</v>
      </c>
    </row>
    <row r="987">
      <c r="A987" s="441">
        <v>45915.66337962963</v>
      </c>
      <c r="B987" s="442" t="s">
        <v>20779</v>
      </c>
      <c r="C987" s="442" t="s">
        <v>4293</v>
      </c>
      <c r="D987" s="442" t="s">
        <v>85</v>
      </c>
      <c r="E987" s="442" t="s">
        <v>20780</v>
      </c>
      <c r="F987" s="442" t="s">
        <v>48</v>
      </c>
      <c r="G987" s="442" t="s">
        <v>35</v>
      </c>
      <c r="H987" s="442" t="s">
        <v>65</v>
      </c>
      <c r="I987" s="442" t="s">
        <v>38</v>
      </c>
      <c r="J987" s="443">
        <v>13866.0</v>
      </c>
      <c r="K987" s="444" t="s">
        <v>18148</v>
      </c>
    </row>
    <row r="988">
      <c r="A988" s="437">
        <v>45915.663611111115</v>
      </c>
      <c r="B988" s="438" t="s">
        <v>20779</v>
      </c>
      <c r="C988" s="438" t="s">
        <v>4293</v>
      </c>
      <c r="D988" s="438" t="s">
        <v>85</v>
      </c>
      <c r="E988" s="438" t="s">
        <v>20780</v>
      </c>
      <c r="F988" s="438" t="s">
        <v>48</v>
      </c>
      <c r="G988" s="438" t="s">
        <v>35</v>
      </c>
      <c r="H988" s="438" t="s">
        <v>65</v>
      </c>
      <c r="I988" s="438" t="s">
        <v>38</v>
      </c>
      <c r="J988" s="439">
        <v>13866.0</v>
      </c>
      <c r="K988" s="440" t="s">
        <v>18148</v>
      </c>
    </row>
    <row r="989">
      <c r="A989" s="441">
        <v>45915.663668981484</v>
      </c>
      <c r="B989" s="442" t="s">
        <v>20774</v>
      </c>
      <c r="C989" s="442" t="s">
        <v>4293</v>
      </c>
      <c r="D989" s="442" t="s">
        <v>85</v>
      </c>
      <c r="E989" s="442" t="s">
        <v>20775</v>
      </c>
      <c r="F989" s="442" t="s">
        <v>48</v>
      </c>
      <c r="G989" s="442" t="s">
        <v>35</v>
      </c>
      <c r="H989" s="442" t="s">
        <v>65</v>
      </c>
      <c r="I989" s="442" t="s">
        <v>38</v>
      </c>
      <c r="J989" s="443">
        <v>13866.0</v>
      </c>
      <c r="K989" s="444" t="s">
        <v>18148</v>
      </c>
    </row>
    <row r="990">
      <c r="A990" s="437">
        <v>45915.66425925926</v>
      </c>
      <c r="B990" s="438" t="s">
        <v>20774</v>
      </c>
      <c r="C990" s="438" t="s">
        <v>4293</v>
      </c>
      <c r="D990" s="438" t="s">
        <v>85</v>
      </c>
      <c r="E990" s="438" t="s">
        <v>20775</v>
      </c>
      <c r="F990" s="438" t="s">
        <v>48</v>
      </c>
      <c r="G990" s="438" t="s">
        <v>35</v>
      </c>
      <c r="H990" s="438" t="s">
        <v>65</v>
      </c>
      <c r="I990" s="438" t="s">
        <v>38</v>
      </c>
      <c r="J990" s="439">
        <v>13866.0</v>
      </c>
      <c r="K990" s="440" t="s">
        <v>18148</v>
      </c>
    </row>
    <row r="991">
      <c r="A991" s="441">
        <v>45915.666041666664</v>
      </c>
      <c r="B991" s="442" t="s">
        <v>20774</v>
      </c>
      <c r="C991" s="442" t="s">
        <v>4293</v>
      </c>
      <c r="D991" s="442" t="s">
        <v>85</v>
      </c>
      <c r="E991" s="442" t="s">
        <v>20775</v>
      </c>
      <c r="F991" s="442" t="s">
        <v>48</v>
      </c>
      <c r="G991" s="442" t="s">
        <v>35</v>
      </c>
      <c r="H991" s="442" t="s">
        <v>65</v>
      </c>
      <c r="I991" s="442" t="s">
        <v>38</v>
      </c>
      <c r="J991" s="443">
        <v>13866.0</v>
      </c>
      <c r="K991" s="444" t="s">
        <v>18148</v>
      </c>
    </row>
    <row r="992">
      <c r="A992" s="437">
        <v>45916.36392361111</v>
      </c>
      <c r="B992" s="438">
        <v>18296.0</v>
      </c>
      <c r="C992" s="438" t="s">
        <v>19825</v>
      </c>
      <c r="D992" s="438" t="s">
        <v>2288</v>
      </c>
      <c r="E992" s="438">
        <v>20274.0</v>
      </c>
      <c r="F992" s="438" t="s">
        <v>33</v>
      </c>
      <c r="G992" s="438" t="s">
        <v>35</v>
      </c>
      <c r="H992" s="438" t="s">
        <v>37</v>
      </c>
      <c r="I992" s="438" t="s">
        <v>38</v>
      </c>
      <c r="J992" s="439">
        <v>13868.0</v>
      </c>
      <c r="K992" s="440" t="s">
        <v>18148</v>
      </c>
    </row>
    <row r="993">
      <c r="A993" s="441">
        <v>45916.36394675926</v>
      </c>
      <c r="B993" s="442">
        <v>18340.0</v>
      </c>
      <c r="C993" s="442" t="s">
        <v>19825</v>
      </c>
      <c r="D993" s="442" t="s">
        <v>4792</v>
      </c>
      <c r="E993" s="442">
        <v>20300.0</v>
      </c>
      <c r="F993" s="442" t="s">
        <v>244</v>
      </c>
      <c r="G993" s="442" t="s">
        <v>35</v>
      </c>
      <c r="H993" s="442" t="s">
        <v>37</v>
      </c>
      <c r="I993" s="442" t="s">
        <v>38</v>
      </c>
      <c r="J993" s="443">
        <v>13867.0</v>
      </c>
      <c r="K993" s="444" t="s">
        <v>18148</v>
      </c>
    </row>
    <row r="994">
      <c r="A994" s="437">
        <v>45916.44689814815</v>
      </c>
      <c r="B994" s="438">
        <v>18455.0</v>
      </c>
      <c r="C994" s="438" t="s">
        <v>10396</v>
      </c>
      <c r="D994" s="438" t="s">
        <v>3441</v>
      </c>
      <c r="E994" s="438" t="s">
        <v>20693</v>
      </c>
      <c r="F994" s="438" t="s">
        <v>48</v>
      </c>
      <c r="G994" s="438" t="s">
        <v>35</v>
      </c>
      <c r="H994" s="438" t="s">
        <v>18078</v>
      </c>
      <c r="I994" s="438" t="s">
        <v>38</v>
      </c>
      <c r="J994" s="439">
        <v>13871.0</v>
      </c>
      <c r="K994" s="440" t="s">
        <v>18148</v>
      </c>
    </row>
    <row r="995">
      <c r="A995" s="441">
        <v>45916.446967592594</v>
      </c>
      <c r="B995" s="442" t="s">
        <v>20587</v>
      </c>
      <c r="C995" s="442" t="s">
        <v>19002</v>
      </c>
      <c r="D995" s="442" t="s">
        <v>85</v>
      </c>
      <c r="E995" s="442" t="s">
        <v>20588</v>
      </c>
      <c r="F995" s="442" t="s">
        <v>48</v>
      </c>
      <c r="G995" s="442" t="s">
        <v>35</v>
      </c>
      <c r="H995" s="442" t="s">
        <v>19882</v>
      </c>
      <c r="I995" s="442" t="s">
        <v>38</v>
      </c>
      <c r="J995" s="443">
        <v>13875.0</v>
      </c>
      <c r="K995" s="444" t="s">
        <v>18148</v>
      </c>
    </row>
    <row r="996">
      <c r="A996" s="437">
        <v>45916.447071759256</v>
      </c>
      <c r="B996" s="438" t="s">
        <v>20583</v>
      </c>
      <c r="C996" s="438" t="s">
        <v>19002</v>
      </c>
      <c r="D996" s="438" t="s">
        <v>85</v>
      </c>
      <c r="E996" s="438" t="s">
        <v>20584</v>
      </c>
      <c r="F996" s="438" t="s">
        <v>48</v>
      </c>
      <c r="G996" s="438" t="s">
        <v>35</v>
      </c>
      <c r="H996" s="438" t="s">
        <v>19882</v>
      </c>
      <c r="I996" s="438" t="s">
        <v>38</v>
      </c>
      <c r="J996" s="439">
        <v>13875.0</v>
      </c>
      <c r="K996" s="440" t="s">
        <v>18148</v>
      </c>
    </row>
    <row r="997">
      <c r="A997" s="441">
        <v>45916.44712962963</v>
      </c>
      <c r="B997" s="442" t="s">
        <v>24933</v>
      </c>
      <c r="C997" s="442" t="s">
        <v>19002</v>
      </c>
      <c r="D997" s="442" t="s">
        <v>85</v>
      </c>
      <c r="E997" s="442" t="s">
        <v>22892</v>
      </c>
      <c r="F997" s="442" t="s">
        <v>48</v>
      </c>
      <c r="G997" s="442" t="s">
        <v>35</v>
      </c>
      <c r="H997" s="442" t="s">
        <v>19882</v>
      </c>
      <c r="I997" s="442" t="s">
        <v>38</v>
      </c>
      <c r="J997" s="443">
        <v>13875.0</v>
      </c>
      <c r="K997" s="444" t="s">
        <v>18148</v>
      </c>
    </row>
    <row r="998">
      <c r="A998" s="437">
        <v>45916.447175925925</v>
      </c>
      <c r="B998" s="438" t="s">
        <v>20579</v>
      </c>
      <c r="C998" s="438" t="s">
        <v>19002</v>
      </c>
      <c r="D998" s="438" t="s">
        <v>85</v>
      </c>
      <c r="E998" s="438" t="s">
        <v>20580</v>
      </c>
      <c r="F998" s="438" t="s">
        <v>48</v>
      </c>
      <c r="G998" s="438" t="s">
        <v>35</v>
      </c>
      <c r="H998" s="438" t="s">
        <v>19882</v>
      </c>
      <c r="I998" s="438" t="s">
        <v>38</v>
      </c>
      <c r="J998" s="439">
        <v>13875.0</v>
      </c>
      <c r="K998" s="440" t="s">
        <v>18148</v>
      </c>
    </row>
    <row r="999">
      <c r="A999" s="441">
        <v>45916.447175925925</v>
      </c>
      <c r="B999" s="442" t="s">
        <v>20558</v>
      </c>
      <c r="C999" s="442" t="s">
        <v>19002</v>
      </c>
      <c r="D999" s="442" t="s">
        <v>3441</v>
      </c>
      <c r="E999" s="442" t="s">
        <v>20559</v>
      </c>
      <c r="F999" s="442" t="s">
        <v>48</v>
      </c>
      <c r="G999" s="442" t="s">
        <v>35</v>
      </c>
      <c r="H999" s="442" t="s">
        <v>19882</v>
      </c>
      <c r="I999" s="442" t="s">
        <v>38</v>
      </c>
      <c r="J999" s="443">
        <v>13875.0</v>
      </c>
      <c r="K999" s="444" t="s">
        <v>18148</v>
      </c>
    </row>
    <row r="1000">
      <c r="A1000" s="437">
        <v>45916.44721064815</v>
      </c>
      <c r="B1000" s="438" t="s">
        <v>24934</v>
      </c>
      <c r="C1000" s="438" t="s">
        <v>19002</v>
      </c>
      <c r="D1000" s="438" t="s">
        <v>72</v>
      </c>
      <c r="E1000" s="438" t="s">
        <v>22884</v>
      </c>
      <c r="F1000" s="438" t="s">
        <v>48</v>
      </c>
      <c r="G1000" s="438" t="s">
        <v>35</v>
      </c>
      <c r="H1000" s="438" t="s">
        <v>19882</v>
      </c>
      <c r="I1000" s="438" t="s">
        <v>38</v>
      </c>
      <c r="J1000" s="439">
        <v>13875.0</v>
      </c>
      <c r="K1000" s="440" t="s">
        <v>18148</v>
      </c>
    </row>
    <row r="1001">
      <c r="A1001" s="441">
        <v>45916.44725694445</v>
      </c>
      <c r="B1001" s="442" t="s">
        <v>24935</v>
      </c>
      <c r="C1001" s="442" t="s">
        <v>19002</v>
      </c>
      <c r="D1001" s="442" t="s">
        <v>72</v>
      </c>
      <c r="E1001" s="442" t="s">
        <v>22888</v>
      </c>
      <c r="F1001" s="442" t="s">
        <v>48</v>
      </c>
      <c r="G1001" s="442" t="s">
        <v>35</v>
      </c>
      <c r="H1001" s="442" t="s">
        <v>19882</v>
      </c>
      <c r="I1001" s="442" t="s">
        <v>38</v>
      </c>
      <c r="J1001" s="443">
        <v>13875.0</v>
      </c>
      <c r="K1001" s="444" t="s">
        <v>18148</v>
      </c>
    </row>
    <row r="1002">
      <c r="A1002" s="437">
        <v>45916.44737268519</v>
      </c>
      <c r="B1002" s="438" t="s">
        <v>24936</v>
      </c>
      <c r="C1002" s="438" t="s">
        <v>19002</v>
      </c>
      <c r="D1002" s="438" t="s">
        <v>72</v>
      </c>
      <c r="E1002" s="438" t="s">
        <v>22879</v>
      </c>
      <c r="F1002" s="438" t="s">
        <v>48</v>
      </c>
      <c r="G1002" s="438" t="s">
        <v>35</v>
      </c>
      <c r="H1002" s="438" t="s">
        <v>19882</v>
      </c>
      <c r="I1002" s="438" t="s">
        <v>38</v>
      </c>
      <c r="J1002" s="439">
        <v>13875.0</v>
      </c>
      <c r="K1002" s="440" t="s">
        <v>18148</v>
      </c>
    </row>
    <row r="1003">
      <c r="A1003" s="441">
        <v>45916.44766203704</v>
      </c>
      <c r="B1003" s="442" t="s">
        <v>20563</v>
      </c>
      <c r="C1003" s="442" t="s">
        <v>19002</v>
      </c>
      <c r="D1003" s="442" t="s">
        <v>3441</v>
      </c>
      <c r="E1003" s="442" t="s">
        <v>20564</v>
      </c>
      <c r="F1003" s="442" t="s">
        <v>48</v>
      </c>
      <c r="G1003" s="442" t="s">
        <v>35</v>
      </c>
      <c r="H1003" s="442" t="s">
        <v>19882</v>
      </c>
      <c r="I1003" s="442" t="s">
        <v>38</v>
      </c>
      <c r="J1003" s="443">
        <v>13875.0</v>
      </c>
      <c r="K1003" s="444" t="s">
        <v>18148</v>
      </c>
    </row>
    <row r="1004">
      <c r="A1004" s="437">
        <v>45916.447743055556</v>
      </c>
      <c r="B1004" s="438" t="s">
        <v>20575</v>
      </c>
      <c r="C1004" s="438" t="s">
        <v>19002</v>
      </c>
      <c r="D1004" s="438" t="s">
        <v>72</v>
      </c>
      <c r="E1004" s="438" t="s">
        <v>20576</v>
      </c>
      <c r="F1004" s="438" t="s">
        <v>48</v>
      </c>
      <c r="G1004" s="438" t="s">
        <v>35</v>
      </c>
      <c r="H1004" s="438" t="s">
        <v>19882</v>
      </c>
      <c r="I1004" s="438" t="s">
        <v>38</v>
      </c>
      <c r="J1004" s="439">
        <v>13875.0</v>
      </c>
      <c r="K1004" s="440" t="s">
        <v>18148</v>
      </c>
    </row>
    <row r="1005">
      <c r="A1005" s="441">
        <v>45916.44782407407</v>
      </c>
      <c r="B1005" s="442" t="s">
        <v>20567</v>
      </c>
      <c r="C1005" s="442" t="s">
        <v>19002</v>
      </c>
      <c r="D1005" s="442" t="s">
        <v>3441</v>
      </c>
      <c r="E1005" s="442" t="s">
        <v>20568</v>
      </c>
      <c r="F1005" s="442" t="s">
        <v>48</v>
      </c>
      <c r="G1005" s="442" t="s">
        <v>35</v>
      </c>
      <c r="H1005" s="442" t="s">
        <v>19882</v>
      </c>
      <c r="I1005" s="442" t="s">
        <v>38</v>
      </c>
      <c r="J1005" s="443">
        <v>13875.0</v>
      </c>
      <c r="K1005" s="444" t="s">
        <v>18148</v>
      </c>
    </row>
    <row r="1006">
      <c r="A1006" s="437">
        <v>45916.44783564815</v>
      </c>
      <c r="B1006" s="438" t="s">
        <v>20571</v>
      </c>
      <c r="C1006" s="438" t="s">
        <v>19002</v>
      </c>
      <c r="D1006" s="438" t="s">
        <v>3441</v>
      </c>
      <c r="E1006" s="438" t="s">
        <v>20572</v>
      </c>
      <c r="F1006" s="438" t="s">
        <v>48</v>
      </c>
      <c r="G1006" s="438" t="s">
        <v>35</v>
      </c>
      <c r="H1006" s="438" t="s">
        <v>19882</v>
      </c>
      <c r="I1006" s="438" t="s">
        <v>38</v>
      </c>
      <c r="J1006" s="439">
        <v>13875.0</v>
      </c>
      <c r="K1006" s="440" t="s">
        <v>18148</v>
      </c>
    </row>
    <row r="1007">
      <c r="A1007" s="441">
        <v>45916.447916666664</v>
      </c>
      <c r="B1007" s="442" t="s">
        <v>20806</v>
      </c>
      <c r="C1007" s="442" t="s">
        <v>9895</v>
      </c>
      <c r="D1007" s="442" t="s">
        <v>85</v>
      </c>
      <c r="E1007" s="442" t="s">
        <v>20807</v>
      </c>
      <c r="F1007" s="442" t="s">
        <v>48</v>
      </c>
      <c r="G1007" s="442" t="s">
        <v>35</v>
      </c>
      <c r="H1007" s="442" t="s">
        <v>49</v>
      </c>
      <c r="I1007" s="442" t="s">
        <v>38</v>
      </c>
      <c r="J1007" s="443">
        <v>13874.0</v>
      </c>
      <c r="K1007" s="444" t="s">
        <v>18148</v>
      </c>
    </row>
    <row r="1008">
      <c r="A1008" s="437">
        <v>45916.44793981482</v>
      </c>
      <c r="B1008" s="438" t="s">
        <v>20801</v>
      </c>
      <c r="C1008" s="438" t="s">
        <v>9895</v>
      </c>
      <c r="D1008" s="438" t="s">
        <v>3441</v>
      </c>
      <c r="E1008" s="438" t="s">
        <v>20802</v>
      </c>
      <c r="F1008" s="438" t="s">
        <v>48</v>
      </c>
      <c r="G1008" s="438" t="s">
        <v>35</v>
      </c>
      <c r="H1008" s="438" t="s">
        <v>49</v>
      </c>
      <c r="I1008" s="438" t="s">
        <v>38</v>
      </c>
      <c r="J1008" s="439">
        <v>13874.0</v>
      </c>
      <c r="K1008" s="440" t="s">
        <v>18148</v>
      </c>
    </row>
    <row r="1009">
      <c r="A1009" s="441">
        <v>45916.44802083333</v>
      </c>
      <c r="B1009" s="442">
        <v>18474.0</v>
      </c>
      <c r="C1009" s="442" t="s">
        <v>16778</v>
      </c>
      <c r="D1009" s="442" t="s">
        <v>3441</v>
      </c>
      <c r="E1009" s="442" t="s">
        <v>20770</v>
      </c>
      <c r="F1009" s="442" t="s">
        <v>48</v>
      </c>
      <c r="G1009" s="442" t="s">
        <v>35</v>
      </c>
      <c r="H1009" s="442" t="s">
        <v>49</v>
      </c>
      <c r="I1009" s="442" t="s">
        <v>38</v>
      </c>
      <c r="J1009" s="443">
        <v>13872.0</v>
      </c>
      <c r="K1009" s="444" t="s">
        <v>18148</v>
      </c>
    </row>
    <row r="1010">
      <c r="A1010" s="437">
        <v>45916.448067129626</v>
      </c>
      <c r="B1010" s="438">
        <v>18459.0</v>
      </c>
      <c r="C1010" s="438" t="s">
        <v>4090</v>
      </c>
      <c r="D1010" s="438" t="s">
        <v>3441</v>
      </c>
      <c r="E1010" s="438" t="s">
        <v>20703</v>
      </c>
      <c r="F1010" s="438" t="s">
        <v>48</v>
      </c>
      <c r="G1010" s="438" t="s">
        <v>35</v>
      </c>
      <c r="H1010" s="438" t="s">
        <v>49</v>
      </c>
      <c r="I1010" s="438" t="s">
        <v>38</v>
      </c>
      <c r="J1010" s="439">
        <v>13870.0</v>
      </c>
      <c r="K1010" s="440" t="s">
        <v>18148</v>
      </c>
    </row>
    <row r="1011">
      <c r="A1011" s="441">
        <v>45916.44809027778</v>
      </c>
      <c r="B1011" s="442">
        <v>18437.0</v>
      </c>
      <c r="C1011" s="442" t="s">
        <v>122</v>
      </c>
      <c r="D1011" s="442" t="s">
        <v>91</v>
      </c>
      <c r="E1011" s="442" t="s">
        <v>20605</v>
      </c>
      <c r="F1011" s="442" t="s">
        <v>48</v>
      </c>
      <c r="G1011" s="442" t="s">
        <v>35</v>
      </c>
      <c r="H1011" s="442" t="s">
        <v>49</v>
      </c>
      <c r="I1011" s="442" t="s">
        <v>38</v>
      </c>
      <c r="J1011" s="443">
        <v>13869.0</v>
      </c>
      <c r="K1011" s="444" t="s">
        <v>18148</v>
      </c>
    </row>
    <row r="1012">
      <c r="A1012" s="437">
        <v>45916.44834490741</v>
      </c>
      <c r="B1012" s="438">
        <v>18478.0</v>
      </c>
      <c r="C1012" s="438" t="s">
        <v>11366</v>
      </c>
      <c r="D1012" s="438" t="s">
        <v>85</v>
      </c>
      <c r="E1012" s="438" t="s">
        <v>20797</v>
      </c>
      <c r="F1012" s="438" t="s">
        <v>48</v>
      </c>
      <c r="G1012" s="438" t="s">
        <v>35</v>
      </c>
      <c r="H1012" s="438" t="s">
        <v>65</v>
      </c>
      <c r="I1012" s="438" t="s">
        <v>38</v>
      </c>
      <c r="J1012" s="439">
        <v>13873.0</v>
      </c>
      <c r="K1012" s="440" t="s">
        <v>18148</v>
      </c>
    </row>
    <row r="1013">
      <c r="A1013" s="441">
        <v>45916.548946759256</v>
      </c>
      <c r="B1013" s="442" t="s">
        <v>19880</v>
      </c>
      <c r="C1013" s="442" t="s">
        <v>19002</v>
      </c>
      <c r="D1013" s="442" t="s">
        <v>3395</v>
      </c>
      <c r="E1013" s="442" t="s">
        <v>19881</v>
      </c>
      <c r="F1013" s="442" t="s">
        <v>48</v>
      </c>
      <c r="G1013" s="442" t="s">
        <v>35</v>
      </c>
      <c r="H1013" s="442" t="s">
        <v>19882</v>
      </c>
      <c r="I1013" s="442" t="s">
        <v>38</v>
      </c>
      <c r="J1013" s="443">
        <v>13876.0</v>
      </c>
      <c r="K1013" s="444" t="s">
        <v>18148</v>
      </c>
    </row>
    <row r="1014">
      <c r="A1014" s="437">
        <v>45916.548993055556</v>
      </c>
      <c r="B1014" s="438" t="s">
        <v>19887</v>
      </c>
      <c r="C1014" s="438" t="s">
        <v>19002</v>
      </c>
      <c r="D1014" s="438" t="s">
        <v>3395</v>
      </c>
      <c r="E1014" s="438" t="s">
        <v>19888</v>
      </c>
      <c r="F1014" s="438" t="s">
        <v>48</v>
      </c>
      <c r="G1014" s="438" t="s">
        <v>35</v>
      </c>
      <c r="H1014" s="438" t="s">
        <v>19882</v>
      </c>
      <c r="I1014" s="438" t="s">
        <v>38</v>
      </c>
      <c r="J1014" s="439">
        <v>13876.0</v>
      </c>
      <c r="K1014" s="440" t="s">
        <v>18148</v>
      </c>
    </row>
    <row r="1015">
      <c r="A1015" s="441">
        <v>45916.5490625</v>
      </c>
      <c r="B1015" s="442" t="s">
        <v>19892</v>
      </c>
      <c r="C1015" s="442" t="s">
        <v>19002</v>
      </c>
      <c r="D1015" s="442" t="s">
        <v>3395</v>
      </c>
      <c r="E1015" s="442" t="s">
        <v>19893</v>
      </c>
      <c r="F1015" s="442" t="s">
        <v>48</v>
      </c>
      <c r="G1015" s="442" t="s">
        <v>35</v>
      </c>
      <c r="H1015" s="442" t="s">
        <v>19882</v>
      </c>
      <c r="I1015" s="442" t="s">
        <v>38</v>
      </c>
      <c r="J1015" s="443">
        <v>13876.0</v>
      </c>
      <c r="K1015" s="444" t="s">
        <v>18148</v>
      </c>
    </row>
    <row r="1016">
      <c r="A1016" s="437">
        <v>45916.54912037037</v>
      </c>
      <c r="B1016" s="438" t="s">
        <v>19896</v>
      </c>
      <c r="C1016" s="438" t="s">
        <v>19002</v>
      </c>
      <c r="D1016" s="438" t="s">
        <v>3395</v>
      </c>
      <c r="E1016" s="438" t="s">
        <v>19897</v>
      </c>
      <c r="F1016" s="438" t="s">
        <v>48</v>
      </c>
      <c r="G1016" s="438" t="s">
        <v>35</v>
      </c>
      <c r="H1016" s="438" t="s">
        <v>19882</v>
      </c>
      <c r="I1016" s="438" t="s">
        <v>38</v>
      </c>
      <c r="J1016" s="439">
        <v>13876.0</v>
      </c>
      <c r="K1016" s="440" t="s">
        <v>18148</v>
      </c>
    </row>
    <row r="1017">
      <c r="A1017" s="441">
        <v>45916.597233796296</v>
      </c>
      <c r="B1017" s="442" t="s">
        <v>20774</v>
      </c>
      <c r="C1017" s="442" t="s">
        <v>4293</v>
      </c>
      <c r="D1017" s="442" t="s">
        <v>85</v>
      </c>
      <c r="E1017" s="442" t="s">
        <v>20775</v>
      </c>
      <c r="F1017" s="442" t="s">
        <v>48</v>
      </c>
      <c r="G1017" s="442" t="s">
        <v>35</v>
      </c>
      <c r="H1017" s="442" t="s">
        <v>65</v>
      </c>
      <c r="I1017" s="442" t="s">
        <v>38</v>
      </c>
      <c r="J1017" s="443">
        <v>13866.0</v>
      </c>
      <c r="K1017" s="444" t="s">
        <v>18148</v>
      </c>
    </row>
    <row r="1018">
      <c r="A1018" s="437">
        <v>45916.597291666665</v>
      </c>
      <c r="B1018" s="438" t="s">
        <v>20779</v>
      </c>
      <c r="C1018" s="438" t="s">
        <v>4293</v>
      </c>
      <c r="D1018" s="438" t="s">
        <v>85</v>
      </c>
      <c r="E1018" s="438" t="s">
        <v>20780</v>
      </c>
      <c r="F1018" s="438" t="s">
        <v>48</v>
      </c>
      <c r="G1018" s="438" t="s">
        <v>35</v>
      </c>
      <c r="H1018" s="438" t="s">
        <v>65</v>
      </c>
      <c r="I1018" s="438" t="s">
        <v>38</v>
      </c>
      <c r="J1018" s="439">
        <v>13866.0</v>
      </c>
      <c r="K1018" s="440" t="s">
        <v>18148</v>
      </c>
    </row>
    <row r="1019">
      <c r="A1019" s="441">
        <v>45916.59753472222</v>
      </c>
      <c r="B1019" s="442">
        <v>18439.0</v>
      </c>
      <c r="C1019" s="442" t="s">
        <v>9101</v>
      </c>
      <c r="D1019" s="442" t="s">
        <v>85</v>
      </c>
      <c r="E1019" s="442" t="s">
        <v>20610</v>
      </c>
      <c r="F1019" s="442" t="s">
        <v>48</v>
      </c>
      <c r="G1019" s="442" t="s">
        <v>35</v>
      </c>
      <c r="H1019" s="442" t="s">
        <v>65</v>
      </c>
      <c r="I1019" s="442" t="s">
        <v>38</v>
      </c>
      <c r="J1019" s="443">
        <v>13878.0</v>
      </c>
      <c r="K1019" s="444" t="s">
        <v>18148</v>
      </c>
    </row>
    <row r="1020">
      <c r="A1020" s="437">
        <v>45916.59767361111</v>
      </c>
      <c r="B1020" s="438">
        <v>18451.0</v>
      </c>
      <c r="C1020" s="438" t="s">
        <v>9766</v>
      </c>
      <c r="D1020" s="438" t="s">
        <v>112</v>
      </c>
      <c r="E1020" s="438" t="s">
        <v>20683</v>
      </c>
      <c r="F1020" s="438" t="s">
        <v>48</v>
      </c>
      <c r="G1020" s="438" t="s">
        <v>35</v>
      </c>
      <c r="H1020" s="438" t="s">
        <v>65</v>
      </c>
      <c r="I1020" s="438" t="s">
        <v>38</v>
      </c>
      <c r="J1020" s="439">
        <v>13879.0</v>
      </c>
      <c r="K1020" s="440" t="s">
        <v>18148</v>
      </c>
    </row>
    <row r="1021">
      <c r="A1021" s="441">
        <v>45916.59777777778</v>
      </c>
      <c r="B1021" s="442" t="s">
        <v>20857</v>
      </c>
      <c r="C1021" s="442" t="s">
        <v>19901</v>
      </c>
      <c r="D1021" s="442" t="s">
        <v>72</v>
      </c>
      <c r="E1021" s="442" t="s">
        <v>20858</v>
      </c>
      <c r="F1021" s="442" t="s">
        <v>48</v>
      </c>
      <c r="G1021" s="442" t="s">
        <v>35</v>
      </c>
      <c r="H1021" s="442" t="s">
        <v>65</v>
      </c>
      <c r="I1021" s="442" t="s">
        <v>38</v>
      </c>
      <c r="J1021" s="443">
        <v>13877.0</v>
      </c>
      <c r="K1021" s="444" t="s">
        <v>18148</v>
      </c>
    </row>
    <row r="1022">
      <c r="A1022" s="437">
        <v>45916.59787037037</v>
      </c>
      <c r="B1022" s="438" t="s">
        <v>20862</v>
      </c>
      <c r="C1022" s="438" t="s">
        <v>19901</v>
      </c>
      <c r="D1022" s="438" t="s">
        <v>72</v>
      </c>
      <c r="E1022" s="438" t="s">
        <v>20863</v>
      </c>
      <c r="F1022" s="438" t="s">
        <v>48</v>
      </c>
      <c r="G1022" s="438" t="s">
        <v>35</v>
      </c>
      <c r="H1022" s="438" t="s">
        <v>65</v>
      </c>
      <c r="I1022" s="438" t="s">
        <v>38</v>
      </c>
      <c r="J1022" s="439">
        <v>13877.0</v>
      </c>
      <c r="K1022" s="440" t="s">
        <v>18148</v>
      </c>
    </row>
    <row r="1023">
      <c r="A1023" s="441">
        <v>45917.50215277778</v>
      </c>
      <c r="B1023" s="442">
        <v>18502.0</v>
      </c>
      <c r="C1023" s="442" t="s">
        <v>20921</v>
      </c>
      <c r="D1023" s="442" t="s">
        <v>3441</v>
      </c>
      <c r="E1023" s="442" t="s">
        <v>20922</v>
      </c>
      <c r="F1023" s="442" t="s">
        <v>48</v>
      </c>
      <c r="G1023" s="442" t="s">
        <v>35</v>
      </c>
      <c r="H1023" s="442" t="s">
        <v>49</v>
      </c>
      <c r="I1023" s="442" t="s">
        <v>38</v>
      </c>
      <c r="J1023" s="443">
        <v>13883.0</v>
      </c>
      <c r="K1023" s="444" t="s">
        <v>22853</v>
      </c>
    </row>
    <row r="1024">
      <c r="A1024" s="437">
        <v>45917.502175925925</v>
      </c>
      <c r="B1024" s="438" t="s">
        <v>20830</v>
      </c>
      <c r="C1024" s="438" t="s">
        <v>147</v>
      </c>
      <c r="D1024" s="438" t="s">
        <v>3441</v>
      </c>
      <c r="E1024" s="438" t="s">
        <v>20831</v>
      </c>
      <c r="F1024" s="438" t="s">
        <v>48</v>
      </c>
      <c r="G1024" s="438" t="s">
        <v>35</v>
      </c>
      <c r="H1024" s="438" t="s">
        <v>65</v>
      </c>
      <c r="I1024" s="438" t="s">
        <v>38</v>
      </c>
      <c r="J1024" s="439">
        <v>13887.0</v>
      </c>
      <c r="K1024" s="440" t="s">
        <v>18148</v>
      </c>
    </row>
    <row r="1025">
      <c r="A1025" s="441">
        <v>45917.50221064815</v>
      </c>
      <c r="B1025" s="442">
        <v>18472.0</v>
      </c>
      <c r="C1025" s="442" t="s">
        <v>4147</v>
      </c>
      <c r="D1025" s="442" t="s">
        <v>112</v>
      </c>
      <c r="E1025" s="442" t="s">
        <v>20761</v>
      </c>
      <c r="F1025" s="442" t="s">
        <v>48</v>
      </c>
      <c r="G1025" s="442" t="s">
        <v>35</v>
      </c>
      <c r="H1025" s="442" t="s">
        <v>49</v>
      </c>
      <c r="I1025" s="442" t="s">
        <v>38</v>
      </c>
      <c r="J1025" s="443">
        <v>13884.0</v>
      </c>
      <c r="K1025" s="444" t="s">
        <v>18148</v>
      </c>
    </row>
    <row r="1026">
      <c r="A1026" s="437">
        <v>45917.50224537037</v>
      </c>
      <c r="B1026" s="438">
        <v>17699.0</v>
      </c>
      <c r="C1026" s="438" t="s">
        <v>16405</v>
      </c>
      <c r="D1026" s="438" t="s">
        <v>47</v>
      </c>
      <c r="E1026" s="438" t="s">
        <v>16406</v>
      </c>
      <c r="F1026" s="438" t="s">
        <v>48</v>
      </c>
      <c r="G1026" s="438" t="s">
        <v>35</v>
      </c>
      <c r="H1026" s="438" t="s">
        <v>65</v>
      </c>
      <c r="I1026" s="438" t="s">
        <v>38</v>
      </c>
      <c r="J1026" s="439">
        <v>-13242.0</v>
      </c>
      <c r="K1026" s="440" t="s">
        <v>18148</v>
      </c>
    </row>
    <row r="1027">
      <c r="A1027" s="441">
        <v>45917.50225694444</v>
      </c>
      <c r="B1027" s="442">
        <v>18480.0</v>
      </c>
      <c r="C1027" s="442" t="s">
        <v>20811</v>
      </c>
      <c r="D1027" s="442" t="s">
        <v>91</v>
      </c>
      <c r="E1027" s="442" t="s">
        <v>20812</v>
      </c>
      <c r="F1027" s="442" t="s">
        <v>48</v>
      </c>
      <c r="G1027" s="442" t="s">
        <v>35</v>
      </c>
      <c r="H1027" s="442" t="s">
        <v>518</v>
      </c>
      <c r="I1027" s="442" t="s">
        <v>38</v>
      </c>
      <c r="J1027" s="443">
        <v>13885.0</v>
      </c>
      <c r="K1027" s="444" t="s">
        <v>18148</v>
      </c>
    </row>
    <row r="1028">
      <c r="A1028" s="437">
        <v>45917.50230324074</v>
      </c>
      <c r="B1028" s="438" t="s">
        <v>20835</v>
      </c>
      <c r="C1028" s="438" t="s">
        <v>147</v>
      </c>
      <c r="D1028" s="438" t="s">
        <v>91</v>
      </c>
      <c r="E1028" s="438" t="s">
        <v>20836</v>
      </c>
      <c r="F1028" s="438" t="s">
        <v>48</v>
      </c>
      <c r="G1028" s="438" t="s">
        <v>35</v>
      </c>
      <c r="H1028" s="438" t="s">
        <v>65</v>
      </c>
      <c r="I1028" s="438" t="s">
        <v>38</v>
      </c>
      <c r="J1028" s="439">
        <v>13887.0</v>
      </c>
      <c r="K1028" s="440" t="s">
        <v>18148</v>
      </c>
    </row>
    <row r="1029">
      <c r="A1029" s="441">
        <v>45917.50232638889</v>
      </c>
      <c r="B1029" s="442">
        <v>18487.0</v>
      </c>
      <c r="C1029" s="442" t="s">
        <v>5392</v>
      </c>
      <c r="D1029" s="442" t="s">
        <v>91</v>
      </c>
      <c r="E1029" s="442" t="s">
        <v>20853</v>
      </c>
      <c r="F1029" s="442" t="s">
        <v>48</v>
      </c>
      <c r="G1029" s="442" t="s">
        <v>35</v>
      </c>
      <c r="H1029" s="442" t="s">
        <v>49</v>
      </c>
      <c r="I1029" s="442" t="s">
        <v>19108</v>
      </c>
      <c r="J1029" s="443"/>
      <c r="K1029" s="444" t="s">
        <v>18148</v>
      </c>
    </row>
    <row r="1030">
      <c r="A1030" s="437">
        <v>45917.50236111111</v>
      </c>
      <c r="B1030" s="438">
        <v>18481.0</v>
      </c>
      <c r="C1030" s="438" t="s">
        <v>3888</v>
      </c>
      <c r="D1030" s="438" t="s">
        <v>91</v>
      </c>
      <c r="E1030" s="438" t="s">
        <v>20817</v>
      </c>
      <c r="F1030" s="438" t="s">
        <v>48</v>
      </c>
      <c r="G1030" s="438" t="s">
        <v>35</v>
      </c>
      <c r="H1030" s="438" t="s">
        <v>49</v>
      </c>
      <c r="I1030" s="438" t="s">
        <v>2978</v>
      </c>
      <c r="J1030" s="439">
        <v>13889.0</v>
      </c>
      <c r="K1030" s="440" t="s">
        <v>18148</v>
      </c>
    </row>
    <row r="1031">
      <c r="A1031" s="441">
        <v>45917.50237268519</v>
      </c>
      <c r="B1031" s="442">
        <v>18483.0</v>
      </c>
      <c r="C1031" s="442" t="s">
        <v>17025</v>
      </c>
      <c r="D1031" s="442" t="s">
        <v>91</v>
      </c>
      <c r="E1031" s="442" t="s">
        <v>20822</v>
      </c>
      <c r="F1031" s="442" t="s">
        <v>48</v>
      </c>
      <c r="G1031" s="442" t="s">
        <v>35</v>
      </c>
      <c r="H1031" s="442" t="s">
        <v>49</v>
      </c>
      <c r="I1031" s="442" t="s">
        <v>38</v>
      </c>
      <c r="J1031" s="443">
        <v>13886.0</v>
      </c>
      <c r="K1031" s="444" t="s">
        <v>18148</v>
      </c>
    </row>
    <row r="1032">
      <c r="A1032" s="437">
        <v>45917.50908564815</v>
      </c>
      <c r="B1032" s="438">
        <v>17699.0</v>
      </c>
      <c r="C1032" s="438" t="s">
        <v>16405</v>
      </c>
      <c r="D1032" s="438" t="s">
        <v>47</v>
      </c>
      <c r="E1032" s="438" t="s">
        <v>16406</v>
      </c>
      <c r="F1032" s="438" t="s">
        <v>48</v>
      </c>
      <c r="G1032" s="438" t="s">
        <v>35</v>
      </c>
      <c r="H1032" s="438" t="s">
        <v>65</v>
      </c>
      <c r="I1032" s="438" t="s">
        <v>38</v>
      </c>
      <c r="J1032" s="439">
        <v>13890.0</v>
      </c>
      <c r="K1032" s="440" t="s">
        <v>18148</v>
      </c>
    </row>
    <row r="1033">
      <c r="A1033" s="441">
        <v>45917.51006944444</v>
      </c>
      <c r="B1033" s="442">
        <v>18489.0</v>
      </c>
      <c r="C1033" s="442" t="s">
        <v>5531</v>
      </c>
      <c r="D1033" s="442" t="s">
        <v>85</v>
      </c>
      <c r="E1033" s="442" t="s">
        <v>20867</v>
      </c>
      <c r="F1033" s="442" t="s">
        <v>48</v>
      </c>
      <c r="G1033" s="442" t="s">
        <v>35</v>
      </c>
      <c r="H1033" s="442" t="s">
        <v>49</v>
      </c>
      <c r="I1033" s="442" t="s">
        <v>20868</v>
      </c>
      <c r="J1033" s="443">
        <v>13888.0</v>
      </c>
      <c r="K1033" s="444" t="s">
        <v>18148</v>
      </c>
    </row>
    <row r="1034">
      <c r="A1034" s="437">
        <v>45917.521944444445</v>
      </c>
      <c r="B1034" s="438">
        <v>18487.0</v>
      </c>
      <c r="C1034" s="438" t="s">
        <v>5392</v>
      </c>
      <c r="D1034" s="438" t="s">
        <v>91</v>
      </c>
      <c r="E1034" s="438" t="s">
        <v>20853</v>
      </c>
      <c r="F1034" s="438" t="s">
        <v>48</v>
      </c>
      <c r="G1034" s="438" t="s">
        <v>35</v>
      </c>
      <c r="H1034" s="438" t="s">
        <v>49</v>
      </c>
      <c r="I1034" s="438" t="s">
        <v>19108</v>
      </c>
      <c r="J1034" s="439">
        <v>13891.0</v>
      </c>
      <c r="K1034" s="440" t="s">
        <v>18148</v>
      </c>
    </row>
    <row r="1035">
      <c r="A1035" s="441">
        <v>45917.52228009259</v>
      </c>
      <c r="B1035" s="442">
        <v>18502.0</v>
      </c>
      <c r="C1035" s="442" t="s">
        <v>20921</v>
      </c>
      <c r="D1035" s="442" t="s">
        <v>3441</v>
      </c>
      <c r="E1035" s="442" t="s">
        <v>20922</v>
      </c>
      <c r="F1035" s="442" t="s">
        <v>48</v>
      </c>
      <c r="G1035" s="442" t="s">
        <v>35</v>
      </c>
      <c r="H1035" s="442" t="s">
        <v>49</v>
      </c>
      <c r="I1035" s="442" t="s">
        <v>38</v>
      </c>
      <c r="J1035" s="443">
        <v>13892.0</v>
      </c>
      <c r="K1035" s="444" t="s">
        <v>17277</v>
      </c>
    </row>
    <row r="1036">
      <c r="A1036" s="437">
        <v>45918.51907407407</v>
      </c>
      <c r="B1036" s="438">
        <v>18473.0</v>
      </c>
      <c r="C1036" s="438" t="s">
        <v>17896</v>
      </c>
      <c r="D1036" s="438" t="s">
        <v>3441</v>
      </c>
      <c r="E1036" s="438" t="s">
        <v>20766</v>
      </c>
      <c r="F1036" s="438" t="s">
        <v>48</v>
      </c>
      <c r="G1036" s="438" t="s">
        <v>35</v>
      </c>
      <c r="H1036" s="438" t="s">
        <v>65</v>
      </c>
      <c r="I1036" s="438" t="s">
        <v>38</v>
      </c>
      <c r="J1036" s="439">
        <v>13895.0</v>
      </c>
      <c r="K1036" s="440" t="s">
        <v>18148</v>
      </c>
    </row>
    <row r="1037">
      <c r="A1037" s="441">
        <v>45918.52391203704</v>
      </c>
      <c r="B1037" s="442" t="s">
        <v>20471</v>
      </c>
      <c r="C1037" s="442" t="s">
        <v>4147</v>
      </c>
      <c r="D1037" s="442" t="s">
        <v>112</v>
      </c>
      <c r="E1037" s="442" t="s">
        <v>20472</v>
      </c>
      <c r="F1037" s="442" t="s">
        <v>48</v>
      </c>
      <c r="G1037" s="442" t="s">
        <v>35</v>
      </c>
      <c r="H1037" s="442" t="s">
        <v>49</v>
      </c>
      <c r="I1037" s="442" t="s">
        <v>38</v>
      </c>
      <c r="J1037" s="443">
        <v>13899.0</v>
      </c>
      <c r="K1037" s="444" t="s">
        <v>18148</v>
      </c>
    </row>
    <row r="1038">
      <c r="A1038" s="437">
        <v>45918.52755787037</v>
      </c>
      <c r="B1038" s="438">
        <v>18473.0</v>
      </c>
      <c r="C1038" s="438" t="s">
        <v>17896</v>
      </c>
      <c r="D1038" s="438" t="s">
        <v>3441</v>
      </c>
      <c r="E1038" s="438" t="s">
        <v>20766</v>
      </c>
      <c r="F1038" s="438" t="s">
        <v>48</v>
      </c>
      <c r="G1038" s="438" t="s">
        <v>35</v>
      </c>
      <c r="H1038" s="438" t="s">
        <v>65</v>
      </c>
      <c r="I1038" s="438" t="s">
        <v>38</v>
      </c>
      <c r="J1038" s="439">
        <v>13895.0</v>
      </c>
      <c r="K1038" s="440" t="s">
        <v>18148</v>
      </c>
    </row>
    <row r="1039">
      <c r="A1039" s="441">
        <v>45918.52855324074</v>
      </c>
      <c r="B1039" s="442">
        <v>18498.0</v>
      </c>
      <c r="C1039" s="442" t="s">
        <v>20906</v>
      </c>
      <c r="D1039" s="442" t="s">
        <v>112</v>
      </c>
      <c r="E1039" s="442" t="s">
        <v>20907</v>
      </c>
      <c r="F1039" s="442" t="s">
        <v>48</v>
      </c>
      <c r="G1039" s="442" t="s">
        <v>35</v>
      </c>
      <c r="H1039" s="442" t="s">
        <v>65</v>
      </c>
      <c r="I1039" s="442" t="s">
        <v>38</v>
      </c>
      <c r="J1039" s="443">
        <v>13898.0</v>
      </c>
      <c r="K1039" s="444" t="s">
        <v>18148</v>
      </c>
    </row>
    <row r="1040">
      <c r="A1040" s="437">
        <v>45918.52855324074</v>
      </c>
      <c r="B1040" s="438">
        <v>18496.0</v>
      </c>
      <c r="C1040" s="438" t="s">
        <v>7885</v>
      </c>
      <c r="D1040" s="438" t="s">
        <v>3441</v>
      </c>
      <c r="E1040" s="438" t="s">
        <v>20898</v>
      </c>
      <c r="F1040" s="438" t="s">
        <v>48</v>
      </c>
      <c r="G1040" s="438" t="s">
        <v>35</v>
      </c>
      <c r="H1040" s="438" t="s">
        <v>49</v>
      </c>
      <c r="I1040" s="438" t="s">
        <v>38</v>
      </c>
      <c r="J1040" s="439">
        <v>13901.0</v>
      </c>
      <c r="K1040" s="440" t="s">
        <v>18148</v>
      </c>
    </row>
    <row r="1041">
      <c r="A1041" s="441">
        <v>45918.52856481481</v>
      </c>
      <c r="B1041" s="442">
        <v>18454.0</v>
      </c>
      <c r="C1041" s="442" t="s">
        <v>20688</v>
      </c>
      <c r="D1041" s="442" t="s">
        <v>91</v>
      </c>
      <c r="E1041" s="442" t="s">
        <v>23672</v>
      </c>
      <c r="F1041" s="442" t="s">
        <v>48</v>
      </c>
      <c r="G1041" s="442" t="s">
        <v>35</v>
      </c>
      <c r="H1041" s="442" t="s">
        <v>49</v>
      </c>
      <c r="I1041" s="442" t="s">
        <v>16881</v>
      </c>
      <c r="J1041" s="443">
        <v>13900.0</v>
      </c>
      <c r="K1041" s="444" t="s">
        <v>18148</v>
      </c>
    </row>
    <row r="1042">
      <c r="A1042" s="437">
        <v>45918.52856481481</v>
      </c>
      <c r="B1042" s="438">
        <v>18494.0</v>
      </c>
      <c r="C1042" s="438" t="s">
        <v>20888</v>
      </c>
      <c r="D1042" s="438" t="s">
        <v>91</v>
      </c>
      <c r="E1042" s="438" t="s">
        <v>20889</v>
      </c>
      <c r="F1042" s="438" t="s">
        <v>48</v>
      </c>
      <c r="G1042" s="438" t="s">
        <v>35</v>
      </c>
      <c r="H1042" s="438" t="s">
        <v>65</v>
      </c>
      <c r="I1042" s="438" t="s">
        <v>38</v>
      </c>
      <c r="J1042" s="439">
        <v>13896.0</v>
      </c>
      <c r="K1042" s="440" t="s">
        <v>18148</v>
      </c>
    </row>
    <row r="1043">
      <c r="A1043" s="441">
        <v>45918.52857638889</v>
      </c>
      <c r="B1043" s="442">
        <v>18497.0</v>
      </c>
      <c r="C1043" s="442" t="s">
        <v>746</v>
      </c>
      <c r="D1043" s="442" t="s">
        <v>47</v>
      </c>
      <c r="E1043" s="442" t="s">
        <v>20902</v>
      </c>
      <c r="F1043" s="442" t="s">
        <v>48</v>
      </c>
      <c r="G1043" s="442" t="s">
        <v>35</v>
      </c>
      <c r="H1043" s="442" t="s">
        <v>65</v>
      </c>
      <c r="I1043" s="442" t="s">
        <v>38</v>
      </c>
      <c r="J1043" s="443">
        <v>13897.0</v>
      </c>
      <c r="K1043" s="444" t="s">
        <v>18148</v>
      </c>
    </row>
    <row r="1044">
      <c r="A1044" s="437">
        <v>45918.52857638889</v>
      </c>
      <c r="B1044" s="438">
        <v>18507.0</v>
      </c>
      <c r="C1044" s="438" t="s">
        <v>8197</v>
      </c>
      <c r="D1044" s="438" t="s">
        <v>91</v>
      </c>
      <c r="E1044" s="438" t="s">
        <v>20939</v>
      </c>
      <c r="F1044" s="438" t="s">
        <v>48</v>
      </c>
      <c r="G1044" s="438" t="s">
        <v>35</v>
      </c>
      <c r="H1044" s="438" t="s">
        <v>49</v>
      </c>
      <c r="I1044" s="438" t="s">
        <v>11095</v>
      </c>
      <c r="J1044" s="439">
        <v>13904.0</v>
      </c>
      <c r="K1044" s="440" t="s">
        <v>18148</v>
      </c>
    </row>
    <row r="1045">
      <c r="A1045" s="441">
        <v>45918.52857638889</v>
      </c>
      <c r="B1045" s="442" t="s">
        <v>20475</v>
      </c>
      <c r="C1045" s="442" t="s">
        <v>4147</v>
      </c>
      <c r="D1045" s="442" t="s">
        <v>112</v>
      </c>
      <c r="E1045" s="442" t="s">
        <v>20476</v>
      </c>
      <c r="F1045" s="442" t="s">
        <v>48</v>
      </c>
      <c r="G1045" s="442" t="s">
        <v>35</v>
      </c>
      <c r="H1045" s="442" t="s">
        <v>49</v>
      </c>
      <c r="I1045" s="442" t="s">
        <v>38</v>
      </c>
      <c r="J1045" s="443">
        <v>13899.0</v>
      </c>
      <c r="K1045" s="444" t="s">
        <v>18148</v>
      </c>
    </row>
    <row r="1046">
      <c r="A1046" s="437">
        <v>45918.52858796297</v>
      </c>
      <c r="B1046" s="438">
        <v>18499.0</v>
      </c>
      <c r="C1046" s="438" t="s">
        <v>20911</v>
      </c>
      <c r="D1046" s="438" t="s">
        <v>72</v>
      </c>
      <c r="E1046" s="438" t="s">
        <v>20912</v>
      </c>
      <c r="F1046" s="438" t="s">
        <v>48</v>
      </c>
      <c r="G1046" s="438" t="s">
        <v>35</v>
      </c>
      <c r="H1046" s="438" t="s">
        <v>49</v>
      </c>
      <c r="I1046" s="438" t="s">
        <v>38</v>
      </c>
      <c r="J1046" s="439">
        <v>13903.0</v>
      </c>
      <c r="K1046" s="440" t="s">
        <v>18148</v>
      </c>
    </row>
    <row r="1047">
      <c r="A1047" s="441">
        <v>45918.528599537036</v>
      </c>
      <c r="B1047" s="442">
        <v>18493.0</v>
      </c>
      <c r="C1047" s="442" t="s">
        <v>20882</v>
      </c>
      <c r="D1047" s="442" t="s">
        <v>3441</v>
      </c>
      <c r="E1047" s="442" t="s">
        <v>20883</v>
      </c>
      <c r="F1047" s="442" t="s">
        <v>48</v>
      </c>
      <c r="G1047" s="442" t="s">
        <v>35</v>
      </c>
      <c r="H1047" s="442" t="s">
        <v>49</v>
      </c>
      <c r="I1047" s="442" t="s">
        <v>11095</v>
      </c>
      <c r="J1047" s="443">
        <v>13902.0</v>
      </c>
      <c r="K1047" s="444" t="s">
        <v>18148</v>
      </c>
    </row>
    <row r="1048">
      <c r="A1048" s="437">
        <v>45918.52862268518</v>
      </c>
      <c r="B1048" s="438" t="s">
        <v>19724</v>
      </c>
      <c r="C1048" s="438" t="s">
        <v>8902</v>
      </c>
      <c r="D1048" s="438" t="s">
        <v>19725</v>
      </c>
      <c r="E1048" s="438">
        <v>20298.0</v>
      </c>
      <c r="F1048" s="438"/>
      <c r="G1048" s="438" t="s">
        <v>35</v>
      </c>
      <c r="H1048" s="438" t="s">
        <v>49</v>
      </c>
      <c r="I1048" s="438" t="s">
        <v>38</v>
      </c>
      <c r="J1048" s="439">
        <v>13905.0</v>
      </c>
      <c r="K1048" s="440" t="s">
        <v>18148</v>
      </c>
    </row>
    <row r="1049">
      <c r="A1049" s="441">
        <v>45919.53559027778</v>
      </c>
      <c r="B1049" s="442" t="s">
        <v>20839</v>
      </c>
      <c r="C1049" s="442" t="s">
        <v>3645</v>
      </c>
      <c r="D1049" s="442" t="s">
        <v>85</v>
      </c>
      <c r="E1049" s="442" t="s">
        <v>20840</v>
      </c>
      <c r="F1049" s="442" t="s">
        <v>48</v>
      </c>
      <c r="G1049" s="442" t="s">
        <v>35</v>
      </c>
      <c r="H1049" s="442" t="s">
        <v>49</v>
      </c>
      <c r="I1049" s="442" t="s">
        <v>38</v>
      </c>
      <c r="J1049" s="443">
        <v>13909.0</v>
      </c>
      <c r="K1049" s="444" t="s">
        <v>18148</v>
      </c>
    </row>
    <row r="1050">
      <c r="A1050" s="437">
        <v>45919.53559027778</v>
      </c>
      <c r="B1050" s="438">
        <v>18517.0</v>
      </c>
      <c r="C1050" s="438" t="s">
        <v>4352</v>
      </c>
      <c r="D1050" s="438" t="s">
        <v>91</v>
      </c>
      <c r="E1050" s="438" t="s">
        <v>20982</v>
      </c>
      <c r="F1050" s="438" t="s">
        <v>48</v>
      </c>
      <c r="G1050" s="438" t="s">
        <v>35</v>
      </c>
      <c r="H1050" s="438" t="s">
        <v>49</v>
      </c>
      <c r="I1050" s="438" t="s">
        <v>38</v>
      </c>
      <c r="J1050" s="439">
        <v>13914.0</v>
      </c>
      <c r="K1050" s="440" t="s">
        <v>18148</v>
      </c>
    </row>
    <row r="1051">
      <c r="A1051" s="441">
        <v>45919.53560185185</v>
      </c>
      <c r="B1051" s="442">
        <v>18229.0</v>
      </c>
      <c r="C1051" s="442" t="s">
        <v>19442</v>
      </c>
      <c r="D1051" s="442" t="s">
        <v>4430</v>
      </c>
      <c r="E1051" s="442" t="s">
        <v>23741</v>
      </c>
      <c r="F1051" s="442" t="s">
        <v>48</v>
      </c>
      <c r="G1051" s="442" t="s">
        <v>35</v>
      </c>
      <c r="H1051" s="442" t="s">
        <v>92</v>
      </c>
      <c r="I1051" s="442" t="s">
        <v>38</v>
      </c>
      <c r="J1051" s="443">
        <v>13920.0</v>
      </c>
      <c r="K1051" s="444" t="s">
        <v>18148</v>
      </c>
    </row>
    <row r="1052">
      <c r="A1052" s="437">
        <v>45919.53560185185</v>
      </c>
      <c r="B1052" s="438">
        <v>18513.0</v>
      </c>
      <c r="C1052" s="438" t="s">
        <v>4293</v>
      </c>
      <c r="D1052" s="438" t="s">
        <v>112</v>
      </c>
      <c r="E1052" s="438" t="s">
        <v>20964</v>
      </c>
      <c r="F1052" s="438" t="s">
        <v>48</v>
      </c>
      <c r="G1052" s="438" t="s">
        <v>35</v>
      </c>
      <c r="H1052" s="438" t="s">
        <v>65</v>
      </c>
      <c r="I1052" s="438" t="s">
        <v>38</v>
      </c>
      <c r="J1052" s="439">
        <v>13919.0</v>
      </c>
      <c r="K1052" s="440" t="s">
        <v>18148</v>
      </c>
    </row>
    <row r="1053">
      <c r="A1053" s="441">
        <v>45919.53561342593</v>
      </c>
      <c r="B1053" s="442">
        <v>18516.0</v>
      </c>
      <c r="C1053" s="442" t="s">
        <v>4352</v>
      </c>
      <c r="D1053" s="442" t="s">
        <v>91</v>
      </c>
      <c r="E1053" s="442" t="s">
        <v>20977</v>
      </c>
      <c r="F1053" s="442" t="s">
        <v>48</v>
      </c>
      <c r="G1053" s="442" t="s">
        <v>35</v>
      </c>
      <c r="H1053" s="442" t="s">
        <v>49</v>
      </c>
      <c r="I1053" s="442" t="s">
        <v>38</v>
      </c>
      <c r="J1053" s="443">
        <v>13913.0</v>
      </c>
      <c r="K1053" s="444" t="s">
        <v>18148</v>
      </c>
    </row>
    <row r="1054">
      <c r="A1054" s="437">
        <v>45919.53560185185</v>
      </c>
      <c r="B1054" s="438">
        <v>18511.0</v>
      </c>
      <c r="C1054" s="438" t="s">
        <v>4352</v>
      </c>
      <c r="D1054" s="438" t="s">
        <v>112</v>
      </c>
      <c r="E1054" s="438" t="s">
        <v>20955</v>
      </c>
      <c r="F1054" s="438" t="s">
        <v>48</v>
      </c>
      <c r="G1054" s="438" t="s">
        <v>35</v>
      </c>
      <c r="H1054" s="438" t="s">
        <v>49</v>
      </c>
      <c r="I1054" s="438" t="s">
        <v>38</v>
      </c>
      <c r="J1054" s="439">
        <v>13911.0</v>
      </c>
      <c r="K1054" s="440" t="s">
        <v>18148</v>
      </c>
    </row>
    <row r="1055">
      <c r="A1055" s="441">
        <v>45919.53561342593</v>
      </c>
      <c r="B1055" s="442">
        <v>18505.0</v>
      </c>
      <c r="C1055" s="442" t="s">
        <v>13993</v>
      </c>
      <c r="D1055" s="442" t="s">
        <v>85</v>
      </c>
      <c r="E1055" s="442" t="s">
        <v>20934</v>
      </c>
      <c r="F1055" s="442" t="s">
        <v>48</v>
      </c>
      <c r="G1055" s="442" t="s">
        <v>35</v>
      </c>
      <c r="H1055" s="442" t="s">
        <v>49</v>
      </c>
      <c r="I1055" s="442" t="s">
        <v>38</v>
      </c>
      <c r="J1055" s="443">
        <v>13910.0</v>
      </c>
      <c r="K1055" s="444" t="s">
        <v>18148</v>
      </c>
    </row>
    <row r="1056">
      <c r="A1056" s="437">
        <v>45919.53564814815</v>
      </c>
      <c r="B1056" s="438">
        <v>18369.0</v>
      </c>
      <c r="C1056" s="438" t="s">
        <v>20221</v>
      </c>
      <c r="D1056" s="438" t="s">
        <v>135</v>
      </c>
      <c r="E1056" s="438">
        <v>20272.0</v>
      </c>
      <c r="F1056" s="438" t="s">
        <v>48</v>
      </c>
      <c r="G1056" s="438" t="s">
        <v>35</v>
      </c>
      <c r="H1056" s="438" t="s">
        <v>65</v>
      </c>
      <c r="I1056" s="438" t="s">
        <v>38</v>
      </c>
      <c r="J1056" s="439">
        <v>13916.0</v>
      </c>
      <c r="K1056" s="440" t="s">
        <v>18148</v>
      </c>
    </row>
    <row r="1057">
      <c r="A1057" s="441">
        <v>45919.53568287037</v>
      </c>
      <c r="B1057" s="442">
        <v>18493.0</v>
      </c>
      <c r="C1057" s="442" t="s">
        <v>20882</v>
      </c>
      <c r="D1057" s="442" t="s">
        <v>3441</v>
      </c>
      <c r="E1057" s="442" t="s">
        <v>20883</v>
      </c>
      <c r="F1057" s="442" t="s">
        <v>48</v>
      </c>
      <c r="G1057" s="442" t="s">
        <v>35</v>
      </c>
      <c r="H1057" s="442" t="s">
        <v>49</v>
      </c>
      <c r="I1057" s="442" t="s">
        <v>11095</v>
      </c>
      <c r="J1057" s="443">
        <v>13902.0</v>
      </c>
      <c r="K1057" s="444" t="s">
        <v>18148</v>
      </c>
    </row>
    <row r="1058">
      <c r="A1058" s="437">
        <v>45919.535729166666</v>
      </c>
      <c r="B1058" s="438">
        <v>18515.0</v>
      </c>
      <c r="C1058" s="438" t="s">
        <v>4352</v>
      </c>
      <c r="D1058" s="438" t="s">
        <v>72</v>
      </c>
      <c r="E1058" s="438" t="s">
        <v>20972</v>
      </c>
      <c r="F1058" s="438" t="s">
        <v>48</v>
      </c>
      <c r="G1058" s="438" t="s">
        <v>35</v>
      </c>
      <c r="H1058" s="438" t="s">
        <v>49</v>
      </c>
      <c r="I1058" s="438" t="s">
        <v>38</v>
      </c>
      <c r="J1058" s="439">
        <v>13912.0</v>
      </c>
      <c r="K1058" s="440" t="s">
        <v>18148</v>
      </c>
    </row>
    <row r="1059">
      <c r="A1059" s="441">
        <v>45919.56520833333</v>
      </c>
      <c r="B1059" s="442">
        <v>18466.0</v>
      </c>
      <c r="C1059" s="442" t="s">
        <v>725</v>
      </c>
      <c r="D1059" s="442" t="s">
        <v>135</v>
      </c>
      <c r="E1059" s="442">
        <v>20270.0</v>
      </c>
      <c r="F1059" s="442" t="s">
        <v>48</v>
      </c>
      <c r="G1059" s="442" t="s">
        <v>35</v>
      </c>
      <c r="H1059" s="442" t="s">
        <v>49</v>
      </c>
      <c r="I1059" s="442" t="s">
        <v>38</v>
      </c>
      <c r="J1059" s="443">
        <v>13921.0</v>
      </c>
      <c r="K1059" s="444" t="s">
        <v>18148</v>
      </c>
    </row>
    <row r="1060">
      <c r="A1060" s="437">
        <v>45919.56532407407</v>
      </c>
      <c r="B1060" s="438">
        <v>18503.0</v>
      </c>
      <c r="C1060" s="438" t="s">
        <v>4681</v>
      </c>
      <c r="D1060" s="438" t="s">
        <v>18009</v>
      </c>
      <c r="E1060" s="438">
        <v>20301.0</v>
      </c>
      <c r="F1060" s="438" t="s">
        <v>48</v>
      </c>
      <c r="G1060" s="438" t="s">
        <v>35</v>
      </c>
      <c r="H1060" s="438" t="s">
        <v>49</v>
      </c>
      <c r="I1060" s="438" t="s">
        <v>4683</v>
      </c>
      <c r="J1060" s="439">
        <v>13922.0</v>
      </c>
      <c r="K1060" s="440" t="s">
        <v>18148</v>
      </c>
    </row>
    <row r="1061">
      <c r="A1061" s="441">
        <v>45922.56684027778</v>
      </c>
      <c r="B1061" s="442">
        <v>18500.0</v>
      </c>
      <c r="C1061" s="442" t="s">
        <v>18450</v>
      </c>
      <c r="D1061" s="442" t="s">
        <v>91</v>
      </c>
      <c r="E1061" s="442" t="s">
        <v>20916</v>
      </c>
      <c r="F1061" s="442" t="s">
        <v>48</v>
      </c>
      <c r="G1061" s="442" t="s">
        <v>35</v>
      </c>
      <c r="H1061" s="442" t="s">
        <v>339</v>
      </c>
      <c r="I1061" s="442" t="s">
        <v>38</v>
      </c>
      <c r="J1061" s="443">
        <v>13936.0</v>
      </c>
      <c r="K1061" s="444" t="s">
        <v>18148</v>
      </c>
    </row>
    <row r="1062">
      <c r="A1062" s="437">
        <v>45922.56690972222</v>
      </c>
      <c r="B1062" s="438" t="s">
        <v>21147</v>
      </c>
      <c r="C1062" s="438" t="s">
        <v>21142</v>
      </c>
      <c r="D1062" s="438" t="s">
        <v>91</v>
      </c>
      <c r="E1062" s="438" t="s">
        <v>21148</v>
      </c>
      <c r="F1062" s="438" t="s">
        <v>48</v>
      </c>
      <c r="G1062" s="438" t="s">
        <v>35</v>
      </c>
      <c r="H1062" s="438" t="s">
        <v>49</v>
      </c>
      <c r="I1062" s="438" t="s">
        <v>1184</v>
      </c>
      <c r="J1062" s="439">
        <v>13933.0</v>
      </c>
      <c r="K1062" s="440" t="s">
        <v>18148</v>
      </c>
    </row>
    <row r="1063">
      <c r="A1063" s="441">
        <v>45922.56696759259</v>
      </c>
      <c r="B1063" s="442" t="s">
        <v>21141</v>
      </c>
      <c r="C1063" s="442" t="s">
        <v>21142</v>
      </c>
      <c r="D1063" s="442" t="s">
        <v>91</v>
      </c>
      <c r="E1063" s="442" t="s">
        <v>21143</v>
      </c>
      <c r="F1063" s="442" t="s">
        <v>48</v>
      </c>
      <c r="G1063" s="442" t="s">
        <v>35</v>
      </c>
      <c r="H1063" s="442" t="s">
        <v>49</v>
      </c>
      <c r="I1063" s="442" t="s">
        <v>1184</v>
      </c>
      <c r="J1063" s="443">
        <v>13933.0</v>
      </c>
      <c r="K1063" s="444" t="s">
        <v>18148</v>
      </c>
    </row>
    <row r="1064">
      <c r="A1064" s="437">
        <v>45922.567025462966</v>
      </c>
      <c r="B1064" s="438" t="s">
        <v>19528</v>
      </c>
      <c r="C1064" s="438" t="s">
        <v>19519</v>
      </c>
      <c r="D1064" s="438" t="s">
        <v>18072</v>
      </c>
      <c r="E1064" s="438" t="s">
        <v>19529</v>
      </c>
      <c r="F1064" s="438"/>
      <c r="G1064" s="438" t="s">
        <v>35</v>
      </c>
      <c r="H1064" s="438" t="s">
        <v>49</v>
      </c>
      <c r="I1064" s="438" t="s">
        <v>38</v>
      </c>
      <c r="J1064" s="439">
        <v>13930.0</v>
      </c>
      <c r="K1064" s="440" t="s">
        <v>18148</v>
      </c>
    </row>
    <row r="1065">
      <c r="A1065" s="441">
        <v>45922.56707175926</v>
      </c>
      <c r="B1065" s="442" t="s">
        <v>19532</v>
      </c>
      <c r="C1065" s="442" t="s">
        <v>19519</v>
      </c>
      <c r="D1065" s="442" t="s">
        <v>18072</v>
      </c>
      <c r="E1065" s="442" t="s">
        <v>19533</v>
      </c>
      <c r="F1065" s="442"/>
      <c r="G1065" s="442" t="s">
        <v>35</v>
      </c>
      <c r="H1065" s="442" t="s">
        <v>49</v>
      </c>
      <c r="I1065" s="442" t="s">
        <v>38</v>
      </c>
      <c r="J1065" s="443">
        <v>13930.0</v>
      </c>
      <c r="K1065" s="444" t="s">
        <v>18148</v>
      </c>
    </row>
    <row r="1066">
      <c r="A1066" s="437">
        <v>45922.56716435185</v>
      </c>
      <c r="B1066" s="438" t="s">
        <v>19524</v>
      </c>
      <c r="C1066" s="438" t="s">
        <v>19519</v>
      </c>
      <c r="D1066" s="438" t="s">
        <v>18072</v>
      </c>
      <c r="E1066" s="438" t="s">
        <v>19525</v>
      </c>
      <c r="F1066" s="438"/>
      <c r="G1066" s="438" t="s">
        <v>35</v>
      </c>
      <c r="H1066" s="438" t="s">
        <v>49</v>
      </c>
      <c r="I1066" s="438" t="s">
        <v>38</v>
      </c>
      <c r="J1066" s="439">
        <v>13930.0</v>
      </c>
      <c r="K1066" s="440" t="s">
        <v>18148</v>
      </c>
    </row>
    <row r="1067">
      <c r="A1067" s="441">
        <v>45922.56716435185</v>
      </c>
      <c r="B1067" s="442" t="s">
        <v>19518</v>
      </c>
      <c r="C1067" s="442" t="s">
        <v>19519</v>
      </c>
      <c r="D1067" s="442" t="s">
        <v>18072</v>
      </c>
      <c r="E1067" s="442" t="s">
        <v>19520</v>
      </c>
      <c r="F1067" s="442"/>
      <c r="G1067" s="442" t="s">
        <v>35</v>
      </c>
      <c r="H1067" s="442" t="s">
        <v>49</v>
      </c>
      <c r="I1067" s="442" t="s">
        <v>38</v>
      </c>
      <c r="J1067" s="443">
        <v>13930.0</v>
      </c>
      <c r="K1067" s="444" t="s">
        <v>18148</v>
      </c>
    </row>
    <row r="1068">
      <c r="A1068" s="437">
        <v>45922.56721064815</v>
      </c>
      <c r="B1068" s="438">
        <v>18547.0</v>
      </c>
      <c r="C1068" s="438" t="s">
        <v>4293</v>
      </c>
      <c r="D1068" s="438" t="s">
        <v>85</v>
      </c>
      <c r="E1068" s="438" t="s">
        <v>21152</v>
      </c>
      <c r="F1068" s="438" t="s">
        <v>48</v>
      </c>
      <c r="G1068" s="438" t="s">
        <v>35</v>
      </c>
      <c r="H1068" s="438" t="s">
        <v>65</v>
      </c>
      <c r="I1068" s="438" t="s">
        <v>38</v>
      </c>
      <c r="J1068" s="439">
        <v>13934.0</v>
      </c>
      <c r="K1068" s="440" t="s">
        <v>18148</v>
      </c>
    </row>
    <row r="1069">
      <c r="A1069" s="441">
        <v>45922.56725694444</v>
      </c>
      <c r="B1069" s="442" t="s">
        <v>21003</v>
      </c>
      <c r="C1069" s="442" t="s">
        <v>4293</v>
      </c>
      <c r="D1069" s="442" t="s">
        <v>85</v>
      </c>
      <c r="E1069" s="442" t="s">
        <v>21004</v>
      </c>
      <c r="F1069" s="442" t="s">
        <v>48</v>
      </c>
      <c r="G1069" s="442" t="s">
        <v>35</v>
      </c>
      <c r="H1069" s="442" t="s">
        <v>65</v>
      </c>
      <c r="I1069" s="442" t="s">
        <v>38</v>
      </c>
      <c r="J1069" s="443">
        <v>13929.0</v>
      </c>
      <c r="K1069" s="444" t="s">
        <v>18148</v>
      </c>
    </row>
    <row r="1070">
      <c r="A1070" s="437">
        <v>45922.56731481481</v>
      </c>
      <c r="B1070" s="438">
        <v>18533.0</v>
      </c>
      <c r="C1070" s="438" t="s">
        <v>4293</v>
      </c>
      <c r="D1070" s="438" t="s">
        <v>85</v>
      </c>
      <c r="E1070" s="438" t="s">
        <v>21055</v>
      </c>
      <c r="F1070" s="438" t="s">
        <v>48</v>
      </c>
      <c r="G1070" s="438" t="s">
        <v>35</v>
      </c>
      <c r="H1070" s="438" t="s">
        <v>65</v>
      </c>
      <c r="I1070" s="438" t="s">
        <v>38</v>
      </c>
      <c r="J1070" s="439">
        <v>13928.0</v>
      </c>
      <c r="K1070" s="440" t="s">
        <v>18148</v>
      </c>
    </row>
    <row r="1071">
      <c r="A1071" s="441">
        <v>45922.56738425926</v>
      </c>
      <c r="B1071" s="442" t="s">
        <v>20999</v>
      </c>
      <c r="C1071" s="442" t="s">
        <v>4293</v>
      </c>
      <c r="D1071" s="442" t="s">
        <v>85</v>
      </c>
      <c r="E1071" s="442" t="s">
        <v>21000</v>
      </c>
      <c r="F1071" s="442" t="s">
        <v>48</v>
      </c>
      <c r="G1071" s="442" t="s">
        <v>35</v>
      </c>
      <c r="H1071" s="442" t="s">
        <v>65</v>
      </c>
      <c r="I1071" s="442" t="s">
        <v>38</v>
      </c>
      <c r="J1071" s="443">
        <v>13929.0</v>
      </c>
      <c r="K1071" s="444" t="s">
        <v>18148</v>
      </c>
    </row>
    <row r="1072">
      <c r="A1072" s="437">
        <v>45922.56741898148</v>
      </c>
      <c r="B1072" s="438">
        <v>18527.0</v>
      </c>
      <c r="C1072" s="438" t="s">
        <v>7868</v>
      </c>
      <c r="D1072" s="438" t="s">
        <v>72</v>
      </c>
      <c r="E1072" s="438" t="s">
        <v>21013</v>
      </c>
      <c r="F1072" s="438" t="s">
        <v>48</v>
      </c>
      <c r="G1072" s="438" t="s">
        <v>35</v>
      </c>
      <c r="H1072" s="438" t="s">
        <v>65</v>
      </c>
      <c r="I1072" s="438" t="s">
        <v>38</v>
      </c>
      <c r="J1072" s="439">
        <v>13932.0</v>
      </c>
      <c r="K1072" s="440" t="s">
        <v>18148</v>
      </c>
    </row>
    <row r="1073">
      <c r="A1073" s="441">
        <v>45922.567453703705</v>
      </c>
      <c r="B1073" s="442">
        <v>18526.0</v>
      </c>
      <c r="C1073" s="442" t="s">
        <v>11720</v>
      </c>
      <c r="D1073" s="442" t="s">
        <v>85</v>
      </c>
      <c r="E1073" s="442" t="s">
        <v>21008</v>
      </c>
      <c r="F1073" s="442" t="s">
        <v>48</v>
      </c>
      <c r="G1073" s="442" t="s">
        <v>35</v>
      </c>
      <c r="H1073" s="442" t="s">
        <v>65</v>
      </c>
      <c r="I1073" s="442" t="s">
        <v>38</v>
      </c>
      <c r="J1073" s="443">
        <v>13927.0</v>
      </c>
      <c r="K1073" s="444" t="s">
        <v>18148</v>
      </c>
    </row>
    <row r="1074">
      <c r="A1074" s="437">
        <v>45922.567557870374</v>
      </c>
      <c r="B1074" s="438">
        <v>18512.0</v>
      </c>
      <c r="C1074" s="438" t="s">
        <v>9336</v>
      </c>
      <c r="D1074" s="438" t="s">
        <v>3441</v>
      </c>
      <c r="E1074" s="438" t="s">
        <v>20960</v>
      </c>
      <c r="F1074" s="438" t="s">
        <v>48</v>
      </c>
      <c r="G1074" s="438" t="s">
        <v>35</v>
      </c>
      <c r="H1074" s="438" t="s">
        <v>65</v>
      </c>
      <c r="I1074" s="438" t="s">
        <v>38</v>
      </c>
      <c r="J1074" s="439">
        <v>13926.0</v>
      </c>
      <c r="K1074" s="440" t="s">
        <v>18148</v>
      </c>
    </row>
    <row r="1075">
      <c r="A1075" s="441">
        <v>45922.56769675926</v>
      </c>
      <c r="B1075" s="442">
        <v>18514.0</v>
      </c>
      <c r="C1075" s="442" t="s">
        <v>4035</v>
      </c>
      <c r="D1075" s="442" t="s">
        <v>47</v>
      </c>
      <c r="E1075" s="442" t="s">
        <v>20968</v>
      </c>
      <c r="F1075" s="442" t="s">
        <v>48</v>
      </c>
      <c r="G1075" s="442" t="s">
        <v>35</v>
      </c>
      <c r="H1075" s="442" t="s">
        <v>65</v>
      </c>
      <c r="I1075" s="442" t="s">
        <v>38</v>
      </c>
      <c r="J1075" s="443">
        <v>13931.0</v>
      </c>
      <c r="K1075" s="444" t="s">
        <v>18148</v>
      </c>
    </row>
    <row r="1076">
      <c r="A1076" s="437">
        <v>45922.5681712963</v>
      </c>
      <c r="B1076" s="438">
        <v>18500.0</v>
      </c>
      <c r="C1076" s="438" t="s">
        <v>18450</v>
      </c>
      <c r="D1076" s="438" t="s">
        <v>91</v>
      </c>
      <c r="E1076" s="438" t="s">
        <v>20916</v>
      </c>
      <c r="F1076" s="438" t="s">
        <v>48</v>
      </c>
      <c r="G1076" s="438" t="s">
        <v>35</v>
      </c>
      <c r="H1076" s="438" t="s">
        <v>339</v>
      </c>
      <c r="I1076" s="438" t="s">
        <v>38</v>
      </c>
      <c r="J1076" s="439">
        <v>13936.0</v>
      </c>
      <c r="K1076" s="440" t="s">
        <v>18148</v>
      </c>
    </row>
    <row r="1077">
      <c r="A1077" s="441">
        <v>45923.43119212963</v>
      </c>
      <c r="B1077" s="442" t="s">
        <v>20783</v>
      </c>
      <c r="C1077" s="442" t="s">
        <v>3121</v>
      </c>
      <c r="D1077" s="442" t="s">
        <v>91</v>
      </c>
      <c r="E1077" s="442" t="s">
        <v>20784</v>
      </c>
      <c r="F1077" s="442" t="s">
        <v>48</v>
      </c>
      <c r="G1077" s="442" t="s">
        <v>35</v>
      </c>
      <c r="H1077" s="442" t="s">
        <v>92</v>
      </c>
      <c r="I1077" s="442" t="s">
        <v>38</v>
      </c>
      <c r="J1077" s="443">
        <v>13939.0</v>
      </c>
      <c r="K1077" s="444" t="s">
        <v>18148</v>
      </c>
    </row>
    <row r="1078">
      <c r="A1078" s="437">
        <v>45923.43126157407</v>
      </c>
      <c r="B1078" s="438" t="s">
        <v>20788</v>
      </c>
      <c r="C1078" s="438" t="s">
        <v>3121</v>
      </c>
      <c r="D1078" s="438" t="s">
        <v>85</v>
      </c>
      <c r="E1078" s="438" t="s">
        <v>20789</v>
      </c>
      <c r="F1078" s="438" t="s">
        <v>48</v>
      </c>
      <c r="G1078" s="438" t="s">
        <v>35</v>
      </c>
      <c r="H1078" s="438" t="s">
        <v>92</v>
      </c>
      <c r="I1078" s="438" t="s">
        <v>38</v>
      </c>
      <c r="J1078" s="439">
        <v>13939.0</v>
      </c>
      <c r="K1078" s="440" t="s">
        <v>18148</v>
      </c>
    </row>
    <row r="1079">
      <c r="A1079" s="441">
        <v>45923.43130787037</v>
      </c>
      <c r="B1079" s="442" t="s">
        <v>20792</v>
      </c>
      <c r="C1079" s="442" t="s">
        <v>3121</v>
      </c>
      <c r="D1079" s="442" t="s">
        <v>85</v>
      </c>
      <c r="E1079" s="442" t="s">
        <v>20793</v>
      </c>
      <c r="F1079" s="442" t="s">
        <v>48</v>
      </c>
      <c r="G1079" s="442" t="s">
        <v>35</v>
      </c>
      <c r="H1079" s="442" t="s">
        <v>92</v>
      </c>
      <c r="I1079" s="442" t="s">
        <v>38</v>
      </c>
      <c r="J1079" s="443">
        <v>13939.0</v>
      </c>
      <c r="K1079" s="444" t="s">
        <v>18148</v>
      </c>
    </row>
    <row r="1080">
      <c r="A1080" s="437">
        <v>45923.47825231482</v>
      </c>
      <c r="B1080" s="438">
        <v>18410.0</v>
      </c>
      <c r="C1080" s="438" t="s">
        <v>20392</v>
      </c>
      <c r="D1080" s="438" t="s">
        <v>47</v>
      </c>
      <c r="E1080" s="438" t="s">
        <v>20393</v>
      </c>
      <c r="F1080" s="438" t="s">
        <v>48</v>
      </c>
      <c r="G1080" s="438" t="s">
        <v>35</v>
      </c>
      <c r="H1080" s="438" t="s">
        <v>65</v>
      </c>
      <c r="I1080" s="438" t="s">
        <v>38</v>
      </c>
      <c r="J1080" s="439">
        <v>13947.0</v>
      </c>
      <c r="K1080" s="440" t="s">
        <v>18148</v>
      </c>
    </row>
    <row r="1081">
      <c r="A1081" s="441">
        <v>45923.478310185186</v>
      </c>
      <c r="B1081" s="442">
        <v>18470.0</v>
      </c>
      <c r="C1081" s="442" t="s">
        <v>5180</v>
      </c>
      <c r="D1081" s="442" t="s">
        <v>47</v>
      </c>
      <c r="E1081" s="442" t="s">
        <v>20751</v>
      </c>
      <c r="F1081" s="442" t="s">
        <v>48</v>
      </c>
      <c r="G1081" s="442" t="s">
        <v>35</v>
      </c>
      <c r="H1081" s="442" t="s">
        <v>65</v>
      </c>
      <c r="I1081" s="442" t="s">
        <v>38</v>
      </c>
      <c r="J1081" s="443">
        <v>13952.0</v>
      </c>
      <c r="K1081" s="444" t="s">
        <v>18148</v>
      </c>
    </row>
    <row r="1082">
      <c r="A1082" s="437">
        <v>45923.478321759256</v>
      </c>
      <c r="B1082" s="438">
        <v>18553.0</v>
      </c>
      <c r="C1082" s="438" t="s">
        <v>5674</v>
      </c>
      <c r="D1082" s="438" t="s">
        <v>85</v>
      </c>
      <c r="E1082" s="438" t="s">
        <v>21171</v>
      </c>
      <c r="F1082" s="438" t="s">
        <v>48</v>
      </c>
      <c r="G1082" s="438" t="s">
        <v>35</v>
      </c>
      <c r="H1082" s="438" t="s">
        <v>65</v>
      </c>
      <c r="I1082" s="438" t="s">
        <v>38</v>
      </c>
      <c r="J1082" s="439">
        <v>13948.0</v>
      </c>
      <c r="K1082" s="440" t="s">
        <v>18148</v>
      </c>
    </row>
    <row r="1083">
      <c r="A1083" s="441">
        <v>45923.4783912037</v>
      </c>
      <c r="B1083" s="442">
        <v>18557.0</v>
      </c>
      <c r="C1083" s="442" t="s">
        <v>18090</v>
      </c>
      <c r="D1083" s="442" t="s">
        <v>85</v>
      </c>
      <c r="E1083" s="442" t="s">
        <v>21181</v>
      </c>
      <c r="F1083" s="442" t="s">
        <v>48</v>
      </c>
      <c r="G1083" s="442" t="s">
        <v>35</v>
      </c>
      <c r="H1083" s="442" t="s">
        <v>65</v>
      </c>
      <c r="I1083" s="442" t="s">
        <v>38</v>
      </c>
      <c r="J1083" s="443">
        <v>13949.0</v>
      </c>
      <c r="K1083" s="444" t="s">
        <v>18148</v>
      </c>
    </row>
    <row r="1084">
      <c r="A1084" s="437">
        <v>45923.478414351855</v>
      </c>
      <c r="B1084" s="438">
        <v>18558.0</v>
      </c>
      <c r="C1084" s="438" t="s">
        <v>4035</v>
      </c>
      <c r="D1084" s="438" t="s">
        <v>85</v>
      </c>
      <c r="E1084" s="438" t="s">
        <v>21186</v>
      </c>
      <c r="F1084" s="438" t="s">
        <v>48</v>
      </c>
      <c r="G1084" s="438" t="s">
        <v>35</v>
      </c>
      <c r="H1084" s="438" t="s">
        <v>65</v>
      </c>
      <c r="I1084" s="438" t="s">
        <v>38</v>
      </c>
      <c r="J1084" s="439">
        <v>13950.0</v>
      </c>
      <c r="K1084" s="440" t="s">
        <v>18148</v>
      </c>
    </row>
    <row r="1085">
      <c r="A1085" s="441">
        <v>45923.47844907407</v>
      </c>
      <c r="B1085" s="442">
        <v>18564.0</v>
      </c>
      <c r="C1085" s="442" t="s">
        <v>16563</v>
      </c>
      <c r="D1085" s="442" t="s">
        <v>85</v>
      </c>
      <c r="E1085" s="442" t="s">
        <v>21210</v>
      </c>
      <c r="F1085" s="442" t="s">
        <v>48</v>
      </c>
      <c r="G1085" s="442" t="s">
        <v>35</v>
      </c>
      <c r="H1085" s="442" t="s">
        <v>65</v>
      </c>
      <c r="I1085" s="442" t="s">
        <v>38</v>
      </c>
      <c r="J1085" s="443">
        <v>13951.0</v>
      </c>
      <c r="K1085" s="444" t="s">
        <v>18148</v>
      </c>
    </row>
    <row r="1086">
      <c r="A1086" s="437">
        <v>45923.47850694445</v>
      </c>
      <c r="B1086" s="438">
        <v>18226.0</v>
      </c>
      <c r="C1086" s="438" t="s">
        <v>19415</v>
      </c>
      <c r="D1086" s="438" t="s">
        <v>3395</v>
      </c>
      <c r="E1086" s="438" t="s">
        <v>19420</v>
      </c>
      <c r="F1086" s="438" t="s">
        <v>48</v>
      </c>
      <c r="G1086" s="438" t="s">
        <v>35</v>
      </c>
      <c r="H1086" s="438" t="s">
        <v>49</v>
      </c>
      <c r="I1086" s="438" t="s">
        <v>38</v>
      </c>
      <c r="J1086" s="439">
        <v>13941.0</v>
      </c>
      <c r="K1086" s="440" t="s">
        <v>18148</v>
      </c>
    </row>
    <row r="1087">
      <c r="A1087" s="441">
        <v>45923.478530092594</v>
      </c>
      <c r="B1087" s="442">
        <v>18334.0</v>
      </c>
      <c r="C1087" s="442" t="s">
        <v>8666</v>
      </c>
      <c r="D1087" s="442" t="s">
        <v>3395</v>
      </c>
      <c r="E1087" s="442" t="s">
        <v>20039</v>
      </c>
      <c r="F1087" s="442" t="s">
        <v>48</v>
      </c>
      <c r="G1087" s="442" t="s">
        <v>35</v>
      </c>
      <c r="H1087" s="442" t="s">
        <v>49</v>
      </c>
      <c r="I1087" s="442" t="s">
        <v>38</v>
      </c>
      <c r="J1087" s="443">
        <v>13942.0</v>
      </c>
      <c r="K1087" s="444" t="s">
        <v>18148</v>
      </c>
    </row>
    <row r="1088">
      <c r="A1088" s="437">
        <v>45923.47857638889</v>
      </c>
      <c r="B1088" s="438" t="s">
        <v>20043</v>
      </c>
      <c r="C1088" s="438" t="s">
        <v>8666</v>
      </c>
      <c r="D1088" s="438" t="s">
        <v>72</v>
      </c>
      <c r="E1088" s="438" t="s">
        <v>20044</v>
      </c>
      <c r="F1088" s="438" t="s">
        <v>48</v>
      </c>
      <c r="G1088" s="438" t="s">
        <v>35</v>
      </c>
      <c r="H1088" s="438" t="s">
        <v>49</v>
      </c>
      <c r="I1088" s="438" t="s">
        <v>38</v>
      </c>
      <c r="J1088" s="439">
        <v>13943.0</v>
      </c>
      <c r="K1088" s="440" t="s">
        <v>18148</v>
      </c>
    </row>
    <row r="1089">
      <c r="A1089" s="441">
        <v>45923.478634259256</v>
      </c>
      <c r="B1089" s="442" t="s">
        <v>20048</v>
      </c>
      <c r="C1089" s="442" t="s">
        <v>8666</v>
      </c>
      <c r="D1089" s="442" t="s">
        <v>91</v>
      </c>
      <c r="E1089" s="442" t="s">
        <v>20049</v>
      </c>
      <c r="F1089" s="442" t="s">
        <v>48</v>
      </c>
      <c r="G1089" s="442" t="s">
        <v>35</v>
      </c>
      <c r="H1089" s="442" t="s">
        <v>49</v>
      </c>
      <c r="I1089" s="442" t="s">
        <v>38</v>
      </c>
      <c r="J1089" s="443">
        <v>13943.0</v>
      </c>
      <c r="K1089" s="444" t="s">
        <v>18148</v>
      </c>
    </row>
    <row r="1090">
      <c r="A1090" s="437">
        <v>45923.47865740741</v>
      </c>
      <c r="B1090" s="438" t="s">
        <v>20052</v>
      </c>
      <c r="C1090" s="438" t="s">
        <v>8666</v>
      </c>
      <c r="D1090" s="438" t="s">
        <v>91</v>
      </c>
      <c r="E1090" s="438" t="s">
        <v>20053</v>
      </c>
      <c r="F1090" s="438" t="s">
        <v>48</v>
      </c>
      <c r="G1090" s="438" t="s">
        <v>35</v>
      </c>
      <c r="H1090" s="438" t="s">
        <v>49</v>
      </c>
      <c r="I1090" s="438" t="s">
        <v>38</v>
      </c>
      <c r="J1090" s="439">
        <v>13943.0</v>
      </c>
      <c r="K1090" s="440" t="s">
        <v>18148</v>
      </c>
    </row>
    <row r="1091">
      <c r="A1091" s="441">
        <v>45923.47875</v>
      </c>
      <c r="B1091" s="442">
        <v>18559.0</v>
      </c>
      <c r="C1091" s="442" t="s">
        <v>20491</v>
      </c>
      <c r="D1091" s="442" t="s">
        <v>85</v>
      </c>
      <c r="E1091" s="442" t="s">
        <v>21190</v>
      </c>
      <c r="F1091" s="442" t="s">
        <v>48</v>
      </c>
      <c r="G1091" s="442" t="s">
        <v>35</v>
      </c>
      <c r="H1091" s="442" t="s">
        <v>49</v>
      </c>
      <c r="I1091" s="442" t="s">
        <v>38</v>
      </c>
      <c r="J1091" s="443">
        <v>13945.0</v>
      </c>
      <c r="K1091" s="444" t="s">
        <v>18148</v>
      </c>
    </row>
    <row r="1092">
      <c r="A1092" s="437">
        <v>45923.47877314815</v>
      </c>
      <c r="B1092" s="438">
        <v>18543.0</v>
      </c>
      <c r="C1092" s="438" t="s">
        <v>21097</v>
      </c>
      <c r="D1092" s="438" t="s">
        <v>85</v>
      </c>
      <c r="E1092" s="438" t="s">
        <v>21107</v>
      </c>
      <c r="F1092" s="438" t="s">
        <v>48</v>
      </c>
      <c r="G1092" s="438" t="s">
        <v>35</v>
      </c>
      <c r="H1092" s="438" t="s">
        <v>49</v>
      </c>
      <c r="I1092" s="438" t="s">
        <v>38</v>
      </c>
      <c r="J1092" s="439">
        <v>13944.0</v>
      </c>
      <c r="K1092" s="440" t="s">
        <v>18148</v>
      </c>
    </row>
    <row r="1093">
      <c r="A1093" s="441">
        <v>45923.4790625</v>
      </c>
      <c r="B1093" s="442">
        <v>18560.0</v>
      </c>
      <c r="C1093" s="442" t="s">
        <v>9674</v>
      </c>
      <c r="D1093" s="442" t="s">
        <v>3441</v>
      </c>
      <c r="E1093" s="442" t="s">
        <v>21194</v>
      </c>
      <c r="F1093" s="442" t="s">
        <v>48</v>
      </c>
      <c r="G1093" s="442" t="s">
        <v>35</v>
      </c>
      <c r="H1093" s="442" t="s">
        <v>49</v>
      </c>
      <c r="I1093" s="442" t="s">
        <v>38</v>
      </c>
      <c r="J1093" s="443">
        <v>13946.0</v>
      </c>
      <c r="K1093" s="444" t="s">
        <v>18148</v>
      </c>
    </row>
    <row r="1094">
      <c r="A1094" s="437">
        <v>45923.553298611114</v>
      </c>
      <c r="B1094" s="438">
        <v>18567.0</v>
      </c>
      <c r="C1094" s="438" t="s">
        <v>17258</v>
      </c>
      <c r="D1094" s="438" t="s">
        <v>3441</v>
      </c>
      <c r="E1094" s="438" t="s">
        <v>21223</v>
      </c>
      <c r="F1094" s="438"/>
      <c r="G1094" s="438" t="s">
        <v>35</v>
      </c>
      <c r="H1094" s="438" t="s">
        <v>49</v>
      </c>
      <c r="I1094" s="438" t="s">
        <v>9027</v>
      </c>
      <c r="J1094" s="439">
        <v>13953.0</v>
      </c>
      <c r="K1094" s="440" t="s">
        <v>18148</v>
      </c>
    </row>
    <row r="1095">
      <c r="A1095" s="441">
        <v>45923.56964120371</v>
      </c>
      <c r="B1095" s="442">
        <v>18567.0</v>
      </c>
      <c r="C1095" s="442" t="s">
        <v>17258</v>
      </c>
      <c r="D1095" s="442" t="s">
        <v>3441</v>
      </c>
      <c r="E1095" s="442" t="s">
        <v>21223</v>
      </c>
      <c r="F1095" s="442"/>
      <c r="G1095" s="442" t="s">
        <v>35</v>
      </c>
      <c r="H1095" s="442" t="s">
        <v>49</v>
      </c>
      <c r="I1095" s="442" t="s">
        <v>9027</v>
      </c>
      <c r="J1095" s="443">
        <v>13953.0</v>
      </c>
      <c r="K1095" s="444" t="s">
        <v>18148</v>
      </c>
    </row>
    <row r="1096">
      <c r="A1096" s="437">
        <v>45923.58063657407</v>
      </c>
      <c r="B1096" s="438">
        <v>18561.0</v>
      </c>
      <c r="C1096" s="438" t="s">
        <v>9399</v>
      </c>
      <c r="D1096" s="438" t="s">
        <v>85</v>
      </c>
      <c r="E1096" s="438" t="s">
        <v>21198</v>
      </c>
      <c r="F1096" s="438"/>
      <c r="G1096" s="438" t="s">
        <v>35</v>
      </c>
      <c r="H1096" s="438" t="s">
        <v>65</v>
      </c>
      <c r="I1096" s="438" t="s">
        <v>38</v>
      </c>
      <c r="J1096" s="439">
        <v>13954.0</v>
      </c>
      <c r="K1096" s="440" t="s">
        <v>18148</v>
      </c>
    </row>
    <row r="1097">
      <c r="A1097" s="441">
        <v>45924.45613425926</v>
      </c>
      <c r="B1097" s="442" t="s">
        <v>19997</v>
      </c>
      <c r="C1097" s="442" t="s">
        <v>8743</v>
      </c>
      <c r="D1097" s="442" t="s">
        <v>85</v>
      </c>
      <c r="E1097" s="442" t="s">
        <v>19998</v>
      </c>
      <c r="F1097" s="442"/>
      <c r="G1097" s="442" t="s">
        <v>35</v>
      </c>
      <c r="H1097" s="442" t="s">
        <v>65</v>
      </c>
      <c r="I1097" s="442" t="s">
        <v>38</v>
      </c>
      <c r="J1097" s="443">
        <v>13959.0</v>
      </c>
      <c r="K1097" s="444" t="s">
        <v>18148</v>
      </c>
    </row>
    <row r="1098">
      <c r="A1098" s="437">
        <v>45924.4562037037</v>
      </c>
      <c r="B1098" s="438" t="s">
        <v>20002</v>
      </c>
      <c r="C1098" s="438" t="s">
        <v>8743</v>
      </c>
      <c r="D1098" s="438" t="s">
        <v>85</v>
      </c>
      <c r="E1098" s="438" t="s">
        <v>20003</v>
      </c>
      <c r="F1098" s="438"/>
      <c r="G1098" s="438" t="s">
        <v>35</v>
      </c>
      <c r="H1098" s="438" t="s">
        <v>65</v>
      </c>
      <c r="I1098" s="438" t="s">
        <v>38</v>
      </c>
      <c r="J1098" s="439">
        <v>13959.0</v>
      </c>
      <c r="K1098" s="440" t="s">
        <v>18148</v>
      </c>
    </row>
    <row r="1099">
      <c r="A1099" s="441">
        <v>45924.456412037034</v>
      </c>
      <c r="B1099" s="442" t="s">
        <v>20006</v>
      </c>
      <c r="C1099" s="442" t="s">
        <v>8743</v>
      </c>
      <c r="D1099" s="442" t="s">
        <v>91</v>
      </c>
      <c r="E1099" s="442" t="s">
        <v>20007</v>
      </c>
      <c r="F1099" s="442"/>
      <c r="G1099" s="442" t="s">
        <v>35</v>
      </c>
      <c r="H1099" s="442" t="s">
        <v>65</v>
      </c>
      <c r="I1099" s="442" t="s">
        <v>38</v>
      </c>
      <c r="J1099" s="443">
        <v>13959.0</v>
      </c>
      <c r="K1099" s="444" t="s">
        <v>18148</v>
      </c>
    </row>
    <row r="1100">
      <c r="A1100" s="437">
        <v>45924.45649305556</v>
      </c>
      <c r="B1100" s="438">
        <v>18571.0</v>
      </c>
      <c r="C1100" s="438" t="s">
        <v>5313</v>
      </c>
      <c r="D1100" s="438" t="s">
        <v>3441</v>
      </c>
      <c r="E1100" s="438" t="s">
        <v>21260</v>
      </c>
      <c r="F1100" s="438"/>
      <c r="G1100" s="438" t="s">
        <v>35</v>
      </c>
      <c r="H1100" s="438" t="s">
        <v>65</v>
      </c>
      <c r="I1100" s="438" t="s">
        <v>38</v>
      </c>
      <c r="J1100" s="439">
        <v>13956.0</v>
      </c>
      <c r="K1100" s="440" t="s">
        <v>18148</v>
      </c>
    </row>
    <row r="1101">
      <c r="A1101" s="441">
        <v>45924.45655092593</v>
      </c>
      <c r="B1101" s="442">
        <v>18538.0</v>
      </c>
      <c r="C1101" s="442" t="s">
        <v>96</v>
      </c>
      <c r="D1101" s="442" t="s">
        <v>135</v>
      </c>
      <c r="E1101" s="442">
        <v>20273.0</v>
      </c>
      <c r="F1101" s="442"/>
      <c r="G1101" s="442" t="s">
        <v>35</v>
      </c>
      <c r="H1101" s="442" t="s">
        <v>49</v>
      </c>
      <c r="I1101" s="442" t="s">
        <v>38</v>
      </c>
      <c r="J1101" s="443">
        <v>13958.0</v>
      </c>
      <c r="K1101" s="444" t="s">
        <v>18148</v>
      </c>
    </row>
    <row r="1102">
      <c r="A1102" s="437">
        <v>45924.45662037037</v>
      </c>
      <c r="B1102" s="438" t="s">
        <v>21227</v>
      </c>
      <c r="C1102" s="438" t="s">
        <v>21111</v>
      </c>
      <c r="D1102" s="438" t="s">
        <v>91</v>
      </c>
      <c r="E1102" s="438" t="s">
        <v>21228</v>
      </c>
      <c r="F1102" s="438"/>
      <c r="G1102" s="438" t="s">
        <v>35</v>
      </c>
      <c r="H1102" s="438" t="s">
        <v>18078</v>
      </c>
      <c r="I1102" s="438" t="s">
        <v>38</v>
      </c>
      <c r="J1102" s="439">
        <v>13955.0</v>
      </c>
      <c r="K1102" s="440" t="s">
        <v>18148</v>
      </c>
    </row>
    <row r="1103">
      <c r="A1103" s="441">
        <v>45924.45664351852</v>
      </c>
      <c r="B1103" s="442">
        <v>18572.0</v>
      </c>
      <c r="C1103" s="442" t="s">
        <v>5346</v>
      </c>
      <c r="D1103" s="442" t="s">
        <v>85</v>
      </c>
      <c r="E1103" s="442" t="s">
        <v>21265</v>
      </c>
      <c r="F1103" s="442"/>
      <c r="G1103" s="442" t="s">
        <v>35</v>
      </c>
      <c r="H1103" s="442" t="s">
        <v>49</v>
      </c>
      <c r="I1103" s="442" t="s">
        <v>38</v>
      </c>
      <c r="J1103" s="443">
        <v>13957.0</v>
      </c>
      <c r="K1103" s="444" t="s">
        <v>18148</v>
      </c>
    </row>
    <row r="1104">
      <c r="A1104" s="437">
        <v>45924.456666666665</v>
      </c>
      <c r="B1104" s="438" t="s">
        <v>21232</v>
      </c>
      <c r="C1104" s="438" t="s">
        <v>21111</v>
      </c>
      <c r="D1104" s="438" t="s">
        <v>85</v>
      </c>
      <c r="E1104" s="438" t="s">
        <v>21233</v>
      </c>
      <c r="F1104" s="438"/>
      <c r="G1104" s="438" t="s">
        <v>35</v>
      </c>
      <c r="H1104" s="438" t="s">
        <v>18078</v>
      </c>
      <c r="I1104" s="438" t="s">
        <v>38</v>
      </c>
      <c r="J1104" s="439">
        <v>13955.0</v>
      </c>
      <c r="K1104" s="440" t="s">
        <v>18148</v>
      </c>
    </row>
    <row r="1105">
      <c r="A1105" s="441">
        <v>45924.456782407404</v>
      </c>
      <c r="B1105" s="442">
        <v>18577.0</v>
      </c>
      <c r="C1105" s="442" t="s">
        <v>5180</v>
      </c>
      <c r="D1105" s="442" t="s">
        <v>85</v>
      </c>
      <c r="E1105" s="442" t="s">
        <v>21297</v>
      </c>
      <c r="F1105" s="442"/>
      <c r="G1105" s="442" t="s">
        <v>35</v>
      </c>
      <c r="H1105" s="442" t="s">
        <v>18078</v>
      </c>
      <c r="I1105" s="442" t="s">
        <v>38</v>
      </c>
      <c r="J1105" s="443">
        <v>13962.0</v>
      </c>
      <c r="K1105" s="444" t="s">
        <v>18148</v>
      </c>
    </row>
    <row r="1106">
      <c r="A1106" s="437">
        <v>45924.458657407406</v>
      </c>
      <c r="B1106" s="438" t="s">
        <v>21272</v>
      </c>
      <c r="C1106" s="438" t="s">
        <v>1299</v>
      </c>
      <c r="D1106" s="438" t="s">
        <v>47</v>
      </c>
      <c r="E1106" s="438" t="s">
        <v>21273</v>
      </c>
      <c r="F1106" s="438"/>
      <c r="G1106" s="438" t="s">
        <v>35</v>
      </c>
      <c r="H1106" s="438" t="s">
        <v>92</v>
      </c>
      <c r="I1106" s="438" t="s">
        <v>38</v>
      </c>
      <c r="J1106" s="439">
        <v>13960.0</v>
      </c>
      <c r="K1106" s="440" t="s">
        <v>18148</v>
      </c>
    </row>
    <row r="1107">
      <c r="A1107" s="441">
        <v>45924.45873842593</v>
      </c>
      <c r="B1107" s="442" t="s">
        <v>21276</v>
      </c>
      <c r="C1107" s="442" t="s">
        <v>1299</v>
      </c>
      <c r="D1107" s="442" t="s">
        <v>112</v>
      </c>
      <c r="E1107" s="442" t="s">
        <v>21277</v>
      </c>
      <c r="F1107" s="442"/>
      <c r="G1107" s="442" t="s">
        <v>35</v>
      </c>
      <c r="H1107" s="442" t="s">
        <v>92</v>
      </c>
      <c r="I1107" s="442" t="s">
        <v>38</v>
      </c>
      <c r="J1107" s="443">
        <v>13960.0</v>
      </c>
      <c r="K1107" s="444" t="s">
        <v>18148</v>
      </c>
    </row>
    <row r="1108">
      <c r="A1108" s="437">
        <v>45924.45873842593</v>
      </c>
      <c r="B1108" s="438" t="s">
        <v>21268</v>
      </c>
      <c r="C1108" s="438" t="s">
        <v>1299</v>
      </c>
      <c r="D1108" s="438" t="s">
        <v>47</v>
      </c>
      <c r="E1108" s="438" t="s">
        <v>21269</v>
      </c>
      <c r="F1108" s="438"/>
      <c r="G1108" s="438" t="s">
        <v>35</v>
      </c>
      <c r="H1108" s="438" t="s">
        <v>92</v>
      </c>
      <c r="I1108" s="438" t="s">
        <v>38</v>
      </c>
      <c r="J1108" s="439">
        <v>13960.0</v>
      </c>
      <c r="K1108" s="440" t="s">
        <v>18148</v>
      </c>
    </row>
    <row r="1109">
      <c r="A1109" s="441">
        <v>45924.4587962963</v>
      </c>
      <c r="B1109" s="442">
        <v>18574.0</v>
      </c>
      <c r="C1109" s="442" t="s">
        <v>12692</v>
      </c>
      <c r="D1109" s="442" t="s">
        <v>135</v>
      </c>
      <c r="E1109" s="442">
        <v>20286.0</v>
      </c>
      <c r="F1109" s="442"/>
      <c r="G1109" s="442" t="s">
        <v>35</v>
      </c>
      <c r="H1109" s="442" t="s">
        <v>92</v>
      </c>
      <c r="I1109" s="442" t="s">
        <v>38</v>
      </c>
      <c r="J1109" s="443">
        <v>13961.0</v>
      </c>
      <c r="K1109" s="444" t="s">
        <v>18148</v>
      </c>
    </row>
    <row r="1110">
      <c r="A1110" s="437">
        <v>45925.47578703704</v>
      </c>
      <c r="B1110" s="438">
        <v>18586.0</v>
      </c>
      <c r="C1110" s="438" t="s">
        <v>14522</v>
      </c>
      <c r="D1110" s="438" t="s">
        <v>91</v>
      </c>
      <c r="E1110" s="438" t="s">
        <v>21341</v>
      </c>
      <c r="F1110" s="438"/>
      <c r="G1110" s="438" t="s">
        <v>35</v>
      </c>
      <c r="H1110" s="438" t="s">
        <v>65</v>
      </c>
      <c r="I1110" s="438" t="s">
        <v>38</v>
      </c>
      <c r="J1110" s="439">
        <v>13973.0</v>
      </c>
      <c r="K1110" s="440" t="s">
        <v>18148</v>
      </c>
    </row>
    <row r="1111">
      <c r="A1111" s="441">
        <v>45925.475798611114</v>
      </c>
      <c r="B1111" s="442" t="s">
        <v>19556</v>
      </c>
      <c r="C1111" s="442" t="s">
        <v>18792</v>
      </c>
      <c r="D1111" s="442" t="s">
        <v>3395</v>
      </c>
      <c r="E1111" s="442" t="s">
        <v>19557</v>
      </c>
      <c r="F1111" s="442"/>
      <c r="G1111" s="442" t="s">
        <v>35</v>
      </c>
      <c r="H1111" s="442" t="s">
        <v>65</v>
      </c>
      <c r="I1111" s="442" t="s">
        <v>38</v>
      </c>
      <c r="J1111" s="443">
        <v>13969.0</v>
      </c>
      <c r="K1111" s="444" t="s">
        <v>18148</v>
      </c>
    </row>
    <row r="1112">
      <c r="A1112" s="437">
        <v>45925.475798611114</v>
      </c>
      <c r="B1112" s="438">
        <v>18582.0</v>
      </c>
      <c r="C1112" s="438" t="s">
        <v>11376</v>
      </c>
      <c r="D1112" s="438" t="s">
        <v>72</v>
      </c>
      <c r="E1112" s="438" t="s">
        <v>21318</v>
      </c>
      <c r="F1112" s="438"/>
      <c r="G1112" s="438" t="s">
        <v>35</v>
      </c>
      <c r="H1112" s="438" t="s">
        <v>65</v>
      </c>
      <c r="I1112" s="438" t="s">
        <v>38</v>
      </c>
      <c r="J1112" s="439">
        <v>13971.0</v>
      </c>
      <c r="K1112" s="440" t="s">
        <v>18148</v>
      </c>
    </row>
    <row r="1113">
      <c r="A1113" s="441">
        <v>45925.475810185184</v>
      </c>
      <c r="B1113" s="442">
        <v>18550.0</v>
      </c>
      <c r="C1113" s="442" t="s">
        <v>7703</v>
      </c>
      <c r="D1113" s="442" t="s">
        <v>91</v>
      </c>
      <c r="E1113" s="442" t="s">
        <v>21157</v>
      </c>
      <c r="F1113" s="442"/>
      <c r="G1113" s="442" t="s">
        <v>35</v>
      </c>
      <c r="H1113" s="442" t="s">
        <v>65</v>
      </c>
      <c r="I1113" s="442" t="s">
        <v>38</v>
      </c>
      <c r="J1113" s="443">
        <v>13970.0</v>
      </c>
      <c r="K1113" s="444" t="s">
        <v>18148</v>
      </c>
    </row>
    <row r="1114">
      <c r="A1114" s="437">
        <v>45925.47582175926</v>
      </c>
      <c r="B1114" s="438" t="s">
        <v>19551</v>
      </c>
      <c r="C1114" s="438" t="s">
        <v>18792</v>
      </c>
      <c r="D1114" s="438" t="s">
        <v>3395</v>
      </c>
      <c r="E1114" s="438" t="s">
        <v>19552</v>
      </c>
      <c r="F1114" s="438"/>
      <c r="G1114" s="438" t="s">
        <v>35</v>
      </c>
      <c r="H1114" s="438" t="s">
        <v>65</v>
      </c>
      <c r="I1114" s="438" t="s">
        <v>38</v>
      </c>
      <c r="J1114" s="439">
        <v>13969.0</v>
      </c>
      <c r="K1114" s="440" t="s">
        <v>18148</v>
      </c>
    </row>
    <row r="1115">
      <c r="A1115" s="441">
        <v>45925.47587962963</v>
      </c>
      <c r="B1115" s="442" t="s">
        <v>19564</v>
      </c>
      <c r="C1115" s="442" t="s">
        <v>18792</v>
      </c>
      <c r="D1115" s="442" t="s">
        <v>3395</v>
      </c>
      <c r="E1115" s="442" t="s">
        <v>19565</v>
      </c>
      <c r="F1115" s="442"/>
      <c r="G1115" s="442" t="s">
        <v>35</v>
      </c>
      <c r="H1115" s="442" t="s">
        <v>65</v>
      </c>
      <c r="I1115" s="442" t="s">
        <v>38</v>
      </c>
      <c r="J1115" s="443">
        <v>13969.0</v>
      </c>
      <c r="K1115" s="444" t="s">
        <v>18148</v>
      </c>
    </row>
    <row r="1116">
      <c r="A1116" s="437">
        <v>45925.476064814815</v>
      </c>
      <c r="B1116" s="438" t="s">
        <v>21019</v>
      </c>
      <c r="C1116" s="438" t="s">
        <v>21020</v>
      </c>
      <c r="D1116" s="438" t="s">
        <v>21021</v>
      </c>
      <c r="E1116" s="438">
        <v>20318.0</v>
      </c>
      <c r="F1116" s="438"/>
      <c r="G1116" s="438" t="s">
        <v>34</v>
      </c>
      <c r="H1116" s="438" t="s">
        <v>49</v>
      </c>
      <c r="I1116" s="438" t="s">
        <v>38</v>
      </c>
      <c r="J1116" s="439">
        <v>13967.0</v>
      </c>
      <c r="K1116" s="440" t="s">
        <v>18148</v>
      </c>
    </row>
    <row r="1117">
      <c r="A1117" s="441">
        <v>45925.476122685184</v>
      </c>
      <c r="B1117" s="442" t="s">
        <v>21034</v>
      </c>
      <c r="C1117" s="442" t="s">
        <v>96</v>
      </c>
      <c r="D1117" s="442" t="s">
        <v>98</v>
      </c>
      <c r="E1117" s="442">
        <v>20314.0</v>
      </c>
      <c r="F1117" s="442"/>
      <c r="G1117" s="442" t="s">
        <v>34</v>
      </c>
      <c r="H1117" s="442" t="s">
        <v>49</v>
      </c>
      <c r="I1117" s="442" t="s">
        <v>38</v>
      </c>
      <c r="J1117" s="443">
        <v>13968.0</v>
      </c>
      <c r="K1117" s="444" t="s">
        <v>18148</v>
      </c>
    </row>
    <row r="1118">
      <c r="A1118" s="437">
        <v>45925.47620370371</v>
      </c>
      <c r="B1118" s="438" t="s">
        <v>21038</v>
      </c>
      <c r="C1118" s="438" t="s">
        <v>96</v>
      </c>
      <c r="D1118" s="438" t="s">
        <v>98</v>
      </c>
      <c r="E1118" s="438">
        <v>20315.0</v>
      </c>
      <c r="F1118" s="438"/>
      <c r="G1118" s="438" t="s">
        <v>34</v>
      </c>
      <c r="H1118" s="438" t="s">
        <v>49</v>
      </c>
      <c r="I1118" s="438" t="s">
        <v>38</v>
      </c>
      <c r="J1118" s="439">
        <v>13968.0</v>
      </c>
      <c r="K1118" s="440" t="s">
        <v>18148</v>
      </c>
    </row>
    <row r="1119">
      <c r="A1119" s="441">
        <v>45925.47620370371</v>
      </c>
      <c r="B1119" s="442" t="s">
        <v>21042</v>
      </c>
      <c r="C1119" s="442" t="s">
        <v>96</v>
      </c>
      <c r="D1119" s="442" t="s">
        <v>98</v>
      </c>
      <c r="E1119" s="442">
        <v>20317.0</v>
      </c>
      <c r="F1119" s="442"/>
      <c r="G1119" s="442" t="s">
        <v>34</v>
      </c>
      <c r="H1119" s="442" t="s">
        <v>49</v>
      </c>
      <c r="I1119" s="442" t="s">
        <v>38</v>
      </c>
      <c r="J1119" s="443">
        <v>13968.0</v>
      </c>
      <c r="K1119" s="444" t="s">
        <v>18148</v>
      </c>
    </row>
    <row r="1120">
      <c r="A1120" s="437">
        <v>45925.47623842592</v>
      </c>
      <c r="B1120" s="438" t="s">
        <v>21025</v>
      </c>
      <c r="C1120" s="438" t="s">
        <v>21020</v>
      </c>
      <c r="D1120" s="438" t="s">
        <v>21021</v>
      </c>
      <c r="E1120" s="438">
        <v>20319.0</v>
      </c>
      <c r="F1120" s="438"/>
      <c r="G1120" s="438" t="s">
        <v>34</v>
      </c>
      <c r="H1120" s="438" t="s">
        <v>49</v>
      </c>
      <c r="I1120" s="438" t="s">
        <v>38</v>
      </c>
      <c r="J1120" s="439">
        <v>13967.0</v>
      </c>
      <c r="K1120" s="440" t="s">
        <v>18148</v>
      </c>
    </row>
    <row r="1121">
      <c r="A1121" s="441">
        <v>45925.47626157408</v>
      </c>
      <c r="B1121" s="442" t="s">
        <v>21046</v>
      </c>
      <c r="C1121" s="442" t="s">
        <v>96</v>
      </c>
      <c r="D1121" s="442" t="s">
        <v>98</v>
      </c>
      <c r="E1121" s="442">
        <v>20316.0</v>
      </c>
      <c r="F1121" s="442"/>
      <c r="G1121" s="442" t="s">
        <v>34</v>
      </c>
      <c r="H1121" s="442" t="s">
        <v>49</v>
      </c>
      <c r="I1121" s="442" t="s">
        <v>38</v>
      </c>
      <c r="J1121" s="443">
        <v>13968.0</v>
      </c>
      <c r="K1121" s="444" t="s">
        <v>18148</v>
      </c>
    </row>
    <row r="1122">
      <c r="A1122" s="437">
        <v>45925.47634259259</v>
      </c>
      <c r="B1122" s="438">
        <v>18584.0</v>
      </c>
      <c r="C1122" s="438" t="s">
        <v>1428</v>
      </c>
      <c r="D1122" s="438" t="s">
        <v>91</v>
      </c>
      <c r="E1122" s="438" t="s">
        <v>21330</v>
      </c>
      <c r="F1122" s="438"/>
      <c r="G1122" s="438" t="s">
        <v>35</v>
      </c>
      <c r="H1122" s="438" t="s">
        <v>49</v>
      </c>
      <c r="I1122" s="438" t="s">
        <v>1430</v>
      </c>
      <c r="J1122" s="439">
        <v>13972.0</v>
      </c>
      <c r="K1122" s="440" t="s">
        <v>18148</v>
      </c>
    </row>
    <row r="1123">
      <c r="A1123" s="441">
        <v>45925.49793981481</v>
      </c>
      <c r="B1123" s="442" t="s">
        <v>19551</v>
      </c>
      <c r="C1123" s="442" t="s">
        <v>18792</v>
      </c>
      <c r="D1123" s="442" t="s">
        <v>3395</v>
      </c>
      <c r="E1123" s="442" t="s">
        <v>19552</v>
      </c>
      <c r="F1123" s="442"/>
      <c r="G1123" s="442" t="s">
        <v>35</v>
      </c>
      <c r="H1123" s="442" t="s">
        <v>540</v>
      </c>
      <c r="I1123" s="442" t="s">
        <v>38</v>
      </c>
      <c r="J1123" s="443">
        <v>13969.0</v>
      </c>
      <c r="K1123" s="444" t="s">
        <v>18148</v>
      </c>
    </row>
    <row r="1124">
      <c r="A1124" s="437">
        <v>45925.49799768518</v>
      </c>
      <c r="B1124" s="438" t="s">
        <v>19556</v>
      </c>
      <c r="C1124" s="438" t="s">
        <v>18792</v>
      </c>
      <c r="D1124" s="438" t="s">
        <v>3395</v>
      </c>
      <c r="E1124" s="438" t="s">
        <v>19557</v>
      </c>
      <c r="F1124" s="438"/>
      <c r="G1124" s="438" t="s">
        <v>35</v>
      </c>
      <c r="H1124" s="438" t="s">
        <v>540</v>
      </c>
      <c r="I1124" s="438" t="s">
        <v>38</v>
      </c>
      <c r="J1124" s="439">
        <v>13969.0</v>
      </c>
      <c r="K1124" s="440" t="s">
        <v>18148</v>
      </c>
    </row>
    <row r="1125">
      <c r="A1125" s="441">
        <v>45925.49805555555</v>
      </c>
      <c r="B1125" s="442" t="s">
        <v>19560</v>
      </c>
      <c r="C1125" s="442" t="s">
        <v>18792</v>
      </c>
      <c r="D1125" s="442" t="s">
        <v>3395</v>
      </c>
      <c r="E1125" s="442" t="s">
        <v>19561</v>
      </c>
      <c r="F1125" s="442"/>
      <c r="G1125" s="442" t="s">
        <v>35</v>
      </c>
      <c r="H1125" s="442" t="s">
        <v>540</v>
      </c>
      <c r="I1125" s="442" t="s">
        <v>38</v>
      </c>
      <c r="J1125" s="443">
        <v>13969.0</v>
      </c>
      <c r="K1125" s="444" t="s">
        <v>18148</v>
      </c>
    </row>
    <row r="1126">
      <c r="A1126" s="437">
        <v>45925.49810185185</v>
      </c>
      <c r="B1126" s="438" t="s">
        <v>19564</v>
      </c>
      <c r="C1126" s="438" t="s">
        <v>18792</v>
      </c>
      <c r="D1126" s="438" t="s">
        <v>3395</v>
      </c>
      <c r="E1126" s="438" t="s">
        <v>19565</v>
      </c>
      <c r="F1126" s="438"/>
      <c r="G1126" s="438" t="s">
        <v>35</v>
      </c>
      <c r="H1126" s="438" t="s">
        <v>540</v>
      </c>
      <c r="I1126" s="438" t="s">
        <v>38</v>
      </c>
      <c r="J1126" s="439">
        <v>13969.0</v>
      </c>
      <c r="K1126" s="440" t="s">
        <v>18148</v>
      </c>
    </row>
    <row r="1127">
      <c r="A1127" s="441">
        <v>45926.57005787037</v>
      </c>
      <c r="B1127" s="442" t="s">
        <v>20742</v>
      </c>
      <c r="C1127" s="442" t="s">
        <v>1192</v>
      </c>
      <c r="D1127" s="442" t="s">
        <v>85</v>
      </c>
      <c r="E1127" s="442" t="s">
        <v>20743</v>
      </c>
      <c r="F1127" s="442" t="s">
        <v>48</v>
      </c>
      <c r="G1127" s="442" t="s">
        <v>35</v>
      </c>
      <c r="H1127" s="442" t="s">
        <v>65</v>
      </c>
      <c r="I1127" s="442" t="s">
        <v>38</v>
      </c>
      <c r="J1127" s="443">
        <v>13984.0</v>
      </c>
      <c r="K1127" s="444" t="s">
        <v>18148</v>
      </c>
    </row>
    <row r="1128">
      <c r="A1128" s="437">
        <v>45926.570069444446</v>
      </c>
      <c r="B1128" s="438" t="s">
        <v>20737</v>
      </c>
      <c r="C1128" s="438" t="s">
        <v>1192</v>
      </c>
      <c r="D1128" s="438" t="s">
        <v>85</v>
      </c>
      <c r="E1128" s="438" t="s">
        <v>20738</v>
      </c>
      <c r="F1128" s="438" t="s">
        <v>48</v>
      </c>
      <c r="G1128" s="438" t="s">
        <v>35</v>
      </c>
      <c r="H1128" s="438" t="s">
        <v>65</v>
      </c>
      <c r="I1128" s="438" t="s">
        <v>38</v>
      </c>
      <c r="J1128" s="439">
        <v>13984.0</v>
      </c>
      <c r="K1128" s="440" t="s">
        <v>18148</v>
      </c>
    </row>
    <row r="1129">
      <c r="A1129" s="441">
        <v>45926.570081018515</v>
      </c>
      <c r="B1129" s="442" t="s">
        <v>20746</v>
      </c>
      <c r="C1129" s="442" t="s">
        <v>1192</v>
      </c>
      <c r="D1129" s="442" t="s">
        <v>85</v>
      </c>
      <c r="E1129" s="442" t="s">
        <v>20747</v>
      </c>
      <c r="F1129" s="442" t="s">
        <v>48</v>
      </c>
      <c r="G1129" s="442" t="s">
        <v>35</v>
      </c>
      <c r="H1129" s="442" t="s">
        <v>65</v>
      </c>
      <c r="I1129" s="442" t="s">
        <v>38</v>
      </c>
      <c r="J1129" s="443">
        <v>13984.0</v>
      </c>
      <c r="K1129" s="444" t="s">
        <v>18148</v>
      </c>
    </row>
    <row r="1130">
      <c r="A1130" s="437">
        <v>45926.570127314815</v>
      </c>
      <c r="B1130" s="438">
        <v>18495.0</v>
      </c>
      <c r="C1130" s="438" t="s">
        <v>16816</v>
      </c>
      <c r="D1130" s="438" t="s">
        <v>85</v>
      </c>
      <c r="E1130" s="438" t="s">
        <v>20893</v>
      </c>
      <c r="F1130" s="438" t="s">
        <v>48</v>
      </c>
      <c r="G1130" s="438" t="s">
        <v>35</v>
      </c>
      <c r="H1130" s="438" t="s">
        <v>65</v>
      </c>
      <c r="I1130" s="438" t="s">
        <v>38</v>
      </c>
      <c r="J1130" s="439">
        <v>13978.0</v>
      </c>
      <c r="K1130" s="440" t="s">
        <v>18148</v>
      </c>
    </row>
    <row r="1131">
      <c r="A1131" s="441">
        <v>45926.57017361111</v>
      </c>
      <c r="B1131" s="442" t="s">
        <v>21059</v>
      </c>
      <c r="C1131" s="442" t="s">
        <v>1192</v>
      </c>
      <c r="D1131" s="442" t="s">
        <v>72</v>
      </c>
      <c r="E1131" s="442" t="s">
        <v>21060</v>
      </c>
      <c r="F1131" s="442" t="s">
        <v>48</v>
      </c>
      <c r="G1131" s="442" t="s">
        <v>35</v>
      </c>
      <c r="H1131" s="442" t="s">
        <v>65</v>
      </c>
      <c r="I1131" s="442" t="s">
        <v>38</v>
      </c>
      <c r="J1131" s="443">
        <v>13992.0</v>
      </c>
      <c r="K1131" s="444" t="s">
        <v>18148</v>
      </c>
    </row>
    <row r="1132">
      <c r="A1132" s="437">
        <v>45926.570231481484</v>
      </c>
      <c r="B1132" s="438" t="s">
        <v>21064</v>
      </c>
      <c r="C1132" s="438" t="s">
        <v>1192</v>
      </c>
      <c r="D1132" s="438" t="s">
        <v>72</v>
      </c>
      <c r="E1132" s="438" t="s">
        <v>21065</v>
      </c>
      <c r="F1132" s="438" t="s">
        <v>48</v>
      </c>
      <c r="G1132" s="438" t="s">
        <v>35</v>
      </c>
      <c r="H1132" s="438" t="s">
        <v>65</v>
      </c>
      <c r="I1132" s="438" t="s">
        <v>38</v>
      </c>
      <c r="J1132" s="439">
        <v>13992.0</v>
      </c>
      <c r="K1132" s="440" t="s">
        <v>18148</v>
      </c>
    </row>
    <row r="1133">
      <c r="A1133" s="441">
        <v>45926.570289351854</v>
      </c>
      <c r="B1133" s="442" t="s">
        <v>21068</v>
      </c>
      <c r="C1133" s="442" t="s">
        <v>1192</v>
      </c>
      <c r="D1133" s="442" t="s">
        <v>3441</v>
      </c>
      <c r="E1133" s="442" t="s">
        <v>21069</v>
      </c>
      <c r="F1133" s="442" t="s">
        <v>48</v>
      </c>
      <c r="G1133" s="442" t="s">
        <v>35</v>
      </c>
      <c r="H1133" s="442" t="s">
        <v>65</v>
      </c>
      <c r="I1133" s="442" t="s">
        <v>38</v>
      </c>
      <c r="J1133" s="443">
        <v>13992.0</v>
      </c>
      <c r="K1133" s="444" t="s">
        <v>18148</v>
      </c>
    </row>
    <row r="1134">
      <c r="A1134" s="437">
        <v>45926.570335648146</v>
      </c>
      <c r="B1134" s="438" t="s">
        <v>21321</v>
      </c>
      <c r="C1134" s="438" t="s">
        <v>8933</v>
      </c>
      <c r="D1134" s="438" t="s">
        <v>47</v>
      </c>
      <c r="E1134" s="438" t="s">
        <v>21322</v>
      </c>
      <c r="F1134" s="438" t="s">
        <v>48</v>
      </c>
      <c r="G1134" s="438" t="s">
        <v>35</v>
      </c>
      <c r="H1134" s="438" t="s">
        <v>65</v>
      </c>
      <c r="I1134" s="438" t="s">
        <v>38</v>
      </c>
      <c r="J1134" s="439">
        <v>13982.0</v>
      </c>
      <c r="K1134" s="440" t="s">
        <v>18148</v>
      </c>
    </row>
    <row r="1135">
      <c r="A1135" s="441">
        <v>45926.570393518516</v>
      </c>
      <c r="B1135" s="442" t="s">
        <v>21325</v>
      </c>
      <c r="C1135" s="442" t="s">
        <v>8933</v>
      </c>
      <c r="D1135" s="442" t="s">
        <v>47</v>
      </c>
      <c r="E1135" s="442" t="s">
        <v>21326</v>
      </c>
      <c r="F1135" s="442" t="s">
        <v>48</v>
      </c>
      <c r="G1135" s="442" t="s">
        <v>35</v>
      </c>
      <c r="H1135" s="442" t="s">
        <v>65</v>
      </c>
      <c r="I1135" s="442" t="s">
        <v>38</v>
      </c>
      <c r="J1135" s="443">
        <v>13982.0</v>
      </c>
      <c r="K1135" s="444" t="s">
        <v>18148</v>
      </c>
    </row>
    <row r="1136">
      <c r="A1136" s="437">
        <v>45926.57048611111</v>
      </c>
      <c r="B1136" s="438" t="s">
        <v>21370</v>
      </c>
      <c r="C1136" s="438" t="s">
        <v>147</v>
      </c>
      <c r="D1136" s="438" t="s">
        <v>3441</v>
      </c>
      <c r="E1136" s="438" t="s">
        <v>21371</v>
      </c>
      <c r="F1136" s="438" t="s">
        <v>48</v>
      </c>
      <c r="G1136" s="438" t="s">
        <v>35</v>
      </c>
      <c r="H1136" s="438" t="s">
        <v>65</v>
      </c>
      <c r="I1136" s="438" t="s">
        <v>38</v>
      </c>
      <c r="J1136" s="439">
        <v>13993.0</v>
      </c>
      <c r="K1136" s="440" t="s">
        <v>18148</v>
      </c>
    </row>
    <row r="1137">
      <c r="A1137" s="441">
        <v>45926.57050925926</v>
      </c>
      <c r="B1137" s="442" t="s">
        <v>21375</v>
      </c>
      <c r="C1137" s="442" t="s">
        <v>147</v>
      </c>
      <c r="D1137" s="442" t="s">
        <v>3441</v>
      </c>
      <c r="E1137" s="442" t="s">
        <v>21376</v>
      </c>
      <c r="F1137" s="442" t="s">
        <v>48</v>
      </c>
      <c r="G1137" s="442" t="s">
        <v>35</v>
      </c>
      <c r="H1137" s="442" t="s">
        <v>65</v>
      </c>
      <c r="I1137" s="442" t="s">
        <v>38</v>
      </c>
      <c r="J1137" s="443">
        <v>13993.0</v>
      </c>
      <c r="K1137" s="444" t="s">
        <v>18148</v>
      </c>
    </row>
    <row r="1138">
      <c r="A1138" s="437">
        <v>45926.570555555554</v>
      </c>
      <c r="B1138" s="438">
        <v>18589.0</v>
      </c>
      <c r="C1138" s="438" t="s">
        <v>21359</v>
      </c>
      <c r="D1138" s="438" t="s">
        <v>85</v>
      </c>
      <c r="E1138" s="438" t="s">
        <v>21360</v>
      </c>
      <c r="F1138" s="438" t="s">
        <v>48</v>
      </c>
      <c r="G1138" s="438" t="s">
        <v>35</v>
      </c>
      <c r="H1138" s="438" t="s">
        <v>65</v>
      </c>
      <c r="I1138" s="438" t="s">
        <v>38</v>
      </c>
      <c r="J1138" s="439">
        <v>13986.0</v>
      </c>
      <c r="K1138" s="440" t="s">
        <v>18148</v>
      </c>
    </row>
    <row r="1139">
      <c r="A1139" s="441">
        <v>45926.57056712963</v>
      </c>
      <c r="B1139" s="442">
        <v>18597.0</v>
      </c>
      <c r="C1139" s="442" t="s">
        <v>21409</v>
      </c>
      <c r="D1139" s="442" t="s">
        <v>91</v>
      </c>
      <c r="E1139" s="442" t="s">
        <v>21410</v>
      </c>
      <c r="F1139" s="442" t="s">
        <v>48</v>
      </c>
      <c r="G1139" s="442" t="s">
        <v>35</v>
      </c>
      <c r="H1139" s="442" t="s">
        <v>65</v>
      </c>
      <c r="I1139" s="442" t="s">
        <v>38</v>
      </c>
      <c r="J1139" s="443">
        <v>13995.0</v>
      </c>
      <c r="K1139" s="444" t="s">
        <v>18148</v>
      </c>
    </row>
    <row r="1140">
      <c r="A1140" s="437">
        <v>45926.570625</v>
      </c>
      <c r="B1140" s="438" t="s">
        <v>21420</v>
      </c>
      <c r="C1140" s="438" t="s">
        <v>19901</v>
      </c>
      <c r="D1140" s="438" t="s">
        <v>72</v>
      </c>
      <c r="E1140" s="438" t="s">
        <v>21421</v>
      </c>
      <c r="F1140" s="438" t="s">
        <v>48</v>
      </c>
      <c r="G1140" s="438" t="s">
        <v>35</v>
      </c>
      <c r="H1140" s="438" t="s">
        <v>65</v>
      </c>
      <c r="I1140" s="438" t="s">
        <v>38</v>
      </c>
      <c r="J1140" s="439">
        <v>13988.0</v>
      </c>
      <c r="K1140" s="440" t="s">
        <v>18148</v>
      </c>
    </row>
    <row r="1141">
      <c r="A1141" s="441">
        <v>45926.57065972222</v>
      </c>
      <c r="B1141" s="442" t="s">
        <v>21425</v>
      </c>
      <c r="C1141" s="442" t="s">
        <v>19901</v>
      </c>
      <c r="D1141" s="442" t="s">
        <v>72</v>
      </c>
      <c r="E1141" s="442" t="s">
        <v>21426</v>
      </c>
      <c r="F1141" s="442" t="s">
        <v>48</v>
      </c>
      <c r="G1141" s="442" t="s">
        <v>35</v>
      </c>
      <c r="H1141" s="442" t="s">
        <v>65</v>
      </c>
      <c r="I1141" s="442" t="s">
        <v>38</v>
      </c>
      <c r="J1141" s="443">
        <v>13988.0</v>
      </c>
      <c r="K1141" s="444" t="s">
        <v>18148</v>
      </c>
    </row>
    <row r="1142">
      <c r="A1142" s="437">
        <v>45926.570706018516</v>
      </c>
      <c r="B1142" s="438" t="s">
        <v>21429</v>
      </c>
      <c r="C1142" s="438" t="s">
        <v>19901</v>
      </c>
      <c r="D1142" s="438" t="s">
        <v>91</v>
      </c>
      <c r="E1142" s="438" t="s">
        <v>21430</v>
      </c>
      <c r="F1142" s="438" t="s">
        <v>48</v>
      </c>
      <c r="G1142" s="438" t="s">
        <v>35</v>
      </c>
      <c r="H1142" s="438" t="s">
        <v>65</v>
      </c>
      <c r="I1142" s="438" t="s">
        <v>38</v>
      </c>
      <c r="J1142" s="439">
        <v>13988.0</v>
      </c>
      <c r="K1142" s="440" t="s">
        <v>18148</v>
      </c>
    </row>
    <row r="1143">
      <c r="A1143" s="441">
        <v>45926.570763888885</v>
      </c>
      <c r="B1143" s="442">
        <v>18608.0</v>
      </c>
      <c r="C1143" s="442" t="s">
        <v>7703</v>
      </c>
      <c r="D1143" s="442" t="s">
        <v>85</v>
      </c>
      <c r="E1143" s="442" t="s">
        <v>21464</v>
      </c>
      <c r="F1143" s="442" t="s">
        <v>48</v>
      </c>
      <c r="G1143" s="442" t="s">
        <v>35</v>
      </c>
      <c r="H1143" s="442" t="s">
        <v>65</v>
      </c>
      <c r="I1143" s="442" t="s">
        <v>38</v>
      </c>
      <c r="J1143" s="443">
        <v>13996.0</v>
      </c>
      <c r="K1143" s="444" t="s">
        <v>18148</v>
      </c>
    </row>
    <row r="1144">
      <c r="A1144" s="437">
        <v>45926.57078703704</v>
      </c>
      <c r="B1144" s="438">
        <v>18603.0</v>
      </c>
      <c r="C1144" s="438" t="s">
        <v>4215</v>
      </c>
      <c r="D1144" s="438" t="s">
        <v>91</v>
      </c>
      <c r="E1144" s="438" t="s">
        <v>21439</v>
      </c>
      <c r="F1144" s="438" t="s">
        <v>48</v>
      </c>
      <c r="G1144" s="438" t="s">
        <v>35</v>
      </c>
      <c r="H1144" s="438" t="s">
        <v>65</v>
      </c>
      <c r="I1144" s="438" t="s">
        <v>38</v>
      </c>
      <c r="J1144" s="439">
        <v>13991.0</v>
      </c>
      <c r="K1144" s="440" t="s">
        <v>18148</v>
      </c>
    </row>
    <row r="1145">
      <c r="A1145" s="441">
        <v>45926.571875</v>
      </c>
      <c r="B1145" s="442">
        <v>18565.0</v>
      </c>
      <c r="C1145" s="442" t="s">
        <v>4472</v>
      </c>
      <c r="D1145" s="442" t="s">
        <v>268</v>
      </c>
      <c r="E1145" s="442">
        <v>20323.0</v>
      </c>
      <c r="F1145" s="442" t="s">
        <v>33</v>
      </c>
      <c r="G1145" s="442" t="s">
        <v>35</v>
      </c>
      <c r="H1145" s="442" t="s">
        <v>49</v>
      </c>
      <c r="I1145" s="442" t="s">
        <v>38</v>
      </c>
      <c r="J1145" s="443">
        <v>13980.0</v>
      </c>
      <c r="K1145" s="444" t="s">
        <v>18148</v>
      </c>
    </row>
    <row r="1146">
      <c r="A1146" s="437">
        <v>45926.57189814815</v>
      </c>
      <c r="B1146" s="438" t="s">
        <v>21310</v>
      </c>
      <c r="C1146" s="438" t="s">
        <v>10563</v>
      </c>
      <c r="D1146" s="438" t="s">
        <v>295</v>
      </c>
      <c r="E1146" s="438">
        <v>20242.0</v>
      </c>
      <c r="F1146" s="438" t="s">
        <v>33</v>
      </c>
      <c r="G1146" s="438" t="s">
        <v>35</v>
      </c>
      <c r="H1146" s="438" t="s">
        <v>49</v>
      </c>
      <c r="I1146" s="438" t="s">
        <v>38</v>
      </c>
      <c r="J1146" s="439">
        <v>13981.0</v>
      </c>
      <c r="K1146" s="440" t="s">
        <v>18148</v>
      </c>
    </row>
    <row r="1147">
      <c r="A1147" s="441">
        <v>45926.57193287037</v>
      </c>
      <c r="B1147" s="442" t="s">
        <v>21313</v>
      </c>
      <c r="C1147" s="442" t="s">
        <v>10563</v>
      </c>
      <c r="D1147" s="442" t="s">
        <v>3441</v>
      </c>
      <c r="E1147" s="442" t="s">
        <v>21314</v>
      </c>
      <c r="F1147" s="442" t="s">
        <v>48</v>
      </c>
      <c r="G1147" s="442" t="s">
        <v>35</v>
      </c>
      <c r="H1147" s="442" t="s">
        <v>49</v>
      </c>
      <c r="I1147" s="442" t="s">
        <v>38</v>
      </c>
      <c r="J1147" s="443">
        <v>13981.0</v>
      </c>
      <c r="K1147" s="444" t="s">
        <v>18148</v>
      </c>
    </row>
    <row r="1148">
      <c r="A1148" s="437">
        <v>45926.57197916666</v>
      </c>
      <c r="B1148" s="438" t="s">
        <v>21381</v>
      </c>
      <c r="C1148" s="438" t="s">
        <v>9895</v>
      </c>
      <c r="D1148" s="438" t="s">
        <v>3441</v>
      </c>
      <c r="E1148" s="438" t="s">
        <v>21382</v>
      </c>
      <c r="F1148" s="438" t="s">
        <v>48</v>
      </c>
      <c r="G1148" s="438" t="s">
        <v>35</v>
      </c>
      <c r="H1148" s="438" t="s">
        <v>49</v>
      </c>
      <c r="I1148" s="438" t="s">
        <v>38</v>
      </c>
      <c r="J1148" s="439">
        <v>13987.0</v>
      </c>
      <c r="K1148" s="440" t="s">
        <v>18148</v>
      </c>
    </row>
    <row r="1149">
      <c r="A1149" s="441">
        <v>45926.572060185186</v>
      </c>
      <c r="B1149" s="442">
        <v>18595.0</v>
      </c>
      <c r="C1149" s="442" t="s">
        <v>20245</v>
      </c>
      <c r="D1149" s="442" t="s">
        <v>85</v>
      </c>
      <c r="E1149" s="442" t="s">
        <v>21398</v>
      </c>
      <c r="F1149" s="442" t="s">
        <v>48</v>
      </c>
      <c r="G1149" s="442" t="s">
        <v>35</v>
      </c>
      <c r="H1149" s="442" t="s">
        <v>49</v>
      </c>
      <c r="I1149" s="442" t="s">
        <v>21399</v>
      </c>
      <c r="J1149" s="443">
        <v>13990.0</v>
      </c>
      <c r="K1149" s="444" t="s">
        <v>18148</v>
      </c>
    </row>
    <row r="1150">
      <c r="A1150" s="437">
        <v>45926.57244212963</v>
      </c>
      <c r="B1150" s="438" t="s">
        <v>21385</v>
      </c>
      <c r="C1150" s="438" t="s">
        <v>9895</v>
      </c>
      <c r="D1150" s="438" t="s">
        <v>72</v>
      </c>
      <c r="E1150" s="438" t="s">
        <v>21386</v>
      </c>
      <c r="F1150" s="438" t="s">
        <v>48</v>
      </c>
      <c r="G1150" s="438" t="s">
        <v>35</v>
      </c>
      <c r="H1150" s="438" t="s">
        <v>49</v>
      </c>
      <c r="I1150" s="438" t="s">
        <v>38</v>
      </c>
      <c r="J1150" s="439">
        <v>13987.0</v>
      </c>
      <c r="K1150" s="440" t="s">
        <v>18148</v>
      </c>
    </row>
    <row r="1151">
      <c r="A1151" s="441">
        <v>45926.5725</v>
      </c>
      <c r="B1151" s="442">
        <v>18552.0</v>
      </c>
      <c r="C1151" s="442" t="s">
        <v>96</v>
      </c>
      <c r="D1151" s="442" t="s">
        <v>98</v>
      </c>
      <c r="E1151" s="442">
        <v>20322.0</v>
      </c>
      <c r="F1151" s="442" t="s">
        <v>33</v>
      </c>
      <c r="G1151" s="442" t="s">
        <v>34</v>
      </c>
      <c r="H1151" s="442" t="s">
        <v>49</v>
      </c>
      <c r="I1151" s="442" t="s">
        <v>38</v>
      </c>
      <c r="J1151" s="443">
        <v>13979.0</v>
      </c>
      <c r="K1151" s="444" t="s">
        <v>18148</v>
      </c>
    </row>
    <row r="1152">
      <c r="A1152" s="437">
        <v>45926.57270833333</v>
      </c>
      <c r="B1152" s="438" t="s">
        <v>21477</v>
      </c>
      <c r="C1152" s="438" t="s">
        <v>5586</v>
      </c>
      <c r="D1152" s="438" t="s">
        <v>91</v>
      </c>
      <c r="E1152" s="438" t="s">
        <v>21478</v>
      </c>
      <c r="F1152" s="438" t="s">
        <v>48</v>
      </c>
      <c r="G1152" s="438" t="s">
        <v>35</v>
      </c>
      <c r="H1152" s="438" t="s">
        <v>49</v>
      </c>
      <c r="I1152" s="438" t="s">
        <v>12982</v>
      </c>
      <c r="J1152" s="439">
        <v>13994.0</v>
      </c>
      <c r="K1152" s="440" t="s">
        <v>18148</v>
      </c>
    </row>
    <row r="1153">
      <c r="A1153" s="441">
        <v>45926.572743055556</v>
      </c>
      <c r="B1153" s="442" t="s">
        <v>21482</v>
      </c>
      <c r="C1153" s="442" t="s">
        <v>5586</v>
      </c>
      <c r="D1153" s="442" t="s">
        <v>91</v>
      </c>
      <c r="E1153" s="442" t="s">
        <v>21483</v>
      </c>
      <c r="F1153" s="442" t="s">
        <v>48</v>
      </c>
      <c r="G1153" s="442" t="s">
        <v>35</v>
      </c>
      <c r="H1153" s="442" t="s">
        <v>49</v>
      </c>
      <c r="I1153" s="442" t="s">
        <v>12982</v>
      </c>
      <c r="J1153" s="443">
        <v>13994.0</v>
      </c>
      <c r="K1153" s="444" t="s">
        <v>18148</v>
      </c>
    </row>
    <row r="1154">
      <c r="A1154" s="437">
        <v>45926.57318287037</v>
      </c>
      <c r="B1154" s="438">
        <v>18444.0</v>
      </c>
      <c r="C1154" s="438" t="s">
        <v>11777</v>
      </c>
      <c r="D1154" s="438" t="s">
        <v>85</v>
      </c>
      <c r="E1154" s="438" t="s">
        <v>20639</v>
      </c>
      <c r="F1154" s="438" t="s">
        <v>48</v>
      </c>
      <c r="G1154" s="438" t="s">
        <v>35</v>
      </c>
      <c r="H1154" s="438" t="s">
        <v>18078</v>
      </c>
      <c r="I1154" s="438" t="s">
        <v>38</v>
      </c>
      <c r="J1154" s="439">
        <v>13977.0</v>
      </c>
      <c r="K1154" s="440" t="s">
        <v>18148</v>
      </c>
    </row>
    <row r="1155">
      <c r="A1155" s="441">
        <v>45926.573229166665</v>
      </c>
      <c r="B1155" s="442">
        <v>18588.0</v>
      </c>
      <c r="C1155" s="442" t="s">
        <v>19230</v>
      </c>
      <c r="D1155" s="442" t="s">
        <v>91</v>
      </c>
      <c r="E1155" s="442" t="s">
        <v>21354</v>
      </c>
      <c r="F1155" s="442" t="s">
        <v>48</v>
      </c>
      <c r="G1155" s="442" t="s">
        <v>35</v>
      </c>
      <c r="H1155" s="442" t="s">
        <v>18078</v>
      </c>
      <c r="I1155" s="442" t="s">
        <v>38</v>
      </c>
      <c r="J1155" s="443">
        <v>13983.0</v>
      </c>
      <c r="K1155" s="444" t="s">
        <v>18148</v>
      </c>
    </row>
    <row r="1156">
      <c r="A1156" s="437">
        <v>45926.57331018519</v>
      </c>
      <c r="B1156" s="438" t="s">
        <v>21393</v>
      </c>
      <c r="C1156" s="438" t="s">
        <v>4293</v>
      </c>
      <c r="D1156" s="438" t="s">
        <v>91</v>
      </c>
      <c r="E1156" s="438" t="s">
        <v>21394</v>
      </c>
      <c r="F1156" s="438" t="s">
        <v>48</v>
      </c>
      <c r="G1156" s="438" t="s">
        <v>35</v>
      </c>
      <c r="H1156" s="438" t="s">
        <v>18078</v>
      </c>
      <c r="I1156" s="438" t="s">
        <v>38</v>
      </c>
      <c r="J1156" s="439">
        <v>13989.0</v>
      </c>
      <c r="K1156" s="440" t="s">
        <v>18148</v>
      </c>
    </row>
    <row r="1157">
      <c r="A1157" s="441">
        <v>45926.57336805556</v>
      </c>
      <c r="B1157" s="442" t="s">
        <v>21389</v>
      </c>
      <c r="C1157" s="442" t="s">
        <v>4293</v>
      </c>
      <c r="D1157" s="442" t="s">
        <v>91</v>
      </c>
      <c r="E1157" s="442" t="s">
        <v>21390</v>
      </c>
      <c r="F1157" s="442" t="s">
        <v>48</v>
      </c>
      <c r="G1157" s="442" t="s">
        <v>35</v>
      </c>
      <c r="H1157" s="442" t="s">
        <v>18078</v>
      </c>
      <c r="I1157" s="442" t="s">
        <v>38</v>
      </c>
      <c r="J1157" s="443">
        <v>13989.0</v>
      </c>
      <c r="K1157" s="444" t="s">
        <v>18148</v>
      </c>
    </row>
    <row r="1158">
      <c r="A1158" s="437">
        <v>45926.581921296296</v>
      </c>
      <c r="B1158" s="438">
        <v>18605.0</v>
      </c>
      <c r="C1158" s="438" t="s">
        <v>115</v>
      </c>
      <c r="D1158" s="438" t="s">
        <v>11712</v>
      </c>
      <c r="E1158" s="438">
        <v>20245.0</v>
      </c>
      <c r="F1158" s="438" t="s">
        <v>48</v>
      </c>
      <c r="G1158" s="438" t="s">
        <v>35</v>
      </c>
      <c r="H1158" s="438" t="s">
        <v>92</v>
      </c>
      <c r="I1158" s="438" t="s">
        <v>38</v>
      </c>
      <c r="J1158" s="439">
        <v>13997.0</v>
      </c>
      <c r="K1158" s="440" t="s">
        <v>18148</v>
      </c>
    </row>
    <row r="1159">
      <c r="A1159" s="441">
        <v>45929.44631944445</v>
      </c>
      <c r="B1159" s="442">
        <v>18589.0</v>
      </c>
      <c r="C1159" s="442" t="s">
        <v>21359</v>
      </c>
      <c r="D1159" s="442" t="s">
        <v>85</v>
      </c>
      <c r="E1159" s="442" t="s">
        <v>21360</v>
      </c>
      <c r="F1159" s="442" t="s">
        <v>48</v>
      </c>
      <c r="G1159" s="442" t="s">
        <v>35</v>
      </c>
      <c r="H1159" s="442" t="s">
        <v>18078</v>
      </c>
      <c r="I1159" s="442" t="s">
        <v>38</v>
      </c>
      <c r="J1159" s="443">
        <v>13986.0</v>
      </c>
      <c r="K1159" s="444" t="s">
        <v>18148</v>
      </c>
    </row>
    <row r="1160">
      <c r="A1160" s="437">
        <v>45929.44802083333</v>
      </c>
      <c r="B1160" s="438">
        <v>18589.0</v>
      </c>
      <c r="C1160" s="438" t="s">
        <v>21359</v>
      </c>
      <c r="D1160" s="438" t="s">
        <v>85</v>
      </c>
      <c r="E1160" s="438" t="s">
        <v>21360</v>
      </c>
      <c r="F1160" s="438" t="s">
        <v>48</v>
      </c>
      <c r="G1160" s="438" t="s">
        <v>35</v>
      </c>
      <c r="H1160" s="438" t="s">
        <v>18078</v>
      </c>
      <c r="I1160" s="438" t="s">
        <v>38</v>
      </c>
      <c r="J1160" s="439">
        <v>13986.0</v>
      </c>
      <c r="K1160" s="440" t="s">
        <v>18148</v>
      </c>
    </row>
    <row r="1161">
      <c r="A1161" s="441">
        <v>45929.448379629626</v>
      </c>
      <c r="B1161" s="442">
        <v>18627.0</v>
      </c>
      <c r="C1161" s="442" t="s">
        <v>4215</v>
      </c>
      <c r="D1161" s="442" t="s">
        <v>91</v>
      </c>
      <c r="E1161" s="442" t="s">
        <v>21557</v>
      </c>
      <c r="F1161" s="442" t="s">
        <v>48</v>
      </c>
      <c r="G1161" s="442" t="s">
        <v>35</v>
      </c>
      <c r="H1161" s="442" t="s">
        <v>420</v>
      </c>
      <c r="I1161" s="442" t="s">
        <v>38</v>
      </c>
      <c r="J1161" s="443">
        <v>14004.0</v>
      </c>
      <c r="K1161" s="444" t="s">
        <v>18148</v>
      </c>
    </row>
    <row r="1162">
      <c r="A1162" s="437">
        <v>45929.448483796295</v>
      </c>
      <c r="B1162" s="438">
        <v>18415.0</v>
      </c>
      <c r="C1162" s="438" t="s">
        <v>8328</v>
      </c>
      <c r="D1162" s="438" t="s">
        <v>17892</v>
      </c>
      <c r="E1162" s="438">
        <v>20313.0</v>
      </c>
      <c r="F1162" s="438" t="s">
        <v>48</v>
      </c>
      <c r="G1162" s="438" t="s">
        <v>35</v>
      </c>
      <c r="H1162" s="438" t="s">
        <v>65</v>
      </c>
      <c r="I1162" s="438" t="s">
        <v>38</v>
      </c>
      <c r="J1162" s="439">
        <v>14002.0</v>
      </c>
      <c r="K1162" s="440" t="s">
        <v>18148</v>
      </c>
    </row>
    <row r="1163">
      <c r="A1163" s="441">
        <v>45929.448587962965</v>
      </c>
      <c r="B1163" s="442">
        <v>18575.0</v>
      </c>
      <c r="C1163" s="442" t="s">
        <v>21287</v>
      </c>
      <c r="D1163" s="442" t="s">
        <v>2089</v>
      </c>
      <c r="E1163" s="442">
        <v>20050.0</v>
      </c>
      <c r="F1163" s="442" t="s">
        <v>33</v>
      </c>
      <c r="G1163" s="442" t="s">
        <v>35</v>
      </c>
      <c r="H1163" s="442" t="s">
        <v>65</v>
      </c>
      <c r="I1163" s="442" t="s">
        <v>38</v>
      </c>
      <c r="J1163" s="443">
        <v>13999.0</v>
      </c>
      <c r="K1163" s="444" t="s">
        <v>18148</v>
      </c>
    </row>
    <row r="1164">
      <c r="A1164" s="437">
        <v>45929.44862268519</v>
      </c>
      <c r="B1164" s="438">
        <v>18615.0</v>
      </c>
      <c r="C1164" s="438" t="s">
        <v>5341</v>
      </c>
      <c r="D1164" s="438" t="s">
        <v>135</v>
      </c>
      <c r="E1164" s="438">
        <v>20287.0</v>
      </c>
      <c r="F1164" s="438" t="s">
        <v>48</v>
      </c>
      <c r="G1164" s="438" t="s">
        <v>35</v>
      </c>
      <c r="H1164" s="438" t="s">
        <v>65</v>
      </c>
      <c r="I1164" s="438" t="s">
        <v>38</v>
      </c>
      <c r="J1164" s="439">
        <v>14000.0</v>
      </c>
      <c r="K1164" s="440" t="s">
        <v>18148</v>
      </c>
    </row>
    <row r="1165">
      <c r="A1165" s="441">
        <v>45929.44868055556</v>
      </c>
      <c r="B1165" s="442">
        <v>18616.0</v>
      </c>
      <c r="C1165" s="442" t="s">
        <v>8757</v>
      </c>
      <c r="D1165" s="442" t="s">
        <v>112</v>
      </c>
      <c r="E1165" s="442" t="s">
        <v>21495</v>
      </c>
      <c r="F1165" s="442" t="s">
        <v>48</v>
      </c>
      <c r="G1165" s="442" t="s">
        <v>35</v>
      </c>
      <c r="H1165" s="442" t="s">
        <v>65</v>
      </c>
      <c r="I1165" s="442" t="s">
        <v>38</v>
      </c>
      <c r="J1165" s="443">
        <v>14001.0</v>
      </c>
      <c r="K1165" s="444" t="s">
        <v>18148</v>
      </c>
    </row>
    <row r="1166">
      <c r="A1166" s="437">
        <v>45929.47429398148</v>
      </c>
      <c r="B1166" s="438">
        <v>18602.0</v>
      </c>
      <c r="C1166" s="438" t="s">
        <v>3289</v>
      </c>
      <c r="D1166" s="438" t="s">
        <v>112</v>
      </c>
      <c r="E1166" s="438" t="s">
        <v>21434</v>
      </c>
      <c r="F1166" s="438" t="s">
        <v>48</v>
      </c>
      <c r="G1166" s="438" t="s">
        <v>35</v>
      </c>
      <c r="H1166" s="438" t="s">
        <v>92</v>
      </c>
      <c r="I1166" s="438" t="s">
        <v>38</v>
      </c>
      <c r="J1166" s="439">
        <v>14003.0</v>
      </c>
      <c r="K1166" s="440" t="s">
        <v>18148</v>
      </c>
    </row>
    <row r="1167">
      <c r="A1167" s="441">
        <v>45929.476689814815</v>
      </c>
      <c r="B1167" s="442" t="s">
        <v>21505</v>
      </c>
      <c r="C1167" s="442" t="s">
        <v>13433</v>
      </c>
      <c r="D1167" s="442" t="s">
        <v>85</v>
      </c>
      <c r="E1167" s="442" t="s">
        <v>21506</v>
      </c>
      <c r="F1167" s="442" t="s">
        <v>48</v>
      </c>
      <c r="G1167" s="442" t="s">
        <v>35</v>
      </c>
      <c r="H1167" s="442" t="s">
        <v>18527</v>
      </c>
      <c r="I1167" s="442" t="s">
        <v>38</v>
      </c>
      <c r="J1167" s="443">
        <v>14006.0</v>
      </c>
      <c r="K1167" s="444" t="s">
        <v>18148</v>
      </c>
    </row>
    <row r="1168">
      <c r="A1168" s="437">
        <v>45929.47670138889</v>
      </c>
      <c r="B1168" s="438" t="s">
        <v>21511</v>
      </c>
      <c r="C1168" s="438" t="s">
        <v>13433</v>
      </c>
      <c r="D1168" s="438" t="s">
        <v>85</v>
      </c>
      <c r="E1168" s="438" t="s">
        <v>21512</v>
      </c>
      <c r="F1168" s="438" t="s">
        <v>48</v>
      </c>
      <c r="G1168" s="438" t="s">
        <v>35</v>
      </c>
      <c r="H1168" s="438" t="s">
        <v>18527</v>
      </c>
      <c r="I1168" s="438" t="s">
        <v>38</v>
      </c>
      <c r="J1168" s="439">
        <v>14006.0</v>
      </c>
      <c r="K1168" s="440" t="s">
        <v>18148</v>
      </c>
    </row>
    <row r="1169">
      <c r="A1169" s="441">
        <v>45929.476747685185</v>
      </c>
      <c r="B1169" s="442" t="s">
        <v>21515</v>
      </c>
      <c r="C1169" s="442" t="s">
        <v>13433</v>
      </c>
      <c r="D1169" s="442" t="s">
        <v>85</v>
      </c>
      <c r="E1169" s="442" t="s">
        <v>21516</v>
      </c>
      <c r="F1169" s="442" t="s">
        <v>48</v>
      </c>
      <c r="G1169" s="442" t="s">
        <v>35</v>
      </c>
      <c r="H1169" s="442" t="s">
        <v>18527</v>
      </c>
      <c r="I1169" s="442" t="s">
        <v>38</v>
      </c>
      <c r="J1169" s="443">
        <v>14006.0</v>
      </c>
      <c r="K1169" s="444" t="s">
        <v>18148</v>
      </c>
    </row>
    <row r="1170">
      <c r="A1170" s="437">
        <v>45929.47681712963</v>
      </c>
      <c r="B1170" s="438" t="s">
        <v>21519</v>
      </c>
      <c r="C1170" s="438" t="s">
        <v>13433</v>
      </c>
      <c r="D1170" s="438" t="s">
        <v>85</v>
      </c>
      <c r="E1170" s="438" t="s">
        <v>21520</v>
      </c>
      <c r="F1170" s="438" t="s">
        <v>48</v>
      </c>
      <c r="G1170" s="438" t="s">
        <v>35</v>
      </c>
      <c r="H1170" s="438" t="s">
        <v>18527</v>
      </c>
      <c r="I1170" s="438" t="s">
        <v>38</v>
      </c>
      <c r="J1170" s="439">
        <v>14006.0</v>
      </c>
      <c r="K1170" s="440" t="s">
        <v>18148</v>
      </c>
    </row>
    <row r="1171">
      <c r="A1171" s="441">
        <v>45929.4768287037</v>
      </c>
      <c r="B1171" s="442" t="s">
        <v>21523</v>
      </c>
      <c r="C1171" s="442" t="s">
        <v>13433</v>
      </c>
      <c r="D1171" s="442" t="s">
        <v>85</v>
      </c>
      <c r="E1171" s="442" t="s">
        <v>21524</v>
      </c>
      <c r="F1171" s="442" t="s">
        <v>48</v>
      </c>
      <c r="G1171" s="442" t="s">
        <v>35</v>
      </c>
      <c r="H1171" s="442" t="s">
        <v>18527</v>
      </c>
      <c r="I1171" s="442" t="s">
        <v>38</v>
      </c>
      <c r="J1171" s="443">
        <v>14006.0</v>
      </c>
      <c r="K1171" s="444" t="s">
        <v>18148</v>
      </c>
    </row>
    <row r="1172">
      <c r="A1172" s="437">
        <v>45929.47689814815</v>
      </c>
      <c r="B1172" s="438" t="s">
        <v>21527</v>
      </c>
      <c r="C1172" s="438" t="s">
        <v>13433</v>
      </c>
      <c r="D1172" s="438" t="s">
        <v>85</v>
      </c>
      <c r="E1172" s="438" t="s">
        <v>21528</v>
      </c>
      <c r="F1172" s="438" t="s">
        <v>48</v>
      </c>
      <c r="G1172" s="438" t="s">
        <v>35</v>
      </c>
      <c r="H1172" s="438" t="s">
        <v>18527</v>
      </c>
      <c r="I1172" s="438" t="s">
        <v>38</v>
      </c>
      <c r="J1172" s="439">
        <v>14006.0</v>
      </c>
      <c r="K1172" s="440" t="s">
        <v>18148</v>
      </c>
    </row>
    <row r="1173">
      <c r="A1173" s="441">
        <v>45929.47696759259</v>
      </c>
      <c r="B1173" s="442" t="s">
        <v>21116</v>
      </c>
      <c r="C1173" s="442" t="s">
        <v>16879</v>
      </c>
      <c r="D1173" s="442" t="s">
        <v>85</v>
      </c>
      <c r="E1173" s="442" t="s">
        <v>21117</v>
      </c>
      <c r="F1173" s="442" t="s">
        <v>48</v>
      </c>
      <c r="G1173" s="442" t="s">
        <v>35</v>
      </c>
      <c r="H1173" s="442" t="s">
        <v>49</v>
      </c>
      <c r="I1173" s="442" t="s">
        <v>16881</v>
      </c>
      <c r="J1173" s="443">
        <v>14005.0</v>
      </c>
      <c r="K1173" s="444" t="s">
        <v>18148</v>
      </c>
    </row>
    <row r="1174">
      <c r="A1174" s="437">
        <v>45929.477002314816</v>
      </c>
      <c r="B1174" s="438" t="s">
        <v>21121</v>
      </c>
      <c r="C1174" s="438" t="s">
        <v>16879</v>
      </c>
      <c r="D1174" s="438" t="s">
        <v>85</v>
      </c>
      <c r="E1174" s="438" t="s">
        <v>21122</v>
      </c>
      <c r="F1174" s="438" t="s">
        <v>48</v>
      </c>
      <c r="G1174" s="438" t="s">
        <v>35</v>
      </c>
      <c r="H1174" s="438" t="s">
        <v>49</v>
      </c>
      <c r="I1174" s="438" t="s">
        <v>16881</v>
      </c>
      <c r="J1174" s="439">
        <v>14005.0</v>
      </c>
      <c r="K1174" s="440" t="s">
        <v>18148</v>
      </c>
    </row>
    <row r="1175">
      <c r="A1175" s="441">
        <v>45929.47702546296</v>
      </c>
      <c r="B1175" s="442" t="s">
        <v>21125</v>
      </c>
      <c r="C1175" s="442" t="s">
        <v>16879</v>
      </c>
      <c r="D1175" s="442" t="s">
        <v>85</v>
      </c>
      <c r="E1175" s="442" t="s">
        <v>21126</v>
      </c>
      <c r="F1175" s="442" t="s">
        <v>48</v>
      </c>
      <c r="G1175" s="442" t="s">
        <v>35</v>
      </c>
      <c r="H1175" s="442" t="s">
        <v>49</v>
      </c>
      <c r="I1175" s="442" t="s">
        <v>16881</v>
      </c>
      <c r="J1175" s="443">
        <v>14005.0</v>
      </c>
      <c r="K1175" s="444" t="s">
        <v>18148</v>
      </c>
    </row>
    <row r="1176">
      <c r="A1176" s="437">
        <v>45929.47709490741</v>
      </c>
      <c r="B1176" s="438" t="s">
        <v>21129</v>
      </c>
      <c r="C1176" s="438" t="s">
        <v>16879</v>
      </c>
      <c r="D1176" s="438" t="s">
        <v>85</v>
      </c>
      <c r="E1176" s="438" t="s">
        <v>21130</v>
      </c>
      <c r="F1176" s="438" t="s">
        <v>48</v>
      </c>
      <c r="G1176" s="438" t="s">
        <v>35</v>
      </c>
      <c r="H1176" s="438" t="s">
        <v>49</v>
      </c>
      <c r="I1176" s="438" t="s">
        <v>16881</v>
      </c>
      <c r="J1176" s="439">
        <v>14005.0</v>
      </c>
      <c r="K1176" s="440" t="s">
        <v>18148</v>
      </c>
    </row>
    <row r="1177">
      <c r="A1177" s="441">
        <v>45929.47721064815</v>
      </c>
      <c r="B1177" s="442" t="s">
        <v>21133</v>
      </c>
      <c r="C1177" s="442" t="s">
        <v>16879</v>
      </c>
      <c r="D1177" s="442" t="s">
        <v>85</v>
      </c>
      <c r="E1177" s="442" t="s">
        <v>21134</v>
      </c>
      <c r="F1177" s="442" t="s">
        <v>48</v>
      </c>
      <c r="G1177" s="442" t="s">
        <v>35</v>
      </c>
      <c r="H1177" s="442" t="s">
        <v>49</v>
      </c>
      <c r="I1177" s="442" t="s">
        <v>16881</v>
      </c>
      <c r="J1177" s="443">
        <v>14005.0</v>
      </c>
      <c r="K1177" s="444" t="s">
        <v>18148</v>
      </c>
    </row>
    <row r="1178">
      <c r="A1178" s="437">
        <v>45929.47725694445</v>
      </c>
      <c r="B1178" s="438" t="s">
        <v>21137</v>
      </c>
      <c r="C1178" s="438" t="s">
        <v>16879</v>
      </c>
      <c r="D1178" s="438" t="s">
        <v>85</v>
      </c>
      <c r="E1178" s="438" t="s">
        <v>21138</v>
      </c>
      <c r="F1178" s="438" t="s">
        <v>48</v>
      </c>
      <c r="G1178" s="438" t="s">
        <v>35</v>
      </c>
      <c r="H1178" s="438" t="s">
        <v>49</v>
      </c>
      <c r="I1178" s="438" t="s">
        <v>16881</v>
      </c>
      <c r="J1178" s="439">
        <v>14005.0</v>
      </c>
      <c r="K1178" s="440" t="s">
        <v>18148</v>
      </c>
    </row>
    <row r="1179">
      <c r="A1179" s="441">
        <v>45929.501851851855</v>
      </c>
      <c r="B1179" s="442">
        <v>18635.0</v>
      </c>
      <c r="C1179" s="442" t="s">
        <v>4901</v>
      </c>
      <c r="D1179" s="442" t="s">
        <v>47</v>
      </c>
      <c r="E1179" s="442" t="s">
        <v>21593</v>
      </c>
      <c r="F1179" s="442" t="s">
        <v>48</v>
      </c>
      <c r="G1179" s="442" t="s">
        <v>35</v>
      </c>
      <c r="H1179" s="442" t="s">
        <v>49</v>
      </c>
      <c r="I1179" s="442" t="s">
        <v>9830</v>
      </c>
      <c r="J1179" s="443">
        <v>14007.0</v>
      </c>
      <c r="K1179" s="444" t="s">
        <v>18148</v>
      </c>
    </row>
    <row r="1180">
      <c r="A1180" s="437">
        <v>45929.57034722222</v>
      </c>
      <c r="B1180" s="438">
        <v>18630.0</v>
      </c>
      <c r="C1180" s="438" t="s">
        <v>4941</v>
      </c>
      <c r="D1180" s="438" t="s">
        <v>85</v>
      </c>
      <c r="E1180" s="438" t="s">
        <v>21566</v>
      </c>
      <c r="F1180" s="438" t="s">
        <v>48</v>
      </c>
      <c r="G1180" s="438" t="s">
        <v>35</v>
      </c>
      <c r="H1180" s="438" t="s">
        <v>92</v>
      </c>
      <c r="I1180" s="438" t="s">
        <v>38</v>
      </c>
      <c r="J1180" s="439">
        <v>14010.0</v>
      </c>
      <c r="K1180" s="440" t="s">
        <v>18148</v>
      </c>
    </row>
    <row r="1181">
      <c r="A1181" s="441">
        <v>45929.57047453704</v>
      </c>
      <c r="B1181" s="442">
        <v>18195.0</v>
      </c>
      <c r="C1181" s="442" t="s">
        <v>18977</v>
      </c>
      <c r="D1181" s="442" t="s">
        <v>3395</v>
      </c>
      <c r="E1181" s="442" t="s">
        <v>19248</v>
      </c>
      <c r="F1181" s="442" t="s">
        <v>48</v>
      </c>
      <c r="G1181" s="442" t="s">
        <v>35</v>
      </c>
      <c r="H1181" s="442" t="s">
        <v>65</v>
      </c>
      <c r="I1181" s="442" t="s">
        <v>38</v>
      </c>
      <c r="J1181" s="443">
        <v>14008.0</v>
      </c>
      <c r="K1181" s="444" t="s">
        <v>18148</v>
      </c>
    </row>
    <row r="1182">
      <c r="A1182" s="437">
        <v>45929.57052083333</v>
      </c>
      <c r="B1182" s="438">
        <v>18248.0</v>
      </c>
      <c r="C1182" s="438" t="s">
        <v>5047</v>
      </c>
      <c r="D1182" s="438" t="s">
        <v>3395</v>
      </c>
      <c r="E1182" s="438" t="s">
        <v>19547</v>
      </c>
      <c r="F1182" s="438" t="s">
        <v>48</v>
      </c>
      <c r="G1182" s="438" t="s">
        <v>35</v>
      </c>
      <c r="H1182" s="438" t="s">
        <v>37</v>
      </c>
      <c r="I1182" s="438" t="s">
        <v>38</v>
      </c>
      <c r="J1182" s="439">
        <v>14009.0</v>
      </c>
      <c r="K1182" s="440" t="s">
        <v>18148</v>
      </c>
    </row>
    <row r="1183">
      <c r="A1183" s="441">
        <v>45929.57425925926</v>
      </c>
      <c r="B1183" s="442" t="s">
        <v>24937</v>
      </c>
      <c r="C1183" s="442" t="s">
        <v>21989</v>
      </c>
      <c r="D1183" s="442" t="s">
        <v>3395</v>
      </c>
      <c r="E1183" s="442" t="s">
        <v>21990</v>
      </c>
      <c r="F1183" s="442" t="s">
        <v>48</v>
      </c>
      <c r="G1183" s="442" t="s">
        <v>35</v>
      </c>
      <c r="H1183" s="442" t="s">
        <v>49</v>
      </c>
      <c r="I1183" s="442" t="s">
        <v>1184</v>
      </c>
      <c r="J1183" s="443">
        <v>14011.0</v>
      </c>
      <c r="K1183" s="444" t="s">
        <v>18148</v>
      </c>
    </row>
    <row r="1184">
      <c r="A1184" s="437">
        <v>45929.57431712963</v>
      </c>
      <c r="B1184" s="438" t="s">
        <v>24938</v>
      </c>
      <c r="C1184" s="438" t="s">
        <v>21989</v>
      </c>
      <c r="D1184" s="438" t="s">
        <v>3395</v>
      </c>
      <c r="E1184" s="438" t="s">
        <v>21995</v>
      </c>
      <c r="F1184" s="438" t="s">
        <v>48</v>
      </c>
      <c r="G1184" s="438" t="s">
        <v>35</v>
      </c>
      <c r="H1184" s="438" t="s">
        <v>49</v>
      </c>
      <c r="I1184" s="438" t="s">
        <v>1184</v>
      </c>
      <c r="J1184" s="439">
        <v>14011.0</v>
      </c>
      <c r="K1184" s="440" t="s">
        <v>18148</v>
      </c>
    </row>
    <row r="1185">
      <c r="A1185" s="441">
        <v>45930.470034722224</v>
      </c>
      <c r="B1185" s="442" t="s">
        <v>21089</v>
      </c>
      <c r="C1185" s="442" t="s">
        <v>19643</v>
      </c>
      <c r="D1185" s="442" t="s">
        <v>13303</v>
      </c>
      <c r="E1185" s="442">
        <v>20320.0</v>
      </c>
      <c r="F1185" s="442" t="s">
        <v>48</v>
      </c>
      <c r="G1185" s="442" t="s">
        <v>35</v>
      </c>
      <c r="H1185" s="442" t="s">
        <v>65</v>
      </c>
      <c r="I1185" s="442" t="s">
        <v>38</v>
      </c>
      <c r="J1185" s="443">
        <v>14012.0</v>
      </c>
      <c r="K1185" s="444" t="s">
        <v>18148</v>
      </c>
    </row>
    <row r="1186">
      <c r="A1186" s="437">
        <v>45930.470046296294</v>
      </c>
      <c r="B1186" s="438" t="s">
        <v>21093</v>
      </c>
      <c r="C1186" s="438" t="s">
        <v>19643</v>
      </c>
      <c r="D1186" s="438" t="s">
        <v>13303</v>
      </c>
      <c r="E1186" s="438">
        <v>20321.0</v>
      </c>
      <c r="F1186" s="438" t="s">
        <v>48</v>
      </c>
      <c r="G1186" s="438" t="s">
        <v>35</v>
      </c>
      <c r="H1186" s="438" t="s">
        <v>65</v>
      </c>
      <c r="I1186" s="438" t="s">
        <v>38</v>
      </c>
      <c r="J1186" s="439">
        <v>14012.0</v>
      </c>
      <c r="K1186" s="440" t="s">
        <v>18148</v>
      </c>
    </row>
    <row r="1187">
      <c r="A1187" s="441">
        <v>45930.47011574074</v>
      </c>
      <c r="B1187" s="442">
        <v>18613.0</v>
      </c>
      <c r="C1187" s="442" t="s">
        <v>18643</v>
      </c>
      <c r="D1187" s="442" t="s">
        <v>85</v>
      </c>
      <c r="E1187" s="442" t="s">
        <v>21487</v>
      </c>
      <c r="F1187" s="442" t="s">
        <v>48</v>
      </c>
      <c r="G1187" s="442" t="s">
        <v>35</v>
      </c>
      <c r="H1187" s="442" t="s">
        <v>65</v>
      </c>
      <c r="I1187" s="442" t="s">
        <v>38</v>
      </c>
      <c r="J1187" s="443">
        <v>14015.0</v>
      </c>
      <c r="K1187" s="444" t="s">
        <v>18148</v>
      </c>
    </row>
    <row r="1188">
      <c r="A1188" s="437">
        <v>45930.47020833333</v>
      </c>
      <c r="B1188" s="438">
        <v>18606.0</v>
      </c>
      <c r="C1188" s="438" t="s">
        <v>9359</v>
      </c>
      <c r="D1188" s="438" t="s">
        <v>135</v>
      </c>
      <c r="E1188" s="438">
        <v>20288.0</v>
      </c>
      <c r="F1188" s="438" t="s">
        <v>48</v>
      </c>
      <c r="G1188" s="438" t="s">
        <v>35</v>
      </c>
      <c r="H1188" s="438" t="s">
        <v>49</v>
      </c>
      <c r="I1188" s="438" t="s">
        <v>518</v>
      </c>
      <c r="J1188" s="439">
        <v>14021.0</v>
      </c>
      <c r="K1188" s="440" t="s">
        <v>18148</v>
      </c>
    </row>
    <row r="1189">
      <c r="A1189" s="441">
        <v>45930.47020833333</v>
      </c>
      <c r="B1189" s="442" t="s">
        <v>21468</v>
      </c>
      <c r="C1189" s="442" t="s">
        <v>3645</v>
      </c>
      <c r="D1189" s="442" t="s">
        <v>47</v>
      </c>
      <c r="E1189" s="442" t="s">
        <v>21469</v>
      </c>
      <c r="F1189" s="442" t="s">
        <v>48</v>
      </c>
      <c r="G1189" s="442" t="s">
        <v>35</v>
      </c>
      <c r="H1189" s="442" t="s">
        <v>49</v>
      </c>
      <c r="I1189" s="442" t="s">
        <v>38</v>
      </c>
      <c r="J1189" s="443">
        <v>14014.0</v>
      </c>
      <c r="K1189" s="444" t="s">
        <v>18148</v>
      </c>
    </row>
    <row r="1190">
      <c r="A1190" s="437">
        <v>45930.4702662037</v>
      </c>
      <c r="B1190" s="438" t="s">
        <v>21473</v>
      </c>
      <c r="C1190" s="438" t="s">
        <v>3645</v>
      </c>
      <c r="D1190" s="438" t="s">
        <v>47</v>
      </c>
      <c r="E1190" s="438" t="s">
        <v>21474</v>
      </c>
      <c r="F1190" s="438" t="s">
        <v>48</v>
      </c>
      <c r="G1190" s="438" t="s">
        <v>35</v>
      </c>
      <c r="H1190" s="438" t="s">
        <v>49</v>
      </c>
      <c r="I1190" s="438" t="s">
        <v>38</v>
      </c>
      <c r="J1190" s="439">
        <v>14014.0</v>
      </c>
      <c r="K1190" s="440" t="s">
        <v>18148</v>
      </c>
    </row>
    <row r="1191">
      <c r="A1191" s="441">
        <v>45930.470347222225</v>
      </c>
      <c r="B1191" s="442">
        <v>18629.0</v>
      </c>
      <c r="C1191" s="442" t="s">
        <v>21561</v>
      </c>
      <c r="D1191" s="442" t="s">
        <v>165</v>
      </c>
      <c r="E1191" s="442">
        <v>20224.0</v>
      </c>
      <c r="F1191" s="442" t="s">
        <v>33</v>
      </c>
      <c r="G1191" s="442" t="s">
        <v>35</v>
      </c>
      <c r="H1191" s="442" t="s">
        <v>49</v>
      </c>
      <c r="I1191" s="442" t="s">
        <v>38</v>
      </c>
      <c r="J1191" s="443">
        <v>14017.0</v>
      </c>
      <c r="K1191" s="444" t="s">
        <v>18148</v>
      </c>
    </row>
    <row r="1192">
      <c r="A1192" s="437">
        <v>45930.47038194445</v>
      </c>
      <c r="B1192" s="438">
        <v>18639.0</v>
      </c>
      <c r="C1192" s="438" t="s">
        <v>4090</v>
      </c>
      <c r="D1192" s="438" t="s">
        <v>85</v>
      </c>
      <c r="E1192" s="438" t="s">
        <v>21622</v>
      </c>
      <c r="F1192" s="438" t="s">
        <v>48</v>
      </c>
      <c r="G1192" s="438" t="s">
        <v>35</v>
      </c>
      <c r="H1192" s="438" t="s">
        <v>49</v>
      </c>
      <c r="I1192" s="438" t="s">
        <v>38</v>
      </c>
      <c r="J1192" s="439">
        <v>14018.0</v>
      </c>
      <c r="K1192" s="440" t="s">
        <v>18148</v>
      </c>
    </row>
    <row r="1193">
      <c r="A1193" s="441">
        <v>45930.470405092594</v>
      </c>
      <c r="B1193" s="442">
        <v>18642.0</v>
      </c>
      <c r="C1193" s="442" t="s">
        <v>13993</v>
      </c>
      <c r="D1193" s="442" t="s">
        <v>91</v>
      </c>
      <c r="E1193" s="442" t="s">
        <v>21639</v>
      </c>
      <c r="F1193" s="442" t="s">
        <v>48</v>
      </c>
      <c r="G1193" s="442" t="s">
        <v>35</v>
      </c>
      <c r="H1193" s="442" t="s">
        <v>49</v>
      </c>
      <c r="I1193" s="442" t="s">
        <v>38</v>
      </c>
      <c r="J1193" s="443">
        <v>14019.0</v>
      </c>
      <c r="K1193" s="444" t="s">
        <v>18148</v>
      </c>
    </row>
    <row r="1194">
      <c r="A1194" s="437">
        <v>45930.470868055556</v>
      </c>
      <c r="B1194" s="438">
        <v>18623.0</v>
      </c>
      <c r="C1194" s="438" t="s">
        <v>21020</v>
      </c>
      <c r="D1194" s="438" t="s">
        <v>453</v>
      </c>
      <c r="E1194" s="438">
        <v>20152.0</v>
      </c>
      <c r="F1194" s="438" t="s">
        <v>244</v>
      </c>
      <c r="G1194" s="438" t="s">
        <v>35</v>
      </c>
      <c r="H1194" s="438" t="s">
        <v>49</v>
      </c>
      <c r="I1194" s="438" t="s">
        <v>38</v>
      </c>
      <c r="J1194" s="439">
        <v>14016.0</v>
      </c>
      <c r="K1194" s="440" t="s">
        <v>18148</v>
      </c>
    </row>
    <row r="1195">
      <c r="A1195" s="441">
        <v>45930.47418981481</v>
      </c>
      <c r="B1195" s="442">
        <v>18623.0</v>
      </c>
      <c r="C1195" s="442" t="s">
        <v>21020</v>
      </c>
      <c r="D1195" s="442" t="s">
        <v>453</v>
      </c>
      <c r="E1195" s="442">
        <v>20152.0</v>
      </c>
      <c r="F1195" s="442" t="s">
        <v>244</v>
      </c>
      <c r="G1195" s="442" t="s">
        <v>35</v>
      </c>
      <c r="H1195" s="442" t="s">
        <v>49</v>
      </c>
      <c r="I1195" s="442" t="s">
        <v>38</v>
      </c>
      <c r="J1195" s="443">
        <v>14016.0</v>
      </c>
      <c r="K1195" s="444" t="s">
        <v>18148</v>
      </c>
    </row>
    <row r="1196">
      <c r="A1196" s="437">
        <v>45930.477222222224</v>
      </c>
      <c r="B1196" s="438" t="s">
        <v>21344</v>
      </c>
      <c r="C1196" s="438" t="s">
        <v>4313</v>
      </c>
      <c r="D1196" s="438" t="s">
        <v>47</v>
      </c>
      <c r="E1196" s="438" t="s">
        <v>21345</v>
      </c>
      <c r="F1196" s="438" t="s">
        <v>48</v>
      </c>
      <c r="G1196" s="438" t="s">
        <v>35</v>
      </c>
      <c r="H1196" s="438" t="s">
        <v>92</v>
      </c>
      <c r="I1196" s="438" t="s">
        <v>38</v>
      </c>
      <c r="J1196" s="439">
        <v>14013.0</v>
      </c>
      <c r="K1196" s="440" t="s">
        <v>18148</v>
      </c>
    </row>
    <row r="1197">
      <c r="A1197" s="441">
        <v>45930.477314814816</v>
      </c>
      <c r="B1197" s="442" t="s">
        <v>21349</v>
      </c>
      <c r="C1197" s="442" t="s">
        <v>4313</v>
      </c>
      <c r="D1197" s="442" t="s">
        <v>47</v>
      </c>
      <c r="E1197" s="442" t="s">
        <v>21350</v>
      </c>
      <c r="F1197" s="442" t="s">
        <v>48</v>
      </c>
      <c r="G1197" s="442" t="s">
        <v>35</v>
      </c>
      <c r="H1197" s="442" t="s">
        <v>92</v>
      </c>
      <c r="I1197" s="442" t="s">
        <v>38</v>
      </c>
      <c r="J1197" s="443">
        <v>14013.0</v>
      </c>
      <c r="K1197" s="444" t="s">
        <v>18148</v>
      </c>
    </row>
    <row r="1198">
      <c r="A1198" s="437">
        <v>45930.47739583333</v>
      </c>
      <c r="B1198" s="438">
        <v>18644.0</v>
      </c>
      <c r="C1198" s="438" t="s">
        <v>7490</v>
      </c>
      <c r="D1198" s="438" t="s">
        <v>85</v>
      </c>
      <c r="E1198" s="438" t="s">
        <v>21649</v>
      </c>
      <c r="F1198" s="438" t="s">
        <v>48</v>
      </c>
      <c r="G1198" s="438" t="s">
        <v>35</v>
      </c>
      <c r="H1198" s="438" t="s">
        <v>92</v>
      </c>
      <c r="I1198" s="438" t="s">
        <v>38</v>
      </c>
      <c r="J1198" s="439">
        <v>14020.0</v>
      </c>
      <c r="K1198" s="440" t="s">
        <v>18148</v>
      </c>
    </row>
    <row r="1199">
      <c r="A1199" s="441">
        <v>45930.561875</v>
      </c>
      <c r="B1199" s="442" t="s">
        <v>21630</v>
      </c>
      <c r="C1199" s="442" t="s">
        <v>9101</v>
      </c>
      <c r="D1199" s="442" t="s">
        <v>91</v>
      </c>
      <c r="E1199" s="442" t="s">
        <v>21631</v>
      </c>
      <c r="F1199" s="442" t="s">
        <v>48</v>
      </c>
      <c r="G1199" s="442" t="s">
        <v>35</v>
      </c>
      <c r="H1199" s="442" t="s">
        <v>65</v>
      </c>
      <c r="I1199" s="442" t="s">
        <v>38</v>
      </c>
      <c r="J1199" s="443"/>
      <c r="K1199" s="444" t="s">
        <v>18148</v>
      </c>
    </row>
    <row r="1200">
      <c r="A1200" s="437">
        <v>45930.561956018515</v>
      </c>
      <c r="B1200" s="438" t="s">
        <v>21625</v>
      </c>
      <c r="C1200" s="438" t="s">
        <v>9101</v>
      </c>
      <c r="D1200" s="438" t="s">
        <v>85</v>
      </c>
      <c r="E1200" s="438" t="s">
        <v>21626</v>
      </c>
      <c r="F1200" s="438" t="s">
        <v>48</v>
      </c>
      <c r="G1200" s="438" t="s">
        <v>35</v>
      </c>
      <c r="H1200" s="438" t="s">
        <v>65</v>
      </c>
      <c r="I1200" s="438" t="s">
        <v>38</v>
      </c>
      <c r="J1200" s="439"/>
      <c r="K1200" s="440" t="s">
        <v>18148</v>
      </c>
    </row>
    <row r="1201">
      <c r="A1201" s="441">
        <v>45930.56570601852</v>
      </c>
      <c r="B1201" s="442" t="s">
        <v>21634</v>
      </c>
      <c r="C1201" s="442" t="s">
        <v>9101</v>
      </c>
      <c r="D1201" s="442" t="s">
        <v>85</v>
      </c>
      <c r="E1201" s="442" t="s">
        <v>21635</v>
      </c>
      <c r="F1201" s="442" t="s">
        <v>48</v>
      </c>
      <c r="G1201" s="442" t="s">
        <v>35</v>
      </c>
      <c r="H1201" s="442" t="s">
        <v>65</v>
      </c>
      <c r="I1201" s="442" t="s">
        <v>38</v>
      </c>
      <c r="J1201" s="443">
        <v>14022.0</v>
      </c>
      <c r="K1201" s="444" t="s">
        <v>18148</v>
      </c>
    </row>
    <row r="1202">
      <c r="A1202" s="437">
        <v>45930.566087962965</v>
      </c>
      <c r="B1202" s="438" t="s">
        <v>21630</v>
      </c>
      <c r="C1202" s="438" t="s">
        <v>9101</v>
      </c>
      <c r="D1202" s="438" t="s">
        <v>91</v>
      </c>
      <c r="E1202" s="438" t="s">
        <v>21631</v>
      </c>
      <c r="F1202" s="438" t="s">
        <v>48</v>
      </c>
      <c r="G1202" s="438" t="s">
        <v>35</v>
      </c>
      <c r="H1202" s="438" t="s">
        <v>65</v>
      </c>
      <c r="I1202" s="438" t="s">
        <v>38</v>
      </c>
      <c r="J1202" s="439">
        <v>14022.0</v>
      </c>
      <c r="K1202" s="440" t="s">
        <v>18148</v>
      </c>
    </row>
    <row r="1203">
      <c r="A1203" s="441">
        <v>45930.56612268519</v>
      </c>
      <c r="B1203" s="442" t="s">
        <v>21625</v>
      </c>
      <c r="C1203" s="442" t="s">
        <v>9101</v>
      </c>
      <c r="D1203" s="442" t="s">
        <v>85</v>
      </c>
      <c r="E1203" s="442" t="s">
        <v>21626</v>
      </c>
      <c r="F1203" s="442" t="s">
        <v>48</v>
      </c>
      <c r="G1203" s="442" t="s">
        <v>35</v>
      </c>
      <c r="H1203" s="442" t="s">
        <v>65</v>
      </c>
      <c r="I1203" s="442" t="s">
        <v>38</v>
      </c>
      <c r="J1203" s="443">
        <v>14022.0</v>
      </c>
      <c r="K1203" s="444" t="s">
        <v>18148</v>
      </c>
    </row>
    <row r="1204">
      <c r="A1204" s="437">
        <v>45930.58962962963</v>
      </c>
      <c r="B1204" s="438">
        <v>18657.0</v>
      </c>
      <c r="C1204" s="438" t="s">
        <v>5507</v>
      </c>
      <c r="D1204" s="438" t="s">
        <v>47</v>
      </c>
      <c r="E1204" s="438" t="s">
        <v>21689</v>
      </c>
      <c r="F1204" s="438" t="s">
        <v>48</v>
      </c>
      <c r="G1204" s="438" t="s">
        <v>35</v>
      </c>
      <c r="H1204" s="438" t="s">
        <v>49</v>
      </c>
      <c r="I1204" s="438" t="s">
        <v>38</v>
      </c>
      <c r="J1204" s="439">
        <v>14023.0</v>
      </c>
      <c r="K1204" s="440" t="s">
        <v>18148</v>
      </c>
    </row>
    <row r="1205">
      <c r="A1205" s="441">
        <v>45930.60952546296</v>
      </c>
      <c r="B1205" s="442">
        <v>18654.0</v>
      </c>
      <c r="C1205" s="442" t="s">
        <v>21409</v>
      </c>
      <c r="D1205" s="442" t="s">
        <v>91</v>
      </c>
      <c r="E1205" s="442" t="s">
        <v>23672</v>
      </c>
      <c r="F1205" s="442" t="s">
        <v>48</v>
      </c>
      <c r="G1205" s="442" t="s">
        <v>35</v>
      </c>
      <c r="H1205" s="442" t="s">
        <v>65</v>
      </c>
      <c r="I1205" s="442" t="s">
        <v>38</v>
      </c>
      <c r="J1205" s="443">
        <v>14024.0</v>
      </c>
      <c r="K1205" s="444" t="s">
        <v>18148</v>
      </c>
    </row>
    <row r="1206">
      <c r="A1206" s="437">
        <v>45931.47201388889</v>
      </c>
      <c r="B1206" s="438" t="s">
        <v>21574</v>
      </c>
      <c r="C1206" s="438" t="s">
        <v>20651</v>
      </c>
      <c r="D1206" s="438" t="s">
        <v>85</v>
      </c>
      <c r="E1206" s="438" t="s">
        <v>21575</v>
      </c>
      <c r="F1206" s="438" t="s">
        <v>48</v>
      </c>
      <c r="G1206" s="438" t="s">
        <v>35</v>
      </c>
      <c r="H1206" s="438" t="s">
        <v>65</v>
      </c>
      <c r="I1206" s="438" t="s">
        <v>38</v>
      </c>
      <c r="J1206" s="439">
        <v>14034.0</v>
      </c>
      <c r="K1206" s="440" t="s">
        <v>18148</v>
      </c>
    </row>
    <row r="1207">
      <c r="A1207" s="441">
        <v>45931.47204861111</v>
      </c>
      <c r="B1207" s="442" t="s">
        <v>21570</v>
      </c>
      <c r="C1207" s="442" t="s">
        <v>20651</v>
      </c>
      <c r="D1207" s="442" t="s">
        <v>85</v>
      </c>
      <c r="E1207" s="442" t="s">
        <v>21571</v>
      </c>
      <c r="F1207" s="442" t="s">
        <v>48</v>
      </c>
      <c r="G1207" s="442" t="s">
        <v>35</v>
      </c>
      <c r="H1207" s="442" t="s">
        <v>65</v>
      </c>
      <c r="I1207" s="442" t="s">
        <v>38</v>
      </c>
      <c r="J1207" s="443">
        <v>14034.0</v>
      </c>
      <c r="K1207" s="444" t="s">
        <v>18148</v>
      </c>
    </row>
    <row r="1208">
      <c r="A1208" s="437">
        <v>45931.47209490741</v>
      </c>
      <c r="B1208" s="438">
        <v>18648.0</v>
      </c>
      <c r="C1208" s="438" t="s">
        <v>16578</v>
      </c>
      <c r="D1208" s="438" t="s">
        <v>85</v>
      </c>
      <c r="E1208" s="438" t="s">
        <v>21661</v>
      </c>
      <c r="F1208" s="438" t="s">
        <v>48</v>
      </c>
      <c r="G1208" s="438" t="s">
        <v>35</v>
      </c>
      <c r="H1208" s="438" t="s">
        <v>65</v>
      </c>
      <c r="I1208" s="438" t="s">
        <v>38</v>
      </c>
      <c r="J1208" s="439">
        <v>14033.0</v>
      </c>
      <c r="K1208" s="440" t="s">
        <v>18148</v>
      </c>
    </row>
    <row r="1209">
      <c r="A1209" s="441">
        <v>45931.47211805556</v>
      </c>
      <c r="B1209" s="442">
        <v>18656.0</v>
      </c>
      <c r="C1209" s="442" t="s">
        <v>147</v>
      </c>
      <c r="D1209" s="442" t="s">
        <v>85</v>
      </c>
      <c r="E1209" s="442" t="s">
        <v>21685</v>
      </c>
      <c r="F1209" s="442" t="s">
        <v>48</v>
      </c>
      <c r="G1209" s="442" t="s">
        <v>35</v>
      </c>
      <c r="H1209" s="442" t="s">
        <v>65</v>
      </c>
      <c r="I1209" s="442" t="s">
        <v>38</v>
      </c>
      <c r="J1209" s="443">
        <v>14035.0</v>
      </c>
      <c r="K1209" s="444" t="s">
        <v>18148</v>
      </c>
    </row>
    <row r="1210">
      <c r="A1210" s="437">
        <v>45931.47216435185</v>
      </c>
      <c r="B1210" s="438" t="s">
        <v>21703</v>
      </c>
      <c r="C1210" s="438" t="s">
        <v>147</v>
      </c>
      <c r="D1210" s="438" t="s">
        <v>85</v>
      </c>
      <c r="E1210" s="438" t="s">
        <v>21704</v>
      </c>
      <c r="F1210" s="438" t="s">
        <v>48</v>
      </c>
      <c r="G1210" s="438" t="s">
        <v>35</v>
      </c>
      <c r="H1210" s="438" t="s">
        <v>65</v>
      </c>
      <c r="I1210" s="438" t="s">
        <v>38</v>
      </c>
      <c r="J1210" s="439">
        <v>14036.0</v>
      </c>
      <c r="K1210" s="440" t="s">
        <v>18148</v>
      </c>
    </row>
    <row r="1211">
      <c r="A1211" s="441">
        <v>45931.47222222222</v>
      </c>
      <c r="B1211" s="442" t="s">
        <v>21707</v>
      </c>
      <c r="C1211" s="442" t="s">
        <v>147</v>
      </c>
      <c r="D1211" s="442" t="s">
        <v>85</v>
      </c>
      <c r="E1211" s="442" t="s">
        <v>21708</v>
      </c>
      <c r="F1211" s="442" t="s">
        <v>48</v>
      </c>
      <c r="G1211" s="442" t="s">
        <v>35</v>
      </c>
      <c r="H1211" s="442" t="s">
        <v>65</v>
      </c>
      <c r="I1211" s="442" t="s">
        <v>38</v>
      </c>
      <c r="J1211" s="443">
        <v>14036.0</v>
      </c>
      <c r="K1211" s="444" t="s">
        <v>18148</v>
      </c>
    </row>
    <row r="1212">
      <c r="A1212" s="437">
        <v>45931.47224537037</v>
      </c>
      <c r="B1212" s="438" t="s">
        <v>21736</v>
      </c>
      <c r="C1212" s="438" t="s">
        <v>89</v>
      </c>
      <c r="D1212" s="438" t="s">
        <v>85</v>
      </c>
      <c r="E1212" s="438" t="s">
        <v>21737</v>
      </c>
      <c r="F1212" s="438" t="s">
        <v>48</v>
      </c>
      <c r="G1212" s="438" t="s">
        <v>35</v>
      </c>
      <c r="H1212" s="438" t="s">
        <v>65</v>
      </c>
      <c r="I1212" s="438" t="s">
        <v>38</v>
      </c>
      <c r="J1212" s="439">
        <v>-14207.0</v>
      </c>
      <c r="K1212" s="440" t="s">
        <v>18148</v>
      </c>
    </row>
    <row r="1213">
      <c r="A1213" s="441">
        <v>45931.472291666665</v>
      </c>
      <c r="B1213" s="442" t="s">
        <v>21745</v>
      </c>
      <c r="C1213" s="442" t="s">
        <v>89</v>
      </c>
      <c r="D1213" s="442" t="s">
        <v>85</v>
      </c>
      <c r="E1213" s="442" t="s">
        <v>21746</v>
      </c>
      <c r="F1213" s="442" t="s">
        <v>48</v>
      </c>
      <c r="G1213" s="442" t="s">
        <v>35</v>
      </c>
      <c r="H1213" s="442" t="s">
        <v>65</v>
      </c>
      <c r="I1213" s="442" t="s">
        <v>38</v>
      </c>
      <c r="J1213" s="443">
        <v>-14207.0</v>
      </c>
      <c r="K1213" s="444" t="s">
        <v>18148</v>
      </c>
    </row>
    <row r="1214">
      <c r="A1214" s="437">
        <v>45931.47232638889</v>
      </c>
      <c r="B1214" s="438" t="s">
        <v>21741</v>
      </c>
      <c r="C1214" s="438" t="s">
        <v>89</v>
      </c>
      <c r="D1214" s="438" t="s">
        <v>85</v>
      </c>
      <c r="E1214" s="438" t="s">
        <v>21742</v>
      </c>
      <c r="F1214" s="438" t="s">
        <v>48</v>
      </c>
      <c r="G1214" s="438" t="s">
        <v>35</v>
      </c>
      <c r="H1214" s="438" t="s">
        <v>65</v>
      </c>
      <c r="I1214" s="438" t="s">
        <v>38</v>
      </c>
      <c r="J1214" s="439">
        <v>-14207.0</v>
      </c>
      <c r="K1214" s="440" t="s">
        <v>18148</v>
      </c>
    </row>
    <row r="1215">
      <c r="A1215" s="441">
        <v>45931.472349537034</v>
      </c>
      <c r="B1215" s="442">
        <v>18668.0</v>
      </c>
      <c r="C1215" s="442" t="s">
        <v>17465</v>
      </c>
      <c r="D1215" s="442" t="s">
        <v>112</v>
      </c>
      <c r="E1215" s="442" t="s">
        <v>21752</v>
      </c>
      <c r="F1215" s="442" t="s">
        <v>48</v>
      </c>
      <c r="G1215" s="442" t="s">
        <v>35</v>
      </c>
      <c r="H1215" s="442" t="s">
        <v>65</v>
      </c>
      <c r="I1215" s="442" t="s">
        <v>38</v>
      </c>
      <c r="J1215" s="443">
        <v>14037.0</v>
      </c>
      <c r="K1215" s="444" t="s">
        <v>18148</v>
      </c>
    </row>
    <row r="1216">
      <c r="A1216" s="437">
        <v>45931.472395833334</v>
      </c>
      <c r="B1216" s="438" t="s">
        <v>21781</v>
      </c>
      <c r="C1216" s="438" t="s">
        <v>746</v>
      </c>
      <c r="D1216" s="438" t="s">
        <v>91</v>
      </c>
      <c r="E1216" s="438" t="s">
        <v>21782</v>
      </c>
      <c r="F1216" s="438" t="s">
        <v>48</v>
      </c>
      <c r="G1216" s="438" t="s">
        <v>35</v>
      </c>
      <c r="H1216" s="438" t="s">
        <v>65</v>
      </c>
      <c r="I1216" s="438" t="s">
        <v>38</v>
      </c>
      <c r="J1216" s="439">
        <v>14038.0</v>
      </c>
      <c r="K1216" s="440" t="s">
        <v>18148</v>
      </c>
    </row>
    <row r="1217">
      <c r="A1217" s="441">
        <v>45931.47246527778</v>
      </c>
      <c r="B1217" s="442" t="s">
        <v>21785</v>
      </c>
      <c r="C1217" s="442" t="s">
        <v>746</v>
      </c>
      <c r="D1217" s="442" t="s">
        <v>91</v>
      </c>
      <c r="E1217" s="442" t="s">
        <v>21786</v>
      </c>
      <c r="F1217" s="442" t="s">
        <v>48</v>
      </c>
      <c r="G1217" s="442" t="s">
        <v>35</v>
      </c>
      <c r="H1217" s="442" t="s">
        <v>65</v>
      </c>
      <c r="I1217" s="442" t="s">
        <v>38</v>
      </c>
      <c r="J1217" s="443">
        <v>14038.0</v>
      </c>
      <c r="K1217" s="444" t="s">
        <v>18148</v>
      </c>
    </row>
    <row r="1218">
      <c r="A1218" s="437">
        <v>45931.47299768519</v>
      </c>
      <c r="B1218" s="438">
        <v>18566.0</v>
      </c>
      <c r="C1218" s="438" t="s">
        <v>8666</v>
      </c>
      <c r="D1218" s="438" t="s">
        <v>85</v>
      </c>
      <c r="E1218" s="438" t="s">
        <v>21218</v>
      </c>
      <c r="F1218" s="438" t="s">
        <v>48</v>
      </c>
      <c r="G1218" s="438" t="s">
        <v>35</v>
      </c>
      <c r="H1218" s="438" t="s">
        <v>49</v>
      </c>
      <c r="I1218" s="438" t="s">
        <v>38</v>
      </c>
      <c r="J1218" s="439">
        <v>14029.0</v>
      </c>
      <c r="K1218" s="440" t="s">
        <v>18148</v>
      </c>
    </row>
    <row r="1219">
      <c r="A1219" s="441">
        <v>45931.473032407404</v>
      </c>
      <c r="B1219" s="442" t="s">
        <v>24939</v>
      </c>
      <c r="C1219" s="442" t="s">
        <v>4941</v>
      </c>
      <c r="D1219" s="442" t="s">
        <v>85</v>
      </c>
      <c r="E1219" s="442" t="s">
        <v>21904</v>
      </c>
      <c r="F1219" s="442" t="s">
        <v>48</v>
      </c>
      <c r="G1219" s="442" t="s">
        <v>35</v>
      </c>
      <c r="H1219" s="442" t="s">
        <v>49</v>
      </c>
      <c r="I1219" s="442" t="s">
        <v>38</v>
      </c>
      <c r="J1219" s="443">
        <v>14030.0</v>
      </c>
      <c r="K1219" s="444" t="s">
        <v>18148</v>
      </c>
    </row>
    <row r="1220">
      <c r="A1220" s="437">
        <v>45931.47309027778</v>
      </c>
      <c r="B1220" s="438" t="s">
        <v>24940</v>
      </c>
      <c r="C1220" s="438" t="s">
        <v>4941</v>
      </c>
      <c r="D1220" s="438" t="s">
        <v>85</v>
      </c>
      <c r="E1220" s="438" t="s">
        <v>21900</v>
      </c>
      <c r="F1220" s="438" t="s">
        <v>48</v>
      </c>
      <c r="G1220" s="438" t="s">
        <v>35</v>
      </c>
      <c r="H1220" s="438" t="s">
        <v>49</v>
      </c>
      <c r="I1220" s="438" t="s">
        <v>38</v>
      </c>
      <c r="J1220" s="439">
        <v>14030.0</v>
      </c>
      <c r="K1220" s="440" t="s">
        <v>18148</v>
      </c>
    </row>
    <row r="1221">
      <c r="A1221" s="441">
        <v>45931.47313657407</v>
      </c>
      <c r="B1221" s="442" t="s">
        <v>24941</v>
      </c>
      <c r="C1221" s="442" t="s">
        <v>4941</v>
      </c>
      <c r="D1221" s="442" t="s">
        <v>91</v>
      </c>
      <c r="E1221" s="442" t="s">
        <v>22054</v>
      </c>
      <c r="F1221" s="442" t="s">
        <v>48</v>
      </c>
      <c r="G1221" s="442" t="s">
        <v>35</v>
      </c>
      <c r="H1221" s="442" t="s">
        <v>49</v>
      </c>
      <c r="I1221" s="442" t="s">
        <v>38</v>
      </c>
      <c r="J1221" s="443">
        <v>14030.0</v>
      </c>
      <c r="K1221" s="444" t="s">
        <v>18148</v>
      </c>
    </row>
    <row r="1222">
      <c r="A1222" s="437">
        <v>45931.47318287037</v>
      </c>
      <c r="B1222" s="438" t="s">
        <v>24942</v>
      </c>
      <c r="C1222" s="438" t="s">
        <v>4941</v>
      </c>
      <c r="D1222" s="438" t="s">
        <v>85</v>
      </c>
      <c r="E1222" s="438" t="s">
        <v>21895</v>
      </c>
      <c r="F1222" s="438" t="s">
        <v>48</v>
      </c>
      <c r="G1222" s="438" t="s">
        <v>35</v>
      </c>
      <c r="H1222" s="438" t="s">
        <v>49</v>
      </c>
      <c r="I1222" s="438" t="s">
        <v>38</v>
      </c>
      <c r="J1222" s="439">
        <v>14030.0</v>
      </c>
      <c r="K1222" s="440" t="s">
        <v>18148</v>
      </c>
    </row>
    <row r="1223">
      <c r="A1223" s="441">
        <v>45931.47357638889</v>
      </c>
      <c r="B1223" s="442">
        <v>18645.0</v>
      </c>
      <c r="C1223" s="442" t="s">
        <v>18643</v>
      </c>
      <c r="D1223" s="442" t="s">
        <v>91</v>
      </c>
      <c r="E1223" s="442" t="s">
        <v>21654</v>
      </c>
      <c r="F1223" s="442" t="s">
        <v>48</v>
      </c>
      <c r="G1223" s="442" t="s">
        <v>35</v>
      </c>
      <c r="H1223" s="442" t="s">
        <v>18078</v>
      </c>
      <c r="I1223" s="442" t="s">
        <v>38</v>
      </c>
      <c r="J1223" s="443">
        <v>14031.0</v>
      </c>
      <c r="K1223" s="444" t="s">
        <v>18148</v>
      </c>
    </row>
    <row r="1224">
      <c r="A1224" s="437">
        <v>45931.473703703705</v>
      </c>
      <c r="B1224" s="438" t="s">
        <v>21818</v>
      </c>
      <c r="C1224" s="438" t="s">
        <v>7868</v>
      </c>
      <c r="D1224" s="438" t="s">
        <v>85</v>
      </c>
      <c r="E1224" s="438" t="s">
        <v>21819</v>
      </c>
      <c r="F1224" s="438" t="s">
        <v>48</v>
      </c>
      <c r="G1224" s="438" t="s">
        <v>35</v>
      </c>
      <c r="H1224" s="438" t="s">
        <v>18078</v>
      </c>
      <c r="I1224" s="438" t="s">
        <v>38</v>
      </c>
      <c r="J1224" s="439">
        <v>14032.0</v>
      </c>
      <c r="K1224" s="440" t="s">
        <v>18148</v>
      </c>
    </row>
    <row r="1225">
      <c r="A1225" s="441">
        <v>45931.47385416667</v>
      </c>
      <c r="B1225" s="442" t="s">
        <v>21822</v>
      </c>
      <c r="C1225" s="442" t="s">
        <v>7868</v>
      </c>
      <c r="D1225" s="442" t="s">
        <v>85</v>
      </c>
      <c r="E1225" s="442" t="s">
        <v>21823</v>
      </c>
      <c r="F1225" s="442" t="s">
        <v>48</v>
      </c>
      <c r="G1225" s="442" t="s">
        <v>35</v>
      </c>
      <c r="H1225" s="442" t="s">
        <v>18078</v>
      </c>
      <c r="I1225" s="442" t="s">
        <v>38</v>
      </c>
      <c r="J1225" s="443">
        <v>14032.0</v>
      </c>
      <c r="K1225" s="444" t="s">
        <v>18148</v>
      </c>
    </row>
    <row r="1226">
      <c r="A1226" s="437">
        <v>45931.492997685185</v>
      </c>
      <c r="B1226" s="438">
        <v>18683.0</v>
      </c>
      <c r="C1226" s="438" t="s">
        <v>9909</v>
      </c>
      <c r="D1226" s="438" t="s">
        <v>91</v>
      </c>
      <c r="E1226" s="438" t="s">
        <v>21871</v>
      </c>
      <c r="F1226" s="438" t="s">
        <v>48</v>
      </c>
      <c r="G1226" s="438" t="s">
        <v>35</v>
      </c>
      <c r="H1226" s="438" t="s">
        <v>24890</v>
      </c>
      <c r="I1226" s="438" t="s">
        <v>38</v>
      </c>
      <c r="J1226" s="439">
        <v>14040.0</v>
      </c>
      <c r="K1226" s="440" t="s">
        <v>18148</v>
      </c>
    </row>
    <row r="1227">
      <c r="A1227" s="441">
        <v>45931.551516203705</v>
      </c>
      <c r="B1227" s="442" t="s">
        <v>21574</v>
      </c>
      <c r="C1227" s="442" t="s">
        <v>20651</v>
      </c>
      <c r="D1227" s="442" t="s">
        <v>85</v>
      </c>
      <c r="E1227" s="442" t="s">
        <v>21575</v>
      </c>
      <c r="F1227" s="442" t="s">
        <v>48</v>
      </c>
      <c r="G1227" s="442" t="s">
        <v>35</v>
      </c>
      <c r="H1227" s="442" t="s">
        <v>49</v>
      </c>
      <c r="I1227" s="442" t="s">
        <v>38</v>
      </c>
      <c r="J1227" s="443">
        <v>14034.0</v>
      </c>
      <c r="K1227" s="444" t="s">
        <v>18148</v>
      </c>
    </row>
    <row r="1228">
      <c r="A1228" s="437">
        <v>45931.551574074074</v>
      </c>
      <c r="B1228" s="438" t="s">
        <v>21570</v>
      </c>
      <c r="C1228" s="438" t="s">
        <v>20651</v>
      </c>
      <c r="D1228" s="438" t="s">
        <v>85</v>
      </c>
      <c r="E1228" s="438" t="s">
        <v>21571</v>
      </c>
      <c r="F1228" s="438" t="s">
        <v>48</v>
      </c>
      <c r="G1228" s="438" t="s">
        <v>35</v>
      </c>
      <c r="H1228" s="438" t="s">
        <v>49</v>
      </c>
      <c r="I1228" s="438" t="s">
        <v>38</v>
      </c>
      <c r="J1228" s="439">
        <v>14034.0</v>
      </c>
      <c r="K1228" s="440" t="s">
        <v>18148</v>
      </c>
    </row>
    <row r="1229">
      <c r="A1229" s="441">
        <v>45931.55180555556</v>
      </c>
      <c r="B1229" s="442" t="s">
        <v>21736</v>
      </c>
      <c r="C1229" s="442" t="s">
        <v>89</v>
      </c>
      <c r="D1229" s="442" t="s">
        <v>85</v>
      </c>
      <c r="E1229" s="442" t="s">
        <v>21737</v>
      </c>
      <c r="F1229" s="442" t="s">
        <v>48</v>
      </c>
      <c r="G1229" s="442" t="s">
        <v>35</v>
      </c>
      <c r="H1229" s="442" t="s">
        <v>65</v>
      </c>
      <c r="I1229" s="442" t="s">
        <v>38</v>
      </c>
      <c r="J1229" s="443">
        <v>14042.0</v>
      </c>
      <c r="K1229" s="444" t="s">
        <v>18148</v>
      </c>
    </row>
    <row r="1230">
      <c r="A1230" s="437">
        <v>45931.55185185185</v>
      </c>
      <c r="B1230" s="438" t="s">
        <v>21745</v>
      </c>
      <c r="C1230" s="438" t="s">
        <v>89</v>
      </c>
      <c r="D1230" s="438" t="s">
        <v>85</v>
      </c>
      <c r="E1230" s="438" t="s">
        <v>21746</v>
      </c>
      <c r="F1230" s="438" t="s">
        <v>48</v>
      </c>
      <c r="G1230" s="438" t="s">
        <v>35</v>
      </c>
      <c r="H1230" s="438" t="s">
        <v>65</v>
      </c>
      <c r="I1230" s="438" t="s">
        <v>38</v>
      </c>
      <c r="J1230" s="439">
        <v>14042.0</v>
      </c>
      <c r="K1230" s="440" t="s">
        <v>18148</v>
      </c>
    </row>
    <row r="1231">
      <c r="A1231" s="441">
        <v>45931.551886574074</v>
      </c>
      <c r="B1231" s="442" t="s">
        <v>21741</v>
      </c>
      <c r="C1231" s="442" t="s">
        <v>89</v>
      </c>
      <c r="D1231" s="442" t="s">
        <v>85</v>
      </c>
      <c r="E1231" s="442" t="s">
        <v>21742</v>
      </c>
      <c r="F1231" s="442" t="s">
        <v>48</v>
      </c>
      <c r="G1231" s="442" t="s">
        <v>35</v>
      </c>
      <c r="H1231" s="442" t="s">
        <v>65</v>
      </c>
      <c r="I1231" s="442" t="s">
        <v>38</v>
      </c>
      <c r="J1231" s="443">
        <v>14042.0</v>
      </c>
      <c r="K1231" s="444" t="s">
        <v>18148</v>
      </c>
    </row>
    <row r="1232">
      <c r="A1232" s="437">
        <v>45931.553877314815</v>
      </c>
      <c r="B1232" s="438" t="s">
        <v>21885</v>
      </c>
      <c r="C1232" s="438" t="s">
        <v>11116</v>
      </c>
      <c r="D1232" s="438" t="s">
        <v>85</v>
      </c>
      <c r="E1232" s="438" t="s">
        <v>21886</v>
      </c>
      <c r="F1232" s="438" t="s">
        <v>48</v>
      </c>
      <c r="G1232" s="438" t="s">
        <v>35</v>
      </c>
      <c r="H1232" s="438" t="s">
        <v>49</v>
      </c>
      <c r="I1232" s="438" t="s">
        <v>21399</v>
      </c>
      <c r="J1232" s="439">
        <v>14041.0</v>
      </c>
      <c r="K1232" s="440" t="s">
        <v>18148</v>
      </c>
    </row>
    <row r="1233">
      <c r="A1233" s="441">
        <v>45931.553935185184</v>
      </c>
      <c r="B1233" s="442" t="s">
        <v>21889</v>
      </c>
      <c r="C1233" s="442" t="s">
        <v>11116</v>
      </c>
      <c r="D1233" s="442" t="s">
        <v>91</v>
      </c>
      <c r="E1233" s="442" t="s">
        <v>21890</v>
      </c>
      <c r="F1233" s="442" t="s">
        <v>48</v>
      </c>
      <c r="G1233" s="442" t="s">
        <v>35</v>
      </c>
      <c r="H1233" s="442" t="s">
        <v>49</v>
      </c>
      <c r="I1233" s="442" t="s">
        <v>21399</v>
      </c>
      <c r="J1233" s="443">
        <v>14041.0</v>
      </c>
      <c r="K1233" s="444" t="s">
        <v>18148</v>
      </c>
    </row>
    <row r="1234">
      <c r="A1234" s="437">
        <v>45931.57765046296</v>
      </c>
      <c r="B1234" s="438">
        <v>18687.0</v>
      </c>
      <c r="C1234" s="438" t="s">
        <v>21879</v>
      </c>
      <c r="D1234" s="438" t="s">
        <v>112</v>
      </c>
      <c r="E1234" s="438" t="s">
        <v>21880</v>
      </c>
      <c r="F1234" s="438" t="s">
        <v>48</v>
      </c>
      <c r="G1234" s="438" t="s">
        <v>35</v>
      </c>
      <c r="H1234" s="438" t="s">
        <v>49</v>
      </c>
      <c r="I1234" s="438" t="s">
        <v>21881</v>
      </c>
      <c r="J1234" s="439">
        <v>14046.0</v>
      </c>
      <c r="K1234" s="440" t="s">
        <v>18148</v>
      </c>
    </row>
    <row r="1235">
      <c r="A1235" s="441">
        <v>45931.57886574074</v>
      </c>
      <c r="B1235" s="442">
        <v>18691.0</v>
      </c>
      <c r="C1235" s="442" t="s">
        <v>16822</v>
      </c>
      <c r="D1235" s="442" t="s">
        <v>47</v>
      </c>
      <c r="E1235" s="442" t="s">
        <v>21921</v>
      </c>
      <c r="F1235" s="442" t="s">
        <v>48</v>
      </c>
      <c r="G1235" s="442" t="s">
        <v>35</v>
      </c>
      <c r="H1235" s="442" t="s">
        <v>49</v>
      </c>
      <c r="I1235" s="442" t="s">
        <v>38</v>
      </c>
      <c r="J1235" s="443">
        <v>14047.0</v>
      </c>
      <c r="K1235" s="444" t="s">
        <v>18148</v>
      </c>
    </row>
    <row r="1236">
      <c r="A1236" s="437">
        <v>45931.582349537035</v>
      </c>
      <c r="B1236" s="438" t="s">
        <v>21756</v>
      </c>
      <c r="C1236" s="438" t="s">
        <v>4885</v>
      </c>
      <c r="D1236" s="438" t="s">
        <v>4430</v>
      </c>
      <c r="E1236" s="438" t="s">
        <v>21757</v>
      </c>
      <c r="F1236" s="438" t="s">
        <v>48</v>
      </c>
      <c r="G1236" s="438" t="s">
        <v>35</v>
      </c>
      <c r="H1236" s="438" t="s">
        <v>92</v>
      </c>
      <c r="I1236" s="438" t="s">
        <v>38</v>
      </c>
      <c r="J1236" s="439">
        <v>14039.0</v>
      </c>
      <c r="K1236" s="440" t="s">
        <v>18148</v>
      </c>
    </row>
    <row r="1237">
      <c r="A1237" s="441">
        <v>45931.582407407404</v>
      </c>
      <c r="B1237" s="442" t="s">
        <v>21765</v>
      </c>
      <c r="C1237" s="442" t="s">
        <v>4885</v>
      </c>
      <c r="D1237" s="442" t="s">
        <v>72</v>
      </c>
      <c r="E1237" s="442" t="s">
        <v>21766</v>
      </c>
      <c r="F1237" s="442" t="s">
        <v>48</v>
      </c>
      <c r="G1237" s="442" t="s">
        <v>35</v>
      </c>
      <c r="H1237" s="442" t="s">
        <v>92</v>
      </c>
      <c r="I1237" s="442" t="s">
        <v>38</v>
      </c>
      <c r="J1237" s="443">
        <v>14039.0</v>
      </c>
      <c r="K1237" s="444" t="s">
        <v>18148</v>
      </c>
    </row>
    <row r="1238">
      <c r="A1238" s="437">
        <v>45931.58247685185</v>
      </c>
      <c r="B1238" s="438" t="s">
        <v>21761</v>
      </c>
      <c r="C1238" s="438" t="s">
        <v>4885</v>
      </c>
      <c r="D1238" s="438" t="s">
        <v>4430</v>
      </c>
      <c r="E1238" s="438" t="s">
        <v>21762</v>
      </c>
      <c r="F1238" s="438" t="s">
        <v>48</v>
      </c>
      <c r="G1238" s="438" t="s">
        <v>35</v>
      </c>
      <c r="H1238" s="438" t="s">
        <v>92</v>
      </c>
      <c r="I1238" s="438" t="s">
        <v>38</v>
      </c>
      <c r="J1238" s="439">
        <v>14039.0</v>
      </c>
      <c r="K1238" s="440" t="s">
        <v>18148</v>
      </c>
    </row>
    <row r="1239">
      <c r="A1239" s="441">
        <v>45931.58253472222</v>
      </c>
      <c r="B1239" s="442" t="s">
        <v>21769</v>
      </c>
      <c r="C1239" s="442" t="s">
        <v>4885</v>
      </c>
      <c r="D1239" s="442" t="s">
        <v>91</v>
      </c>
      <c r="E1239" s="442" t="s">
        <v>21770</v>
      </c>
      <c r="F1239" s="442" t="s">
        <v>48</v>
      </c>
      <c r="G1239" s="442" t="s">
        <v>35</v>
      </c>
      <c r="H1239" s="442" t="s">
        <v>92</v>
      </c>
      <c r="I1239" s="442" t="s">
        <v>38</v>
      </c>
      <c r="J1239" s="443">
        <v>14039.0</v>
      </c>
      <c r="K1239" s="444" t="s">
        <v>18148</v>
      </c>
    </row>
    <row r="1240">
      <c r="A1240" s="437">
        <v>45931.58259259259</v>
      </c>
      <c r="B1240" s="438" t="s">
        <v>21773</v>
      </c>
      <c r="C1240" s="438" t="s">
        <v>4885</v>
      </c>
      <c r="D1240" s="438" t="s">
        <v>91</v>
      </c>
      <c r="E1240" s="438" t="s">
        <v>21774</v>
      </c>
      <c r="F1240" s="438" t="s">
        <v>48</v>
      </c>
      <c r="G1240" s="438" t="s">
        <v>35</v>
      </c>
      <c r="H1240" s="438" t="s">
        <v>92</v>
      </c>
      <c r="I1240" s="438" t="s">
        <v>38</v>
      </c>
      <c r="J1240" s="439">
        <v>14039.0</v>
      </c>
      <c r="K1240" s="440" t="s">
        <v>18148</v>
      </c>
    </row>
    <row r="1241">
      <c r="A1241" s="441">
        <v>45931.58261574074</v>
      </c>
      <c r="B1241" s="442" t="s">
        <v>21777</v>
      </c>
      <c r="C1241" s="442" t="s">
        <v>4885</v>
      </c>
      <c r="D1241" s="442" t="s">
        <v>91</v>
      </c>
      <c r="E1241" s="442" t="s">
        <v>21778</v>
      </c>
      <c r="F1241" s="442" t="s">
        <v>48</v>
      </c>
      <c r="G1241" s="442" t="s">
        <v>35</v>
      </c>
      <c r="H1241" s="442" t="s">
        <v>92</v>
      </c>
      <c r="I1241" s="442" t="s">
        <v>38</v>
      </c>
      <c r="J1241" s="443">
        <v>14039.0</v>
      </c>
      <c r="K1241" s="444" t="s">
        <v>18148</v>
      </c>
    </row>
    <row r="1242">
      <c r="A1242" s="437">
        <v>45931.582662037035</v>
      </c>
      <c r="B1242" s="438" t="s">
        <v>21846</v>
      </c>
      <c r="C1242" s="438" t="s">
        <v>3289</v>
      </c>
      <c r="D1242" s="438" t="s">
        <v>85</v>
      </c>
      <c r="E1242" s="438" t="s">
        <v>21847</v>
      </c>
      <c r="F1242" s="438" t="s">
        <v>48</v>
      </c>
      <c r="G1242" s="438" t="s">
        <v>35</v>
      </c>
      <c r="H1242" s="438" t="s">
        <v>92</v>
      </c>
      <c r="I1242" s="438" t="s">
        <v>38</v>
      </c>
      <c r="J1242" s="439">
        <v>14043.0</v>
      </c>
      <c r="K1242" s="440" t="s">
        <v>18148</v>
      </c>
    </row>
    <row r="1243">
      <c r="A1243" s="441">
        <v>45931.58399305555</v>
      </c>
      <c r="B1243" s="442" t="s">
        <v>21841</v>
      </c>
      <c r="C1243" s="442" t="s">
        <v>3289</v>
      </c>
      <c r="D1243" s="442" t="s">
        <v>85</v>
      </c>
      <c r="E1243" s="442" t="s">
        <v>21842</v>
      </c>
      <c r="F1243" s="442" t="s">
        <v>48</v>
      </c>
      <c r="G1243" s="442" t="s">
        <v>35</v>
      </c>
      <c r="H1243" s="442" t="s">
        <v>92</v>
      </c>
      <c r="I1243" s="442" t="s">
        <v>38</v>
      </c>
      <c r="J1243" s="443">
        <v>14043.0</v>
      </c>
      <c r="K1243" s="444" t="s">
        <v>18148</v>
      </c>
    </row>
    <row r="1244">
      <c r="A1244" s="437">
        <v>45931.58403935185</v>
      </c>
      <c r="B1244" s="438" t="s">
        <v>21850</v>
      </c>
      <c r="C1244" s="438" t="s">
        <v>3289</v>
      </c>
      <c r="D1244" s="438" t="s">
        <v>85</v>
      </c>
      <c r="E1244" s="438" t="s">
        <v>21851</v>
      </c>
      <c r="F1244" s="438" t="s">
        <v>48</v>
      </c>
      <c r="G1244" s="438" t="s">
        <v>35</v>
      </c>
      <c r="H1244" s="438" t="s">
        <v>92</v>
      </c>
      <c r="I1244" s="438" t="s">
        <v>38</v>
      </c>
      <c r="J1244" s="439">
        <v>14043.0</v>
      </c>
      <c r="K1244" s="440" t="s">
        <v>18148</v>
      </c>
    </row>
    <row r="1245">
      <c r="A1245" s="441">
        <v>45931.584178240744</v>
      </c>
      <c r="B1245" s="442">
        <v>18679.0</v>
      </c>
      <c r="C1245" s="442" t="s">
        <v>3289</v>
      </c>
      <c r="D1245" s="442" t="s">
        <v>85</v>
      </c>
      <c r="E1245" s="442" t="s">
        <v>21863</v>
      </c>
      <c r="F1245" s="442" t="s">
        <v>48</v>
      </c>
      <c r="G1245" s="442" t="s">
        <v>35</v>
      </c>
      <c r="H1245" s="442" t="s">
        <v>92</v>
      </c>
      <c r="I1245" s="442" t="s">
        <v>38</v>
      </c>
      <c r="J1245" s="443">
        <v>14045.0</v>
      </c>
      <c r="K1245" s="444" t="s">
        <v>18148</v>
      </c>
    </row>
    <row r="1246">
      <c r="A1246" s="437">
        <v>45931.5893287037</v>
      </c>
      <c r="B1246" s="438" t="s">
        <v>20943</v>
      </c>
      <c r="C1246" s="438" t="s">
        <v>18643</v>
      </c>
      <c r="D1246" s="438" t="s">
        <v>20945</v>
      </c>
      <c r="E1246" s="438" t="s">
        <v>20944</v>
      </c>
      <c r="F1246" s="438"/>
      <c r="G1246" s="438" t="s">
        <v>35</v>
      </c>
      <c r="H1246" s="438" t="s">
        <v>8585</v>
      </c>
      <c r="I1246" s="438" t="s">
        <v>38</v>
      </c>
      <c r="J1246" s="439">
        <v>14048.0</v>
      </c>
      <c r="K1246" s="440" t="s">
        <v>18148</v>
      </c>
    </row>
    <row r="1247">
      <c r="A1247" s="441">
        <v>45931.589421296296</v>
      </c>
      <c r="B1247" s="442" t="s">
        <v>20943</v>
      </c>
      <c r="C1247" s="442" t="s">
        <v>18643</v>
      </c>
      <c r="D1247" s="442" t="s">
        <v>20945</v>
      </c>
      <c r="E1247" s="442" t="s">
        <v>20944</v>
      </c>
      <c r="F1247" s="442"/>
      <c r="G1247" s="442" t="s">
        <v>35</v>
      </c>
      <c r="H1247" s="442" t="s">
        <v>8585</v>
      </c>
      <c r="I1247" s="442" t="s">
        <v>38</v>
      </c>
      <c r="J1247" s="443">
        <v>14048.0</v>
      </c>
      <c r="K1247" s="444" t="s">
        <v>18148</v>
      </c>
    </row>
    <row r="1248">
      <c r="A1248" s="437">
        <v>45931.622025462966</v>
      </c>
      <c r="B1248" s="438">
        <v>18643.0</v>
      </c>
      <c r="C1248" s="438" t="s">
        <v>19608</v>
      </c>
      <c r="D1248" s="438" t="s">
        <v>85</v>
      </c>
      <c r="E1248" s="438" t="s">
        <v>21644</v>
      </c>
      <c r="F1248" s="438" t="s">
        <v>48</v>
      </c>
      <c r="G1248" s="438" t="s">
        <v>35</v>
      </c>
      <c r="H1248" s="438" t="s">
        <v>49</v>
      </c>
      <c r="I1248" s="438" t="s">
        <v>38</v>
      </c>
      <c r="J1248" s="439"/>
      <c r="K1248" s="440" t="s">
        <v>18148</v>
      </c>
    </row>
    <row r="1249">
      <c r="A1249" s="441">
        <v>45931.623240740744</v>
      </c>
      <c r="B1249" s="442">
        <v>18643.0</v>
      </c>
      <c r="C1249" s="442" t="s">
        <v>19608</v>
      </c>
      <c r="D1249" s="442" t="s">
        <v>85</v>
      </c>
      <c r="E1249" s="442" t="s">
        <v>21644</v>
      </c>
      <c r="F1249" s="442" t="s">
        <v>48</v>
      </c>
      <c r="G1249" s="442" t="s">
        <v>35</v>
      </c>
      <c r="H1249" s="442" t="s">
        <v>49</v>
      </c>
      <c r="I1249" s="442" t="s">
        <v>38</v>
      </c>
      <c r="J1249" s="443"/>
      <c r="K1249" s="444" t="s">
        <v>18148</v>
      </c>
    </row>
    <row r="1250">
      <c r="A1250" s="437">
        <v>45931.62368055555</v>
      </c>
      <c r="B1250" s="438">
        <v>18643.0</v>
      </c>
      <c r="C1250" s="438" t="s">
        <v>19608</v>
      </c>
      <c r="D1250" s="438" t="s">
        <v>85</v>
      </c>
      <c r="E1250" s="438" t="s">
        <v>21644</v>
      </c>
      <c r="F1250" s="438" t="s">
        <v>48</v>
      </c>
      <c r="G1250" s="438" t="s">
        <v>35</v>
      </c>
      <c r="H1250" s="438" t="s">
        <v>49</v>
      </c>
      <c r="I1250" s="438" t="s">
        <v>38</v>
      </c>
      <c r="J1250" s="439"/>
      <c r="K1250" s="440" t="s">
        <v>18148</v>
      </c>
    </row>
    <row r="1251">
      <c r="A1251" s="441">
        <v>45931.62417824074</v>
      </c>
      <c r="B1251" s="442">
        <v>18643.0</v>
      </c>
      <c r="C1251" s="442" t="s">
        <v>19608</v>
      </c>
      <c r="D1251" s="442" t="s">
        <v>85</v>
      </c>
      <c r="E1251" s="442" t="s">
        <v>21644</v>
      </c>
      <c r="F1251" s="442" t="s">
        <v>48</v>
      </c>
      <c r="G1251" s="442" t="s">
        <v>35</v>
      </c>
      <c r="H1251" s="442" t="s">
        <v>49</v>
      </c>
      <c r="I1251" s="442" t="s">
        <v>38</v>
      </c>
      <c r="J1251" s="443">
        <v>14050.0</v>
      </c>
      <c r="K1251" s="444" t="s">
        <v>18148</v>
      </c>
    </row>
    <row r="1252">
      <c r="A1252" s="437">
        <v>45931.6290625</v>
      </c>
      <c r="B1252" s="438">
        <v>18694.0</v>
      </c>
      <c r="C1252" s="438" t="s">
        <v>21948</v>
      </c>
      <c r="D1252" s="438" t="s">
        <v>85</v>
      </c>
      <c r="E1252" s="438" t="s">
        <v>21949</v>
      </c>
      <c r="F1252" s="438" t="s">
        <v>48</v>
      </c>
      <c r="G1252" s="438" t="s">
        <v>35</v>
      </c>
      <c r="H1252" s="438" t="s">
        <v>49</v>
      </c>
      <c r="I1252" s="438" t="s">
        <v>21950</v>
      </c>
      <c r="J1252" s="439">
        <v>14051.0</v>
      </c>
      <c r="K1252" s="440" t="s">
        <v>18148</v>
      </c>
    </row>
    <row r="1253">
      <c r="A1253" s="441">
        <v>45931.62924768519</v>
      </c>
      <c r="B1253" s="442" t="s">
        <v>21894</v>
      </c>
      <c r="C1253" s="442" t="s">
        <v>4941</v>
      </c>
      <c r="D1253" s="442" t="s">
        <v>85</v>
      </c>
      <c r="E1253" s="442" t="s">
        <v>21895</v>
      </c>
      <c r="F1253" s="442" t="s">
        <v>48</v>
      </c>
      <c r="G1253" s="442" t="s">
        <v>35</v>
      </c>
      <c r="H1253" s="442" t="s">
        <v>92</v>
      </c>
      <c r="I1253" s="442" t="s">
        <v>38</v>
      </c>
      <c r="J1253" s="443">
        <v>14049.0</v>
      </c>
      <c r="K1253" s="444" t="s">
        <v>18148</v>
      </c>
    </row>
    <row r="1254">
      <c r="A1254" s="437">
        <v>45931.62931712963</v>
      </c>
      <c r="B1254" s="438" t="s">
        <v>21899</v>
      </c>
      <c r="C1254" s="438" t="s">
        <v>4941</v>
      </c>
      <c r="D1254" s="438" t="s">
        <v>85</v>
      </c>
      <c r="E1254" s="438" t="s">
        <v>21900</v>
      </c>
      <c r="F1254" s="438" t="s">
        <v>48</v>
      </c>
      <c r="G1254" s="438" t="s">
        <v>35</v>
      </c>
      <c r="H1254" s="438" t="s">
        <v>92</v>
      </c>
      <c r="I1254" s="438" t="s">
        <v>38</v>
      </c>
      <c r="J1254" s="439">
        <v>14049.0</v>
      </c>
      <c r="K1254" s="440" t="s">
        <v>18148</v>
      </c>
    </row>
    <row r="1255">
      <c r="A1255" s="441">
        <v>45931.62935185185</v>
      </c>
      <c r="B1255" s="442" t="s">
        <v>21903</v>
      </c>
      <c r="C1255" s="442" t="s">
        <v>4941</v>
      </c>
      <c r="D1255" s="442" t="s">
        <v>85</v>
      </c>
      <c r="E1255" s="442" t="s">
        <v>21904</v>
      </c>
      <c r="F1255" s="442" t="s">
        <v>48</v>
      </c>
      <c r="G1255" s="442" t="s">
        <v>35</v>
      </c>
      <c r="H1255" s="442" t="s">
        <v>92</v>
      </c>
      <c r="I1255" s="442" t="s">
        <v>38</v>
      </c>
      <c r="J1255" s="443">
        <v>14049.0</v>
      </c>
      <c r="K1255" s="444" t="s">
        <v>18148</v>
      </c>
    </row>
    <row r="1256">
      <c r="A1256" s="437">
        <v>45932.44347222222</v>
      </c>
      <c r="B1256" s="438">
        <v>18683.0</v>
      </c>
      <c r="C1256" s="438" t="s">
        <v>9909</v>
      </c>
      <c r="D1256" s="438" t="s">
        <v>91</v>
      </c>
      <c r="E1256" s="438" t="s">
        <v>21871</v>
      </c>
      <c r="F1256" s="438" t="s">
        <v>48</v>
      </c>
      <c r="G1256" s="438" t="s">
        <v>35</v>
      </c>
      <c r="H1256" s="438" t="s">
        <v>65</v>
      </c>
      <c r="I1256" s="438" t="s">
        <v>38</v>
      </c>
      <c r="J1256" s="439">
        <v>14040.0</v>
      </c>
      <c r="K1256" s="440" t="s">
        <v>18148</v>
      </c>
    </row>
    <row r="1257">
      <c r="A1257" s="441">
        <v>45932.443506944444</v>
      </c>
      <c r="B1257" s="442" t="s">
        <v>21916</v>
      </c>
      <c r="C1257" s="442" t="s">
        <v>18904</v>
      </c>
      <c r="D1257" s="442" t="s">
        <v>85</v>
      </c>
      <c r="E1257" s="442" t="s">
        <v>21917</v>
      </c>
      <c r="F1257" s="442" t="s">
        <v>48</v>
      </c>
      <c r="G1257" s="442" t="s">
        <v>35</v>
      </c>
      <c r="H1257" s="442" t="s">
        <v>65</v>
      </c>
      <c r="I1257" s="442" t="s">
        <v>38</v>
      </c>
      <c r="J1257" s="443">
        <v>14053.0</v>
      </c>
      <c r="K1257" s="444" t="s">
        <v>18148</v>
      </c>
    </row>
    <row r="1258">
      <c r="A1258" s="437">
        <v>45932.44351851852</v>
      </c>
      <c r="B1258" s="438" t="s">
        <v>21907</v>
      </c>
      <c r="C1258" s="438" t="s">
        <v>18904</v>
      </c>
      <c r="D1258" s="438" t="s">
        <v>85</v>
      </c>
      <c r="E1258" s="438" t="s">
        <v>21908</v>
      </c>
      <c r="F1258" s="438" t="s">
        <v>48</v>
      </c>
      <c r="G1258" s="438" t="s">
        <v>35</v>
      </c>
      <c r="H1258" s="438" t="s">
        <v>65</v>
      </c>
      <c r="I1258" s="438" t="s">
        <v>38</v>
      </c>
      <c r="J1258" s="439">
        <v>14053.0</v>
      </c>
      <c r="K1258" s="440" t="s">
        <v>18148</v>
      </c>
    </row>
    <row r="1259">
      <c r="A1259" s="441">
        <v>45932.44359953704</v>
      </c>
      <c r="B1259" s="442" t="s">
        <v>21912</v>
      </c>
      <c r="C1259" s="442" t="s">
        <v>18904</v>
      </c>
      <c r="D1259" s="442" t="s">
        <v>85</v>
      </c>
      <c r="E1259" s="442" t="s">
        <v>21913</v>
      </c>
      <c r="F1259" s="442" t="s">
        <v>48</v>
      </c>
      <c r="G1259" s="442" t="s">
        <v>35</v>
      </c>
      <c r="H1259" s="442" t="s">
        <v>65</v>
      </c>
      <c r="I1259" s="442" t="s">
        <v>38</v>
      </c>
      <c r="J1259" s="443">
        <v>14053.0</v>
      </c>
      <c r="K1259" s="444" t="s">
        <v>18148</v>
      </c>
    </row>
    <row r="1260">
      <c r="A1260" s="437">
        <v>45932.44361111111</v>
      </c>
      <c r="B1260" s="438">
        <v>18695.0</v>
      </c>
      <c r="C1260" s="438" t="s">
        <v>19230</v>
      </c>
      <c r="D1260" s="438" t="s">
        <v>85</v>
      </c>
      <c r="E1260" s="438" t="s">
        <v>21955</v>
      </c>
      <c r="F1260" s="438" t="s">
        <v>48</v>
      </c>
      <c r="G1260" s="438" t="s">
        <v>35</v>
      </c>
      <c r="H1260" s="438" t="s">
        <v>65</v>
      </c>
      <c r="I1260" s="438" t="s">
        <v>38</v>
      </c>
      <c r="J1260" s="439">
        <v>14054.0</v>
      </c>
      <c r="K1260" s="440" t="s">
        <v>18148</v>
      </c>
    </row>
    <row r="1261">
      <c r="A1261" s="441">
        <v>45932.44364583334</v>
      </c>
      <c r="B1261" s="442">
        <v>18705.0</v>
      </c>
      <c r="C1261" s="442" t="s">
        <v>3645</v>
      </c>
      <c r="D1261" s="442" t="s">
        <v>85</v>
      </c>
      <c r="E1261" s="442" t="s">
        <v>21999</v>
      </c>
      <c r="F1261" s="442" t="s">
        <v>48</v>
      </c>
      <c r="G1261" s="442" t="s">
        <v>35</v>
      </c>
      <c r="H1261" s="442" t="s">
        <v>49</v>
      </c>
      <c r="I1261" s="442" t="s">
        <v>38</v>
      </c>
      <c r="J1261" s="443">
        <v>14055.0</v>
      </c>
      <c r="K1261" s="444" t="s">
        <v>18148</v>
      </c>
    </row>
    <row r="1262">
      <c r="A1262" s="437">
        <v>45932.44366898148</v>
      </c>
      <c r="B1262" s="438" t="s">
        <v>22012</v>
      </c>
      <c r="C1262" s="438" t="s">
        <v>3645</v>
      </c>
      <c r="D1262" s="438" t="s">
        <v>47</v>
      </c>
      <c r="E1262" s="438" t="s">
        <v>22013</v>
      </c>
      <c r="F1262" s="438" t="s">
        <v>48</v>
      </c>
      <c r="G1262" s="438" t="s">
        <v>35</v>
      </c>
      <c r="H1262" s="438" t="s">
        <v>49</v>
      </c>
      <c r="I1262" s="438" t="s">
        <v>38</v>
      </c>
      <c r="J1262" s="439">
        <v>14056.0</v>
      </c>
      <c r="K1262" s="440" t="s">
        <v>18148</v>
      </c>
    </row>
    <row r="1263">
      <c r="A1263" s="441">
        <v>45932.443715277775</v>
      </c>
      <c r="B1263" s="442" t="s">
        <v>22008</v>
      </c>
      <c r="C1263" s="442" t="s">
        <v>3645</v>
      </c>
      <c r="D1263" s="442" t="s">
        <v>47</v>
      </c>
      <c r="E1263" s="442" t="s">
        <v>22009</v>
      </c>
      <c r="F1263" s="442" t="s">
        <v>48</v>
      </c>
      <c r="G1263" s="442" t="s">
        <v>35</v>
      </c>
      <c r="H1263" s="442" t="s">
        <v>49</v>
      </c>
      <c r="I1263" s="442" t="s">
        <v>38</v>
      </c>
      <c r="J1263" s="443">
        <v>14056.0</v>
      </c>
      <c r="K1263" s="444" t="s">
        <v>18148</v>
      </c>
    </row>
    <row r="1264">
      <c r="A1264" s="437">
        <v>45932.443761574075</v>
      </c>
      <c r="B1264" s="438" t="s">
        <v>22003</v>
      </c>
      <c r="C1264" s="438" t="s">
        <v>3645</v>
      </c>
      <c r="D1264" s="438" t="s">
        <v>47</v>
      </c>
      <c r="E1264" s="438" t="s">
        <v>22004</v>
      </c>
      <c r="F1264" s="438" t="s">
        <v>48</v>
      </c>
      <c r="G1264" s="438" t="s">
        <v>35</v>
      </c>
      <c r="H1264" s="438" t="s">
        <v>49</v>
      </c>
      <c r="I1264" s="438" t="s">
        <v>38</v>
      </c>
      <c r="J1264" s="439">
        <v>14056.0</v>
      </c>
      <c r="K1264" s="440" t="s">
        <v>18148</v>
      </c>
    </row>
    <row r="1265">
      <c r="A1265" s="441">
        <v>45932.4437962963</v>
      </c>
      <c r="B1265" s="442" t="s">
        <v>22020</v>
      </c>
      <c r="C1265" s="442" t="s">
        <v>3645</v>
      </c>
      <c r="D1265" s="442" t="s">
        <v>85</v>
      </c>
      <c r="E1265" s="442" t="s">
        <v>22021</v>
      </c>
      <c r="F1265" s="442" t="s">
        <v>48</v>
      </c>
      <c r="G1265" s="442" t="s">
        <v>35</v>
      </c>
      <c r="H1265" s="442" t="s">
        <v>49</v>
      </c>
      <c r="I1265" s="442" t="s">
        <v>38</v>
      </c>
      <c r="J1265" s="443">
        <v>14056.0</v>
      </c>
      <c r="K1265" s="444" t="s">
        <v>18148</v>
      </c>
    </row>
    <row r="1266">
      <c r="A1266" s="437">
        <v>45932.44383101852</v>
      </c>
      <c r="B1266" s="438" t="s">
        <v>22016</v>
      </c>
      <c r="C1266" s="438" t="s">
        <v>3645</v>
      </c>
      <c r="D1266" s="438" t="s">
        <v>85</v>
      </c>
      <c r="E1266" s="438" t="s">
        <v>22017</v>
      </c>
      <c r="F1266" s="438" t="s">
        <v>48</v>
      </c>
      <c r="G1266" s="438" t="s">
        <v>35</v>
      </c>
      <c r="H1266" s="438" t="s">
        <v>49</v>
      </c>
      <c r="I1266" s="438" t="s">
        <v>38</v>
      </c>
      <c r="J1266" s="439">
        <v>14056.0</v>
      </c>
      <c r="K1266" s="440" t="s">
        <v>18148</v>
      </c>
    </row>
    <row r="1267">
      <c r="A1267" s="441">
        <v>45932.48548611111</v>
      </c>
      <c r="B1267" s="442">
        <v>18711.0</v>
      </c>
      <c r="C1267" s="442" t="s">
        <v>2209</v>
      </c>
      <c r="D1267" s="442" t="s">
        <v>47</v>
      </c>
      <c r="E1267" s="442" t="s">
        <v>22034</v>
      </c>
      <c r="F1267" s="442" t="s">
        <v>48</v>
      </c>
      <c r="G1267" s="442" t="s">
        <v>35</v>
      </c>
      <c r="H1267" s="442" t="s">
        <v>420</v>
      </c>
      <c r="I1267" s="442" t="s">
        <v>38</v>
      </c>
      <c r="J1267" s="443">
        <v>14057.0</v>
      </c>
      <c r="K1267" s="444" t="s">
        <v>18148</v>
      </c>
    </row>
    <row r="1268">
      <c r="A1268" s="437">
        <v>45932.494722222225</v>
      </c>
      <c r="B1268" s="438">
        <v>18590.0</v>
      </c>
      <c r="C1268" s="438" t="s">
        <v>21364</v>
      </c>
      <c r="D1268" s="438" t="s">
        <v>713</v>
      </c>
      <c r="E1268" s="438">
        <v>20226.0</v>
      </c>
      <c r="F1268" s="438" t="s">
        <v>33</v>
      </c>
      <c r="G1268" s="438" t="s">
        <v>35</v>
      </c>
      <c r="H1268" s="438" t="s">
        <v>65</v>
      </c>
      <c r="I1268" s="438" t="s">
        <v>38</v>
      </c>
      <c r="J1268" s="439">
        <v>14058.0</v>
      </c>
      <c r="K1268" s="440" t="s">
        <v>18148</v>
      </c>
    </row>
    <row r="1269">
      <c r="A1269" s="441">
        <v>45932.497037037036</v>
      </c>
      <c r="B1269" s="442">
        <v>18522.0</v>
      </c>
      <c r="C1269" s="442" t="s">
        <v>5346</v>
      </c>
      <c r="D1269" s="442" t="s">
        <v>85</v>
      </c>
      <c r="E1269" s="442" t="s">
        <v>20990</v>
      </c>
      <c r="F1269" s="442" t="s">
        <v>48</v>
      </c>
      <c r="G1269" s="442" t="s">
        <v>35</v>
      </c>
      <c r="H1269" s="442" t="s">
        <v>49</v>
      </c>
      <c r="I1269" s="442" t="s">
        <v>38</v>
      </c>
      <c r="J1269" s="443">
        <v>14059.0</v>
      </c>
      <c r="K1269" s="444" t="s">
        <v>18148</v>
      </c>
    </row>
    <row r="1270">
      <c r="A1270" s="437">
        <v>45933.483148148145</v>
      </c>
      <c r="B1270" s="438" t="s">
        <v>21413</v>
      </c>
      <c r="C1270" s="438" t="s">
        <v>10563</v>
      </c>
      <c r="D1270" s="438" t="s">
        <v>14519</v>
      </c>
      <c r="E1270" s="438">
        <v>20182.0</v>
      </c>
      <c r="F1270" s="438" t="s">
        <v>48</v>
      </c>
      <c r="G1270" s="438" t="s">
        <v>35</v>
      </c>
      <c r="H1270" s="438" t="s">
        <v>49</v>
      </c>
      <c r="I1270" s="438" t="s">
        <v>38</v>
      </c>
      <c r="J1270" s="439">
        <v>14065.0</v>
      </c>
      <c r="K1270" s="440" t="s">
        <v>18148</v>
      </c>
    </row>
    <row r="1271">
      <c r="A1271" s="441">
        <v>45933.4831712963</v>
      </c>
      <c r="B1271" s="442">
        <v>18715.0</v>
      </c>
      <c r="C1271" s="442" t="s">
        <v>21409</v>
      </c>
      <c r="D1271" s="442" t="s">
        <v>91</v>
      </c>
      <c r="E1271" s="442" t="s">
        <v>22054</v>
      </c>
      <c r="F1271" s="442" t="s">
        <v>48</v>
      </c>
      <c r="G1271" s="442" t="s">
        <v>35</v>
      </c>
      <c r="H1271" s="442" t="s">
        <v>65</v>
      </c>
      <c r="I1271" s="442" t="s">
        <v>38</v>
      </c>
      <c r="J1271" s="443">
        <v>14069.0</v>
      </c>
      <c r="K1271" s="444" t="s">
        <v>18148</v>
      </c>
    </row>
    <row r="1272">
      <c r="A1272" s="437">
        <v>45933.483194444445</v>
      </c>
      <c r="B1272" s="438" t="s">
        <v>21417</v>
      </c>
      <c r="C1272" s="438" t="s">
        <v>10563</v>
      </c>
      <c r="D1272" s="438" t="s">
        <v>13781</v>
      </c>
      <c r="E1272" s="438">
        <v>20327.0</v>
      </c>
      <c r="F1272" s="438" t="s">
        <v>48</v>
      </c>
      <c r="G1272" s="438" t="s">
        <v>35</v>
      </c>
      <c r="H1272" s="438" t="s">
        <v>49</v>
      </c>
      <c r="I1272" s="438" t="s">
        <v>38</v>
      </c>
      <c r="J1272" s="439">
        <v>14065.0</v>
      </c>
      <c r="K1272" s="440" t="s">
        <v>18148</v>
      </c>
    </row>
    <row r="1273">
      <c r="A1273" s="441">
        <v>45933.48322916667</v>
      </c>
      <c r="B1273" s="442" t="s">
        <v>21596</v>
      </c>
      <c r="C1273" s="442" t="s">
        <v>451</v>
      </c>
      <c r="D1273" s="442" t="s">
        <v>453</v>
      </c>
      <c r="E1273" s="442">
        <v>20154.0</v>
      </c>
      <c r="F1273" s="442" t="s">
        <v>244</v>
      </c>
      <c r="G1273" s="442" t="s">
        <v>35</v>
      </c>
      <c r="H1273" s="442" t="s">
        <v>49</v>
      </c>
      <c r="I1273" s="442" t="s">
        <v>38</v>
      </c>
      <c r="J1273" s="443">
        <v>14064.0</v>
      </c>
      <c r="K1273" s="444" t="s">
        <v>18148</v>
      </c>
    </row>
    <row r="1274">
      <c r="A1274" s="437">
        <v>45933.48339120371</v>
      </c>
      <c r="B1274" s="438" t="s">
        <v>21605</v>
      </c>
      <c r="C1274" s="438" t="s">
        <v>451</v>
      </c>
      <c r="D1274" s="438" t="s">
        <v>532</v>
      </c>
      <c r="E1274" s="438">
        <v>20328.0</v>
      </c>
      <c r="F1274" s="438" t="s">
        <v>244</v>
      </c>
      <c r="G1274" s="438" t="s">
        <v>35</v>
      </c>
      <c r="H1274" s="438" t="s">
        <v>49</v>
      </c>
      <c r="I1274" s="438" t="s">
        <v>38</v>
      </c>
      <c r="J1274" s="439">
        <v>14064.0</v>
      </c>
      <c r="K1274" s="440" t="s">
        <v>18148</v>
      </c>
    </row>
    <row r="1275">
      <c r="A1275" s="441">
        <v>45933.48341435185</v>
      </c>
      <c r="B1275" s="442" t="s">
        <v>21601</v>
      </c>
      <c r="C1275" s="442" t="s">
        <v>451</v>
      </c>
      <c r="D1275" s="442" t="s">
        <v>453</v>
      </c>
      <c r="E1275" s="442">
        <v>20153.0</v>
      </c>
      <c r="F1275" s="442" t="s">
        <v>244</v>
      </c>
      <c r="G1275" s="442" t="s">
        <v>35</v>
      </c>
      <c r="H1275" s="442" t="s">
        <v>49</v>
      </c>
      <c r="I1275" s="442" t="s">
        <v>38</v>
      </c>
      <c r="J1275" s="443">
        <v>14064.0</v>
      </c>
      <c r="K1275" s="444" t="s">
        <v>18148</v>
      </c>
    </row>
    <row r="1276">
      <c r="A1276" s="437">
        <v>45933.483460648145</v>
      </c>
      <c r="B1276" s="438" t="s">
        <v>21609</v>
      </c>
      <c r="C1276" s="438" t="s">
        <v>451</v>
      </c>
      <c r="D1276" s="438" t="s">
        <v>91</v>
      </c>
      <c r="E1276" s="438" t="s">
        <v>21610</v>
      </c>
      <c r="F1276" s="438" t="s">
        <v>48</v>
      </c>
      <c r="G1276" s="438" t="s">
        <v>35</v>
      </c>
      <c r="H1276" s="438" t="s">
        <v>49</v>
      </c>
      <c r="I1276" s="438" t="s">
        <v>38</v>
      </c>
      <c r="J1276" s="439">
        <v>14064.0</v>
      </c>
      <c r="K1276" s="440" t="s">
        <v>18148</v>
      </c>
    </row>
    <row r="1277">
      <c r="A1277" s="441">
        <v>45933.48347222222</v>
      </c>
      <c r="B1277" s="442" t="s">
        <v>21613</v>
      </c>
      <c r="C1277" s="442" t="s">
        <v>451</v>
      </c>
      <c r="D1277" s="442" t="s">
        <v>91</v>
      </c>
      <c r="E1277" s="442" t="s">
        <v>21614</v>
      </c>
      <c r="F1277" s="442" t="s">
        <v>48</v>
      </c>
      <c r="G1277" s="442" t="s">
        <v>35</v>
      </c>
      <c r="H1277" s="442" t="s">
        <v>49</v>
      </c>
      <c r="I1277" s="442" t="s">
        <v>38</v>
      </c>
      <c r="J1277" s="443">
        <v>14064.0</v>
      </c>
      <c r="K1277" s="444" t="s">
        <v>18148</v>
      </c>
    </row>
    <row r="1278">
      <c r="A1278" s="437">
        <v>45933.483506944445</v>
      </c>
      <c r="B1278" s="438" t="s">
        <v>22049</v>
      </c>
      <c r="C1278" s="438" t="s">
        <v>3888</v>
      </c>
      <c r="D1278" s="438" t="s">
        <v>85</v>
      </c>
      <c r="E1278" s="438" t="s">
        <v>22050</v>
      </c>
      <c r="F1278" s="438" t="s">
        <v>48</v>
      </c>
      <c r="G1278" s="438" t="s">
        <v>35</v>
      </c>
      <c r="H1278" s="438" t="s">
        <v>49</v>
      </c>
      <c r="I1278" s="438" t="s">
        <v>22046</v>
      </c>
      <c r="J1278" s="439">
        <v>14066.0</v>
      </c>
      <c r="K1278" s="440" t="s">
        <v>18148</v>
      </c>
    </row>
    <row r="1279">
      <c r="A1279" s="441">
        <v>45933.483564814815</v>
      </c>
      <c r="B1279" s="442">
        <v>18720.0</v>
      </c>
      <c r="C1279" s="442" t="s">
        <v>14075</v>
      </c>
      <c r="D1279" s="442" t="s">
        <v>47</v>
      </c>
      <c r="E1279" s="442" t="s">
        <v>22068</v>
      </c>
      <c r="F1279" s="442" t="s">
        <v>48</v>
      </c>
      <c r="G1279" s="442" t="s">
        <v>35</v>
      </c>
      <c r="H1279" s="442" t="s">
        <v>49</v>
      </c>
      <c r="I1279" s="442" t="s">
        <v>38</v>
      </c>
      <c r="J1279" s="443">
        <v>14067.0</v>
      </c>
      <c r="K1279" s="444" t="s">
        <v>18148</v>
      </c>
    </row>
    <row r="1280">
      <c r="A1280" s="437">
        <v>45936.44483796296</v>
      </c>
      <c r="B1280" s="438">
        <v>18637.0</v>
      </c>
      <c r="C1280" s="438" t="s">
        <v>21020</v>
      </c>
      <c r="D1280" s="438" t="s">
        <v>731</v>
      </c>
      <c r="E1280" s="438">
        <v>20329.0</v>
      </c>
      <c r="F1280" s="438" t="s">
        <v>33</v>
      </c>
      <c r="G1280" s="438" t="s">
        <v>35</v>
      </c>
      <c r="H1280" s="438" t="s">
        <v>49</v>
      </c>
      <c r="I1280" s="438" t="s">
        <v>38</v>
      </c>
      <c r="J1280" s="439">
        <v>14074.0</v>
      </c>
      <c r="K1280" s="440" t="s">
        <v>18148</v>
      </c>
    </row>
    <row r="1281">
      <c r="A1281" s="441">
        <v>45936.479317129626</v>
      </c>
      <c r="B1281" s="442">
        <v>18724.0</v>
      </c>
      <c r="C1281" s="442" t="s">
        <v>17025</v>
      </c>
      <c r="D1281" s="442" t="s">
        <v>91</v>
      </c>
      <c r="E1281" s="442" t="s">
        <v>22077</v>
      </c>
      <c r="F1281" s="442" t="s">
        <v>48</v>
      </c>
      <c r="G1281" s="442" t="s">
        <v>35</v>
      </c>
      <c r="H1281" s="442" t="s">
        <v>49</v>
      </c>
      <c r="I1281" s="442" t="s">
        <v>38</v>
      </c>
      <c r="J1281" s="443">
        <v>14075.0</v>
      </c>
      <c r="K1281" s="444" t="s">
        <v>18148</v>
      </c>
    </row>
    <row r="1282">
      <c r="A1282" s="437">
        <v>45936.601481481484</v>
      </c>
      <c r="B1282" s="438" t="s">
        <v>22110</v>
      </c>
      <c r="C1282" s="438" t="s">
        <v>4352</v>
      </c>
      <c r="D1282" s="438" t="s">
        <v>112</v>
      </c>
      <c r="E1282" s="438" t="s">
        <v>22111</v>
      </c>
      <c r="F1282" s="438" t="s">
        <v>48</v>
      </c>
      <c r="G1282" s="438" t="s">
        <v>35</v>
      </c>
      <c r="H1282" s="438" t="s">
        <v>49</v>
      </c>
      <c r="I1282" s="438" t="s">
        <v>38</v>
      </c>
      <c r="J1282" s="439">
        <v>14076.0</v>
      </c>
      <c r="K1282" s="440" t="s">
        <v>18148</v>
      </c>
    </row>
    <row r="1283">
      <c r="A1283" s="441">
        <v>45936.6015162037</v>
      </c>
      <c r="B1283" s="442" t="s">
        <v>22115</v>
      </c>
      <c r="C1283" s="442" t="s">
        <v>4352</v>
      </c>
      <c r="D1283" s="442" t="s">
        <v>112</v>
      </c>
      <c r="E1283" s="442" t="s">
        <v>22116</v>
      </c>
      <c r="F1283" s="442" t="s">
        <v>48</v>
      </c>
      <c r="G1283" s="442" t="s">
        <v>35</v>
      </c>
      <c r="H1283" s="442" t="s">
        <v>49</v>
      </c>
      <c r="I1283" s="442" t="s">
        <v>38</v>
      </c>
      <c r="J1283" s="443">
        <v>14076.0</v>
      </c>
      <c r="K1283" s="444" t="s">
        <v>18148</v>
      </c>
    </row>
    <row r="1284">
      <c r="A1284" s="437">
        <v>45936.60152777778</v>
      </c>
      <c r="B1284" s="438">
        <v>18733.0</v>
      </c>
      <c r="C1284" s="438" t="s">
        <v>4352</v>
      </c>
      <c r="D1284" s="438" t="s">
        <v>112</v>
      </c>
      <c r="E1284" s="438" t="s">
        <v>22120</v>
      </c>
      <c r="F1284" s="438" t="s">
        <v>48</v>
      </c>
      <c r="G1284" s="438" t="s">
        <v>35</v>
      </c>
      <c r="H1284" s="438" t="s">
        <v>49</v>
      </c>
      <c r="I1284" s="438" t="s">
        <v>38</v>
      </c>
      <c r="J1284" s="439">
        <v>14077.0</v>
      </c>
      <c r="K1284" s="440" t="s">
        <v>18148</v>
      </c>
    </row>
    <row r="1285">
      <c r="A1285" s="441">
        <v>45936.60155092592</v>
      </c>
      <c r="B1285" s="442">
        <v>18724.0</v>
      </c>
      <c r="C1285" s="442" t="s">
        <v>17025</v>
      </c>
      <c r="D1285" s="442" t="s">
        <v>91</v>
      </c>
      <c r="E1285" s="442" t="s">
        <v>22077</v>
      </c>
      <c r="F1285" s="442" t="s">
        <v>48</v>
      </c>
      <c r="G1285" s="442" t="s">
        <v>35</v>
      </c>
      <c r="H1285" s="442" t="s">
        <v>49</v>
      </c>
      <c r="I1285" s="442" t="s">
        <v>38</v>
      </c>
      <c r="J1285" s="443">
        <v>14075.0</v>
      </c>
      <c r="K1285" s="444" t="s">
        <v>18148</v>
      </c>
    </row>
    <row r="1286">
      <c r="A1286" s="437">
        <v>45937.4540162037</v>
      </c>
      <c r="B1286" s="438">
        <v>18740.0</v>
      </c>
      <c r="C1286" s="438" t="s">
        <v>6393</v>
      </c>
      <c r="D1286" s="438" t="s">
        <v>91</v>
      </c>
      <c r="E1286" s="438" t="s">
        <v>22159</v>
      </c>
      <c r="F1286" s="438" t="s">
        <v>48</v>
      </c>
      <c r="G1286" s="438" t="s">
        <v>35</v>
      </c>
      <c r="H1286" s="438" t="s">
        <v>49</v>
      </c>
      <c r="I1286" s="438" t="s">
        <v>1506</v>
      </c>
      <c r="J1286" s="439">
        <v>14079.0</v>
      </c>
      <c r="K1286" s="440" t="s">
        <v>18148</v>
      </c>
    </row>
    <row r="1287">
      <c r="A1287" s="441">
        <v>45937.45402777778</v>
      </c>
      <c r="B1287" s="442">
        <v>18626.0</v>
      </c>
      <c r="C1287" s="442" t="s">
        <v>4450</v>
      </c>
      <c r="D1287" s="442" t="s">
        <v>13303</v>
      </c>
      <c r="E1287" s="442">
        <v>20337.0</v>
      </c>
      <c r="F1287" s="442" t="s">
        <v>48</v>
      </c>
      <c r="G1287" s="442" t="s">
        <v>35</v>
      </c>
      <c r="H1287" s="442" t="s">
        <v>420</v>
      </c>
      <c r="I1287" s="442" t="s">
        <v>38</v>
      </c>
      <c r="J1287" s="443">
        <v>14081.0</v>
      </c>
      <c r="K1287" s="444" t="s">
        <v>18148</v>
      </c>
    </row>
    <row r="1288">
      <c r="A1288" s="437">
        <v>45937.45412037037</v>
      </c>
      <c r="B1288" s="438">
        <v>18742.0</v>
      </c>
      <c r="C1288" s="438" t="s">
        <v>22166</v>
      </c>
      <c r="D1288" s="438" t="s">
        <v>91</v>
      </c>
      <c r="E1288" s="438" t="s">
        <v>22167</v>
      </c>
      <c r="F1288" s="438" t="s">
        <v>48</v>
      </c>
      <c r="G1288" s="438" t="s">
        <v>35</v>
      </c>
      <c r="H1288" s="438" t="s">
        <v>518</v>
      </c>
      <c r="I1288" s="438" t="s">
        <v>38</v>
      </c>
      <c r="J1288" s="439">
        <v>14080.0</v>
      </c>
      <c r="K1288" s="440" t="s">
        <v>18148</v>
      </c>
    </row>
    <row r="1289">
      <c r="A1289" s="441">
        <v>45937.462222222224</v>
      </c>
      <c r="B1289" s="442">
        <v>18725.0</v>
      </c>
      <c r="C1289" s="442" t="s">
        <v>3289</v>
      </c>
      <c r="D1289" s="442" t="s">
        <v>112</v>
      </c>
      <c r="E1289" s="442" t="s">
        <v>22081</v>
      </c>
      <c r="F1289" s="442" t="s">
        <v>48</v>
      </c>
      <c r="G1289" s="442" t="s">
        <v>35</v>
      </c>
      <c r="H1289" s="442" t="s">
        <v>92</v>
      </c>
      <c r="I1289" s="442" t="s">
        <v>38</v>
      </c>
      <c r="J1289" s="443">
        <v>14078.0</v>
      </c>
      <c r="K1289" s="444" t="s">
        <v>18148</v>
      </c>
    </row>
    <row r="1290">
      <c r="A1290" s="437">
        <v>45938.55311342593</v>
      </c>
      <c r="B1290" s="438">
        <v>18754.0</v>
      </c>
      <c r="C1290" s="438" t="s">
        <v>19374</v>
      </c>
      <c r="D1290" s="438" t="s">
        <v>91</v>
      </c>
      <c r="E1290" s="438" t="s">
        <v>22232</v>
      </c>
      <c r="F1290" s="438" t="s">
        <v>48</v>
      </c>
      <c r="G1290" s="438" t="s">
        <v>35</v>
      </c>
      <c r="H1290" s="438" t="s">
        <v>92</v>
      </c>
      <c r="I1290" s="438" t="s">
        <v>38</v>
      </c>
      <c r="J1290" s="439">
        <v>14090.0</v>
      </c>
      <c r="K1290" s="440" t="s">
        <v>18148</v>
      </c>
    </row>
    <row r="1291">
      <c r="A1291" s="441">
        <v>45938.553148148145</v>
      </c>
      <c r="B1291" s="442">
        <v>18752.0</v>
      </c>
      <c r="C1291" s="442" t="s">
        <v>7490</v>
      </c>
      <c r="D1291" s="442" t="s">
        <v>47</v>
      </c>
      <c r="E1291" s="442" t="s">
        <v>22224</v>
      </c>
      <c r="F1291" s="442" t="s">
        <v>48</v>
      </c>
      <c r="G1291" s="442" t="s">
        <v>35</v>
      </c>
      <c r="H1291" s="442" t="s">
        <v>92</v>
      </c>
      <c r="I1291" s="442" t="s">
        <v>38</v>
      </c>
      <c r="J1291" s="443">
        <v>14089.0</v>
      </c>
      <c r="K1291" s="444" t="s">
        <v>18148</v>
      </c>
    </row>
    <row r="1292">
      <c r="A1292" s="437">
        <v>45938.55359953704</v>
      </c>
      <c r="B1292" s="438" t="s">
        <v>21964</v>
      </c>
      <c r="C1292" s="438" t="s">
        <v>7780</v>
      </c>
      <c r="D1292" s="438" t="s">
        <v>85</v>
      </c>
      <c r="E1292" s="438" t="s">
        <v>21965</v>
      </c>
      <c r="F1292" s="438" t="s">
        <v>48</v>
      </c>
      <c r="G1292" s="438" t="s">
        <v>35</v>
      </c>
      <c r="H1292" s="438" t="s">
        <v>65</v>
      </c>
      <c r="I1292" s="438" t="s">
        <v>38</v>
      </c>
      <c r="J1292" s="439">
        <v>14096.0</v>
      </c>
      <c r="K1292" s="440" t="s">
        <v>18148</v>
      </c>
    </row>
    <row r="1293">
      <c r="A1293" s="441">
        <v>45938.553622685184</v>
      </c>
      <c r="B1293" s="442" t="s">
        <v>21969</v>
      </c>
      <c r="C1293" s="442" t="s">
        <v>7780</v>
      </c>
      <c r="D1293" s="442" t="s">
        <v>85</v>
      </c>
      <c r="E1293" s="442" t="s">
        <v>21819</v>
      </c>
      <c r="F1293" s="442" t="s">
        <v>48</v>
      </c>
      <c r="G1293" s="442" t="s">
        <v>35</v>
      </c>
      <c r="H1293" s="442" t="s">
        <v>65</v>
      </c>
      <c r="I1293" s="442" t="s">
        <v>38</v>
      </c>
      <c r="J1293" s="443">
        <v>14096.0</v>
      </c>
      <c r="K1293" s="444" t="s">
        <v>18148</v>
      </c>
    </row>
    <row r="1294">
      <c r="A1294" s="437">
        <v>45938.55365740741</v>
      </c>
      <c r="B1294" s="438" t="s">
        <v>21972</v>
      </c>
      <c r="C1294" s="438" t="s">
        <v>7780</v>
      </c>
      <c r="D1294" s="438" t="s">
        <v>85</v>
      </c>
      <c r="E1294" s="438" t="s">
        <v>21973</v>
      </c>
      <c r="F1294" s="438" t="s">
        <v>48</v>
      </c>
      <c r="G1294" s="438" t="s">
        <v>35</v>
      </c>
      <c r="H1294" s="438" t="s">
        <v>65</v>
      </c>
      <c r="I1294" s="438" t="s">
        <v>38</v>
      </c>
      <c r="J1294" s="439">
        <v>14096.0</v>
      </c>
      <c r="K1294" s="440" t="s">
        <v>18148</v>
      </c>
    </row>
    <row r="1295">
      <c r="A1295" s="441">
        <v>45938.553715277776</v>
      </c>
      <c r="B1295" s="442" t="s">
        <v>21976</v>
      </c>
      <c r="C1295" s="442" t="s">
        <v>7780</v>
      </c>
      <c r="D1295" s="442" t="s">
        <v>85</v>
      </c>
      <c r="E1295" s="442" t="s">
        <v>21977</v>
      </c>
      <c r="F1295" s="442" t="s">
        <v>48</v>
      </c>
      <c r="G1295" s="442" t="s">
        <v>35</v>
      </c>
      <c r="H1295" s="442" t="s">
        <v>65</v>
      </c>
      <c r="I1295" s="442" t="s">
        <v>38</v>
      </c>
      <c r="J1295" s="443">
        <v>14096.0</v>
      </c>
      <c r="K1295" s="444" t="s">
        <v>18148</v>
      </c>
    </row>
    <row r="1296">
      <c r="A1296" s="437">
        <v>45938.55378472222</v>
      </c>
      <c r="B1296" s="438" t="s">
        <v>21980</v>
      </c>
      <c r="C1296" s="438" t="s">
        <v>7780</v>
      </c>
      <c r="D1296" s="438" t="s">
        <v>91</v>
      </c>
      <c r="E1296" s="438" t="s">
        <v>21981</v>
      </c>
      <c r="F1296" s="438" t="s">
        <v>48</v>
      </c>
      <c r="G1296" s="438" t="s">
        <v>35</v>
      </c>
      <c r="H1296" s="438" t="s">
        <v>65</v>
      </c>
      <c r="I1296" s="438" t="s">
        <v>38</v>
      </c>
      <c r="J1296" s="439">
        <v>14096.0</v>
      </c>
      <c r="K1296" s="440" t="s">
        <v>18148</v>
      </c>
    </row>
    <row r="1297">
      <c r="A1297" s="441">
        <v>45938.553819444445</v>
      </c>
      <c r="B1297" s="442">
        <v>18726.0</v>
      </c>
      <c r="C1297" s="442" t="s">
        <v>7703</v>
      </c>
      <c r="D1297" s="442" t="s">
        <v>91</v>
      </c>
      <c r="E1297" s="442" t="s">
        <v>22086</v>
      </c>
      <c r="F1297" s="442" t="s">
        <v>48</v>
      </c>
      <c r="G1297" s="442" t="s">
        <v>35</v>
      </c>
      <c r="H1297" s="442" t="s">
        <v>65</v>
      </c>
      <c r="I1297" s="442" t="s">
        <v>38</v>
      </c>
      <c r="J1297" s="443">
        <v>14086.0</v>
      </c>
      <c r="K1297" s="444" t="s">
        <v>18148</v>
      </c>
    </row>
    <row r="1298">
      <c r="A1298" s="437">
        <v>45938.55386574074</v>
      </c>
      <c r="B1298" s="438">
        <v>18737.0</v>
      </c>
      <c r="C1298" s="438" t="s">
        <v>746</v>
      </c>
      <c r="D1298" s="438" t="s">
        <v>112</v>
      </c>
      <c r="E1298" s="438" t="s">
        <v>22140</v>
      </c>
      <c r="F1298" s="438" t="s">
        <v>48</v>
      </c>
      <c r="G1298" s="438" t="s">
        <v>35</v>
      </c>
      <c r="H1298" s="438" t="s">
        <v>65</v>
      </c>
      <c r="I1298" s="438" t="s">
        <v>38</v>
      </c>
      <c r="J1298" s="439">
        <v>14098.0</v>
      </c>
      <c r="K1298" s="440" t="s">
        <v>18148</v>
      </c>
    </row>
    <row r="1299">
      <c r="A1299" s="441">
        <v>45938.553877314815</v>
      </c>
      <c r="B1299" s="442">
        <v>18729.0</v>
      </c>
      <c r="C1299" s="442" t="s">
        <v>7868</v>
      </c>
      <c r="D1299" s="442" t="s">
        <v>47</v>
      </c>
      <c r="E1299" s="442" t="s">
        <v>22100</v>
      </c>
      <c r="F1299" s="442" t="s">
        <v>48</v>
      </c>
      <c r="G1299" s="442" t="s">
        <v>35</v>
      </c>
      <c r="H1299" s="442" t="s">
        <v>65</v>
      </c>
      <c r="I1299" s="442" t="s">
        <v>38</v>
      </c>
      <c r="J1299" s="443">
        <v>14097.0</v>
      </c>
      <c r="K1299" s="444" t="s">
        <v>18148</v>
      </c>
    </row>
    <row r="1300">
      <c r="A1300" s="437">
        <v>45938.55391203704</v>
      </c>
      <c r="B1300" s="438">
        <v>18747.0</v>
      </c>
      <c r="C1300" s="438" t="s">
        <v>45</v>
      </c>
      <c r="D1300" s="438" t="s">
        <v>85</v>
      </c>
      <c r="E1300" s="438" t="s">
        <v>21823</v>
      </c>
      <c r="F1300" s="438" t="s">
        <v>48</v>
      </c>
      <c r="G1300" s="438" t="s">
        <v>35</v>
      </c>
      <c r="H1300" s="438" t="s">
        <v>65</v>
      </c>
      <c r="I1300" s="438" t="s">
        <v>38</v>
      </c>
      <c r="J1300" s="439">
        <v>14099.0</v>
      </c>
      <c r="K1300" s="440" t="s">
        <v>18148</v>
      </c>
    </row>
    <row r="1301">
      <c r="A1301" s="441">
        <v>45938.55399305555</v>
      </c>
      <c r="B1301" s="442" t="s">
        <v>21664</v>
      </c>
      <c r="C1301" s="442" t="s">
        <v>725</v>
      </c>
      <c r="D1301" s="442" t="s">
        <v>91</v>
      </c>
      <c r="E1301" s="442" t="s">
        <v>21665</v>
      </c>
      <c r="F1301" s="442" t="s">
        <v>48</v>
      </c>
      <c r="G1301" s="442" t="s">
        <v>35</v>
      </c>
      <c r="H1301" s="442" t="s">
        <v>49</v>
      </c>
      <c r="I1301" s="442" t="s">
        <v>38</v>
      </c>
      <c r="J1301" s="443">
        <v>14095.0</v>
      </c>
      <c r="K1301" s="444" t="s">
        <v>18148</v>
      </c>
    </row>
    <row r="1302">
      <c r="A1302" s="437">
        <v>45938.55405092592</v>
      </c>
      <c r="B1302" s="438" t="s">
        <v>21669</v>
      </c>
      <c r="C1302" s="438" t="s">
        <v>725</v>
      </c>
      <c r="D1302" s="438" t="s">
        <v>11712</v>
      </c>
      <c r="E1302" s="438">
        <v>20246.0</v>
      </c>
      <c r="F1302" s="438" t="s">
        <v>48</v>
      </c>
      <c r="G1302" s="438" t="s">
        <v>35</v>
      </c>
      <c r="H1302" s="438" t="s">
        <v>49</v>
      </c>
      <c r="I1302" s="438" t="s">
        <v>38</v>
      </c>
      <c r="J1302" s="439">
        <v>14095.0</v>
      </c>
      <c r="K1302" s="440" t="s">
        <v>18148</v>
      </c>
    </row>
    <row r="1303">
      <c r="A1303" s="441">
        <v>45938.55409722222</v>
      </c>
      <c r="B1303" s="442" t="s">
        <v>21796</v>
      </c>
      <c r="C1303" s="442" t="s">
        <v>1759</v>
      </c>
      <c r="D1303" s="442" t="s">
        <v>135</v>
      </c>
      <c r="E1303" s="442">
        <v>20293.0</v>
      </c>
      <c r="F1303" s="442" t="s">
        <v>48</v>
      </c>
      <c r="G1303" s="442" t="s">
        <v>35</v>
      </c>
      <c r="H1303" s="442" t="s">
        <v>49</v>
      </c>
      <c r="I1303" s="442" t="s">
        <v>518</v>
      </c>
      <c r="J1303" s="443">
        <v>14084.0</v>
      </c>
      <c r="K1303" s="444" t="s">
        <v>18148</v>
      </c>
    </row>
    <row r="1304">
      <c r="A1304" s="437">
        <v>45938.55415509259</v>
      </c>
      <c r="B1304" s="438" t="s">
        <v>21826</v>
      </c>
      <c r="C1304" s="438" t="s">
        <v>96</v>
      </c>
      <c r="D1304" s="438" t="s">
        <v>882</v>
      </c>
      <c r="E1304" s="438">
        <v>20338.0</v>
      </c>
      <c r="F1304" s="438" t="s">
        <v>33</v>
      </c>
      <c r="G1304" s="438" t="s">
        <v>34</v>
      </c>
      <c r="H1304" s="438" t="s">
        <v>49</v>
      </c>
      <c r="I1304" s="438" t="s">
        <v>38</v>
      </c>
      <c r="J1304" s="439">
        <v>14084.0</v>
      </c>
      <c r="K1304" s="440" t="s">
        <v>18148</v>
      </c>
    </row>
    <row r="1305">
      <c r="A1305" s="441">
        <v>45938.55420138889</v>
      </c>
      <c r="B1305" s="442" t="s">
        <v>21837</v>
      </c>
      <c r="C1305" s="442" t="s">
        <v>96</v>
      </c>
      <c r="D1305" s="442" t="s">
        <v>882</v>
      </c>
      <c r="E1305" s="442">
        <v>20339.0</v>
      </c>
      <c r="F1305" s="442" t="s">
        <v>33</v>
      </c>
      <c r="G1305" s="442" t="s">
        <v>34</v>
      </c>
      <c r="H1305" s="442" t="s">
        <v>49</v>
      </c>
      <c r="I1305" s="442" t="s">
        <v>38</v>
      </c>
      <c r="J1305" s="443">
        <v>14084.0</v>
      </c>
      <c r="K1305" s="444" t="s">
        <v>18148</v>
      </c>
    </row>
    <row r="1306">
      <c r="A1306" s="437">
        <v>45938.554236111115</v>
      </c>
      <c r="B1306" s="438" t="s">
        <v>21830</v>
      </c>
      <c r="C1306" s="438" t="s">
        <v>96</v>
      </c>
      <c r="D1306" s="438" t="s">
        <v>882</v>
      </c>
      <c r="E1306" s="438">
        <v>20340.0</v>
      </c>
      <c r="F1306" s="438" t="s">
        <v>33</v>
      </c>
      <c r="G1306" s="438" t="s">
        <v>34</v>
      </c>
      <c r="H1306" s="438" t="s">
        <v>49</v>
      </c>
      <c r="I1306" s="438" t="s">
        <v>38</v>
      </c>
      <c r="J1306" s="439">
        <v>14084.0</v>
      </c>
      <c r="K1306" s="440" t="s">
        <v>18148</v>
      </c>
    </row>
    <row r="1307">
      <c r="A1307" s="441">
        <v>45938.554293981484</v>
      </c>
      <c r="B1307" s="442" t="s">
        <v>21833</v>
      </c>
      <c r="C1307" s="442" t="s">
        <v>96</v>
      </c>
      <c r="D1307" s="442" t="s">
        <v>882</v>
      </c>
      <c r="E1307" s="442">
        <v>20341.0</v>
      </c>
      <c r="F1307" s="442" t="s">
        <v>33</v>
      </c>
      <c r="G1307" s="442" t="s">
        <v>34</v>
      </c>
      <c r="H1307" s="442" t="s">
        <v>49</v>
      </c>
      <c r="I1307" s="442" t="s">
        <v>38</v>
      </c>
      <c r="J1307" s="443">
        <v>14084.0</v>
      </c>
      <c r="K1307" s="444" t="s">
        <v>18148</v>
      </c>
    </row>
    <row r="1308">
      <c r="A1308" s="437">
        <v>45938.554398148146</v>
      </c>
      <c r="B1308" s="438">
        <v>18719.0</v>
      </c>
      <c r="C1308" s="438" t="s">
        <v>22062</v>
      </c>
      <c r="D1308" s="438" t="s">
        <v>6133</v>
      </c>
      <c r="E1308" s="438" t="s">
        <v>22063</v>
      </c>
      <c r="F1308" s="438" t="s">
        <v>48</v>
      </c>
      <c r="G1308" s="438" t="s">
        <v>35</v>
      </c>
      <c r="H1308" s="438" t="s">
        <v>49</v>
      </c>
      <c r="I1308" s="438" t="s">
        <v>16881</v>
      </c>
      <c r="J1308" s="439">
        <v>14085.0</v>
      </c>
      <c r="K1308" s="440" t="s">
        <v>18148</v>
      </c>
    </row>
    <row r="1309">
      <c r="A1309" s="441">
        <v>45938.55443287037</v>
      </c>
      <c r="B1309" s="442">
        <v>18746.0</v>
      </c>
      <c r="C1309" s="442" t="s">
        <v>22191</v>
      </c>
      <c r="D1309" s="442" t="s">
        <v>91</v>
      </c>
      <c r="E1309" s="442" t="s">
        <v>22192</v>
      </c>
      <c r="F1309" s="442" t="s">
        <v>48</v>
      </c>
      <c r="G1309" s="442" t="s">
        <v>35</v>
      </c>
      <c r="H1309" s="442" t="s">
        <v>49</v>
      </c>
      <c r="I1309" s="442" t="s">
        <v>38</v>
      </c>
      <c r="J1309" s="443">
        <v>14087.0</v>
      </c>
      <c r="K1309" s="444" t="s">
        <v>18148</v>
      </c>
    </row>
    <row r="1310">
      <c r="A1310" s="437">
        <v>45938.55447916667</v>
      </c>
      <c r="B1310" s="438" t="s">
        <v>22200</v>
      </c>
      <c r="C1310" s="438" t="s">
        <v>5507</v>
      </c>
      <c r="D1310" s="438" t="s">
        <v>47</v>
      </c>
      <c r="E1310" s="438" t="s">
        <v>22201</v>
      </c>
      <c r="F1310" s="438" t="s">
        <v>48</v>
      </c>
      <c r="G1310" s="438" t="s">
        <v>35</v>
      </c>
      <c r="H1310" s="438" t="s">
        <v>49</v>
      </c>
      <c r="I1310" s="438" t="s">
        <v>38</v>
      </c>
      <c r="J1310" s="439">
        <v>14100.0</v>
      </c>
      <c r="K1310" s="440" t="s">
        <v>18148</v>
      </c>
    </row>
    <row r="1311">
      <c r="A1311" s="441">
        <v>45938.55451388889</v>
      </c>
      <c r="B1311" s="442" t="s">
        <v>22204</v>
      </c>
      <c r="C1311" s="442" t="s">
        <v>5507</v>
      </c>
      <c r="D1311" s="442" t="s">
        <v>47</v>
      </c>
      <c r="E1311" s="442" t="s">
        <v>22205</v>
      </c>
      <c r="F1311" s="442" t="s">
        <v>48</v>
      </c>
      <c r="G1311" s="442" t="s">
        <v>35</v>
      </c>
      <c r="H1311" s="442" t="s">
        <v>49</v>
      </c>
      <c r="I1311" s="442" t="s">
        <v>38</v>
      </c>
      <c r="J1311" s="443">
        <v>14100.0</v>
      </c>
      <c r="K1311" s="444" t="s">
        <v>18148</v>
      </c>
    </row>
    <row r="1312">
      <c r="A1312" s="437">
        <v>45938.55452546296</v>
      </c>
      <c r="B1312" s="438">
        <v>18750.0</v>
      </c>
      <c r="C1312" s="438" t="s">
        <v>19608</v>
      </c>
      <c r="D1312" s="438" t="s">
        <v>112</v>
      </c>
      <c r="E1312" s="438" t="s">
        <v>22214</v>
      </c>
      <c r="F1312" s="438" t="s">
        <v>48</v>
      </c>
      <c r="G1312" s="438" t="s">
        <v>35</v>
      </c>
      <c r="H1312" s="438" t="s">
        <v>49</v>
      </c>
      <c r="I1312" s="438" t="s">
        <v>19685</v>
      </c>
      <c r="J1312" s="439">
        <v>14088.0</v>
      </c>
      <c r="K1312" s="440" t="s">
        <v>18148</v>
      </c>
    </row>
    <row r="1313">
      <c r="A1313" s="441">
        <v>45938.55457175926</v>
      </c>
      <c r="B1313" s="442">
        <v>18761.0</v>
      </c>
      <c r="C1313" s="442" t="s">
        <v>22293</v>
      </c>
      <c r="D1313" s="442" t="s">
        <v>4430</v>
      </c>
      <c r="E1313" s="442" t="s">
        <v>22294</v>
      </c>
      <c r="F1313" s="442" t="s">
        <v>48</v>
      </c>
      <c r="G1313" s="442" t="s">
        <v>35</v>
      </c>
      <c r="H1313" s="442" t="s">
        <v>49</v>
      </c>
      <c r="I1313" s="442" t="s">
        <v>1506</v>
      </c>
      <c r="J1313" s="443">
        <v>14091.0</v>
      </c>
      <c r="K1313" s="444" t="s">
        <v>18148</v>
      </c>
    </row>
    <row r="1314">
      <c r="A1314" s="437">
        <v>45938.55462962963</v>
      </c>
      <c r="B1314" s="438">
        <v>18764.0</v>
      </c>
      <c r="C1314" s="438" t="s">
        <v>22307</v>
      </c>
      <c r="D1314" s="438" t="s">
        <v>91</v>
      </c>
      <c r="E1314" s="438" t="s">
        <v>22308</v>
      </c>
      <c r="F1314" s="438" t="s">
        <v>48</v>
      </c>
      <c r="G1314" s="438" t="s">
        <v>35</v>
      </c>
      <c r="H1314" s="438" t="s">
        <v>49</v>
      </c>
      <c r="I1314" s="438" t="s">
        <v>38</v>
      </c>
      <c r="J1314" s="439">
        <v>14092.0</v>
      </c>
      <c r="K1314" s="440" t="s">
        <v>18148</v>
      </c>
    </row>
    <row r="1315">
      <c r="A1315" s="441">
        <v>45938.554664351854</v>
      </c>
      <c r="B1315" s="442">
        <v>18773.0</v>
      </c>
      <c r="C1315" s="442" t="s">
        <v>104</v>
      </c>
      <c r="D1315" s="442" t="s">
        <v>47</v>
      </c>
      <c r="E1315" s="442" t="s">
        <v>22344</v>
      </c>
      <c r="F1315" s="442" t="s">
        <v>48</v>
      </c>
      <c r="G1315" s="442" t="s">
        <v>35</v>
      </c>
      <c r="H1315" s="442" t="s">
        <v>49</v>
      </c>
      <c r="I1315" s="442" t="s">
        <v>1184</v>
      </c>
      <c r="J1315" s="443">
        <v>14093.0</v>
      </c>
      <c r="K1315" s="444" t="s">
        <v>18148</v>
      </c>
    </row>
    <row r="1316">
      <c r="A1316" s="437">
        <v>45939.47806712963</v>
      </c>
      <c r="B1316" s="438">
        <v>18607.0</v>
      </c>
      <c r="C1316" s="438" t="s">
        <v>4035</v>
      </c>
      <c r="D1316" s="438" t="s">
        <v>91</v>
      </c>
      <c r="E1316" s="438" t="s">
        <v>21460</v>
      </c>
      <c r="F1316" s="438" t="s">
        <v>48</v>
      </c>
      <c r="G1316" s="438" t="s">
        <v>35</v>
      </c>
      <c r="H1316" s="438" t="s">
        <v>65</v>
      </c>
      <c r="I1316" s="438" t="s">
        <v>38</v>
      </c>
      <c r="J1316" s="439">
        <v>14113.0</v>
      </c>
      <c r="K1316" s="440" t="s">
        <v>18148</v>
      </c>
    </row>
    <row r="1317">
      <c r="A1317" s="441">
        <v>45939.478125</v>
      </c>
      <c r="B1317" s="442">
        <v>18712.0</v>
      </c>
      <c r="C1317" s="442" t="s">
        <v>11366</v>
      </c>
      <c r="D1317" s="442" t="s">
        <v>47</v>
      </c>
      <c r="E1317" s="442" t="s">
        <v>22039</v>
      </c>
      <c r="F1317" s="442" t="s">
        <v>48</v>
      </c>
      <c r="G1317" s="442" t="s">
        <v>35</v>
      </c>
      <c r="H1317" s="442" t="s">
        <v>65</v>
      </c>
      <c r="I1317" s="442" t="s">
        <v>38</v>
      </c>
      <c r="J1317" s="443">
        <v>14114.0</v>
      </c>
      <c r="K1317" s="444" t="s">
        <v>18148</v>
      </c>
    </row>
    <row r="1318">
      <c r="A1318" s="437">
        <v>45939.478217592594</v>
      </c>
      <c r="B1318" s="438" t="s">
        <v>22279</v>
      </c>
      <c r="C1318" s="438" t="s">
        <v>19901</v>
      </c>
      <c r="D1318" s="438" t="s">
        <v>91</v>
      </c>
      <c r="E1318" s="438" t="s">
        <v>22280</v>
      </c>
      <c r="F1318" s="438" t="s">
        <v>48</v>
      </c>
      <c r="G1318" s="438" t="s">
        <v>35</v>
      </c>
      <c r="H1318" s="438" t="s">
        <v>65</v>
      </c>
      <c r="I1318" s="438" t="s">
        <v>38</v>
      </c>
      <c r="J1318" s="439">
        <v>14116.0</v>
      </c>
      <c r="K1318" s="440" t="s">
        <v>18148</v>
      </c>
    </row>
    <row r="1319">
      <c r="A1319" s="441">
        <v>45939.47826388889</v>
      </c>
      <c r="B1319" s="442" t="s">
        <v>22283</v>
      </c>
      <c r="C1319" s="442" t="s">
        <v>19901</v>
      </c>
      <c r="D1319" s="442" t="s">
        <v>47</v>
      </c>
      <c r="E1319" s="442" t="s">
        <v>22284</v>
      </c>
      <c r="F1319" s="442" t="s">
        <v>48</v>
      </c>
      <c r="G1319" s="442" t="s">
        <v>35</v>
      </c>
      <c r="H1319" s="442" t="s">
        <v>65</v>
      </c>
      <c r="I1319" s="442" t="s">
        <v>38</v>
      </c>
      <c r="J1319" s="443">
        <v>14116.0</v>
      </c>
      <c r="K1319" s="444" t="s">
        <v>18148</v>
      </c>
    </row>
    <row r="1320">
      <c r="A1320" s="437">
        <v>45939.47827546296</v>
      </c>
      <c r="B1320" s="438" t="s">
        <v>22275</v>
      </c>
      <c r="C1320" s="438" t="s">
        <v>19901</v>
      </c>
      <c r="D1320" s="438" t="s">
        <v>91</v>
      </c>
      <c r="E1320" s="438" t="s">
        <v>22276</v>
      </c>
      <c r="F1320" s="438" t="s">
        <v>48</v>
      </c>
      <c r="G1320" s="438" t="s">
        <v>35</v>
      </c>
      <c r="H1320" s="438" t="s">
        <v>65</v>
      </c>
      <c r="I1320" s="438" t="s">
        <v>38</v>
      </c>
      <c r="J1320" s="439">
        <v>14116.0</v>
      </c>
      <c r="K1320" s="440" t="s">
        <v>18148</v>
      </c>
    </row>
    <row r="1321">
      <c r="A1321" s="441">
        <v>45939.47834490741</v>
      </c>
      <c r="B1321" s="442" t="s">
        <v>21677</v>
      </c>
      <c r="C1321" s="442" t="s">
        <v>2104</v>
      </c>
      <c r="D1321" s="442" t="s">
        <v>453</v>
      </c>
      <c r="E1321" s="442">
        <v>20155.0</v>
      </c>
      <c r="F1321" s="442" t="s">
        <v>244</v>
      </c>
      <c r="G1321" s="442" t="s">
        <v>35</v>
      </c>
      <c r="H1321" s="442" t="s">
        <v>49</v>
      </c>
      <c r="I1321" s="442" t="s">
        <v>38</v>
      </c>
      <c r="J1321" s="443">
        <v>14107.0</v>
      </c>
      <c r="K1321" s="444" t="s">
        <v>18148</v>
      </c>
    </row>
    <row r="1322">
      <c r="A1322" s="437">
        <v>45939.47834490741</v>
      </c>
      <c r="B1322" s="438" t="s">
        <v>21681</v>
      </c>
      <c r="C1322" s="438" t="s">
        <v>2104</v>
      </c>
      <c r="D1322" s="438" t="s">
        <v>408</v>
      </c>
      <c r="E1322" s="438">
        <v>20342.0</v>
      </c>
      <c r="F1322" s="438" t="s">
        <v>33</v>
      </c>
      <c r="G1322" s="438" t="s">
        <v>35</v>
      </c>
      <c r="H1322" s="438" t="s">
        <v>49</v>
      </c>
      <c r="I1322" s="438" t="s">
        <v>38</v>
      </c>
      <c r="J1322" s="439">
        <v>14107.0</v>
      </c>
      <c r="K1322" s="440" t="s">
        <v>18148</v>
      </c>
    </row>
    <row r="1323">
      <c r="A1323" s="441">
        <v>45939.47846064815</v>
      </c>
      <c r="B1323" s="442" t="s">
        <v>22150</v>
      </c>
      <c r="C1323" s="442" t="s">
        <v>22145</v>
      </c>
      <c r="D1323" s="442" t="s">
        <v>6133</v>
      </c>
      <c r="E1323" s="442" t="s">
        <v>22151</v>
      </c>
      <c r="F1323" s="442" t="s">
        <v>48</v>
      </c>
      <c r="G1323" s="442" t="s">
        <v>35</v>
      </c>
      <c r="H1323" s="442" t="s">
        <v>49</v>
      </c>
      <c r="I1323" s="442" t="s">
        <v>16899</v>
      </c>
      <c r="J1323" s="443">
        <v>14117.0</v>
      </c>
      <c r="K1323" s="444" t="s">
        <v>18148</v>
      </c>
    </row>
    <row r="1324">
      <c r="A1324" s="437">
        <v>45939.478483796294</v>
      </c>
      <c r="B1324" s="438">
        <v>18789.0</v>
      </c>
      <c r="C1324" s="438" t="s">
        <v>1811</v>
      </c>
      <c r="D1324" s="438" t="s">
        <v>47</v>
      </c>
      <c r="E1324" s="438" t="s">
        <v>22370</v>
      </c>
      <c r="F1324" s="438" t="s">
        <v>48</v>
      </c>
      <c r="G1324" s="438" t="s">
        <v>35</v>
      </c>
      <c r="H1324" s="438" t="s">
        <v>49</v>
      </c>
      <c r="I1324" s="438" t="s">
        <v>1506</v>
      </c>
      <c r="J1324" s="439">
        <v>14108.0</v>
      </c>
      <c r="K1324" s="440" t="s">
        <v>18148</v>
      </c>
    </row>
    <row r="1325">
      <c r="A1325" s="441">
        <v>45939.47849537037</v>
      </c>
      <c r="B1325" s="442" t="s">
        <v>22154</v>
      </c>
      <c r="C1325" s="442" t="s">
        <v>22145</v>
      </c>
      <c r="D1325" s="442" t="s">
        <v>47</v>
      </c>
      <c r="E1325" s="442" t="s">
        <v>22155</v>
      </c>
      <c r="F1325" s="442" t="s">
        <v>48</v>
      </c>
      <c r="G1325" s="442" t="s">
        <v>35</v>
      </c>
      <c r="H1325" s="442" t="s">
        <v>49</v>
      </c>
      <c r="I1325" s="442" t="s">
        <v>16899</v>
      </c>
      <c r="J1325" s="443">
        <v>14117.0</v>
      </c>
      <c r="K1325" s="444" t="s">
        <v>18148</v>
      </c>
    </row>
    <row r="1326">
      <c r="A1326" s="437">
        <v>45939.481412037036</v>
      </c>
      <c r="B1326" s="438">
        <v>16183.0</v>
      </c>
      <c r="C1326" s="438" t="s">
        <v>4313</v>
      </c>
      <c r="D1326" s="438" t="s">
        <v>91</v>
      </c>
      <c r="E1326" s="438" t="s">
        <v>10257</v>
      </c>
      <c r="F1326" s="438" t="s">
        <v>48</v>
      </c>
      <c r="G1326" s="438" t="s">
        <v>35</v>
      </c>
      <c r="H1326" s="438" t="s">
        <v>92</v>
      </c>
      <c r="I1326" s="438" t="s">
        <v>38</v>
      </c>
      <c r="J1326" s="439">
        <v>14111.0</v>
      </c>
      <c r="K1326" s="440" t="s">
        <v>18148</v>
      </c>
    </row>
    <row r="1327">
      <c r="A1327" s="441">
        <v>45940.43792824074</v>
      </c>
      <c r="B1327" s="442">
        <v>18749.0</v>
      </c>
      <c r="C1327" s="442" t="s">
        <v>5277</v>
      </c>
      <c r="D1327" s="442" t="s">
        <v>14519</v>
      </c>
      <c r="E1327" s="442">
        <v>20183.0</v>
      </c>
      <c r="F1327" s="442" t="s">
        <v>48</v>
      </c>
      <c r="G1327" s="442" t="s">
        <v>35</v>
      </c>
      <c r="H1327" s="442" t="s">
        <v>65</v>
      </c>
      <c r="I1327" s="442" t="s">
        <v>38</v>
      </c>
      <c r="J1327" s="443">
        <v>14122.0</v>
      </c>
      <c r="K1327" s="444" t="s">
        <v>18148</v>
      </c>
    </row>
    <row r="1328">
      <c r="A1328" s="437">
        <v>45940.43800925926</v>
      </c>
      <c r="B1328" s="438" t="s">
        <v>21789</v>
      </c>
      <c r="C1328" s="438" t="s">
        <v>1759</v>
      </c>
      <c r="D1328" s="438" t="s">
        <v>135</v>
      </c>
      <c r="E1328" s="438">
        <v>20289.0</v>
      </c>
      <c r="F1328" s="438" t="s">
        <v>48</v>
      </c>
      <c r="G1328" s="438" t="s">
        <v>35</v>
      </c>
      <c r="H1328" s="438" t="s">
        <v>49</v>
      </c>
      <c r="I1328" s="438" t="s">
        <v>518</v>
      </c>
      <c r="J1328" s="439">
        <v>14119.0</v>
      </c>
      <c r="K1328" s="440" t="s">
        <v>18148</v>
      </c>
    </row>
    <row r="1329">
      <c r="A1329" s="441">
        <v>45940.43806712963</v>
      </c>
      <c r="B1329" s="442" t="s">
        <v>21793</v>
      </c>
      <c r="C1329" s="442" t="s">
        <v>1759</v>
      </c>
      <c r="D1329" s="442" t="s">
        <v>135</v>
      </c>
      <c r="E1329" s="442">
        <v>20292.0</v>
      </c>
      <c r="F1329" s="442" t="s">
        <v>48</v>
      </c>
      <c r="G1329" s="442" t="s">
        <v>35</v>
      </c>
      <c r="H1329" s="442" t="s">
        <v>49</v>
      </c>
      <c r="I1329" s="442" t="s">
        <v>518</v>
      </c>
      <c r="J1329" s="443">
        <v>14119.0</v>
      </c>
      <c r="K1329" s="444" t="s">
        <v>18148</v>
      </c>
    </row>
    <row r="1330">
      <c r="A1330" s="437">
        <v>45940.438101851854</v>
      </c>
      <c r="B1330" s="438" t="s">
        <v>21796</v>
      </c>
      <c r="C1330" s="438" t="s">
        <v>1759</v>
      </c>
      <c r="D1330" s="438" t="s">
        <v>135</v>
      </c>
      <c r="E1330" s="438">
        <v>20293.0</v>
      </c>
      <c r="F1330" s="438" t="s">
        <v>48</v>
      </c>
      <c r="G1330" s="438" t="s">
        <v>35</v>
      </c>
      <c r="H1330" s="438" t="s">
        <v>49</v>
      </c>
      <c r="I1330" s="438" t="s">
        <v>518</v>
      </c>
      <c r="J1330" s="439">
        <v>14119.0</v>
      </c>
      <c r="K1330" s="440" t="s">
        <v>18148</v>
      </c>
    </row>
    <row r="1331">
      <c r="A1331" s="441">
        <v>45940.438159722224</v>
      </c>
      <c r="B1331" s="442">
        <v>18771.0</v>
      </c>
      <c r="C1331" s="442" t="s">
        <v>96</v>
      </c>
      <c r="D1331" s="442" t="s">
        <v>1595</v>
      </c>
      <c r="E1331" s="442">
        <v>20029.0</v>
      </c>
      <c r="F1331" s="442" t="s">
        <v>33</v>
      </c>
      <c r="G1331" s="442" t="s">
        <v>34</v>
      </c>
      <c r="H1331" s="442" t="s">
        <v>49</v>
      </c>
      <c r="I1331" s="442" t="s">
        <v>38</v>
      </c>
      <c r="J1331" s="443">
        <v>14120.0</v>
      </c>
      <c r="K1331" s="444" t="s">
        <v>18148</v>
      </c>
    </row>
    <row r="1332">
      <c r="A1332" s="437">
        <v>45940.438206018516</v>
      </c>
      <c r="B1332" s="438">
        <v>18775.0</v>
      </c>
      <c r="C1332" s="438" t="s">
        <v>5542</v>
      </c>
      <c r="D1332" s="438" t="s">
        <v>453</v>
      </c>
      <c r="E1332" s="438">
        <v>13751.0</v>
      </c>
      <c r="F1332" s="438" t="s">
        <v>244</v>
      </c>
      <c r="G1332" s="438" t="s">
        <v>35</v>
      </c>
      <c r="H1332" s="438" t="s">
        <v>49</v>
      </c>
      <c r="I1332" s="438" t="s">
        <v>4683</v>
      </c>
      <c r="J1332" s="439">
        <v>14121.0</v>
      </c>
      <c r="K1332" s="440" t="s">
        <v>18148</v>
      </c>
    </row>
    <row r="1333">
      <c r="A1333" s="441">
        <v>45940.43828703704</v>
      </c>
      <c r="B1333" s="442">
        <v>18776.0</v>
      </c>
      <c r="C1333" s="442" t="s">
        <v>20131</v>
      </c>
      <c r="D1333" s="442" t="s">
        <v>12405</v>
      </c>
      <c r="E1333" s="442">
        <v>20129.0</v>
      </c>
      <c r="F1333" s="442" t="s">
        <v>48</v>
      </c>
      <c r="G1333" s="442" t="s">
        <v>35</v>
      </c>
      <c r="H1333" s="442" t="s">
        <v>18078</v>
      </c>
      <c r="I1333" s="442" t="s">
        <v>38</v>
      </c>
      <c r="J1333" s="443">
        <v>14123.0</v>
      </c>
      <c r="K1333" s="444" t="s">
        <v>18148</v>
      </c>
    </row>
    <row r="1334">
      <c r="A1334" s="437">
        <v>45940.4387037037</v>
      </c>
      <c r="B1334" s="438" t="s">
        <v>21719</v>
      </c>
      <c r="C1334" s="438" t="s">
        <v>110</v>
      </c>
      <c r="D1334" s="438" t="s">
        <v>85</v>
      </c>
      <c r="E1334" s="438" t="s">
        <v>21720</v>
      </c>
      <c r="F1334" s="438" t="s">
        <v>48</v>
      </c>
      <c r="G1334" s="438" t="s">
        <v>35</v>
      </c>
      <c r="H1334" s="438" t="s">
        <v>65</v>
      </c>
      <c r="I1334" s="438" t="s">
        <v>38</v>
      </c>
      <c r="J1334" s="439">
        <v>14125.0</v>
      </c>
      <c r="K1334" s="440" t="s">
        <v>18148</v>
      </c>
    </row>
    <row r="1335">
      <c r="A1335" s="441">
        <v>45940.438738425924</v>
      </c>
      <c r="B1335" s="442" t="s">
        <v>21723</v>
      </c>
      <c r="C1335" s="442" t="s">
        <v>110</v>
      </c>
      <c r="D1335" s="442" t="s">
        <v>85</v>
      </c>
      <c r="E1335" s="442" t="s">
        <v>21724</v>
      </c>
      <c r="F1335" s="442" t="s">
        <v>48</v>
      </c>
      <c r="G1335" s="442" t="s">
        <v>35</v>
      </c>
      <c r="H1335" s="442" t="s">
        <v>65</v>
      </c>
      <c r="I1335" s="442" t="s">
        <v>38</v>
      </c>
      <c r="J1335" s="443">
        <v>14125.0</v>
      </c>
      <c r="K1335" s="444" t="s">
        <v>18148</v>
      </c>
    </row>
    <row r="1336">
      <c r="A1336" s="437">
        <v>45940.438738425924</v>
      </c>
      <c r="B1336" s="438" t="s">
        <v>21727</v>
      </c>
      <c r="C1336" s="438" t="s">
        <v>110</v>
      </c>
      <c r="D1336" s="438" t="s">
        <v>91</v>
      </c>
      <c r="E1336" s="438" t="s">
        <v>21728</v>
      </c>
      <c r="F1336" s="438" t="s">
        <v>48</v>
      </c>
      <c r="G1336" s="438" t="s">
        <v>35</v>
      </c>
      <c r="H1336" s="438" t="s">
        <v>65</v>
      </c>
      <c r="I1336" s="438" t="s">
        <v>38</v>
      </c>
      <c r="J1336" s="439">
        <v>14125.0</v>
      </c>
      <c r="K1336" s="440" t="s">
        <v>18148</v>
      </c>
    </row>
    <row r="1337">
      <c r="A1337" s="441">
        <v>45940.43877314815</v>
      </c>
      <c r="B1337" s="442">
        <v>18810.0</v>
      </c>
      <c r="C1337" s="442" t="s">
        <v>16816</v>
      </c>
      <c r="D1337" s="442" t="s">
        <v>85</v>
      </c>
      <c r="E1337" s="442" t="s">
        <v>22443</v>
      </c>
      <c r="F1337" s="442" t="s">
        <v>48</v>
      </c>
      <c r="G1337" s="442" t="s">
        <v>35</v>
      </c>
      <c r="H1337" s="442" t="s">
        <v>65</v>
      </c>
      <c r="I1337" s="442" t="s">
        <v>38</v>
      </c>
      <c r="J1337" s="443">
        <v>14128.0</v>
      </c>
      <c r="K1337" s="444" t="s">
        <v>18148</v>
      </c>
    </row>
    <row r="1338">
      <c r="A1338" s="437">
        <v>45940.43880787037</v>
      </c>
      <c r="B1338" s="438">
        <v>18794.0</v>
      </c>
      <c r="C1338" s="438" t="s">
        <v>17025</v>
      </c>
      <c r="D1338" s="438" t="s">
        <v>85</v>
      </c>
      <c r="E1338" s="438" t="s">
        <v>22392</v>
      </c>
      <c r="F1338" s="438" t="s">
        <v>48</v>
      </c>
      <c r="G1338" s="438" t="s">
        <v>35</v>
      </c>
      <c r="H1338" s="438" t="s">
        <v>49</v>
      </c>
      <c r="I1338" s="438" t="s">
        <v>38</v>
      </c>
      <c r="J1338" s="439">
        <v>14126.0</v>
      </c>
      <c r="K1338" s="440" t="s">
        <v>18148</v>
      </c>
    </row>
    <row r="1339">
      <c r="A1339" s="441">
        <v>45940.43880787037</v>
      </c>
      <c r="B1339" s="442">
        <v>18801.0</v>
      </c>
      <c r="C1339" s="442" t="s">
        <v>22421</v>
      </c>
      <c r="D1339" s="442" t="s">
        <v>85</v>
      </c>
      <c r="E1339" s="442" t="s">
        <v>22422</v>
      </c>
      <c r="F1339" s="442" t="s">
        <v>48</v>
      </c>
      <c r="G1339" s="442" t="s">
        <v>35</v>
      </c>
      <c r="H1339" s="442" t="s">
        <v>518</v>
      </c>
      <c r="I1339" s="442" t="s">
        <v>38</v>
      </c>
      <c r="J1339" s="443">
        <v>14127.0</v>
      </c>
      <c r="K1339" s="444" t="s">
        <v>18148</v>
      </c>
    </row>
    <row r="1340">
      <c r="A1340" s="437">
        <v>45943.57869212963</v>
      </c>
      <c r="B1340" s="438">
        <v>18830.0</v>
      </c>
      <c r="C1340" s="438" t="s">
        <v>3289</v>
      </c>
      <c r="D1340" s="438" t="s">
        <v>12405</v>
      </c>
      <c r="E1340" s="438">
        <v>20130.0</v>
      </c>
      <c r="F1340" s="438" t="s">
        <v>48</v>
      </c>
      <c r="G1340" s="438" t="s">
        <v>35</v>
      </c>
      <c r="H1340" s="438" t="s">
        <v>92</v>
      </c>
      <c r="I1340" s="438" t="s">
        <v>38</v>
      </c>
      <c r="J1340" s="439">
        <v>14140.0</v>
      </c>
      <c r="K1340" s="440" t="s">
        <v>18148</v>
      </c>
    </row>
    <row r="1341">
      <c r="A1341" s="441">
        <v>45943.57875</v>
      </c>
      <c r="B1341" s="442" t="s">
        <v>22410</v>
      </c>
      <c r="C1341" s="442" t="s">
        <v>3762</v>
      </c>
      <c r="D1341" s="442" t="s">
        <v>91</v>
      </c>
      <c r="E1341" s="442" t="s">
        <v>22411</v>
      </c>
      <c r="F1341" s="442" t="s">
        <v>48</v>
      </c>
      <c r="G1341" s="442" t="s">
        <v>35</v>
      </c>
      <c r="H1341" s="442" t="s">
        <v>65</v>
      </c>
      <c r="I1341" s="442" t="s">
        <v>38</v>
      </c>
      <c r="J1341" s="443">
        <v>14138.0</v>
      </c>
      <c r="K1341" s="444" t="s">
        <v>18148</v>
      </c>
    </row>
    <row r="1342">
      <c r="A1342" s="437">
        <v>45943.57879629629</v>
      </c>
      <c r="B1342" s="438" t="s">
        <v>22414</v>
      </c>
      <c r="C1342" s="438" t="s">
        <v>3762</v>
      </c>
      <c r="D1342" s="438" t="s">
        <v>91</v>
      </c>
      <c r="E1342" s="438" t="s">
        <v>22415</v>
      </c>
      <c r="F1342" s="438" t="s">
        <v>48</v>
      </c>
      <c r="G1342" s="438" t="s">
        <v>35</v>
      </c>
      <c r="H1342" s="438" t="s">
        <v>65</v>
      </c>
      <c r="I1342" s="438" t="s">
        <v>38</v>
      </c>
      <c r="J1342" s="439">
        <v>14138.0</v>
      </c>
      <c r="K1342" s="440" t="s">
        <v>18148</v>
      </c>
    </row>
    <row r="1343">
      <c r="A1343" s="441">
        <v>45943.578831018516</v>
      </c>
      <c r="B1343" s="442">
        <v>18815.0</v>
      </c>
      <c r="C1343" s="442" t="s">
        <v>2138</v>
      </c>
      <c r="D1343" s="442" t="s">
        <v>91</v>
      </c>
      <c r="E1343" s="442" t="s">
        <v>22535</v>
      </c>
      <c r="F1343" s="442" t="s">
        <v>48</v>
      </c>
      <c r="G1343" s="442" t="s">
        <v>35</v>
      </c>
      <c r="H1343" s="442" t="s">
        <v>65</v>
      </c>
      <c r="I1343" s="442" t="s">
        <v>38</v>
      </c>
      <c r="J1343" s="443">
        <v>14134.0</v>
      </c>
      <c r="K1343" s="444" t="s">
        <v>18148</v>
      </c>
    </row>
    <row r="1344">
      <c r="A1344" s="437">
        <v>45943.579409722224</v>
      </c>
      <c r="B1344" s="438" t="s">
        <v>22410</v>
      </c>
      <c r="C1344" s="438" t="s">
        <v>3762</v>
      </c>
      <c r="D1344" s="438" t="s">
        <v>91</v>
      </c>
      <c r="E1344" s="438" t="s">
        <v>22411</v>
      </c>
      <c r="F1344" s="438" t="s">
        <v>48</v>
      </c>
      <c r="G1344" s="438" t="s">
        <v>35</v>
      </c>
      <c r="H1344" s="438" t="s">
        <v>65</v>
      </c>
      <c r="I1344" s="438" t="s">
        <v>38</v>
      </c>
      <c r="J1344" s="439">
        <v>14138.0</v>
      </c>
      <c r="K1344" s="440" t="s">
        <v>18148</v>
      </c>
    </row>
    <row r="1345">
      <c r="A1345" s="441">
        <v>45943.57945601852</v>
      </c>
      <c r="B1345" s="442" t="s">
        <v>22414</v>
      </c>
      <c r="C1345" s="442" t="s">
        <v>3762</v>
      </c>
      <c r="D1345" s="442" t="s">
        <v>91</v>
      </c>
      <c r="E1345" s="442" t="s">
        <v>22415</v>
      </c>
      <c r="F1345" s="442" t="s">
        <v>48</v>
      </c>
      <c r="G1345" s="442" t="s">
        <v>35</v>
      </c>
      <c r="H1345" s="442" t="s">
        <v>65</v>
      </c>
      <c r="I1345" s="442" t="s">
        <v>38</v>
      </c>
      <c r="J1345" s="443">
        <v>14138.0</v>
      </c>
      <c r="K1345" s="444" t="s">
        <v>18148</v>
      </c>
    </row>
    <row r="1346">
      <c r="A1346" s="437">
        <v>45943.57950231482</v>
      </c>
      <c r="B1346" s="438">
        <v>18815.0</v>
      </c>
      <c r="C1346" s="438" t="s">
        <v>2138</v>
      </c>
      <c r="D1346" s="438" t="s">
        <v>91</v>
      </c>
      <c r="E1346" s="438" t="s">
        <v>22535</v>
      </c>
      <c r="F1346" s="438" t="s">
        <v>48</v>
      </c>
      <c r="G1346" s="438" t="s">
        <v>35</v>
      </c>
      <c r="H1346" s="438" t="s">
        <v>65</v>
      </c>
      <c r="I1346" s="438" t="s">
        <v>38</v>
      </c>
      <c r="J1346" s="439">
        <v>14134.0</v>
      </c>
      <c r="K1346" s="440" t="s">
        <v>18148</v>
      </c>
    </row>
    <row r="1347">
      <c r="A1347" s="441">
        <v>45943.57957175926</v>
      </c>
      <c r="B1347" s="442" t="s">
        <v>20069</v>
      </c>
      <c r="C1347" s="442" t="s">
        <v>4472</v>
      </c>
      <c r="D1347" s="442" t="s">
        <v>794</v>
      </c>
      <c r="E1347" s="442">
        <v>20336.0</v>
      </c>
      <c r="F1347" s="442" t="s">
        <v>33</v>
      </c>
      <c r="G1347" s="442" t="s">
        <v>34</v>
      </c>
      <c r="H1347" s="442" t="s">
        <v>49</v>
      </c>
      <c r="I1347" s="442" t="s">
        <v>38</v>
      </c>
      <c r="J1347" s="443">
        <v>14132.0</v>
      </c>
      <c r="K1347" s="444" t="s">
        <v>18148</v>
      </c>
    </row>
    <row r="1348">
      <c r="A1348" s="437">
        <v>45943.57958333333</v>
      </c>
      <c r="B1348" s="438" t="s">
        <v>20074</v>
      </c>
      <c r="C1348" s="438" t="s">
        <v>4472</v>
      </c>
      <c r="D1348" s="438" t="s">
        <v>882</v>
      </c>
      <c r="E1348" s="438">
        <v>20332.0</v>
      </c>
      <c r="F1348" s="438" t="s">
        <v>33</v>
      </c>
      <c r="G1348" s="438" t="s">
        <v>34</v>
      </c>
      <c r="H1348" s="438" t="s">
        <v>49</v>
      </c>
      <c r="I1348" s="438" t="s">
        <v>38</v>
      </c>
      <c r="J1348" s="439">
        <v>14132.0</v>
      </c>
      <c r="K1348" s="440" t="s">
        <v>18148</v>
      </c>
    </row>
    <row r="1349">
      <c r="A1349" s="441">
        <v>45943.5796412037</v>
      </c>
      <c r="B1349" s="442" t="s">
        <v>20078</v>
      </c>
      <c r="C1349" s="442" t="s">
        <v>4472</v>
      </c>
      <c r="D1349" s="442" t="s">
        <v>882</v>
      </c>
      <c r="E1349" s="442">
        <v>20333.0</v>
      </c>
      <c r="F1349" s="442" t="s">
        <v>33</v>
      </c>
      <c r="G1349" s="442" t="s">
        <v>34</v>
      </c>
      <c r="H1349" s="442" t="s">
        <v>49</v>
      </c>
      <c r="I1349" s="442" t="s">
        <v>38</v>
      </c>
      <c r="J1349" s="443">
        <v>14132.0</v>
      </c>
      <c r="K1349" s="444" t="s">
        <v>18148</v>
      </c>
    </row>
    <row r="1350">
      <c r="A1350" s="437">
        <v>45943.579675925925</v>
      </c>
      <c r="B1350" s="438" t="s">
        <v>20082</v>
      </c>
      <c r="C1350" s="438" t="s">
        <v>4472</v>
      </c>
      <c r="D1350" s="438" t="s">
        <v>882</v>
      </c>
      <c r="E1350" s="438">
        <v>20334.0</v>
      </c>
      <c r="F1350" s="438" t="s">
        <v>33</v>
      </c>
      <c r="G1350" s="438" t="s">
        <v>34</v>
      </c>
      <c r="H1350" s="438" t="s">
        <v>49</v>
      </c>
      <c r="I1350" s="438" t="s">
        <v>38</v>
      </c>
      <c r="J1350" s="439">
        <v>14132.0</v>
      </c>
      <c r="K1350" s="440" t="s">
        <v>18148</v>
      </c>
    </row>
    <row r="1351">
      <c r="A1351" s="441">
        <v>45943.57975694445</v>
      </c>
      <c r="B1351" s="442" t="s">
        <v>20085</v>
      </c>
      <c r="C1351" s="442" t="s">
        <v>4472</v>
      </c>
      <c r="D1351" s="442" t="s">
        <v>882</v>
      </c>
      <c r="E1351" s="442">
        <v>20335.0</v>
      </c>
      <c r="F1351" s="442" t="s">
        <v>33</v>
      </c>
      <c r="G1351" s="442" t="s">
        <v>34</v>
      </c>
      <c r="H1351" s="442" t="s">
        <v>49</v>
      </c>
      <c r="I1351" s="442" t="s">
        <v>38</v>
      </c>
      <c r="J1351" s="443">
        <v>14132.0</v>
      </c>
      <c r="K1351" s="444" t="s">
        <v>18148</v>
      </c>
    </row>
    <row r="1352">
      <c r="A1352" s="437">
        <v>45943.57981481482</v>
      </c>
      <c r="B1352" s="438" t="s">
        <v>22563</v>
      </c>
      <c r="C1352" s="438" t="s">
        <v>22564</v>
      </c>
      <c r="D1352" s="438" t="s">
        <v>91</v>
      </c>
      <c r="E1352" s="438" t="s">
        <v>22565</v>
      </c>
      <c r="F1352" s="438" t="s">
        <v>48</v>
      </c>
      <c r="G1352" s="438" t="s">
        <v>35</v>
      </c>
      <c r="H1352" s="438" t="s">
        <v>49</v>
      </c>
      <c r="I1352" s="438" t="s">
        <v>38</v>
      </c>
      <c r="J1352" s="439">
        <v>14136.0</v>
      </c>
      <c r="K1352" s="440" t="s">
        <v>18148</v>
      </c>
    </row>
    <row r="1353">
      <c r="A1353" s="441">
        <v>45943.57984953704</v>
      </c>
      <c r="B1353" s="442" t="s">
        <v>22568</v>
      </c>
      <c r="C1353" s="442" t="s">
        <v>22564</v>
      </c>
      <c r="D1353" s="442" t="s">
        <v>91</v>
      </c>
      <c r="E1353" s="442" t="s">
        <v>22569</v>
      </c>
      <c r="F1353" s="442" t="s">
        <v>48</v>
      </c>
      <c r="G1353" s="442" t="s">
        <v>35</v>
      </c>
      <c r="H1353" s="442" t="s">
        <v>49</v>
      </c>
      <c r="I1353" s="442" t="s">
        <v>38</v>
      </c>
      <c r="J1353" s="443">
        <v>14136.0</v>
      </c>
      <c r="K1353" s="444" t="s">
        <v>18148</v>
      </c>
    </row>
    <row r="1354">
      <c r="A1354" s="437">
        <v>45943.579872685186</v>
      </c>
      <c r="B1354" s="438" t="s">
        <v>22572</v>
      </c>
      <c r="C1354" s="438" t="s">
        <v>22564</v>
      </c>
      <c r="D1354" s="438" t="s">
        <v>91</v>
      </c>
      <c r="E1354" s="438" t="s">
        <v>22573</v>
      </c>
      <c r="F1354" s="438" t="s">
        <v>48</v>
      </c>
      <c r="G1354" s="438" t="s">
        <v>35</v>
      </c>
      <c r="H1354" s="438" t="s">
        <v>49</v>
      </c>
      <c r="I1354" s="438" t="s">
        <v>38</v>
      </c>
      <c r="J1354" s="439">
        <v>14136.0</v>
      </c>
      <c r="K1354" s="440" t="s">
        <v>18148</v>
      </c>
    </row>
    <row r="1355">
      <c r="A1355" s="441">
        <v>45943.579930555556</v>
      </c>
      <c r="B1355" s="442">
        <v>18830.0</v>
      </c>
      <c r="C1355" s="442" t="s">
        <v>3289</v>
      </c>
      <c r="D1355" s="442" t="s">
        <v>12405</v>
      </c>
      <c r="E1355" s="442">
        <v>20130.0</v>
      </c>
      <c r="F1355" s="442" t="s">
        <v>48</v>
      </c>
      <c r="G1355" s="442" t="s">
        <v>35</v>
      </c>
      <c r="H1355" s="442" t="s">
        <v>92</v>
      </c>
      <c r="I1355" s="442" t="s">
        <v>38</v>
      </c>
      <c r="J1355" s="443">
        <v>14140.0</v>
      </c>
      <c r="K1355" s="444" t="s">
        <v>18148</v>
      </c>
    </row>
    <row r="1356">
      <c r="A1356" s="437">
        <v>45943.60778935185</v>
      </c>
      <c r="B1356" s="438">
        <v>18834.0</v>
      </c>
      <c r="C1356" s="438" t="s">
        <v>22620</v>
      </c>
      <c r="D1356" s="438" t="s">
        <v>91</v>
      </c>
      <c r="E1356" s="438" t="s">
        <v>22621</v>
      </c>
      <c r="F1356" s="438" t="s">
        <v>48</v>
      </c>
      <c r="G1356" s="438" t="s">
        <v>35</v>
      </c>
      <c r="H1356" s="438" t="s">
        <v>92</v>
      </c>
      <c r="I1356" s="438" t="s">
        <v>38</v>
      </c>
      <c r="J1356" s="439">
        <v>14142.0</v>
      </c>
      <c r="K1356" s="440" t="s">
        <v>18148</v>
      </c>
    </row>
    <row r="1357">
      <c r="A1357" s="441">
        <v>45943.60805555555</v>
      </c>
      <c r="B1357" s="442" t="s">
        <v>22322</v>
      </c>
      <c r="C1357" s="442" t="s">
        <v>22313</v>
      </c>
      <c r="D1357" s="442" t="s">
        <v>85</v>
      </c>
      <c r="E1357" s="442" t="s">
        <v>22323</v>
      </c>
      <c r="F1357" s="442" t="s">
        <v>48</v>
      </c>
      <c r="G1357" s="442" t="s">
        <v>35</v>
      </c>
      <c r="H1357" s="442" t="s">
        <v>49</v>
      </c>
      <c r="I1357" s="442" t="s">
        <v>21399</v>
      </c>
      <c r="J1357" s="443">
        <v>14143.0</v>
      </c>
      <c r="K1357" s="444" t="s">
        <v>18148</v>
      </c>
    </row>
    <row r="1358">
      <c r="A1358" s="437">
        <v>45943.60806712963</v>
      </c>
      <c r="B1358" s="438" t="s">
        <v>22312</v>
      </c>
      <c r="C1358" s="438" t="s">
        <v>22313</v>
      </c>
      <c r="D1358" s="438" t="s">
        <v>91</v>
      </c>
      <c r="E1358" s="438" t="s">
        <v>22314</v>
      </c>
      <c r="F1358" s="438" t="s">
        <v>48</v>
      </c>
      <c r="G1358" s="438" t="s">
        <v>35</v>
      </c>
      <c r="H1358" s="438" t="s">
        <v>49</v>
      </c>
      <c r="I1358" s="438" t="s">
        <v>21399</v>
      </c>
      <c r="J1358" s="439">
        <v>14143.0</v>
      </c>
      <c r="K1358" s="440" t="s">
        <v>18148</v>
      </c>
    </row>
    <row r="1359">
      <c r="A1359" s="441">
        <v>45944.42649305556</v>
      </c>
      <c r="B1359" s="442" t="s">
        <v>21531</v>
      </c>
      <c r="C1359" s="442" t="s">
        <v>21532</v>
      </c>
      <c r="D1359" s="442" t="s">
        <v>882</v>
      </c>
      <c r="E1359" s="442">
        <v>20075.0</v>
      </c>
      <c r="F1359" s="442" t="s">
        <v>33</v>
      </c>
      <c r="G1359" s="442" t="s">
        <v>35</v>
      </c>
      <c r="H1359" s="442" t="s">
        <v>49</v>
      </c>
      <c r="I1359" s="442" t="s">
        <v>38</v>
      </c>
      <c r="J1359" s="443">
        <v>14144.0</v>
      </c>
      <c r="K1359" s="444" t="s">
        <v>18148</v>
      </c>
    </row>
    <row r="1360">
      <c r="A1360" s="437">
        <v>45944.43493055556</v>
      </c>
      <c r="B1360" s="438" t="s">
        <v>21531</v>
      </c>
      <c r="C1360" s="438" t="s">
        <v>21532</v>
      </c>
      <c r="D1360" s="438" t="s">
        <v>882</v>
      </c>
      <c r="E1360" s="438">
        <v>20075.0</v>
      </c>
      <c r="F1360" s="438" t="s">
        <v>33</v>
      </c>
      <c r="G1360" s="438" t="s">
        <v>35</v>
      </c>
      <c r="H1360" s="438" t="s">
        <v>49</v>
      </c>
      <c r="I1360" s="438" t="s">
        <v>38</v>
      </c>
      <c r="J1360" s="439">
        <v>14144.0</v>
      </c>
      <c r="K1360" s="440" t="s">
        <v>18148</v>
      </c>
    </row>
    <row r="1361">
      <c r="A1361" s="441">
        <v>45944.43503472222</v>
      </c>
      <c r="B1361" s="442" t="s">
        <v>21539</v>
      </c>
      <c r="C1361" s="442" t="s">
        <v>21532</v>
      </c>
      <c r="D1361" s="442" t="s">
        <v>882</v>
      </c>
      <c r="E1361" s="442">
        <v>20076.0</v>
      </c>
      <c r="F1361" s="442" t="s">
        <v>33</v>
      </c>
      <c r="G1361" s="442" t="s">
        <v>35</v>
      </c>
      <c r="H1361" s="442" t="s">
        <v>49</v>
      </c>
      <c r="I1361" s="442" t="s">
        <v>38</v>
      </c>
      <c r="J1361" s="443">
        <v>14144.0</v>
      </c>
      <c r="K1361" s="444" t="s">
        <v>18148</v>
      </c>
    </row>
    <row r="1362">
      <c r="A1362" s="437">
        <v>45944.435069444444</v>
      </c>
      <c r="B1362" s="438" t="s">
        <v>21536</v>
      </c>
      <c r="C1362" s="438" t="s">
        <v>21532</v>
      </c>
      <c r="D1362" s="438" t="s">
        <v>882</v>
      </c>
      <c r="E1362" s="438">
        <v>20236.0</v>
      </c>
      <c r="F1362" s="438" t="s">
        <v>33</v>
      </c>
      <c r="G1362" s="438" t="s">
        <v>35</v>
      </c>
      <c r="H1362" s="438" t="s">
        <v>49</v>
      </c>
      <c r="I1362" s="438" t="s">
        <v>38</v>
      </c>
      <c r="J1362" s="439">
        <v>14144.0</v>
      </c>
      <c r="K1362" s="440" t="s">
        <v>18148</v>
      </c>
    </row>
    <row r="1363">
      <c r="A1363" s="441">
        <v>45944.435069444444</v>
      </c>
      <c r="B1363" s="442" t="s">
        <v>22171</v>
      </c>
      <c r="C1363" s="442" t="s">
        <v>22145</v>
      </c>
      <c r="D1363" s="442" t="s">
        <v>22172</v>
      </c>
      <c r="E1363" s="442">
        <v>20350.0</v>
      </c>
      <c r="F1363" s="442" t="s">
        <v>48</v>
      </c>
      <c r="G1363" s="442" t="s">
        <v>35</v>
      </c>
      <c r="H1363" s="442" t="s">
        <v>49</v>
      </c>
      <c r="I1363" s="442" t="s">
        <v>16899</v>
      </c>
      <c r="J1363" s="443">
        <v>14145.0</v>
      </c>
      <c r="K1363" s="444" t="s">
        <v>18148</v>
      </c>
    </row>
    <row r="1364">
      <c r="A1364" s="437">
        <v>45944.435115740744</v>
      </c>
      <c r="B1364" s="438" t="s">
        <v>22176</v>
      </c>
      <c r="C1364" s="438" t="s">
        <v>22145</v>
      </c>
      <c r="D1364" s="438" t="s">
        <v>22172</v>
      </c>
      <c r="E1364" s="438">
        <v>20349.0</v>
      </c>
      <c r="F1364" s="438" t="s">
        <v>48</v>
      </c>
      <c r="G1364" s="438" t="s">
        <v>35</v>
      </c>
      <c r="H1364" s="438" t="s">
        <v>49</v>
      </c>
      <c r="I1364" s="438" t="s">
        <v>16899</v>
      </c>
      <c r="J1364" s="439">
        <v>14145.0</v>
      </c>
      <c r="K1364" s="440" t="s">
        <v>18148</v>
      </c>
    </row>
    <row r="1365">
      <c r="A1365" s="441">
        <v>45944.435162037036</v>
      </c>
      <c r="B1365" s="442" t="s">
        <v>22179</v>
      </c>
      <c r="C1365" s="442" t="s">
        <v>22145</v>
      </c>
      <c r="D1365" s="442" t="s">
        <v>22172</v>
      </c>
      <c r="E1365" s="442">
        <v>20348.0</v>
      </c>
      <c r="F1365" s="442" t="s">
        <v>48</v>
      </c>
      <c r="G1365" s="442" t="s">
        <v>35</v>
      </c>
      <c r="H1365" s="442" t="s">
        <v>49</v>
      </c>
      <c r="I1365" s="442" t="s">
        <v>16899</v>
      </c>
      <c r="J1365" s="443">
        <v>14145.0</v>
      </c>
      <c r="K1365" s="444" t="s">
        <v>18148</v>
      </c>
    </row>
    <row r="1366">
      <c r="A1366" s="437">
        <v>45944.435219907406</v>
      </c>
      <c r="B1366" s="438">
        <v>18772.0</v>
      </c>
      <c r="C1366" s="438" t="s">
        <v>96</v>
      </c>
      <c r="D1366" s="438" t="s">
        <v>165</v>
      </c>
      <c r="E1366" s="438">
        <v>20347.0</v>
      </c>
      <c r="F1366" s="438" t="s">
        <v>33</v>
      </c>
      <c r="G1366" s="438" t="s">
        <v>34</v>
      </c>
      <c r="H1366" s="438" t="s">
        <v>49</v>
      </c>
      <c r="I1366" s="438" t="s">
        <v>38</v>
      </c>
      <c r="J1366" s="439">
        <v>14146.0</v>
      </c>
      <c r="K1366" s="440" t="s">
        <v>18148</v>
      </c>
    </row>
    <row r="1367">
      <c r="A1367" s="441">
        <v>45944.455092592594</v>
      </c>
      <c r="B1367" s="442">
        <v>18840.0</v>
      </c>
      <c r="C1367" s="442" t="s">
        <v>3762</v>
      </c>
      <c r="D1367" s="442" t="s">
        <v>91</v>
      </c>
      <c r="E1367" s="442" t="s">
        <v>22647</v>
      </c>
      <c r="F1367" s="442" t="s">
        <v>48</v>
      </c>
      <c r="G1367" s="442" t="s">
        <v>35</v>
      </c>
      <c r="H1367" s="442" t="s">
        <v>65</v>
      </c>
      <c r="I1367" s="442" t="s">
        <v>38</v>
      </c>
      <c r="J1367" s="443">
        <v>14149.0</v>
      </c>
      <c r="K1367" s="444" t="s">
        <v>18148</v>
      </c>
    </row>
    <row r="1368">
      <c r="A1368" s="437">
        <v>45944.45520833333</v>
      </c>
      <c r="B1368" s="438">
        <v>18838.0</v>
      </c>
      <c r="C1368" s="438" t="s">
        <v>7703</v>
      </c>
      <c r="D1368" s="438" t="s">
        <v>47</v>
      </c>
      <c r="E1368" s="438" t="s">
        <v>22634</v>
      </c>
      <c r="F1368" s="438" t="s">
        <v>48</v>
      </c>
      <c r="G1368" s="438" t="s">
        <v>35</v>
      </c>
      <c r="H1368" s="438" t="s">
        <v>65</v>
      </c>
      <c r="I1368" s="438" t="s">
        <v>38</v>
      </c>
      <c r="J1368" s="439">
        <v>14147.0</v>
      </c>
      <c r="K1368" s="440" t="s">
        <v>18148</v>
      </c>
    </row>
    <row r="1369">
      <c r="A1369" s="441">
        <v>45944.45880787037</v>
      </c>
      <c r="B1369" s="442">
        <v>18834.0</v>
      </c>
      <c r="C1369" s="442" t="s">
        <v>22620</v>
      </c>
      <c r="D1369" s="442" t="s">
        <v>91</v>
      </c>
      <c r="E1369" s="442" t="s">
        <v>22621</v>
      </c>
      <c r="F1369" s="442" t="s">
        <v>48</v>
      </c>
      <c r="G1369" s="442" t="s">
        <v>35</v>
      </c>
      <c r="H1369" s="442" t="s">
        <v>65</v>
      </c>
      <c r="I1369" s="442" t="s">
        <v>38</v>
      </c>
      <c r="J1369" s="443">
        <v>14142.0</v>
      </c>
      <c r="K1369" s="444" t="s">
        <v>18148</v>
      </c>
    </row>
    <row r="1370">
      <c r="A1370" s="437">
        <v>45944.678032407406</v>
      </c>
      <c r="B1370" s="438">
        <v>18836.0</v>
      </c>
      <c r="C1370" s="438" t="s">
        <v>10529</v>
      </c>
      <c r="D1370" s="438" t="s">
        <v>91</v>
      </c>
      <c r="E1370" s="438" t="s">
        <v>22630</v>
      </c>
      <c r="F1370" s="438" t="s">
        <v>48</v>
      </c>
      <c r="G1370" s="438" t="s">
        <v>35</v>
      </c>
      <c r="H1370" s="438" t="s">
        <v>92</v>
      </c>
      <c r="I1370" s="438" t="s">
        <v>38</v>
      </c>
      <c r="J1370" s="439">
        <v>14150.0</v>
      </c>
      <c r="K1370" s="440" t="s">
        <v>18148</v>
      </c>
    </row>
    <row r="1371">
      <c r="A1371" s="441">
        <v>45945.44909722222</v>
      </c>
      <c r="B1371" s="442">
        <v>18804.0</v>
      </c>
      <c r="C1371" s="442" t="s">
        <v>22430</v>
      </c>
      <c r="D1371" s="442" t="s">
        <v>112</v>
      </c>
      <c r="E1371" s="442" t="s">
        <v>22431</v>
      </c>
      <c r="F1371" s="442" t="s">
        <v>48</v>
      </c>
      <c r="G1371" s="442" t="s">
        <v>35</v>
      </c>
      <c r="H1371" s="442" t="s">
        <v>65</v>
      </c>
      <c r="I1371" s="442" t="s">
        <v>38</v>
      </c>
      <c r="J1371" s="443">
        <v>-14129.0</v>
      </c>
      <c r="K1371" s="444" t="s">
        <v>18148</v>
      </c>
    </row>
    <row r="1372">
      <c r="A1372" s="437">
        <v>45945.44923611111</v>
      </c>
      <c r="B1372" s="438">
        <v>18841.0</v>
      </c>
      <c r="C1372" s="438" t="s">
        <v>22652</v>
      </c>
      <c r="D1372" s="438" t="s">
        <v>91</v>
      </c>
      <c r="E1372" s="438" t="s">
        <v>22653</v>
      </c>
      <c r="F1372" s="438" t="s">
        <v>48</v>
      </c>
      <c r="G1372" s="438" t="s">
        <v>35</v>
      </c>
      <c r="H1372" s="438" t="s">
        <v>65</v>
      </c>
      <c r="I1372" s="438" t="s">
        <v>38</v>
      </c>
      <c r="J1372" s="439">
        <v>14155.0</v>
      </c>
      <c r="K1372" s="440" t="s">
        <v>18148</v>
      </c>
    </row>
    <row r="1373">
      <c r="A1373" s="441">
        <v>45945.449270833335</v>
      </c>
      <c r="B1373" s="442">
        <v>18849.0</v>
      </c>
      <c r="C1373" s="442" t="s">
        <v>9230</v>
      </c>
      <c r="D1373" s="442" t="s">
        <v>91</v>
      </c>
      <c r="E1373" s="442" t="s">
        <v>22686</v>
      </c>
      <c r="F1373" s="442" t="s">
        <v>48</v>
      </c>
      <c r="G1373" s="442" t="s">
        <v>35</v>
      </c>
      <c r="H1373" s="442" t="s">
        <v>65</v>
      </c>
      <c r="I1373" s="442" t="s">
        <v>38</v>
      </c>
      <c r="J1373" s="443">
        <v>14160.0</v>
      </c>
      <c r="K1373" s="444" t="s">
        <v>18148</v>
      </c>
    </row>
    <row r="1374">
      <c r="A1374" s="437">
        <v>45945.449282407404</v>
      </c>
      <c r="B1374" s="438">
        <v>18843.0</v>
      </c>
      <c r="C1374" s="438" t="s">
        <v>16816</v>
      </c>
      <c r="D1374" s="438" t="s">
        <v>85</v>
      </c>
      <c r="E1374" s="438" t="s">
        <v>22664</v>
      </c>
      <c r="F1374" s="438" t="s">
        <v>48</v>
      </c>
      <c r="G1374" s="438" t="s">
        <v>35</v>
      </c>
      <c r="H1374" s="438" t="s">
        <v>65</v>
      </c>
      <c r="I1374" s="438" t="s">
        <v>38</v>
      </c>
      <c r="J1374" s="439">
        <v>14156.0</v>
      </c>
      <c r="K1374" s="440" t="s">
        <v>18148</v>
      </c>
    </row>
    <row r="1375">
      <c r="A1375" s="441">
        <v>45945.44931712963</v>
      </c>
      <c r="B1375" s="442">
        <v>18851.0</v>
      </c>
      <c r="C1375" s="442" t="s">
        <v>8299</v>
      </c>
      <c r="D1375" s="442" t="s">
        <v>91</v>
      </c>
      <c r="E1375" s="442" t="s">
        <v>22694</v>
      </c>
      <c r="F1375" s="442" t="s">
        <v>48</v>
      </c>
      <c r="G1375" s="442" t="s">
        <v>35</v>
      </c>
      <c r="H1375" s="442" t="s">
        <v>65</v>
      </c>
      <c r="I1375" s="442" t="s">
        <v>38</v>
      </c>
      <c r="J1375" s="443">
        <v>14159.0</v>
      </c>
      <c r="K1375" s="444" t="s">
        <v>18148</v>
      </c>
    </row>
    <row r="1376">
      <c r="A1376" s="437">
        <v>45945.44943287037</v>
      </c>
      <c r="B1376" s="438" t="s">
        <v>21808</v>
      </c>
      <c r="C1376" s="438" t="s">
        <v>1759</v>
      </c>
      <c r="D1376" s="438" t="s">
        <v>85</v>
      </c>
      <c r="E1376" s="438" t="s">
        <v>21809</v>
      </c>
      <c r="F1376" s="438" t="s">
        <v>48</v>
      </c>
      <c r="G1376" s="438" t="s">
        <v>35</v>
      </c>
      <c r="H1376" s="438" t="s">
        <v>49</v>
      </c>
      <c r="I1376" s="438" t="s">
        <v>518</v>
      </c>
      <c r="J1376" s="439">
        <v>14152.0</v>
      </c>
      <c r="K1376" s="440" t="s">
        <v>18148</v>
      </c>
    </row>
    <row r="1377">
      <c r="A1377" s="441">
        <v>45945.45049768518</v>
      </c>
      <c r="B1377" s="442" t="s">
        <v>21813</v>
      </c>
      <c r="C1377" s="442" t="s">
        <v>1759</v>
      </c>
      <c r="D1377" s="442" t="s">
        <v>85</v>
      </c>
      <c r="E1377" s="442" t="s">
        <v>21814</v>
      </c>
      <c r="F1377" s="442" t="s">
        <v>48</v>
      </c>
      <c r="G1377" s="442" t="s">
        <v>35</v>
      </c>
      <c r="H1377" s="442" t="s">
        <v>49</v>
      </c>
      <c r="I1377" s="442" t="s">
        <v>518</v>
      </c>
      <c r="J1377" s="443">
        <v>14152.0</v>
      </c>
      <c r="K1377" s="444" t="s">
        <v>18148</v>
      </c>
    </row>
    <row r="1378">
      <c r="A1378" s="437">
        <v>45945.45060185185</v>
      </c>
      <c r="B1378" s="438">
        <v>18717.0</v>
      </c>
      <c r="C1378" s="438" t="s">
        <v>8426</v>
      </c>
      <c r="D1378" s="438" t="s">
        <v>32</v>
      </c>
      <c r="E1378" s="438">
        <v>20346.0</v>
      </c>
      <c r="F1378" s="438" t="s">
        <v>33</v>
      </c>
      <c r="G1378" s="438" t="s">
        <v>35</v>
      </c>
      <c r="H1378" s="438" t="s">
        <v>49</v>
      </c>
      <c r="I1378" s="438" t="s">
        <v>38</v>
      </c>
      <c r="J1378" s="439">
        <v>14151.0</v>
      </c>
      <c r="K1378" s="440" t="s">
        <v>18148</v>
      </c>
    </row>
    <row r="1379">
      <c r="A1379" s="441">
        <v>45945.45060185185</v>
      </c>
      <c r="B1379" s="442">
        <v>18731.0</v>
      </c>
      <c r="C1379" s="442" t="s">
        <v>4352</v>
      </c>
      <c r="D1379" s="442" t="s">
        <v>91</v>
      </c>
      <c r="E1379" s="442" t="s">
        <v>22106</v>
      </c>
      <c r="F1379" s="442" t="s">
        <v>48</v>
      </c>
      <c r="G1379" s="442" t="s">
        <v>35</v>
      </c>
      <c r="H1379" s="442" t="s">
        <v>49</v>
      </c>
      <c r="I1379" s="442" t="s">
        <v>38</v>
      </c>
      <c r="J1379" s="443">
        <v>14153.0</v>
      </c>
      <c r="K1379" s="444" t="s">
        <v>18148</v>
      </c>
    </row>
    <row r="1380">
      <c r="A1380" s="437">
        <v>45945.45061342593</v>
      </c>
      <c r="B1380" s="438">
        <v>18844.0</v>
      </c>
      <c r="C1380" s="438" t="s">
        <v>4352</v>
      </c>
      <c r="D1380" s="438" t="s">
        <v>85</v>
      </c>
      <c r="E1380" s="438" t="s">
        <v>22669</v>
      </c>
      <c r="F1380" s="438" t="s">
        <v>48</v>
      </c>
      <c r="G1380" s="438" t="s">
        <v>35</v>
      </c>
      <c r="H1380" s="438" t="s">
        <v>49</v>
      </c>
      <c r="I1380" s="438" t="s">
        <v>38</v>
      </c>
      <c r="J1380" s="439">
        <v>14157.0</v>
      </c>
      <c r="K1380" s="440" t="s">
        <v>18148</v>
      </c>
    </row>
    <row r="1381">
      <c r="A1381" s="441">
        <v>45945.45064814815</v>
      </c>
      <c r="B1381" s="442" t="s">
        <v>22638</v>
      </c>
      <c r="C1381" s="442" t="s">
        <v>5507</v>
      </c>
      <c r="D1381" s="442" t="s">
        <v>47</v>
      </c>
      <c r="E1381" s="442" t="s">
        <v>22639</v>
      </c>
      <c r="F1381" s="442" t="s">
        <v>48</v>
      </c>
      <c r="G1381" s="442" t="s">
        <v>35</v>
      </c>
      <c r="H1381" s="442" t="s">
        <v>49</v>
      </c>
      <c r="I1381" s="442" t="s">
        <v>38</v>
      </c>
      <c r="J1381" s="443">
        <v>14154.0</v>
      </c>
      <c r="K1381" s="444" t="s">
        <v>18148</v>
      </c>
    </row>
    <row r="1382">
      <c r="A1382" s="437">
        <v>45945.450694444444</v>
      </c>
      <c r="B1382" s="438" t="s">
        <v>22642</v>
      </c>
      <c r="C1382" s="438" t="s">
        <v>5507</v>
      </c>
      <c r="D1382" s="438" t="s">
        <v>47</v>
      </c>
      <c r="E1382" s="438" t="s">
        <v>22643</v>
      </c>
      <c r="F1382" s="438" t="s">
        <v>48</v>
      </c>
      <c r="G1382" s="438" t="s">
        <v>35</v>
      </c>
      <c r="H1382" s="438" t="s">
        <v>49</v>
      </c>
      <c r="I1382" s="438" t="s">
        <v>38</v>
      </c>
      <c r="J1382" s="439">
        <v>14154.0</v>
      </c>
      <c r="K1382" s="440" t="s">
        <v>18148</v>
      </c>
    </row>
    <row r="1383">
      <c r="A1383" s="441">
        <v>45945.45376157408</v>
      </c>
      <c r="B1383" s="442">
        <v>18804.0</v>
      </c>
      <c r="C1383" s="442" t="s">
        <v>22430</v>
      </c>
      <c r="D1383" s="442" t="s">
        <v>112</v>
      </c>
      <c r="E1383" s="442" t="s">
        <v>22431</v>
      </c>
      <c r="F1383" s="442" t="s">
        <v>48</v>
      </c>
      <c r="G1383" s="442" t="s">
        <v>35</v>
      </c>
      <c r="H1383" s="442" t="s">
        <v>65</v>
      </c>
      <c r="I1383" s="442" t="s">
        <v>38</v>
      </c>
      <c r="J1383" s="443">
        <v>14161.0</v>
      </c>
      <c r="K1383" s="444" t="s">
        <v>18148</v>
      </c>
    </row>
    <row r="1384">
      <c r="A1384" s="437">
        <v>45945.55496527778</v>
      </c>
      <c r="B1384" s="438">
        <v>18751.0</v>
      </c>
      <c r="C1384" s="438" t="s">
        <v>5586</v>
      </c>
      <c r="D1384" s="438" t="s">
        <v>91</v>
      </c>
      <c r="E1384" s="438" t="s">
        <v>22219</v>
      </c>
      <c r="F1384" s="438" t="s">
        <v>48</v>
      </c>
      <c r="G1384" s="438" t="s">
        <v>35</v>
      </c>
      <c r="H1384" s="438" t="s">
        <v>49</v>
      </c>
      <c r="I1384" s="438" t="s">
        <v>16905</v>
      </c>
      <c r="J1384" s="439">
        <v>14162.0</v>
      </c>
      <c r="K1384" s="440" t="s">
        <v>18148</v>
      </c>
    </row>
    <row r="1385">
      <c r="A1385" s="441">
        <v>45945.55635416666</v>
      </c>
      <c r="B1385" s="442">
        <v>18813.0</v>
      </c>
      <c r="C1385" s="442" t="s">
        <v>1299</v>
      </c>
      <c r="D1385" s="442" t="s">
        <v>91</v>
      </c>
      <c r="E1385" s="442" t="s">
        <v>22450</v>
      </c>
      <c r="F1385" s="442" t="s">
        <v>48</v>
      </c>
      <c r="G1385" s="442" t="s">
        <v>35</v>
      </c>
      <c r="H1385" s="442" t="s">
        <v>92</v>
      </c>
      <c r="I1385" s="442" t="s">
        <v>38</v>
      </c>
      <c r="J1385" s="443">
        <v>14164.0</v>
      </c>
      <c r="K1385" s="444" t="s">
        <v>18148</v>
      </c>
    </row>
    <row r="1386">
      <c r="A1386" s="437">
        <v>45945.55912037037</v>
      </c>
      <c r="B1386" s="438">
        <v>18845.0</v>
      </c>
      <c r="C1386" s="438" t="s">
        <v>22674</v>
      </c>
      <c r="D1386" s="438" t="s">
        <v>47</v>
      </c>
      <c r="E1386" s="438" t="s">
        <v>22675</v>
      </c>
      <c r="F1386" s="438" t="s">
        <v>48</v>
      </c>
      <c r="G1386" s="438" t="s">
        <v>35</v>
      </c>
      <c r="H1386" s="438" t="s">
        <v>49</v>
      </c>
      <c r="I1386" s="438" t="s">
        <v>38</v>
      </c>
      <c r="J1386" s="439">
        <v>14165.0</v>
      </c>
      <c r="K1386" s="440" t="s">
        <v>18148</v>
      </c>
    </row>
    <row r="1387">
      <c r="A1387" s="441">
        <v>45945.560520833336</v>
      </c>
      <c r="B1387" s="442">
        <v>18853.0</v>
      </c>
      <c r="C1387" s="442" t="s">
        <v>22183</v>
      </c>
      <c r="D1387" s="442" t="s">
        <v>85</v>
      </c>
      <c r="E1387" s="442" t="s">
        <v>22701</v>
      </c>
      <c r="F1387" s="442" t="s">
        <v>48</v>
      </c>
      <c r="G1387" s="442" t="s">
        <v>35</v>
      </c>
      <c r="H1387" s="442" t="s">
        <v>65</v>
      </c>
      <c r="I1387" s="442" t="s">
        <v>38</v>
      </c>
      <c r="J1387" s="443">
        <v>14166.0</v>
      </c>
      <c r="K1387" s="444" t="s">
        <v>18148</v>
      </c>
    </row>
    <row r="1388">
      <c r="A1388" s="437">
        <v>45945.56214120371</v>
      </c>
      <c r="B1388" s="438">
        <v>18858.0</v>
      </c>
      <c r="C1388" s="438" t="s">
        <v>17025</v>
      </c>
      <c r="D1388" s="438" t="s">
        <v>85</v>
      </c>
      <c r="E1388" s="438" t="s">
        <v>22717</v>
      </c>
      <c r="F1388" s="438" t="s">
        <v>48</v>
      </c>
      <c r="G1388" s="438" t="s">
        <v>35</v>
      </c>
      <c r="H1388" s="438" t="s">
        <v>49</v>
      </c>
      <c r="I1388" s="438" t="s">
        <v>38</v>
      </c>
      <c r="J1388" s="439">
        <v>14167.0</v>
      </c>
      <c r="K1388" s="440" t="s">
        <v>18148</v>
      </c>
    </row>
    <row r="1389">
      <c r="A1389" s="441">
        <v>45945.56348379629</v>
      </c>
      <c r="B1389" s="442">
        <v>18398.0</v>
      </c>
      <c r="C1389" s="442" t="s">
        <v>20326</v>
      </c>
      <c r="D1389" s="442" t="s">
        <v>85</v>
      </c>
      <c r="E1389" s="442" t="s">
        <v>20327</v>
      </c>
      <c r="F1389" s="442" t="s">
        <v>48</v>
      </c>
      <c r="G1389" s="442" t="s">
        <v>35</v>
      </c>
      <c r="H1389" s="442" t="s">
        <v>65</v>
      </c>
      <c r="I1389" s="442" t="s">
        <v>38</v>
      </c>
      <c r="J1389" s="443">
        <v>14168.0</v>
      </c>
      <c r="K1389" s="444" t="s">
        <v>18148</v>
      </c>
    </row>
    <row r="1390">
      <c r="A1390" s="437">
        <v>45945.601435185185</v>
      </c>
      <c r="B1390" s="438">
        <v>18866.0</v>
      </c>
      <c r="C1390" s="438" t="s">
        <v>530</v>
      </c>
      <c r="D1390" s="438" t="s">
        <v>47</v>
      </c>
      <c r="E1390" s="438" t="s">
        <v>22754</v>
      </c>
      <c r="F1390" s="438" t="s">
        <v>48</v>
      </c>
      <c r="G1390" s="438" t="s">
        <v>35</v>
      </c>
      <c r="H1390" s="438" t="s">
        <v>92</v>
      </c>
      <c r="I1390" s="438" t="s">
        <v>38</v>
      </c>
      <c r="J1390" s="439">
        <v>14170.0</v>
      </c>
      <c r="K1390" s="440" t="s">
        <v>18148</v>
      </c>
    </row>
    <row r="1391">
      <c r="A1391" s="441">
        <v>45946.377071759256</v>
      </c>
      <c r="B1391" s="442">
        <v>18853.0</v>
      </c>
      <c r="C1391" s="442" t="s">
        <v>22183</v>
      </c>
      <c r="D1391" s="442" t="s">
        <v>85</v>
      </c>
      <c r="E1391" s="442" t="s">
        <v>22701</v>
      </c>
      <c r="F1391" s="442" t="s">
        <v>48</v>
      </c>
      <c r="G1391" s="442" t="s">
        <v>35</v>
      </c>
      <c r="H1391" s="442" t="s">
        <v>18078</v>
      </c>
      <c r="I1391" s="442" t="s">
        <v>38</v>
      </c>
      <c r="J1391" s="443">
        <v>14166.0</v>
      </c>
      <c r="K1391" s="444" t="s">
        <v>18148</v>
      </c>
    </row>
    <row r="1392">
      <c r="A1392" s="437">
        <v>45946.428715277776</v>
      </c>
      <c r="B1392" s="438">
        <v>18617.0</v>
      </c>
      <c r="C1392" s="438" t="s">
        <v>21499</v>
      </c>
      <c r="D1392" s="438" t="s">
        <v>16479</v>
      </c>
      <c r="E1392" s="438">
        <v>20352.0</v>
      </c>
      <c r="F1392" s="438" t="s">
        <v>48</v>
      </c>
      <c r="G1392" s="438" t="s">
        <v>35</v>
      </c>
      <c r="H1392" s="438" t="s">
        <v>49</v>
      </c>
      <c r="I1392" s="438" t="s">
        <v>21500</v>
      </c>
      <c r="J1392" s="439">
        <v>14172.0</v>
      </c>
      <c r="K1392" s="440" t="s">
        <v>18148</v>
      </c>
    </row>
    <row r="1393">
      <c r="A1393" s="441">
        <v>45946.42872685185</v>
      </c>
      <c r="B1393" s="442">
        <v>18827.0</v>
      </c>
      <c r="C1393" s="442" t="s">
        <v>16816</v>
      </c>
      <c r="D1393" s="442" t="s">
        <v>135</v>
      </c>
      <c r="E1393" s="442">
        <v>20294.0</v>
      </c>
      <c r="F1393" s="442" t="s">
        <v>48</v>
      </c>
      <c r="G1393" s="442" t="s">
        <v>35</v>
      </c>
      <c r="H1393" s="442" t="s">
        <v>65</v>
      </c>
      <c r="I1393" s="442" t="s">
        <v>38</v>
      </c>
      <c r="J1393" s="443">
        <v>14173.0</v>
      </c>
      <c r="K1393" s="444" t="s">
        <v>18148</v>
      </c>
    </row>
    <row r="1394">
      <c r="A1394" s="437">
        <v>45946.489016203705</v>
      </c>
      <c r="B1394" s="438">
        <v>18826.0</v>
      </c>
      <c r="C1394" s="438" t="s">
        <v>8173</v>
      </c>
      <c r="D1394" s="438" t="s">
        <v>12405</v>
      </c>
      <c r="E1394" s="438">
        <v>20354.0</v>
      </c>
      <c r="F1394" s="438" t="s">
        <v>48</v>
      </c>
      <c r="G1394" s="438" t="s">
        <v>35</v>
      </c>
      <c r="H1394" s="438" t="s">
        <v>65</v>
      </c>
      <c r="I1394" s="438" t="s">
        <v>38</v>
      </c>
      <c r="J1394" s="439">
        <v>14174.0</v>
      </c>
      <c r="K1394" s="440" t="s">
        <v>18148</v>
      </c>
    </row>
    <row r="1395">
      <c r="A1395" s="441">
        <v>45946.49134259259</v>
      </c>
      <c r="B1395" s="442">
        <v>18822.0</v>
      </c>
      <c r="C1395" s="442" t="s">
        <v>17625</v>
      </c>
      <c r="D1395" s="442" t="s">
        <v>12405</v>
      </c>
      <c r="E1395" s="442">
        <v>20358.0</v>
      </c>
      <c r="F1395" s="442" t="s">
        <v>48</v>
      </c>
      <c r="G1395" s="442" t="s">
        <v>35</v>
      </c>
      <c r="H1395" s="442" t="s">
        <v>49</v>
      </c>
      <c r="I1395" s="442" t="s">
        <v>38</v>
      </c>
      <c r="J1395" s="443">
        <v>14175.0</v>
      </c>
      <c r="K1395" s="444" t="s">
        <v>18148</v>
      </c>
    </row>
    <row r="1396">
      <c r="A1396" s="437">
        <v>45946.493310185186</v>
      </c>
      <c r="B1396" s="438">
        <v>18785.0</v>
      </c>
      <c r="C1396" s="438" t="s">
        <v>19127</v>
      </c>
      <c r="D1396" s="438" t="s">
        <v>12405</v>
      </c>
      <c r="E1396" s="438">
        <v>20360.0</v>
      </c>
      <c r="F1396" s="438" t="s">
        <v>48</v>
      </c>
      <c r="G1396" s="438" t="s">
        <v>35</v>
      </c>
      <c r="H1396" s="438" t="s">
        <v>18078</v>
      </c>
      <c r="I1396" s="438" t="s">
        <v>38</v>
      </c>
      <c r="J1396" s="439"/>
      <c r="K1396" s="440" t="s">
        <v>18148</v>
      </c>
    </row>
    <row r="1397">
      <c r="A1397" s="441">
        <v>45946.493576388886</v>
      </c>
      <c r="B1397" s="442">
        <v>18785.0</v>
      </c>
      <c r="C1397" s="442" t="s">
        <v>19127</v>
      </c>
      <c r="D1397" s="442" t="s">
        <v>12405</v>
      </c>
      <c r="E1397" s="442">
        <v>20360.0</v>
      </c>
      <c r="F1397" s="442" t="s">
        <v>48</v>
      </c>
      <c r="G1397" s="442" t="s">
        <v>35</v>
      </c>
      <c r="H1397" s="442" t="s">
        <v>18078</v>
      </c>
      <c r="I1397" s="442" t="s">
        <v>38</v>
      </c>
      <c r="J1397" s="443"/>
      <c r="K1397" s="444" t="s">
        <v>18148</v>
      </c>
    </row>
    <row r="1398">
      <c r="A1398" s="437">
        <v>45946.49412037037</v>
      </c>
      <c r="B1398" s="438">
        <v>18785.0</v>
      </c>
      <c r="C1398" s="438" t="s">
        <v>19127</v>
      </c>
      <c r="D1398" s="438" t="s">
        <v>12405</v>
      </c>
      <c r="E1398" s="438">
        <v>20360.0</v>
      </c>
      <c r="F1398" s="438" t="s">
        <v>48</v>
      </c>
      <c r="G1398" s="438" t="s">
        <v>35</v>
      </c>
      <c r="H1398" s="438" t="s">
        <v>18078</v>
      </c>
      <c r="I1398" s="438" t="s">
        <v>38</v>
      </c>
      <c r="J1398" s="439">
        <v>14176.0</v>
      </c>
      <c r="K1398" s="440" t="s">
        <v>18148</v>
      </c>
    </row>
    <row r="1399">
      <c r="A1399" s="441">
        <v>45946.49418981482</v>
      </c>
      <c r="B1399" s="442">
        <v>18785.0</v>
      </c>
      <c r="C1399" s="442" t="s">
        <v>19127</v>
      </c>
      <c r="D1399" s="442" t="s">
        <v>12405</v>
      </c>
      <c r="E1399" s="442">
        <v>20360.0</v>
      </c>
      <c r="F1399" s="442" t="s">
        <v>48</v>
      </c>
      <c r="G1399" s="442" t="s">
        <v>35</v>
      </c>
      <c r="H1399" s="442" t="s">
        <v>18078</v>
      </c>
      <c r="I1399" s="442" t="s">
        <v>38</v>
      </c>
      <c r="J1399" s="443">
        <v>14176.0</v>
      </c>
      <c r="K1399" s="444" t="s">
        <v>18148</v>
      </c>
    </row>
    <row r="1400">
      <c r="A1400" s="437">
        <v>45946.61063657407</v>
      </c>
      <c r="B1400" s="438">
        <v>18880.0</v>
      </c>
      <c r="C1400" s="438" t="s">
        <v>22810</v>
      </c>
      <c r="D1400" s="438" t="s">
        <v>18072</v>
      </c>
      <c r="E1400" s="438" t="s">
        <v>22811</v>
      </c>
      <c r="F1400" s="438"/>
      <c r="G1400" s="438" t="s">
        <v>35</v>
      </c>
      <c r="H1400" s="438" t="s">
        <v>65</v>
      </c>
      <c r="I1400" s="438" t="s">
        <v>38</v>
      </c>
      <c r="J1400" s="439">
        <v>14177.0</v>
      </c>
      <c r="K1400" s="440" t="s">
        <v>18148</v>
      </c>
    </row>
    <row r="1401">
      <c r="A1401" s="441">
        <v>45947.451006944444</v>
      </c>
      <c r="B1401" s="442">
        <v>18882.0</v>
      </c>
      <c r="C1401" s="442" t="s">
        <v>4313</v>
      </c>
      <c r="D1401" s="442" t="s">
        <v>85</v>
      </c>
      <c r="E1401" s="442" t="s">
        <v>22820</v>
      </c>
      <c r="F1401" s="442" t="s">
        <v>48</v>
      </c>
      <c r="G1401" s="442" t="s">
        <v>35</v>
      </c>
      <c r="H1401" s="442" t="s">
        <v>92</v>
      </c>
      <c r="I1401" s="442" t="s">
        <v>38</v>
      </c>
      <c r="J1401" s="443">
        <v>14181.0</v>
      </c>
      <c r="K1401" s="444" t="s">
        <v>18148</v>
      </c>
    </row>
    <row r="1402">
      <c r="A1402" s="437">
        <v>45947.451319444444</v>
      </c>
      <c r="B1402" s="438">
        <v>18864.0</v>
      </c>
      <c r="C1402" s="438" t="s">
        <v>22743</v>
      </c>
      <c r="D1402" s="438" t="s">
        <v>91</v>
      </c>
      <c r="E1402" s="438" t="s">
        <v>22744</v>
      </c>
      <c r="F1402" s="438" t="s">
        <v>48</v>
      </c>
      <c r="G1402" s="438" t="s">
        <v>35</v>
      </c>
      <c r="H1402" s="438" t="s">
        <v>49</v>
      </c>
      <c r="I1402" s="438" t="s">
        <v>22745</v>
      </c>
      <c r="J1402" s="439">
        <v>14180.0</v>
      </c>
      <c r="K1402" s="440" t="s">
        <v>18148</v>
      </c>
    </row>
    <row r="1403">
      <c r="A1403" s="441">
        <v>45947.45135416667</v>
      </c>
      <c r="B1403" s="442">
        <v>18883.0</v>
      </c>
      <c r="C1403" s="442" t="s">
        <v>89</v>
      </c>
      <c r="D1403" s="442" t="s">
        <v>91</v>
      </c>
      <c r="E1403" s="442" t="s">
        <v>22825</v>
      </c>
      <c r="F1403" s="442" t="s">
        <v>48</v>
      </c>
      <c r="G1403" s="442" t="s">
        <v>35</v>
      </c>
      <c r="H1403" s="442" t="s">
        <v>65</v>
      </c>
      <c r="I1403" s="442" t="s">
        <v>38</v>
      </c>
      <c r="J1403" s="443">
        <v>14182.0</v>
      </c>
      <c r="K1403" s="444" t="s">
        <v>18148</v>
      </c>
    </row>
    <row r="1404">
      <c r="A1404" s="437">
        <v>45947.45138888889</v>
      </c>
      <c r="B1404" s="438">
        <v>18885.0</v>
      </c>
      <c r="C1404" s="438" t="s">
        <v>11376</v>
      </c>
      <c r="D1404" s="438" t="s">
        <v>47</v>
      </c>
      <c r="E1404" s="438" t="s">
        <v>22833</v>
      </c>
      <c r="F1404" s="438" t="s">
        <v>48</v>
      </c>
      <c r="G1404" s="438" t="s">
        <v>35</v>
      </c>
      <c r="H1404" s="438" t="s">
        <v>65</v>
      </c>
      <c r="I1404" s="438" t="s">
        <v>38</v>
      </c>
      <c r="J1404" s="439">
        <v>14183.0</v>
      </c>
      <c r="K1404" s="440" t="s">
        <v>18148</v>
      </c>
    </row>
    <row r="1405">
      <c r="A1405" s="441">
        <v>45947.49010416667</v>
      </c>
      <c r="B1405" s="442">
        <v>18833.0</v>
      </c>
      <c r="C1405" s="442" t="s">
        <v>22613</v>
      </c>
      <c r="D1405" s="442" t="s">
        <v>91</v>
      </c>
      <c r="E1405" s="442" t="s">
        <v>22614</v>
      </c>
      <c r="F1405" s="442" t="s">
        <v>48</v>
      </c>
      <c r="G1405" s="442" t="s">
        <v>35</v>
      </c>
      <c r="H1405" s="442" t="s">
        <v>92</v>
      </c>
      <c r="I1405" s="442" t="s">
        <v>38</v>
      </c>
      <c r="J1405" s="443">
        <v>14186.0</v>
      </c>
      <c r="K1405" s="444" t="s">
        <v>18148</v>
      </c>
    </row>
    <row r="1406">
      <c r="A1406" s="437">
        <v>45947.549363425926</v>
      </c>
      <c r="B1406" s="438">
        <v>18803.0</v>
      </c>
      <c r="C1406" s="438" t="s">
        <v>4313</v>
      </c>
      <c r="D1406" s="438" t="s">
        <v>12405</v>
      </c>
      <c r="E1406" s="438">
        <v>20356.0</v>
      </c>
      <c r="F1406" s="438" t="s">
        <v>48</v>
      </c>
      <c r="G1406" s="438" t="s">
        <v>35</v>
      </c>
      <c r="H1406" s="438" t="s">
        <v>92</v>
      </c>
      <c r="I1406" s="438" t="s">
        <v>38</v>
      </c>
      <c r="J1406" s="439">
        <v>14187.0</v>
      </c>
      <c r="K1406" s="440" t="s">
        <v>18148</v>
      </c>
    </row>
    <row r="1407">
      <c r="A1407" s="441">
        <v>45947.62553240741</v>
      </c>
      <c r="B1407" s="442" t="s">
        <v>22891</v>
      </c>
      <c r="C1407" s="442" t="s">
        <v>19002</v>
      </c>
      <c r="D1407" s="442" t="s">
        <v>85</v>
      </c>
      <c r="E1407" s="442" t="s">
        <v>22892</v>
      </c>
      <c r="F1407" s="442" t="s">
        <v>48</v>
      </c>
      <c r="G1407" s="442" t="s">
        <v>35</v>
      </c>
      <c r="H1407" s="442" t="s">
        <v>19882</v>
      </c>
      <c r="I1407" s="442" t="s">
        <v>38</v>
      </c>
      <c r="J1407" s="443">
        <v>14188.0</v>
      </c>
      <c r="K1407" s="444" t="s">
        <v>18148</v>
      </c>
    </row>
    <row r="1408">
      <c r="A1408" s="437">
        <v>45947.62553240741</v>
      </c>
      <c r="B1408" s="438" t="s">
        <v>22883</v>
      </c>
      <c r="C1408" s="438" t="s">
        <v>19002</v>
      </c>
      <c r="D1408" s="438" t="s">
        <v>72</v>
      </c>
      <c r="E1408" s="438" t="s">
        <v>22884</v>
      </c>
      <c r="F1408" s="438" t="s">
        <v>48</v>
      </c>
      <c r="G1408" s="438" t="s">
        <v>35</v>
      </c>
      <c r="H1408" s="438" t="s">
        <v>19882</v>
      </c>
      <c r="I1408" s="438" t="s">
        <v>38</v>
      </c>
      <c r="J1408" s="439">
        <v>14188.0</v>
      </c>
      <c r="K1408" s="440" t="s">
        <v>18148</v>
      </c>
    </row>
    <row r="1409">
      <c r="A1409" s="441">
        <v>45947.625543981485</v>
      </c>
      <c r="B1409" s="442" t="s">
        <v>22887</v>
      </c>
      <c r="C1409" s="442" t="s">
        <v>19002</v>
      </c>
      <c r="D1409" s="442" t="s">
        <v>72</v>
      </c>
      <c r="E1409" s="442" t="s">
        <v>22888</v>
      </c>
      <c r="F1409" s="442" t="s">
        <v>48</v>
      </c>
      <c r="G1409" s="442" t="s">
        <v>35</v>
      </c>
      <c r="H1409" s="442" t="s">
        <v>19882</v>
      </c>
      <c r="I1409" s="442" t="s">
        <v>38</v>
      </c>
      <c r="J1409" s="443">
        <v>14188.0</v>
      </c>
      <c r="K1409" s="444" t="s">
        <v>18148</v>
      </c>
    </row>
    <row r="1410">
      <c r="A1410" s="437">
        <v>45947.625543981485</v>
      </c>
      <c r="B1410" s="438" t="s">
        <v>22878</v>
      </c>
      <c r="C1410" s="438" t="s">
        <v>19002</v>
      </c>
      <c r="D1410" s="438" t="s">
        <v>72</v>
      </c>
      <c r="E1410" s="438" t="s">
        <v>22879</v>
      </c>
      <c r="F1410" s="438" t="s">
        <v>48</v>
      </c>
      <c r="G1410" s="438" t="s">
        <v>35</v>
      </c>
      <c r="H1410" s="438" t="s">
        <v>19882</v>
      </c>
      <c r="I1410" s="438" t="s">
        <v>38</v>
      </c>
      <c r="J1410" s="439">
        <v>14188.0</v>
      </c>
      <c r="K1410" s="440" t="s">
        <v>18148</v>
      </c>
    </row>
    <row r="1411">
      <c r="A1411" s="441">
        <v>45947.62646990741</v>
      </c>
      <c r="B1411" s="442" t="s">
        <v>22887</v>
      </c>
      <c r="C1411" s="442" t="s">
        <v>19002</v>
      </c>
      <c r="D1411" s="442" t="s">
        <v>72</v>
      </c>
      <c r="E1411" s="442" t="s">
        <v>22888</v>
      </c>
      <c r="F1411" s="442" t="s">
        <v>48</v>
      </c>
      <c r="G1411" s="442" t="s">
        <v>35</v>
      </c>
      <c r="H1411" s="442" t="s">
        <v>19882</v>
      </c>
      <c r="I1411" s="442" t="s">
        <v>38</v>
      </c>
      <c r="J1411" s="443">
        <v>14188.0</v>
      </c>
      <c r="K1411" s="444" t="s">
        <v>18148</v>
      </c>
    </row>
    <row r="1412">
      <c r="A1412" s="437">
        <v>45947.62648148148</v>
      </c>
      <c r="B1412" s="438" t="s">
        <v>22891</v>
      </c>
      <c r="C1412" s="438" t="s">
        <v>19002</v>
      </c>
      <c r="D1412" s="438" t="s">
        <v>85</v>
      </c>
      <c r="E1412" s="438" t="s">
        <v>22892</v>
      </c>
      <c r="F1412" s="438" t="s">
        <v>48</v>
      </c>
      <c r="G1412" s="438" t="s">
        <v>35</v>
      </c>
      <c r="H1412" s="438" t="s">
        <v>19882</v>
      </c>
      <c r="I1412" s="438" t="s">
        <v>38</v>
      </c>
      <c r="J1412" s="439">
        <v>14188.0</v>
      </c>
      <c r="K1412" s="440" t="s">
        <v>18148</v>
      </c>
    </row>
    <row r="1413">
      <c r="A1413" s="441">
        <v>45947.626493055555</v>
      </c>
      <c r="B1413" s="442" t="s">
        <v>22883</v>
      </c>
      <c r="C1413" s="442" t="s">
        <v>19002</v>
      </c>
      <c r="D1413" s="442" t="s">
        <v>72</v>
      </c>
      <c r="E1413" s="442" t="s">
        <v>22884</v>
      </c>
      <c r="F1413" s="442" t="s">
        <v>48</v>
      </c>
      <c r="G1413" s="442" t="s">
        <v>35</v>
      </c>
      <c r="H1413" s="442" t="s">
        <v>19882</v>
      </c>
      <c r="I1413" s="442" t="s">
        <v>38</v>
      </c>
      <c r="J1413" s="443">
        <v>14188.0</v>
      </c>
      <c r="K1413" s="444" t="s">
        <v>18148</v>
      </c>
    </row>
    <row r="1414">
      <c r="A1414" s="437">
        <v>45947.62650462963</v>
      </c>
      <c r="B1414" s="438" t="s">
        <v>22878</v>
      </c>
      <c r="C1414" s="438" t="s">
        <v>19002</v>
      </c>
      <c r="D1414" s="438" t="s">
        <v>72</v>
      </c>
      <c r="E1414" s="438" t="s">
        <v>22879</v>
      </c>
      <c r="F1414" s="438" t="s">
        <v>48</v>
      </c>
      <c r="G1414" s="438" t="s">
        <v>35</v>
      </c>
      <c r="H1414" s="438" t="s">
        <v>19882</v>
      </c>
      <c r="I1414" s="438" t="s">
        <v>38</v>
      </c>
      <c r="J1414" s="439">
        <v>14188.0</v>
      </c>
      <c r="K1414" s="440" t="s">
        <v>18148</v>
      </c>
    </row>
    <row r="1415">
      <c r="A1415" s="441">
        <v>45950.60533564815</v>
      </c>
      <c r="B1415" s="442" t="s">
        <v>21583</v>
      </c>
      <c r="C1415" s="442" t="s">
        <v>858</v>
      </c>
      <c r="D1415" s="442" t="s">
        <v>3395</v>
      </c>
      <c r="E1415" s="442" t="s">
        <v>21584</v>
      </c>
      <c r="F1415" s="442" t="s">
        <v>48</v>
      </c>
      <c r="G1415" s="442" t="s">
        <v>35</v>
      </c>
      <c r="H1415" s="442" t="s">
        <v>420</v>
      </c>
      <c r="I1415" s="442" t="s">
        <v>38</v>
      </c>
      <c r="J1415" s="443">
        <v>14213.0</v>
      </c>
      <c r="K1415" s="444" t="s">
        <v>18148</v>
      </c>
    </row>
    <row r="1416">
      <c r="A1416" s="437">
        <v>45950.605405092596</v>
      </c>
      <c r="B1416" s="438" t="s">
        <v>21588</v>
      </c>
      <c r="C1416" s="438" t="s">
        <v>858</v>
      </c>
      <c r="D1416" s="438" t="s">
        <v>3395</v>
      </c>
      <c r="E1416" s="438" t="s">
        <v>21589</v>
      </c>
      <c r="F1416" s="438" t="s">
        <v>48</v>
      </c>
      <c r="G1416" s="438" t="s">
        <v>35</v>
      </c>
      <c r="H1416" s="438" t="s">
        <v>420</v>
      </c>
      <c r="I1416" s="438" t="s">
        <v>38</v>
      </c>
      <c r="J1416" s="439">
        <v>14213.0</v>
      </c>
      <c r="K1416" s="440" t="s">
        <v>18148</v>
      </c>
    </row>
    <row r="1417">
      <c r="A1417" s="441">
        <v>45950.605787037035</v>
      </c>
      <c r="B1417" s="442">
        <v>18576.0</v>
      </c>
      <c r="C1417" s="442" t="s">
        <v>21292</v>
      </c>
      <c r="D1417" s="442" t="s">
        <v>3395</v>
      </c>
      <c r="E1417" s="442" t="s">
        <v>21293</v>
      </c>
      <c r="F1417" s="442" t="s">
        <v>48</v>
      </c>
      <c r="G1417" s="442" t="s">
        <v>35</v>
      </c>
      <c r="H1417" s="442" t="s">
        <v>65</v>
      </c>
      <c r="I1417" s="442" t="s">
        <v>38</v>
      </c>
      <c r="J1417" s="443">
        <v>14212.0</v>
      </c>
      <c r="K1417" s="444" t="s">
        <v>18148</v>
      </c>
    </row>
    <row r="1418">
      <c r="A1418" s="437">
        <v>45950.60582175926</v>
      </c>
      <c r="B1418" s="438">
        <v>18763.0</v>
      </c>
      <c r="C1418" s="438" t="s">
        <v>19122</v>
      </c>
      <c r="D1418" s="438" t="s">
        <v>112</v>
      </c>
      <c r="E1418" s="438" t="s">
        <v>22303</v>
      </c>
      <c r="F1418" s="438" t="s">
        <v>48</v>
      </c>
      <c r="G1418" s="438" t="s">
        <v>35</v>
      </c>
      <c r="H1418" s="438" t="s">
        <v>65</v>
      </c>
      <c r="I1418" s="438" t="s">
        <v>38</v>
      </c>
      <c r="J1418" s="439">
        <v>14196.0</v>
      </c>
      <c r="K1418" s="440" t="s">
        <v>18148</v>
      </c>
    </row>
    <row r="1419">
      <c r="A1419" s="441">
        <v>45950.60585648148</v>
      </c>
      <c r="B1419" s="442">
        <v>18854.0</v>
      </c>
      <c r="C1419" s="442" t="s">
        <v>7703</v>
      </c>
      <c r="D1419" s="442" t="s">
        <v>47</v>
      </c>
      <c r="E1419" s="442" t="s">
        <v>22706</v>
      </c>
      <c r="F1419" s="442" t="s">
        <v>48</v>
      </c>
      <c r="G1419" s="442" t="s">
        <v>35</v>
      </c>
      <c r="H1419" s="442" t="s">
        <v>65</v>
      </c>
      <c r="I1419" s="442" t="s">
        <v>38</v>
      </c>
      <c r="J1419" s="443">
        <v>14202.0</v>
      </c>
      <c r="K1419" s="444" t="s">
        <v>18148</v>
      </c>
    </row>
    <row r="1420">
      <c r="A1420" s="437">
        <v>45950.60591435185</v>
      </c>
      <c r="B1420" s="438">
        <v>18872.0</v>
      </c>
      <c r="C1420" s="438" t="s">
        <v>16578</v>
      </c>
      <c r="D1420" s="438" t="s">
        <v>12405</v>
      </c>
      <c r="E1420" s="438">
        <v>20371.0</v>
      </c>
      <c r="F1420" s="438" t="s">
        <v>48</v>
      </c>
      <c r="G1420" s="438" t="s">
        <v>35</v>
      </c>
      <c r="H1420" s="438" t="s">
        <v>65</v>
      </c>
      <c r="I1420" s="438" t="s">
        <v>38</v>
      </c>
      <c r="J1420" s="439">
        <v>14191.0</v>
      </c>
      <c r="K1420" s="440" t="s">
        <v>18148</v>
      </c>
    </row>
    <row r="1421">
      <c r="A1421" s="441">
        <v>45950.6059375</v>
      </c>
      <c r="B1421" s="442">
        <v>18884.0</v>
      </c>
      <c r="C1421" s="442" t="s">
        <v>17124</v>
      </c>
      <c r="D1421" s="442" t="s">
        <v>91</v>
      </c>
      <c r="E1421" s="442" t="s">
        <v>22829</v>
      </c>
      <c r="F1421" s="442" t="s">
        <v>48</v>
      </c>
      <c r="G1421" s="442" t="s">
        <v>35</v>
      </c>
      <c r="H1421" s="442" t="s">
        <v>65</v>
      </c>
      <c r="I1421" s="442" t="s">
        <v>38</v>
      </c>
      <c r="J1421" s="443">
        <v>14201.0</v>
      </c>
      <c r="K1421" s="444" t="s">
        <v>18148</v>
      </c>
    </row>
    <row r="1422">
      <c r="A1422" s="437">
        <v>45950.60597222222</v>
      </c>
      <c r="B1422" s="438">
        <v>18896.0</v>
      </c>
      <c r="C1422" s="438" t="s">
        <v>858</v>
      </c>
      <c r="D1422" s="438" t="s">
        <v>91</v>
      </c>
      <c r="E1422" s="438" t="s">
        <v>22874</v>
      </c>
      <c r="F1422" s="438" t="s">
        <v>48</v>
      </c>
      <c r="G1422" s="438" t="s">
        <v>35</v>
      </c>
      <c r="H1422" s="438" t="s">
        <v>65</v>
      </c>
      <c r="I1422" s="438" t="s">
        <v>38</v>
      </c>
      <c r="J1422" s="439">
        <v>14203.0</v>
      </c>
      <c r="K1422" s="440" t="s">
        <v>18148</v>
      </c>
    </row>
    <row r="1423">
      <c r="A1423" s="441">
        <v>45950.60601851852</v>
      </c>
      <c r="B1423" s="442" t="s">
        <v>22921</v>
      </c>
      <c r="C1423" s="442" t="s">
        <v>1192</v>
      </c>
      <c r="D1423" s="442" t="s">
        <v>3395</v>
      </c>
      <c r="E1423" s="442" t="s">
        <v>22922</v>
      </c>
      <c r="F1423" s="442" t="s">
        <v>48</v>
      </c>
      <c r="G1423" s="442" t="s">
        <v>35</v>
      </c>
      <c r="H1423" s="442" t="s">
        <v>65</v>
      </c>
      <c r="I1423" s="442" t="s">
        <v>38</v>
      </c>
      <c r="J1423" s="443">
        <v>14215.0</v>
      </c>
      <c r="K1423" s="444" t="s">
        <v>18148</v>
      </c>
    </row>
    <row r="1424">
      <c r="A1424" s="437">
        <v>45950.60607638889</v>
      </c>
      <c r="B1424" s="438" t="s">
        <v>22925</v>
      </c>
      <c r="C1424" s="438" t="s">
        <v>1192</v>
      </c>
      <c r="D1424" s="438" t="s">
        <v>3395</v>
      </c>
      <c r="E1424" s="438" t="s">
        <v>22926</v>
      </c>
      <c r="F1424" s="438" t="s">
        <v>48</v>
      </c>
      <c r="G1424" s="438" t="s">
        <v>35</v>
      </c>
      <c r="H1424" s="438" t="s">
        <v>65</v>
      </c>
      <c r="I1424" s="438" t="s">
        <v>38</v>
      </c>
      <c r="J1424" s="439">
        <v>14215.0</v>
      </c>
      <c r="K1424" s="440" t="s">
        <v>18148</v>
      </c>
    </row>
    <row r="1425">
      <c r="A1425" s="441">
        <v>45950.606157407405</v>
      </c>
      <c r="B1425" s="442" t="s">
        <v>22186</v>
      </c>
      <c r="C1425" s="442" t="s">
        <v>22183</v>
      </c>
      <c r="D1425" s="442" t="s">
        <v>85</v>
      </c>
      <c r="E1425" s="442" t="s">
        <v>22187</v>
      </c>
      <c r="F1425" s="442" t="s">
        <v>48</v>
      </c>
      <c r="G1425" s="442" t="s">
        <v>35</v>
      </c>
      <c r="H1425" s="442" t="s">
        <v>18078</v>
      </c>
      <c r="I1425" s="442" t="s">
        <v>38</v>
      </c>
      <c r="J1425" s="443">
        <v>14204.0</v>
      </c>
      <c r="K1425" s="444" t="s">
        <v>18148</v>
      </c>
    </row>
    <row r="1426">
      <c r="A1426" s="437">
        <v>45950.60619212963</v>
      </c>
      <c r="B1426" s="438">
        <v>18544.0</v>
      </c>
      <c r="C1426" s="438" t="s">
        <v>21111</v>
      </c>
      <c r="D1426" s="438" t="s">
        <v>3395</v>
      </c>
      <c r="E1426" s="438" t="s">
        <v>21112</v>
      </c>
      <c r="F1426" s="438" t="s">
        <v>48</v>
      </c>
      <c r="G1426" s="438" t="s">
        <v>35</v>
      </c>
      <c r="H1426" s="438" t="s">
        <v>18078</v>
      </c>
      <c r="I1426" s="438" t="s">
        <v>38</v>
      </c>
      <c r="J1426" s="439">
        <v>14210.0</v>
      </c>
      <c r="K1426" s="440" t="s">
        <v>18148</v>
      </c>
    </row>
    <row r="1427">
      <c r="A1427" s="441">
        <v>45950.60621527778</v>
      </c>
      <c r="B1427" s="442">
        <v>18443.0</v>
      </c>
      <c r="C1427" s="442" t="s">
        <v>11777</v>
      </c>
      <c r="D1427" s="442" t="s">
        <v>3395</v>
      </c>
      <c r="E1427" s="442" t="s">
        <v>20633</v>
      </c>
      <c r="F1427" s="442" t="s">
        <v>48</v>
      </c>
      <c r="G1427" s="442" t="s">
        <v>35</v>
      </c>
      <c r="H1427" s="442" t="s">
        <v>18078</v>
      </c>
      <c r="I1427" s="442" t="s">
        <v>38</v>
      </c>
      <c r="J1427" s="443">
        <v>14207.0</v>
      </c>
      <c r="K1427" s="444" t="s">
        <v>18148</v>
      </c>
    </row>
    <row r="1428">
      <c r="A1428" s="437">
        <v>45950.61015046296</v>
      </c>
      <c r="B1428" s="438" t="s">
        <v>20297</v>
      </c>
      <c r="C1428" s="438" t="s">
        <v>3888</v>
      </c>
      <c r="D1428" s="438" t="s">
        <v>3395</v>
      </c>
      <c r="E1428" s="438" t="s">
        <v>20298</v>
      </c>
      <c r="F1428" s="438" t="s">
        <v>48</v>
      </c>
      <c r="G1428" s="438" t="s">
        <v>35</v>
      </c>
      <c r="H1428" s="438" t="s">
        <v>49</v>
      </c>
      <c r="I1428" s="438" t="s">
        <v>2978</v>
      </c>
      <c r="J1428" s="439">
        <v>14217.0</v>
      </c>
      <c r="K1428" s="440" t="s">
        <v>18148</v>
      </c>
    </row>
    <row r="1429">
      <c r="A1429" s="441">
        <v>45950.61017361111</v>
      </c>
      <c r="B1429" s="442" t="s">
        <v>20302</v>
      </c>
      <c r="C1429" s="442" t="s">
        <v>3888</v>
      </c>
      <c r="D1429" s="442" t="s">
        <v>3395</v>
      </c>
      <c r="E1429" s="442" t="s">
        <v>20303</v>
      </c>
      <c r="F1429" s="442" t="s">
        <v>48</v>
      </c>
      <c r="G1429" s="442" t="s">
        <v>35</v>
      </c>
      <c r="H1429" s="442" t="s">
        <v>49</v>
      </c>
      <c r="I1429" s="442" t="s">
        <v>2978</v>
      </c>
      <c r="J1429" s="443">
        <v>14217.0</v>
      </c>
      <c r="K1429" s="444" t="s">
        <v>18148</v>
      </c>
    </row>
    <row r="1430">
      <c r="A1430" s="437">
        <v>45950.61020833333</v>
      </c>
      <c r="B1430" s="438" t="s">
        <v>20659</v>
      </c>
      <c r="C1430" s="438" t="s">
        <v>5287</v>
      </c>
      <c r="D1430" s="438" t="s">
        <v>72</v>
      </c>
      <c r="E1430" s="438" t="s">
        <v>20660</v>
      </c>
      <c r="F1430" s="438" t="s">
        <v>48</v>
      </c>
      <c r="G1430" s="438" t="s">
        <v>35</v>
      </c>
      <c r="H1430" s="438" t="s">
        <v>49</v>
      </c>
      <c r="I1430" s="438" t="s">
        <v>11095</v>
      </c>
      <c r="J1430" s="439">
        <v>14218.0</v>
      </c>
      <c r="K1430" s="440" t="s">
        <v>18148</v>
      </c>
    </row>
    <row r="1431">
      <c r="A1431" s="441">
        <v>45950.61025462963</v>
      </c>
      <c r="B1431" s="442">
        <v>18450.0</v>
      </c>
      <c r="C1431" s="442" t="s">
        <v>8893</v>
      </c>
      <c r="D1431" s="442" t="s">
        <v>3395</v>
      </c>
      <c r="E1431" s="442" t="s">
        <v>20678</v>
      </c>
      <c r="F1431" s="442" t="s">
        <v>48</v>
      </c>
      <c r="G1431" s="442" t="s">
        <v>35</v>
      </c>
      <c r="H1431" s="442" t="s">
        <v>49</v>
      </c>
      <c r="I1431" s="442" t="s">
        <v>38</v>
      </c>
      <c r="J1431" s="443">
        <v>13975.0</v>
      </c>
      <c r="K1431" s="444" t="s">
        <v>18148</v>
      </c>
    </row>
    <row r="1432">
      <c r="A1432" s="437">
        <v>45950.61027777778</v>
      </c>
      <c r="B1432" s="438">
        <v>18457.0</v>
      </c>
      <c r="C1432" s="438" t="s">
        <v>12625</v>
      </c>
      <c r="D1432" s="438" t="s">
        <v>3395</v>
      </c>
      <c r="E1432" s="438" t="s">
        <v>20698</v>
      </c>
      <c r="F1432" s="438" t="s">
        <v>48</v>
      </c>
      <c r="G1432" s="438" t="s">
        <v>35</v>
      </c>
      <c r="H1432" s="438" t="s">
        <v>49</v>
      </c>
      <c r="I1432" s="438" t="s">
        <v>17747</v>
      </c>
      <c r="J1432" s="439">
        <v>14209.0</v>
      </c>
      <c r="K1432" s="440" t="s">
        <v>18148</v>
      </c>
    </row>
    <row r="1433">
      <c r="A1433" s="441">
        <v>45950.6103125</v>
      </c>
      <c r="B1433" s="442">
        <v>18484.0</v>
      </c>
      <c r="C1433" s="442" t="s">
        <v>20826</v>
      </c>
      <c r="D1433" s="442" t="s">
        <v>3395</v>
      </c>
      <c r="E1433" s="442" t="s">
        <v>20827</v>
      </c>
      <c r="F1433" s="442" t="s">
        <v>48</v>
      </c>
      <c r="G1433" s="442" t="s">
        <v>35</v>
      </c>
      <c r="H1433" s="442" t="s">
        <v>49</v>
      </c>
      <c r="I1433" s="442" t="s">
        <v>4683</v>
      </c>
      <c r="J1433" s="443">
        <v>14221.0</v>
      </c>
      <c r="K1433" s="444" t="s">
        <v>18148</v>
      </c>
    </row>
    <row r="1434">
      <c r="A1434" s="437">
        <v>45950.61037037037</v>
      </c>
      <c r="B1434" s="438">
        <v>18551.0</v>
      </c>
      <c r="C1434" s="438" t="s">
        <v>96</v>
      </c>
      <c r="D1434" s="438" t="s">
        <v>17089</v>
      </c>
      <c r="E1434" s="438">
        <v>20330.0</v>
      </c>
      <c r="F1434" s="438" t="s">
        <v>48</v>
      </c>
      <c r="G1434" s="438" t="s">
        <v>34</v>
      </c>
      <c r="H1434" s="438" t="s">
        <v>49</v>
      </c>
      <c r="I1434" s="438" t="s">
        <v>38</v>
      </c>
      <c r="J1434" s="439">
        <v>14190.0</v>
      </c>
      <c r="K1434" s="440" t="s">
        <v>18148</v>
      </c>
    </row>
    <row r="1435">
      <c r="A1435" s="441">
        <v>45950.61038194445</v>
      </c>
      <c r="B1435" s="442" t="s">
        <v>21250</v>
      </c>
      <c r="C1435" s="442" t="s">
        <v>21237</v>
      </c>
      <c r="D1435" s="442" t="s">
        <v>3395</v>
      </c>
      <c r="E1435" s="442" t="s">
        <v>21251</v>
      </c>
      <c r="F1435" s="442" t="s">
        <v>48</v>
      </c>
      <c r="G1435" s="442" t="s">
        <v>35</v>
      </c>
      <c r="H1435" s="442" t="s">
        <v>49</v>
      </c>
      <c r="I1435" s="442" t="s">
        <v>38</v>
      </c>
      <c r="J1435" s="443">
        <v>14208.0</v>
      </c>
      <c r="K1435" s="444" t="s">
        <v>18148</v>
      </c>
    </row>
    <row r="1436">
      <c r="A1436" s="437">
        <v>45950.61042824074</v>
      </c>
      <c r="B1436" s="438" t="s">
        <v>21255</v>
      </c>
      <c r="C1436" s="438" t="s">
        <v>21237</v>
      </c>
      <c r="D1436" s="438" t="s">
        <v>3395</v>
      </c>
      <c r="E1436" s="438" t="s">
        <v>21256</v>
      </c>
      <c r="F1436" s="438" t="s">
        <v>48</v>
      </c>
      <c r="G1436" s="438" t="s">
        <v>35</v>
      </c>
      <c r="H1436" s="438" t="s">
        <v>49</v>
      </c>
      <c r="I1436" s="438" t="s">
        <v>38</v>
      </c>
      <c r="J1436" s="439">
        <v>14208.0</v>
      </c>
      <c r="K1436" s="440" t="s">
        <v>18148</v>
      </c>
    </row>
    <row r="1437">
      <c r="A1437" s="441">
        <v>45950.61047453704</v>
      </c>
      <c r="B1437" s="442">
        <v>18579.0</v>
      </c>
      <c r="C1437" s="442" t="s">
        <v>8666</v>
      </c>
      <c r="D1437" s="442" t="s">
        <v>3395</v>
      </c>
      <c r="E1437" s="442" t="s">
        <v>21302</v>
      </c>
      <c r="F1437" s="442" t="s">
        <v>48</v>
      </c>
      <c r="G1437" s="442" t="s">
        <v>35</v>
      </c>
      <c r="H1437" s="442" t="s">
        <v>49</v>
      </c>
      <c r="I1437" s="442" t="s">
        <v>38</v>
      </c>
      <c r="J1437" s="443">
        <v>14211.0</v>
      </c>
      <c r="K1437" s="444" t="s">
        <v>18148</v>
      </c>
    </row>
    <row r="1438">
      <c r="A1438" s="437">
        <v>45950.61050925926</v>
      </c>
      <c r="B1438" s="438" t="s">
        <v>21799</v>
      </c>
      <c r="C1438" s="438" t="s">
        <v>1759</v>
      </c>
      <c r="D1438" s="438" t="s">
        <v>3395</v>
      </c>
      <c r="E1438" s="438" t="s">
        <v>21800</v>
      </c>
      <c r="F1438" s="438" t="s">
        <v>48</v>
      </c>
      <c r="G1438" s="438" t="s">
        <v>35</v>
      </c>
      <c r="H1438" s="438" t="s">
        <v>49</v>
      </c>
      <c r="I1438" s="438" t="s">
        <v>518</v>
      </c>
      <c r="J1438" s="439">
        <v>14216.0</v>
      </c>
      <c r="K1438" s="440" t="s">
        <v>18148</v>
      </c>
    </row>
    <row r="1439">
      <c r="A1439" s="441">
        <v>45950.61059027778</v>
      </c>
      <c r="B1439" s="442" t="s">
        <v>21804</v>
      </c>
      <c r="C1439" s="442" t="s">
        <v>1759</v>
      </c>
      <c r="D1439" s="442" t="s">
        <v>3395</v>
      </c>
      <c r="E1439" s="442" t="s">
        <v>21805</v>
      </c>
      <c r="F1439" s="442" t="s">
        <v>48</v>
      </c>
      <c r="G1439" s="442" t="s">
        <v>35</v>
      </c>
      <c r="H1439" s="442" t="s">
        <v>49</v>
      </c>
      <c r="I1439" s="442" t="s">
        <v>518</v>
      </c>
      <c r="J1439" s="443">
        <v>14216.0</v>
      </c>
      <c r="K1439" s="444" t="s">
        <v>18148</v>
      </c>
    </row>
    <row r="1440">
      <c r="A1440" s="437">
        <v>45950.610671296294</v>
      </c>
      <c r="B1440" s="438" t="s">
        <v>21930</v>
      </c>
      <c r="C1440" s="438" t="s">
        <v>7945</v>
      </c>
      <c r="D1440" s="438" t="s">
        <v>112</v>
      </c>
      <c r="E1440" s="438" t="s">
        <v>21931</v>
      </c>
      <c r="F1440" s="438" t="s">
        <v>48</v>
      </c>
      <c r="G1440" s="438" t="s">
        <v>35</v>
      </c>
      <c r="H1440" s="438" t="s">
        <v>49</v>
      </c>
      <c r="I1440" s="438" t="s">
        <v>21926</v>
      </c>
      <c r="J1440" s="439">
        <v>14206.0</v>
      </c>
      <c r="K1440" s="440" t="s">
        <v>18148</v>
      </c>
    </row>
    <row r="1441">
      <c r="A1441" s="441">
        <v>45950.61071759259</v>
      </c>
      <c r="B1441" s="442" t="s">
        <v>21934</v>
      </c>
      <c r="C1441" s="442" t="s">
        <v>7945</v>
      </c>
      <c r="D1441" s="442" t="s">
        <v>112</v>
      </c>
      <c r="E1441" s="442" t="s">
        <v>21935</v>
      </c>
      <c r="F1441" s="442" t="s">
        <v>48</v>
      </c>
      <c r="G1441" s="442" t="s">
        <v>35</v>
      </c>
      <c r="H1441" s="442" t="s">
        <v>49</v>
      </c>
      <c r="I1441" s="442" t="s">
        <v>21926</v>
      </c>
      <c r="J1441" s="443">
        <v>14206.0</v>
      </c>
      <c r="K1441" s="444" t="s">
        <v>18148</v>
      </c>
    </row>
    <row r="1442">
      <c r="A1442" s="437">
        <v>45950.61075231482</v>
      </c>
      <c r="B1442" s="438" t="s">
        <v>21924</v>
      </c>
      <c r="C1442" s="438" t="s">
        <v>7945</v>
      </c>
      <c r="D1442" s="438" t="s">
        <v>112</v>
      </c>
      <c r="E1442" s="438" t="s">
        <v>21925</v>
      </c>
      <c r="F1442" s="438" t="s">
        <v>48</v>
      </c>
      <c r="G1442" s="438" t="s">
        <v>35</v>
      </c>
      <c r="H1442" s="438" t="s">
        <v>49</v>
      </c>
      <c r="I1442" s="438" t="s">
        <v>21926</v>
      </c>
      <c r="J1442" s="439">
        <v>14206.0</v>
      </c>
      <c r="K1442" s="440" t="s">
        <v>18148</v>
      </c>
    </row>
    <row r="1443">
      <c r="A1443" s="441">
        <v>45950.61077546296</v>
      </c>
      <c r="B1443" s="442" t="s">
        <v>21938</v>
      </c>
      <c r="C1443" s="442" t="s">
        <v>7945</v>
      </c>
      <c r="D1443" s="442" t="s">
        <v>112</v>
      </c>
      <c r="E1443" s="442" t="s">
        <v>21939</v>
      </c>
      <c r="F1443" s="442" t="s">
        <v>48</v>
      </c>
      <c r="G1443" s="442" t="s">
        <v>35</v>
      </c>
      <c r="H1443" s="442" t="s">
        <v>49</v>
      </c>
      <c r="I1443" s="442" t="s">
        <v>21926</v>
      </c>
      <c r="J1443" s="443">
        <v>14206.0</v>
      </c>
      <c r="K1443" s="444" t="s">
        <v>18148</v>
      </c>
    </row>
    <row r="1444">
      <c r="A1444" s="437">
        <v>45950.610810185186</v>
      </c>
      <c r="B1444" s="438" t="s">
        <v>21942</v>
      </c>
      <c r="C1444" s="438" t="s">
        <v>7945</v>
      </c>
      <c r="D1444" s="438" t="s">
        <v>85</v>
      </c>
      <c r="E1444" s="438" t="s">
        <v>21943</v>
      </c>
      <c r="F1444" s="438" t="s">
        <v>48</v>
      </c>
      <c r="G1444" s="438" t="s">
        <v>35</v>
      </c>
      <c r="H1444" s="438" t="s">
        <v>49</v>
      </c>
      <c r="I1444" s="438" t="s">
        <v>21926</v>
      </c>
      <c r="J1444" s="439">
        <v>14206.0</v>
      </c>
      <c r="K1444" s="440" t="s">
        <v>18148</v>
      </c>
    </row>
    <row r="1445">
      <c r="A1445" s="441">
        <v>45950.610868055555</v>
      </c>
      <c r="B1445" s="442">
        <v>18709.0</v>
      </c>
      <c r="C1445" s="442" t="s">
        <v>22028</v>
      </c>
      <c r="D1445" s="442" t="s">
        <v>112</v>
      </c>
      <c r="E1445" s="442" t="s">
        <v>22029</v>
      </c>
      <c r="F1445" s="442" t="s">
        <v>48</v>
      </c>
      <c r="G1445" s="442" t="s">
        <v>35</v>
      </c>
      <c r="H1445" s="442" t="s">
        <v>49</v>
      </c>
      <c r="I1445" s="442" t="s">
        <v>38</v>
      </c>
      <c r="J1445" s="443">
        <v>14198.0</v>
      </c>
      <c r="K1445" s="444" t="s">
        <v>18148</v>
      </c>
    </row>
    <row r="1446">
      <c r="A1446" s="437">
        <v>45950.61090277778</v>
      </c>
      <c r="B1446" s="438">
        <v>18734.0</v>
      </c>
      <c r="C1446" s="438" t="s">
        <v>4352</v>
      </c>
      <c r="D1446" s="438" t="s">
        <v>112</v>
      </c>
      <c r="E1446" s="438" t="s">
        <v>22125</v>
      </c>
      <c r="F1446" s="438" t="s">
        <v>48</v>
      </c>
      <c r="G1446" s="438" t="s">
        <v>35</v>
      </c>
      <c r="H1446" s="438" t="s">
        <v>49</v>
      </c>
      <c r="I1446" s="438" t="s">
        <v>38</v>
      </c>
      <c r="J1446" s="439">
        <v>14193.0</v>
      </c>
      <c r="K1446" s="440" t="s">
        <v>18148</v>
      </c>
    </row>
    <row r="1447">
      <c r="A1447" s="441">
        <v>45950.61094907407</v>
      </c>
      <c r="B1447" s="442">
        <v>18735.0</v>
      </c>
      <c r="C1447" s="442" t="s">
        <v>4352</v>
      </c>
      <c r="D1447" s="442" t="s">
        <v>112</v>
      </c>
      <c r="E1447" s="442" t="s">
        <v>22130</v>
      </c>
      <c r="F1447" s="442" t="s">
        <v>48</v>
      </c>
      <c r="G1447" s="442" t="s">
        <v>35</v>
      </c>
      <c r="H1447" s="442" t="s">
        <v>49</v>
      </c>
      <c r="I1447" s="442" t="s">
        <v>38</v>
      </c>
      <c r="J1447" s="443">
        <v>14194.0</v>
      </c>
      <c r="K1447" s="444" t="s">
        <v>18148</v>
      </c>
    </row>
    <row r="1448">
      <c r="A1448" s="437">
        <v>45950.611030092594</v>
      </c>
      <c r="B1448" s="438">
        <v>18736.0</v>
      </c>
      <c r="C1448" s="438" t="s">
        <v>4352</v>
      </c>
      <c r="D1448" s="438" t="s">
        <v>112</v>
      </c>
      <c r="E1448" s="438" t="s">
        <v>22135</v>
      </c>
      <c r="F1448" s="438" t="s">
        <v>48</v>
      </c>
      <c r="G1448" s="438" t="s">
        <v>35</v>
      </c>
      <c r="H1448" s="438" t="s">
        <v>49</v>
      </c>
      <c r="I1448" s="438" t="s">
        <v>38</v>
      </c>
      <c r="J1448" s="439">
        <v>14195.0</v>
      </c>
      <c r="K1448" s="440" t="s">
        <v>18148</v>
      </c>
    </row>
    <row r="1449">
      <c r="A1449" s="441">
        <v>45950.61107638889</v>
      </c>
      <c r="B1449" s="442">
        <v>18795.0</v>
      </c>
      <c r="C1449" s="442" t="s">
        <v>17025</v>
      </c>
      <c r="D1449" s="442" t="s">
        <v>112</v>
      </c>
      <c r="E1449" s="442" t="s">
        <v>22396</v>
      </c>
      <c r="F1449" s="442" t="s">
        <v>48</v>
      </c>
      <c r="G1449" s="442" t="s">
        <v>35</v>
      </c>
      <c r="H1449" s="442" t="s">
        <v>49</v>
      </c>
      <c r="I1449" s="442" t="s">
        <v>38</v>
      </c>
      <c r="J1449" s="443">
        <v>14197.0</v>
      </c>
      <c r="K1449" s="444" t="s">
        <v>18148</v>
      </c>
    </row>
    <row r="1450">
      <c r="A1450" s="437">
        <v>45950.61109953704</v>
      </c>
      <c r="B1450" s="438" t="s">
        <v>22538</v>
      </c>
      <c r="C1450" s="438" t="s">
        <v>7202</v>
      </c>
      <c r="D1450" s="438" t="s">
        <v>91</v>
      </c>
      <c r="E1450" s="438" t="s">
        <v>22539</v>
      </c>
      <c r="F1450" s="438" t="s">
        <v>48</v>
      </c>
      <c r="G1450" s="438" t="s">
        <v>35</v>
      </c>
      <c r="H1450" s="438" t="s">
        <v>49</v>
      </c>
      <c r="I1450" s="438" t="s">
        <v>38</v>
      </c>
      <c r="J1450" s="439">
        <v>14192.0</v>
      </c>
      <c r="K1450" s="440" t="s">
        <v>18148</v>
      </c>
    </row>
    <row r="1451">
      <c r="A1451" s="441">
        <v>45950.611226851855</v>
      </c>
      <c r="B1451" s="442">
        <v>18870.0</v>
      </c>
      <c r="C1451" s="442" t="s">
        <v>13005</v>
      </c>
      <c r="D1451" s="442" t="s">
        <v>112</v>
      </c>
      <c r="E1451" s="442" t="s">
        <v>22768</v>
      </c>
      <c r="F1451" s="442" t="s">
        <v>48</v>
      </c>
      <c r="G1451" s="442" t="s">
        <v>35</v>
      </c>
      <c r="H1451" s="442" t="s">
        <v>49</v>
      </c>
      <c r="I1451" s="442" t="s">
        <v>21926</v>
      </c>
      <c r="J1451" s="443">
        <v>14200.0</v>
      </c>
      <c r="K1451" s="444" t="s">
        <v>18148</v>
      </c>
    </row>
    <row r="1452">
      <c r="A1452" s="437">
        <v>45950.611296296294</v>
      </c>
      <c r="B1452" s="438" t="s">
        <v>22144</v>
      </c>
      <c r="C1452" s="438" t="s">
        <v>22145</v>
      </c>
      <c r="D1452" s="438" t="s">
        <v>112</v>
      </c>
      <c r="E1452" s="438" t="s">
        <v>22146</v>
      </c>
      <c r="F1452" s="438" t="s">
        <v>48</v>
      </c>
      <c r="G1452" s="438" t="s">
        <v>35</v>
      </c>
      <c r="H1452" s="438" t="s">
        <v>49</v>
      </c>
      <c r="I1452" s="438" t="s">
        <v>16899</v>
      </c>
      <c r="J1452" s="439">
        <v>14220.0</v>
      </c>
      <c r="K1452" s="440" t="s">
        <v>18148</v>
      </c>
    </row>
    <row r="1453">
      <c r="A1453" s="441">
        <v>45950.611296296294</v>
      </c>
      <c r="B1453" s="442">
        <v>18901.0</v>
      </c>
      <c r="C1453" s="442" t="s">
        <v>4472</v>
      </c>
      <c r="D1453" s="442" t="s">
        <v>47</v>
      </c>
      <c r="E1453" s="442" t="s">
        <v>22896</v>
      </c>
      <c r="F1453" s="442" t="s">
        <v>48</v>
      </c>
      <c r="G1453" s="442" t="s">
        <v>35</v>
      </c>
      <c r="H1453" s="442" t="s">
        <v>49</v>
      </c>
      <c r="I1453" s="442" t="s">
        <v>38</v>
      </c>
      <c r="J1453" s="443">
        <v>14214.0</v>
      </c>
      <c r="K1453" s="444" t="s">
        <v>18148</v>
      </c>
    </row>
    <row r="1454">
      <c r="A1454" s="437">
        <v>45950.61380787037</v>
      </c>
      <c r="B1454" s="438">
        <v>18895.0</v>
      </c>
      <c r="C1454" s="438" t="s">
        <v>4308</v>
      </c>
      <c r="D1454" s="438" t="s">
        <v>85</v>
      </c>
      <c r="E1454" s="438" t="s">
        <v>22869</v>
      </c>
      <c r="F1454" s="438" t="s">
        <v>48</v>
      </c>
      <c r="G1454" s="438" t="s">
        <v>35</v>
      </c>
      <c r="H1454" s="438" t="s">
        <v>92</v>
      </c>
      <c r="I1454" s="438" t="s">
        <v>38</v>
      </c>
      <c r="J1454" s="439">
        <v>14219.0</v>
      </c>
      <c r="K1454" s="440" t="s">
        <v>18148</v>
      </c>
    </row>
    <row r="1455">
      <c r="A1455" s="441">
        <v>45950.61381944444</v>
      </c>
      <c r="B1455" s="442">
        <v>18797.0</v>
      </c>
      <c r="C1455" s="442" t="s">
        <v>3289</v>
      </c>
      <c r="D1455" s="442" t="s">
        <v>112</v>
      </c>
      <c r="E1455" s="442" t="s">
        <v>22401</v>
      </c>
      <c r="F1455" s="442" t="s">
        <v>48</v>
      </c>
      <c r="G1455" s="442" t="s">
        <v>35</v>
      </c>
      <c r="H1455" s="442" t="s">
        <v>92</v>
      </c>
      <c r="I1455" s="442" t="s">
        <v>38</v>
      </c>
      <c r="J1455" s="443">
        <v>14199.0</v>
      </c>
      <c r="K1455" s="444" t="s">
        <v>18148</v>
      </c>
    </row>
    <row r="1456">
      <c r="A1456" s="437">
        <v>45950.616273148145</v>
      </c>
      <c r="B1456" s="438" t="s">
        <v>20441</v>
      </c>
      <c r="C1456" s="438" t="s">
        <v>9895</v>
      </c>
      <c r="D1456" s="438" t="s">
        <v>3395</v>
      </c>
      <c r="E1456" s="438" t="s">
        <v>20442</v>
      </c>
      <c r="F1456" s="438" t="s">
        <v>48</v>
      </c>
      <c r="G1456" s="438" t="s">
        <v>35</v>
      </c>
      <c r="H1456" s="438" t="s">
        <v>49</v>
      </c>
      <c r="I1456" s="438" t="s">
        <v>19685</v>
      </c>
      <c r="J1456" s="439">
        <v>14223.0</v>
      </c>
      <c r="K1456" s="440" t="s">
        <v>18148</v>
      </c>
    </row>
    <row r="1457">
      <c r="A1457" s="441">
        <v>45950.61630787037</v>
      </c>
      <c r="B1457" s="442" t="s">
        <v>20446</v>
      </c>
      <c r="C1457" s="442" t="s">
        <v>9895</v>
      </c>
      <c r="D1457" s="442" t="s">
        <v>3395</v>
      </c>
      <c r="E1457" s="442" t="s">
        <v>20447</v>
      </c>
      <c r="F1457" s="442" t="s">
        <v>48</v>
      </c>
      <c r="G1457" s="442" t="s">
        <v>35</v>
      </c>
      <c r="H1457" s="442" t="s">
        <v>49</v>
      </c>
      <c r="I1457" s="442" t="s">
        <v>19685</v>
      </c>
      <c r="J1457" s="443">
        <v>14223.0</v>
      </c>
      <c r="K1457" s="444" t="s">
        <v>18148</v>
      </c>
    </row>
    <row r="1458">
      <c r="A1458" s="437">
        <v>45950.61633101852</v>
      </c>
      <c r="B1458" s="438" t="s">
        <v>20450</v>
      </c>
      <c r="C1458" s="438" t="s">
        <v>9895</v>
      </c>
      <c r="D1458" s="438" t="s">
        <v>3395</v>
      </c>
      <c r="E1458" s="438" t="s">
        <v>20451</v>
      </c>
      <c r="F1458" s="438" t="s">
        <v>48</v>
      </c>
      <c r="G1458" s="438" t="s">
        <v>35</v>
      </c>
      <c r="H1458" s="438" t="s">
        <v>49</v>
      </c>
      <c r="I1458" s="438" t="s">
        <v>19685</v>
      </c>
      <c r="J1458" s="439">
        <v>14223.0</v>
      </c>
      <c r="K1458" s="440" t="s">
        <v>18148</v>
      </c>
    </row>
    <row r="1459">
      <c r="A1459" s="441">
        <v>45950.62662037037</v>
      </c>
      <c r="B1459" s="442" t="s">
        <v>19665</v>
      </c>
      <c r="C1459" s="442" t="s">
        <v>3888</v>
      </c>
      <c r="D1459" s="442" t="s">
        <v>3395</v>
      </c>
      <c r="E1459" s="442" t="s">
        <v>19666</v>
      </c>
      <c r="F1459" s="442" t="s">
        <v>48</v>
      </c>
      <c r="G1459" s="442" t="s">
        <v>35</v>
      </c>
      <c r="H1459" s="442" t="s">
        <v>49</v>
      </c>
      <c r="I1459" s="442" t="s">
        <v>2978</v>
      </c>
      <c r="J1459" s="443">
        <v>14224.0</v>
      </c>
      <c r="K1459" s="444" t="s">
        <v>18148</v>
      </c>
    </row>
    <row r="1460">
      <c r="A1460" s="437">
        <v>45951.37746527778</v>
      </c>
      <c r="B1460" s="438">
        <v>18678.0</v>
      </c>
      <c r="C1460" s="438" t="s">
        <v>4711</v>
      </c>
      <c r="D1460" s="438" t="s">
        <v>3395</v>
      </c>
      <c r="E1460" s="438" t="s">
        <v>21860</v>
      </c>
      <c r="F1460" s="438" t="s">
        <v>48</v>
      </c>
      <c r="G1460" s="438" t="s">
        <v>35</v>
      </c>
      <c r="H1460" s="438" t="s">
        <v>65</v>
      </c>
      <c r="I1460" s="438" t="s">
        <v>38</v>
      </c>
      <c r="J1460" s="439">
        <v>14225.0</v>
      </c>
      <c r="K1460" s="440" t="s">
        <v>18148</v>
      </c>
    </row>
    <row r="1461">
      <c r="A1461" s="441">
        <v>45951.44917824074</v>
      </c>
      <c r="B1461" s="442">
        <v>18919.0</v>
      </c>
      <c r="C1461" s="442" t="s">
        <v>22962</v>
      </c>
      <c r="D1461" s="442" t="s">
        <v>91</v>
      </c>
      <c r="E1461" s="442" t="s">
        <v>22963</v>
      </c>
      <c r="F1461" s="442" t="s">
        <v>48</v>
      </c>
      <c r="G1461" s="442" t="s">
        <v>35</v>
      </c>
      <c r="H1461" s="442" t="s">
        <v>92</v>
      </c>
      <c r="I1461" s="442" t="s">
        <v>38</v>
      </c>
      <c r="J1461" s="443">
        <v>14231.0</v>
      </c>
      <c r="K1461" s="444" t="s">
        <v>18148</v>
      </c>
    </row>
    <row r="1462">
      <c r="A1462" s="437">
        <v>45951.53394675926</v>
      </c>
      <c r="B1462" s="438">
        <v>18678.0</v>
      </c>
      <c r="C1462" s="438" t="s">
        <v>4711</v>
      </c>
      <c r="D1462" s="438" t="s">
        <v>3395</v>
      </c>
      <c r="E1462" s="438" t="s">
        <v>21860</v>
      </c>
      <c r="F1462" s="438" t="s">
        <v>48</v>
      </c>
      <c r="G1462" s="438" t="s">
        <v>35</v>
      </c>
      <c r="H1462" s="438" t="s">
        <v>65</v>
      </c>
      <c r="I1462" s="438" t="s">
        <v>38</v>
      </c>
      <c r="J1462" s="439">
        <v>14225.0</v>
      </c>
      <c r="K1462" s="440" t="s">
        <v>18148</v>
      </c>
    </row>
    <row r="1463">
      <c r="A1463" s="441">
        <v>45951.53398148148</v>
      </c>
      <c r="B1463" s="442" t="s">
        <v>22912</v>
      </c>
      <c r="C1463" s="442" t="s">
        <v>8203</v>
      </c>
      <c r="D1463" s="442" t="s">
        <v>12405</v>
      </c>
      <c r="E1463" s="442">
        <v>20367.0</v>
      </c>
      <c r="F1463" s="442" t="s">
        <v>48</v>
      </c>
      <c r="G1463" s="442" t="s">
        <v>35</v>
      </c>
      <c r="H1463" s="442" t="s">
        <v>65</v>
      </c>
      <c r="I1463" s="442" t="s">
        <v>38</v>
      </c>
      <c r="J1463" s="443">
        <v>14229.0</v>
      </c>
      <c r="K1463" s="444" t="s">
        <v>18148</v>
      </c>
    </row>
    <row r="1464">
      <c r="A1464" s="437">
        <v>45951.534004629626</v>
      </c>
      <c r="B1464" s="438" t="s">
        <v>22917</v>
      </c>
      <c r="C1464" s="438" t="s">
        <v>8203</v>
      </c>
      <c r="D1464" s="438" t="s">
        <v>85</v>
      </c>
      <c r="E1464" s="438" t="s">
        <v>22918</v>
      </c>
      <c r="F1464" s="438" t="s">
        <v>48</v>
      </c>
      <c r="G1464" s="438" t="s">
        <v>35</v>
      </c>
      <c r="H1464" s="438" t="s">
        <v>65</v>
      </c>
      <c r="I1464" s="438" t="s">
        <v>38</v>
      </c>
      <c r="J1464" s="439">
        <v>14229.0</v>
      </c>
      <c r="K1464" s="440" t="s">
        <v>18148</v>
      </c>
    </row>
    <row r="1465">
      <c r="A1465" s="441">
        <v>45951.53403935185</v>
      </c>
      <c r="B1465" s="442">
        <v>18908.0</v>
      </c>
      <c r="C1465" s="442" t="s">
        <v>14522</v>
      </c>
      <c r="D1465" s="442" t="s">
        <v>91</v>
      </c>
      <c r="E1465" s="442" t="s">
        <v>22929</v>
      </c>
      <c r="F1465" s="442" t="s">
        <v>48</v>
      </c>
      <c r="G1465" s="442" t="s">
        <v>35</v>
      </c>
      <c r="H1465" s="442" t="s">
        <v>65</v>
      </c>
      <c r="I1465" s="442" t="s">
        <v>38</v>
      </c>
      <c r="J1465" s="443">
        <v>14230.0</v>
      </c>
      <c r="K1465" s="444" t="s">
        <v>18148</v>
      </c>
    </row>
    <row r="1466">
      <c r="A1466" s="437">
        <v>45951.53407407407</v>
      </c>
      <c r="B1466" s="438" t="s">
        <v>21096</v>
      </c>
      <c r="C1466" s="438" t="s">
        <v>21097</v>
      </c>
      <c r="D1466" s="438" t="s">
        <v>3395</v>
      </c>
      <c r="E1466" s="438" t="s">
        <v>21098</v>
      </c>
      <c r="F1466" s="438" t="s">
        <v>48</v>
      </c>
      <c r="G1466" s="438" t="s">
        <v>35</v>
      </c>
      <c r="H1466" s="438" t="s">
        <v>49</v>
      </c>
      <c r="I1466" s="438" t="s">
        <v>38</v>
      </c>
      <c r="J1466" s="439">
        <v>14228.0</v>
      </c>
      <c r="K1466" s="440" t="s">
        <v>18148</v>
      </c>
    </row>
    <row r="1467">
      <c r="A1467" s="441">
        <v>45951.53412037037</v>
      </c>
      <c r="B1467" s="442" t="s">
        <v>21102</v>
      </c>
      <c r="C1467" s="442" t="s">
        <v>21097</v>
      </c>
      <c r="D1467" s="442" t="s">
        <v>3395</v>
      </c>
      <c r="E1467" s="442" t="s">
        <v>21103</v>
      </c>
      <c r="F1467" s="442" t="s">
        <v>48</v>
      </c>
      <c r="G1467" s="442" t="s">
        <v>35</v>
      </c>
      <c r="H1467" s="442" t="s">
        <v>49</v>
      </c>
      <c r="I1467" s="442" t="s">
        <v>38</v>
      </c>
      <c r="J1467" s="443">
        <v>14228.0</v>
      </c>
      <c r="K1467" s="444" t="s">
        <v>18148</v>
      </c>
    </row>
    <row r="1468">
      <c r="A1468" s="437">
        <v>45951.53414351852</v>
      </c>
      <c r="B1468" s="438">
        <v>18915.0</v>
      </c>
      <c r="C1468" s="438" t="s">
        <v>9895</v>
      </c>
      <c r="D1468" s="438" t="s">
        <v>91</v>
      </c>
      <c r="E1468" s="438" t="s">
        <v>22957</v>
      </c>
      <c r="F1468" s="438" t="s">
        <v>48</v>
      </c>
      <c r="G1468" s="438" t="s">
        <v>35</v>
      </c>
      <c r="H1468" s="438" t="s">
        <v>49</v>
      </c>
      <c r="I1468" s="438" t="s">
        <v>38</v>
      </c>
      <c r="J1468" s="439">
        <v>14232.0</v>
      </c>
      <c r="K1468" s="440" t="s">
        <v>18148</v>
      </c>
    </row>
    <row r="1469">
      <c r="A1469" s="441">
        <v>45951.534166666665</v>
      </c>
      <c r="B1469" s="442">
        <v>18922.0</v>
      </c>
      <c r="C1469" s="442" t="s">
        <v>13433</v>
      </c>
      <c r="D1469" s="442" t="s">
        <v>91</v>
      </c>
      <c r="E1469" s="442" t="s">
        <v>22971</v>
      </c>
      <c r="F1469" s="442" t="s">
        <v>48</v>
      </c>
      <c r="G1469" s="442" t="s">
        <v>35</v>
      </c>
      <c r="H1469" s="442" t="s">
        <v>49</v>
      </c>
      <c r="I1469" s="442" t="s">
        <v>11095</v>
      </c>
      <c r="J1469" s="443">
        <v>14233.0</v>
      </c>
      <c r="K1469" s="444" t="s">
        <v>18148</v>
      </c>
    </row>
    <row r="1470">
      <c r="A1470" s="437">
        <v>45951.53420138889</v>
      </c>
      <c r="B1470" s="438">
        <v>18929.0</v>
      </c>
      <c r="C1470" s="438" t="s">
        <v>22145</v>
      </c>
      <c r="D1470" s="438" t="s">
        <v>6133</v>
      </c>
      <c r="E1470" s="438" t="s">
        <v>23237</v>
      </c>
      <c r="F1470" s="438" t="s">
        <v>48</v>
      </c>
      <c r="G1470" s="438" t="s">
        <v>35</v>
      </c>
      <c r="H1470" s="438" t="s">
        <v>49</v>
      </c>
      <c r="I1470" s="438" t="s">
        <v>16899</v>
      </c>
      <c r="J1470" s="439">
        <v>14234.0</v>
      </c>
      <c r="K1470" s="440" t="s">
        <v>18148</v>
      </c>
    </row>
    <row r="1471">
      <c r="A1471" s="441">
        <v>45951.534270833334</v>
      </c>
      <c r="B1471" s="442" t="s">
        <v>22361</v>
      </c>
      <c r="C1471" s="442" t="s">
        <v>9796</v>
      </c>
      <c r="D1471" s="442" t="s">
        <v>12405</v>
      </c>
      <c r="E1471" s="442">
        <v>20365.0</v>
      </c>
      <c r="F1471" s="442" t="s">
        <v>48</v>
      </c>
      <c r="G1471" s="442" t="s">
        <v>35</v>
      </c>
      <c r="H1471" s="442" t="s">
        <v>12773</v>
      </c>
      <c r="I1471" s="442" t="s">
        <v>38</v>
      </c>
      <c r="J1471" s="443"/>
      <c r="K1471" s="444" t="s">
        <v>18148</v>
      </c>
    </row>
    <row r="1472">
      <c r="A1472" s="437">
        <v>45951.53503472222</v>
      </c>
      <c r="B1472" s="438" t="s">
        <v>22361</v>
      </c>
      <c r="C1472" s="438" t="s">
        <v>9796</v>
      </c>
      <c r="D1472" s="438" t="s">
        <v>12405</v>
      </c>
      <c r="E1472" s="438">
        <v>20365.0</v>
      </c>
      <c r="F1472" s="438" t="s">
        <v>48</v>
      </c>
      <c r="G1472" s="438" t="s">
        <v>35</v>
      </c>
      <c r="H1472" s="438" t="s">
        <v>12773</v>
      </c>
      <c r="I1472" s="438" t="s">
        <v>38</v>
      </c>
      <c r="J1472" s="439"/>
      <c r="K1472" s="440" t="s">
        <v>18148</v>
      </c>
    </row>
    <row r="1473">
      <c r="A1473" s="441">
        <v>45951.604629629626</v>
      </c>
      <c r="B1473" s="442" t="s">
        <v>20526</v>
      </c>
      <c r="C1473" s="442" t="s">
        <v>19002</v>
      </c>
      <c r="D1473" s="442" t="s">
        <v>3395</v>
      </c>
      <c r="E1473" s="442" t="s">
        <v>20527</v>
      </c>
      <c r="F1473" s="442" t="s">
        <v>48</v>
      </c>
      <c r="G1473" s="442" t="s">
        <v>35</v>
      </c>
      <c r="H1473" s="442" t="s">
        <v>65</v>
      </c>
      <c r="I1473" s="442" t="s">
        <v>38</v>
      </c>
      <c r="J1473" s="443">
        <v>14236.0</v>
      </c>
      <c r="K1473" s="444" t="s">
        <v>18148</v>
      </c>
    </row>
    <row r="1474">
      <c r="A1474" s="437">
        <v>45951.604675925926</v>
      </c>
      <c r="B1474" s="438" t="s">
        <v>20532</v>
      </c>
      <c r="C1474" s="438" t="s">
        <v>19002</v>
      </c>
      <c r="D1474" s="438" t="s">
        <v>3395</v>
      </c>
      <c r="E1474" s="438" t="s">
        <v>20533</v>
      </c>
      <c r="F1474" s="438" t="s">
        <v>48</v>
      </c>
      <c r="G1474" s="438" t="s">
        <v>35</v>
      </c>
      <c r="H1474" s="438" t="s">
        <v>65</v>
      </c>
      <c r="I1474" s="438" t="s">
        <v>38</v>
      </c>
      <c r="J1474" s="439">
        <v>14236.0</v>
      </c>
      <c r="K1474" s="440" t="s">
        <v>18148</v>
      </c>
    </row>
    <row r="1475">
      <c r="A1475" s="441">
        <v>45951.60472222222</v>
      </c>
      <c r="B1475" s="442" t="s">
        <v>20536</v>
      </c>
      <c r="C1475" s="442" t="s">
        <v>19002</v>
      </c>
      <c r="D1475" s="442" t="s">
        <v>3395</v>
      </c>
      <c r="E1475" s="442" t="s">
        <v>20537</v>
      </c>
      <c r="F1475" s="442" t="s">
        <v>48</v>
      </c>
      <c r="G1475" s="442" t="s">
        <v>35</v>
      </c>
      <c r="H1475" s="442" t="s">
        <v>65</v>
      </c>
      <c r="I1475" s="442" t="s">
        <v>38</v>
      </c>
      <c r="J1475" s="443">
        <v>14236.0</v>
      </c>
      <c r="K1475" s="444" t="s">
        <v>18148</v>
      </c>
    </row>
    <row r="1476">
      <c r="A1476" s="437">
        <v>45951.604780092595</v>
      </c>
      <c r="B1476" s="438" t="s">
        <v>20540</v>
      </c>
      <c r="C1476" s="438" t="s">
        <v>19002</v>
      </c>
      <c r="D1476" s="438" t="s">
        <v>3395</v>
      </c>
      <c r="E1476" s="438" t="s">
        <v>20541</v>
      </c>
      <c r="F1476" s="438" t="s">
        <v>48</v>
      </c>
      <c r="G1476" s="438" t="s">
        <v>35</v>
      </c>
      <c r="H1476" s="438" t="s">
        <v>65</v>
      </c>
      <c r="I1476" s="438" t="s">
        <v>38</v>
      </c>
      <c r="J1476" s="439">
        <v>14236.0</v>
      </c>
      <c r="K1476" s="440" t="s">
        <v>18148</v>
      </c>
    </row>
    <row r="1477">
      <c r="A1477" s="441">
        <v>45951.60482638889</v>
      </c>
      <c r="B1477" s="442" t="s">
        <v>20544</v>
      </c>
      <c r="C1477" s="442" t="s">
        <v>19002</v>
      </c>
      <c r="D1477" s="442" t="s">
        <v>3395</v>
      </c>
      <c r="E1477" s="442" t="s">
        <v>20545</v>
      </c>
      <c r="F1477" s="442" t="s">
        <v>48</v>
      </c>
      <c r="G1477" s="442" t="s">
        <v>35</v>
      </c>
      <c r="H1477" s="442" t="s">
        <v>65</v>
      </c>
      <c r="I1477" s="442" t="s">
        <v>38</v>
      </c>
      <c r="J1477" s="443">
        <v>14236.0</v>
      </c>
      <c r="K1477" s="444" t="s">
        <v>18148</v>
      </c>
    </row>
    <row r="1478">
      <c r="A1478" s="437">
        <v>45951.64398148148</v>
      </c>
      <c r="B1478" s="438" t="s">
        <v>21692</v>
      </c>
      <c r="C1478" s="438" t="s">
        <v>9049</v>
      </c>
      <c r="D1478" s="438" t="s">
        <v>8868</v>
      </c>
      <c r="E1478" s="438">
        <v>20343.0</v>
      </c>
      <c r="F1478" s="438" t="s">
        <v>48</v>
      </c>
      <c r="G1478" s="438" t="s">
        <v>35</v>
      </c>
      <c r="H1478" s="438" t="s">
        <v>49</v>
      </c>
      <c r="I1478" s="438" t="s">
        <v>38</v>
      </c>
      <c r="J1478" s="439">
        <v>14239.0</v>
      </c>
      <c r="K1478" s="440" t="s">
        <v>18148</v>
      </c>
    </row>
    <row r="1479">
      <c r="A1479" s="441">
        <v>45951.64399305556</v>
      </c>
      <c r="B1479" s="442" t="s">
        <v>21696</v>
      </c>
      <c r="C1479" s="442" t="s">
        <v>9049</v>
      </c>
      <c r="D1479" s="442" t="s">
        <v>8868</v>
      </c>
      <c r="E1479" s="442">
        <v>20344.0</v>
      </c>
      <c r="F1479" s="442" t="s">
        <v>48</v>
      </c>
      <c r="G1479" s="442" t="s">
        <v>35</v>
      </c>
      <c r="H1479" s="442" t="s">
        <v>49</v>
      </c>
      <c r="I1479" s="442" t="s">
        <v>38</v>
      </c>
      <c r="J1479" s="443">
        <v>14239.0</v>
      </c>
      <c r="K1479" s="444" t="s">
        <v>18148</v>
      </c>
    </row>
    <row r="1480">
      <c r="A1480" s="437">
        <v>45951.64408564815</v>
      </c>
      <c r="B1480" s="438" t="s">
        <v>21700</v>
      </c>
      <c r="C1480" s="438" t="s">
        <v>9049</v>
      </c>
      <c r="D1480" s="438" t="s">
        <v>8868</v>
      </c>
      <c r="E1480" s="438">
        <v>20345.0</v>
      </c>
      <c r="F1480" s="438" t="s">
        <v>48</v>
      </c>
      <c r="G1480" s="438" t="s">
        <v>35</v>
      </c>
      <c r="H1480" s="438" t="s">
        <v>49</v>
      </c>
      <c r="I1480" s="438" t="s">
        <v>38</v>
      </c>
      <c r="J1480" s="439">
        <v>14239.0</v>
      </c>
      <c r="K1480" s="440" t="s">
        <v>18148</v>
      </c>
    </row>
    <row r="1481">
      <c r="A1481" s="441">
        <v>45951.68436342593</v>
      </c>
      <c r="B1481" s="442">
        <v>18929.0</v>
      </c>
      <c r="C1481" s="442" t="s">
        <v>22145</v>
      </c>
      <c r="D1481" s="442" t="s">
        <v>6133</v>
      </c>
      <c r="E1481" s="442" t="s">
        <v>23237</v>
      </c>
      <c r="F1481" s="442" t="s">
        <v>48</v>
      </c>
      <c r="G1481" s="442" t="s">
        <v>35</v>
      </c>
      <c r="H1481" s="442" t="s">
        <v>49</v>
      </c>
      <c r="I1481" s="442" t="s">
        <v>16899</v>
      </c>
      <c r="J1481" s="443">
        <v>14240.0</v>
      </c>
      <c r="K1481" s="444" t="s">
        <v>18148</v>
      </c>
    </row>
    <row r="1482">
      <c r="A1482" s="437"/>
      <c r="B1482" s="438"/>
      <c r="C1482" s="438"/>
      <c r="D1482" s="438"/>
      <c r="E1482" s="438"/>
      <c r="F1482" s="438"/>
      <c r="G1482" s="438"/>
      <c r="H1482" s="438"/>
      <c r="I1482" s="438"/>
      <c r="J1482" s="439"/>
      <c r="K1482" s="440"/>
    </row>
    <row r="1483">
      <c r="A1483" s="441"/>
      <c r="B1483" s="442"/>
      <c r="C1483" s="442"/>
      <c r="D1483" s="442"/>
      <c r="E1483" s="442"/>
      <c r="F1483" s="442"/>
      <c r="G1483" s="442"/>
      <c r="H1483" s="442"/>
      <c r="I1483" s="442"/>
      <c r="J1483" s="443"/>
      <c r="K1483" s="444"/>
    </row>
    <row r="1484">
      <c r="A1484" s="437"/>
      <c r="B1484" s="438"/>
      <c r="C1484" s="438"/>
      <c r="D1484" s="438"/>
      <c r="E1484" s="438"/>
      <c r="F1484" s="438"/>
      <c r="G1484" s="438"/>
      <c r="H1484" s="438"/>
      <c r="I1484" s="438"/>
      <c r="J1484" s="439"/>
      <c r="K1484" s="440"/>
    </row>
    <row r="1485">
      <c r="A1485" s="441"/>
      <c r="B1485" s="442"/>
      <c r="C1485" s="442"/>
      <c r="D1485" s="442"/>
      <c r="E1485" s="442"/>
      <c r="F1485" s="442"/>
      <c r="G1485" s="442"/>
      <c r="H1485" s="442"/>
      <c r="I1485" s="442"/>
      <c r="J1485" s="443"/>
      <c r="K1485" s="444"/>
    </row>
    <row r="1486">
      <c r="A1486" s="437"/>
      <c r="B1486" s="438"/>
      <c r="C1486" s="438"/>
      <c r="D1486" s="438"/>
      <c r="E1486" s="438"/>
      <c r="F1486" s="438"/>
      <c r="G1486" s="438"/>
      <c r="H1486" s="438"/>
      <c r="I1486" s="438"/>
      <c r="J1486" s="439"/>
      <c r="K1486" s="440"/>
    </row>
    <row r="1487">
      <c r="A1487" s="441"/>
      <c r="B1487" s="442"/>
      <c r="C1487" s="442"/>
      <c r="D1487" s="442"/>
      <c r="E1487" s="442"/>
      <c r="F1487" s="442"/>
      <c r="G1487" s="442"/>
      <c r="H1487" s="442"/>
      <c r="I1487" s="442"/>
      <c r="J1487" s="443"/>
      <c r="K1487" s="444"/>
    </row>
    <row r="1488">
      <c r="A1488" s="437"/>
      <c r="B1488" s="438"/>
      <c r="C1488" s="438"/>
      <c r="D1488" s="438"/>
      <c r="E1488" s="438"/>
      <c r="F1488" s="438"/>
      <c r="G1488" s="438"/>
      <c r="H1488" s="438"/>
      <c r="I1488" s="438"/>
      <c r="J1488" s="439"/>
      <c r="K1488" s="440"/>
    </row>
    <row r="1489">
      <c r="A1489" s="441"/>
      <c r="B1489" s="442"/>
      <c r="C1489" s="442"/>
      <c r="D1489" s="442"/>
      <c r="E1489" s="442"/>
      <c r="F1489" s="442"/>
      <c r="G1489" s="442"/>
      <c r="H1489" s="442"/>
      <c r="I1489" s="442"/>
      <c r="J1489" s="443"/>
      <c r="K1489" s="444"/>
    </row>
    <row r="1490">
      <c r="A1490" s="437"/>
      <c r="B1490" s="438"/>
      <c r="C1490" s="438"/>
      <c r="D1490" s="438"/>
      <c r="E1490" s="438"/>
      <c r="F1490" s="438"/>
      <c r="G1490" s="438"/>
      <c r="H1490" s="438"/>
      <c r="I1490" s="438"/>
      <c r="J1490" s="439"/>
      <c r="K1490" s="440"/>
    </row>
    <row r="1491">
      <c r="A1491" s="441"/>
      <c r="B1491" s="442"/>
      <c r="C1491" s="442"/>
      <c r="D1491" s="442"/>
      <c r="E1491" s="442"/>
      <c r="F1491" s="442"/>
      <c r="G1491" s="442"/>
      <c r="H1491" s="442"/>
      <c r="I1491" s="442"/>
      <c r="J1491" s="443"/>
      <c r="K1491" s="444"/>
    </row>
    <row r="1492">
      <c r="A1492" s="437"/>
      <c r="B1492" s="438"/>
      <c r="C1492" s="438"/>
      <c r="D1492" s="438"/>
      <c r="E1492" s="438"/>
      <c r="F1492" s="438"/>
      <c r="G1492" s="438"/>
      <c r="H1492" s="438"/>
      <c r="I1492" s="438"/>
      <c r="J1492" s="439"/>
      <c r="K1492" s="440"/>
    </row>
    <row r="1493">
      <c r="A1493" s="441"/>
      <c r="B1493" s="442"/>
      <c r="C1493" s="442"/>
      <c r="D1493" s="442"/>
      <c r="E1493" s="442"/>
      <c r="F1493" s="442"/>
      <c r="G1493" s="442"/>
      <c r="H1493" s="442"/>
      <c r="I1493" s="442"/>
      <c r="J1493" s="443"/>
      <c r="K1493" s="444"/>
    </row>
    <row r="1494">
      <c r="A1494" s="437"/>
      <c r="B1494" s="438"/>
      <c r="C1494" s="438"/>
      <c r="D1494" s="438"/>
      <c r="E1494" s="438"/>
      <c r="F1494" s="438"/>
      <c r="G1494" s="438"/>
      <c r="H1494" s="438"/>
      <c r="I1494" s="438"/>
      <c r="J1494" s="439"/>
      <c r="K1494" s="440"/>
    </row>
    <row r="1495">
      <c r="A1495" s="441"/>
      <c r="B1495" s="442"/>
      <c r="C1495" s="442"/>
      <c r="D1495" s="442"/>
      <c r="E1495" s="442"/>
      <c r="F1495" s="442"/>
      <c r="G1495" s="442"/>
      <c r="H1495" s="442"/>
      <c r="I1495" s="442"/>
      <c r="J1495" s="443"/>
      <c r="K1495" s="444"/>
    </row>
    <row r="1496">
      <c r="A1496" s="437"/>
      <c r="B1496" s="438"/>
      <c r="C1496" s="438"/>
      <c r="D1496" s="438"/>
      <c r="E1496" s="438"/>
      <c r="F1496" s="438"/>
      <c r="G1496" s="438"/>
      <c r="H1496" s="438"/>
      <c r="I1496" s="438"/>
      <c r="J1496" s="439"/>
      <c r="K1496" s="440"/>
    </row>
    <row r="1497">
      <c r="A1497" s="441"/>
      <c r="B1497" s="442"/>
      <c r="C1497" s="442"/>
      <c r="D1497" s="442"/>
      <c r="E1497" s="442"/>
      <c r="F1497" s="442"/>
      <c r="G1497" s="442"/>
      <c r="H1497" s="442"/>
      <c r="I1497" s="442"/>
      <c r="J1497" s="443"/>
      <c r="K1497" s="444"/>
    </row>
    <row r="1498">
      <c r="A1498" s="437"/>
      <c r="B1498" s="438"/>
      <c r="C1498" s="438"/>
      <c r="D1498" s="438"/>
      <c r="E1498" s="438"/>
      <c r="F1498" s="438"/>
      <c r="G1498" s="438"/>
      <c r="H1498" s="438"/>
      <c r="I1498" s="438"/>
      <c r="J1498" s="439"/>
      <c r="K1498" s="440"/>
    </row>
    <row r="1499">
      <c r="A1499" s="441"/>
      <c r="B1499" s="442"/>
      <c r="C1499" s="442"/>
      <c r="D1499" s="442"/>
      <c r="E1499" s="442"/>
      <c r="F1499" s="442"/>
      <c r="G1499" s="442"/>
      <c r="H1499" s="442"/>
      <c r="I1499" s="442"/>
      <c r="J1499" s="443"/>
      <c r="K1499" s="444"/>
    </row>
    <row r="1500">
      <c r="A1500" s="437"/>
      <c r="B1500" s="438"/>
      <c r="C1500" s="438"/>
      <c r="D1500" s="438"/>
      <c r="E1500" s="438"/>
      <c r="F1500" s="438"/>
      <c r="G1500" s="438"/>
      <c r="H1500" s="438"/>
      <c r="I1500" s="438"/>
      <c r="J1500" s="439"/>
      <c r="K1500" s="440"/>
    </row>
    <row r="1501">
      <c r="A1501" s="441"/>
      <c r="B1501" s="442"/>
      <c r="C1501" s="442"/>
      <c r="D1501" s="442"/>
      <c r="E1501" s="442"/>
      <c r="F1501" s="442"/>
      <c r="G1501" s="442"/>
      <c r="H1501" s="442"/>
      <c r="I1501" s="442"/>
      <c r="J1501" s="443"/>
      <c r="K1501" s="444"/>
    </row>
    <row r="1502">
      <c r="A1502" s="437"/>
      <c r="B1502" s="438"/>
      <c r="C1502" s="438"/>
      <c r="D1502" s="438"/>
      <c r="E1502" s="438"/>
      <c r="F1502" s="438"/>
      <c r="G1502" s="438"/>
      <c r="H1502" s="438"/>
      <c r="I1502" s="438"/>
      <c r="J1502" s="439"/>
      <c r="K1502" s="440"/>
    </row>
    <row r="1503">
      <c r="A1503" s="441"/>
      <c r="B1503" s="442"/>
      <c r="C1503" s="442"/>
      <c r="D1503" s="442"/>
      <c r="E1503" s="442"/>
      <c r="F1503" s="442"/>
      <c r="G1503" s="442"/>
      <c r="H1503" s="442"/>
      <c r="I1503" s="442"/>
      <c r="J1503" s="443"/>
      <c r="K1503" s="444"/>
    </row>
    <row r="1504">
      <c r="A1504" s="437"/>
      <c r="B1504" s="438"/>
      <c r="C1504" s="438"/>
      <c r="D1504" s="438"/>
      <c r="E1504" s="438"/>
      <c r="F1504" s="438"/>
      <c r="G1504" s="438"/>
      <c r="H1504" s="438"/>
      <c r="I1504" s="438"/>
      <c r="J1504" s="439"/>
      <c r="K1504" s="440"/>
    </row>
    <row r="1505">
      <c r="A1505" s="441"/>
      <c r="B1505" s="442"/>
      <c r="C1505" s="442"/>
      <c r="D1505" s="442"/>
      <c r="E1505" s="442"/>
      <c r="F1505" s="442"/>
      <c r="G1505" s="442"/>
      <c r="H1505" s="442"/>
      <c r="I1505" s="442"/>
      <c r="J1505" s="443"/>
      <c r="K1505" s="444"/>
    </row>
    <row r="1506">
      <c r="A1506" s="437"/>
      <c r="B1506" s="438"/>
      <c r="C1506" s="438"/>
      <c r="D1506" s="438"/>
      <c r="E1506" s="438"/>
      <c r="F1506" s="438"/>
      <c r="G1506" s="438"/>
      <c r="H1506" s="438"/>
      <c r="I1506" s="438"/>
      <c r="J1506" s="439"/>
      <c r="K1506" s="440"/>
    </row>
    <row r="1507">
      <c r="A1507" s="441"/>
      <c r="B1507" s="442"/>
      <c r="C1507" s="442"/>
      <c r="D1507" s="442"/>
      <c r="E1507" s="442"/>
      <c r="F1507" s="442"/>
      <c r="G1507" s="442"/>
      <c r="H1507" s="442"/>
      <c r="I1507" s="442"/>
      <c r="J1507" s="443"/>
      <c r="K1507" s="444"/>
    </row>
    <row r="1508">
      <c r="A1508" s="437"/>
      <c r="B1508" s="438"/>
      <c r="C1508" s="438"/>
      <c r="D1508" s="438"/>
      <c r="E1508" s="438"/>
      <c r="F1508" s="438"/>
      <c r="G1508" s="438"/>
      <c r="H1508" s="438"/>
      <c r="I1508" s="438"/>
      <c r="J1508" s="439"/>
      <c r="K1508" s="440"/>
    </row>
    <row r="1509">
      <c r="A1509" s="441"/>
      <c r="B1509" s="442"/>
      <c r="C1509" s="442"/>
      <c r="D1509" s="442"/>
      <c r="E1509" s="442"/>
      <c r="F1509" s="442"/>
      <c r="G1509" s="442"/>
      <c r="H1509" s="442"/>
      <c r="I1509" s="442"/>
      <c r="J1509" s="443"/>
      <c r="K1509" s="444"/>
    </row>
    <row r="1510">
      <c r="A1510" s="437"/>
      <c r="B1510" s="438"/>
      <c r="C1510" s="438"/>
      <c r="D1510" s="438"/>
      <c r="E1510" s="438"/>
      <c r="F1510" s="438"/>
      <c r="G1510" s="438"/>
      <c r="H1510" s="438"/>
      <c r="I1510" s="438"/>
      <c r="J1510" s="439"/>
      <c r="K1510" s="440"/>
    </row>
    <row r="1511">
      <c r="A1511" s="441"/>
      <c r="B1511" s="442"/>
      <c r="C1511" s="442"/>
      <c r="D1511" s="442"/>
      <c r="E1511" s="442"/>
      <c r="F1511" s="442"/>
      <c r="G1511" s="442"/>
      <c r="H1511" s="442"/>
      <c r="I1511" s="442"/>
      <c r="J1511" s="443"/>
      <c r="K1511" s="444"/>
    </row>
    <row r="1512">
      <c r="A1512" s="437"/>
      <c r="B1512" s="438"/>
      <c r="C1512" s="438"/>
      <c r="D1512" s="438"/>
      <c r="E1512" s="438"/>
      <c r="F1512" s="438"/>
      <c r="G1512" s="438"/>
      <c r="H1512" s="438"/>
      <c r="I1512" s="438"/>
      <c r="J1512" s="439"/>
      <c r="K1512" s="440"/>
    </row>
    <row r="1513">
      <c r="A1513" s="441"/>
      <c r="B1513" s="442"/>
      <c r="C1513" s="442"/>
      <c r="D1513" s="442"/>
      <c r="E1513" s="442"/>
      <c r="F1513" s="442"/>
      <c r="G1513" s="442"/>
      <c r="H1513" s="442"/>
      <c r="I1513" s="442"/>
      <c r="J1513" s="443"/>
      <c r="K1513" s="444"/>
    </row>
    <row r="1514">
      <c r="A1514" s="437"/>
      <c r="B1514" s="438"/>
      <c r="C1514" s="438"/>
      <c r="D1514" s="438"/>
      <c r="E1514" s="438"/>
      <c r="F1514" s="438"/>
      <c r="G1514" s="438"/>
      <c r="H1514" s="438"/>
      <c r="I1514" s="438"/>
      <c r="J1514" s="439"/>
      <c r="K1514" s="440"/>
    </row>
    <row r="1515">
      <c r="A1515" s="441"/>
      <c r="B1515" s="442"/>
      <c r="C1515" s="442"/>
      <c r="D1515" s="442"/>
      <c r="E1515" s="442"/>
      <c r="F1515" s="442"/>
      <c r="G1515" s="442"/>
      <c r="H1515" s="442"/>
      <c r="I1515" s="442"/>
      <c r="J1515" s="443"/>
      <c r="K1515" s="444"/>
    </row>
    <row r="1516">
      <c r="A1516" s="437"/>
      <c r="B1516" s="438"/>
      <c r="C1516" s="438"/>
      <c r="D1516" s="438"/>
      <c r="E1516" s="438"/>
      <c r="F1516" s="438"/>
      <c r="G1516" s="438"/>
      <c r="H1516" s="438"/>
      <c r="I1516" s="438"/>
      <c r="J1516" s="439"/>
      <c r="K1516" s="440"/>
    </row>
    <row r="1517">
      <c r="A1517" s="441"/>
      <c r="B1517" s="442"/>
      <c r="C1517" s="442"/>
      <c r="D1517" s="442"/>
      <c r="E1517" s="442"/>
      <c r="F1517" s="442"/>
      <c r="G1517" s="442"/>
      <c r="H1517" s="442"/>
      <c r="I1517" s="442"/>
      <c r="J1517" s="443"/>
      <c r="K1517" s="444"/>
    </row>
    <row r="1518">
      <c r="A1518" s="437"/>
      <c r="B1518" s="438"/>
      <c r="C1518" s="438"/>
      <c r="D1518" s="438"/>
      <c r="E1518" s="438"/>
      <c r="F1518" s="438"/>
      <c r="G1518" s="438"/>
      <c r="H1518" s="438"/>
      <c r="I1518" s="438"/>
      <c r="J1518" s="439"/>
      <c r="K1518" s="440"/>
    </row>
    <row r="1519">
      <c r="A1519" s="441"/>
      <c r="B1519" s="442"/>
      <c r="C1519" s="442"/>
      <c r="D1519" s="442"/>
      <c r="E1519" s="442"/>
      <c r="F1519" s="442"/>
      <c r="G1519" s="442"/>
      <c r="H1519" s="442"/>
      <c r="I1519" s="442"/>
      <c r="J1519" s="443"/>
      <c r="K1519" s="444"/>
    </row>
    <row r="1520">
      <c r="A1520" s="437"/>
      <c r="B1520" s="438"/>
      <c r="C1520" s="438"/>
      <c r="D1520" s="438"/>
      <c r="E1520" s="438"/>
      <c r="F1520" s="438"/>
      <c r="G1520" s="438"/>
      <c r="H1520" s="438"/>
      <c r="I1520" s="438"/>
      <c r="J1520" s="439"/>
      <c r="K1520" s="440"/>
    </row>
    <row r="1521">
      <c r="A1521" s="441"/>
      <c r="B1521" s="442"/>
      <c r="C1521" s="442"/>
      <c r="D1521" s="442"/>
      <c r="E1521" s="442"/>
      <c r="F1521" s="442"/>
      <c r="G1521" s="442"/>
      <c r="H1521" s="442"/>
      <c r="I1521" s="442"/>
      <c r="J1521" s="443"/>
      <c r="K1521" s="444"/>
    </row>
    <row r="1522">
      <c r="A1522" s="437"/>
      <c r="B1522" s="438"/>
      <c r="C1522" s="438"/>
      <c r="D1522" s="438"/>
      <c r="E1522" s="438"/>
      <c r="F1522" s="438"/>
      <c r="G1522" s="438"/>
      <c r="H1522" s="438"/>
      <c r="I1522" s="438"/>
      <c r="J1522" s="439"/>
      <c r="K1522" s="440"/>
    </row>
    <row r="1523">
      <c r="A1523" s="441"/>
      <c r="B1523" s="442"/>
      <c r="C1523" s="442"/>
      <c r="D1523" s="442"/>
      <c r="E1523" s="442"/>
      <c r="F1523" s="442"/>
      <c r="G1523" s="442"/>
      <c r="H1523" s="442"/>
      <c r="I1523" s="442"/>
      <c r="J1523" s="443"/>
      <c r="K1523" s="444"/>
    </row>
    <row r="1524">
      <c r="A1524" s="437"/>
      <c r="B1524" s="438"/>
      <c r="C1524" s="438"/>
      <c r="D1524" s="438"/>
      <c r="E1524" s="438"/>
      <c r="F1524" s="438"/>
      <c r="G1524" s="438"/>
      <c r="H1524" s="438"/>
      <c r="I1524" s="438"/>
      <c r="J1524" s="439"/>
      <c r="K1524" s="440"/>
    </row>
    <row r="1525">
      <c r="A1525" s="441"/>
      <c r="B1525" s="442"/>
      <c r="C1525" s="442"/>
      <c r="D1525" s="442"/>
      <c r="E1525" s="442"/>
      <c r="F1525" s="442"/>
      <c r="G1525" s="442"/>
      <c r="H1525" s="442"/>
      <c r="I1525" s="442"/>
      <c r="J1525" s="443"/>
      <c r="K1525" s="444"/>
    </row>
    <row r="1526">
      <c r="A1526" s="437"/>
      <c r="B1526" s="438"/>
      <c r="C1526" s="438"/>
      <c r="D1526" s="438"/>
      <c r="E1526" s="438"/>
      <c r="F1526" s="438"/>
      <c r="G1526" s="438"/>
      <c r="H1526" s="438"/>
      <c r="I1526" s="438"/>
      <c r="J1526" s="439"/>
      <c r="K1526" s="440"/>
    </row>
    <row r="1527">
      <c r="A1527" s="441"/>
      <c r="B1527" s="442"/>
      <c r="C1527" s="442"/>
      <c r="D1527" s="442"/>
      <c r="E1527" s="442"/>
      <c r="F1527" s="442"/>
      <c r="G1527" s="442"/>
      <c r="H1527" s="442"/>
      <c r="I1527" s="442"/>
      <c r="J1527" s="443"/>
      <c r="K1527" s="444"/>
    </row>
    <row r="1528">
      <c r="A1528" s="437"/>
      <c r="B1528" s="438"/>
      <c r="C1528" s="438"/>
      <c r="D1528" s="438"/>
      <c r="E1528" s="438"/>
      <c r="F1528" s="438"/>
      <c r="G1528" s="438"/>
      <c r="H1528" s="438"/>
      <c r="I1528" s="438"/>
      <c r="J1528" s="439"/>
      <c r="K1528" s="440"/>
    </row>
    <row r="1529">
      <c r="A1529" s="441"/>
      <c r="B1529" s="442"/>
      <c r="C1529" s="442"/>
      <c r="D1529" s="442"/>
      <c r="E1529" s="442"/>
      <c r="F1529" s="442"/>
      <c r="G1529" s="442"/>
      <c r="H1529" s="442"/>
      <c r="I1529" s="442"/>
      <c r="J1529" s="443"/>
      <c r="K1529" s="444"/>
    </row>
    <row r="1530">
      <c r="A1530" s="437"/>
      <c r="B1530" s="438"/>
      <c r="C1530" s="438"/>
      <c r="D1530" s="438"/>
      <c r="E1530" s="438"/>
      <c r="F1530" s="438"/>
      <c r="G1530" s="438"/>
      <c r="H1530" s="438"/>
      <c r="I1530" s="438"/>
      <c r="J1530" s="439"/>
      <c r="K1530" s="440"/>
    </row>
    <row r="1531">
      <c r="A1531" s="441"/>
      <c r="B1531" s="442"/>
      <c r="C1531" s="442"/>
      <c r="D1531" s="442"/>
      <c r="E1531" s="442"/>
      <c r="F1531" s="442"/>
      <c r="G1531" s="442"/>
      <c r="H1531" s="442"/>
      <c r="I1531" s="442"/>
      <c r="J1531" s="443"/>
      <c r="K1531" s="444"/>
    </row>
    <row r="1532">
      <c r="A1532" s="437"/>
      <c r="B1532" s="438"/>
      <c r="C1532" s="438"/>
      <c r="D1532" s="438"/>
      <c r="E1532" s="438"/>
      <c r="F1532" s="438"/>
      <c r="G1532" s="438"/>
      <c r="H1532" s="438"/>
      <c r="I1532" s="438"/>
      <c r="J1532" s="439"/>
      <c r="K1532" s="440"/>
    </row>
    <row r="1533">
      <c r="A1533" s="441"/>
      <c r="B1533" s="442"/>
      <c r="C1533" s="442"/>
      <c r="D1533" s="442"/>
      <c r="E1533" s="442"/>
      <c r="F1533" s="442"/>
      <c r="G1533" s="442"/>
      <c r="H1533" s="442"/>
      <c r="I1533" s="442"/>
      <c r="J1533" s="443"/>
      <c r="K1533" s="444"/>
    </row>
    <row r="1534">
      <c r="A1534" s="437"/>
      <c r="B1534" s="438"/>
      <c r="C1534" s="438"/>
      <c r="D1534" s="438"/>
      <c r="E1534" s="438"/>
      <c r="F1534" s="438"/>
      <c r="G1534" s="438"/>
      <c r="H1534" s="438"/>
      <c r="I1534" s="438"/>
      <c r="J1534" s="439"/>
      <c r="K1534" s="440"/>
    </row>
    <row r="1535">
      <c r="A1535" s="441"/>
      <c r="B1535" s="442"/>
      <c r="C1535" s="442"/>
      <c r="D1535" s="442"/>
      <c r="E1535" s="442"/>
      <c r="F1535" s="442"/>
      <c r="G1535" s="442"/>
      <c r="H1535" s="442"/>
      <c r="I1535" s="442"/>
      <c r="J1535" s="443"/>
      <c r="K1535" s="444"/>
    </row>
    <row r="1536">
      <c r="A1536" s="437"/>
      <c r="B1536" s="438"/>
      <c r="C1536" s="438"/>
      <c r="D1536" s="438"/>
      <c r="E1536" s="438"/>
      <c r="F1536" s="438"/>
      <c r="G1536" s="438"/>
      <c r="H1536" s="438"/>
      <c r="I1536" s="438"/>
      <c r="J1536" s="439"/>
      <c r="K1536" s="440"/>
    </row>
    <row r="1537">
      <c r="A1537" s="441"/>
      <c r="B1537" s="442"/>
      <c r="C1537" s="442"/>
      <c r="D1537" s="442"/>
      <c r="E1537" s="442"/>
      <c r="F1537" s="442"/>
      <c r="G1537" s="442"/>
      <c r="H1537" s="442"/>
      <c r="I1537" s="442"/>
      <c r="J1537" s="443"/>
      <c r="K1537" s="444"/>
    </row>
    <row r="1538">
      <c r="A1538" s="437"/>
      <c r="B1538" s="438"/>
      <c r="C1538" s="438"/>
      <c r="D1538" s="438"/>
      <c r="E1538" s="438"/>
      <c r="F1538" s="438"/>
      <c r="G1538" s="438"/>
      <c r="H1538" s="438"/>
      <c r="I1538" s="438"/>
      <c r="J1538" s="439"/>
      <c r="K1538" s="440"/>
    </row>
    <row r="1539">
      <c r="A1539" s="441"/>
      <c r="B1539" s="442"/>
      <c r="C1539" s="442"/>
      <c r="D1539" s="442"/>
      <c r="E1539" s="442"/>
      <c r="F1539" s="442"/>
      <c r="G1539" s="442"/>
      <c r="H1539" s="442"/>
      <c r="I1539" s="442"/>
      <c r="J1539" s="443"/>
      <c r="K1539" s="444"/>
    </row>
    <row r="1540">
      <c r="A1540" s="437"/>
      <c r="B1540" s="438"/>
      <c r="C1540" s="438"/>
      <c r="D1540" s="438"/>
      <c r="E1540" s="438"/>
      <c r="F1540" s="438"/>
      <c r="G1540" s="438"/>
      <c r="H1540" s="438"/>
      <c r="I1540" s="438"/>
      <c r="J1540" s="439"/>
      <c r="K1540" s="440"/>
    </row>
    <row r="1541">
      <c r="A1541" s="441"/>
      <c r="B1541" s="442"/>
      <c r="C1541" s="442"/>
      <c r="D1541" s="442"/>
      <c r="E1541" s="442"/>
      <c r="F1541" s="442"/>
      <c r="G1541" s="442"/>
      <c r="H1541" s="442"/>
      <c r="I1541" s="442"/>
      <c r="J1541" s="443"/>
      <c r="K1541" s="444"/>
    </row>
    <row r="1542">
      <c r="A1542" s="437"/>
      <c r="B1542" s="438"/>
      <c r="C1542" s="438"/>
      <c r="D1542" s="438"/>
      <c r="E1542" s="438"/>
      <c r="F1542" s="438"/>
      <c r="G1542" s="438"/>
      <c r="H1542" s="438"/>
      <c r="I1542" s="438"/>
      <c r="J1542" s="439"/>
      <c r="K1542" s="440"/>
    </row>
    <row r="1543">
      <c r="A1543" s="441"/>
      <c r="B1543" s="442"/>
      <c r="C1543" s="442"/>
      <c r="D1543" s="442"/>
      <c r="E1543" s="442"/>
      <c r="F1543" s="442"/>
      <c r="G1543" s="442"/>
      <c r="H1543" s="442"/>
      <c r="I1543" s="442"/>
      <c r="J1543" s="443"/>
      <c r="K1543" s="444"/>
    </row>
    <row r="1544">
      <c r="A1544" s="437"/>
      <c r="B1544" s="438"/>
      <c r="C1544" s="438"/>
      <c r="D1544" s="438"/>
      <c r="E1544" s="438"/>
      <c r="F1544" s="438"/>
      <c r="G1544" s="438"/>
      <c r="H1544" s="438"/>
      <c r="I1544" s="438"/>
      <c r="J1544" s="439"/>
      <c r="K1544" s="440"/>
    </row>
    <row r="1545">
      <c r="A1545" s="441"/>
      <c r="B1545" s="442"/>
      <c r="C1545" s="442"/>
      <c r="D1545" s="442"/>
      <c r="E1545" s="442"/>
      <c r="F1545" s="442"/>
      <c r="G1545" s="442"/>
      <c r="H1545" s="442"/>
      <c r="I1545" s="442"/>
      <c r="J1545" s="443"/>
      <c r="K1545" s="444"/>
    </row>
    <row r="1546">
      <c r="A1546" s="437"/>
      <c r="B1546" s="438"/>
      <c r="C1546" s="438"/>
      <c r="D1546" s="438"/>
      <c r="E1546" s="438"/>
      <c r="F1546" s="438"/>
      <c r="G1546" s="438"/>
      <c r="H1546" s="438"/>
      <c r="I1546" s="438"/>
      <c r="J1546" s="439"/>
      <c r="K1546" s="440"/>
    </row>
    <row r="1547">
      <c r="A1547" s="441"/>
      <c r="B1547" s="442"/>
      <c r="C1547" s="442"/>
      <c r="D1547" s="442"/>
      <c r="E1547" s="442"/>
      <c r="F1547" s="442"/>
      <c r="G1547" s="442"/>
      <c r="H1547" s="442"/>
      <c r="I1547" s="442"/>
      <c r="J1547" s="443"/>
      <c r="K1547" s="444"/>
    </row>
    <row r="1548">
      <c r="A1548" s="437"/>
      <c r="B1548" s="438"/>
      <c r="C1548" s="438"/>
      <c r="D1548" s="438"/>
      <c r="E1548" s="438"/>
      <c r="F1548" s="438"/>
      <c r="G1548" s="438"/>
      <c r="H1548" s="438"/>
      <c r="I1548" s="438"/>
      <c r="J1548" s="439"/>
      <c r="K1548" s="440"/>
    </row>
    <row r="1549">
      <c r="A1549" s="441"/>
      <c r="B1549" s="442"/>
      <c r="C1549" s="442"/>
      <c r="D1549" s="442"/>
      <c r="E1549" s="442"/>
      <c r="F1549" s="442"/>
      <c r="G1549" s="442"/>
      <c r="H1549" s="442"/>
      <c r="I1549" s="442"/>
      <c r="J1549" s="443"/>
      <c r="K1549" s="444"/>
    </row>
    <row r="1550">
      <c r="A1550" s="437"/>
      <c r="B1550" s="438"/>
      <c r="C1550" s="438"/>
      <c r="D1550" s="438"/>
      <c r="E1550" s="438"/>
      <c r="F1550" s="438"/>
      <c r="G1550" s="438"/>
      <c r="H1550" s="438"/>
      <c r="I1550" s="438"/>
      <c r="J1550" s="439"/>
      <c r="K1550" s="440"/>
    </row>
    <row r="1551">
      <c r="A1551" s="441"/>
      <c r="B1551" s="442"/>
      <c r="C1551" s="442"/>
      <c r="D1551" s="442"/>
      <c r="E1551" s="442"/>
      <c r="F1551" s="442"/>
      <c r="G1551" s="442"/>
      <c r="H1551" s="442"/>
      <c r="I1551" s="442"/>
      <c r="J1551" s="443"/>
      <c r="K1551" s="444"/>
    </row>
    <row r="1552">
      <c r="A1552" s="437"/>
      <c r="B1552" s="438"/>
      <c r="C1552" s="438"/>
      <c r="D1552" s="438"/>
      <c r="E1552" s="438"/>
      <c r="F1552" s="438"/>
      <c r="G1552" s="438"/>
      <c r="H1552" s="438"/>
      <c r="I1552" s="438"/>
      <c r="J1552" s="439"/>
      <c r="K1552" s="440"/>
    </row>
    <row r="1553">
      <c r="A1553" s="441"/>
      <c r="B1553" s="442"/>
      <c r="C1553" s="442"/>
      <c r="D1553" s="442"/>
      <c r="E1553" s="442"/>
      <c r="F1553" s="442"/>
      <c r="G1553" s="442"/>
      <c r="H1553" s="442"/>
      <c r="I1553" s="442"/>
      <c r="J1553" s="443"/>
      <c r="K1553" s="444"/>
    </row>
    <row r="1554">
      <c r="A1554" s="437"/>
      <c r="B1554" s="438"/>
      <c r="C1554" s="438"/>
      <c r="D1554" s="438"/>
      <c r="E1554" s="438"/>
      <c r="F1554" s="438"/>
      <c r="G1554" s="438"/>
      <c r="H1554" s="438"/>
      <c r="I1554" s="438"/>
      <c r="J1554" s="439"/>
      <c r="K1554" s="440"/>
    </row>
    <row r="1555">
      <c r="A1555" s="441"/>
      <c r="B1555" s="442"/>
      <c r="C1555" s="442"/>
      <c r="D1555" s="442"/>
      <c r="E1555" s="442"/>
      <c r="F1555" s="442"/>
      <c r="G1555" s="442"/>
      <c r="H1555" s="442"/>
      <c r="I1555" s="442"/>
      <c r="J1555" s="443"/>
      <c r="K1555" s="444"/>
    </row>
    <row r="1556">
      <c r="A1556" s="437"/>
      <c r="B1556" s="438"/>
      <c r="C1556" s="438"/>
      <c r="D1556" s="438"/>
      <c r="E1556" s="438"/>
      <c r="F1556" s="438"/>
      <c r="G1556" s="438"/>
      <c r="H1556" s="438"/>
      <c r="I1556" s="438"/>
      <c r="J1556" s="439"/>
      <c r="K1556" s="440"/>
    </row>
    <row r="1557">
      <c r="A1557" s="441"/>
      <c r="B1557" s="442"/>
      <c r="C1557" s="442"/>
      <c r="D1557" s="442"/>
      <c r="E1557" s="442"/>
      <c r="F1557" s="442"/>
      <c r="G1557" s="442"/>
      <c r="H1557" s="442"/>
      <c r="I1557" s="442"/>
      <c r="J1557" s="443"/>
      <c r="K1557" s="444"/>
    </row>
    <row r="1558">
      <c r="A1558" s="437"/>
      <c r="B1558" s="438"/>
      <c r="C1558" s="438"/>
      <c r="D1558" s="438"/>
      <c r="E1558" s="438"/>
      <c r="F1558" s="438"/>
      <c r="G1558" s="438"/>
      <c r="H1558" s="438"/>
      <c r="I1558" s="438"/>
      <c r="J1558" s="439"/>
      <c r="K1558" s="440"/>
    </row>
    <row r="1559">
      <c r="A1559" s="441"/>
      <c r="B1559" s="442"/>
      <c r="C1559" s="442"/>
      <c r="D1559" s="442"/>
      <c r="E1559" s="442"/>
      <c r="F1559" s="442"/>
      <c r="G1559" s="442"/>
      <c r="H1559" s="442"/>
      <c r="I1559" s="442"/>
      <c r="J1559" s="443"/>
      <c r="K1559" s="444"/>
    </row>
    <row r="1560">
      <c r="A1560" s="437"/>
      <c r="B1560" s="438"/>
      <c r="C1560" s="438"/>
      <c r="D1560" s="438"/>
      <c r="E1560" s="438"/>
      <c r="F1560" s="438"/>
      <c r="G1560" s="438"/>
      <c r="H1560" s="438"/>
      <c r="I1560" s="438"/>
      <c r="J1560" s="439"/>
      <c r="K1560" s="440"/>
    </row>
    <row r="1561">
      <c r="A1561" s="441"/>
      <c r="B1561" s="442"/>
      <c r="C1561" s="442"/>
      <c r="D1561" s="442"/>
      <c r="E1561" s="442"/>
      <c r="F1561" s="442"/>
      <c r="G1561" s="442"/>
      <c r="H1561" s="442"/>
      <c r="I1561" s="442"/>
      <c r="J1561" s="443"/>
      <c r="K1561" s="444"/>
    </row>
    <row r="1562">
      <c r="A1562" s="437"/>
      <c r="B1562" s="438"/>
      <c r="C1562" s="438"/>
      <c r="D1562" s="438"/>
      <c r="E1562" s="438"/>
      <c r="F1562" s="438"/>
      <c r="G1562" s="438"/>
      <c r="H1562" s="438"/>
      <c r="I1562" s="438"/>
      <c r="J1562" s="439"/>
      <c r="K1562" s="440"/>
    </row>
    <row r="1563">
      <c r="A1563" s="441"/>
      <c r="B1563" s="442"/>
      <c r="C1563" s="442"/>
      <c r="D1563" s="442"/>
      <c r="E1563" s="442"/>
      <c r="F1563" s="442"/>
      <c r="G1563" s="442"/>
      <c r="H1563" s="442"/>
      <c r="I1563" s="442"/>
      <c r="J1563" s="443"/>
      <c r="K1563" s="444"/>
    </row>
    <row r="1564">
      <c r="A1564" s="437"/>
      <c r="B1564" s="438"/>
      <c r="C1564" s="438"/>
      <c r="D1564" s="438"/>
      <c r="E1564" s="438"/>
      <c r="F1564" s="438"/>
      <c r="G1564" s="438"/>
      <c r="H1564" s="438"/>
      <c r="I1564" s="438"/>
      <c r="J1564" s="439"/>
      <c r="K1564" s="440"/>
    </row>
    <row r="1565">
      <c r="A1565" s="441"/>
      <c r="B1565" s="442"/>
      <c r="C1565" s="442"/>
      <c r="D1565" s="442"/>
      <c r="E1565" s="442"/>
      <c r="F1565" s="442"/>
      <c r="G1565" s="442"/>
      <c r="H1565" s="442"/>
      <c r="I1565" s="442"/>
      <c r="J1565" s="443"/>
      <c r="K1565" s="444"/>
    </row>
    <row r="1566">
      <c r="A1566" s="437"/>
      <c r="B1566" s="438"/>
      <c r="C1566" s="438"/>
      <c r="D1566" s="438"/>
      <c r="E1566" s="438"/>
      <c r="F1566" s="438"/>
      <c r="G1566" s="438"/>
      <c r="H1566" s="438"/>
      <c r="I1566" s="438"/>
      <c r="J1566" s="439"/>
      <c r="K1566" s="440"/>
    </row>
    <row r="1567">
      <c r="A1567" s="441"/>
      <c r="B1567" s="442"/>
      <c r="C1567" s="442"/>
      <c r="D1567" s="442"/>
      <c r="E1567" s="442"/>
      <c r="F1567" s="442"/>
      <c r="G1567" s="442"/>
      <c r="H1567" s="442"/>
      <c r="I1567" s="442"/>
      <c r="J1567" s="443"/>
      <c r="K1567" s="444"/>
    </row>
    <row r="1568">
      <c r="A1568" s="437"/>
      <c r="B1568" s="438"/>
      <c r="C1568" s="438"/>
      <c r="D1568" s="438"/>
      <c r="E1568" s="438"/>
      <c r="F1568" s="438"/>
      <c r="G1568" s="438"/>
      <c r="H1568" s="438"/>
      <c r="I1568" s="438"/>
      <c r="J1568" s="439"/>
      <c r="K1568" s="440"/>
    </row>
    <row r="1569">
      <c r="A1569" s="441"/>
      <c r="B1569" s="442"/>
      <c r="C1569" s="442"/>
      <c r="D1569" s="442"/>
      <c r="E1569" s="442"/>
      <c r="F1569" s="442"/>
      <c r="G1569" s="442"/>
      <c r="H1569" s="442"/>
      <c r="I1569" s="442"/>
      <c r="J1569" s="443"/>
      <c r="K1569" s="444"/>
    </row>
    <row r="1570">
      <c r="A1570" s="437"/>
      <c r="B1570" s="438"/>
      <c r="C1570" s="438"/>
      <c r="D1570" s="438"/>
      <c r="E1570" s="438"/>
      <c r="F1570" s="438"/>
      <c r="G1570" s="438"/>
      <c r="H1570" s="438"/>
      <c r="I1570" s="438"/>
      <c r="J1570" s="439"/>
      <c r="K1570" s="440"/>
    </row>
    <row r="1571">
      <c r="A1571" s="441"/>
      <c r="B1571" s="442"/>
      <c r="C1571" s="442"/>
      <c r="D1571" s="442"/>
      <c r="E1571" s="442"/>
      <c r="F1571" s="442"/>
      <c r="G1571" s="442"/>
      <c r="H1571" s="442"/>
      <c r="I1571" s="442"/>
      <c r="J1571" s="443"/>
      <c r="K1571" s="444"/>
    </row>
    <row r="1572">
      <c r="A1572" s="437"/>
      <c r="B1572" s="438"/>
      <c r="C1572" s="438"/>
      <c r="D1572" s="438"/>
      <c r="E1572" s="438"/>
      <c r="F1572" s="438"/>
      <c r="G1572" s="438"/>
      <c r="H1572" s="438"/>
      <c r="I1572" s="438"/>
      <c r="J1572" s="439"/>
      <c r="K1572" s="440"/>
    </row>
    <row r="1573">
      <c r="A1573" s="441"/>
      <c r="B1573" s="442"/>
      <c r="C1573" s="442"/>
      <c r="D1573" s="442"/>
      <c r="E1573" s="442"/>
      <c r="F1573" s="442"/>
      <c r="G1573" s="442"/>
      <c r="H1573" s="442"/>
      <c r="I1573" s="442"/>
      <c r="J1573" s="443"/>
      <c r="K1573" s="444"/>
    </row>
    <row r="1574">
      <c r="A1574" s="437"/>
      <c r="B1574" s="438"/>
      <c r="C1574" s="438"/>
      <c r="D1574" s="438"/>
      <c r="E1574" s="438"/>
      <c r="F1574" s="438"/>
      <c r="G1574" s="438"/>
      <c r="H1574" s="438"/>
      <c r="I1574" s="438"/>
      <c r="J1574" s="439"/>
      <c r="K1574" s="440"/>
    </row>
    <row r="1575">
      <c r="A1575" s="441"/>
      <c r="B1575" s="442"/>
      <c r="C1575" s="442"/>
      <c r="D1575" s="442"/>
      <c r="E1575" s="442"/>
      <c r="F1575" s="442"/>
      <c r="G1575" s="442"/>
      <c r="H1575" s="442"/>
      <c r="I1575" s="442"/>
      <c r="J1575" s="443"/>
      <c r="K1575" s="444"/>
    </row>
    <row r="1576">
      <c r="A1576" s="437"/>
      <c r="B1576" s="438"/>
      <c r="C1576" s="438"/>
      <c r="D1576" s="438"/>
      <c r="E1576" s="438"/>
      <c r="F1576" s="438"/>
      <c r="G1576" s="438"/>
      <c r="H1576" s="438"/>
      <c r="I1576" s="438"/>
      <c r="J1576" s="439"/>
      <c r="K1576" s="440"/>
    </row>
    <row r="1577">
      <c r="A1577" s="441"/>
      <c r="B1577" s="442"/>
      <c r="C1577" s="442"/>
      <c r="D1577" s="442"/>
      <c r="E1577" s="442"/>
      <c r="F1577" s="442"/>
      <c r="G1577" s="442"/>
      <c r="H1577" s="442"/>
      <c r="I1577" s="442"/>
      <c r="J1577" s="443"/>
      <c r="K1577" s="444"/>
    </row>
    <row r="1578">
      <c r="A1578" s="437"/>
      <c r="B1578" s="438"/>
      <c r="C1578" s="438"/>
      <c r="D1578" s="438"/>
      <c r="E1578" s="438"/>
      <c r="F1578" s="438"/>
      <c r="G1578" s="438"/>
      <c r="H1578" s="438"/>
      <c r="I1578" s="438"/>
      <c r="J1578" s="439"/>
      <c r="K1578" s="440"/>
    </row>
    <row r="1579">
      <c r="A1579" s="441"/>
      <c r="B1579" s="442"/>
      <c r="C1579" s="442"/>
      <c r="D1579" s="442"/>
      <c r="E1579" s="442"/>
      <c r="F1579" s="442"/>
      <c r="G1579" s="442"/>
      <c r="H1579" s="442"/>
      <c r="I1579" s="442"/>
      <c r="J1579" s="443"/>
      <c r="K1579" s="444"/>
    </row>
    <row r="1580">
      <c r="A1580" s="437"/>
      <c r="B1580" s="438"/>
      <c r="C1580" s="438"/>
      <c r="D1580" s="438"/>
      <c r="E1580" s="438"/>
      <c r="F1580" s="438"/>
      <c r="G1580" s="438"/>
      <c r="H1580" s="438"/>
      <c r="I1580" s="438"/>
      <c r="J1580" s="439"/>
      <c r="K1580" s="440"/>
    </row>
    <row r="1581">
      <c r="A1581" s="441"/>
      <c r="B1581" s="442"/>
      <c r="C1581" s="442"/>
      <c r="D1581" s="442"/>
      <c r="E1581" s="442"/>
      <c r="F1581" s="442"/>
      <c r="G1581" s="442"/>
      <c r="H1581" s="442"/>
      <c r="I1581" s="442"/>
      <c r="J1581" s="443"/>
      <c r="K1581" s="444"/>
    </row>
    <row r="1582">
      <c r="A1582" s="437"/>
      <c r="B1582" s="438"/>
      <c r="C1582" s="438"/>
      <c r="D1582" s="438"/>
      <c r="E1582" s="438"/>
      <c r="F1582" s="438"/>
      <c r="G1582" s="438"/>
      <c r="H1582" s="438"/>
      <c r="I1582" s="438"/>
      <c r="J1582" s="439"/>
      <c r="K1582" s="440"/>
    </row>
    <row r="1583">
      <c r="A1583" s="445"/>
      <c r="B1583" s="446"/>
      <c r="C1583" s="446"/>
      <c r="D1583" s="446"/>
      <c r="E1583" s="446"/>
      <c r="F1583" s="446"/>
      <c r="G1583" s="446"/>
      <c r="H1583" s="446"/>
      <c r="I1583" s="446"/>
      <c r="J1583" s="447"/>
      <c r="K1583" s="448"/>
    </row>
  </sheetData>
  <dataValidations>
    <dataValidation type="custom" allowBlank="1" showDropDown="1" sqref="A2:A1583">
      <formula1>OR(NOT(ISERROR(DATEVALUE(A2))), AND(ISNUMBER(A2), LEFT(CELL("format", A2))="D"))</formula1>
    </dataValidation>
    <dataValidation type="custom" allowBlank="1" showDropDown="1" sqref="J2:J1583">
      <formula1>AND(ISNUMBER(J2),(NOT(OR(NOT(ISERROR(DATEVALUE(J2))), AND(ISNUMBER(J2), LEFT(CELL("format", J2))="D")))))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17" t="s">
        <v>24943</v>
      </c>
      <c r="B1" s="417" t="s">
        <v>24944</v>
      </c>
      <c r="C1" s="417" t="s">
        <v>24945</v>
      </c>
    </row>
    <row r="2">
      <c r="A2" s="417" t="s">
        <v>24946</v>
      </c>
      <c r="B2" s="417" t="s">
        <v>7610</v>
      </c>
      <c r="C2" s="449" t="b">
        <v>1</v>
      </c>
    </row>
    <row r="3">
      <c r="A3" s="417" t="s">
        <v>24947</v>
      </c>
      <c r="B3" s="417" t="s">
        <v>24948</v>
      </c>
      <c r="C3" s="417" t="b">
        <v>0</v>
      </c>
    </row>
    <row r="4">
      <c r="A4" s="417" t="s">
        <v>24949</v>
      </c>
      <c r="B4" s="417" t="s">
        <v>7610</v>
      </c>
      <c r="C4" s="417" t="b">
        <v>1</v>
      </c>
    </row>
    <row r="5">
      <c r="A5" s="417" t="s">
        <v>24950</v>
      </c>
      <c r="B5" s="417" t="s">
        <v>7610</v>
      </c>
      <c r="C5" s="417" t="b">
        <v>1</v>
      </c>
    </row>
    <row r="6">
      <c r="A6" s="417" t="s">
        <v>24951</v>
      </c>
      <c r="B6" s="417" t="s">
        <v>24948</v>
      </c>
      <c r="C6" s="417" t="b">
        <v>1</v>
      </c>
    </row>
    <row r="7">
      <c r="A7" s="417" t="s">
        <v>24952</v>
      </c>
      <c r="B7" s="417" t="s">
        <v>24948</v>
      </c>
      <c r="C7" s="417" t="b">
        <v>1</v>
      </c>
    </row>
    <row r="8">
      <c r="A8" s="417" t="s">
        <v>24953</v>
      </c>
      <c r="B8" s="417" t="s">
        <v>24948</v>
      </c>
      <c r="C8" s="417" t="b">
        <v>1</v>
      </c>
    </row>
    <row r="9">
      <c r="A9" s="417" t="s">
        <v>24954</v>
      </c>
      <c r="B9" s="417" t="s">
        <v>24948</v>
      </c>
      <c r="C9" s="417" t="b">
        <v>1</v>
      </c>
    </row>
    <row r="10">
      <c r="A10" s="417" t="s">
        <v>24955</v>
      </c>
      <c r="B10" s="417" t="s">
        <v>24948</v>
      </c>
      <c r="C10" s="417" t="b">
        <v>1</v>
      </c>
    </row>
    <row r="11">
      <c r="A11" s="417" t="s">
        <v>24956</v>
      </c>
      <c r="B11" s="417" t="s">
        <v>24957</v>
      </c>
      <c r="C11" s="417" t="b">
        <v>1</v>
      </c>
    </row>
    <row r="12">
      <c r="A12" s="417" t="s">
        <v>24958</v>
      </c>
      <c r="B12" s="417" t="s">
        <v>24948</v>
      </c>
      <c r="C12" s="417" t="b">
        <v>1</v>
      </c>
    </row>
    <row r="13">
      <c r="A13" s="417" t="s">
        <v>24959</v>
      </c>
      <c r="B13" s="417" t="s">
        <v>6134</v>
      </c>
      <c r="C13" s="417" t="b">
        <v>1</v>
      </c>
    </row>
    <row r="14">
      <c r="A14" s="417" t="s">
        <v>24960</v>
      </c>
      <c r="B14" s="417" t="s">
        <v>6134</v>
      </c>
      <c r="C14" s="417" t="b">
        <v>1</v>
      </c>
    </row>
    <row r="15">
      <c r="A15" s="417" t="s">
        <v>24961</v>
      </c>
      <c r="B15" s="417" t="s">
        <v>6134</v>
      </c>
      <c r="C15" s="417" t="b">
        <v>1</v>
      </c>
    </row>
    <row r="16">
      <c r="A16" s="417" t="s">
        <v>24962</v>
      </c>
      <c r="B16" s="417" t="s">
        <v>6134</v>
      </c>
      <c r="C16" s="417" t="b">
        <v>1</v>
      </c>
    </row>
    <row r="17">
      <c r="A17" s="417" t="s">
        <v>24963</v>
      </c>
      <c r="B17" s="417" t="s">
        <v>6134</v>
      </c>
      <c r="C17" s="417" t="b">
        <v>1</v>
      </c>
    </row>
    <row r="18">
      <c r="A18" s="417" t="s">
        <v>24964</v>
      </c>
      <c r="B18" s="449" t="s">
        <v>67</v>
      </c>
      <c r="C18" s="417" t="b">
        <v>1</v>
      </c>
    </row>
    <row r="19">
      <c r="A19" s="417" t="s">
        <v>24965</v>
      </c>
      <c r="B19" s="417" t="s">
        <v>24966</v>
      </c>
      <c r="C19" s="417" t="b">
        <v>1</v>
      </c>
    </row>
    <row r="20">
      <c r="A20" s="417" t="s">
        <v>24967</v>
      </c>
      <c r="B20" s="417" t="s">
        <v>24948</v>
      </c>
      <c r="C20" s="417" t="b">
        <v>1</v>
      </c>
    </row>
    <row r="21">
      <c r="A21" s="417" t="s">
        <v>24968</v>
      </c>
      <c r="B21" s="417" t="s">
        <v>24948</v>
      </c>
      <c r="C21" s="417" t="b">
        <v>1</v>
      </c>
    </row>
    <row r="22">
      <c r="A22" s="417" t="s">
        <v>24969</v>
      </c>
      <c r="B22" s="417" t="s">
        <v>24948</v>
      </c>
      <c r="C22" s="417" t="b">
        <v>1</v>
      </c>
    </row>
    <row r="23">
      <c r="A23" s="417" t="s">
        <v>24970</v>
      </c>
      <c r="B23" s="417" t="s">
        <v>24948</v>
      </c>
      <c r="C23" s="417" t="b">
        <v>1</v>
      </c>
    </row>
    <row r="24">
      <c r="A24" s="417" t="s">
        <v>24971</v>
      </c>
      <c r="B24" s="417" t="s">
        <v>24948</v>
      </c>
      <c r="C24" s="417" t="b">
        <v>1</v>
      </c>
    </row>
    <row r="25">
      <c r="A25" s="417" t="s">
        <v>24972</v>
      </c>
      <c r="B25" s="417" t="s">
        <v>24948</v>
      </c>
      <c r="C25" s="417" t="b">
        <v>1</v>
      </c>
    </row>
    <row r="26">
      <c r="A26" s="417" t="s">
        <v>24973</v>
      </c>
      <c r="B26" s="417" t="s">
        <v>24948</v>
      </c>
      <c r="C26" s="417" t="b">
        <v>1</v>
      </c>
    </row>
    <row r="27">
      <c r="A27" s="417" t="s">
        <v>24974</v>
      </c>
      <c r="B27" s="417" t="s">
        <v>6134</v>
      </c>
      <c r="C27" s="417" t="b">
        <v>1</v>
      </c>
    </row>
    <row r="28">
      <c r="A28" s="417" t="s">
        <v>24975</v>
      </c>
      <c r="B28" s="417" t="s">
        <v>24948</v>
      </c>
      <c r="C28" s="417" t="b">
        <v>1</v>
      </c>
    </row>
    <row r="29">
      <c r="A29" s="417" t="s">
        <v>24976</v>
      </c>
      <c r="B29" s="417" t="s">
        <v>24948</v>
      </c>
      <c r="C29" s="417" t="b">
        <v>1</v>
      </c>
    </row>
    <row r="30">
      <c r="A30" s="417" t="s">
        <v>24977</v>
      </c>
      <c r="B30" s="417" t="s">
        <v>7610</v>
      </c>
      <c r="C30" s="417" t="b">
        <v>1</v>
      </c>
    </row>
    <row r="31">
      <c r="A31" s="417" t="s">
        <v>24978</v>
      </c>
      <c r="B31" s="417" t="s">
        <v>24979</v>
      </c>
      <c r="C31" s="417" t="b">
        <v>1</v>
      </c>
    </row>
    <row r="32">
      <c r="A32" s="417" t="s">
        <v>24980</v>
      </c>
      <c r="B32" s="417" t="s">
        <v>24981</v>
      </c>
      <c r="C32" s="417" t="b">
        <v>1</v>
      </c>
    </row>
    <row r="33">
      <c r="A33" s="417" t="s">
        <v>24982</v>
      </c>
      <c r="B33" s="417" t="s">
        <v>24983</v>
      </c>
      <c r="C33" s="417" t="b">
        <v>1</v>
      </c>
    </row>
    <row r="34">
      <c r="A34" s="417" t="s">
        <v>24984</v>
      </c>
      <c r="B34" s="417" t="s">
        <v>6134</v>
      </c>
      <c r="C34" s="417" t="b">
        <v>1</v>
      </c>
    </row>
    <row r="35">
      <c r="A35" s="417" t="s">
        <v>24985</v>
      </c>
      <c r="B35" s="417" t="s">
        <v>24948</v>
      </c>
      <c r="C35" s="417" t="b">
        <v>1</v>
      </c>
    </row>
    <row r="36">
      <c r="A36" s="417" t="s">
        <v>24986</v>
      </c>
      <c r="B36" s="417" t="s">
        <v>24948</v>
      </c>
      <c r="C36" s="417" t="b">
        <v>1</v>
      </c>
    </row>
    <row r="37">
      <c r="A37" s="417" t="s">
        <v>24987</v>
      </c>
      <c r="B37" s="417" t="s">
        <v>24948</v>
      </c>
      <c r="C37" s="417" t="b">
        <v>1</v>
      </c>
    </row>
    <row r="38">
      <c r="A38" s="417" t="s">
        <v>24988</v>
      </c>
      <c r="B38" s="417" t="s">
        <v>24948</v>
      </c>
      <c r="C38" s="417" t="b">
        <v>1</v>
      </c>
    </row>
    <row r="39">
      <c r="A39" s="417" t="s">
        <v>24989</v>
      </c>
      <c r="B39" s="417" t="s">
        <v>24948</v>
      </c>
      <c r="C39" s="417" t="b">
        <v>1</v>
      </c>
    </row>
    <row r="40">
      <c r="A40" s="417" t="s">
        <v>24990</v>
      </c>
      <c r="B40" s="417" t="s">
        <v>6134</v>
      </c>
      <c r="C40" s="417" t="b">
        <v>1</v>
      </c>
    </row>
    <row r="41">
      <c r="A41" s="417" t="s">
        <v>24991</v>
      </c>
      <c r="B41" s="417" t="s">
        <v>24948</v>
      </c>
      <c r="C41" s="417" t="b">
        <v>1</v>
      </c>
    </row>
    <row r="42">
      <c r="A42" s="417" t="s">
        <v>24992</v>
      </c>
      <c r="B42" s="417" t="s">
        <v>6134</v>
      </c>
      <c r="C42" s="417" t="b">
        <v>1</v>
      </c>
    </row>
    <row r="43">
      <c r="A43" s="417" t="s">
        <v>24993</v>
      </c>
      <c r="B43" s="417" t="s">
        <v>6134</v>
      </c>
      <c r="C43" s="417" t="b">
        <v>1</v>
      </c>
    </row>
    <row r="44">
      <c r="A44" s="417" t="s">
        <v>24994</v>
      </c>
      <c r="B44" s="417" t="s">
        <v>24948</v>
      </c>
      <c r="C44" s="417" t="b">
        <v>1</v>
      </c>
    </row>
    <row r="45">
      <c r="A45" s="417" t="s">
        <v>24995</v>
      </c>
      <c r="B45" s="417" t="s">
        <v>24948</v>
      </c>
      <c r="C45" s="417" t="b">
        <v>1</v>
      </c>
    </row>
    <row r="46">
      <c r="A46" s="417" t="s">
        <v>24996</v>
      </c>
      <c r="B46" s="417" t="s">
        <v>24948</v>
      </c>
      <c r="C46" s="417" t="b">
        <v>1</v>
      </c>
    </row>
    <row r="47">
      <c r="A47" s="417" t="s">
        <v>24997</v>
      </c>
      <c r="B47" s="417" t="s">
        <v>24948</v>
      </c>
      <c r="C47" s="417" t="b">
        <v>1</v>
      </c>
    </row>
    <row r="48">
      <c r="A48" s="417" t="s">
        <v>24998</v>
      </c>
      <c r="B48" s="417" t="s">
        <v>24948</v>
      </c>
      <c r="C48" s="417" t="b">
        <v>1</v>
      </c>
    </row>
    <row r="49">
      <c r="A49" s="417" t="s">
        <v>24999</v>
      </c>
      <c r="B49" s="417" t="s">
        <v>24948</v>
      </c>
      <c r="C49" s="417" t="b">
        <v>1</v>
      </c>
    </row>
    <row r="50">
      <c r="A50" s="417" t="s">
        <v>25000</v>
      </c>
      <c r="B50" s="417" t="s">
        <v>25001</v>
      </c>
      <c r="C50" s="417" t="b">
        <v>1</v>
      </c>
    </row>
    <row r="51">
      <c r="A51" s="417" t="s">
        <v>25002</v>
      </c>
      <c r="B51" s="417" t="s">
        <v>24966</v>
      </c>
      <c r="C51" s="417" t="b">
        <v>1</v>
      </c>
    </row>
    <row r="52">
      <c r="A52" s="417" t="s">
        <v>25003</v>
      </c>
      <c r="B52" s="417" t="s">
        <v>24948</v>
      </c>
      <c r="C52" s="417" t="b">
        <v>1</v>
      </c>
    </row>
    <row r="53">
      <c r="A53" s="417" t="s">
        <v>25004</v>
      </c>
      <c r="B53" s="417" t="s">
        <v>24948</v>
      </c>
      <c r="C53" s="417" t="b">
        <v>1</v>
      </c>
    </row>
    <row r="54">
      <c r="A54" s="417" t="s">
        <v>25005</v>
      </c>
      <c r="B54" s="417" t="s">
        <v>7610</v>
      </c>
      <c r="C54" s="417" t="b">
        <v>1</v>
      </c>
    </row>
    <row r="55">
      <c r="A55" s="417" t="s">
        <v>25006</v>
      </c>
      <c r="B55" s="417" t="s">
        <v>24966</v>
      </c>
      <c r="C55" s="417" t="b">
        <v>1</v>
      </c>
    </row>
    <row r="56">
      <c r="A56" s="417" t="s">
        <v>25007</v>
      </c>
      <c r="B56" s="417" t="s">
        <v>24948</v>
      </c>
      <c r="C56" s="417" t="b">
        <v>1</v>
      </c>
    </row>
    <row r="57">
      <c r="A57" s="417" t="s">
        <v>25008</v>
      </c>
      <c r="B57" s="417" t="s">
        <v>24948</v>
      </c>
      <c r="C57" s="417" t="b">
        <v>1</v>
      </c>
    </row>
    <row r="58">
      <c r="A58" s="417" t="s">
        <v>25009</v>
      </c>
      <c r="B58" s="417" t="s">
        <v>7610</v>
      </c>
      <c r="C58" s="417" t="b">
        <v>1</v>
      </c>
    </row>
    <row r="59">
      <c r="A59" s="417" t="s">
        <v>25010</v>
      </c>
      <c r="B59" s="417" t="s">
        <v>24948</v>
      </c>
      <c r="C59" s="417" t="b">
        <v>1</v>
      </c>
    </row>
    <row r="60">
      <c r="A60" s="417" t="s">
        <v>25011</v>
      </c>
      <c r="B60" s="417" t="s">
        <v>7610</v>
      </c>
      <c r="C60" s="417" t="b">
        <v>1</v>
      </c>
    </row>
    <row r="61">
      <c r="A61" s="417" t="s">
        <v>25012</v>
      </c>
      <c r="B61" s="417" t="s">
        <v>24948</v>
      </c>
      <c r="C61" s="417" t="b">
        <v>1</v>
      </c>
    </row>
    <row r="62">
      <c r="A62" s="417" t="s">
        <v>25013</v>
      </c>
      <c r="B62" s="417" t="s">
        <v>24948</v>
      </c>
      <c r="C62" s="417" t="b">
        <v>1</v>
      </c>
    </row>
    <row r="63">
      <c r="A63" s="417" t="s">
        <v>25014</v>
      </c>
      <c r="B63" s="417" t="s">
        <v>25015</v>
      </c>
      <c r="C63" s="417" t="b">
        <v>1</v>
      </c>
    </row>
    <row r="64">
      <c r="A64" s="417" t="s">
        <v>25016</v>
      </c>
      <c r="B64" s="417" t="s">
        <v>25017</v>
      </c>
      <c r="C64" s="417" t="b">
        <v>1</v>
      </c>
    </row>
    <row r="65">
      <c r="A65" s="417" t="s">
        <v>25018</v>
      </c>
      <c r="B65" s="417" t="s">
        <v>24948</v>
      </c>
      <c r="C65" s="417" t="b">
        <v>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17" t="s">
        <v>25019</v>
      </c>
      <c r="B1" s="417" t="s">
        <v>25020</v>
      </c>
    </row>
    <row r="2">
      <c r="A2" s="450">
        <v>45951.87170079861</v>
      </c>
    </row>
  </sheetData>
  <drawing r:id="rId1"/>
</worksheet>
</file>